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pdated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995"/>
  <sheetViews>
    <sheetView workbookViewId="0"/>
  </sheetViews>
  <sheetData>
    <row r="1">
      <c r="A1" t="str">
        <v>STT</v>
      </c>
      <c r="B1" t="str">
        <v>Đơn Vị</v>
      </c>
      <c r="C1" t="str">
        <v>LINK</v>
      </c>
      <c r="D1" t="str">
        <v>DI ĐỘNG</v>
      </c>
      <c r="E1" t="str">
        <v>CỐ ĐỊNH</v>
      </c>
      <c r="F1" t="str">
        <v>EMAIL</v>
      </c>
    </row>
    <row r="2">
      <c r="A2">
        <v>1</v>
      </c>
      <c r="B2">
        <f>HYPERLINK("https://www.facebook.com/caqbadinh/", "Công an quận Ba Đình  thành phố Hà Nội")</f>
      </c>
      <c r="C2" t="str">
        <v>https://www.facebook.com/caqbadinh/</v>
      </c>
      <c r="D2" t="str">
        <v>-</v>
      </c>
      <c r="E2" t="str">
        <v/>
      </c>
      <c r="F2" t="str">
        <v>-</v>
      </c>
      <c r="G2" t="str">
        <v>-</v>
      </c>
    </row>
    <row r="3">
      <c r="A3">
        <v>2</v>
      </c>
      <c r="B3">
        <f>HYPERLINK("https://badinh.hanoi.gov.vn/", "UBND Ủy ban nhân dân quận Ba Đình  thành phố Hà Nội")</f>
      </c>
      <c r="C3" t="str">
        <v>https://badinh.hanoi.gov.vn/</v>
      </c>
      <c r="D3" t="str">
        <v>-</v>
      </c>
      <c r="E3" t="str">
        <v>-</v>
      </c>
      <c r="F3" t="str">
        <v>-</v>
      </c>
      <c r="G3" t="str">
        <v>-</v>
      </c>
    </row>
    <row r="4">
      <c r="A4">
        <v>3</v>
      </c>
      <c r="B4">
        <f>HYPERLINK("https://www.facebook.com/doanthanhniencahk/?locale=zh_CN", "Công an quận Hoàn Kiếm  thành phố Hà Nội")</f>
      </c>
      <c r="C4" t="str">
        <v>https://www.facebook.com/doanthanhniencahk/?locale=zh_CN</v>
      </c>
      <c r="D4" t="str">
        <v>-</v>
      </c>
      <c r="E4" t="str">
        <v/>
      </c>
      <c r="F4" t="str">
        <v>-</v>
      </c>
      <c r="G4" t="str">
        <v>-</v>
      </c>
    </row>
    <row r="5">
      <c r="A5">
        <v>4</v>
      </c>
      <c r="B5">
        <f>HYPERLINK("https://hoankiem.hanoi.gov.vn/", "UBND Ủy ban nhân dân quận Hoàn Kiếm  thành phố Hà Nội")</f>
      </c>
      <c r="C5" t="str">
        <v>https://hoankiem.hanoi.gov.vn/</v>
      </c>
      <c r="D5" t="str">
        <v>-</v>
      </c>
      <c r="E5" t="str">
        <v>-</v>
      </c>
      <c r="F5" t="str">
        <v>-</v>
      </c>
      <c r="G5" t="str">
        <v>-</v>
      </c>
    </row>
    <row r="6">
      <c r="A6">
        <v>5</v>
      </c>
      <c r="B6">
        <f>HYPERLINK("https://www.facebook.com/p/Tu%E1%BB%95i-Tr%E1%BA%BB-C%C3%B4ng-An-Qu%E1%BA%ADn-T%C3%A2y-H%E1%BB%93-100080140217978/?locale=vi_VN", "Công an quận Tây Hồ  thành phố Hà Nội")</f>
      </c>
      <c r="C6" t="str">
        <v>https://www.facebook.com/p/Tu%E1%BB%95i-Tr%E1%BA%BB-C%C3%B4ng-An-Qu%E1%BA%ADn-T%C3%A2y-H%E1%BB%93-100080140217978/?locale=vi_VN</v>
      </c>
      <c r="D6" t="str">
        <v>-</v>
      </c>
      <c r="E6" t="str">
        <v/>
      </c>
      <c r="F6" t="str">
        <v>-</v>
      </c>
      <c r="G6" t="str">
        <v>-</v>
      </c>
    </row>
    <row r="7">
      <c r="A7">
        <v>6</v>
      </c>
      <c r="B7">
        <f>HYPERLINK("https://tayho.hanoi.gov.vn/", "UBND Ủy ban nhân dân quận Tây Hồ  thành phố Hà Nội")</f>
      </c>
      <c r="C7" t="str">
        <v>https://tayho.hanoi.gov.vn/</v>
      </c>
      <c r="D7" t="str">
        <v>-</v>
      </c>
      <c r="E7" t="str">
        <v>-</v>
      </c>
      <c r="F7" t="str">
        <v>-</v>
      </c>
      <c r="G7" t="str">
        <v>-</v>
      </c>
    </row>
    <row r="8">
      <c r="A8">
        <v>7</v>
      </c>
      <c r="B8">
        <f>HYPERLINK("https://www.facebook.com/p/Tu%E1%BB%95i-tr%E1%BA%BB-C%C3%B4ng-an-qu%E1%BA%ADn-Long-Bi%C3%AAn-100057063655318/", "Công an quận Long Biên  thành phố Hà Nội")</f>
      </c>
      <c r="C8" t="str">
        <v>https://www.facebook.com/p/Tu%E1%BB%95i-tr%E1%BA%BB-C%C3%B4ng-an-qu%E1%BA%ADn-Long-Bi%C3%AAn-100057063655318/</v>
      </c>
      <c r="D8" t="str">
        <v>-</v>
      </c>
      <c r="E8" t="str">
        <v/>
      </c>
      <c r="F8" t="str">
        <v>-</v>
      </c>
      <c r="G8" t="str">
        <v>-</v>
      </c>
    </row>
    <row r="9">
      <c r="A9">
        <v>8</v>
      </c>
      <c r="B9">
        <f>HYPERLINK("https://longbien.hanoi.gov.vn/", "UBND Ủy ban nhân dân quận Long Biên  thành phố Hà Nội")</f>
      </c>
      <c r="C9" t="str">
        <v>https://longbien.hanoi.gov.vn/</v>
      </c>
      <c r="D9" t="str">
        <v>-</v>
      </c>
      <c r="E9" t="str">
        <v>-</v>
      </c>
      <c r="F9" t="str">
        <v>-</v>
      </c>
      <c r="G9" t="str">
        <v>-</v>
      </c>
    </row>
    <row r="10">
      <c r="A10">
        <v>9</v>
      </c>
      <c r="B10">
        <f>HYPERLINK("https://www.facebook.com/dtncongancaugiay/?locale=vi_VN", "Công an quận Cầu Giấy  thành phố Hà Nội")</f>
      </c>
      <c r="C10" t="str">
        <v>https://www.facebook.com/dtncongancaugiay/?locale=vi_VN</v>
      </c>
      <c r="D10" t="str">
        <v>-</v>
      </c>
      <c r="E10" t="str">
        <v/>
      </c>
      <c r="F10" t="str">
        <v>-</v>
      </c>
      <c r="G10" t="str">
        <v>-</v>
      </c>
    </row>
    <row r="11">
      <c r="A11">
        <v>10</v>
      </c>
      <c r="B11">
        <f>HYPERLINK("http://caugiay.hanoi.gov.vn/", "UBND Ủy ban nhân dân quận Cầu Giấy  thành phố Hà Nội")</f>
      </c>
      <c r="C11" t="str">
        <v>http://caugiay.hanoi.gov.vn/</v>
      </c>
      <c r="D11" t="str">
        <v>-</v>
      </c>
      <c r="E11" t="str">
        <v>-</v>
      </c>
      <c r="F11" t="str">
        <v>-</v>
      </c>
      <c r="G11" t="str">
        <v>-</v>
      </c>
    </row>
    <row r="12">
      <c r="A12">
        <v>11</v>
      </c>
      <c r="B12" t="str">
        <v>Công an quận Đống Đa  thành phố Hà Nội</v>
      </c>
      <c r="C12" t="str">
        <v>-</v>
      </c>
      <c r="D12" t="str">
        <v>-</v>
      </c>
      <c r="E12" t="str">
        <v/>
      </c>
      <c r="F12" t="str">
        <v>-</v>
      </c>
      <c r="G12" t="str">
        <v>-</v>
      </c>
    </row>
    <row r="13">
      <c r="A13">
        <v>12</v>
      </c>
      <c r="B13">
        <f>HYPERLINK("https://dongda.hanoi.gov.vn/", "UBND Ủy ban nhân dân quận Đống Đa  thành phố Hà Nội")</f>
      </c>
      <c r="C13" t="str">
        <v>https://dongda.hanoi.gov.vn/</v>
      </c>
      <c r="D13" t="str">
        <v>-</v>
      </c>
      <c r="E13" t="str">
        <v>-</v>
      </c>
      <c r="F13" t="str">
        <v>-</v>
      </c>
      <c r="G13" t="str">
        <v>-</v>
      </c>
    </row>
    <row r="14">
      <c r="A14">
        <v>13</v>
      </c>
      <c r="B14" t="str">
        <v>Công an quận Hai Bà Trưng  thành phố Hà Nội</v>
      </c>
      <c r="C14" t="str">
        <v>-</v>
      </c>
      <c r="D14" t="str">
        <v>-</v>
      </c>
      <c r="E14" t="str">
        <v/>
      </c>
      <c r="F14" t="str">
        <v>-</v>
      </c>
      <c r="G14" t="str">
        <v>-</v>
      </c>
    </row>
    <row r="15">
      <c r="A15">
        <v>14</v>
      </c>
      <c r="B15">
        <f>HYPERLINK("https://haibatrung.hanoi.gov.vn/", "UBND Ủy ban nhân dân quận Hai Bà Trưng  thành phố Hà Nội")</f>
      </c>
      <c r="C15" t="str">
        <v>https://haibatrung.hanoi.gov.vn/</v>
      </c>
      <c r="D15" t="str">
        <v>-</v>
      </c>
      <c r="E15" t="str">
        <v>-</v>
      </c>
      <c r="F15" t="str">
        <v>-</v>
      </c>
      <c r="G15" t="str">
        <v>-</v>
      </c>
    </row>
    <row r="16">
      <c r="A16">
        <v>15</v>
      </c>
      <c r="B16">
        <f>HYPERLINK("https://www.facebook.com/people/Tu%E1%BB%95i-tr%E1%BA%BB-C%C3%B4ng-an-qu%E1%BA%ADn-Ho%C3%A0ng-Mai/100021155531948/", "Công an quận Hoàng Mai  thành phố Hà Nội")</f>
      </c>
      <c r="C16" t="str">
        <v>https://www.facebook.com/people/Tu%E1%BB%95i-tr%E1%BA%BB-C%C3%B4ng-an-qu%E1%BA%ADn-Ho%C3%A0ng-Mai/100021155531948/</v>
      </c>
      <c r="D16" t="str">
        <v>-</v>
      </c>
      <c r="E16" t="str">
        <v/>
      </c>
      <c r="F16" t="str">
        <v>hoangmai.dtn@gmail.com</v>
      </c>
      <c r="G16" t="str">
        <v>Bùi Huy Bích, Hanoi, Vietnam</v>
      </c>
    </row>
    <row r="17">
      <c r="A17">
        <v>16</v>
      </c>
      <c r="B17">
        <f>HYPERLINK("http://hoangmai.hanoi.gov.vn/", "UBND Ủy ban nhân dân quận Hoàng Mai  thành phố Hà Nội")</f>
      </c>
      <c r="C17" t="str">
        <v>http://hoangmai.hanoi.gov.vn/</v>
      </c>
      <c r="D17" t="str">
        <v>-</v>
      </c>
      <c r="E17" t="str">
        <v>-</v>
      </c>
      <c r="F17" t="str">
        <v>-</v>
      </c>
      <c r="G17" t="str">
        <v>-</v>
      </c>
    </row>
    <row r="18">
      <c r="A18">
        <v>17</v>
      </c>
      <c r="B18">
        <f>HYPERLINK("https://www.facebook.com/CAQTX/", "Công an quận Thanh Xuân  thành phố Hà Nội")</f>
      </c>
      <c r="C18" t="str">
        <v>https://www.facebook.com/CAQTX/</v>
      </c>
      <c r="D18" t="str">
        <v>-</v>
      </c>
      <c r="E18" t="str">
        <v/>
      </c>
      <c r="F18" t="str">
        <v>-</v>
      </c>
      <c r="G18" t="str">
        <v>-</v>
      </c>
    </row>
    <row r="19">
      <c r="A19">
        <v>18</v>
      </c>
      <c r="B19">
        <f>HYPERLINK("https://thanhxuan.hanoi.gov.vn/", "UBND Ủy ban nhân dân quận Thanh Xuân  thành phố Hà Nội")</f>
      </c>
      <c r="C19" t="str">
        <v>https://thanhxuan.hanoi.gov.vn/</v>
      </c>
      <c r="D19" t="str">
        <v>-</v>
      </c>
      <c r="E19" t="str">
        <v>-</v>
      </c>
      <c r="F19" t="str">
        <v>-</v>
      </c>
      <c r="G19" t="str">
        <v>-</v>
      </c>
    </row>
    <row r="20">
      <c r="A20">
        <v>19</v>
      </c>
      <c r="B20" t="str">
        <v>Công an huyện Sóc Sơn  thành phố Hà Nội</v>
      </c>
      <c r="C20" t="str">
        <v>-</v>
      </c>
      <c r="D20" t="str">
        <v>-</v>
      </c>
      <c r="E20" t="str">
        <v/>
      </c>
      <c r="F20" t="str">
        <v>-</v>
      </c>
      <c r="G20" t="str">
        <v>-</v>
      </c>
    </row>
    <row r="21">
      <c r="A21">
        <v>20</v>
      </c>
      <c r="B21">
        <f>HYPERLINK("https://socson.hanoi.gov.vn/", "UBND Ủy ban nhân dân huyện Sóc Sơn  thành phố Hà Nội")</f>
      </c>
      <c r="C21" t="str">
        <v>https://socson.hanoi.gov.vn/</v>
      </c>
      <c r="D21" t="str">
        <v>-</v>
      </c>
      <c r="E21" t="str">
        <v>-</v>
      </c>
      <c r="F21" t="str">
        <v>-</v>
      </c>
      <c r="G21" t="str">
        <v>-</v>
      </c>
    </row>
    <row r="22">
      <c r="A22">
        <v>21</v>
      </c>
      <c r="B22">
        <f>HYPERLINK("https://www.facebook.com/TTCAHDongAnh/?locale=vi_VN", "Công an huyện Đông Anh  thành phố Hà Nội")</f>
      </c>
      <c r="C22" t="str">
        <v>https://www.facebook.com/TTCAHDongAnh/?locale=vi_VN</v>
      </c>
      <c r="D22" t="str">
        <v>-</v>
      </c>
      <c r="E22" t="str">
        <v/>
      </c>
      <c r="F22" t="str">
        <v>-</v>
      </c>
      <c r="G22" t="str">
        <v>-</v>
      </c>
    </row>
    <row r="23">
      <c r="A23">
        <v>22</v>
      </c>
      <c r="B23">
        <f>HYPERLINK("https://donganh.hanoi.gov.vn/", "UBND Ủy ban nhân dân huyện Đông Anh  thành phố Hà Nội")</f>
      </c>
      <c r="C23" t="str">
        <v>https://donganh.hanoi.gov.vn/</v>
      </c>
      <c r="D23" t="str">
        <v>-</v>
      </c>
      <c r="E23" t="str">
        <v>-</v>
      </c>
      <c r="F23" t="str">
        <v>-</v>
      </c>
      <c r="G23" t="str">
        <v>-</v>
      </c>
    </row>
    <row r="24">
      <c r="A24">
        <v>23</v>
      </c>
      <c r="B24" t="str">
        <v>Công an huyện Gia Lâm  thành phố Hà Nội</v>
      </c>
      <c r="C24" t="str">
        <v>-</v>
      </c>
      <c r="D24" t="str">
        <v>-</v>
      </c>
      <c r="E24" t="str">
        <v/>
      </c>
      <c r="F24" t="str">
        <v>-</v>
      </c>
      <c r="G24" t="str">
        <v>-</v>
      </c>
    </row>
    <row r="25">
      <c r="A25">
        <v>24</v>
      </c>
      <c r="B25">
        <f>HYPERLINK("http://gialam.hanoi.gov.vn/", "UBND Ủy ban nhân dân huyện Gia Lâm  thành phố Hà Nội")</f>
      </c>
      <c r="C25" t="str">
        <v>http://gialam.hanoi.gov.vn/</v>
      </c>
      <c r="D25" t="str">
        <v>-</v>
      </c>
      <c r="E25" t="str">
        <v>-</v>
      </c>
      <c r="F25" t="str">
        <v>-</v>
      </c>
      <c r="G25" t="str">
        <v>-</v>
      </c>
    </row>
    <row r="26">
      <c r="A26">
        <v>25</v>
      </c>
      <c r="B26" t="str">
        <v>Công an quận Nam Từ Liêm  thành phố Hà Nội</v>
      </c>
      <c r="C26" t="str">
        <v>-</v>
      </c>
      <c r="D26" t="str">
        <v>-</v>
      </c>
      <c r="E26" t="str">
        <v/>
      </c>
      <c r="F26" t="str">
        <v>-</v>
      </c>
      <c r="G26" t="str">
        <v>-</v>
      </c>
    </row>
    <row r="27">
      <c r="A27">
        <v>26</v>
      </c>
      <c r="B27">
        <f>HYPERLINK("https://namtuliem.hanoi.gov.vn/", "UBND Ủy ban nhân dân quận Nam Từ Liêm  thành phố Hà Nội")</f>
      </c>
      <c r="C27" t="str">
        <v>https://namtuliem.hanoi.gov.vn/</v>
      </c>
      <c r="D27" t="str">
        <v>-</v>
      </c>
      <c r="E27" t="str">
        <v>-</v>
      </c>
      <c r="F27" t="str">
        <v>-</v>
      </c>
      <c r="G27" t="str">
        <v>-</v>
      </c>
    </row>
    <row r="28">
      <c r="A28">
        <v>27</v>
      </c>
      <c r="B28">
        <f>HYPERLINK("https://www.facebook.com/TuoitreConganhuyenThanhTri/", "Công an huyện Thanh Trì  thành phố Hà Nội")</f>
      </c>
      <c r="C28" t="str">
        <v>https://www.facebook.com/TuoitreConganhuyenThanhTri/</v>
      </c>
      <c r="D28" t="str">
        <v>-</v>
      </c>
      <c r="E28" t="str">
        <v/>
      </c>
      <c r="F28" t="str">
        <v>-</v>
      </c>
      <c r="G28" t="str">
        <v>-</v>
      </c>
    </row>
    <row r="29">
      <c r="A29">
        <v>28</v>
      </c>
      <c r="B29">
        <f>HYPERLINK("https://thanhtri.hanoi.gov.vn/", "UBND Ủy ban nhân dân huyện Thanh Trì  thành phố Hà Nội")</f>
      </c>
      <c r="C29" t="str">
        <v>https://thanhtri.hanoi.gov.vn/</v>
      </c>
      <c r="D29" t="str">
        <v>-</v>
      </c>
      <c r="E29" t="str">
        <v>-</v>
      </c>
      <c r="F29" t="str">
        <v>-</v>
      </c>
      <c r="G29" t="str">
        <v>-</v>
      </c>
    </row>
    <row r="30">
      <c r="A30">
        <v>29</v>
      </c>
      <c r="B30">
        <f>HYPERLINK("https://www.facebook.com/p/Tu%E1%BB%95i-tr%E1%BA%BB-C%C3%B4ng-an-qu%E1%BA%ADn-B%E1%BA%AFc-T%E1%BB%AB-Li%C3%AAm-100071346134775/", "Công an quận Bắc Từ Liêm  thành phố Hà Nội")</f>
      </c>
      <c r="C30" t="str">
        <v>https://www.facebook.com/p/Tu%E1%BB%95i-tr%E1%BA%BB-C%C3%B4ng-an-qu%E1%BA%ADn-B%E1%BA%AFc-T%E1%BB%AB-Li%C3%AAm-100071346134775/</v>
      </c>
      <c r="D30" t="str">
        <v>-</v>
      </c>
      <c r="E30" t="str">
        <v/>
      </c>
      <c r="F30" t="str">
        <v>-</v>
      </c>
      <c r="G30" t="str">
        <v>-</v>
      </c>
    </row>
    <row r="31">
      <c r="A31">
        <v>30</v>
      </c>
      <c r="B31">
        <f>HYPERLINK("https://bactuliem.hanoi.gov.vn/", "UBND Ủy ban nhân dân quận Bắc Từ Liêm  thành phố Hà Nội")</f>
      </c>
      <c r="C31" t="str">
        <v>https://bactuliem.hanoi.gov.vn/</v>
      </c>
      <c r="D31" t="str">
        <v>-</v>
      </c>
      <c r="E31" t="str">
        <v>-</v>
      </c>
      <c r="F31" t="str">
        <v>-</v>
      </c>
      <c r="G31" t="str">
        <v>-</v>
      </c>
    </row>
    <row r="32">
      <c r="A32">
        <v>31</v>
      </c>
      <c r="B32">
        <f>HYPERLINK("https://www.facebook.com/p/Tu%E1%BB%95i-tr%E1%BA%BB-C%C3%B4ng-an-huy%E1%BB%87n-M%C3%AA-Linh-100072183319533/?locale=vi_VN", "Công an huyện Mê Linh  thành phố Hà Nội")</f>
      </c>
      <c r="C32" t="str">
        <v>https://www.facebook.com/p/Tu%E1%BB%95i-tr%E1%BA%BB-C%C3%B4ng-an-huy%E1%BB%87n-M%C3%AA-Linh-100072183319533/?locale=vi_VN</v>
      </c>
      <c r="D32" t="str">
        <v>-</v>
      </c>
      <c r="E32" t="str">
        <v/>
      </c>
      <c r="F32" t="str">
        <v>-</v>
      </c>
      <c r="G32" t="str">
        <v>-</v>
      </c>
    </row>
    <row r="33">
      <c r="A33">
        <v>32</v>
      </c>
      <c r="B33">
        <f>HYPERLINK("https://melinh.hanoi.gov.vn/", "UBND Ủy ban nhân dân huyện Mê Linh  thành phố Hà Nội")</f>
      </c>
      <c r="C33" t="str">
        <v>https://melinh.hanoi.gov.vn/</v>
      </c>
      <c r="D33" t="str">
        <v>-</v>
      </c>
      <c r="E33" t="str">
        <v>-</v>
      </c>
      <c r="F33" t="str">
        <v>-</v>
      </c>
      <c r="G33" t="str">
        <v>-</v>
      </c>
    </row>
    <row r="34">
      <c r="A34">
        <v>33</v>
      </c>
      <c r="B34">
        <f>HYPERLINK("https://www.facebook.com/tuoitreconganquanhadong/?locale=vi_VN", "Công an quận Hà Đông  thành phố Hà Nội")</f>
      </c>
      <c r="C34" t="str">
        <v>https://www.facebook.com/tuoitreconganquanhadong/?locale=vi_VN</v>
      </c>
      <c r="D34" t="str">
        <v>-</v>
      </c>
      <c r="E34" t="str">
        <v/>
      </c>
      <c r="F34" t="str">
        <v>-</v>
      </c>
      <c r="G34" t="str">
        <v>-</v>
      </c>
    </row>
    <row r="35">
      <c r="A35">
        <v>34</v>
      </c>
      <c r="B35">
        <f>HYPERLINK("https://hadong.hanoi.gov.vn/", "UBND Ủy ban nhân dân quận Hà Đông  thành phố Hà Nội")</f>
      </c>
      <c r="C35" t="str">
        <v>https://hadong.hanoi.gov.vn/</v>
      </c>
      <c r="D35" t="str">
        <v>-</v>
      </c>
      <c r="E35" t="str">
        <v>-</v>
      </c>
      <c r="F35" t="str">
        <v>-</v>
      </c>
      <c r="G35" t="str">
        <v>-</v>
      </c>
    </row>
    <row r="36">
      <c r="A36">
        <v>35</v>
      </c>
      <c r="B36">
        <f>HYPERLINK("https://www.facebook.com/tuoitreconganBaVi/", "Công an huyện Ba Vì  thành phố Hà Nội")</f>
      </c>
      <c r="C36" t="str">
        <v>https://www.facebook.com/tuoitreconganBaVi/</v>
      </c>
      <c r="D36" t="str">
        <v>-</v>
      </c>
      <c r="E36" t="str">
        <v/>
      </c>
      <c r="F36" t="str">
        <v>-</v>
      </c>
      <c r="G36" t="str">
        <v>-</v>
      </c>
    </row>
    <row r="37">
      <c r="A37">
        <v>36</v>
      </c>
      <c r="B37">
        <f>HYPERLINK("https://bavi.hanoi.gov.vn/", "UBND Ủy ban nhân dân huyện Ba Vì  thành phố Hà Nội")</f>
      </c>
      <c r="C37" t="str">
        <v>https://bavi.hanoi.gov.vn/</v>
      </c>
      <c r="D37" t="str">
        <v>-</v>
      </c>
      <c r="E37" t="str">
        <v>-</v>
      </c>
      <c r="F37" t="str">
        <v>-</v>
      </c>
      <c r="G37" t="str">
        <v>-</v>
      </c>
    </row>
    <row r="38">
      <c r="A38">
        <v>37</v>
      </c>
      <c r="B38">
        <f>HYPERLINK("https://www.facebook.com/p/Tu%E1%BB%95i-tr%E1%BA%BB-C%C3%B4ng-an-huy%E1%BB%87n-Ph%C3%BAc-Th%E1%BB%8D-100066934373551/", "Công an huyện Phúc Thọ  thành phố Hà Nội")</f>
      </c>
      <c r="C38" t="str">
        <v>https://www.facebook.com/p/Tu%E1%BB%95i-tr%E1%BA%BB-C%C3%B4ng-an-huy%E1%BB%87n-Ph%C3%BAc-Th%E1%BB%8D-100066934373551/</v>
      </c>
      <c r="D38" t="str">
        <v>-</v>
      </c>
      <c r="E38" t="str">
        <v/>
      </c>
      <c r="F38" t="str">
        <v>-</v>
      </c>
      <c r="G38" t="str">
        <v>-</v>
      </c>
    </row>
    <row r="39">
      <c r="A39">
        <v>38</v>
      </c>
      <c r="B39">
        <f>HYPERLINK("https://phuctho.hanoi.gov.vn/", "UBND Ủy ban nhân dân huyện Phúc Thọ  thành phố Hà Nội")</f>
      </c>
      <c r="C39" t="str">
        <v>https://phuctho.hanoi.gov.vn/</v>
      </c>
      <c r="D39" t="str">
        <v>-</v>
      </c>
      <c r="E39" t="str">
        <v>-</v>
      </c>
      <c r="F39" t="str">
        <v>-</v>
      </c>
      <c r="G39" t="str">
        <v>-</v>
      </c>
    </row>
    <row r="40">
      <c r="A40">
        <v>39</v>
      </c>
      <c r="B40">
        <f>HYPERLINK("https://www.facebook.com/dtncahdanphuong/?locale=vi_VN", "Công an huyện Đan Phượng  thành phố Hà Nội")</f>
      </c>
      <c r="C40" t="str">
        <v>https://www.facebook.com/dtncahdanphuong/?locale=vi_VN</v>
      </c>
      <c r="D40" t="str">
        <v>-</v>
      </c>
      <c r="E40" t="str">
        <v/>
      </c>
      <c r="F40" t="str">
        <v>-</v>
      </c>
      <c r="G40" t="str">
        <v>-</v>
      </c>
    </row>
    <row r="41">
      <c r="A41">
        <v>40</v>
      </c>
      <c r="B41">
        <f>HYPERLINK("https://danphuong.hanoi.gov.vn/", "UBND Ủy ban nhân dân huyện Đan Phượng  thành phố Hà Nội")</f>
      </c>
      <c r="C41" t="str">
        <v>https://danphuong.hanoi.gov.vn/</v>
      </c>
      <c r="D41" t="str">
        <v>-</v>
      </c>
      <c r="E41" t="str">
        <v>-</v>
      </c>
      <c r="F41" t="str">
        <v>-</v>
      </c>
      <c r="G41" t="str">
        <v>-</v>
      </c>
    </row>
    <row r="42">
      <c r="A42">
        <v>41</v>
      </c>
      <c r="B42">
        <f>HYPERLINK("https://www.facebook.com/CAHHoaiDuc/", "Công an huyện Hoài Đức  thành phố Hà Nội")</f>
      </c>
      <c r="C42" t="str">
        <v>https://www.facebook.com/CAHHoaiDuc/</v>
      </c>
      <c r="D42" t="str">
        <v>-</v>
      </c>
      <c r="E42" t="str">
        <v/>
      </c>
      <c r="F42" t="str">
        <v>-</v>
      </c>
      <c r="G42" t="str">
        <v>-</v>
      </c>
    </row>
    <row r="43">
      <c r="A43">
        <v>42</v>
      </c>
      <c r="B43">
        <f>HYPERLINK("http://hoaiduc.hanoi.gov.vn/", "UBND Ủy ban nhân dân huyện Hoài Đức  thành phố Hà Nội")</f>
      </c>
      <c r="C43" t="str">
        <v>http://hoaiduc.hanoi.gov.vn/</v>
      </c>
      <c r="D43" t="str">
        <v>-</v>
      </c>
      <c r="E43" t="str">
        <v>-</v>
      </c>
      <c r="F43" t="str">
        <v>-</v>
      </c>
      <c r="G43" t="str">
        <v>-</v>
      </c>
    </row>
    <row r="44">
      <c r="A44">
        <v>43</v>
      </c>
      <c r="B44">
        <f>HYPERLINK("https://www.facebook.com/tuoitreconganhuyenQuocOai/?locale=fy_NL", "Công an huyện Quốc Oai  thành phố Hà Nội")</f>
      </c>
      <c r="C44" t="str">
        <v>https://www.facebook.com/tuoitreconganhuyenQuocOai/?locale=fy_NL</v>
      </c>
      <c r="D44" t="str">
        <v>-</v>
      </c>
      <c r="E44" t="str">
        <v/>
      </c>
      <c r="F44" t="str">
        <v>-</v>
      </c>
      <c r="G44" t="str">
        <v>-</v>
      </c>
    </row>
    <row r="45">
      <c r="A45">
        <v>44</v>
      </c>
      <c r="B45">
        <f>HYPERLINK("https://quocoai.hanoi.gov.vn/", "UBND Ủy ban nhân dân huyện Quốc Oai  thành phố Hà Nội")</f>
      </c>
      <c r="C45" t="str">
        <v>https://quocoai.hanoi.gov.vn/</v>
      </c>
      <c r="D45" t="str">
        <v>-</v>
      </c>
      <c r="E45" t="str">
        <v>-</v>
      </c>
      <c r="F45" t="str">
        <v>-</v>
      </c>
      <c r="G45" t="str">
        <v>-</v>
      </c>
    </row>
    <row r="46">
      <c r="A46">
        <v>45</v>
      </c>
      <c r="B46">
        <f>HYPERLINK("https://www.facebook.com/tuoitreconganhuyenThachThat/", "Công an huyện Thạch Thất  thành phố Hà Nội")</f>
      </c>
      <c r="C46" t="str">
        <v>https://www.facebook.com/tuoitreconganhuyenThachThat/</v>
      </c>
      <c r="D46" t="str">
        <v>-</v>
      </c>
      <c r="E46" t="str">
        <v/>
      </c>
      <c r="F46" t="str">
        <v>-</v>
      </c>
      <c r="G46" t="str">
        <v>-</v>
      </c>
    </row>
    <row r="47">
      <c r="A47">
        <v>46</v>
      </c>
      <c r="B47">
        <f>HYPERLINK("https://thachthat.hanoi.gov.vn/", "UBND Ủy ban nhân dân huyện Thạch Thất  thành phố Hà Nội")</f>
      </c>
      <c r="C47" t="str">
        <v>https://thachthat.hanoi.gov.vn/</v>
      </c>
      <c r="D47" t="str">
        <v>-</v>
      </c>
      <c r="E47" t="str">
        <v>-</v>
      </c>
      <c r="F47" t="str">
        <v>-</v>
      </c>
      <c r="G47" t="str">
        <v>-</v>
      </c>
    </row>
    <row r="48">
      <c r="A48">
        <v>47</v>
      </c>
      <c r="B48">
        <f>HYPERLINK("https://www.facebook.com/p/Tu%E1%BB%95i-Tr%E1%BA%BB-C%C3%B4ng-An-Huy%E1%BB%87n-Ch%C6%B0%C6%A1ng-M%E1%BB%B9-100028578047777/", "Công an huyện Chương Mỹ  thành phố Hà Nội")</f>
      </c>
      <c r="C48" t="str">
        <v>https://www.facebook.com/p/Tu%E1%BB%95i-Tr%E1%BA%BB-C%C3%B4ng-An-Huy%E1%BB%87n-Ch%C6%B0%C6%A1ng-M%E1%BB%B9-100028578047777/</v>
      </c>
      <c r="D48" t="str">
        <v>-</v>
      </c>
      <c r="E48" t="str">
        <v/>
      </c>
      <c r="F48" t="str">
        <v>-</v>
      </c>
      <c r="G48" t="str">
        <v>-</v>
      </c>
    </row>
    <row r="49">
      <c r="A49">
        <v>48</v>
      </c>
      <c r="B49">
        <f>HYPERLINK("https://chuongmy.hanoi.gov.vn/", "UBND Ủy ban nhân dân huyện Chương Mỹ  thành phố Hà Nội")</f>
      </c>
      <c r="C49" t="str">
        <v>https://chuongmy.hanoi.gov.vn/</v>
      </c>
      <c r="D49" t="str">
        <v>-</v>
      </c>
      <c r="E49" t="str">
        <v>-</v>
      </c>
      <c r="F49" t="str">
        <v>-</v>
      </c>
      <c r="G49" t="str">
        <v>-</v>
      </c>
    </row>
    <row r="50">
      <c r="A50">
        <v>49</v>
      </c>
      <c r="B50">
        <f>HYPERLINK("https://www.facebook.com/p/Tu%E1%BB%95i-Tr%E1%BA%BB-C%C3%B4ng-An-Huy%E1%BB%87n-Thanh-Oai-100059080037701/", "Công an huyện Thanh Oai  thành phố Hà Nội")</f>
      </c>
      <c r="C50" t="str">
        <v>https://www.facebook.com/p/Tu%E1%BB%95i-Tr%E1%BA%BB-C%C3%B4ng-An-Huy%E1%BB%87n-Thanh-Oai-100059080037701/</v>
      </c>
      <c r="D50" t="str">
        <v>-</v>
      </c>
      <c r="E50" t="str">
        <v/>
      </c>
      <c r="F50" t="str">
        <v>-</v>
      </c>
      <c r="G50" t="str">
        <v>-</v>
      </c>
    </row>
    <row r="51">
      <c r="A51">
        <v>50</v>
      </c>
      <c r="B51">
        <f>HYPERLINK("https://thanhoai.hanoi.gov.vn/", "UBND Ủy ban nhân dân huyện Thanh Oai  thành phố Hà Nội")</f>
      </c>
      <c r="C51" t="str">
        <v>https://thanhoai.hanoi.gov.vn/</v>
      </c>
      <c r="D51" t="str">
        <v>-</v>
      </c>
      <c r="E51" t="str">
        <v>-</v>
      </c>
      <c r="F51" t="str">
        <v>-</v>
      </c>
      <c r="G51" t="str">
        <v>-</v>
      </c>
    </row>
    <row r="52">
      <c r="A52">
        <v>51</v>
      </c>
      <c r="B52" t="str">
        <v>Công an huyện Thường Tín  thành phố Hà Nội</v>
      </c>
      <c r="C52" t="str">
        <v>-</v>
      </c>
      <c r="D52" t="str">
        <v>-</v>
      </c>
      <c r="E52" t="str">
        <v/>
      </c>
      <c r="F52" t="str">
        <v>-</v>
      </c>
      <c r="G52" t="str">
        <v>-</v>
      </c>
    </row>
    <row r="53">
      <c r="A53">
        <v>52</v>
      </c>
      <c r="B53">
        <f>HYPERLINK("http://thuongtin.hanoi.gov.vn/", "UBND Ủy ban nhân dân huyện Thường Tín  thành phố Hà Nội")</f>
      </c>
      <c r="C53" t="str">
        <v>http://thuongtin.hanoi.gov.vn/</v>
      </c>
      <c r="D53" t="str">
        <v>-</v>
      </c>
      <c r="E53" t="str">
        <v>-</v>
      </c>
      <c r="F53" t="str">
        <v>-</v>
      </c>
      <c r="G53" t="str">
        <v>-</v>
      </c>
    </row>
    <row r="54">
      <c r="A54">
        <v>53</v>
      </c>
      <c r="B54">
        <f>HYPERLINK("https://www.facebook.com/TuoitreConganhuyenPhuXuyen/", "Công an huyện Phú Xuyên  thành phố Hà Nội")</f>
      </c>
      <c r="C54" t="str">
        <v>https://www.facebook.com/TuoitreConganhuyenPhuXuyen/</v>
      </c>
      <c r="D54" t="str">
        <v>-</v>
      </c>
      <c r="E54" t="str">
        <v/>
      </c>
      <c r="F54" t="str">
        <v>-</v>
      </c>
      <c r="G54" t="str">
        <v>-</v>
      </c>
    </row>
    <row r="55">
      <c r="A55">
        <v>54</v>
      </c>
      <c r="B55">
        <f>HYPERLINK("http://phuxuyen.hanoi.gov.vn/", "UBND Ủy ban nhân dân huyện Phú Xuyên  thành phố Hà Nội")</f>
      </c>
      <c r="C55" t="str">
        <v>http://phuxuyen.hanoi.gov.vn/</v>
      </c>
      <c r="D55" t="str">
        <v>-</v>
      </c>
      <c r="E55" t="str">
        <v>-</v>
      </c>
      <c r="F55" t="str">
        <v>-</v>
      </c>
      <c r="G55" t="str">
        <v>-</v>
      </c>
    </row>
    <row r="56">
      <c r="A56">
        <v>55</v>
      </c>
      <c r="B56">
        <f>HYPERLINK("https://www.facebook.com/cahunghoa.hanoi/?locale=vi_VN", "Công an huyện Ứng Hòa  thành phố Hà Nội")</f>
      </c>
      <c r="C56" t="str">
        <v>https://www.facebook.com/cahunghoa.hanoi/?locale=vi_VN</v>
      </c>
      <c r="D56" t="str">
        <v>-</v>
      </c>
      <c r="E56" t="str">
        <v/>
      </c>
      <c r="F56" t="str">
        <v>-</v>
      </c>
      <c r="G56" t="str">
        <v>-</v>
      </c>
    </row>
    <row r="57">
      <c r="A57">
        <v>56</v>
      </c>
      <c r="B57">
        <f>HYPERLINK("https://dichvucong.gov.vn/p/home/dvc-tthc-bonganh-tinhtp.html?id2=390217&amp;name2=UBND%20huy%E1%BB%87n%20%E1%BB%A8ng%20H%C3%B2a&amp;name1=UBND%20Th%C3%A0nh%20ph%E1%BB%91%20H%C3%A0%20N%E1%BB%99i&amp;id1=389181&amp;type_tinh_bo=2&amp;lan=2", "UBND Ủy ban nhân dân huyện Ứng Hòa  thành phố Hà Nội")</f>
      </c>
      <c r="C57" t="str">
        <v>https://dichvucong.gov.vn/p/home/dvc-tthc-bonganh-tinhtp.html?id2=390217&amp;name2=UBND%20huy%E1%BB%87n%20%E1%BB%A8ng%20H%C3%B2a&amp;name1=UBND%20Th%C3%A0nh%20ph%E1%BB%91%20H%C3%A0%20N%E1%BB%99i&amp;id1=389181&amp;type_tinh_bo=2&amp;lan=2</v>
      </c>
      <c r="D57" t="str">
        <v>-</v>
      </c>
      <c r="E57" t="str">
        <v>-</v>
      </c>
      <c r="F57" t="str">
        <v>-</v>
      </c>
      <c r="G57" t="str">
        <v>-</v>
      </c>
    </row>
    <row r="58">
      <c r="A58">
        <v>57</v>
      </c>
      <c r="B58" t="str">
        <v>Công an huyện Mỹ Đức  thành phố Hà Nội</v>
      </c>
      <c r="C58" t="str">
        <v>-</v>
      </c>
      <c r="D58" t="str">
        <v>-</v>
      </c>
      <c r="E58" t="str">
        <v/>
      </c>
      <c r="F58" t="str">
        <v>-</v>
      </c>
      <c r="G58" t="str">
        <v>-</v>
      </c>
    </row>
    <row r="59">
      <c r="A59">
        <v>58</v>
      </c>
      <c r="B59">
        <f>HYPERLINK("http://myduc.hanoi.gov.vn/", "UBND Ủy ban nhân dân huyện Mỹ Đức  thành phố Hà Nội")</f>
      </c>
      <c r="C59" t="str">
        <v>http://myduc.hanoi.gov.vn/</v>
      </c>
      <c r="D59" t="str">
        <v>-</v>
      </c>
      <c r="E59" t="str">
        <v>-</v>
      </c>
      <c r="F59" t="str">
        <v>-</v>
      </c>
      <c r="G59" t="str">
        <v>-</v>
      </c>
    </row>
    <row r="60">
      <c r="A60">
        <v>59</v>
      </c>
      <c r="B60">
        <f>HYPERLINK("https://www.facebook.com/congantinhhagiang/?locale=vi_VN", "Công an thành phố Hà Giang  tỉnh Hà Giang")</f>
      </c>
      <c r="C60" t="str">
        <v>https://www.facebook.com/congantinhhagiang/?locale=vi_VN</v>
      </c>
      <c r="D60" t="str">
        <v>-</v>
      </c>
      <c r="E60" t="str">
        <v/>
      </c>
      <c r="F60" t="str">
        <v>-</v>
      </c>
      <c r="G60" t="str">
        <v>-</v>
      </c>
    </row>
    <row r="61">
      <c r="A61">
        <v>60</v>
      </c>
      <c r="B61">
        <f>HYPERLINK("https://thanhpho.hagiang.gov.vn/", "UBND Ủy ban nhân dân thành phố Hà Giang  tỉnh Hà Giang")</f>
      </c>
      <c r="C61" t="str">
        <v>https://thanhpho.hagiang.gov.vn/</v>
      </c>
      <c r="D61" t="str">
        <v>-</v>
      </c>
      <c r="E61" t="str">
        <v>-</v>
      </c>
      <c r="F61" t="str">
        <v>-</v>
      </c>
      <c r="G61" t="str">
        <v>-</v>
      </c>
    </row>
    <row r="62">
      <c r="A62">
        <v>61</v>
      </c>
      <c r="B62">
        <f>HYPERLINK("https://www.facebook.com/dongvan2021/", "Công an huyện Đồng Văn  tỉnh Hà Giang")</f>
      </c>
      <c r="C62" t="str">
        <v>https://www.facebook.com/dongvan2021/</v>
      </c>
      <c r="D62" t="str">
        <v>-</v>
      </c>
      <c r="E62" t="str">
        <v/>
      </c>
      <c r="F62" t="str">
        <v>-</v>
      </c>
      <c r="G62" t="str">
        <v>-</v>
      </c>
    </row>
    <row r="63">
      <c r="A63">
        <v>62</v>
      </c>
      <c r="B63">
        <f>HYPERLINK("https://dongvan.hagiang.gov.vn/", "UBND Ủy ban nhân dân huyện Đồng Văn  tỉnh Hà Giang")</f>
      </c>
      <c r="C63" t="str">
        <v>https://dongvan.hagiang.gov.vn/</v>
      </c>
      <c r="D63" t="str">
        <v>-</v>
      </c>
      <c r="E63" t="str">
        <v>-</v>
      </c>
      <c r="F63" t="str">
        <v>-</v>
      </c>
      <c r="G63" t="str">
        <v>-</v>
      </c>
    </row>
    <row r="64">
      <c r="A64">
        <v>63</v>
      </c>
      <c r="B64" t="str">
        <v>Công an huyện Mèo Vạc  tỉnh Hà Giang</v>
      </c>
      <c r="C64" t="str">
        <v>-</v>
      </c>
      <c r="D64" t="str">
        <v>-</v>
      </c>
      <c r="E64" t="str">
        <v/>
      </c>
      <c r="F64" t="str">
        <v>-</v>
      </c>
      <c r="G64" t="str">
        <v>-</v>
      </c>
    </row>
    <row r="65">
      <c r="A65">
        <v>64</v>
      </c>
      <c r="B65">
        <f>HYPERLINK("https://meovac.hagiang.gov.vn/vi/trang-chu", "UBND Ủy ban nhân dân huyện Mèo Vạc  tỉnh Hà Giang")</f>
      </c>
      <c r="C65" t="str">
        <v>https://meovac.hagiang.gov.vn/vi/trang-chu</v>
      </c>
      <c r="D65" t="str">
        <v>-</v>
      </c>
      <c r="E65" t="str">
        <v>-</v>
      </c>
      <c r="F65" t="str">
        <v>-</v>
      </c>
      <c r="G65" t="str">
        <v>-</v>
      </c>
    </row>
    <row r="66">
      <c r="A66">
        <v>65</v>
      </c>
      <c r="B66" t="str">
        <v>Công an huyện Yên Minh  tỉnh Hà Giang</v>
      </c>
      <c r="C66" t="str">
        <v>-</v>
      </c>
      <c r="D66" t="str">
        <v>-</v>
      </c>
      <c r="E66" t="str">
        <v/>
      </c>
      <c r="F66" t="str">
        <v>-</v>
      </c>
      <c r="G66" t="str">
        <v>-</v>
      </c>
    </row>
    <row r="67">
      <c r="A67">
        <v>66</v>
      </c>
      <c r="B67">
        <f>HYPERLINK("https://yenminh.hagiang.gov.vn/", "UBND Ủy ban nhân dân huyện Yên Minh  tỉnh Hà Giang")</f>
      </c>
      <c r="C67" t="str">
        <v>https://yenminh.hagiang.gov.vn/</v>
      </c>
      <c r="D67" t="str">
        <v>-</v>
      </c>
      <c r="E67" t="str">
        <v>-</v>
      </c>
      <c r="F67" t="str">
        <v>-</v>
      </c>
      <c r="G67" t="str">
        <v>-</v>
      </c>
    </row>
    <row r="68">
      <c r="A68">
        <v>67</v>
      </c>
      <c r="B68" t="str">
        <v>Công an huyện Quản Bạ  tỉnh Hà Giang</v>
      </c>
      <c r="C68" t="str">
        <v>-</v>
      </c>
      <c r="D68" t="str">
        <v>-</v>
      </c>
      <c r="E68" t="str">
        <v/>
      </c>
      <c r="F68" t="str">
        <v>-</v>
      </c>
      <c r="G68" t="str">
        <v>-</v>
      </c>
    </row>
    <row r="69">
      <c r="A69">
        <v>68</v>
      </c>
      <c r="B69">
        <f>HYPERLINK("https://quanba.hagiang.gov.vn/vi/trang-chu", "UBND Ủy ban nhân dân huyện Quản Bạ  tỉnh Hà Giang")</f>
      </c>
      <c r="C69" t="str">
        <v>https://quanba.hagiang.gov.vn/vi/trang-chu</v>
      </c>
      <c r="D69" t="str">
        <v>-</v>
      </c>
      <c r="E69" t="str">
        <v>-</v>
      </c>
      <c r="F69" t="str">
        <v>-</v>
      </c>
      <c r="G69" t="str">
        <v>-</v>
      </c>
    </row>
    <row r="70">
      <c r="A70">
        <v>69</v>
      </c>
      <c r="B70" t="str">
        <v>Công an huyện Vị Xuyên  tỉnh Hà Giang</v>
      </c>
      <c r="C70" t="str">
        <v>-</v>
      </c>
      <c r="D70" t="str">
        <v>-</v>
      </c>
      <c r="E70" t="str">
        <v/>
      </c>
      <c r="F70" t="str">
        <v>-</v>
      </c>
      <c r="G70" t="str">
        <v>-</v>
      </c>
    </row>
    <row r="71">
      <c r="A71">
        <v>70</v>
      </c>
      <c r="B71">
        <f>HYPERLINK("https://vixuyen.hagiang.gov.vn/", "UBND Ủy ban nhân dân huyện Vị Xuyên  tỉnh Hà Giang")</f>
      </c>
      <c r="C71" t="str">
        <v>https://vixuyen.hagiang.gov.vn/</v>
      </c>
      <c r="D71" t="str">
        <v>-</v>
      </c>
      <c r="E71" t="str">
        <v>-</v>
      </c>
      <c r="F71" t="str">
        <v>-</v>
      </c>
      <c r="G71" t="str">
        <v>-</v>
      </c>
    </row>
    <row r="72">
      <c r="A72">
        <v>71</v>
      </c>
      <c r="B72" t="str">
        <v>Công an huyện Bắc Mê  tỉnh Hà Giang</v>
      </c>
      <c r="C72" t="str">
        <v>-</v>
      </c>
      <c r="D72" t="str">
        <v>-</v>
      </c>
      <c r="E72" t="str">
        <v/>
      </c>
      <c r="F72" t="str">
        <v>-</v>
      </c>
      <c r="G72" t="str">
        <v>-</v>
      </c>
    </row>
    <row r="73">
      <c r="A73">
        <v>72</v>
      </c>
      <c r="B73">
        <f>HYPERLINK("https://bacme.hagiang.gov.vn/", "UBND Ủy ban nhân dân huyện Bắc Mê  tỉnh Hà Giang")</f>
      </c>
      <c r="C73" t="str">
        <v>https://bacme.hagiang.gov.vn/</v>
      </c>
      <c r="D73" t="str">
        <v>-</v>
      </c>
      <c r="E73" t="str">
        <v>-</v>
      </c>
      <c r="F73" t="str">
        <v>-</v>
      </c>
      <c r="G73" t="str">
        <v>-</v>
      </c>
    </row>
    <row r="74">
      <c r="A74">
        <v>73</v>
      </c>
      <c r="B74" t="str">
        <v>Công an huyện Hoàng Su Phì  tỉnh Hà Giang</v>
      </c>
      <c r="C74" t="str">
        <v>-</v>
      </c>
      <c r="D74" t="str">
        <v>-</v>
      </c>
      <c r="E74" t="str">
        <v/>
      </c>
      <c r="F74" t="str">
        <v>-</v>
      </c>
      <c r="G74" t="str">
        <v>-</v>
      </c>
    </row>
    <row r="75">
      <c r="A75">
        <v>74</v>
      </c>
      <c r="B75">
        <f>HYPERLINK("https://hoangsuphi.hagiang.gov.vn/", "UBND Ủy ban nhân dân huyện Hoàng Su Phì  tỉnh Hà Giang")</f>
      </c>
      <c r="C75" t="str">
        <v>https://hoangsuphi.hagiang.gov.vn/</v>
      </c>
      <c r="D75" t="str">
        <v>-</v>
      </c>
      <c r="E75" t="str">
        <v>-</v>
      </c>
      <c r="F75" t="str">
        <v>-</v>
      </c>
      <c r="G75" t="str">
        <v>-</v>
      </c>
    </row>
    <row r="76">
      <c r="A76">
        <v>75</v>
      </c>
      <c r="B76" t="str">
        <v>Công an huyện Xín Mần  tỉnh Hà Giang</v>
      </c>
      <c r="C76" t="str">
        <v>-</v>
      </c>
      <c r="D76" t="str">
        <v>-</v>
      </c>
      <c r="E76" t="str">
        <v/>
      </c>
      <c r="F76" t="str">
        <v>-</v>
      </c>
      <c r="G76" t="str">
        <v>-</v>
      </c>
    </row>
    <row r="77">
      <c r="A77">
        <v>76</v>
      </c>
      <c r="B77">
        <f>HYPERLINK("https://xinman.hagiang.gov.vn/", "UBND Ủy ban nhân dân huyện Xín Mần  tỉnh Hà Giang")</f>
      </c>
      <c r="C77" t="str">
        <v>https://xinman.hagiang.gov.vn/</v>
      </c>
      <c r="D77" t="str">
        <v>-</v>
      </c>
      <c r="E77" t="str">
        <v>-</v>
      </c>
      <c r="F77" t="str">
        <v>-</v>
      </c>
      <c r="G77" t="str">
        <v>-</v>
      </c>
    </row>
    <row r="78">
      <c r="A78">
        <v>77</v>
      </c>
      <c r="B78" t="str">
        <v>Công an huyện Bắc Quang  tỉnh Hà Giang</v>
      </c>
      <c r="C78" t="str">
        <v>-</v>
      </c>
      <c r="D78" t="str">
        <v>-</v>
      </c>
      <c r="E78" t="str">
        <v/>
      </c>
      <c r="F78" t="str">
        <v>-</v>
      </c>
      <c r="G78" t="str">
        <v>-</v>
      </c>
    </row>
    <row r="79">
      <c r="A79">
        <v>78</v>
      </c>
      <c r="B79">
        <f>HYPERLINK("http://bacquang.hagiang.gov.vn/", "UBND Ủy ban nhân dân huyện Bắc Quang  tỉnh Hà Giang")</f>
      </c>
      <c r="C79" t="str">
        <v>http://bacquang.hagiang.gov.vn/</v>
      </c>
      <c r="D79" t="str">
        <v>-</v>
      </c>
      <c r="E79" t="str">
        <v>-</v>
      </c>
      <c r="F79" t="str">
        <v>-</v>
      </c>
      <c r="G79" t="str">
        <v>-</v>
      </c>
    </row>
    <row r="80">
      <c r="A80">
        <v>79</v>
      </c>
      <c r="B80">
        <f>HYPERLINK("https://www.facebook.com/tuoitreconganquangbinh/", "Công an huyện Quang Bình  tỉnh Hà Giang")</f>
      </c>
      <c r="C80" t="str">
        <v>https://www.facebook.com/tuoitreconganquangbinh/</v>
      </c>
      <c r="D80" t="str">
        <v>-</v>
      </c>
      <c r="E80" t="str">
        <v/>
      </c>
      <c r="F80" t="str">
        <v>-</v>
      </c>
      <c r="G80" t="str">
        <v>-</v>
      </c>
    </row>
    <row r="81">
      <c r="A81">
        <v>80</v>
      </c>
      <c r="B81">
        <f>HYPERLINK("https://quangbinh.hagiang.gov.vn/", "UBND Ủy ban nhân dân huyện Quang Bình  tỉnh Hà Giang")</f>
      </c>
      <c r="C81" t="str">
        <v>https://quangbinh.hagiang.gov.vn/</v>
      </c>
      <c r="D81" t="str">
        <v>-</v>
      </c>
      <c r="E81" t="str">
        <v>-</v>
      </c>
      <c r="F81" t="str">
        <v>-</v>
      </c>
      <c r="G81" t="str">
        <v>-</v>
      </c>
    </row>
    <row r="82">
      <c r="A82">
        <v>81</v>
      </c>
      <c r="B82">
        <f>HYPERLINK("https://www.facebook.com/p/C%C3%B4ng-an-th%C3%A0nh-ph%E1%BB%91-Cao-B%E1%BA%B1ng-100068975147129/", "Công an thành phố Cao Bằng  tỉnh Cao Bằng")</f>
      </c>
      <c r="C82" t="str">
        <v>https://www.facebook.com/p/C%C3%B4ng-an-th%C3%A0nh-ph%E1%BB%91-Cao-B%E1%BA%B1ng-100068975147129/</v>
      </c>
      <c r="D82" t="str">
        <v>-</v>
      </c>
      <c r="E82" t="str">
        <v/>
      </c>
      <c r="F82" t="str">
        <v>-</v>
      </c>
      <c r="G82" t="str">
        <v>-</v>
      </c>
    </row>
    <row r="83">
      <c r="A83">
        <v>82</v>
      </c>
      <c r="B83">
        <f>HYPERLINK("https://ubndtp.caobang.gov.vn/", "UBND Ủy ban nhân dân thành phố Cao Bằng  tỉnh Cao Bằng")</f>
      </c>
      <c r="C83" t="str">
        <v>https://ubndtp.caobang.gov.vn/</v>
      </c>
      <c r="D83" t="str">
        <v>-</v>
      </c>
      <c r="E83" t="str">
        <v>-</v>
      </c>
      <c r="F83" t="str">
        <v>-</v>
      </c>
      <c r="G83" t="str">
        <v>-</v>
      </c>
    </row>
    <row r="84">
      <c r="A84">
        <v>83</v>
      </c>
      <c r="B84">
        <f>HYPERLINK("https://www.facebook.com/p/C%C3%B4ng-an-huy%E1%BB%87n-B%E1%BA%A3o-L%C3%A2m-Cao-B%E1%BA%B1ng-100083205493107/", "Công an huyện Bảo Lâm  tỉnh Cao Bằng")</f>
      </c>
      <c r="C84" t="str">
        <v>https://www.facebook.com/p/C%C3%B4ng-an-huy%E1%BB%87n-B%E1%BA%A3o-L%C3%A2m-Cao-B%E1%BA%B1ng-100083205493107/</v>
      </c>
      <c r="D84" t="str">
        <v>-</v>
      </c>
      <c r="E84" t="str">
        <v/>
      </c>
      <c r="F84" t="str">
        <v>-</v>
      </c>
      <c r="G84" t="str">
        <v>-</v>
      </c>
    </row>
    <row r="85">
      <c r="A85">
        <v>84</v>
      </c>
      <c r="B85">
        <f>HYPERLINK("https://baolam.caobang.gov.vn/", "UBND Ủy ban nhân dân huyện Bảo Lâm  tỉnh Cao Bằng")</f>
      </c>
      <c r="C85" t="str">
        <v>https://baolam.caobang.gov.vn/</v>
      </c>
      <c r="D85" t="str">
        <v>-</v>
      </c>
      <c r="E85" t="str">
        <v>-</v>
      </c>
      <c r="F85" t="str">
        <v>-</v>
      </c>
      <c r="G85" t="str">
        <v>-</v>
      </c>
    </row>
    <row r="86">
      <c r="A86">
        <v>85</v>
      </c>
      <c r="B86">
        <f>HYPERLINK("https://www.facebook.com/p/C%C3%B4ng-an-huy%E1%BB%87n-B%E1%BA%A3o-L%E1%BA%A1c-100070790086759/", "Công an huyện Bảo Lạc  tỉnh Cao Bằng")</f>
      </c>
      <c r="C86" t="str">
        <v>https://www.facebook.com/p/C%C3%B4ng-an-huy%E1%BB%87n-B%E1%BA%A3o-L%E1%BA%A1c-100070790086759/</v>
      </c>
      <c r="D86" t="str">
        <v>-</v>
      </c>
      <c r="E86" t="str">
        <v/>
      </c>
      <c r="F86" t="str">
        <v>-</v>
      </c>
      <c r="G86" t="str">
        <v>-</v>
      </c>
    </row>
    <row r="87">
      <c r="A87">
        <v>86</v>
      </c>
      <c r="B87">
        <f>HYPERLINK("https://baolac.caobang.gov.vn/", "UBND Ủy ban nhân dân huyện Bảo Lạc  tỉnh Cao Bằng")</f>
      </c>
      <c r="C87" t="str">
        <v>https://baolac.caobang.gov.vn/</v>
      </c>
      <c r="D87" t="str">
        <v>-</v>
      </c>
      <c r="E87" t="str">
        <v>-</v>
      </c>
      <c r="F87" t="str">
        <v>-</v>
      </c>
      <c r="G87" t="str">
        <v>-</v>
      </c>
    </row>
    <row r="88">
      <c r="A88">
        <v>87</v>
      </c>
      <c r="B88">
        <f>HYPERLINK("https://www.facebook.com/p/C%C3%B4ng-an-huy%E1%BB%87n-Nguy%C3%AAn-B%C3%ACnh-Cao-B%E1%BA%B1ng-100082142734672/", "Công an huyện Thông Nông  tỉnh Cao Bằng")</f>
      </c>
      <c r="C88" t="str">
        <v>https://www.facebook.com/p/C%C3%B4ng-an-huy%E1%BB%87n-Nguy%C3%AAn-B%C3%ACnh-Cao-B%E1%BA%B1ng-100082142734672/</v>
      </c>
      <c r="D88" t="str">
        <v>-</v>
      </c>
      <c r="E88" t="str">
        <v/>
      </c>
      <c r="F88" t="str">
        <v>-</v>
      </c>
      <c r="G88" t="str">
        <v>-</v>
      </c>
    </row>
    <row r="89">
      <c r="A89">
        <v>88</v>
      </c>
      <c r="B89">
        <f>HYPERLINK("https://haquang.caobang.gov.vn/", "UBND Ủy ban nhân dân huyện Thông Nông  tỉnh Cao Bằng")</f>
      </c>
      <c r="C89" t="str">
        <v>https://haquang.caobang.gov.vn/</v>
      </c>
      <c r="D89" t="str">
        <v>-</v>
      </c>
      <c r="E89" t="str">
        <v>-</v>
      </c>
      <c r="F89" t="str">
        <v>-</v>
      </c>
      <c r="G89" t="str">
        <v>-</v>
      </c>
    </row>
    <row r="90">
      <c r="A90">
        <v>89</v>
      </c>
      <c r="B90">
        <f>HYPERLINK("https://www.facebook.com/p/C%C3%B4ng-an-huy%E1%BB%87n-H%C3%A0-Qu%E1%BA%A3ng-100066390109350/", "Công an huyện Hà Quảng  tỉnh Cao Bằng")</f>
      </c>
      <c r="C90" t="str">
        <v>https://www.facebook.com/p/C%C3%B4ng-an-huy%E1%BB%87n-H%C3%A0-Qu%E1%BA%A3ng-100066390109350/</v>
      </c>
      <c r="D90" t="str">
        <v>-</v>
      </c>
      <c r="E90" t="str">
        <v/>
      </c>
      <c r="F90" t="str">
        <v>-</v>
      </c>
      <c r="G90" t="str">
        <v>-</v>
      </c>
    </row>
    <row r="91">
      <c r="A91">
        <v>90</v>
      </c>
      <c r="B91">
        <f>HYPERLINK("https://haquang.caobang.gov.vn/", "UBND Ủy ban nhân dân huyện Hà Quảng  tỉnh Cao Bằng")</f>
      </c>
      <c r="C91" t="str">
        <v>https://haquang.caobang.gov.vn/</v>
      </c>
      <c r="D91" t="str">
        <v>-</v>
      </c>
      <c r="E91" t="str">
        <v>-</v>
      </c>
      <c r="F91" t="str">
        <v>-</v>
      </c>
      <c r="G91" t="str">
        <v>-</v>
      </c>
    </row>
    <row r="92">
      <c r="A92">
        <v>91</v>
      </c>
      <c r="B92" t="str">
        <v>Công an huyện Trà Lĩnh  tỉnh Cao Bằng</v>
      </c>
      <c r="C92" t="str">
        <v>-</v>
      </c>
      <c r="D92" t="str">
        <v>-</v>
      </c>
      <c r="E92" t="str">
        <v/>
      </c>
      <c r="F92" t="str">
        <v>-</v>
      </c>
      <c r="G92" t="str">
        <v>-</v>
      </c>
    </row>
    <row r="93">
      <c r="A93">
        <v>92</v>
      </c>
      <c r="B93">
        <f>HYPERLINK("http://tralinh.trungkhanh.caobang.gov.vn/", "UBND Ủy ban nhân dân huyện Trà Lĩnh  tỉnh Cao Bằng")</f>
      </c>
      <c r="C93" t="str">
        <v>http://tralinh.trungkhanh.caobang.gov.vn/</v>
      </c>
      <c r="D93" t="str">
        <v>-</v>
      </c>
      <c r="E93" t="str">
        <v>-</v>
      </c>
      <c r="F93" t="str">
        <v>-</v>
      </c>
      <c r="G93" t="str">
        <v>-</v>
      </c>
    </row>
    <row r="94">
      <c r="A94">
        <v>93</v>
      </c>
      <c r="B94">
        <f>HYPERLINK("https://www.facebook.com/p/C%C3%B4ng-an-huy%E1%BB%87n-Tr%C3%B9ng-Kh%C3%A1nh-Cao-B%E1%BA%B1ng-100067421203974/", "Công an huyện Trùng Khánh  tỉnh Cao Bằng")</f>
      </c>
      <c r="C94" t="str">
        <v>https://www.facebook.com/p/C%C3%B4ng-an-huy%E1%BB%87n-Tr%C3%B9ng-Kh%C3%A1nh-Cao-B%E1%BA%B1ng-100067421203974/</v>
      </c>
      <c r="D94" t="str">
        <v>-</v>
      </c>
      <c r="E94" t="str">
        <v/>
      </c>
      <c r="F94" t="str">
        <v>-</v>
      </c>
      <c r="G94" t="str">
        <v>-</v>
      </c>
    </row>
    <row r="95">
      <c r="A95">
        <v>94</v>
      </c>
      <c r="B95">
        <f>HYPERLINK("https://trungkhanh.caobang.gov.vn/", "UBND Ủy ban nhân dân huyện Trùng Khánh  tỉnh Cao Bằng")</f>
      </c>
      <c r="C95" t="str">
        <v>https://trungkhanh.caobang.gov.vn/</v>
      </c>
      <c r="D95" t="str">
        <v>-</v>
      </c>
      <c r="E95" t="str">
        <v>-</v>
      </c>
      <c r="F95" t="str">
        <v>-</v>
      </c>
      <c r="G95" t="str">
        <v>-</v>
      </c>
    </row>
    <row r="96">
      <c r="A96">
        <v>95</v>
      </c>
      <c r="B96">
        <f>HYPERLINK("https://www.facebook.com/conganhuyenhalangcaobang/", "Công an huyện Hạ Lang  tỉnh Cao Bằng")</f>
      </c>
      <c r="C96" t="str">
        <v>https://www.facebook.com/conganhuyenhalangcaobang/</v>
      </c>
      <c r="D96" t="str">
        <v>-</v>
      </c>
      <c r="E96" t="str">
        <v/>
      </c>
      <c r="F96" t="str">
        <v>-</v>
      </c>
      <c r="G96" t="str">
        <v>-</v>
      </c>
    </row>
    <row r="97">
      <c r="A97">
        <v>96</v>
      </c>
      <c r="B97">
        <f>HYPERLINK("https://halang.caobang.gov.vn/", "UBND Ủy ban nhân dân huyện Hạ Lang  tỉnh Cao Bằng")</f>
      </c>
      <c r="C97" t="str">
        <v>https://halang.caobang.gov.vn/</v>
      </c>
      <c r="D97" t="str">
        <v>-</v>
      </c>
      <c r="E97" t="str">
        <v>-</v>
      </c>
      <c r="F97" t="str">
        <v>-</v>
      </c>
      <c r="G97" t="str">
        <v>-</v>
      </c>
    </row>
    <row r="98">
      <c r="A98">
        <v>97</v>
      </c>
      <c r="B98">
        <f>HYPERLINK("https://www.facebook.com/p/C%C3%B4ng-an-Huy%E1%BB%87n-Qu%E1%BA%A3ng-Ho%C3%A0-100066298073486/", "Công an huyện Quảng Uyên  tỉnh Cao Bằng")</f>
      </c>
      <c r="C98" t="str">
        <v>https://www.facebook.com/p/C%C3%B4ng-an-Huy%E1%BB%87n-Qu%E1%BA%A3ng-Ho%C3%A0-100066298073486/</v>
      </c>
      <c r="D98" t="str">
        <v>-</v>
      </c>
      <c r="E98" t="str">
        <v/>
      </c>
      <c r="F98" t="str">
        <v>-</v>
      </c>
      <c r="G98" t="str">
        <v>-</v>
      </c>
    </row>
    <row r="99">
      <c r="A99">
        <v>98</v>
      </c>
      <c r="B99">
        <f>HYPERLINK("https://quanghoa.caobang.gov.vn/", "UBND Ủy ban nhân dân huyện Quảng Uyên  tỉnh Cao Bằng")</f>
      </c>
      <c r="C99" t="str">
        <v>https://quanghoa.caobang.gov.vn/</v>
      </c>
      <c r="D99" t="str">
        <v>-</v>
      </c>
      <c r="E99" t="str">
        <v>-</v>
      </c>
      <c r="F99" t="str">
        <v>-</v>
      </c>
      <c r="G99" t="str">
        <v>-</v>
      </c>
    </row>
    <row r="100">
      <c r="A100">
        <v>99</v>
      </c>
      <c r="B100" t="str">
        <v>Công an huyện Phục Hoà  tỉnh Cao Bằng</v>
      </c>
      <c r="C100" t="str">
        <v>-</v>
      </c>
      <c r="D100" t="str">
        <v>-</v>
      </c>
      <c r="E100" t="str">
        <v/>
      </c>
      <c r="F100" t="str">
        <v>-</v>
      </c>
      <c r="G100" t="str">
        <v>-</v>
      </c>
    </row>
    <row r="101">
      <c r="A101">
        <v>100</v>
      </c>
      <c r="B101">
        <f>HYPERLINK("https://quanghoa.caobang.gov.vn/", "UBND Ủy ban nhân dân huyện Phục Hoà  tỉnh Cao Bằng")</f>
      </c>
      <c r="C101" t="str">
        <v>https://quanghoa.caobang.gov.vn/</v>
      </c>
      <c r="D101" t="str">
        <v>-</v>
      </c>
      <c r="E101" t="str">
        <v>-</v>
      </c>
      <c r="F101" t="str">
        <v>-</v>
      </c>
      <c r="G101" t="str">
        <v>-</v>
      </c>
    </row>
    <row r="102">
      <c r="A102">
        <v>101</v>
      </c>
      <c r="B102">
        <f>HYPERLINK("https://www.facebook.com/CAHoaAnCB/", "Công an huyện Hoà An  tỉnh Cao Bằng")</f>
      </c>
      <c r="C102" t="str">
        <v>https://www.facebook.com/CAHoaAnCB/</v>
      </c>
      <c r="D102" t="str">
        <v>-</v>
      </c>
      <c r="E102" t="str">
        <v/>
      </c>
      <c r="F102" t="str">
        <v>-</v>
      </c>
      <c r="G102" t="str">
        <v>-</v>
      </c>
    </row>
    <row r="103">
      <c r="A103">
        <v>102</v>
      </c>
      <c r="B103">
        <f>HYPERLINK("https://hoaan.caobang.gov.vn/", "UBND Ủy ban nhân dân huyện Hoà An  tỉnh Cao Bằng")</f>
      </c>
      <c r="C103" t="str">
        <v>https://hoaan.caobang.gov.vn/</v>
      </c>
      <c r="D103" t="str">
        <v>-</v>
      </c>
      <c r="E103" t="str">
        <v>-</v>
      </c>
      <c r="F103" t="str">
        <v>-</v>
      </c>
      <c r="G103" t="str">
        <v>-</v>
      </c>
    </row>
    <row r="104">
      <c r="A104">
        <v>103</v>
      </c>
      <c r="B104">
        <f>HYPERLINK("https://www.facebook.com/p/C%C3%B4ng-an-huy%E1%BB%87n-Nguy%C3%AAn-B%C3%ACnh-Cao-B%E1%BA%B1ng-100082142734672/", "Công an huyện Nguyên Bình  tỉnh Cao Bằng")</f>
      </c>
      <c r="C104" t="str">
        <v>https://www.facebook.com/p/C%C3%B4ng-an-huy%E1%BB%87n-Nguy%C3%AAn-B%C3%ACnh-Cao-B%E1%BA%B1ng-100082142734672/</v>
      </c>
      <c r="D104" t="str">
        <v>-</v>
      </c>
      <c r="E104" t="str">
        <v/>
      </c>
      <c r="F104" t="str">
        <v>-</v>
      </c>
      <c r="G104" t="str">
        <v>-</v>
      </c>
    </row>
    <row r="105">
      <c r="A105">
        <v>104</v>
      </c>
      <c r="B105">
        <f>HYPERLINK("https://nguyenbinh.caobang.gov.vn/", "UBND Ủy ban nhân dân huyện Nguyên Bình  tỉnh Cao Bằng")</f>
      </c>
      <c r="C105" t="str">
        <v>https://nguyenbinh.caobang.gov.vn/</v>
      </c>
      <c r="D105" t="str">
        <v>-</v>
      </c>
      <c r="E105" t="str">
        <v>-</v>
      </c>
      <c r="F105" t="str">
        <v>-</v>
      </c>
      <c r="G105" t="str">
        <v>-</v>
      </c>
    </row>
    <row r="106">
      <c r="A106">
        <v>105</v>
      </c>
      <c r="B106">
        <f>HYPERLINK("https://www.facebook.com/p/C%C3%B4ng-an-huy%E1%BB%87n-Th%E1%BA%A1ch-An-Cao-B%E1%BA%B1ng-100079759901874/", "Công an huyện Thạch An  tỉnh Cao Bằng")</f>
      </c>
      <c r="C106" t="str">
        <v>https://www.facebook.com/p/C%C3%B4ng-an-huy%E1%BB%87n-Th%E1%BA%A1ch-An-Cao-B%E1%BA%B1ng-100079759901874/</v>
      </c>
      <c r="D106" t="str">
        <v>-</v>
      </c>
      <c r="E106" t="str">
        <v/>
      </c>
      <c r="F106" t="str">
        <v>-</v>
      </c>
      <c r="G106" t="str">
        <v>-</v>
      </c>
    </row>
    <row r="107">
      <c r="A107">
        <v>106</v>
      </c>
      <c r="B107">
        <f>HYPERLINK("https://thachan.caobang.gov.vn/", "UBND Ủy ban nhân dân huyện Thạch An  tỉnh Cao Bằng")</f>
      </c>
      <c r="C107" t="str">
        <v>https://thachan.caobang.gov.vn/</v>
      </c>
      <c r="D107" t="str">
        <v>-</v>
      </c>
      <c r="E107" t="str">
        <v>-</v>
      </c>
      <c r="F107" t="str">
        <v>-</v>
      </c>
      <c r="G107" t="str">
        <v>-</v>
      </c>
    </row>
    <row r="108">
      <c r="A108">
        <v>107</v>
      </c>
      <c r="B108">
        <f>HYPERLINK("https://www.facebook.com/conganthanhphobackan/", "Công an thành phố Bắc Kạn  tỉnh Bắc Kạn")</f>
      </c>
      <c r="C108" t="str">
        <v>https://www.facebook.com/conganthanhphobackan/</v>
      </c>
      <c r="D108" t="str">
        <v>-</v>
      </c>
      <c r="E108" t="str">
        <v/>
      </c>
      <c r="F108" t="str">
        <v>-</v>
      </c>
      <c r="G108" t="str">
        <v>-</v>
      </c>
    </row>
    <row r="109">
      <c r="A109">
        <v>108</v>
      </c>
      <c r="B109">
        <f>HYPERLINK("https://backancity.gov.vn/", "UBND Ủy ban nhân dân thành phố Bắc Kạn  tỉnh Bắc Kạn")</f>
      </c>
      <c r="C109" t="str">
        <v>https://backancity.gov.vn/</v>
      </c>
      <c r="D109" t="str">
        <v>-</v>
      </c>
      <c r="E109" t="str">
        <v>-</v>
      </c>
      <c r="F109" t="str">
        <v>-</v>
      </c>
      <c r="G109" t="str">
        <v>-</v>
      </c>
    </row>
    <row r="110">
      <c r="A110">
        <v>109</v>
      </c>
      <c r="B110" t="str">
        <v>Công an huyện Pác Nặm  tỉnh Bắc Kạn</v>
      </c>
      <c r="C110" t="str">
        <v>-</v>
      </c>
      <c r="D110" t="str">
        <v>-</v>
      </c>
      <c r="E110" t="str">
        <v/>
      </c>
      <c r="F110" t="str">
        <v>-</v>
      </c>
      <c r="G110" t="str">
        <v>-</v>
      </c>
    </row>
    <row r="111">
      <c r="A111">
        <v>110</v>
      </c>
      <c r="B111">
        <f>HYPERLINK("https://pacnam.gov.vn/", "UBND Ủy ban nhân dân huyện Pác Nặm  tỉnh Bắc Kạn")</f>
      </c>
      <c r="C111" t="str">
        <v>https://pacnam.gov.vn/</v>
      </c>
      <c r="D111" t="str">
        <v>-</v>
      </c>
      <c r="E111" t="str">
        <v>-</v>
      </c>
      <c r="F111" t="str">
        <v>-</v>
      </c>
      <c r="G111" t="str">
        <v>-</v>
      </c>
    </row>
    <row r="112">
      <c r="A112">
        <v>111</v>
      </c>
      <c r="B112">
        <f>HYPERLINK("https://www.facebook.com/p/C%C3%B4ng-an-huy%E1%BB%87n-Ba-B%E1%BB%83-100068333659016/", "Công an huyện Ba Bể  tỉnh Bắc Kạn")</f>
      </c>
      <c r="C112" t="str">
        <v>https://www.facebook.com/p/C%C3%B4ng-an-huy%E1%BB%87n-Ba-B%E1%BB%83-100068333659016/</v>
      </c>
      <c r="D112" t="str">
        <v>-</v>
      </c>
      <c r="E112" t="str">
        <v/>
      </c>
      <c r="F112" t="str">
        <v>-</v>
      </c>
      <c r="G112" t="str">
        <v>-</v>
      </c>
    </row>
    <row r="113">
      <c r="A113">
        <v>112</v>
      </c>
      <c r="B113">
        <f>HYPERLINK("https://babe.gov.vn/", "UBND Ủy ban nhân dân huyện Ba Bể  tỉnh Bắc Kạn")</f>
      </c>
      <c r="C113" t="str">
        <v>https://babe.gov.vn/</v>
      </c>
      <c r="D113" t="str">
        <v>-</v>
      </c>
      <c r="E113" t="str">
        <v>-</v>
      </c>
      <c r="F113" t="str">
        <v>-</v>
      </c>
      <c r="G113" t="str">
        <v>-</v>
      </c>
    </row>
    <row r="114">
      <c r="A114">
        <v>113</v>
      </c>
      <c r="B114">
        <f>HYPERLINK("https://www.facebook.com/p/C%C3%B4ng-an-huy%E1%BB%87n-Ng%C3%A2n-S%C6%A1n-100076957538208/", "Công an huyện Ngân Sơn  tỉnh Bắc Kạn")</f>
      </c>
      <c r="C114" t="str">
        <v>https://www.facebook.com/p/C%C3%B4ng-an-huy%E1%BB%87n-Ng%C3%A2n-S%C6%A1n-100076957538208/</v>
      </c>
      <c r="D114" t="str">
        <v>-</v>
      </c>
      <c r="E114" t="str">
        <v/>
      </c>
      <c r="F114" t="str">
        <v>-</v>
      </c>
      <c r="G114" t="str">
        <v>-</v>
      </c>
    </row>
    <row r="115">
      <c r="A115">
        <v>114</v>
      </c>
      <c r="B115">
        <f>HYPERLINK("https://nganson.backan.gov.vn/", "UBND Ủy ban nhân dân huyện Ngân Sơn  tỉnh Bắc Kạn")</f>
      </c>
      <c r="C115" t="str">
        <v>https://nganson.backan.gov.vn/</v>
      </c>
      <c r="D115" t="str">
        <v>-</v>
      </c>
      <c r="E115" t="str">
        <v>-</v>
      </c>
      <c r="F115" t="str">
        <v>-</v>
      </c>
      <c r="G115" t="str">
        <v>-</v>
      </c>
    </row>
    <row r="116">
      <c r="A116">
        <v>115</v>
      </c>
      <c r="B116">
        <f>HYPERLINK("https://www.facebook.com/p/C%C3%94NG-AN-HUY%E1%BB%86N-B%E1%BA%A0CH-TH%C3%94NG-100067061685323/", "Công an huyện Bạch Thông  tỉnh Bắc Kạn")</f>
      </c>
      <c r="C116" t="str">
        <v>https://www.facebook.com/p/C%C3%94NG-AN-HUY%E1%BB%86N-B%E1%BA%A0CH-TH%C3%94NG-100067061685323/</v>
      </c>
      <c r="D116" t="str">
        <v>-</v>
      </c>
      <c r="E116" t="str">
        <v/>
      </c>
      <c r="F116" t="str">
        <v>-</v>
      </c>
      <c r="G116" t="str">
        <v>-</v>
      </c>
    </row>
    <row r="117">
      <c r="A117">
        <v>116</v>
      </c>
      <c r="B117">
        <f>HYPERLINK("https://bachthong.gov.vn/", "UBND Ủy ban nhân dân huyện Bạch Thông  tỉnh Bắc Kạn")</f>
      </c>
      <c r="C117" t="str">
        <v>https://bachthong.gov.vn/</v>
      </c>
      <c r="D117" t="str">
        <v>-</v>
      </c>
      <c r="E117" t="str">
        <v>-</v>
      </c>
      <c r="F117" t="str">
        <v>-</v>
      </c>
      <c r="G117" t="str">
        <v>-</v>
      </c>
    </row>
    <row r="118">
      <c r="A118">
        <v>117</v>
      </c>
      <c r="B118">
        <f>HYPERLINK("https://www.facebook.com/conganhuyenchodon/", "Công an huyện Chợ Đồn  tỉnh Bắc Kạn")</f>
      </c>
      <c r="C118" t="str">
        <v>https://www.facebook.com/conganhuyenchodon/</v>
      </c>
      <c r="D118" t="str">
        <v>-</v>
      </c>
      <c r="E118" t="str">
        <v/>
      </c>
      <c r="F118" t="str">
        <v>-</v>
      </c>
      <c r="G118" t="str">
        <v>-</v>
      </c>
    </row>
    <row r="119">
      <c r="A119">
        <v>118</v>
      </c>
      <c r="B119">
        <f>HYPERLINK("https://chodon.backan.gov.vn/", "UBND Ủy ban nhân dân huyện Chợ Đồn  tỉnh Bắc Kạn")</f>
      </c>
      <c r="C119" t="str">
        <v>https://chodon.backan.gov.vn/</v>
      </c>
      <c r="D119" t="str">
        <v>-</v>
      </c>
      <c r="E119" t="str">
        <v>-</v>
      </c>
      <c r="F119" t="str">
        <v>-</v>
      </c>
      <c r="G119" t="str">
        <v>-</v>
      </c>
    </row>
    <row r="120">
      <c r="A120">
        <v>119</v>
      </c>
      <c r="B120">
        <f>HYPERLINK("https://www.facebook.com/p/C%C3%B4ng-an-huy%E1%BB%87n-Ch%E1%BB%A3-M%E1%BB%9Bi-B%E1%BA%AFc-K%E1%BA%A1n-100077989742808/", "Công an huyện Chợ Mới  tỉnh Bắc Kạn")</f>
      </c>
      <c r="C120" t="str">
        <v>https://www.facebook.com/p/C%C3%B4ng-an-huy%E1%BB%87n-Ch%E1%BB%A3-M%E1%BB%9Bi-B%E1%BA%AFc-K%E1%BA%A1n-100077989742808/</v>
      </c>
      <c r="D120" t="str">
        <v>-</v>
      </c>
      <c r="E120" t="str">
        <v/>
      </c>
      <c r="F120" t="str">
        <v>-</v>
      </c>
      <c r="G120" t="str">
        <v>-</v>
      </c>
    </row>
    <row r="121">
      <c r="A121">
        <v>120</v>
      </c>
      <c r="B121">
        <f>HYPERLINK("https://chomoi.gov.vn/", "UBND Ủy ban nhân dân huyện Chợ Mới  tỉnh Bắc Kạn")</f>
      </c>
      <c r="C121" t="str">
        <v>https://chomoi.gov.vn/</v>
      </c>
      <c r="D121" t="str">
        <v>-</v>
      </c>
      <c r="E121" t="str">
        <v>-</v>
      </c>
      <c r="F121" t="str">
        <v>-</v>
      </c>
      <c r="G121" t="str">
        <v>-</v>
      </c>
    </row>
    <row r="122">
      <c r="A122">
        <v>121</v>
      </c>
      <c r="B122" t="str">
        <v>Công an huyện Na Rì  tỉnh Bắc Kạn</v>
      </c>
      <c r="C122" t="str">
        <v>-</v>
      </c>
      <c r="D122" t="str">
        <v>-</v>
      </c>
      <c r="E122" t="str">
        <v/>
      </c>
      <c r="F122" t="str">
        <v>-</v>
      </c>
      <c r="G122" t="str">
        <v>-</v>
      </c>
    </row>
    <row r="123">
      <c r="A123">
        <v>122</v>
      </c>
      <c r="B123">
        <f>HYPERLINK("https://nari.backan.gov.vn/category/thong-tin-tuyen-dung/", "UBND Ủy ban nhân dân huyện Na Rì  tỉnh Bắc Kạn")</f>
      </c>
      <c r="C123" t="str">
        <v>https://nari.backan.gov.vn/category/thong-tin-tuyen-dung/</v>
      </c>
      <c r="D123" t="str">
        <v>-</v>
      </c>
      <c r="E123" t="str">
        <v>-</v>
      </c>
      <c r="F123" t="str">
        <v>-</v>
      </c>
      <c r="G123" t="str">
        <v>-</v>
      </c>
    </row>
    <row r="124">
      <c r="A124">
        <v>123</v>
      </c>
      <c r="B124">
        <f>HYPERLINK("https://www.facebook.com/congantinhtuyenquang/?locale=vi_VN", "Công an thành phố Tuyên Quang  tỉnh Tuyên Quang")</f>
      </c>
      <c r="C124" t="str">
        <v>https://www.facebook.com/congantinhtuyenquang/?locale=vi_VN</v>
      </c>
      <c r="D124" t="str">
        <v>-</v>
      </c>
      <c r="E124" t="str">
        <v/>
      </c>
      <c r="F124" t="str">
        <v>-</v>
      </c>
      <c r="G124" t="str">
        <v>-</v>
      </c>
    </row>
    <row r="125">
      <c r="A125">
        <v>124</v>
      </c>
      <c r="B125">
        <f>HYPERLINK("https://thanhpho.tuyenquang.gov.vn/", "UBND Ủy ban nhân dân thành phố Tuyên Quang  tỉnh Tuyên Quang")</f>
      </c>
      <c r="C125" t="str">
        <v>https://thanhpho.tuyenquang.gov.vn/</v>
      </c>
      <c r="D125" t="str">
        <v>-</v>
      </c>
      <c r="E125" t="str">
        <v>-</v>
      </c>
      <c r="F125" t="str">
        <v>-</v>
      </c>
      <c r="G125" t="str">
        <v>-</v>
      </c>
    </row>
    <row r="126">
      <c r="A126">
        <v>125</v>
      </c>
      <c r="B126">
        <f>HYPERLINK("https://www.facebook.com/p/C%C3%94NG-AN-L%C3%82M-B%C3%8CNH-100064411584657/", "Công an huyện Lâm Bình  tỉnh Tuyên Quang")</f>
      </c>
      <c r="C126" t="str">
        <v>https://www.facebook.com/p/C%C3%94NG-AN-L%C3%82M-B%C3%8CNH-100064411584657/</v>
      </c>
      <c r="D126" t="str">
        <v>-</v>
      </c>
      <c r="E126" t="str">
        <v/>
      </c>
      <c r="F126" t="str">
        <v>-</v>
      </c>
      <c r="G126" t="str">
        <v>-</v>
      </c>
    </row>
    <row r="127">
      <c r="A127">
        <v>126</v>
      </c>
      <c r="B127">
        <f>HYPERLINK("https://lambinh.tuyenquang.gov.vn/", "UBND Ủy ban nhân dân huyện Lâm Bình  tỉnh Tuyên Quang")</f>
      </c>
      <c r="C127" t="str">
        <v>https://lambinh.tuyenquang.gov.vn/</v>
      </c>
      <c r="D127" t="str">
        <v>-</v>
      </c>
      <c r="E127" t="str">
        <v>-</v>
      </c>
      <c r="F127" t="str">
        <v>-</v>
      </c>
      <c r="G127" t="str">
        <v>-</v>
      </c>
    </row>
    <row r="128">
      <c r="A128">
        <v>127</v>
      </c>
      <c r="B128">
        <f>HYPERLINK("https://www.facebook.com/CAHNAHANG/", "Công an huyện Na Hang  tỉnh Tuyên Quang")</f>
      </c>
      <c r="C128" t="str">
        <v>https://www.facebook.com/CAHNAHANG/</v>
      </c>
      <c r="D128" t="str">
        <v>-</v>
      </c>
      <c r="E128" t="str">
        <v/>
      </c>
      <c r="F128" t="str">
        <v>-</v>
      </c>
      <c r="G128" t="str">
        <v>-</v>
      </c>
    </row>
    <row r="129">
      <c r="A129">
        <v>128</v>
      </c>
      <c r="B129">
        <f>HYPERLINK("https://nahang.tuyenquang.gov.vn/", "UBND Ủy ban nhân dân huyện Na Hang  tỉnh Tuyên Quang")</f>
      </c>
      <c r="C129" t="str">
        <v>https://nahang.tuyenquang.gov.vn/</v>
      </c>
      <c r="D129" t="str">
        <v>-</v>
      </c>
      <c r="E129" t="str">
        <v>-</v>
      </c>
      <c r="F129" t="str">
        <v>-</v>
      </c>
      <c r="G129" t="str">
        <v>-</v>
      </c>
    </row>
    <row r="130">
      <c r="A130">
        <v>129</v>
      </c>
      <c r="B130">
        <f>HYPERLINK("https://www.facebook.com/conganhuyenchiemhoa/", "Công an huyện Chiêm Hóa  tỉnh Tuyên Quang")</f>
      </c>
      <c r="C130" t="str">
        <v>https://www.facebook.com/conganhuyenchiemhoa/</v>
      </c>
      <c r="D130" t="str">
        <v>-</v>
      </c>
      <c r="E130" t="str">
        <v/>
      </c>
      <c r="F130" t="str">
        <v>-</v>
      </c>
      <c r="G130" t="str">
        <v>-</v>
      </c>
    </row>
    <row r="131">
      <c r="A131">
        <v>130</v>
      </c>
      <c r="B131">
        <f>HYPERLINK("https://chiemhoa.gov.vn/", "UBND Ủy ban nhân dân huyện Chiêm Hóa  tỉnh Tuyên Quang")</f>
      </c>
      <c r="C131" t="str">
        <v>https://chiemhoa.gov.vn/</v>
      </c>
      <c r="D131" t="str">
        <v>-</v>
      </c>
      <c r="E131" t="str">
        <v>-</v>
      </c>
      <c r="F131" t="str">
        <v>-</v>
      </c>
      <c r="G131" t="str">
        <v>-</v>
      </c>
    </row>
    <row r="132">
      <c r="A132">
        <v>131</v>
      </c>
      <c r="B132">
        <f>HYPERLINK("https://www.facebook.com/CSHSHAMYEN/?locale=vi_VN", "Công an huyện Hàm Yên  tỉnh Tuyên Quang")</f>
      </c>
      <c r="C132" t="str">
        <v>https://www.facebook.com/CSHSHAMYEN/?locale=vi_VN</v>
      </c>
      <c r="D132" t="str">
        <v>-</v>
      </c>
      <c r="E132" t="str">
        <v/>
      </c>
      <c r="F132" t="str">
        <v>-</v>
      </c>
      <c r="G132" t="str">
        <v>-</v>
      </c>
    </row>
    <row r="133">
      <c r="A133">
        <v>132</v>
      </c>
      <c r="B133">
        <f>HYPERLINK("https://hamyen.tuyenquang.gov.vn/", "UBND Ủy ban nhân dân huyện Hàm Yên  tỉnh Tuyên Quang")</f>
      </c>
      <c r="C133" t="str">
        <v>https://hamyen.tuyenquang.gov.vn/</v>
      </c>
      <c r="D133" t="str">
        <v>-</v>
      </c>
      <c r="E133" t="str">
        <v>-</v>
      </c>
      <c r="F133" t="str">
        <v>-</v>
      </c>
      <c r="G133" t="str">
        <v>-</v>
      </c>
    </row>
    <row r="134">
      <c r="A134">
        <v>133</v>
      </c>
      <c r="B134">
        <f>HYPERLINK("https://www.facebook.com/p/C%C3%B4ng-an-huy%E1%BB%87n-Y%C3%AAn-S%C6%A1n-t%E1%BB%89nh-Tuy%C3%AAn-Quang-100064458052002/", "Công an huyện Yên Sơn  tỉnh Tuyên Quang")</f>
      </c>
      <c r="C134" t="str">
        <v>https://www.facebook.com/p/C%C3%B4ng-an-huy%E1%BB%87n-Y%C3%AAn-S%C6%A1n-t%E1%BB%89nh-Tuy%C3%AAn-Quang-100064458052002/</v>
      </c>
      <c r="D134" t="str">
        <v>-</v>
      </c>
      <c r="E134" t="str">
        <v/>
      </c>
      <c r="F134" t="str">
        <v>-</v>
      </c>
      <c r="G134" t="str">
        <v>-</v>
      </c>
    </row>
    <row r="135">
      <c r="A135">
        <v>134</v>
      </c>
      <c r="B135">
        <f>HYPERLINK("https://yenson.tuyenquang.gov.vn/", "UBND Ủy ban nhân dân huyện Yên Sơn  tỉnh Tuyên Quang")</f>
      </c>
      <c r="C135" t="str">
        <v>https://yenson.tuyenquang.gov.vn/</v>
      </c>
      <c r="D135" t="str">
        <v>-</v>
      </c>
      <c r="E135" t="str">
        <v>-</v>
      </c>
      <c r="F135" t="str">
        <v>-</v>
      </c>
      <c r="G135" t="str">
        <v>-</v>
      </c>
    </row>
    <row r="136">
      <c r="A136">
        <v>135</v>
      </c>
      <c r="B136">
        <f>HYPERLINK("https://www.facebook.com/conganhuyensonduong/?locale=vi_VN", "Công an huyện Sơn Dương  tỉnh Tuyên Quang")</f>
      </c>
      <c r="C136" t="str">
        <v>https://www.facebook.com/conganhuyensonduong/?locale=vi_VN</v>
      </c>
      <c r="D136" t="str">
        <v>-</v>
      </c>
      <c r="E136" t="str">
        <v/>
      </c>
      <c r="F136" t="str">
        <v>-</v>
      </c>
      <c r="G136" t="str">
        <v>-</v>
      </c>
    </row>
    <row r="137">
      <c r="A137">
        <v>136</v>
      </c>
      <c r="B137">
        <f>HYPERLINK("http://congbao.tuyenquang.gov.vn/van-ban/noi-ban-hanh/ubnd-huyen-son-duong.html", "UBND Ủy ban nhân dân huyện Sơn Dương  tỉnh Tuyên Quang")</f>
      </c>
      <c r="C137" t="str">
        <v>http://congbao.tuyenquang.gov.vn/van-ban/noi-ban-hanh/ubnd-huyen-son-duong.html</v>
      </c>
      <c r="D137" t="str">
        <v>-</v>
      </c>
      <c r="E137" t="str">
        <v>-</v>
      </c>
      <c r="F137" t="str">
        <v>-</v>
      </c>
      <c r="G137" t="str">
        <v>-</v>
      </c>
    </row>
    <row r="138">
      <c r="A138">
        <v>137</v>
      </c>
      <c r="B138">
        <f>HYPERLINK("https://www.facebook.com/p/Tu%E1%BB%95i-tr%E1%BA%BB-C%C3%B4ng-an-th%C3%A0nh-ph%E1%BB%91-L%C3%A0o-Cai-100065690011431/", "Công an thành phố Lào Cai  tỉnh Lào Cai")</f>
      </c>
      <c r="C138" t="str">
        <v>https://www.facebook.com/p/Tu%E1%BB%95i-tr%E1%BA%BB-C%C3%B4ng-an-th%C3%A0nh-ph%E1%BB%91-L%C3%A0o-Cai-100065690011431/</v>
      </c>
      <c r="D138" t="str">
        <v>-</v>
      </c>
      <c r="E138" t="str">
        <v/>
      </c>
      <c r="F138" t="str">
        <v>-</v>
      </c>
      <c r="G138" t="str">
        <v>-</v>
      </c>
    </row>
    <row r="139">
      <c r="A139">
        <v>138</v>
      </c>
      <c r="B139">
        <f>HYPERLINK("https://tplaocai.laocai.gov.vn/", "UBND Ủy ban nhân dân thành phố Lào Cai  tỉnh Lào Cai")</f>
      </c>
      <c r="C139" t="str">
        <v>https://tplaocai.laocai.gov.vn/</v>
      </c>
      <c r="D139" t="str">
        <v>-</v>
      </c>
      <c r="E139" t="str">
        <v>-</v>
      </c>
      <c r="F139" t="str">
        <v>-</v>
      </c>
      <c r="G139" t="str">
        <v>-</v>
      </c>
    </row>
    <row r="140">
      <c r="A140">
        <v>139</v>
      </c>
      <c r="B140">
        <f>HYPERLINK("https://www.facebook.com/p/C%C3%B4ng-An-Th%E1%BB%8B-Tr%E1%BA%A5n-B%C3%A1t-X%C3%A1t-100080062719160/", "Công an huyện Bát Xát  tỉnh Lào Cai")</f>
      </c>
      <c r="C140" t="str">
        <v>https://www.facebook.com/p/C%C3%B4ng-An-Th%E1%BB%8B-Tr%E1%BA%A5n-B%C3%A1t-X%C3%A1t-100080062719160/</v>
      </c>
      <c r="D140" t="str">
        <v>-</v>
      </c>
      <c r="E140" t="str">
        <v/>
      </c>
      <c r="F140" t="str">
        <v>-</v>
      </c>
      <c r="G140" t="str">
        <v>-</v>
      </c>
    </row>
    <row r="141">
      <c r="A141">
        <v>140</v>
      </c>
      <c r="B141">
        <f>HYPERLINK("https://batxat.laocai.gov.vn/", "UBND Ủy ban nhân dân huyện Bát Xát  tỉnh Lào Cai")</f>
      </c>
      <c r="C141" t="str">
        <v>https://batxat.laocai.gov.vn/</v>
      </c>
      <c r="D141" t="str">
        <v>-</v>
      </c>
      <c r="E141" t="str">
        <v>-</v>
      </c>
      <c r="F141" t="str">
        <v>-</v>
      </c>
      <c r="G141" t="str">
        <v>-</v>
      </c>
    </row>
    <row r="142">
      <c r="A142">
        <v>141</v>
      </c>
      <c r="B142">
        <f>HYPERLINK("https://www.facebook.com/p/%C4%90o%C3%A0n-Thanh-ni%C3%AAn-C%C3%B4ng-an-huy%E1%BB%87n-M%C6%B0%E1%BB%9Dng-Kh%C6%B0%C6%A1ng-100064030693716/", "Công an huyện Mường Khương  tỉnh Lào Cai")</f>
      </c>
      <c r="C142" t="str">
        <v>https://www.facebook.com/p/%C4%90o%C3%A0n-Thanh-ni%C3%AAn-C%C3%B4ng-an-huy%E1%BB%87n-M%C6%B0%E1%BB%9Dng-Kh%C6%B0%C6%A1ng-100064030693716/</v>
      </c>
      <c r="D142" t="str">
        <v>-</v>
      </c>
      <c r="E142" t="str">
        <v/>
      </c>
      <c r="F142" t="str">
        <v>-</v>
      </c>
      <c r="G142" t="str">
        <v>-</v>
      </c>
    </row>
    <row r="143">
      <c r="A143">
        <v>142</v>
      </c>
      <c r="B143">
        <f>HYPERLINK("https://muongkhuong.laocai.gov.vn/", "UBND Ủy ban nhân dân huyện Mường Khương  tỉnh Lào Cai")</f>
      </c>
      <c r="C143" t="str">
        <v>https://muongkhuong.laocai.gov.vn/</v>
      </c>
      <c r="D143" t="str">
        <v>-</v>
      </c>
      <c r="E143" t="str">
        <v>-</v>
      </c>
      <c r="F143" t="str">
        <v>-</v>
      </c>
      <c r="G143" t="str">
        <v>-</v>
      </c>
    </row>
    <row r="144">
      <c r="A144">
        <v>143</v>
      </c>
      <c r="B144">
        <f>HYPERLINK("https://www.facebook.com/p/C%C3%B4ng-an-huy%E1%BB%87n-Si-Ma-Cai-100065263861384/", "Công an huyện Si Ma Cai  tỉnh Lào Cai")</f>
      </c>
      <c r="C144" t="str">
        <v>https://www.facebook.com/p/C%C3%B4ng-an-huy%E1%BB%87n-Si-Ma-Cai-100065263861384/</v>
      </c>
      <c r="D144" t="str">
        <v>-</v>
      </c>
      <c r="E144" t="str">
        <v/>
      </c>
      <c r="F144" t="str">
        <v>-</v>
      </c>
      <c r="G144" t="str">
        <v>-</v>
      </c>
    </row>
    <row r="145">
      <c r="A145">
        <v>144</v>
      </c>
      <c r="B145">
        <f>HYPERLINK("https://simacai.laocai.gov.vn/", "UBND Ủy ban nhân dân huyện Si Ma Cai  tỉnh Lào Cai")</f>
      </c>
      <c r="C145" t="str">
        <v>https://simacai.laocai.gov.vn/</v>
      </c>
      <c r="D145" t="str">
        <v>-</v>
      </c>
      <c r="E145" t="str">
        <v>-</v>
      </c>
      <c r="F145" t="str">
        <v>-</v>
      </c>
      <c r="G145" t="str">
        <v>-</v>
      </c>
    </row>
    <row r="146">
      <c r="A146">
        <v>145</v>
      </c>
      <c r="B146" t="str">
        <v>Công an huyện Bắc Hà  tỉnh Lào Cai</v>
      </c>
      <c r="C146" t="str">
        <v>-</v>
      </c>
      <c r="D146" t="str">
        <v>-</v>
      </c>
      <c r="E146" t="str">
        <v/>
      </c>
      <c r="F146" t="str">
        <v>-</v>
      </c>
      <c r="G146" t="str">
        <v>-</v>
      </c>
    </row>
    <row r="147">
      <c r="A147">
        <v>146</v>
      </c>
      <c r="B147">
        <f>HYPERLINK("https://bacha.laocai.gov.vn/", "UBND Ủy ban nhân dân huyện Bắc Hà  tỉnh Lào Cai")</f>
      </c>
      <c r="C147" t="str">
        <v>https://bacha.laocai.gov.vn/</v>
      </c>
      <c r="D147" t="str">
        <v>-</v>
      </c>
      <c r="E147" t="str">
        <v>-</v>
      </c>
      <c r="F147" t="str">
        <v>-</v>
      </c>
      <c r="G147" t="str">
        <v>-</v>
      </c>
    </row>
    <row r="148">
      <c r="A148">
        <v>147</v>
      </c>
      <c r="B148">
        <f>HYPERLINK("https://www.facebook.com/baothangpolice/?locale=vi_VN", "Công an huyện Bảo Thắng  tỉnh Lào Cai")</f>
      </c>
      <c r="C148" t="str">
        <v>https://www.facebook.com/baothangpolice/?locale=vi_VN</v>
      </c>
      <c r="D148" t="str">
        <v>-</v>
      </c>
      <c r="E148" t="str">
        <v/>
      </c>
      <c r="F148" t="str">
        <v>-</v>
      </c>
      <c r="G148" t="str">
        <v>-</v>
      </c>
    </row>
    <row r="149">
      <c r="A149">
        <v>148</v>
      </c>
      <c r="B149">
        <f>HYPERLINK("https://baothang.laocai.gov.vn/", "UBND Ủy ban nhân dân huyện Bảo Thắng  tỉnh Lào Cai")</f>
      </c>
      <c r="C149" t="str">
        <v>https://baothang.laocai.gov.vn/</v>
      </c>
      <c r="D149" t="str">
        <v>-</v>
      </c>
      <c r="E149" t="str">
        <v>-</v>
      </c>
      <c r="F149" t="str">
        <v>-</v>
      </c>
      <c r="G149" t="str">
        <v>-</v>
      </c>
    </row>
    <row r="150">
      <c r="A150">
        <v>149</v>
      </c>
      <c r="B150">
        <f>HYPERLINK("https://www.facebook.com/CAH.BAOYEN/", "Công an huyện Bảo Yên  tỉnh Lào Cai")</f>
      </c>
      <c r="C150" t="str">
        <v>https://www.facebook.com/CAH.BAOYEN/</v>
      </c>
      <c r="D150" t="str">
        <v>-</v>
      </c>
      <c r="E150" t="str">
        <v/>
      </c>
      <c r="F150" t="str">
        <v>-</v>
      </c>
      <c r="G150" t="str">
        <v>-</v>
      </c>
    </row>
    <row r="151">
      <c r="A151">
        <v>150</v>
      </c>
      <c r="B151">
        <f>HYPERLINK("https://baoyen.laocai.gov.vn/", "UBND Ủy ban nhân dân huyện Bảo Yên  tỉnh Lào Cai")</f>
      </c>
      <c r="C151" t="str">
        <v>https://baoyen.laocai.gov.vn/</v>
      </c>
      <c r="D151" t="str">
        <v>-</v>
      </c>
      <c r="E151" t="str">
        <v>-</v>
      </c>
      <c r="F151" t="str">
        <v>-</v>
      </c>
      <c r="G151" t="str">
        <v>-</v>
      </c>
    </row>
    <row r="152">
      <c r="A152">
        <v>151</v>
      </c>
      <c r="B152">
        <f>HYPERLINK("https://www.facebook.com/tuoitreconganBaVi/", "Công an huyện Sa Pa  tỉnh Lào Cai")</f>
      </c>
      <c r="C152" t="str">
        <v>https://www.facebook.com/tuoitreconganBaVi/</v>
      </c>
      <c r="D152" t="str">
        <v>-</v>
      </c>
      <c r="E152" t="str">
        <v/>
      </c>
      <c r="F152" t="str">
        <v>-</v>
      </c>
      <c r="G152" t="str">
        <v>-</v>
      </c>
    </row>
    <row r="153">
      <c r="A153">
        <v>152</v>
      </c>
      <c r="B153">
        <f>HYPERLINK("https://sapa.laocai.gov.vn/", "UBND Ủy ban nhân dân huyện Sa Pa  tỉnh Lào Cai")</f>
      </c>
      <c r="C153" t="str">
        <v>https://sapa.laocai.gov.vn/</v>
      </c>
      <c r="D153" t="str">
        <v>-</v>
      </c>
      <c r="E153" t="str">
        <v>-</v>
      </c>
      <c r="F153" t="str">
        <v>-</v>
      </c>
      <c r="G153" t="str">
        <v>-</v>
      </c>
    </row>
    <row r="154">
      <c r="A154">
        <v>153</v>
      </c>
      <c r="B154">
        <f>HYPERLINK("https://www.facebook.com/p/C%C3%B4ng-an-huy%E1%BB%87n-V%C4%83n-B%C3%A0n-100068908192107/", "Công an huyện Văn Bàn  tỉnh Lào Cai")</f>
      </c>
      <c r="C154" t="str">
        <v>https://www.facebook.com/p/C%C3%B4ng-an-huy%E1%BB%87n-V%C4%83n-B%C3%A0n-100068908192107/</v>
      </c>
      <c r="D154" t="str">
        <v>-</v>
      </c>
      <c r="E154" t="str">
        <v/>
      </c>
      <c r="F154" t="str">
        <v>-</v>
      </c>
      <c r="G154" t="str">
        <v>-</v>
      </c>
    </row>
    <row r="155">
      <c r="A155">
        <v>154</v>
      </c>
      <c r="B155">
        <f>HYPERLINK("https://vanban.laocai.gov.vn/", "UBND Ủy ban nhân dân huyện Văn Bàn  tỉnh Lào Cai")</f>
      </c>
      <c r="C155" t="str">
        <v>https://vanban.laocai.gov.vn/</v>
      </c>
      <c r="D155" t="str">
        <v>-</v>
      </c>
      <c r="E155" t="str">
        <v>-</v>
      </c>
      <c r="F155" t="str">
        <v>-</v>
      </c>
      <c r="G155" t="str">
        <v>-</v>
      </c>
    </row>
    <row r="156">
      <c r="A156">
        <v>155</v>
      </c>
      <c r="B156">
        <f>HYPERLINK("https://www.facebook.com/conganthanhphodienbienphu/?locale=vi_VN", "Công an thành phố Điện Biên Phủ  tỉnh Điện Biên")</f>
      </c>
      <c r="C156" t="str">
        <v>https://www.facebook.com/conganthanhphodienbienphu/?locale=vi_VN</v>
      </c>
      <c r="D156" t="str">
        <v>-</v>
      </c>
      <c r="E156" t="str">
        <v/>
      </c>
      <c r="F156" t="str">
        <v>-</v>
      </c>
      <c r="G156" t="str">
        <v>-</v>
      </c>
    </row>
    <row r="157">
      <c r="A157">
        <v>156</v>
      </c>
      <c r="B157">
        <f>HYPERLINK("https://congbao.dienbien.gov.vn/congbao/congbao.nsf/VanBan", "UBND Ủy ban nhân dân thành phố Điện Biên Phủ  tỉnh Điện Biên")</f>
      </c>
      <c r="C157" t="str">
        <v>https://congbao.dienbien.gov.vn/congbao/congbao.nsf/VanBan</v>
      </c>
      <c r="D157" t="str">
        <v>-</v>
      </c>
      <c r="E157" t="str">
        <v>-</v>
      </c>
      <c r="F157" t="str">
        <v>-</v>
      </c>
      <c r="G157" t="str">
        <v>-</v>
      </c>
    </row>
    <row r="158">
      <c r="A158">
        <v>157</v>
      </c>
      <c r="B158">
        <f>HYPERLINK("https://www.facebook.com/muongnhe.ca/?locale=vi_VN", "Công an huyện Mường Nhé  tỉnh Điện Biên")</f>
      </c>
      <c r="C158" t="str">
        <v>https://www.facebook.com/muongnhe.ca/?locale=vi_VN</v>
      </c>
      <c r="D158" t="str">
        <v>-</v>
      </c>
      <c r="E158" t="str">
        <v/>
      </c>
      <c r="F158" t="str">
        <v>-</v>
      </c>
      <c r="G158" t="str">
        <v>-</v>
      </c>
    </row>
    <row r="159">
      <c r="A159">
        <v>158</v>
      </c>
      <c r="B159">
        <f>HYPERLINK("https://muongnhe.dienbien.gov.vn/", "UBND Ủy ban nhân dân huyện Mường Nhé  tỉnh Điện Biên")</f>
      </c>
      <c r="C159" t="str">
        <v>https://muongnhe.dienbien.gov.vn/</v>
      </c>
      <c r="D159" t="str">
        <v>-</v>
      </c>
      <c r="E159" t="str">
        <v>-</v>
      </c>
      <c r="F159" t="str">
        <v>-</v>
      </c>
      <c r="G159" t="str">
        <v>-</v>
      </c>
    </row>
    <row r="160">
      <c r="A160">
        <v>159</v>
      </c>
      <c r="B160">
        <f>HYPERLINK("https://www.facebook.com/TuoiTreCongAnDienBien/", "Công an huyện Mường Chà  tỉnh Điện Biên")</f>
      </c>
      <c r="C160" t="str">
        <v>https://www.facebook.com/TuoiTreCongAnDienBien/</v>
      </c>
      <c r="D160" t="str">
        <v>-</v>
      </c>
      <c r="E160" t="str">
        <v/>
      </c>
      <c r="F160" t="str">
        <v>-</v>
      </c>
      <c r="G160" t="str">
        <v>-</v>
      </c>
    </row>
    <row r="161">
      <c r="A161">
        <v>160</v>
      </c>
      <c r="B161">
        <f>HYPERLINK("https://muongnhe.dienbien.gov.vn/", "UBND Ủy ban nhân dân huyện Mường Chà  tỉnh Điện Biên")</f>
      </c>
      <c r="C161" t="str">
        <v>https://muongnhe.dienbien.gov.vn/</v>
      </c>
      <c r="D161" t="str">
        <v>-</v>
      </c>
      <c r="E161" t="str">
        <v>-</v>
      </c>
      <c r="F161" t="str">
        <v>-</v>
      </c>
      <c r="G161" t="str">
        <v>-</v>
      </c>
    </row>
    <row r="162">
      <c r="A162">
        <v>161</v>
      </c>
      <c r="B162">
        <f>HYPERLINK("https://www.facebook.com/ConganhuyenTuaChua/", "Công an huyện Tủa Chùa  tỉnh Điện Biên")</f>
      </c>
      <c r="C162" t="str">
        <v>https://www.facebook.com/ConganhuyenTuaChua/</v>
      </c>
      <c r="D162" t="str">
        <v>-</v>
      </c>
      <c r="E162" t="str">
        <v/>
      </c>
      <c r="F162" t="str">
        <v>-</v>
      </c>
      <c r="G162" t="str">
        <v>-</v>
      </c>
    </row>
    <row r="163">
      <c r="A163">
        <v>162</v>
      </c>
      <c r="B163">
        <f>HYPERLINK("https://huyentuachua.dienbien.gov.vn/", "UBND Ủy ban nhân dân huyện Tủa Chùa  tỉnh Điện Biên")</f>
      </c>
      <c r="C163" t="str">
        <v>https://huyentuachua.dienbien.gov.vn/</v>
      </c>
      <c r="D163" t="str">
        <v>-</v>
      </c>
      <c r="E163" t="str">
        <v>-</v>
      </c>
      <c r="F163" t="str">
        <v>-</v>
      </c>
      <c r="G163" t="str">
        <v>-</v>
      </c>
    </row>
    <row r="164">
      <c r="A164">
        <v>163</v>
      </c>
      <c r="B164">
        <f>HYPERLINK("https://www.facebook.com/conganhuyentuangiao/", "Công an huyện Tuần Giáo  tỉnh Điện Biên")</f>
      </c>
      <c r="C164" t="str">
        <v>https://www.facebook.com/conganhuyentuangiao/</v>
      </c>
      <c r="D164" t="str">
        <v>-</v>
      </c>
      <c r="E164" t="str">
        <v/>
      </c>
      <c r="F164" t="str">
        <v>-</v>
      </c>
      <c r="G164" t="str">
        <v>-</v>
      </c>
    </row>
    <row r="165">
      <c r="A165">
        <v>164</v>
      </c>
      <c r="B165">
        <f>HYPERLINK("https://tuangiao.gov.vn/", "UBND Ủy ban nhân dân huyện Tuần Giáo  tỉnh Điện Biên")</f>
      </c>
      <c r="C165" t="str">
        <v>https://tuangiao.gov.vn/</v>
      </c>
      <c r="D165" t="str">
        <v>-</v>
      </c>
      <c r="E165" t="str">
        <v>-</v>
      </c>
      <c r="F165" t="str">
        <v>-</v>
      </c>
      <c r="G165" t="str">
        <v>-</v>
      </c>
    </row>
    <row r="166">
      <c r="A166">
        <v>165</v>
      </c>
      <c r="B166">
        <f>HYPERLINK("https://www.facebook.com/p/C%C3%B4ng-an-huy%E1%BB%87n-%C4%90i%E1%BB%87n-Bi%C3%AAn-100064590015562/", "Công an huyện Điện Biên  tỉnh Điện Biên")</f>
      </c>
      <c r="C166" t="str">
        <v>https://www.facebook.com/p/C%C3%B4ng-an-huy%E1%BB%87n-%C4%90i%E1%BB%87n-Bi%C3%AAn-100064590015562/</v>
      </c>
      <c r="D166" t="str">
        <v>-</v>
      </c>
      <c r="E166" t="str">
        <v/>
      </c>
      <c r="F166" t="str">
        <v>-</v>
      </c>
      <c r="G166" t="str">
        <v>-</v>
      </c>
    </row>
    <row r="167">
      <c r="A167">
        <v>166</v>
      </c>
      <c r="B167">
        <f>HYPERLINK("http://huyendienbien.gov.vn/", "UBND Ủy ban nhân dân huyện Điện Biên  tỉnh Điện Biên")</f>
      </c>
      <c r="C167" t="str">
        <v>http://huyendienbien.gov.vn/</v>
      </c>
      <c r="D167" t="str">
        <v>-</v>
      </c>
      <c r="E167" t="str">
        <v>-</v>
      </c>
      <c r="F167" t="str">
        <v>-</v>
      </c>
      <c r="G167" t="str">
        <v>-</v>
      </c>
    </row>
    <row r="168">
      <c r="A168">
        <v>167</v>
      </c>
      <c r="B168">
        <f>HYPERLINK("https://www.facebook.com/TuoiTreCongAnDienBien/", "Công an huyện Điện Biên Đông  tỉnh Điện Biên")</f>
      </c>
      <c r="C168" t="str">
        <v>https://www.facebook.com/TuoiTreCongAnDienBien/</v>
      </c>
      <c r="D168" t="str">
        <v>-</v>
      </c>
      <c r="E168" t="str">
        <v/>
      </c>
      <c r="F168" t="str">
        <v>-</v>
      </c>
      <c r="G168" t="str">
        <v>-</v>
      </c>
    </row>
    <row r="169">
      <c r="A169">
        <v>168</v>
      </c>
      <c r="B169">
        <f>HYPERLINK("https://dienbiendong.dienbien.gov.vn/", "UBND Ủy ban nhân dân huyện Điện Biên Đông  tỉnh Điện Biên")</f>
      </c>
      <c r="C169" t="str">
        <v>https://dienbiendong.dienbien.gov.vn/</v>
      </c>
      <c r="D169" t="str">
        <v>-</v>
      </c>
      <c r="E169" t="str">
        <v>-</v>
      </c>
      <c r="F169" t="str">
        <v>-</v>
      </c>
      <c r="G169" t="str">
        <v>-</v>
      </c>
    </row>
    <row r="170">
      <c r="A170">
        <v>169</v>
      </c>
      <c r="B170">
        <f>HYPERLINK("https://www.facebook.com/p/C%C3%B4ng-an-huy%E1%BB%87n-M%C6%B0%E1%BB%9Dng-%E1%BA%A2ng-100057664320652/", "Công an huyện Mường Ảng  tỉnh Điện Biên")</f>
      </c>
      <c r="C170" t="str">
        <v>https://www.facebook.com/p/C%C3%B4ng-an-huy%E1%BB%87n-M%C6%B0%E1%BB%9Dng-%E1%BA%A2ng-100057664320652/</v>
      </c>
      <c r="D170" t="str">
        <v>-</v>
      </c>
      <c r="E170" t="str">
        <v/>
      </c>
      <c r="F170" t="str">
        <v>-</v>
      </c>
      <c r="G170" t="str">
        <v>-</v>
      </c>
    </row>
    <row r="171">
      <c r="A171">
        <v>170</v>
      </c>
      <c r="B171">
        <f>HYPERLINK("https://muongang.dienbien.gov.vn/", "UBND Ủy ban nhân dân huyện Mường Ảng  tỉnh Điện Biên")</f>
      </c>
      <c r="C171" t="str">
        <v>https://muongang.dienbien.gov.vn/</v>
      </c>
      <c r="D171" t="str">
        <v>-</v>
      </c>
      <c r="E171" t="str">
        <v>-</v>
      </c>
      <c r="F171" t="str">
        <v>-</v>
      </c>
      <c r="G171" t="str">
        <v>-</v>
      </c>
    </row>
    <row r="172">
      <c r="A172">
        <v>171</v>
      </c>
      <c r="B172">
        <f>HYPERLINK("https://www.facebook.com/3857544587696583", "Công an huyện Nậm Pồ  tỉnh Điện Biên")</f>
      </c>
      <c r="C172" t="str">
        <v>https://www.facebook.com/3857544587696583</v>
      </c>
      <c r="D172" t="str">
        <v>-</v>
      </c>
      <c r="E172" t="str">
        <v/>
      </c>
      <c r="F172" t="str">
        <v>-</v>
      </c>
      <c r="G172" t="str">
        <v>-</v>
      </c>
    </row>
    <row r="173">
      <c r="A173">
        <v>172</v>
      </c>
      <c r="B173">
        <f>HYPERLINK("https://huyennampo.dienbien.gov.vn/", "UBND Ủy ban nhân dân huyện Nậm Pồ  tỉnh Điện Biên")</f>
      </c>
      <c r="C173" t="str">
        <v>https://huyennampo.dienbien.gov.vn/</v>
      </c>
      <c r="D173" t="str">
        <v>-</v>
      </c>
      <c r="E173" t="str">
        <v>-</v>
      </c>
      <c r="F173" t="str">
        <v>-</v>
      </c>
      <c r="G173" t="str">
        <v>-</v>
      </c>
    </row>
    <row r="174">
      <c r="A174">
        <v>173</v>
      </c>
      <c r="B174">
        <f>HYPERLINK("https://www.facebook.com/Conganthanhpholaichau/", "Công an thành phố Lai Châu  tỉnh Lai Châu")</f>
      </c>
      <c r="C174" t="str">
        <v>https://www.facebook.com/Conganthanhpholaichau/</v>
      </c>
      <c r="D174" t="str">
        <v>-</v>
      </c>
      <c r="E174" t="str">
        <v/>
      </c>
      <c r="F174" t="str">
        <v>-</v>
      </c>
      <c r="G174" t="str">
        <v>-</v>
      </c>
    </row>
    <row r="175">
      <c r="A175">
        <v>174</v>
      </c>
      <c r="B175">
        <f>HYPERLINK("https://thanhpho.laichau.gov.vn/", "UBND Ủy ban nhân dân thành phố Lai Châu  tỉnh Lai Châu")</f>
      </c>
      <c r="C175" t="str">
        <v>https://thanhpho.laichau.gov.vn/</v>
      </c>
      <c r="D175" t="str">
        <v>-</v>
      </c>
      <c r="E175" t="str">
        <v>-</v>
      </c>
      <c r="F175" t="str">
        <v>-</v>
      </c>
      <c r="G175" t="str">
        <v>-</v>
      </c>
    </row>
    <row r="176">
      <c r="A176">
        <v>175</v>
      </c>
      <c r="B176">
        <f>HYPERLINK("https://www.facebook.com/p/C%C3%B4ng-an-huy%E1%BB%87n-Tam-%C4%90%C6%B0%E1%BB%9Dng-t%E1%BB%89nh-Lai-Ch%C3%A2u-100077186117059/", "Công an huyện Tam Đường  tỉnh Lai Châu")</f>
      </c>
      <c r="C176" t="str">
        <v>https://www.facebook.com/p/C%C3%B4ng-an-huy%E1%BB%87n-Tam-%C4%90%C6%B0%E1%BB%9Dng-t%E1%BB%89nh-Lai-Ch%C3%A2u-100077186117059/</v>
      </c>
      <c r="D176" t="str">
        <v>-</v>
      </c>
      <c r="E176" t="str">
        <v/>
      </c>
      <c r="F176" t="str">
        <v>-</v>
      </c>
      <c r="G176" t="str">
        <v>-</v>
      </c>
    </row>
    <row r="177">
      <c r="A177">
        <v>176</v>
      </c>
      <c r="B177">
        <f>HYPERLINK("https://tamduong.laichau.gov.vn/", "UBND Ủy ban nhân dân huyện Tam Đường  tỉnh Lai Châu")</f>
      </c>
      <c r="C177" t="str">
        <v>https://tamduong.laichau.gov.vn/</v>
      </c>
      <c r="D177" t="str">
        <v>-</v>
      </c>
      <c r="E177" t="str">
        <v>-</v>
      </c>
      <c r="F177" t="str">
        <v>-</v>
      </c>
      <c r="G177" t="str">
        <v>-</v>
      </c>
    </row>
    <row r="178">
      <c r="A178">
        <v>177</v>
      </c>
      <c r="B178">
        <f>HYPERLINK("https://www.facebook.com/p/C%C3%B4ng-an-huy%E1%BB%87n-M%C6%B0%E1%BB%9Dng-T%C3%A8-100091490344974/", "Công an huyện Mường Tè  tỉnh Lai Châu")</f>
      </c>
      <c r="C178" t="str">
        <v>https://www.facebook.com/p/C%C3%B4ng-an-huy%E1%BB%87n-M%C6%B0%E1%BB%9Dng-T%C3%A8-100091490344974/</v>
      </c>
      <c r="D178" t="str">
        <v>-</v>
      </c>
      <c r="E178" t="str">
        <v/>
      </c>
      <c r="F178" t="str">
        <v>-</v>
      </c>
      <c r="G178" t="str">
        <v>-</v>
      </c>
    </row>
    <row r="179">
      <c r="A179">
        <v>178</v>
      </c>
      <c r="B179">
        <f>HYPERLINK("https://muongte.laichau.gov.vn/", "UBND Ủy ban nhân dân huyện Mường Tè  tỉnh Lai Châu")</f>
      </c>
      <c r="C179" t="str">
        <v>https://muongte.laichau.gov.vn/</v>
      </c>
      <c r="D179" t="str">
        <v>-</v>
      </c>
      <c r="E179" t="str">
        <v>-</v>
      </c>
      <c r="F179" t="str">
        <v>-</v>
      </c>
      <c r="G179" t="str">
        <v>-</v>
      </c>
    </row>
    <row r="180">
      <c r="A180">
        <v>179</v>
      </c>
      <c r="B180">
        <f>HYPERLINK("https://www.facebook.com/conganhuyensinho/", "Công an huyện Sìn Hồ  tỉnh Lai Châu")</f>
      </c>
      <c r="C180" t="str">
        <v>https://www.facebook.com/conganhuyensinho/</v>
      </c>
      <c r="D180" t="str">
        <v>-</v>
      </c>
      <c r="E180" t="str">
        <v/>
      </c>
      <c r="F180" t="str">
        <v>-</v>
      </c>
      <c r="G180" t="str">
        <v>-</v>
      </c>
    </row>
    <row r="181">
      <c r="A181">
        <v>180</v>
      </c>
      <c r="B181">
        <f>HYPERLINK("https://sinho.laichau.gov.vn/", "UBND Ủy ban nhân dân huyện Sìn Hồ  tỉnh Lai Châu")</f>
      </c>
      <c r="C181" t="str">
        <v>https://sinho.laichau.gov.vn/</v>
      </c>
      <c r="D181" t="str">
        <v>-</v>
      </c>
      <c r="E181" t="str">
        <v>-</v>
      </c>
      <c r="F181" t="str">
        <v>-</v>
      </c>
      <c r="G181" t="str">
        <v>-</v>
      </c>
    </row>
    <row r="182">
      <c r="A182">
        <v>181</v>
      </c>
      <c r="B182">
        <f>HYPERLINK("https://www.facebook.com/p/C%C3%B4ng-an-huy%E1%BB%87n-Phong-Th%E1%BB%95-t%E1%BB%89nh-Lai-Ch%C3%A2u-100067685321517/", "Công an huyện Phong Thổ  tỉnh Lai Châu")</f>
      </c>
      <c r="C182" t="str">
        <v>https://www.facebook.com/p/C%C3%B4ng-an-huy%E1%BB%87n-Phong-Th%E1%BB%95-t%E1%BB%89nh-Lai-Ch%C3%A2u-100067685321517/</v>
      </c>
      <c r="D182" t="str">
        <v>-</v>
      </c>
      <c r="E182" t="str">
        <v/>
      </c>
      <c r="F182" t="str">
        <v>-</v>
      </c>
      <c r="G182" t="str">
        <v>-</v>
      </c>
    </row>
    <row r="183">
      <c r="A183">
        <v>182</v>
      </c>
      <c r="B183">
        <f>HYPERLINK("https://phongtho.laichau.gov.vn/", "UBND Ủy ban nhân dân huyện Phong Thổ  tỉnh Lai Châu")</f>
      </c>
      <c r="C183" t="str">
        <v>https://phongtho.laichau.gov.vn/</v>
      </c>
      <c r="D183" t="str">
        <v>-</v>
      </c>
      <c r="E183" t="str">
        <v>-</v>
      </c>
      <c r="F183" t="str">
        <v>-</v>
      </c>
      <c r="G183" t="str">
        <v>-</v>
      </c>
    </row>
    <row r="184">
      <c r="A184">
        <v>183</v>
      </c>
      <c r="B184">
        <f>HYPERLINK("https://www.facebook.com/p/C%C3%B4ng-an-huy%E1%BB%87n-Than-Uy%C3%AAn-100066600894446/", "Công an huyện Than Uyên  tỉnh Lai Châu")</f>
      </c>
      <c r="C184" t="str">
        <v>https://www.facebook.com/p/C%C3%B4ng-an-huy%E1%BB%87n-Than-Uy%C3%AAn-100066600894446/</v>
      </c>
      <c r="D184" t="str">
        <v>-</v>
      </c>
      <c r="E184" t="str">
        <v/>
      </c>
      <c r="F184" t="str">
        <v>-</v>
      </c>
      <c r="G184" t="str">
        <v>-</v>
      </c>
    </row>
    <row r="185">
      <c r="A185">
        <v>184</v>
      </c>
      <c r="B185">
        <f>HYPERLINK("https://thanuyen.laichau.gov.vn/", "UBND Ủy ban nhân dân huyện Than Uyên  tỉnh Lai Châu")</f>
      </c>
      <c r="C185" t="str">
        <v>https://thanuyen.laichau.gov.vn/</v>
      </c>
      <c r="D185" t="str">
        <v>-</v>
      </c>
      <c r="E185" t="str">
        <v>-</v>
      </c>
      <c r="F185" t="str">
        <v>-</v>
      </c>
      <c r="G185" t="str">
        <v>-</v>
      </c>
    </row>
    <row r="186">
      <c r="A186">
        <v>185</v>
      </c>
      <c r="B186">
        <f>HYPERLINK("https://www.facebook.com/ConganhuyenTanUyen/", "Công an huyện Tân Uyên  tỉnh Lai Châu")</f>
      </c>
      <c r="C186" t="str">
        <v>https://www.facebook.com/ConganhuyenTanUyen/</v>
      </c>
      <c r="D186" t="str">
        <v>-</v>
      </c>
      <c r="E186" t="str">
        <v/>
      </c>
      <c r="F186" t="str">
        <v>-</v>
      </c>
      <c r="G186" t="str">
        <v>-</v>
      </c>
    </row>
    <row r="187">
      <c r="A187">
        <v>186</v>
      </c>
      <c r="B187">
        <f>HYPERLINK("https://tanuyen.laichau.gov.vn/", "UBND Ủy ban nhân dân huyện Tân Uyên  tỉnh Lai Châu")</f>
      </c>
      <c r="C187" t="str">
        <v>https://tanuyen.laichau.gov.vn/</v>
      </c>
      <c r="D187" t="str">
        <v>-</v>
      </c>
      <c r="E187" t="str">
        <v>-</v>
      </c>
      <c r="F187" t="str">
        <v>-</v>
      </c>
      <c r="G187" t="str">
        <v>-</v>
      </c>
    </row>
    <row r="188">
      <c r="A188">
        <v>187</v>
      </c>
      <c r="B188">
        <f>HYPERLINK("https://www.facebook.com/p/C%C3%B4ng-an-huy%E1%BB%87n-N%E1%BA%ADm-Nh%C3%B9n-t%E1%BB%89nh-Lai-Ch%C3%A2u-100083322993053/", "Công an huyện Nậm Nhùn  tỉnh Lai Châu")</f>
      </c>
      <c r="C188" t="str">
        <v>https://www.facebook.com/p/C%C3%B4ng-an-huy%E1%BB%87n-N%E1%BA%ADm-Nh%C3%B9n-t%E1%BB%89nh-Lai-Ch%C3%A2u-100083322993053/</v>
      </c>
      <c r="D188" t="str">
        <v>-</v>
      </c>
      <c r="E188" t="str">
        <v/>
      </c>
      <c r="F188" t="str">
        <v>-</v>
      </c>
      <c r="G188" t="str">
        <v>-</v>
      </c>
    </row>
    <row r="189">
      <c r="A189">
        <v>188</v>
      </c>
      <c r="B189">
        <f>HYPERLINK("https://namnhun.laichau.gov.vn/", "UBND Ủy ban nhân dân huyện Nậm Nhùn  tỉnh Lai Châu")</f>
      </c>
      <c r="C189" t="str">
        <v>https://namnhun.laichau.gov.vn/</v>
      </c>
      <c r="D189" t="str">
        <v>-</v>
      </c>
      <c r="E189" t="str">
        <v>-</v>
      </c>
      <c r="F189" t="str">
        <v>-</v>
      </c>
      <c r="G189" t="str">
        <v>-</v>
      </c>
    </row>
    <row r="190">
      <c r="A190">
        <v>189</v>
      </c>
      <c r="B190">
        <f>HYPERLINK("https://www.facebook.com/catpsonla/", "Công an thành phố Sơn La  tỉnh Sơn La")</f>
      </c>
      <c r="C190" t="str">
        <v>https://www.facebook.com/catpsonla/</v>
      </c>
      <c r="D190" t="str">
        <v>-</v>
      </c>
      <c r="E190" t="str">
        <v/>
      </c>
      <c r="F190" t="str">
        <v>-</v>
      </c>
      <c r="G190" t="str">
        <v>-</v>
      </c>
    </row>
    <row r="191">
      <c r="A191">
        <v>190</v>
      </c>
      <c r="B191">
        <f>HYPERLINK("https://thanhpho.sonla.gov.vn/", "UBND Ủy ban nhân dân thành phố Sơn La  tỉnh Sơn La")</f>
      </c>
      <c r="C191" t="str">
        <v>https://thanhpho.sonla.gov.vn/</v>
      </c>
      <c r="D191" t="str">
        <v>-</v>
      </c>
      <c r="E191" t="str">
        <v>-</v>
      </c>
      <c r="F191" t="str">
        <v>-</v>
      </c>
      <c r="G191" t="str">
        <v>-</v>
      </c>
    </row>
    <row r="192">
      <c r="A192">
        <v>191</v>
      </c>
      <c r="B192">
        <f>HYPERLINK("https://www.facebook.com/ConganQuynhNhai/", "Công an huyện Quỳnh Nhai  tỉnh Sơn La")</f>
      </c>
      <c r="C192" t="str">
        <v>https://www.facebook.com/ConganQuynhNhai/</v>
      </c>
      <c r="D192" t="str">
        <v>-</v>
      </c>
      <c r="E192" t="str">
        <v/>
      </c>
      <c r="F192" t="str">
        <v>-</v>
      </c>
      <c r="G192" t="str">
        <v>-</v>
      </c>
    </row>
    <row r="193">
      <c r="A193">
        <v>192</v>
      </c>
      <c r="B193">
        <f>HYPERLINK("https://quynhnhai.sonla.gov.vn/", "UBND Ủy ban nhân dân huyện Quỳnh Nhai  tỉnh Sơn La")</f>
      </c>
      <c r="C193" t="str">
        <v>https://quynhnhai.sonla.gov.vn/</v>
      </c>
      <c r="D193" t="str">
        <v>-</v>
      </c>
      <c r="E193" t="str">
        <v>-</v>
      </c>
      <c r="F193" t="str">
        <v>-</v>
      </c>
      <c r="G193" t="str">
        <v>-</v>
      </c>
    </row>
    <row r="194">
      <c r="A194">
        <v>193</v>
      </c>
      <c r="B194">
        <f>HYPERLINK("https://www.facebook.com/p/C%C3%B4ng-an-huy%E1%BB%87n-Thu%E1%BA%ADn-Ch%C3%A2u-t%E1%BB%89nh-S%C6%A1n-La-100064903382297/", "Công an huyện Thuận Châu  tỉnh Sơn La")</f>
      </c>
      <c r="C194" t="str">
        <v>https://www.facebook.com/p/C%C3%B4ng-an-huy%E1%BB%87n-Thu%E1%BA%ADn-Ch%C3%A2u-t%E1%BB%89nh-S%C6%A1n-La-100064903382297/</v>
      </c>
      <c r="D194" t="str">
        <v>-</v>
      </c>
      <c r="E194" t="str">
        <v/>
      </c>
      <c r="F194" t="str">
        <v>-</v>
      </c>
      <c r="G194" t="str">
        <v>-</v>
      </c>
    </row>
    <row r="195">
      <c r="A195">
        <v>194</v>
      </c>
      <c r="B195">
        <f>HYPERLINK("https://thuanchau.sonla.gov.vn/", "UBND Ủy ban nhân dân huyện Thuận Châu  tỉnh Sơn La")</f>
      </c>
      <c r="C195" t="str">
        <v>https://thuanchau.sonla.gov.vn/</v>
      </c>
      <c r="D195" t="str">
        <v>-</v>
      </c>
      <c r="E195" t="str">
        <v>-</v>
      </c>
      <c r="F195" t="str">
        <v>-</v>
      </c>
      <c r="G195" t="str">
        <v>-</v>
      </c>
    </row>
    <row r="196">
      <c r="A196">
        <v>195</v>
      </c>
      <c r="B196">
        <f>HYPERLINK("https://www.facebook.com/conganmuongla/", "Công an huyện Mường La  tỉnh Sơn La")</f>
      </c>
      <c r="C196" t="str">
        <v>https://www.facebook.com/conganmuongla/</v>
      </c>
      <c r="D196" t="str">
        <v>-</v>
      </c>
      <c r="E196" t="str">
        <v/>
      </c>
      <c r="F196" t="str">
        <v>-</v>
      </c>
      <c r="G196" t="str">
        <v>-</v>
      </c>
    </row>
    <row r="197">
      <c r="A197">
        <v>196</v>
      </c>
      <c r="B197">
        <f>HYPERLINK("https://muongla.sonla.gov.vn/", "UBND Ủy ban nhân dân huyện Mường La  tỉnh Sơn La")</f>
      </c>
      <c r="C197" t="str">
        <v>https://muongla.sonla.gov.vn/</v>
      </c>
      <c r="D197" t="str">
        <v>-</v>
      </c>
      <c r="E197" t="str">
        <v>-</v>
      </c>
      <c r="F197" t="str">
        <v>-</v>
      </c>
      <c r="G197" t="str">
        <v>-</v>
      </c>
    </row>
    <row r="198">
      <c r="A198">
        <v>197</v>
      </c>
      <c r="B198">
        <f>HYPERLINK("https://www.facebook.com/p/C%C3%B4ng-an-huy%E1%BB%87n-B%E1%BA%AFc-Y%C3%AAn-t%E1%BB%89nh-S%C6%A1n-La-100061229988068/", "Công an huyện Bắc Yên  tỉnh Sơn La")</f>
      </c>
      <c r="C198" t="str">
        <v>https://www.facebook.com/p/C%C3%B4ng-an-huy%E1%BB%87n-B%E1%BA%AFc-Y%C3%AAn-t%E1%BB%89nh-S%C6%A1n-La-100061229988068/</v>
      </c>
      <c r="D198" t="str">
        <v>-</v>
      </c>
      <c r="E198" t="str">
        <v/>
      </c>
      <c r="F198" t="str">
        <v>-</v>
      </c>
      <c r="G198" t="str">
        <v>-</v>
      </c>
    </row>
    <row r="199">
      <c r="A199">
        <v>198</v>
      </c>
      <c r="B199">
        <f>HYPERLINK("https://bacyen.sonla.gov.vn/", "UBND Ủy ban nhân dân huyện Bắc Yên  tỉnh Sơn La")</f>
      </c>
      <c r="C199" t="str">
        <v>https://bacyen.sonla.gov.vn/</v>
      </c>
      <c r="D199" t="str">
        <v>-</v>
      </c>
      <c r="E199" t="str">
        <v>-</v>
      </c>
      <c r="F199" t="str">
        <v>-</v>
      </c>
      <c r="G199" t="str">
        <v>-</v>
      </c>
    </row>
    <row r="200">
      <c r="A200">
        <v>199</v>
      </c>
      <c r="B200">
        <f>HYPERLINK("https://www.facebook.com/conganhuyenphuyen/?locale=vi_VN", "Công an huyện Phù Yên  tỉnh Sơn La")</f>
      </c>
      <c r="C200" t="str">
        <v>https://www.facebook.com/conganhuyenphuyen/?locale=vi_VN</v>
      </c>
      <c r="D200" t="str">
        <v>-</v>
      </c>
      <c r="E200" t="str">
        <v/>
      </c>
      <c r="F200" t="str">
        <v>-</v>
      </c>
      <c r="G200" t="str">
        <v>-</v>
      </c>
    </row>
    <row r="201">
      <c r="A201">
        <v>200</v>
      </c>
      <c r="B201">
        <f>HYPERLINK("https://phuyen.sonla.gov.vn/", "UBND Ủy ban nhân dân huyện Phù Yên  tỉnh Sơn La")</f>
      </c>
      <c r="C201" t="str">
        <v>https://phuyen.sonla.gov.vn/</v>
      </c>
      <c r="D201" t="str">
        <v>-</v>
      </c>
      <c r="E201" t="str">
        <v>-</v>
      </c>
      <c r="F201" t="str">
        <v>-</v>
      </c>
      <c r="G201" t="str">
        <v>-</v>
      </c>
    </row>
    <row r="202">
      <c r="A202">
        <v>201</v>
      </c>
      <c r="B202">
        <f>HYPERLINK("https://www.facebook.com/ConganhuyenMocChau/?locale=vi_VN", "Công an huyện Mộc Châu  tỉnh Sơn La")</f>
      </c>
      <c r="C202" t="str">
        <v>https://www.facebook.com/ConganhuyenMocChau/?locale=vi_VN</v>
      </c>
      <c r="D202" t="str">
        <v>-</v>
      </c>
      <c r="E202" t="str">
        <v/>
      </c>
      <c r="F202" t="str">
        <v>-</v>
      </c>
      <c r="G202" t="str">
        <v>-</v>
      </c>
    </row>
    <row r="203">
      <c r="A203">
        <v>202</v>
      </c>
      <c r="B203">
        <f>HYPERLINK("https://mocchau.sonla.gov.vn/", "UBND Ủy ban nhân dân huyện Mộc Châu  tỉnh Sơn La")</f>
      </c>
      <c r="C203" t="str">
        <v>https://mocchau.sonla.gov.vn/</v>
      </c>
      <c r="D203" t="str">
        <v>-</v>
      </c>
      <c r="E203" t="str">
        <v>-</v>
      </c>
      <c r="F203" t="str">
        <v>-</v>
      </c>
      <c r="G203" t="str">
        <v>-</v>
      </c>
    </row>
    <row r="204">
      <c r="A204">
        <v>203</v>
      </c>
      <c r="B204">
        <f>HYPERLINK("https://www.facebook.com/p/C%C3%B4ng-an-huy%E1%BB%87n-Y%C3%AAn-Ch%C3%A2u-t%E1%BB%89nh-S%C6%A1n-La-100067882819020/", "Công an huyện Yên Châu  tỉnh Sơn La")</f>
      </c>
      <c r="C204" t="str">
        <v>https://www.facebook.com/p/C%C3%B4ng-an-huy%E1%BB%87n-Y%C3%AAn-Ch%C3%A2u-t%E1%BB%89nh-S%C6%A1n-La-100067882819020/</v>
      </c>
      <c r="D204" t="str">
        <v>-</v>
      </c>
      <c r="E204" t="str">
        <v/>
      </c>
      <c r="F204" t="str">
        <v>-</v>
      </c>
      <c r="G204" t="str">
        <v>-</v>
      </c>
    </row>
    <row r="205">
      <c r="A205">
        <v>204</v>
      </c>
      <c r="B205">
        <f>HYPERLINK("https://yenchau.sonla.gov.vn/", "UBND Ủy ban nhân dân huyện Yên Châu  tỉnh Sơn La")</f>
      </c>
      <c r="C205" t="str">
        <v>https://yenchau.sonla.gov.vn/</v>
      </c>
      <c r="D205" t="str">
        <v>-</v>
      </c>
      <c r="E205" t="str">
        <v>-</v>
      </c>
      <c r="F205" t="str">
        <v>-</v>
      </c>
      <c r="G205" t="str">
        <v>-</v>
      </c>
    </row>
    <row r="206">
      <c r="A206">
        <v>205</v>
      </c>
      <c r="B206">
        <f>HYPERLINK("https://www.facebook.com/ConganhuyenMaiSon/", "Công an huyện Mai Sơn  tỉnh Sơn La")</f>
      </c>
      <c r="C206" t="str">
        <v>https://www.facebook.com/ConganhuyenMaiSon/</v>
      </c>
      <c r="D206" t="str">
        <v>-</v>
      </c>
      <c r="E206" t="str">
        <v/>
      </c>
      <c r="F206" t="str">
        <v>-</v>
      </c>
      <c r="G206" t="str">
        <v>-</v>
      </c>
    </row>
    <row r="207">
      <c r="A207">
        <v>206</v>
      </c>
      <c r="B207">
        <f>HYPERLINK("https://maison.sonla.gov.vn/", "UBND Ủy ban nhân dân huyện Mai Sơn  tỉnh Sơn La")</f>
      </c>
      <c r="C207" t="str">
        <v>https://maison.sonla.gov.vn/</v>
      </c>
      <c r="D207" t="str">
        <v>-</v>
      </c>
      <c r="E207" t="str">
        <v>-</v>
      </c>
      <c r="F207" t="str">
        <v>-</v>
      </c>
      <c r="G207" t="str">
        <v>-</v>
      </c>
    </row>
    <row r="208">
      <c r="A208">
        <v>207</v>
      </c>
      <c r="B208">
        <f>HYPERLINK("https://www.facebook.com/togiactoiphamsongma/", "Công an huyện Sông Mã  tỉnh Sơn La")</f>
      </c>
      <c r="C208" t="str">
        <v>https://www.facebook.com/togiactoiphamsongma/</v>
      </c>
      <c r="D208" t="str">
        <v>-</v>
      </c>
      <c r="E208" t="str">
        <v/>
      </c>
      <c r="F208" t="str">
        <v>-</v>
      </c>
      <c r="G208" t="str">
        <v>-</v>
      </c>
    </row>
    <row r="209">
      <c r="A209">
        <v>208</v>
      </c>
      <c r="B209">
        <f>HYPERLINK("https://songma.sonla.gov.vn/", "UBND Ủy ban nhân dân huyện Sông Mã  tỉnh Sơn La")</f>
      </c>
      <c r="C209" t="str">
        <v>https://songma.sonla.gov.vn/</v>
      </c>
      <c r="D209" t="str">
        <v>-</v>
      </c>
      <c r="E209" t="str">
        <v>-</v>
      </c>
      <c r="F209" t="str">
        <v>-</v>
      </c>
      <c r="G209" t="str">
        <v>-</v>
      </c>
    </row>
    <row r="210">
      <c r="A210">
        <v>209</v>
      </c>
      <c r="B210" t="str">
        <v>Công an huyện Sốp Cộp  tỉnh Sơn La</v>
      </c>
      <c r="C210" t="str">
        <v>-</v>
      </c>
      <c r="D210" t="str">
        <v>-</v>
      </c>
      <c r="E210" t="str">
        <v/>
      </c>
      <c r="F210" t="str">
        <v>-</v>
      </c>
      <c r="G210" t="str">
        <v>-</v>
      </c>
    </row>
    <row r="211">
      <c r="A211">
        <v>210</v>
      </c>
      <c r="B211">
        <f>HYPERLINK("https://sopcop.sonla.gov.vn/", "UBND Ủy ban nhân dân huyện Sốp Cộp  tỉnh Sơn La")</f>
      </c>
      <c r="C211" t="str">
        <v>https://sopcop.sonla.gov.vn/</v>
      </c>
      <c r="D211" t="str">
        <v>-</v>
      </c>
      <c r="E211" t="str">
        <v>-</v>
      </c>
      <c r="F211" t="str">
        <v>-</v>
      </c>
      <c r="G211" t="str">
        <v>-</v>
      </c>
    </row>
    <row r="212">
      <c r="A212">
        <v>211</v>
      </c>
      <c r="B212" t="str">
        <v>Công an huyện Vân Hồ  tỉnh Sơn La</v>
      </c>
      <c r="C212" t="str">
        <v>-</v>
      </c>
      <c r="D212" t="str">
        <v>-</v>
      </c>
      <c r="E212" t="str">
        <v/>
      </c>
      <c r="F212" t="str">
        <v>-</v>
      </c>
      <c r="G212" t="str">
        <v>-</v>
      </c>
    </row>
    <row r="213">
      <c r="A213">
        <v>212</v>
      </c>
      <c r="B213">
        <f>HYPERLINK("https://vanho.sonla.gov.vn/", "UBND Ủy ban nhân dân huyện Vân Hồ  tỉnh Sơn La")</f>
      </c>
      <c r="C213" t="str">
        <v>https://vanho.sonla.gov.vn/</v>
      </c>
      <c r="D213" t="str">
        <v>-</v>
      </c>
      <c r="E213" t="str">
        <v>-</v>
      </c>
      <c r="F213" t="str">
        <v>-</v>
      </c>
      <c r="G213" t="str">
        <v>-</v>
      </c>
    </row>
    <row r="214">
      <c r="A214">
        <v>213</v>
      </c>
      <c r="B214">
        <f>HYPERLINK("https://www.facebook.com/p/C%C3%B4ng-an-Th%C3%A0nh-ph%E1%BB%91-Y%C3%AAn-B%C3%A1i-100066732884699/?locale=vi_VN", "Công an thành phố Yên Bái  tỉnh Yên Bái")</f>
      </c>
      <c r="C214" t="str">
        <v>https://www.facebook.com/p/C%C3%B4ng-an-Th%C3%A0nh-ph%E1%BB%91-Y%C3%AAn-B%C3%A1i-100066732884699/?locale=vi_VN</v>
      </c>
      <c r="D214" t="str">
        <v>-</v>
      </c>
      <c r="E214" t="str">
        <v/>
      </c>
      <c r="F214" t="str">
        <v>-</v>
      </c>
      <c r="G214" t="str">
        <v>-</v>
      </c>
    </row>
    <row r="215">
      <c r="A215">
        <v>214</v>
      </c>
      <c r="B215">
        <f>HYPERLINK("https://thanhphoyenbai.yenbai.gov.vn/", "UBND Ủy ban nhân dân thành phố Yên Bái  tỉnh Yên Bái")</f>
      </c>
      <c r="C215" t="str">
        <v>https://thanhphoyenbai.yenbai.gov.vn/</v>
      </c>
      <c r="D215" t="str">
        <v>-</v>
      </c>
      <c r="E215" t="str">
        <v>-</v>
      </c>
      <c r="F215" t="str">
        <v>-</v>
      </c>
      <c r="G215" t="str">
        <v>-</v>
      </c>
    </row>
    <row r="216">
      <c r="A216">
        <v>215</v>
      </c>
      <c r="B216">
        <f>HYPERLINK("https://www.facebook.com/CAHLYYB/", "Công an huyện Lục Yên  tỉnh Yên Bái")</f>
      </c>
      <c r="C216" t="str">
        <v>https://www.facebook.com/CAHLYYB/</v>
      </c>
      <c r="D216" t="str">
        <v>-</v>
      </c>
      <c r="E216" t="str">
        <v/>
      </c>
      <c r="F216" t="str">
        <v>-</v>
      </c>
      <c r="G216" t="str">
        <v>-</v>
      </c>
    </row>
    <row r="217">
      <c r="A217">
        <v>216</v>
      </c>
      <c r="B217">
        <f>HYPERLINK("https://lucyen.yenbai.gov.vn/", "UBND Ủy ban nhân dân huyện Lục Yên  tỉnh Yên Bái")</f>
      </c>
      <c r="C217" t="str">
        <v>https://lucyen.yenbai.gov.vn/</v>
      </c>
      <c r="D217" t="str">
        <v>-</v>
      </c>
      <c r="E217" t="str">
        <v>-</v>
      </c>
      <c r="F217" t="str">
        <v>-</v>
      </c>
      <c r="G217" t="str">
        <v>-</v>
      </c>
    </row>
    <row r="218">
      <c r="A218">
        <v>217</v>
      </c>
      <c r="B218">
        <f>HYPERLINK("https://www.facebook.com/conganhuyenvanyen/?locale=vi_VN", "Công an huyện Văn Yên  tỉnh Yên Bái")</f>
      </c>
      <c r="C218" t="str">
        <v>https://www.facebook.com/conganhuyenvanyen/?locale=vi_VN</v>
      </c>
      <c r="D218" t="str">
        <v>-</v>
      </c>
      <c r="E218" t="str">
        <v/>
      </c>
      <c r="F218" t="str">
        <v>-</v>
      </c>
      <c r="G218" t="str">
        <v>-</v>
      </c>
    </row>
    <row r="219">
      <c r="A219">
        <v>218</v>
      </c>
      <c r="B219">
        <f>HYPERLINK("https://vanyen.yenbai.gov.vn/", "UBND Ủy ban nhân dân huyện Văn Yên  tỉnh Yên Bái")</f>
      </c>
      <c r="C219" t="str">
        <v>https://vanyen.yenbai.gov.vn/</v>
      </c>
      <c r="D219" t="str">
        <v>-</v>
      </c>
      <c r="E219" t="str">
        <v>-</v>
      </c>
      <c r="F219" t="str">
        <v>-</v>
      </c>
      <c r="G219" t="str">
        <v>-</v>
      </c>
    </row>
    <row r="220">
      <c r="A220">
        <v>219</v>
      </c>
      <c r="B220" t="str">
        <v>Công an huyện Mù Căng Chải  tỉnh Yên Bái</v>
      </c>
      <c r="C220" t="str">
        <v>-</v>
      </c>
      <c r="D220" t="str">
        <v>-</v>
      </c>
      <c r="E220" t="str">
        <v/>
      </c>
      <c r="F220" t="str">
        <v>-</v>
      </c>
      <c r="G220" t="str">
        <v>-</v>
      </c>
    </row>
    <row r="221">
      <c r="A221">
        <v>220</v>
      </c>
      <c r="B221">
        <f>HYPERLINK("https://mucangchai.yenbai.gov.vn/", "UBND Ủy ban nhân dân huyện Mù Căng Chải  tỉnh Yên Bái")</f>
      </c>
      <c r="C221" t="str">
        <v>https://mucangchai.yenbai.gov.vn/</v>
      </c>
      <c r="D221" t="str">
        <v>-</v>
      </c>
      <c r="E221" t="str">
        <v>-</v>
      </c>
      <c r="F221" t="str">
        <v>-</v>
      </c>
      <c r="G221" t="str">
        <v>-</v>
      </c>
    </row>
    <row r="222">
      <c r="A222">
        <v>221</v>
      </c>
      <c r="B222">
        <f>HYPERLINK("https://www.facebook.com/people/C%C3%B4ng-an-huy%E1%BB%87n-Y%C3%AAn-M%C3%B4/100033535308059/", "Công an huyện Trấn Yên  tỉnh Yên Bái")</f>
      </c>
      <c r="C222" t="str">
        <v>https://www.facebook.com/people/C%C3%B4ng-an-huy%E1%BB%87n-Y%C3%AAn-M%C3%B4/100033535308059/</v>
      </c>
      <c r="D222" t="str">
        <v>-</v>
      </c>
      <c r="E222" t="str">
        <v>02293869012</v>
      </c>
      <c r="F222" t="str">
        <v>-</v>
      </c>
      <c r="G222" t="str">
        <v>TT Yên Thịnh, Ninh Bình, Vietnam</v>
      </c>
    </row>
    <row r="223">
      <c r="A223">
        <v>222</v>
      </c>
      <c r="B223">
        <f>HYPERLINK("https://tranyen.yenbai.gov.vn/", "UBND Ủy ban nhân dân huyện Trấn Yên  tỉnh Yên Bái")</f>
      </c>
      <c r="C223" t="str">
        <v>https://tranyen.yenbai.gov.vn/</v>
      </c>
      <c r="D223" t="str">
        <v>-</v>
      </c>
      <c r="E223" t="str">
        <v>-</v>
      </c>
      <c r="F223" t="str">
        <v>-</v>
      </c>
      <c r="G223" t="str">
        <v>-</v>
      </c>
    </row>
    <row r="224">
      <c r="A224">
        <v>223</v>
      </c>
      <c r="B224">
        <f>HYPERLINK("https://www.facebook.com/tramtau.ttdt/", "Công an huyện Trạm Tấu  tỉnh Yên Bái")</f>
      </c>
      <c r="C224" t="str">
        <v>https://www.facebook.com/tramtau.ttdt/</v>
      </c>
      <c r="D224" t="str">
        <v>-</v>
      </c>
      <c r="E224" t="str">
        <v/>
      </c>
      <c r="F224" t="str">
        <v>-</v>
      </c>
      <c r="G224" t="str">
        <v>-</v>
      </c>
    </row>
    <row r="225">
      <c r="A225">
        <v>224</v>
      </c>
      <c r="B225">
        <f>HYPERLINK("https://tramtau.yenbai.gov.vn/", "UBND Ủy ban nhân dân huyện Trạm Tấu  tỉnh Yên Bái")</f>
      </c>
      <c r="C225" t="str">
        <v>https://tramtau.yenbai.gov.vn/</v>
      </c>
      <c r="D225" t="str">
        <v>-</v>
      </c>
      <c r="E225" t="str">
        <v>-</v>
      </c>
      <c r="F225" t="str">
        <v>-</v>
      </c>
      <c r="G225" t="str">
        <v>-</v>
      </c>
    </row>
    <row r="226">
      <c r="A226">
        <v>225</v>
      </c>
      <c r="B226">
        <f>HYPERLINK("https://www.facebook.com/@PoliceVC/", "Công an huyện Văn Chấn  tỉnh Yên Bái")</f>
      </c>
      <c r="C226" t="str">
        <v>https://www.facebook.com/@PoliceVC/</v>
      </c>
      <c r="D226" t="str">
        <v>-</v>
      </c>
      <c r="E226" t="str">
        <v/>
      </c>
      <c r="F226" t="str">
        <v>-</v>
      </c>
      <c r="G226" t="str">
        <v>-</v>
      </c>
    </row>
    <row r="227">
      <c r="A227">
        <v>226</v>
      </c>
      <c r="B227">
        <f>HYPERLINK("https://vanchan.yenbai.gov.vn/", "UBND Ủy ban nhân dân huyện Văn Chấn  tỉnh Yên Bái")</f>
      </c>
      <c r="C227" t="str">
        <v>https://vanchan.yenbai.gov.vn/</v>
      </c>
      <c r="D227" t="str">
        <v>-</v>
      </c>
      <c r="E227" t="str">
        <v>-</v>
      </c>
      <c r="F227" t="str">
        <v>-</v>
      </c>
      <c r="G227" t="str">
        <v>-</v>
      </c>
    </row>
    <row r="228">
      <c r="A228">
        <v>227</v>
      </c>
      <c r="B228">
        <f>HYPERLINK("https://www.facebook.com/yenbinhtoancanh21/", "Công an huyện Yên Bình  tỉnh Yên Bái")</f>
      </c>
      <c r="C228" t="str">
        <v>https://www.facebook.com/yenbinhtoancanh21/</v>
      </c>
      <c r="D228" t="str">
        <v>-</v>
      </c>
      <c r="E228" t="str">
        <v/>
      </c>
      <c r="F228" t="str">
        <v>-</v>
      </c>
      <c r="G228" t="str">
        <v>-</v>
      </c>
    </row>
    <row r="229">
      <c r="A229">
        <v>228</v>
      </c>
      <c r="B229">
        <f>HYPERLINK("https://yenbinh.yenbai.gov.vn/", "UBND Ủy ban nhân dân huyện Yên Bình  tỉnh Yên Bái")</f>
      </c>
      <c r="C229" t="str">
        <v>https://yenbinh.yenbai.gov.vn/</v>
      </c>
      <c r="D229" t="str">
        <v>-</v>
      </c>
      <c r="E229" t="str">
        <v>-</v>
      </c>
      <c r="F229" t="str">
        <v>-</v>
      </c>
      <c r="G229" t="str">
        <v>-</v>
      </c>
    </row>
    <row r="230">
      <c r="A230">
        <v>229</v>
      </c>
      <c r="B230">
        <f>HYPERLINK("https://www.facebook.com/congantinhhoabinh/", "Công an thành phố Hòa Bình  tỉnh Hòa Bình")</f>
      </c>
      <c r="C230" t="str">
        <v>https://www.facebook.com/congantinhhoabinh/</v>
      </c>
      <c r="D230" t="str">
        <v>-</v>
      </c>
      <c r="E230" t="str">
        <v/>
      </c>
      <c r="F230" t="str">
        <v>-</v>
      </c>
      <c r="G230" t="str">
        <v>-</v>
      </c>
    </row>
    <row r="231">
      <c r="A231">
        <v>230</v>
      </c>
      <c r="B231">
        <f>HYPERLINK("https://ubndtp.hoabinh.gov.vn/index.php/vi/", "UBND Ủy ban nhân dân thành phố Hòa Bình  tỉnh Hòa Bình")</f>
      </c>
      <c r="C231" t="str">
        <v>https://ubndtp.hoabinh.gov.vn/index.php/vi/</v>
      </c>
      <c r="D231" t="str">
        <v>-</v>
      </c>
      <c r="E231" t="str">
        <v>-</v>
      </c>
      <c r="F231" t="str">
        <v>-</v>
      </c>
      <c r="G231" t="str">
        <v>-</v>
      </c>
    </row>
    <row r="232">
      <c r="A232">
        <v>231</v>
      </c>
      <c r="B232">
        <f>HYPERLINK("https://www.facebook.com/p/Tu%E1%BB%95i-tr%E1%BA%BB-C%C3%B4ng-an-huy%E1%BB%87n-%C4%90%C3%A0-B%E1%BA%AFc-100064551649842/", "Công an huyện Đà Bắc  tỉnh Hòa Bình")</f>
      </c>
      <c r="C232" t="str">
        <v>https://www.facebook.com/p/Tu%E1%BB%95i-tr%E1%BA%BB-C%C3%B4ng-an-huy%E1%BB%87n-%C4%90%C3%A0-B%E1%BA%AFc-100064551649842/</v>
      </c>
      <c r="D232" t="str">
        <v>-</v>
      </c>
      <c r="E232" t="str">
        <v/>
      </c>
      <c r="F232" t="str">
        <v>-</v>
      </c>
      <c r="G232" t="str">
        <v>-</v>
      </c>
    </row>
    <row r="233">
      <c r="A233">
        <v>232</v>
      </c>
      <c r="B233">
        <f>HYPERLINK("https://dabac.hoabinh.gov.vn/", "UBND Ủy ban nhân dân huyện Đà Bắc  tỉnh Hòa Bình")</f>
      </c>
      <c r="C233" t="str">
        <v>https://dabac.hoabinh.gov.vn/</v>
      </c>
      <c r="D233" t="str">
        <v>-</v>
      </c>
      <c r="E233" t="str">
        <v>-</v>
      </c>
      <c r="F233" t="str">
        <v>-</v>
      </c>
      <c r="G233" t="str">
        <v>-</v>
      </c>
    </row>
    <row r="234">
      <c r="A234">
        <v>233</v>
      </c>
      <c r="B234">
        <f>HYPERLINK("https://www.facebook.com/conganhuyenkyson/", "Công an huyện Kỳ Sơn  tỉnh Hòa Bình")</f>
      </c>
      <c r="C234" t="str">
        <v>https://www.facebook.com/conganhuyenkyson/</v>
      </c>
      <c r="D234" t="str">
        <v>-</v>
      </c>
      <c r="E234" t="str">
        <v/>
      </c>
      <c r="F234" t="str">
        <v>-</v>
      </c>
      <c r="G234" t="str">
        <v>-</v>
      </c>
    </row>
    <row r="235">
      <c r="A235">
        <v>234</v>
      </c>
      <c r="B235">
        <f>HYPERLINK("https://luongson.hoabinh.gov.vn/", "UBND Ủy ban nhân dân huyện Kỳ Sơn  tỉnh Hòa Bình")</f>
      </c>
      <c r="C235" t="str">
        <v>https://luongson.hoabinh.gov.vn/</v>
      </c>
      <c r="D235" t="str">
        <v>-</v>
      </c>
      <c r="E235" t="str">
        <v>-</v>
      </c>
      <c r="F235" t="str">
        <v>-</v>
      </c>
      <c r="G235" t="str">
        <v>-</v>
      </c>
    </row>
    <row r="236">
      <c r="A236">
        <v>235</v>
      </c>
      <c r="B236" t="str">
        <v>Công an huyện Lương Sơn  tỉnh Hòa Bình</v>
      </c>
      <c r="C236" t="str">
        <v>-</v>
      </c>
      <c r="D236" t="str">
        <v>-</v>
      </c>
      <c r="E236" t="str">
        <v/>
      </c>
      <c r="F236" t="str">
        <v>-</v>
      </c>
      <c r="G236" t="str">
        <v>-</v>
      </c>
    </row>
    <row r="237">
      <c r="A237">
        <v>236</v>
      </c>
      <c r="B237">
        <f>HYPERLINK("https://luongson.hoabinh.gov.vn/", "UBND Ủy ban nhân dân huyện Lương Sơn  tỉnh Hòa Bình")</f>
      </c>
      <c r="C237" t="str">
        <v>https://luongson.hoabinh.gov.vn/</v>
      </c>
      <c r="D237" t="str">
        <v>-</v>
      </c>
      <c r="E237" t="str">
        <v>-</v>
      </c>
      <c r="F237" t="str">
        <v>-</v>
      </c>
      <c r="G237" t="str">
        <v>-</v>
      </c>
    </row>
    <row r="238">
      <c r="A238">
        <v>237</v>
      </c>
      <c r="B238">
        <f>HYPERLINK("https://www.facebook.com/p/C%C3%B4ng-an-x%C3%A3-Kim-B%C3%B4i-100065479419555/", "Công an huyện Kim Bôi  tỉnh Hòa Bình")</f>
      </c>
      <c r="C238" t="str">
        <v>https://www.facebook.com/p/C%C3%B4ng-an-x%C3%A3-Kim-B%C3%B4i-100065479419555/</v>
      </c>
      <c r="D238" t="str">
        <v>-</v>
      </c>
      <c r="E238" t="str">
        <v/>
      </c>
      <c r="F238" t="str">
        <v>-</v>
      </c>
      <c r="G238" t="str">
        <v>-</v>
      </c>
    </row>
    <row r="239">
      <c r="A239">
        <v>238</v>
      </c>
      <c r="B239">
        <f>HYPERLINK("https://kimboi.hoabinh.gov.vn/", "UBND Ủy ban nhân dân huyện Kim Bôi  tỉnh Hòa Bình")</f>
      </c>
      <c r="C239" t="str">
        <v>https://kimboi.hoabinh.gov.vn/</v>
      </c>
      <c r="D239" t="str">
        <v>-</v>
      </c>
      <c r="E239" t="str">
        <v>-</v>
      </c>
      <c r="F239" t="str">
        <v>-</v>
      </c>
      <c r="G239" t="str">
        <v>-</v>
      </c>
    </row>
    <row r="240">
      <c r="A240">
        <v>239</v>
      </c>
      <c r="B240">
        <f>HYPERLINK("https://www.facebook.com/ConganCaoPhong.net/", "Công an huyện Cao Phong  tỉnh Hòa Bình")</f>
      </c>
      <c r="C240" t="str">
        <v>https://www.facebook.com/ConganCaoPhong.net/</v>
      </c>
      <c r="D240" t="str">
        <v>-</v>
      </c>
      <c r="E240" t="str">
        <v/>
      </c>
      <c r="F240" t="str">
        <v>-</v>
      </c>
      <c r="G240" t="str">
        <v>-</v>
      </c>
    </row>
    <row r="241">
      <c r="A241">
        <v>240</v>
      </c>
      <c r="B241">
        <f>HYPERLINK("https://caophong.hoabinh.gov.vn/", "UBND Ủy ban nhân dân huyện Cao Phong  tỉnh Hòa Bình")</f>
      </c>
      <c r="C241" t="str">
        <v>https://caophong.hoabinh.gov.vn/</v>
      </c>
      <c r="D241" t="str">
        <v>-</v>
      </c>
      <c r="E241" t="str">
        <v>-</v>
      </c>
      <c r="F241" t="str">
        <v>-</v>
      </c>
      <c r="G241" t="str">
        <v>-</v>
      </c>
    </row>
    <row r="242">
      <c r="A242">
        <v>241</v>
      </c>
      <c r="B242" t="str">
        <v>Công an huyện Tân Lạc  tỉnh Hòa Bình</v>
      </c>
      <c r="C242" t="str">
        <v>-</v>
      </c>
      <c r="D242" t="str">
        <v>-</v>
      </c>
      <c r="E242" t="str">
        <v/>
      </c>
      <c r="F242" t="str">
        <v>-</v>
      </c>
      <c r="G242" t="str">
        <v>-</v>
      </c>
    </row>
    <row r="243">
      <c r="A243">
        <v>242</v>
      </c>
      <c r="B243">
        <f>HYPERLINK("http://tanlac.hoabinh.gov.vn/", "UBND Ủy ban nhân dân huyện Tân Lạc  tỉnh Hòa Bình")</f>
      </c>
      <c r="C243" t="str">
        <v>http://tanlac.hoabinh.gov.vn/</v>
      </c>
      <c r="D243" t="str">
        <v>-</v>
      </c>
      <c r="E243" t="str">
        <v>-</v>
      </c>
      <c r="F243" t="str">
        <v>-</v>
      </c>
      <c r="G243" t="str">
        <v>-</v>
      </c>
    </row>
    <row r="244">
      <c r="A244">
        <v>243</v>
      </c>
      <c r="B244">
        <f>HYPERLINK("https://www.facebook.com/cahmaichau28/?locale=vi_VN", "Công an huyện Mai Châu  tỉnh Hòa Bình")</f>
      </c>
      <c r="C244" t="str">
        <v>https://www.facebook.com/cahmaichau28/?locale=vi_VN</v>
      </c>
      <c r="D244" t="str">
        <v>-</v>
      </c>
      <c r="E244" t="str">
        <v/>
      </c>
      <c r="F244" t="str">
        <v>-</v>
      </c>
      <c r="G244" t="str">
        <v>-</v>
      </c>
    </row>
    <row r="245">
      <c r="A245">
        <v>244</v>
      </c>
      <c r="B245">
        <f>HYPERLINK("https://maichau.hoabinh.gov.vn/index.php?lang=vi", "UBND Ủy ban nhân dân huyện Mai Châu  tỉnh Hòa Bình")</f>
      </c>
      <c r="C245" t="str">
        <v>https://maichau.hoabinh.gov.vn/index.php?lang=vi</v>
      </c>
      <c r="D245" t="str">
        <v>-</v>
      </c>
      <c r="E245" t="str">
        <v>-</v>
      </c>
      <c r="F245" t="str">
        <v>-</v>
      </c>
      <c r="G245" t="str">
        <v>-</v>
      </c>
    </row>
    <row r="246">
      <c r="A246">
        <v>245</v>
      </c>
      <c r="B246">
        <f>HYPERLINK("https://www.facebook.com/conganhuyenLacSon/", "Công an huyện Lạc Sơn  tỉnh Hòa Bình")</f>
      </c>
      <c r="C246" t="str">
        <v>https://www.facebook.com/conganhuyenLacSon/</v>
      </c>
      <c r="D246" t="str">
        <v>-</v>
      </c>
      <c r="E246" t="str">
        <v/>
      </c>
      <c r="F246" t="str">
        <v>-</v>
      </c>
      <c r="G246" t="str">
        <v>-</v>
      </c>
    </row>
    <row r="247">
      <c r="A247">
        <v>246</v>
      </c>
      <c r="B247">
        <f>HYPERLINK("https://lacson.hoabinh.gov.vn/", "UBND Ủy ban nhân dân huyện Lạc Sơn  tỉnh Hòa Bình")</f>
      </c>
      <c r="C247" t="str">
        <v>https://lacson.hoabinh.gov.vn/</v>
      </c>
      <c r="D247" t="str">
        <v>-</v>
      </c>
      <c r="E247" t="str">
        <v>-</v>
      </c>
      <c r="F247" t="str">
        <v>-</v>
      </c>
      <c r="G247" t="str">
        <v>-</v>
      </c>
    </row>
    <row r="248">
      <c r="A248">
        <v>247</v>
      </c>
      <c r="B248">
        <f>HYPERLINK("https://www.facebook.com/conganyenthuy/?locale=vi_VN", "Công an huyện Yên Thủy  tỉnh Hòa Bình")</f>
      </c>
      <c r="C248" t="str">
        <v>https://www.facebook.com/conganyenthuy/?locale=vi_VN</v>
      </c>
      <c r="D248" t="str">
        <v>-</v>
      </c>
      <c r="E248" t="str">
        <v/>
      </c>
      <c r="F248" t="str">
        <v>-</v>
      </c>
      <c r="G248" t="str">
        <v>-</v>
      </c>
    </row>
    <row r="249">
      <c r="A249">
        <v>248</v>
      </c>
      <c r="B249">
        <f>HYPERLINK("https://yenthuy.hoabinh.gov.vn/", "UBND Ủy ban nhân dân huyện Yên Thủy  tỉnh Hòa Bình")</f>
      </c>
      <c r="C249" t="str">
        <v>https://yenthuy.hoabinh.gov.vn/</v>
      </c>
      <c r="D249" t="str">
        <v>-</v>
      </c>
      <c r="E249" t="str">
        <v>-</v>
      </c>
      <c r="F249" t="str">
        <v>-</v>
      </c>
      <c r="G249" t="str">
        <v>-</v>
      </c>
    </row>
    <row r="250">
      <c r="A250">
        <v>249</v>
      </c>
      <c r="B250">
        <f>HYPERLINK("https://www.facebook.com/p/Tu%E1%BB%95i-tr%E1%BA%BB-C%C3%B4ng-an-huy%E1%BB%87n-L%E1%BA%A1c-Th%E1%BB%A7y-100055980434412/", "Công an huyện Lạc Thủy  tỉnh Hòa Bình")</f>
      </c>
      <c r="C250" t="str">
        <v>https://www.facebook.com/p/Tu%E1%BB%95i-tr%E1%BA%BB-C%C3%B4ng-an-huy%E1%BB%87n-L%E1%BA%A1c-Th%E1%BB%A7y-100055980434412/</v>
      </c>
      <c r="D250" t="str">
        <v>-</v>
      </c>
      <c r="E250" t="str">
        <v/>
      </c>
      <c r="F250" t="str">
        <v>-</v>
      </c>
      <c r="G250" t="str">
        <v>-</v>
      </c>
    </row>
    <row r="251">
      <c r="A251">
        <v>250</v>
      </c>
      <c r="B251">
        <f>HYPERLINK("https://lacthuy.hoabinh.gov.vn/", "UBND Ủy ban nhân dân huyện Lạc Thủy  tỉnh Hòa Bình")</f>
      </c>
      <c r="C251" t="str">
        <v>https://lacthuy.hoabinh.gov.vn/</v>
      </c>
      <c r="D251" t="str">
        <v>-</v>
      </c>
      <c r="E251" t="str">
        <v>-</v>
      </c>
      <c r="F251" t="str">
        <v>-</v>
      </c>
      <c r="G251" t="str">
        <v>-</v>
      </c>
    </row>
    <row r="252">
      <c r="A252">
        <v>251</v>
      </c>
      <c r="B252">
        <f>HYPERLINK("https://www.facebook.com/Conganthanhphothainguyen/?locale=vi_VN", "Công an thành phố Thái Nguyên  tỉnh Thái Nguyên")</f>
      </c>
      <c r="C252" t="str">
        <v>https://www.facebook.com/Conganthanhphothainguyen/?locale=vi_VN</v>
      </c>
      <c r="D252" t="str">
        <v>-</v>
      </c>
      <c r="E252" t="str">
        <v/>
      </c>
      <c r="F252" t="str">
        <v>-</v>
      </c>
      <c r="G252" t="str">
        <v>-</v>
      </c>
    </row>
    <row r="253">
      <c r="A253">
        <v>252</v>
      </c>
      <c r="B253">
        <f>HYPERLINK("https://thainguyen.gov.vn/", "UBND Ủy ban nhân dân thành phố Thái Nguyên  tỉnh Thái Nguyên")</f>
      </c>
      <c r="C253" t="str">
        <v>https://thainguyen.gov.vn/</v>
      </c>
      <c r="D253" t="str">
        <v>-</v>
      </c>
      <c r="E253" t="str">
        <v>-</v>
      </c>
      <c r="F253" t="str">
        <v>-</v>
      </c>
      <c r="G253" t="str">
        <v>-</v>
      </c>
    </row>
    <row r="254">
      <c r="A254">
        <v>253</v>
      </c>
      <c r="B254">
        <f>HYPERLINK("https://www.facebook.com/ConganSongCong/?locale=vi_VN", "Công an thành phố Sông Công  tỉnh Thái Nguyên")</f>
      </c>
      <c r="C254" t="str">
        <v>https://www.facebook.com/ConganSongCong/?locale=vi_VN</v>
      </c>
      <c r="D254" t="str">
        <v>-</v>
      </c>
      <c r="E254" t="str">
        <v/>
      </c>
      <c r="F254" t="str">
        <v>-</v>
      </c>
      <c r="G254" t="str">
        <v>-</v>
      </c>
    </row>
    <row r="255">
      <c r="A255">
        <v>254</v>
      </c>
      <c r="B255">
        <f>HYPERLINK("https://songcong.thainguyen.gov.vn/", "UBND Ủy ban nhân dân thành phố Sông Công  tỉnh Thái Nguyên")</f>
      </c>
      <c r="C255" t="str">
        <v>https://songcong.thainguyen.gov.vn/</v>
      </c>
      <c r="D255" t="str">
        <v>-</v>
      </c>
      <c r="E255" t="str">
        <v>-</v>
      </c>
      <c r="F255" t="str">
        <v>-</v>
      </c>
      <c r="G255" t="str">
        <v>-</v>
      </c>
    </row>
    <row r="256">
      <c r="A256">
        <v>255</v>
      </c>
      <c r="B256">
        <f>HYPERLINK("https://www.facebook.com/conganhuyendinhhoa/", "Công an huyện Định Hóa  tỉnh Thái Nguyên")</f>
      </c>
      <c r="C256" t="str">
        <v>https://www.facebook.com/conganhuyendinhhoa/</v>
      </c>
      <c r="D256" t="str">
        <v>-</v>
      </c>
      <c r="E256" t="str">
        <v/>
      </c>
      <c r="F256" t="str">
        <v>-</v>
      </c>
      <c r="G256" t="str">
        <v>-</v>
      </c>
    </row>
    <row r="257">
      <c r="A257">
        <v>256</v>
      </c>
      <c r="B257">
        <f>HYPERLINK("https://dinhhoa.thainguyen.gov.vn/", "UBND Ủy ban nhân dân huyện Định Hóa  tỉnh Thái Nguyên")</f>
      </c>
      <c r="C257" t="str">
        <v>https://dinhhoa.thainguyen.gov.vn/</v>
      </c>
      <c r="D257" t="str">
        <v>-</v>
      </c>
      <c r="E257" t="str">
        <v>-</v>
      </c>
      <c r="F257" t="str">
        <v>-</v>
      </c>
      <c r="G257" t="str">
        <v>-</v>
      </c>
    </row>
    <row r="258">
      <c r="A258">
        <v>257</v>
      </c>
      <c r="B258">
        <f>HYPERLINK("https://www.facebook.com/p/C%C3%B4ng-an-Th%E1%BB%8B-tr%E1%BA%A5n-%C4%90u-Huy%E1%BB%87n-Ph%C3%BA-l%C6%B0%C6%A1ng-T%E1%BB%89nh-Th%C3%A1i-Nguy%C3%AAn-100075508793206/", "Công an huyện Phú Lương  tỉnh Thái Nguyên")</f>
      </c>
      <c r="C258" t="str">
        <v>https://www.facebook.com/p/C%C3%B4ng-an-Th%E1%BB%8B-tr%E1%BA%A5n-%C4%90u-Huy%E1%BB%87n-Ph%C3%BA-l%C6%B0%C6%A1ng-T%E1%BB%89nh-Th%C3%A1i-Nguy%C3%AAn-100075508793206/</v>
      </c>
      <c r="D258" t="str">
        <v>-</v>
      </c>
      <c r="E258" t="str">
        <v/>
      </c>
      <c r="F258" t="str">
        <v>-</v>
      </c>
      <c r="G258" t="str">
        <v>-</v>
      </c>
    </row>
    <row r="259">
      <c r="A259">
        <v>258</v>
      </c>
      <c r="B259">
        <f>HYPERLINK("https://phuluong.thainguyen.gov.vn/", "UBND Ủy ban nhân dân huyện Phú Lương  tỉnh Thái Nguyên")</f>
      </c>
      <c r="C259" t="str">
        <v>https://phuluong.thainguyen.gov.vn/</v>
      </c>
      <c r="D259" t="str">
        <v>-</v>
      </c>
      <c r="E259" t="str">
        <v>-</v>
      </c>
      <c r="F259" t="str">
        <v>-</v>
      </c>
      <c r="G259" t="str">
        <v>-</v>
      </c>
    </row>
    <row r="260">
      <c r="A260">
        <v>259</v>
      </c>
      <c r="B260">
        <f>HYPERLINK("https://www.facebook.com/TuoitreConganCaoBang/?locale=bn_IN", "Công an huyện Đồng Hỷ  tỉnh Thái Nguyên")</f>
      </c>
      <c r="C260" t="str">
        <v>https://www.facebook.com/TuoitreConganCaoBang/?locale=bn_IN</v>
      </c>
      <c r="D260" t="str">
        <v>-</v>
      </c>
      <c r="E260" t="str">
        <v/>
      </c>
      <c r="F260" t="str">
        <v>-</v>
      </c>
      <c r="G260" t="str">
        <v>-</v>
      </c>
    </row>
    <row r="261">
      <c r="A261">
        <v>260</v>
      </c>
      <c r="B261">
        <f>HYPERLINK("https://donghy.thainguyen.gov.vn/", "UBND Ủy ban nhân dân huyện Đồng Hỷ  tỉnh Thái Nguyên")</f>
      </c>
      <c r="C261" t="str">
        <v>https://donghy.thainguyen.gov.vn/</v>
      </c>
      <c r="D261" t="str">
        <v>-</v>
      </c>
      <c r="E261" t="str">
        <v>-</v>
      </c>
      <c r="F261" t="str">
        <v>-</v>
      </c>
      <c r="G261" t="str">
        <v>-</v>
      </c>
    </row>
    <row r="262">
      <c r="A262">
        <v>261</v>
      </c>
      <c r="B262">
        <f>HYPERLINK("https://www.facebook.com/tuoitreconganhuyenvonhai/", "Công an huyện Võ Nhai  tỉnh Thái Nguyên")</f>
      </c>
      <c r="C262" t="str">
        <v>https://www.facebook.com/tuoitreconganhuyenvonhai/</v>
      </c>
      <c r="D262" t="str">
        <v>-</v>
      </c>
      <c r="E262" t="str">
        <v/>
      </c>
      <c r="F262" t="str">
        <v>-</v>
      </c>
      <c r="G262" t="str">
        <v>-</v>
      </c>
    </row>
    <row r="263">
      <c r="A263">
        <v>262</v>
      </c>
      <c r="B263">
        <f>HYPERLINK("https://vonhai.thainguyen.gov.vn/", "UBND Ủy ban nhân dân huyện Võ Nhai  tỉnh Thái Nguyên")</f>
      </c>
      <c r="C263" t="str">
        <v>https://vonhai.thainguyen.gov.vn/</v>
      </c>
      <c r="D263" t="str">
        <v>-</v>
      </c>
      <c r="E263" t="str">
        <v>-</v>
      </c>
      <c r="F263" t="str">
        <v>-</v>
      </c>
      <c r="G263" t="str">
        <v>-</v>
      </c>
    </row>
    <row r="264">
      <c r="A264">
        <v>263</v>
      </c>
      <c r="B264">
        <f>HYPERLINK("https://www.facebook.com/tuoitreconganhuyenvanquan/", "Công an huyện Đại Từ  tỉnh Thái Nguyên")</f>
      </c>
      <c r="C264" t="str">
        <v>https://www.facebook.com/tuoitreconganhuyenvanquan/</v>
      </c>
      <c r="D264" t="str">
        <v>-</v>
      </c>
      <c r="E264" t="str">
        <v/>
      </c>
      <c r="F264" t="str">
        <v>-</v>
      </c>
      <c r="G264" t="str">
        <v>-</v>
      </c>
    </row>
    <row r="265">
      <c r="A265">
        <v>264</v>
      </c>
      <c r="B265">
        <f>HYPERLINK("https://daitu.thainguyen.gov.vn/", "UBND Ủy ban nhân dân huyện Đại Từ  tỉnh Thái Nguyên")</f>
      </c>
      <c r="C265" t="str">
        <v>https://daitu.thainguyen.gov.vn/</v>
      </c>
      <c r="D265" t="str">
        <v>-</v>
      </c>
      <c r="E265" t="str">
        <v>-</v>
      </c>
      <c r="F265" t="str">
        <v>-</v>
      </c>
      <c r="G265" t="str">
        <v>-</v>
      </c>
    </row>
    <row r="266">
      <c r="A266">
        <v>265</v>
      </c>
      <c r="B266">
        <f>HYPERLINK("https://www.facebook.com/p/C%C3%B4ng-an-th%E1%BB%8B-tr%E1%BA%A5n-H%C6%B0%C6%A1ng-S%C6%A1n-huy%E1%BB%87n-Ph%C3%BA-B%C3%ACnh-t%E1%BB%89nh-Th%C3%A1i-Nguy%C3%AAn-100081791015941/", "Công an huyện Phú Bình  tỉnh Thái Nguyên")</f>
      </c>
      <c r="C266" t="str">
        <v>https://www.facebook.com/p/C%C3%B4ng-an-th%E1%BB%8B-tr%E1%BA%A5n-H%C6%B0%C6%A1ng-S%C6%A1n-huy%E1%BB%87n-Ph%C3%BA-B%C3%ACnh-t%E1%BB%89nh-Th%C3%A1i-Nguy%C3%AAn-100081791015941/</v>
      </c>
      <c r="D266" t="str">
        <v>-</v>
      </c>
      <c r="E266" t="str">
        <v/>
      </c>
      <c r="F266" t="str">
        <v>-</v>
      </c>
      <c r="G266" t="str">
        <v>-</v>
      </c>
    </row>
    <row r="267">
      <c r="A267">
        <v>266</v>
      </c>
      <c r="B267">
        <f>HYPERLINK("https://phubinh.thainguyen.gov.vn/", "UBND Ủy ban nhân dân huyện Phú Bình  tỉnh Thái Nguyên")</f>
      </c>
      <c r="C267" t="str">
        <v>https://phubinh.thainguyen.gov.vn/</v>
      </c>
      <c r="D267" t="str">
        <v>-</v>
      </c>
      <c r="E267" t="str">
        <v>-</v>
      </c>
      <c r="F267" t="str">
        <v>-</v>
      </c>
      <c r="G267" t="str">
        <v>-</v>
      </c>
    </row>
    <row r="268">
      <c r="A268">
        <v>267</v>
      </c>
      <c r="B268">
        <f>HYPERLINK("https://www.facebook.com/p/C%C3%B4ng-an-th%C3%A0nh-ph%E1%BB%91-L%E1%BA%A1ng-S%C6%A1n-100063697586271/?locale=vi_VN", "Công an thành phố Lạng Sơn  tỉnh Lạng Sơn")</f>
      </c>
      <c r="C268" t="str">
        <v>https://www.facebook.com/p/C%C3%B4ng-an-th%C3%A0nh-ph%E1%BB%91-L%E1%BA%A1ng-S%C6%A1n-100063697586271/?locale=vi_VN</v>
      </c>
      <c r="D268" t="str">
        <v>-</v>
      </c>
      <c r="E268" t="str">
        <v/>
      </c>
      <c r="F268" t="str">
        <v>-</v>
      </c>
      <c r="G268" t="str">
        <v>-</v>
      </c>
    </row>
    <row r="269">
      <c r="A269">
        <v>268</v>
      </c>
      <c r="B269">
        <f>HYPERLINK("https://thanhpho.langson.gov.vn/", "UBND Ủy ban nhân dân thành phố Lạng Sơn  tỉnh Lạng Sơn")</f>
      </c>
      <c r="C269" t="str">
        <v>https://thanhpho.langson.gov.vn/</v>
      </c>
      <c r="D269" t="str">
        <v>-</v>
      </c>
      <c r="E269" t="str">
        <v>-</v>
      </c>
      <c r="F269" t="str">
        <v>-</v>
      </c>
      <c r="G269" t="str">
        <v>-</v>
      </c>
    </row>
    <row r="270">
      <c r="A270">
        <v>269</v>
      </c>
      <c r="B270">
        <f>HYPERLINK("https://www.facebook.com/p/%C4%90o%C3%A0n-Thanh-Ni%C3%AAn-C%C3%B4ng-An-Huy%E1%BB%87n-Tr%C3%A0ng-%C4%90%E1%BB%8Bnh-100066714612141/", "Công an huyện Tràng Định  tỉnh Lạng Sơn")</f>
      </c>
      <c r="C270" t="str">
        <v>https://www.facebook.com/p/%C4%90o%C3%A0n-Thanh-Ni%C3%AAn-C%C3%B4ng-An-Huy%E1%BB%87n-Tr%C3%A0ng-%C4%90%E1%BB%8Bnh-100066714612141/</v>
      </c>
      <c r="D270" t="str">
        <v>-</v>
      </c>
      <c r="E270" t="str">
        <v/>
      </c>
      <c r="F270" t="str">
        <v>-</v>
      </c>
      <c r="G270" t="str">
        <v>-</v>
      </c>
    </row>
    <row r="271">
      <c r="A271">
        <v>270</v>
      </c>
      <c r="B271">
        <f>HYPERLINK("https://trangdinh.langson.gov.vn/", "UBND Ủy ban nhân dân huyện Tràng Định  tỉnh Lạng Sơn")</f>
      </c>
      <c r="C271" t="str">
        <v>https://trangdinh.langson.gov.vn/</v>
      </c>
      <c r="D271" t="str">
        <v>-</v>
      </c>
      <c r="E271" t="str">
        <v>-</v>
      </c>
      <c r="F271" t="str">
        <v>-</v>
      </c>
      <c r="G271" t="str">
        <v>-</v>
      </c>
    </row>
    <row r="272">
      <c r="A272">
        <v>271</v>
      </c>
      <c r="B272">
        <f>HYPERLINK("https://www.facebook.com/p/Tu%E1%BB%95i-tr%E1%BA%BB-C%C3%B4ng-an-huy%E1%BB%87n-B%C3%ACnh-Gia-100070618760059/", "Công an huyện Bình Gia  tỉnh Lạng Sơn")</f>
      </c>
      <c r="C272" t="str">
        <v>https://www.facebook.com/p/Tu%E1%BB%95i-tr%E1%BA%BB-C%C3%B4ng-an-huy%E1%BB%87n-B%C3%ACnh-Gia-100070618760059/</v>
      </c>
      <c r="D272" t="str">
        <v>-</v>
      </c>
      <c r="E272" t="str">
        <v/>
      </c>
      <c r="F272" t="str">
        <v>-</v>
      </c>
      <c r="G272" t="str">
        <v>-</v>
      </c>
    </row>
    <row r="273">
      <c r="A273">
        <v>272</v>
      </c>
      <c r="B273">
        <f>HYPERLINK("https://binhgia.langson.gov.vn/", "UBND Ủy ban nhân dân huyện Bình Gia  tỉnh Lạng Sơn")</f>
      </c>
      <c r="C273" t="str">
        <v>https://binhgia.langson.gov.vn/</v>
      </c>
      <c r="D273" t="str">
        <v>-</v>
      </c>
      <c r="E273" t="str">
        <v>-</v>
      </c>
      <c r="F273" t="str">
        <v>-</v>
      </c>
      <c r="G273" t="str">
        <v>-</v>
      </c>
    </row>
    <row r="274">
      <c r="A274">
        <v>273</v>
      </c>
      <c r="B274">
        <f>HYPERLINK("https://www.facebook.com/p/TRANG-TIN-V%C4%82N-L%C3%83NG-100065015320423/", "Công an huyện Văn Lãng  tỉnh Lạng Sơn")</f>
      </c>
      <c r="C274" t="str">
        <v>https://www.facebook.com/p/TRANG-TIN-V%C4%82N-L%C3%83NG-100065015320423/</v>
      </c>
      <c r="D274" t="str">
        <v>-</v>
      </c>
      <c r="E274" t="str">
        <v/>
      </c>
      <c r="F274" t="str">
        <v>-</v>
      </c>
      <c r="G274" t="str">
        <v>-</v>
      </c>
    </row>
    <row r="275">
      <c r="A275">
        <v>274</v>
      </c>
      <c r="B275">
        <f>HYPERLINK("https://vanlang.langson.gov.vn/", "UBND Ủy ban nhân dân huyện Văn Lãng  tỉnh Lạng Sơn")</f>
      </c>
      <c r="C275" t="str">
        <v>https://vanlang.langson.gov.vn/</v>
      </c>
      <c r="D275" t="str">
        <v>-</v>
      </c>
      <c r="E275" t="str">
        <v>-</v>
      </c>
      <c r="F275" t="str">
        <v>-</v>
      </c>
      <c r="G275" t="str">
        <v>-</v>
      </c>
    </row>
    <row r="276">
      <c r="A276">
        <v>275</v>
      </c>
      <c r="B276">
        <f>HYPERLINK("https://www.facebook.com/p/Tu%E1%BB%95i-tr%E1%BA%BB-C%C3%B4ng-an-huy%E1%BB%87n-Cao-L%E1%BB%99c-100063884749147/", "Công an huyện Cao Lộc  tỉnh Lạng Sơn")</f>
      </c>
      <c r="C276" t="str">
        <v>https://www.facebook.com/p/Tu%E1%BB%95i-tr%E1%BA%BB-C%C3%B4ng-an-huy%E1%BB%87n-Cao-L%E1%BB%99c-100063884749147/</v>
      </c>
      <c r="D276" t="str">
        <v>-</v>
      </c>
      <c r="E276" t="str">
        <v/>
      </c>
      <c r="F276" t="str">
        <v>-</v>
      </c>
      <c r="G276" t="str">
        <v>-</v>
      </c>
    </row>
    <row r="277">
      <c r="A277">
        <v>276</v>
      </c>
      <c r="B277">
        <f>HYPERLINK("https://caoloc.langson.gov.vn/cong-ttdt-tinh-lang-son/thong-tin-tuyen-dung", "UBND Ủy ban nhân dân huyện Cao Lộc  tỉnh Lạng Sơn")</f>
      </c>
      <c r="C277" t="str">
        <v>https://caoloc.langson.gov.vn/cong-ttdt-tinh-lang-son/thong-tin-tuyen-dung</v>
      </c>
      <c r="D277" t="str">
        <v>-</v>
      </c>
      <c r="E277" t="str">
        <v>-</v>
      </c>
      <c r="F277" t="str">
        <v>-</v>
      </c>
      <c r="G277" t="str">
        <v>-</v>
      </c>
    </row>
    <row r="278">
      <c r="A278">
        <v>277</v>
      </c>
      <c r="B278">
        <f>HYPERLINK("https://www.facebook.com/tuoitreconganhuyenvanquan/", "Công an huyện Văn Quan  tỉnh Lạng Sơn")</f>
      </c>
      <c r="C278" t="str">
        <v>https://www.facebook.com/tuoitreconganhuyenvanquan/</v>
      </c>
      <c r="D278" t="str">
        <v>-</v>
      </c>
      <c r="E278" t="str">
        <v/>
      </c>
      <c r="F278" t="str">
        <v>-</v>
      </c>
      <c r="G278" t="str">
        <v>-</v>
      </c>
    </row>
    <row r="279">
      <c r="A279">
        <v>278</v>
      </c>
      <c r="B279">
        <f>HYPERLINK("https://vanquan.langson.gov.vn/cong-ttdt-tinh-lang-son/thong-tin-tuyen-dung", "UBND Ủy ban nhân dân huyện Văn Quan  tỉnh Lạng Sơn")</f>
      </c>
      <c r="C279" t="str">
        <v>https://vanquan.langson.gov.vn/cong-ttdt-tinh-lang-son/thong-tin-tuyen-dung</v>
      </c>
      <c r="D279" t="str">
        <v>-</v>
      </c>
      <c r="E279" t="str">
        <v>-</v>
      </c>
      <c r="F279" t="str">
        <v>-</v>
      </c>
      <c r="G279" t="str">
        <v>-</v>
      </c>
    </row>
    <row r="280">
      <c r="A280">
        <v>279</v>
      </c>
      <c r="B280">
        <f>HYPERLINK("https://www.facebook.com/chidoan.congan/?locale=vi_VN", "Công an huyện Bắc Sơn  tỉnh Lạng Sơn")</f>
      </c>
      <c r="C280" t="str">
        <v>https://www.facebook.com/chidoan.congan/?locale=vi_VN</v>
      </c>
      <c r="D280" t="str">
        <v>-</v>
      </c>
      <c r="E280" t="str">
        <v/>
      </c>
      <c r="F280" t="str">
        <v>-</v>
      </c>
      <c r="G280" t="str">
        <v>-</v>
      </c>
    </row>
    <row r="281">
      <c r="A281">
        <v>280</v>
      </c>
      <c r="B281">
        <f>HYPERLINK("https://bacson.langson.gov.vn/", "UBND Ủy ban nhân dân huyện Bắc Sơn  tỉnh Lạng Sơn")</f>
      </c>
      <c r="C281" t="str">
        <v>https://bacson.langson.gov.vn/</v>
      </c>
      <c r="D281" t="str">
        <v>-</v>
      </c>
      <c r="E281" t="str">
        <v>-</v>
      </c>
      <c r="F281" t="str">
        <v>-</v>
      </c>
      <c r="G281" t="str">
        <v>-</v>
      </c>
    </row>
    <row r="282">
      <c r="A282">
        <v>281</v>
      </c>
      <c r="B282">
        <f>HYPERLINK("https://www.facebook.com/CongAnHuuLung.org", "Công an huyện Hữu Lũng  tỉnh Lạng Sơn")</f>
      </c>
      <c r="C282" t="str">
        <v>https://www.facebook.com/CongAnHuuLung.org</v>
      </c>
      <c r="D282" t="str">
        <v>-</v>
      </c>
      <c r="E282" t="str">
        <v/>
      </c>
      <c r="F282" t="str">
        <v>-</v>
      </c>
      <c r="G282" t="str">
        <v>-</v>
      </c>
    </row>
    <row r="283">
      <c r="A283">
        <v>282</v>
      </c>
      <c r="B283">
        <f>HYPERLINK("https://huulung.langson.gov.vn/cong-ttdt-tinh-lang-son/thong-tin-tuyen-dung", "UBND Ủy ban nhân dân huyện Hữu Lũng  tỉnh Lạng Sơn")</f>
      </c>
      <c r="C283" t="str">
        <v>https://huulung.langson.gov.vn/cong-ttdt-tinh-lang-son/thong-tin-tuyen-dung</v>
      </c>
      <c r="D283" t="str">
        <v>-</v>
      </c>
      <c r="E283" t="str">
        <v>-</v>
      </c>
      <c r="F283" t="str">
        <v>-</v>
      </c>
      <c r="G283" t="str">
        <v>-</v>
      </c>
    </row>
    <row r="284">
      <c r="A284">
        <v>283</v>
      </c>
      <c r="B284">
        <f>HYPERLINK("https://www.facebook.com/ConganChiLang/", "Công an huyện Chi Lăng  tỉnh Lạng Sơn")</f>
      </c>
      <c r="C284" t="str">
        <v>https://www.facebook.com/ConganChiLang/</v>
      </c>
      <c r="D284" t="str">
        <v>-</v>
      </c>
      <c r="E284" t="str">
        <v/>
      </c>
      <c r="F284" t="str">
        <v>-</v>
      </c>
      <c r="G284" t="str">
        <v>-</v>
      </c>
    </row>
    <row r="285">
      <c r="A285">
        <v>284</v>
      </c>
      <c r="B285">
        <f>HYPERLINK("https://chilang.langson.gov.vn/thong-tin-tuyen-truyen/tuyen-truyen-c", "UBND Ủy ban nhân dân huyện Chi Lăng  tỉnh Lạng Sơn")</f>
      </c>
      <c r="C285" t="str">
        <v>https://chilang.langson.gov.vn/thong-tin-tuyen-truyen/tuyen-truyen-c</v>
      </c>
      <c r="D285" t="str">
        <v>-</v>
      </c>
      <c r="E285" t="str">
        <v>-</v>
      </c>
      <c r="F285" t="str">
        <v>-</v>
      </c>
      <c r="G285" t="str">
        <v>-</v>
      </c>
    </row>
    <row r="286">
      <c r="A286">
        <v>285</v>
      </c>
      <c r="B286">
        <f>HYPERLINK("https://www.facebook.com/p/Tu%E1%BB%95i-tr%E1%BA%BB-C%C3%B4ng-an-huy%E1%BB%87n-L%E1%BB%99c-B%C3%ACnh-100063492099584/", "Công an huyện Lộc Bình  tỉnh Lạng Sơn")</f>
      </c>
      <c r="C286" t="str">
        <v>https://www.facebook.com/p/Tu%E1%BB%95i-tr%E1%BA%BB-C%C3%B4ng-an-huy%E1%BB%87n-L%E1%BB%99c-B%C3%ACnh-100063492099584/</v>
      </c>
      <c r="D286" t="str">
        <v>-</v>
      </c>
      <c r="E286" t="str">
        <v/>
      </c>
      <c r="F286" t="str">
        <v>-</v>
      </c>
      <c r="G286" t="str">
        <v>-</v>
      </c>
    </row>
    <row r="287">
      <c r="A287">
        <v>286</v>
      </c>
      <c r="B287">
        <f>HYPERLINK("https://locbinh.langson.gov.vn/", "UBND Ủy ban nhân dân huyện Lộc Bình  tỉnh Lạng Sơn")</f>
      </c>
      <c r="C287" t="str">
        <v>https://locbinh.langson.gov.vn/</v>
      </c>
      <c r="D287" t="str">
        <v>-</v>
      </c>
      <c r="E287" t="str">
        <v>-</v>
      </c>
      <c r="F287" t="str">
        <v>-</v>
      </c>
      <c r="G287" t="str">
        <v>-</v>
      </c>
    </row>
    <row r="288">
      <c r="A288">
        <v>287</v>
      </c>
      <c r="B288">
        <f>HYPERLINK("https://www.facebook.com/conganhuyendinhlap/", "Công an huyện Đình Lập  tỉnh Lạng Sơn")</f>
      </c>
      <c r="C288" t="str">
        <v>https://www.facebook.com/conganhuyendinhlap/</v>
      </c>
      <c r="D288" t="str">
        <v>-</v>
      </c>
      <c r="E288" t="str">
        <v/>
      </c>
      <c r="F288" t="str">
        <v>-</v>
      </c>
      <c r="G288" t="str">
        <v>-</v>
      </c>
    </row>
    <row r="289">
      <c r="A289">
        <v>288</v>
      </c>
      <c r="B289">
        <f>HYPERLINK("https://dinhlap.langson.gov.vn/", "UBND Ủy ban nhân dân huyện Đình Lập  tỉnh Lạng Sơn")</f>
      </c>
      <c r="C289" t="str">
        <v>https://dinhlap.langson.gov.vn/</v>
      </c>
      <c r="D289" t="str">
        <v>-</v>
      </c>
      <c r="E289" t="str">
        <v>-</v>
      </c>
      <c r="F289" t="str">
        <v>-</v>
      </c>
      <c r="G289" t="str">
        <v>-</v>
      </c>
    </row>
    <row r="290">
      <c r="A290">
        <v>289</v>
      </c>
      <c r="B290">
        <f>HYPERLINK("https://www.facebook.com/csqlhcquangninh/", "Công an thành phố Hạ Long  tỉnh Quảng Ninh")</f>
      </c>
      <c r="C290" t="str">
        <v>https://www.facebook.com/csqlhcquangninh/</v>
      </c>
      <c r="D290" t="str">
        <v>-</v>
      </c>
      <c r="E290" t="str">
        <v/>
      </c>
      <c r="F290" t="str">
        <v>-</v>
      </c>
      <c r="G290" t="str">
        <v>-</v>
      </c>
    </row>
    <row r="291">
      <c r="A291">
        <v>290</v>
      </c>
      <c r="B291">
        <f>HYPERLINK("https://www.quangninh.gov.vn/", "UBND Ủy ban nhân dân thành phố Hạ Long  tỉnh Quảng Ninh")</f>
      </c>
      <c r="C291" t="str">
        <v>https://www.quangninh.gov.vn/</v>
      </c>
      <c r="D291" t="str">
        <v>-</v>
      </c>
      <c r="E291" t="str">
        <v>-</v>
      </c>
      <c r="F291" t="str">
        <v>-</v>
      </c>
      <c r="G291" t="str">
        <v>-</v>
      </c>
    </row>
    <row r="292">
      <c r="A292">
        <v>291</v>
      </c>
      <c r="B292">
        <f>HYPERLINK("https://www.facebook.com/ddcimongcai/", "Công an thành phố Móng Cái  tỉnh Quảng Ninh")</f>
      </c>
      <c r="C292" t="str">
        <v>https://www.facebook.com/ddcimongcai/</v>
      </c>
      <c r="D292" t="str">
        <v>-</v>
      </c>
      <c r="E292" t="str">
        <v/>
      </c>
      <c r="F292" t="str">
        <v>-</v>
      </c>
      <c r="G292" t="str">
        <v>-</v>
      </c>
    </row>
    <row r="293">
      <c r="A293">
        <v>292</v>
      </c>
      <c r="B293">
        <f>HYPERLINK("https://mongcai.gov.vn/", "UBND Ủy ban nhân dân thành phố Móng Cái  tỉnh Quảng Ninh")</f>
      </c>
      <c r="C293" t="str">
        <v>https://mongcai.gov.vn/</v>
      </c>
      <c r="D293" t="str">
        <v>-</v>
      </c>
      <c r="E293" t="str">
        <v>-</v>
      </c>
      <c r="F293" t="str">
        <v>-</v>
      </c>
      <c r="G293" t="str">
        <v>-</v>
      </c>
    </row>
    <row r="294">
      <c r="A294">
        <v>293</v>
      </c>
      <c r="B294" t="str">
        <v>Công an thành phố Cẩm Phả  tỉnh Quảng Ninh</v>
      </c>
      <c r="C294" t="str">
        <v>-</v>
      </c>
      <c r="D294" t="str">
        <v>-</v>
      </c>
      <c r="E294" t="str">
        <v/>
      </c>
      <c r="F294" t="str">
        <v>-</v>
      </c>
      <c r="G294" t="str">
        <v>-</v>
      </c>
    </row>
    <row r="295">
      <c r="A295">
        <v>294</v>
      </c>
      <c r="B295">
        <f>HYPERLINK("https://www.quangninh.gov.vn/donvi/tpcampha/Trang/Default.aspx", "UBND Ủy ban nhân dân thành phố Cẩm Phả  tỉnh Quảng Ninh")</f>
      </c>
      <c r="C295" t="str">
        <v>https://www.quangninh.gov.vn/donvi/tpcampha/Trang/Default.aspx</v>
      </c>
      <c r="D295" t="str">
        <v>-</v>
      </c>
      <c r="E295" t="str">
        <v>-</v>
      </c>
      <c r="F295" t="str">
        <v>-</v>
      </c>
      <c r="G295" t="str">
        <v>-</v>
      </c>
    </row>
    <row r="296">
      <c r="A296">
        <v>295</v>
      </c>
      <c r="B296" t="str">
        <v>Công an thành phố Uông Bí  tỉnh Quảng Ninh</v>
      </c>
      <c r="C296" t="str">
        <v>-</v>
      </c>
      <c r="D296" t="str">
        <v>-</v>
      </c>
      <c r="E296" t="str">
        <v/>
      </c>
      <c r="F296" t="str">
        <v>-</v>
      </c>
      <c r="G296" t="str">
        <v>-</v>
      </c>
    </row>
    <row r="297">
      <c r="A297">
        <v>296</v>
      </c>
      <c r="B297">
        <f>HYPERLINK("https://www.quangninh.gov.vn/donvi/tpuongbi/Trang/Default.aspx", "UBND Ủy ban nhân dân thành phố Uông Bí  tỉnh Quảng Ninh")</f>
      </c>
      <c r="C297" t="str">
        <v>https://www.quangninh.gov.vn/donvi/tpuongbi/Trang/Default.aspx</v>
      </c>
      <c r="D297" t="str">
        <v>-</v>
      </c>
      <c r="E297" t="str">
        <v>-</v>
      </c>
      <c r="F297" t="str">
        <v>-</v>
      </c>
      <c r="G297" t="str">
        <v>-</v>
      </c>
    </row>
    <row r="298">
      <c r="A298">
        <v>297</v>
      </c>
      <c r="B298">
        <f>HYPERLINK("https://www.facebook.com/tuoitreconganquangbinh/", "Công an huyện Bình Liêu  tỉnh Quảng Ninh")</f>
      </c>
      <c r="C298" t="str">
        <v>https://www.facebook.com/tuoitreconganquangbinh/</v>
      </c>
      <c r="D298" t="str">
        <v>-</v>
      </c>
      <c r="E298" t="str">
        <v/>
      </c>
      <c r="F298" t="str">
        <v>-</v>
      </c>
      <c r="G298" t="str">
        <v>-</v>
      </c>
    </row>
    <row r="299">
      <c r="A299">
        <v>298</v>
      </c>
      <c r="B299">
        <f>HYPERLINK("https://binhlieu.quangninh.gov.vn/", "UBND Ủy ban nhân dân huyện Bình Liêu  tỉnh Quảng Ninh")</f>
      </c>
      <c r="C299" t="str">
        <v>https://binhlieu.quangninh.gov.vn/</v>
      </c>
      <c r="D299" t="str">
        <v>-</v>
      </c>
      <c r="E299" t="str">
        <v>-</v>
      </c>
      <c r="F299" t="str">
        <v>-</v>
      </c>
      <c r="G299" t="str">
        <v>-</v>
      </c>
    </row>
    <row r="300">
      <c r="A300">
        <v>299</v>
      </c>
      <c r="B300" t="str">
        <v>Công an huyện Tiên Yên  tỉnh Quảng Ninh</v>
      </c>
      <c r="C300" t="str">
        <v>-</v>
      </c>
      <c r="D300" t="str">
        <v>-</v>
      </c>
      <c r="E300" t="str">
        <v/>
      </c>
      <c r="F300" t="str">
        <v>-</v>
      </c>
      <c r="G300" t="str">
        <v>-</v>
      </c>
    </row>
    <row r="301">
      <c r="A301">
        <v>300</v>
      </c>
      <c r="B301">
        <f>HYPERLINK("https://www.quangninh.gov.vn/donvi/huyentienyen/Trang/Default.aspx", "UBND Ủy ban nhân dân huyện Tiên Yên  tỉnh Quảng Ninh")</f>
      </c>
      <c r="C301" t="str">
        <v>https://www.quangninh.gov.vn/donvi/huyentienyen/Trang/Default.aspx</v>
      </c>
      <c r="D301" t="str">
        <v>-</v>
      </c>
      <c r="E301" t="str">
        <v>-</v>
      </c>
      <c r="F301" t="str">
        <v>-</v>
      </c>
      <c r="G301" t="str">
        <v>-</v>
      </c>
    </row>
    <row r="302">
      <c r="A302">
        <v>301</v>
      </c>
      <c r="B302">
        <f>HYPERLINK("https://www.facebook.com/100086281486538", "Công an huyện Đầm Hà  tỉnh Quảng Ninh")</f>
      </c>
      <c r="C302" t="str">
        <v>https://www.facebook.com/100086281486538</v>
      </c>
      <c r="D302" t="str">
        <v>-</v>
      </c>
      <c r="E302" t="str">
        <v/>
      </c>
      <c r="F302" t="str">
        <v>doanthanhnien.catqn@gmail.com</v>
      </c>
      <c r="G302" t="str">
        <v>phường Hồng Hà, TP. Hạ Long, tỉnh Quảng Ninh, Ha Long, Vietnam</v>
      </c>
    </row>
    <row r="303">
      <c r="A303">
        <v>302</v>
      </c>
      <c r="B303">
        <f>HYPERLINK("https://www.quangninh.gov.vn/donvi/huyendamha/Trang/Default.aspx", "UBND Ủy ban nhân dân huyện Đầm Hà  tỉnh Quảng Ninh")</f>
      </c>
      <c r="C303" t="str">
        <v>https://www.quangninh.gov.vn/donvi/huyendamha/Trang/Default.aspx</v>
      </c>
      <c r="D303" t="str">
        <v>-</v>
      </c>
      <c r="E303" t="str">
        <v>-</v>
      </c>
      <c r="F303" t="str">
        <v>-</v>
      </c>
      <c r="G303" t="str">
        <v>-</v>
      </c>
    </row>
    <row r="304">
      <c r="A304">
        <v>303</v>
      </c>
      <c r="B304" t="str">
        <v>Công an huyện Hải Hà  tỉnh Quảng Ninh</v>
      </c>
      <c r="C304" t="str">
        <v>-</v>
      </c>
      <c r="D304" t="str">
        <v>-</v>
      </c>
      <c r="E304" t="str">
        <v/>
      </c>
      <c r="F304" t="str">
        <v>-</v>
      </c>
      <c r="G304" t="str">
        <v>-</v>
      </c>
    </row>
    <row r="305">
      <c r="A305">
        <v>304</v>
      </c>
      <c r="B305">
        <f>HYPERLINK("https://haiha.quangninh.gov.vn/", "UBND Ủy ban nhân dân huyện Hải Hà  tỉnh Quảng Ninh")</f>
      </c>
      <c r="C305" t="str">
        <v>https://haiha.quangninh.gov.vn/</v>
      </c>
      <c r="D305" t="str">
        <v>-</v>
      </c>
      <c r="E305" t="str">
        <v>-</v>
      </c>
      <c r="F305" t="str">
        <v>-</v>
      </c>
      <c r="G305" t="str">
        <v>-</v>
      </c>
    </row>
    <row r="306">
      <c r="A306">
        <v>305</v>
      </c>
      <c r="B306">
        <f>HYPERLINK("https://www.facebook.com/conganhuyenbache/", "Công an huyện Ba Chẽ  tỉnh Quảng Ninh")</f>
      </c>
      <c r="C306" t="str">
        <v>https://www.facebook.com/conganhuyenbache/</v>
      </c>
      <c r="D306" t="str">
        <v>-</v>
      </c>
      <c r="E306" t="str">
        <v/>
      </c>
      <c r="F306" t="str">
        <v>-</v>
      </c>
      <c r="G306" t="str">
        <v>-</v>
      </c>
    </row>
    <row r="307">
      <c r="A307">
        <v>306</v>
      </c>
      <c r="B307">
        <f>HYPERLINK("https://www.quangninh.gov.vn/donvi/huyenbache/Trang/Default.aspx", "UBND Ủy ban nhân dân huyện Ba Chẽ  tỉnh Quảng Ninh")</f>
      </c>
      <c r="C307" t="str">
        <v>https://www.quangninh.gov.vn/donvi/huyenbache/Trang/Default.aspx</v>
      </c>
      <c r="D307" t="str">
        <v>-</v>
      </c>
      <c r="E307" t="str">
        <v>-</v>
      </c>
      <c r="F307" t="str">
        <v>-</v>
      </c>
      <c r="G307" t="str">
        <v>-</v>
      </c>
    </row>
    <row r="308">
      <c r="A308">
        <v>307</v>
      </c>
      <c r="B308">
        <f>HYPERLINK("https://www.facebook.com/p/Tu%E1%BB%95i-tr%E1%BA%BB-C%C3%B4ng-an-huy%E1%BB%87n-Ninh-Ph%C6%B0%E1%BB%9Bc-100068114569027/", "Công an huyện Vân Đồn  tỉnh Quảng Ninh")</f>
      </c>
      <c r="C308" t="str">
        <v>https://www.facebook.com/p/Tu%E1%BB%95i-tr%E1%BA%BB-C%C3%B4ng-an-huy%E1%BB%87n-Ninh-Ph%C6%B0%E1%BB%9Bc-100068114569027/</v>
      </c>
      <c r="D308" t="str">
        <v>-</v>
      </c>
      <c r="E308" t="str">
        <v/>
      </c>
      <c r="F308" t="str">
        <v>-</v>
      </c>
      <c r="G308" t="str">
        <v>-</v>
      </c>
    </row>
    <row r="309">
      <c r="A309">
        <v>308</v>
      </c>
      <c r="B309">
        <f>HYPERLINK("https://vandon.quangninh.gov.vn/", "UBND Ủy ban nhân dân huyện Vân Đồn  tỉnh Quảng Ninh")</f>
      </c>
      <c r="C309" t="str">
        <v>https://vandon.quangninh.gov.vn/</v>
      </c>
      <c r="D309" t="str">
        <v>-</v>
      </c>
      <c r="E309" t="str">
        <v>-</v>
      </c>
      <c r="F309" t="str">
        <v>-</v>
      </c>
      <c r="G309" t="str">
        <v>-</v>
      </c>
    </row>
    <row r="310">
      <c r="A310">
        <v>309</v>
      </c>
      <c r="B310" t="str">
        <v>Công an huyện Hoành Bồ  tỉnh Quảng Ninh</v>
      </c>
      <c r="C310" t="str">
        <v>-</v>
      </c>
      <c r="D310" t="str">
        <v>-</v>
      </c>
      <c r="E310" t="str">
        <v/>
      </c>
      <c r="F310" t="str">
        <v>-</v>
      </c>
      <c r="G310" t="str">
        <v>-</v>
      </c>
    </row>
    <row r="311">
      <c r="A311">
        <v>310</v>
      </c>
      <c r="B311">
        <f>HYPERLINK("https://www.quangninh.gov.vn/", "UBND Ủy ban nhân dân huyện Hoành Bồ  tỉnh Quảng Ninh")</f>
      </c>
      <c r="C311" t="str">
        <v>https://www.quangninh.gov.vn/</v>
      </c>
      <c r="D311" t="str">
        <v>-</v>
      </c>
      <c r="E311" t="str">
        <v>-</v>
      </c>
      <c r="F311" t="str">
        <v>-</v>
      </c>
      <c r="G311" t="str">
        <v>-</v>
      </c>
    </row>
    <row r="312">
      <c r="A312">
        <v>311</v>
      </c>
      <c r="B312" t="str">
        <v>Công an huyện Cô Tô  tỉnh Quảng Ninh</v>
      </c>
      <c r="C312" t="str">
        <v>-</v>
      </c>
      <c r="D312" t="str">
        <v>-</v>
      </c>
      <c r="E312" t="str">
        <v/>
      </c>
      <c r="F312" t="str">
        <v>-</v>
      </c>
      <c r="G312" t="str">
        <v>-</v>
      </c>
    </row>
    <row r="313">
      <c r="A313">
        <v>312</v>
      </c>
      <c r="B313">
        <f>HYPERLINK("https://www.quangninh.gov.vn/donvi/huyencoto/Trang/Default.aspx", "UBND Ủy ban nhân dân huyện Cô Tô  tỉnh Quảng Ninh")</f>
      </c>
      <c r="C313" t="str">
        <v>https://www.quangninh.gov.vn/donvi/huyencoto/Trang/Default.aspx</v>
      </c>
      <c r="D313" t="str">
        <v>-</v>
      </c>
      <c r="E313" t="str">
        <v>-</v>
      </c>
      <c r="F313" t="str">
        <v>-</v>
      </c>
      <c r="G313" t="str">
        <v>-</v>
      </c>
    </row>
    <row r="314">
      <c r="A314">
        <v>313</v>
      </c>
      <c r="B314">
        <f>HYPERLINK("https://www.facebook.com/CATPBG/?locale=vi_VN", "Công an thành phố Bắc Giang  tỉnh Bắc Giang")</f>
      </c>
      <c r="C314" t="str">
        <v>https://www.facebook.com/CATPBG/?locale=vi_VN</v>
      </c>
      <c r="D314" t="str">
        <v>-</v>
      </c>
      <c r="E314" t="str">
        <v/>
      </c>
      <c r="F314" t="str">
        <v>-</v>
      </c>
      <c r="G314" t="str">
        <v>-</v>
      </c>
    </row>
    <row r="315">
      <c r="A315">
        <v>314</v>
      </c>
      <c r="B315">
        <f>HYPERLINK("https://tpbacgiang.bacgiang.gov.vn/", "UBND Ủy ban nhân dân thành phố Bắc Giang  tỉnh Bắc Giang")</f>
      </c>
      <c r="C315" t="str">
        <v>https://tpbacgiang.bacgiang.gov.vn/</v>
      </c>
      <c r="D315" t="str">
        <v>-</v>
      </c>
      <c r="E315" t="str">
        <v>-</v>
      </c>
      <c r="F315" t="str">
        <v>-</v>
      </c>
      <c r="G315" t="str">
        <v>-</v>
      </c>
    </row>
    <row r="316">
      <c r="A316">
        <v>315</v>
      </c>
      <c r="B316">
        <f>HYPERLINK("https://www.facebook.com/conganhuyenyenthe/", "Công an huyện Yên Thế  tỉnh Bắc Giang")</f>
      </c>
      <c r="C316" t="str">
        <v>https://www.facebook.com/conganhuyenyenthe/</v>
      </c>
      <c r="D316" t="str">
        <v>-</v>
      </c>
      <c r="E316" t="str">
        <v/>
      </c>
      <c r="F316" t="str">
        <v>-</v>
      </c>
      <c r="G316" t="str">
        <v>-</v>
      </c>
    </row>
    <row r="317">
      <c r="A317">
        <v>316</v>
      </c>
      <c r="B317">
        <f>HYPERLINK("https://yenthe.bacgiang.gov.vn/", "UBND Ủy ban nhân dân huyện Yên Thế  tỉnh Bắc Giang")</f>
      </c>
      <c r="C317" t="str">
        <v>https://yenthe.bacgiang.gov.vn/</v>
      </c>
      <c r="D317" t="str">
        <v>-</v>
      </c>
      <c r="E317" t="str">
        <v>-</v>
      </c>
      <c r="F317" t="str">
        <v>-</v>
      </c>
      <c r="G317" t="str">
        <v>-</v>
      </c>
    </row>
    <row r="318">
      <c r="A318">
        <v>317</v>
      </c>
      <c r="B318">
        <f>HYPERLINK("https://www.facebook.com/p/C%C3%B4ng-an-huy%E1%BB%87n-T%C3%A2n-Y%C3%AAn-B%E1%BA%AFc-Giang-100080975141230/", "Công an huyện Tân Yên  tỉnh Bắc Giang")</f>
      </c>
      <c r="C318" t="str">
        <v>https://www.facebook.com/p/C%C3%B4ng-an-huy%E1%BB%87n-T%C3%A2n-Y%C3%AAn-B%E1%BA%AFc-Giang-100080975141230/</v>
      </c>
      <c r="D318" t="str">
        <v>-</v>
      </c>
      <c r="E318" t="str">
        <v/>
      </c>
      <c r="F318" t="str">
        <v>-</v>
      </c>
      <c r="G318" t="str">
        <v>-</v>
      </c>
    </row>
    <row r="319">
      <c r="A319">
        <v>318</v>
      </c>
      <c r="B319">
        <f>HYPERLINK("https://tanyen.bacgiang.gov.vn/uy-ban-nhan-dan", "UBND Ủy ban nhân dân huyện Tân Yên  tỉnh Bắc Giang")</f>
      </c>
      <c r="C319" t="str">
        <v>https://tanyen.bacgiang.gov.vn/uy-ban-nhan-dan</v>
      </c>
      <c r="D319" t="str">
        <v>-</v>
      </c>
      <c r="E319" t="str">
        <v>-</v>
      </c>
      <c r="F319" t="str">
        <v>-</v>
      </c>
      <c r="G319" t="str">
        <v>-</v>
      </c>
    </row>
    <row r="320">
      <c r="A320">
        <v>319</v>
      </c>
      <c r="B320">
        <f>HYPERLINK("https://www.facebook.com/CALangGiang/?locale=vi_VN", "Công an huyện Lạng Giang  tỉnh Bắc Giang")</f>
      </c>
      <c r="C320" t="str">
        <v>https://www.facebook.com/CALangGiang/?locale=vi_VN</v>
      </c>
      <c r="D320" t="str">
        <v>-</v>
      </c>
      <c r="E320" t="str">
        <v/>
      </c>
      <c r="F320" t="str">
        <v>-</v>
      </c>
      <c r="G320" t="str">
        <v>-</v>
      </c>
    </row>
    <row r="321">
      <c r="A321">
        <v>320</v>
      </c>
      <c r="B321">
        <f>HYPERLINK("https://langgiang.bacgiang.gov.vn/", "UBND Ủy ban nhân dân huyện Lạng Giang  tỉnh Bắc Giang")</f>
      </c>
      <c r="C321" t="str">
        <v>https://langgiang.bacgiang.gov.vn/</v>
      </c>
      <c r="D321" t="str">
        <v>-</v>
      </c>
      <c r="E321" t="str">
        <v>-</v>
      </c>
      <c r="F321" t="str">
        <v>-</v>
      </c>
      <c r="G321" t="str">
        <v>-</v>
      </c>
    </row>
    <row r="322">
      <c r="A322">
        <v>321</v>
      </c>
      <c r="B322">
        <f>HYPERLINK("https://www.facebook.com/conganhuyenlucnam/?locale=vi_VN", "Công an huyện Lục Nam  tỉnh Bắc Giang")</f>
      </c>
      <c r="C322" t="str">
        <v>https://www.facebook.com/conganhuyenlucnam/?locale=vi_VN</v>
      </c>
      <c r="D322" t="str">
        <v>-</v>
      </c>
      <c r="E322" t="str">
        <v/>
      </c>
      <c r="F322" t="str">
        <v>-</v>
      </c>
      <c r="G322" t="str">
        <v>-</v>
      </c>
    </row>
    <row r="323">
      <c r="A323">
        <v>322</v>
      </c>
      <c r="B323">
        <f>HYPERLINK("https://lucnam.bacgiang.gov.vn/", "UBND Ủy ban nhân dân huyện Lục Nam  tỉnh Bắc Giang")</f>
      </c>
      <c r="C323" t="str">
        <v>https://lucnam.bacgiang.gov.vn/</v>
      </c>
      <c r="D323" t="str">
        <v>-</v>
      </c>
      <c r="E323" t="str">
        <v>-</v>
      </c>
      <c r="F323" t="str">
        <v>-</v>
      </c>
      <c r="G323" t="str">
        <v>-</v>
      </c>
    </row>
    <row r="324">
      <c r="A324">
        <v>323</v>
      </c>
      <c r="B324">
        <f>HYPERLINK("https://www.facebook.com/conganhuyenlucngan", "Công an huyện Lục Ngạn  tỉnh Bắc Giang")</f>
      </c>
      <c r="C324" t="str">
        <v>https://www.facebook.com/conganhuyenlucngan</v>
      </c>
      <c r="D324" t="str">
        <v>-</v>
      </c>
      <c r="E324" t="str">
        <v/>
      </c>
      <c r="F324" t="str">
        <v>-</v>
      </c>
      <c r="G324" t="str">
        <v>-</v>
      </c>
    </row>
    <row r="325">
      <c r="A325">
        <v>324</v>
      </c>
      <c r="B325">
        <f>HYPERLINK("https://lucngan.bacgiang.gov.vn/", "UBND Ủy ban nhân dân huyện Lục Ngạn  tỉnh Bắc Giang")</f>
      </c>
      <c r="C325" t="str">
        <v>https://lucngan.bacgiang.gov.vn/</v>
      </c>
      <c r="D325" t="str">
        <v>-</v>
      </c>
      <c r="E325" t="str">
        <v>-</v>
      </c>
      <c r="F325" t="str">
        <v>-</v>
      </c>
      <c r="G325" t="str">
        <v>-</v>
      </c>
    </row>
    <row r="326">
      <c r="A326">
        <v>325</v>
      </c>
      <c r="B326">
        <f>HYPERLINK("https://www.facebook.com/Conganhuyensondong/", "Công an huyện Sơn Động  tỉnh Bắc Giang")</f>
      </c>
      <c r="C326" t="str">
        <v>https://www.facebook.com/Conganhuyensondong/</v>
      </c>
      <c r="D326" t="str">
        <v>-</v>
      </c>
      <c r="E326" t="str">
        <v/>
      </c>
      <c r="F326" t="str">
        <v>-</v>
      </c>
      <c r="G326" t="str">
        <v>-</v>
      </c>
    </row>
    <row r="327">
      <c r="A327">
        <v>326</v>
      </c>
      <c r="B327">
        <f>HYPERLINK("https://sondong.bacgiang.gov.vn/", "UBND Ủy ban nhân dân huyện Sơn Động  tỉnh Bắc Giang")</f>
      </c>
      <c r="C327" t="str">
        <v>https://sondong.bacgiang.gov.vn/</v>
      </c>
      <c r="D327" t="str">
        <v>-</v>
      </c>
      <c r="E327" t="str">
        <v>-</v>
      </c>
      <c r="F327" t="str">
        <v>-</v>
      </c>
      <c r="G327" t="str">
        <v>-</v>
      </c>
    </row>
    <row r="328">
      <c r="A328">
        <v>327</v>
      </c>
      <c r="B328">
        <f>HYPERLINK("https://www.facebook.com/ConganhuyenYenDung/?locale=vi_VN", "Công an huyện Yên Dũng  tỉnh Bắc Giang")</f>
      </c>
      <c r="C328" t="str">
        <v>https://www.facebook.com/ConganhuyenYenDung/?locale=vi_VN</v>
      </c>
      <c r="D328" t="str">
        <v>-</v>
      </c>
      <c r="E328" t="str">
        <v/>
      </c>
      <c r="F328" t="str">
        <v>-</v>
      </c>
      <c r="G328" t="str">
        <v>-</v>
      </c>
    </row>
    <row r="329">
      <c r="A329">
        <v>328</v>
      </c>
      <c r="B329">
        <f>HYPERLINK("https://yendung.bacgiang.gov.vn/", "UBND Ủy ban nhân dân huyện Yên Dũng  tỉnh Bắc Giang")</f>
      </c>
      <c r="C329" t="str">
        <v>https://yendung.bacgiang.gov.vn/</v>
      </c>
      <c r="D329" t="str">
        <v>-</v>
      </c>
      <c r="E329" t="str">
        <v>-</v>
      </c>
      <c r="F329" t="str">
        <v>-</v>
      </c>
      <c r="G329" t="str">
        <v>-</v>
      </c>
    </row>
    <row r="330">
      <c r="A330">
        <v>329</v>
      </c>
      <c r="B330">
        <f>HYPERLINK("https://www.facebook.com/ConganVietYen/", "Công an huyện Việt Yên  tỉnh Bắc Giang")</f>
      </c>
      <c r="C330" t="str">
        <v>https://www.facebook.com/ConganVietYen/</v>
      </c>
      <c r="D330" t="str">
        <v>-</v>
      </c>
      <c r="E330" t="str">
        <v/>
      </c>
      <c r="F330" t="str">
        <v>-</v>
      </c>
      <c r="G330" t="str">
        <v>-</v>
      </c>
    </row>
    <row r="331">
      <c r="A331">
        <v>330</v>
      </c>
      <c r="B331">
        <f>HYPERLINK("https://vietyen.bacgiang.gov.vn/", "UBND Ủy ban nhân dân huyện Việt Yên  tỉnh Bắc Giang")</f>
      </c>
      <c r="C331" t="str">
        <v>https://vietyen.bacgiang.gov.vn/</v>
      </c>
      <c r="D331" t="str">
        <v>-</v>
      </c>
      <c r="E331" t="str">
        <v>-</v>
      </c>
      <c r="F331" t="str">
        <v>-</v>
      </c>
      <c r="G331" t="str">
        <v>-</v>
      </c>
    </row>
    <row r="332">
      <c r="A332">
        <v>331</v>
      </c>
      <c r="B332">
        <f>HYPERLINK("https://www.facebook.com/cahhiephoa/", "Công an huyện Hiệp Hòa  tỉnh Bắc Giang")</f>
      </c>
      <c r="C332" t="str">
        <v>https://www.facebook.com/cahhiephoa/</v>
      </c>
      <c r="D332" t="str">
        <v>-</v>
      </c>
      <c r="E332" t="str">
        <v/>
      </c>
      <c r="F332" t="str">
        <v>-</v>
      </c>
      <c r="G332" t="str">
        <v>-</v>
      </c>
    </row>
    <row r="333">
      <c r="A333">
        <v>332</v>
      </c>
      <c r="B333">
        <f>HYPERLINK("https://hiephoa.bacgiang.gov.vn/", "UBND Ủy ban nhân dân huyện Hiệp Hòa  tỉnh Bắc Giang")</f>
      </c>
      <c r="C333" t="str">
        <v>https://hiephoa.bacgiang.gov.vn/</v>
      </c>
      <c r="D333" t="str">
        <v>-</v>
      </c>
      <c r="E333" t="str">
        <v>-</v>
      </c>
      <c r="F333" t="str">
        <v>-</v>
      </c>
      <c r="G333" t="str">
        <v>-</v>
      </c>
    </row>
    <row r="334">
      <c r="A334">
        <v>333</v>
      </c>
      <c r="B334">
        <f>HYPERLINK("https://www.facebook.com/p/C%C3%B4ng-an-th%C3%A0nh-ph%E1%BB%91-Vi%E1%BB%87t-Tr%C3%AC-100083326121614/", "Công an thành phố Việt Trì  tỉnh Phú Thọ")</f>
      </c>
      <c r="C334" t="str">
        <v>https://www.facebook.com/p/C%C3%B4ng-an-th%C3%A0nh-ph%E1%BB%91-Vi%E1%BB%87t-Tr%C3%AC-100083326121614/</v>
      </c>
      <c r="D334" t="str">
        <v>-</v>
      </c>
      <c r="E334" t="str">
        <v/>
      </c>
      <c r="F334" t="str">
        <v>-</v>
      </c>
      <c r="G334" t="str">
        <v>-</v>
      </c>
    </row>
    <row r="335">
      <c r="A335">
        <v>334</v>
      </c>
      <c r="B335">
        <f>HYPERLINK("https://viettri.phutho.gov.vn/", "UBND Ủy ban nhân dân thành phố Việt Trì  tỉnh Phú Thọ")</f>
      </c>
      <c r="C335" t="str">
        <v>https://viettri.phutho.gov.vn/</v>
      </c>
      <c r="D335" t="str">
        <v>-</v>
      </c>
      <c r="E335" t="str">
        <v>-</v>
      </c>
      <c r="F335" t="str">
        <v>-</v>
      </c>
      <c r="G335" t="str">
        <v>-</v>
      </c>
    </row>
    <row r="336">
      <c r="A336">
        <v>335</v>
      </c>
      <c r="B336">
        <f>HYPERLINK("https://www.facebook.com/congandoanhung/", "Công an huyện Đoan Hùng  tỉnh Phú Thọ")</f>
      </c>
      <c r="C336" t="str">
        <v>https://www.facebook.com/congandoanhung/</v>
      </c>
      <c r="D336" t="str">
        <v>-</v>
      </c>
      <c r="E336" t="str">
        <v/>
      </c>
      <c r="F336" t="str">
        <v>-</v>
      </c>
      <c r="G336" t="str">
        <v>-</v>
      </c>
    </row>
    <row r="337">
      <c r="A337">
        <v>336</v>
      </c>
      <c r="B337">
        <f>HYPERLINK("https://doanhung.phutho.gov.vn/", "UBND Ủy ban nhân dân huyện Đoan Hùng  tỉnh Phú Thọ")</f>
      </c>
      <c r="C337" t="str">
        <v>https://doanhung.phutho.gov.vn/</v>
      </c>
      <c r="D337" t="str">
        <v>-</v>
      </c>
      <c r="E337" t="str">
        <v>-</v>
      </c>
      <c r="F337" t="str">
        <v>-</v>
      </c>
      <c r="G337" t="str">
        <v>-</v>
      </c>
    </row>
    <row r="338">
      <c r="A338">
        <v>337</v>
      </c>
      <c r="B338">
        <f>HYPERLINK("https://www.facebook.com/p/C%C3%B4ng-an-huy%E1%BB%87n-H%E1%BA%A1-H%C3%B2a-100066401801479/", "Công an huyện Hạ Hoà  tỉnh Phú Thọ")</f>
      </c>
      <c r="C338" t="str">
        <v>https://www.facebook.com/p/C%C3%B4ng-an-huy%E1%BB%87n-H%E1%BA%A1-H%C3%B2a-100066401801479/</v>
      </c>
      <c r="D338" t="str">
        <v>-</v>
      </c>
      <c r="E338" t="str">
        <v/>
      </c>
      <c r="F338" t="str">
        <v>-</v>
      </c>
      <c r="G338" t="str">
        <v>-</v>
      </c>
    </row>
    <row r="339">
      <c r="A339">
        <v>338</v>
      </c>
      <c r="B339">
        <f>HYPERLINK("http://congbao.phutho.gov.vn/tong-tap.html?classification=2&amp;unitid=15", "UBND Ủy ban nhân dân huyện Hạ Hoà  tỉnh Phú Thọ")</f>
      </c>
      <c r="C339" t="str">
        <v>http://congbao.phutho.gov.vn/tong-tap.html?classification=2&amp;unitid=15</v>
      </c>
      <c r="D339" t="str">
        <v>-</v>
      </c>
      <c r="E339" t="str">
        <v>-</v>
      </c>
      <c r="F339" t="str">
        <v>-</v>
      </c>
      <c r="G339" t="str">
        <v>-</v>
      </c>
    </row>
    <row r="340">
      <c r="A340">
        <v>339</v>
      </c>
      <c r="B340">
        <f>HYPERLINK("https://www.facebook.com/CSHSThanhBa/?locale=vi_VN", "Công an huyện Thanh Ba  tỉnh Phú Thọ")</f>
      </c>
      <c r="C340" t="str">
        <v>https://www.facebook.com/CSHSThanhBa/?locale=vi_VN</v>
      </c>
      <c r="D340" t="str">
        <v>-</v>
      </c>
      <c r="E340" t="str">
        <v/>
      </c>
      <c r="F340" t="str">
        <v>-</v>
      </c>
      <c r="G340" t="str">
        <v>-</v>
      </c>
    </row>
    <row r="341">
      <c r="A341">
        <v>340</v>
      </c>
      <c r="B341">
        <f>HYPERLINK("https://thanhba.phutho.gov.vn/", "UBND Ủy ban nhân dân huyện Thanh Ba  tỉnh Phú Thọ")</f>
      </c>
      <c r="C341" t="str">
        <v>https://thanhba.phutho.gov.vn/</v>
      </c>
      <c r="D341" t="str">
        <v>-</v>
      </c>
      <c r="E341" t="str">
        <v>-</v>
      </c>
      <c r="F341" t="str">
        <v>-</v>
      </c>
      <c r="G341" t="str">
        <v>-</v>
      </c>
    </row>
    <row r="342">
      <c r="A342">
        <v>341</v>
      </c>
      <c r="B342">
        <f>HYPERLINK("https://www.facebook.com/cahphuninh.pt/", "Công an huyện Phù Ninh  tỉnh Phú Thọ")</f>
      </c>
      <c r="C342" t="str">
        <v>https://www.facebook.com/cahphuninh.pt/</v>
      </c>
      <c r="D342" t="str">
        <v>-</v>
      </c>
      <c r="E342" t="str">
        <v/>
      </c>
      <c r="F342" t="str">
        <v>-</v>
      </c>
      <c r="G342" t="str">
        <v>-</v>
      </c>
    </row>
    <row r="343">
      <c r="A343">
        <v>342</v>
      </c>
      <c r="B343">
        <f>HYPERLINK("https://phuninh.phutho.gov.vn/", "UBND Ủy ban nhân dân huyện Phù Ninh  tỉnh Phú Thọ")</f>
      </c>
      <c r="C343" t="str">
        <v>https://phuninh.phutho.gov.vn/</v>
      </c>
      <c r="D343" t="str">
        <v>-</v>
      </c>
      <c r="E343" t="str">
        <v>-</v>
      </c>
      <c r="F343" t="str">
        <v>-</v>
      </c>
      <c r="G343" t="str">
        <v>-</v>
      </c>
    </row>
    <row r="344">
      <c r="A344">
        <v>343</v>
      </c>
      <c r="B344">
        <f>HYPERLINK("https://www.facebook.com/p/C%C3%B4ng-an-huy%E1%BB%87n-Y%C3%AAn-L%E1%BA%ADp-100076404181551/", "Công an huyện Yên Lập  tỉnh Phú Thọ")</f>
      </c>
      <c r="C344" t="str">
        <v>https://www.facebook.com/p/C%C3%B4ng-an-huy%E1%BB%87n-Y%C3%AAn-L%E1%BA%ADp-100076404181551/</v>
      </c>
      <c r="D344" t="str">
        <v>-</v>
      </c>
      <c r="E344" t="str">
        <v/>
      </c>
      <c r="F344" t="str">
        <v>-</v>
      </c>
      <c r="G344" t="str">
        <v>-</v>
      </c>
    </row>
    <row r="345">
      <c r="A345">
        <v>344</v>
      </c>
      <c r="B345">
        <f>HYPERLINK("https://yenlap.phutho.gov.vn/", "UBND Ủy ban nhân dân huyện Yên Lập  tỉnh Phú Thọ")</f>
      </c>
      <c r="C345" t="str">
        <v>https://yenlap.phutho.gov.vn/</v>
      </c>
      <c r="D345" t="str">
        <v>-</v>
      </c>
      <c r="E345" t="str">
        <v>-</v>
      </c>
      <c r="F345" t="str">
        <v>-</v>
      </c>
      <c r="G345" t="str">
        <v>-</v>
      </c>
    </row>
    <row r="346">
      <c r="A346">
        <v>345</v>
      </c>
      <c r="B346">
        <f>HYPERLINK("https://www.facebook.com/conganhuyencamkhe16920/", "Công an huyện Cẩm Khê  tỉnh Phú Thọ")</f>
      </c>
      <c r="C346" t="str">
        <v>https://www.facebook.com/conganhuyencamkhe16920/</v>
      </c>
      <c r="D346" t="str">
        <v>-</v>
      </c>
      <c r="E346" t="str">
        <v/>
      </c>
      <c r="F346" t="str">
        <v>-</v>
      </c>
      <c r="G346" t="str">
        <v>-</v>
      </c>
    </row>
    <row r="347">
      <c r="A347">
        <v>346</v>
      </c>
      <c r="B347">
        <f>HYPERLINK("https://camkhe.phutho.gov.vn/Chuyen-muc-tin/t/uy-ban-nhan-dan/ctitle/133", "UBND Ủy ban nhân dân huyện Cẩm Khê  tỉnh Phú Thọ")</f>
      </c>
      <c r="C347" t="str">
        <v>https://camkhe.phutho.gov.vn/Chuyen-muc-tin/t/uy-ban-nhan-dan/ctitle/133</v>
      </c>
      <c r="D347" t="str">
        <v>-</v>
      </c>
      <c r="E347" t="str">
        <v>-</v>
      </c>
      <c r="F347" t="str">
        <v>-</v>
      </c>
      <c r="G347" t="str">
        <v>-</v>
      </c>
    </row>
    <row r="348">
      <c r="A348">
        <v>347</v>
      </c>
      <c r="B348">
        <f>HYPERLINK("https://www.facebook.com/ConganhuyenTamNong/", "Công an huyện Tam Nông  tỉnh Phú Thọ")</f>
      </c>
      <c r="C348" t="str">
        <v>https://www.facebook.com/ConganhuyenTamNong/</v>
      </c>
      <c r="D348" t="str">
        <v>-</v>
      </c>
      <c r="E348" t="str">
        <v/>
      </c>
      <c r="F348" t="str">
        <v>-</v>
      </c>
      <c r="G348" t="str">
        <v>-</v>
      </c>
    </row>
    <row r="349">
      <c r="A349">
        <v>348</v>
      </c>
      <c r="B349">
        <f>HYPERLINK("https://tamnong.phutho.gov.vn/", "UBND Ủy ban nhân dân huyện Tam Nông  tỉnh Phú Thọ")</f>
      </c>
      <c r="C349" t="str">
        <v>https://tamnong.phutho.gov.vn/</v>
      </c>
      <c r="D349" t="str">
        <v>-</v>
      </c>
      <c r="E349" t="str">
        <v>-</v>
      </c>
      <c r="F349" t="str">
        <v>-</v>
      </c>
      <c r="G349" t="str">
        <v>-</v>
      </c>
    </row>
    <row r="350">
      <c r="A350">
        <v>349</v>
      </c>
      <c r="B350">
        <f>HYPERLINK("https://www.facebook.com/p/C%C3%B4ng-an-th%E1%BB%8B-tr%E1%BA%A5n-L%C3%A2m-Thao-100081296978934/", "Công an huyện Lâm Thao  tỉnh Phú Thọ")</f>
      </c>
      <c r="C350" t="str">
        <v>https://www.facebook.com/p/C%C3%B4ng-an-th%E1%BB%8B-tr%E1%BA%A5n-L%C3%A2m-Thao-100081296978934/</v>
      </c>
      <c r="D350" t="str">
        <v>-</v>
      </c>
      <c r="E350" t="str">
        <v/>
      </c>
      <c r="F350" t="str">
        <v>-</v>
      </c>
      <c r="G350" t="str">
        <v>-</v>
      </c>
    </row>
    <row r="351">
      <c r="A351">
        <v>350</v>
      </c>
      <c r="B351">
        <f>HYPERLINK("https://lamthao.phutho.gov.vn/", "UBND Ủy ban nhân dân huyện Lâm Thao  tỉnh Phú Thọ")</f>
      </c>
      <c r="C351" t="str">
        <v>https://lamthao.phutho.gov.vn/</v>
      </c>
      <c r="D351" t="str">
        <v>-</v>
      </c>
      <c r="E351" t="str">
        <v>-</v>
      </c>
      <c r="F351" t="str">
        <v>-</v>
      </c>
      <c r="G351" t="str">
        <v>-</v>
      </c>
    </row>
    <row r="352">
      <c r="A352">
        <v>351</v>
      </c>
      <c r="B352">
        <f>HYPERLINK("https://www.facebook.com/p/C%C3%B4ng-an-huy%E1%BB%87n-Thanh-S%C6%A1n-100079872025889/", "Công an huyện Thanh Sơn  tỉnh Phú Thọ")</f>
      </c>
      <c r="C352" t="str">
        <v>https://www.facebook.com/p/C%C3%B4ng-an-huy%E1%BB%87n-Thanh-S%C6%A1n-100079872025889/</v>
      </c>
      <c r="D352" t="str">
        <v>-</v>
      </c>
      <c r="E352" t="str">
        <v/>
      </c>
      <c r="F352" t="str">
        <v>-</v>
      </c>
      <c r="G352" t="str">
        <v>-</v>
      </c>
    </row>
    <row r="353">
      <c r="A353">
        <v>352</v>
      </c>
      <c r="B353">
        <f>HYPERLINK("https://thanhson.phutho.gov.vn/", "UBND Ủy ban nhân dân huyện Thanh Sơn  tỉnh Phú Thọ")</f>
      </c>
      <c r="C353" t="str">
        <v>https://thanhson.phutho.gov.vn/</v>
      </c>
      <c r="D353" t="str">
        <v>-</v>
      </c>
      <c r="E353" t="str">
        <v>-</v>
      </c>
      <c r="F353" t="str">
        <v>-</v>
      </c>
      <c r="G353" t="str">
        <v>-</v>
      </c>
    </row>
    <row r="354">
      <c r="A354">
        <v>353</v>
      </c>
      <c r="B354">
        <f>HYPERLINK("https://www.facebook.com/p/C%C3%B4ng-an-huy%E1%BB%87n-Thanh-Thu%E1%BB%B7-100063605989453/", "Công an huyện Thanh Thuỷ  tỉnh Phú Thọ")</f>
      </c>
      <c r="C354" t="str">
        <v>https://www.facebook.com/p/C%C3%B4ng-an-huy%E1%BB%87n-Thanh-Thu%E1%BB%B7-100063605989453/</v>
      </c>
      <c r="D354" t="str">
        <v>-</v>
      </c>
      <c r="E354" t="str">
        <v/>
      </c>
      <c r="F354" t="str">
        <v>-</v>
      </c>
      <c r="G354" t="str">
        <v>-</v>
      </c>
    </row>
    <row r="355">
      <c r="A355">
        <v>354</v>
      </c>
      <c r="B355">
        <f>HYPERLINK("https://thanhthuy.phutho.gov.vn/", "UBND Ủy ban nhân dân huyện Thanh Thuỷ  tỉnh Phú Thọ")</f>
      </c>
      <c r="C355" t="str">
        <v>https://thanhthuy.phutho.gov.vn/</v>
      </c>
      <c r="D355" t="str">
        <v>-</v>
      </c>
      <c r="E355" t="str">
        <v>-</v>
      </c>
      <c r="F355" t="str">
        <v>-</v>
      </c>
      <c r="G355" t="str">
        <v>-</v>
      </c>
    </row>
    <row r="356">
      <c r="A356">
        <v>355</v>
      </c>
      <c r="B356">
        <f>HYPERLINK("https://www.facebook.com/p/C%C3%B4ng-an-huy%E1%BB%87n-Thanh-S%C6%A1n-100079872025889/", "Công an huyện Tân Sơn  tỉnh Phú Thọ")</f>
      </c>
      <c r="C356" t="str">
        <v>https://www.facebook.com/p/C%C3%B4ng-an-huy%E1%BB%87n-Thanh-S%C6%A1n-100079872025889/</v>
      </c>
      <c r="D356" t="str">
        <v>-</v>
      </c>
      <c r="E356" t="str">
        <v/>
      </c>
      <c r="F356" t="str">
        <v>-</v>
      </c>
      <c r="G356" t="str">
        <v>-</v>
      </c>
    </row>
    <row r="357">
      <c r="A357">
        <v>356</v>
      </c>
      <c r="B357">
        <f>HYPERLINK("https://tanson.phutho.gov.vn/", "UBND Ủy ban nhân dân huyện Tân Sơn  tỉnh Phú Thọ")</f>
      </c>
      <c r="C357" t="str">
        <v>https://tanson.phutho.gov.vn/</v>
      </c>
      <c r="D357" t="str">
        <v>-</v>
      </c>
      <c r="E357" t="str">
        <v>-</v>
      </c>
      <c r="F357" t="str">
        <v>-</v>
      </c>
      <c r="G357" t="str">
        <v>-</v>
      </c>
    </row>
    <row r="358">
      <c r="A358">
        <v>357</v>
      </c>
      <c r="B358">
        <f>HYPERLINK("https://www.facebook.com/p/Tu%E1%BB%95i-tr%E1%BA%BB-C%C3%B4ng-an-Th%C3%A0nh-ph%E1%BB%91-V%C4%A9nh-Y%C3%AAn-100066497717181/?locale=vi_VN", "Công an thành phố Vĩnh Yên  tỉnh Vĩnh Phúc")</f>
      </c>
      <c r="C358" t="str">
        <v>https://www.facebook.com/p/Tu%E1%BB%95i-tr%E1%BA%BB-C%C3%B4ng-an-Th%C3%A0nh-ph%E1%BB%91-V%C4%A9nh-Y%C3%AAn-100066497717181/?locale=vi_VN</v>
      </c>
      <c r="D358" t="str">
        <v>-</v>
      </c>
      <c r="E358" t="str">
        <v/>
      </c>
      <c r="F358" t="str">
        <v>-</v>
      </c>
      <c r="G358" t="str">
        <v>-</v>
      </c>
    </row>
    <row r="359">
      <c r="A359">
        <v>358</v>
      </c>
      <c r="B359">
        <f>HYPERLINK("https://vinhyen.vinhphuc.gov.vn/", "UBND Ủy ban nhân dân thành phố Vĩnh Yên  tỉnh Vĩnh Phúc")</f>
      </c>
      <c r="C359" t="str">
        <v>https://vinhyen.vinhphuc.gov.vn/</v>
      </c>
      <c r="D359" t="str">
        <v>-</v>
      </c>
      <c r="E359" t="str">
        <v>-</v>
      </c>
      <c r="F359" t="str">
        <v>-</v>
      </c>
      <c r="G359" t="str">
        <v>-</v>
      </c>
    </row>
    <row r="360">
      <c r="A360">
        <v>359</v>
      </c>
      <c r="B360">
        <f>HYPERLINK("https://www.facebook.com/Conganhuyenlapthach/?locale=vi_VN", "Công an huyện Lập Thạch  tỉnh Vĩnh Phúc")</f>
      </c>
      <c r="C360" t="str">
        <v>https://www.facebook.com/Conganhuyenlapthach/?locale=vi_VN</v>
      </c>
      <c r="D360" t="str">
        <v>-</v>
      </c>
      <c r="E360" t="str">
        <v/>
      </c>
      <c r="F360" t="str">
        <v>-</v>
      </c>
      <c r="G360" t="str">
        <v>-</v>
      </c>
    </row>
    <row r="361">
      <c r="A361">
        <v>360</v>
      </c>
      <c r="B361">
        <f>HYPERLINK("https://lapthach.vinhphuc.gov.vn/ct/cms/tintuc/Lists/H/View_Detail.aspx?ItemID=26", "UBND Ủy ban nhân dân huyện Lập Thạch  tỉnh Vĩnh Phúc")</f>
      </c>
      <c r="C361" t="str">
        <v>https://lapthach.vinhphuc.gov.vn/ct/cms/tintuc/Lists/H/View_Detail.aspx?ItemID=26</v>
      </c>
      <c r="D361" t="str">
        <v>-</v>
      </c>
      <c r="E361" t="str">
        <v>-</v>
      </c>
      <c r="F361" t="str">
        <v>-</v>
      </c>
      <c r="G361" t="str">
        <v>-</v>
      </c>
    </row>
    <row r="362">
      <c r="A362">
        <v>361</v>
      </c>
      <c r="B362">
        <f>HYPERLINK("https://www.facebook.com/832894947302980", "Công an huyện Tam Dương  tỉnh Vĩnh Phúc")</f>
      </c>
      <c r="C362" t="str">
        <v>https://www.facebook.com/832894947302980</v>
      </c>
      <c r="D362" t="str">
        <v>-</v>
      </c>
      <c r="E362" t="str">
        <v/>
      </c>
      <c r="F362" t="str">
        <v>-</v>
      </c>
      <c r="G362" t="str">
        <v>-</v>
      </c>
    </row>
    <row r="363">
      <c r="A363">
        <v>362</v>
      </c>
      <c r="B363">
        <f>HYPERLINK("https://tamduong.vinhphuc.gov.vn/", "UBND Ủy ban nhân dân huyện Tam Dương  tỉnh Vĩnh Phúc")</f>
      </c>
      <c r="C363" t="str">
        <v>https://tamduong.vinhphuc.gov.vn/</v>
      </c>
      <c r="D363" t="str">
        <v>-</v>
      </c>
      <c r="E363" t="str">
        <v>-</v>
      </c>
      <c r="F363" t="str">
        <v>-</v>
      </c>
      <c r="G363" t="str">
        <v>-</v>
      </c>
    </row>
    <row r="364">
      <c r="A364">
        <v>363</v>
      </c>
      <c r="B364">
        <f>HYPERLINK("https://www.facebook.com/antthuyentamdao/", "Công an huyện Tam Đảo  tỉnh Vĩnh Phúc")</f>
      </c>
      <c r="C364" t="str">
        <v>https://www.facebook.com/antthuyentamdao/</v>
      </c>
      <c r="D364" t="str">
        <v>-</v>
      </c>
      <c r="E364" t="str">
        <v/>
      </c>
      <c r="F364" t="str">
        <v>-</v>
      </c>
      <c r="G364" t="str">
        <v>-</v>
      </c>
    </row>
    <row r="365">
      <c r="A365">
        <v>364</v>
      </c>
      <c r="B365">
        <f>HYPERLINK("https://tamdao.vinhphuc.gov.vn/", "UBND Ủy ban nhân dân huyện Tam Đảo  tỉnh Vĩnh Phúc")</f>
      </c>
      <c r="C365" t="str">
        <v>https://tamdao.vinhphuc.gov.vn/</v>
      </c>
      <c r="D365" t="str">
        <v>-</v>
      </c>
      <c r="E365" t="str">
        <v>-</v>
      </c>
      <c r="F365" t="str">
        <v>-</v>
      </c>
      <c r="G365" t="str">
        <v>-</v>
      </c>
    </row>
    <row r="366">
      <c r="A366">
        <v>365</v>
      </c>
      <c r="B366">
        <f>HYPERLINK("https://www.facebook.com/congantthuongcanh/", "Công an huyện Bình Xuyên  tỉnh Vĩnh Phúc")</f>
      </c>
      <c r="C366" t="str">
        <v>https://www.facebook.com/congantthuongcanh/</v>
      </c>
      <c r="D366" t="str">
        <v>-</v>
      </c>
      <c r="E366" t="str">
        <v/>
      </c>
      <c r="F366" t="str">
        <v>-</v>
      </c>
      <c r="G366" t="str">
        <v>-</v>
      </c>
    </row>
    <row r="367">
      <c r="A367">
        <v>366</v>
      </c>
      <c r="B367">
        <f>HYPERLINK("https://vinhphuc.gov.vn/ct/cms/congdan/khieunaitc/Lists/TinTucHoatDong/view_Detail.aspx", "UBND Ủy ban nhân dân huyện Bình Xuyên  tỉnh Vĩnh Phúc")</f>
      </c>
      <c r="C367" t="str">
        <v>https://vinhphuc.gov.vn/ct/cms/congdan/khieunaitc/Lists/TinTucHoatDong/view_Detail.aspx</v>
      </c>
      <c r="D367" t="str">
        <v>-</v>
      </c>
      <c r="E367" t="str">
        <v>-</v>
      </c>
      <c r="F367" t="str">
        <v>-</v>
      </c>
      <c r="G367" t="str">
        <v>-</v>
      </c>
    </row>
    <row r="368">
      <c r="A368">
        <v>367</v>
      </c>
      <c r="B368">
        <f>HYPERLINK("https://www.facebook.com/p/An-ninh-tr%E1%BA%ADt-t%E1%BB%B1-huy%E1%BB%87n-Y%C3%AAn-L%E1%BA%A1c-100071671720863/", "Công an huyện Yên Lạc  tỉnh Vĩnh Phúc")</f>
      </c>
      <c r="C368" t="str">
        <v>https://www.facebook.com/p/An-ninh-tr%E1%BA%ADt-t%E1%BB%B1-huy%E1%BB%87n-Y%C3%AAn-L%E1%BA%A1c-100071671720863/</v>
      </c>
      <c r="D368" t="str">
        <v>-</v>
      </c>
      <c r="E368" t="str">
        <v/>
      </c>
      <c r="F368" t="str">
        <v>-</v>
      </c>
      <c r="G368" t="str">
        <v>-</v>
      </c>
    </row>
    <row r="369">
      <c r="A369">
        <v>368</v>
      </c>
      <c r="B369">
        <f>HYPERLINK("https://yenlac.vinhphuc.gov.vn/", "UBND Ủy ban nhân dân huyện Yên Lạc  tỉnh Vĩnh Phúc")</f>
      </c>
      <c r="C369" t="str">
        <v>https://yenlac.vinhphuc.gov.vn/</v>
      </c>
      <c r="D369" t="str">
        <v>-</v>
      </c>
      <c r="E369" t="str">
        <v>-</v>
      </c>
      <c r="F369" t="str">
        <v>-</v>
      </c>
      <c r="G369" t="str">
        <v>-</v>
      </c>
    </row>
    <row r="370">
      <c r="A370">
        <v>369</v>
      </c>
      <c r="B370">
        <f>HYPERLINK("https://www.facebook.com/ANTThuyenVinhTuong/", "Công an huyện Vĩnh Tường  tỉnh Vĩnh Phúc")</f>
      </c>
      <c r="C370" t="str">
        <v>https://www.facebook.com/ANTThuyenVinhTuong/</v>
      </c>
      <c r="D370" t="str">
        <v>-</v>
      </c>
      <c r="E370" t="str">
        <v/>
      </c>
      <c r="F370" t="str">
        <v>-</v>
      </c>
      <c r="G370" t="str">
        <v>-</v>
      </c>
    </row>
    <row r="371">
      <c r="A371">
        <v>370</v>
      </c>
      <c r="B371">
        <f>HYPERLINK("https://vinhtuong.vinhphuc.gov.vn/", "UBND Ủy ban nhân dân huyện Vĩnh Tường  tỉnh Vĩnh Phúc")</f>
      </c>
      <c r="C371" t="str">
        <v>https://vinhtuong.vinhphuc.gov.vn/</v>
      </c>
      <c r="D371" t="str">
        <v>-</v>
      </c>
      <c r="E371" t="str">
        <v>-</v>
      </c>
      <c r="F371" t="str">
        <v>-</v>
      </c>
      <c r="G371" t="str">
        <v>-</v>
      </c>
    </row>
    <row r="372">
      <c r="A372">
        <v>371</v>
      </c>
      <c r="B372">
        <f>HYPERLINK("https://www.facebook.com/antthuyensonglo/?locale=vi_VN", "Công an huyện Sông Lô  tỉnh Vĩnh Phúc")</f>
      </c>
      <c r="C372" t="str">
        <v>https://www.facebook.com/antthuyensonglo/?locale=vi_VN</v>
      </c>
      <c r="D372" t="str">
        <v>-</v>
      </c>
      <c r="E372" t="str">
        <v/>
      </c>
      <c r="F372" t="str">
        <v>-</v>
      </c>
      <c r="G372" t="str">
        <v>-</v>
      </c>
    </row>
    <row r="373">
      <c r="A373">
        <v>372</v>
      </c>
      <c r="B373">
        <f>HYPERLINK("https://songlo.vinhphuc.gov.vn/", "UBND Ủy ban nhân dân huyện Sông Lô  tỉnh Vĩnh Phúc")</f>
      </c>
      <c r="C373" t="str">
        <v>https://songlo.vinhphuc.gov.vn/</v>
      </c>
      <c r="D373" t="str">
        <v>-</v>
      </c>
      <c r="E373" t="str">
        <v>-</v>
      </c>
      <c r="F373" t="str">
        <v>-</v>
      </c>
      <c r="G373" t="str">
        <v>-</v>
      </c>
    </row>
    <row r="374">
      <c r="A374">
        <v>373</v>
      </c>
      <c r="B374">
        <f>HYPERLINK("https://www.facebook.com/p/C%C3%B4ng-An-T%E1%BB%89nh-B%E1%BA%AFc-Ninh-100067184832103/", "Công an thành phố Bắc Ninh  tỉnh Bắc Ninh")</f>
      </c>
      <c r="C374" t="str">
        <v>https://www.facebook.com/p/C%C3%B4ng-An-T%E1%BB%89nh-B%E1%BA%AFc-Ninh-100067184832103/</v>
      </c>
      <c r="D374" t="str">
        <v>-</v>
      </c>
      <c r="E374" t="str">
        <v/>
      </c>
      <c r="F374" t="str">
        <v>-</v>
      </c>
      <c r="G374" t="str">
        <v>-</v>
      </c>
    </row>
    <row r="375">
      <c r="A375">
        <v>374</v>
      </c>
      <c r="B375">
        <f>HYPERLINK("https://tpbacninh.bacninh.gov.vn/", "UBND Ủy ban nhân dân thành phố Bắc Ninh  tỉnh Bắc Ninh")</f>
      </c>
      <c r="C375" t="str">
        <v>https://tpbacninh.bacninh.gov.vn/</v>
      </c>
      <c r="D375" t="str">
        <v>-</v>
      </c>
      <c r="E375" t="str">
        <v>-</v>
      </c>
      <c r="F375" t="str">
        <v>-</v>
      </c>
      <c r="G375" t="str">
        <v>-</v>
      </c>
    </row>
    <row r="376">
      <c r="A376">
        <v>375</v>
      </c>
      <c r="B376">
        <f>HYPERLINK("https://www.facebook.com/cahyenphong/", "Công an huyện Yên Phong  tỉnh Bắc Ninh")</f>
      </c>
      <c r="C376" t="str">
        <v>https://www.facebook.com/cahyenphong/</v>
      </c>
      <c r="D376" t="str">
        <v>-</v>
      </c>
      <c r="E376" t="str">
        <v/>
      </c>
      <c r="F376" t="str">
        <v>-</v>
      </c>
      <c r="G376" t="str">
        <v>-</v>
      </c>
    </row>
    <row r="377">
      <c r="A377">
        <v>376</v>
      </c>
      <c r="B377">
        <f>HYPERLINK("https://yenphong.bacninh.gov.vn/", "UBND Ủy ban nhân dân huyện Yên Phong  tỉnh Bắc Ninh")</f>
      </c>
      <c r="C377" t="str">
        <v>https://yenphong.bacninh.gov.vn/</v>
      </c>
      <c r="D377" t="str">
        <v>-</v>
      </c>
      <c r="E377" t="str">
        <v>-</v>
      </c>
      <c r="F377" t="str">
        <v>-</v>
      </c>
      <c r="G377" t="str">
        <v>-</v>
      </c>
    </row>
    <row r="378">
      <c r="A378">
        <v>377</v>
      </c>
      <c r="B378" t="str">
        <v>Công an huyện Quế Võ  tỉnh Bắc Ninh</v>
      </c>
      <c r="C378" t="str">
        <v>-</v>
      </c>
      <c r="D378" t="str">
        <v>-</v>
      </c>
      <c r="E378" t="str">
        <v/>
      </c>
      <c r="F378" t="str">
        <v>-</v>
      </c>
      <c r="G378" t="str">
        <v>-</v>
      </c>
    </row>
    <row r="379">
      <c r="A379">
        <v>378</v>
      </c>
      <c r="B379">
        <f>HYPERLINK("https://quevo.bacninh.gov.vn/", "UBND Ủy ban nhân dân huyện Quế Võ  tỉnh Bắc Ninh")</f>
      </c>
      <c r="C379" t="str">
        <v>https://quevo.bacninh.gov.vn/</v>
      </c>
      <c r="D379" t="str">
        <v>-</v>
      </c>
      <c r="E379" t="str">
        <v>-</v>
      </c>
      <c r="F379" t="str">
        <v>-</v>
      </c>
      <c r="G379" t="str">
        <v>-</v>
      </c>
    </row>
    <row r="380">
      <c r="A380">
        <v>379</v>
      </c>
      <c r="B380">
        <f>HYPERLINK("https://www.facebook.com/p/C%C3%B4ng-An-T%E1%BB%89nh-B%E1%BA%AFc-Ninh-100067184832103/", "Công an huyện Tiên Du  tỉnh Bắc Ninh")</f>
      </c>
      <c r="C380" t="str">
        <v>https://www.facebook.com/p/C%C3%B4ng-An-T%E1%BB%89nh-B%E1%BA%AFc-Ninh-100067184832103/</v>
      </c>
      <c r="D380" t="str">
        <v>-</v>
      </c>
      <c r="E380" t="str">
        <v/>
      </c>
      <c r="F380" t="str">
        <v>-</v>
      </c>
      <c r="G380" t="str">
        <v>-</v>
      </c>
    </row>
    <row r="381">
      <c r="A381">
        <v>380</v>
      </c>
      <c r="B381">
        <f>HYPERLINK("https://tiendu.bacninh.gov.vn/", "UBND Ủy ban nhân dân huyện Tiên Du  tỉnh Bắc Ninh")</f>
      </c>
      <c r="C381" t="str">
        <v>https://tiendu.bacninh.gov.vn/</v>
      </c>
      <c r="D381" t="str">
        <v>-</v>
      </c>
      <c r="E381" t="str">
        <v>-</v>
      </c>
      <c r="F381" t="str">
        <v>-</v>
      </c>
      <c r="G381" t="str">
        <v>-</v>
      </c>
    </row>
    <row r="382">
      <c r="A382">
        <v>381</v>
      </c>
      <c r="B382">
        <f>HYPERLINK("https://www.facebook.com/p/Tu%E1%BB%95i-tr%E1%BA%BB-C%C3%B4ng-an-huy%E1%BB%87n-Ninh-Ph%C6%B0%E1%BB%9Bc-100068114569027/", "Công an huyện Thuận Thành  tỉnh Bắc Ninh")</f>
      </c>
      <c r="C382" t="str">
        <v>https://www.facebook.com/p/Tu%E1%BB%95i-tr%E1%BA%BB-C%C3%B4ng-an-huy%E1%BB%87n-Ninh-Ph%C6%B0%E1%BB%9Bc-100068114569027/</v>
      </c>
      <c r="D382" t="str">
        <v>-</v>
      </c>
      <c r="E382" t="str">
        <v/>
      </c>
      <c r="F382" t="str">
        <v>-</v>
      </c>
      <c r="G382" t="str">
        <v>-</v>
      </c>
    </row>
    <row r="383">
      <c r="A383">
        <v>382</v>
      </c>
      <c r="B383">
        <f>HYPERLINK("https://thuanthanh.bacninh.gov.vn/", "UBND Ủy ban nhân dân huyện Thuận Thành  tỉnh Bắc Ninh")</f>
      </c>
      <c r="C383" t="str">
        <v>https://thuanthanh.bacninh.gov.vn/</v>
      </c>
      <c r="D383" t="str">
        <v>-</v>
      </c>
      <c r="E383" t="str">
        <v>-</v>
      </c>
      <c r="F383" t="str">
        <v>-</v>
      </c>
      <c r="G383" t="str">
        <v>-</v>
      </c>
    </row>
    <row r="384">
      <c r="A384">
        <v>383</v>
      </c>
      <c r="B384">
        <f>HYPERLINK("https://www.facebook.com/p/C%C3%B4ng-an-huy%E1%BB%87n-Gia-B%C3%ACnh-100075950866118/", "Công an huyện Gia Bình  tỉnh Bắc Ninh")</f>
      </c>
      <c r="C384" t="str">
        <v>https://www.facebook.com/p/C%C3%B4ng-an-huy%E1%BB%87n-Gia-B%C3%ACnh-100075950866118/</v>
      </c>
      <c r="D384" t="str">
        <v>-</v>
      </c>
      <c r="E384" t="str">
        <v/>
      </c>
      <c r="F384" t="str">
        <v>-</v>
      </c>
      <c r="G384" t="str">
        <v>-</v>
      </c>
    </row>
    <row r="385">
      <c r="A385">
        <v>384</v>
      </c>
      <c r="B385">
        <f>HYPERLINK("https://giabinh.bacninh.gov.vn/", "UBND Ủy ban nhân dân huyện Gia Bình  tỉnh Bắc Ninh")</f>
      </c>
      <c r="C385" t="str">
        <v>https://giabinh.bacninh.gov.vn/</v>
      </c>
      <c r="D385" t="str">
        <v>-</v>
      </c>
      <c r="E385" t="str">
        <v>-</v>
      </c>
      <c r="F385" t="str">
        <v>-</v>
      </c>
      <c r="G385" t="str">
        <v>-</v>
      </c>
    </row>
    <row r="386">
      <c r="A386">
        <v>385</v>
      </c>
      <c r="B386">
        <f>HYPERLINK("https://www.facebook.com/conganluongtai/", "Công an huyện Lương Tài  tỉnh Bắc Ninh")</f>
      </c>
      <c r="C386" t="str">
        <v>https://www.facebook.com/conganluongtai/</v>
      </c>
      <c r="D386" t="str">
        <v>-</v>
      </c>
      <c r="E386" t="str">
        <v/>
      </c>
      <c r="F386" t="str">
        <v>-</v>
      </c>
      <c r="G386" t="str">
        <v>-</v>
      </c>
    </row>
    <row r="387">
      <c r="A387">
        <v>386</v>
      </c>
      <c r="B387">
        <f>HYPERLINK("https://luongtai.bacninh.gov.vn/", "UBND Ủy ban nhân dân huyện Lương Tài  tỉnh Bắc Ninh")</f>
      </c>
      <c r="C387" t="str">
        <v>https://luongtai.bacninh.gov.vn/</v>
      </c>
      <c r="D387" t="str">
        <v>-</v>
      </c>
      <c r="E387" t="str">
        <v>-</v>
      </c>
      <c r="F387" t="str">
        <v>-</v>
      </c>
      <c r="G387" t="str">
        <v>-</v>
      </c>
    </row>
    <row r="388">
      <c r="A388">
        <v>387</v>
      </c>
      <c r="B388">
        <f>HYPERLINK("https://www.facebook.com/conganthanhphohaiduong/?locale=vi_VN", "Công an thành phố Hải Dương  tỉnh Hải Dương")</f>
      </c>
      <c r="C388" t="str">
        <v>https://www.facebook.com/conganthanhphohaiduong/?locale=vi_VN</v>
      </c>
      <c r="D388" t="str">
        <v>-</v>
      </c>
      <c r="E388" t="str">
        <v/>
      </c>
      <c r="F388" t="str">
        <v>-</v>
      </c>
      <c r="G388" t="str">
        <v>-</v>
      </c>
    </row>
    <row r="389">
      <c r="A389">
        <v>388</v>
      </c>
      <c r="B389">
        <f>HYPERLINK("https://tphaiduong.haiduong.gov.vn/", "UBND Ủy ban nhân dân thành phố Hải Dương  tỉnh Hải Dương")</f>
      </c>
      <c r="C389" t="str">
        <v>https://tphaiduong.haiduong.gov.vn/</v>
      </c>
      <c r="D389" t="str">
        <v>-</v>
      </c>
      <c r="E389" t="str">
        <v>-</v>
      </c>
      <c r="F389" t="str">
        <v>-</v>
      </c>
      <c r="G389" t="str">
        <v>-</v>
      </c>
    </row>
    <row r="390">
      <c r="A390">
        <v>389</v>
      </c>
      <c r="B390">
        <f>HYPERLINK("https://www.facebook.com/p/C%C3%B4ng-an-huy%E1%BB%87n-Nam-S%C3%A1ch-H%E1%BA%A3i-D%C6%B0%C6%A1ng-100071442241264/", "Công an huyện Nam Sách  tỉnh Hải Dương")</f>
      </c>
      <c r="C390" t="str">
        <v>https://www.facebook.com/p/C%C3%B4ng-an-huy%E1%BB%87n-Nam-S%C3%A1ch-H%E1%BA%A3i-D%C6%B0%C6%A1ng-100071442241264/</v>
      </c>
      <c r="D390" t="str">
        <v>-</v>
      </c>
      <c r="E390" t="str">
        <v/>
      </c>
      <c r="F390" t="str">
        <v>-</v>
      </c>
      <c r="G390" t="str">
        <v>-</v>
      </c>
    </row>
    <row r="391">
      <c r="A391">
        <v>390</v>
      </c>
      <c r="B391">
        <f>HYPERLINK("https://namsach.haiduong.gov.vn/", "UBND Ủy ban nhân dân huyện Nam Sách  tỉnh Hải Dương")</f>
      </c>
      <c r="C391" t="str">
        <v>https://namsach.haiduong.gov.vn/</v>
      </c>
      <c r="D391" t="str">
        <v>-</v>
      </c>
      <c r="E391" t="str">
        <v>-</v>
      </c>
      <c r="F391" t="str">
        <v>-</v>
      </c>
      <c r="G391" t="str">
        <v>-</v>
      </c>
    </row>
    <row r="392">
      <c r="A392">
        <v>391</v>
      </c>
      <c r="B392">
        <f>HYPERLINK("https://www.facebook.com/CATX.KM/", "Công an huyện Kinh Môn  tỉnh Hải Dương")</f>
      </c>
      <c r="C392" t="str">
        <v>https://www.facebook.com/CATX.KM/</v>
      </c>
      <c r="D392" t="str">
        <v>-</v>
      </c>
      <c r="E392" t="str">
        <v/>
      </c>
      <c r="F392" t="str">
        <v>-</v>
      </c>
      <c r="G392" t="str">
        <v>-</v>
      </c>
    </row>
    <row r="393">
      <c r="A393">
        <v>392</v>
      </c>
      <c r="B393">
        <f>HYPERLINK("https://kinhmon.haiduong.gov.vn/", "UBND Ủy ban nhân dân huyện Kinh Môn  tỉnh Hải Dương")</f>
      </c>
      <c r="C393" t="str">
        <v>https://kinhmon.haiduong.gov.vn/</v>
      </c>
      <c r="D393" t="str">
        <v>-</v>
      </c>
      <c r="E393" t="str">
        <v>-</v>
      </c>
      <c r="F393" t="str">
        <v>-</v>
      </c>
      <c r="G393" t="str">
        <v>-</v>
      </c>
    </row>
    <row r="394">
      <c r="A394">
        <v>393</v>
      </c>
      <c r="B394">
        <f>HYPERLINK("https://www.facebook.com/CAHKTHD/", "Công an huyện Kim Thành  tỉnh Hải Dương")</f>
      </c>
      <c r="C394" t="str">
        <v>https://www.facebook.com/CAHKTHD/</v>
      </c>
      <c r="D394" t="str">
        <v>-</v>
      </c>
      <c r="E394" t="str">
        <v/>
      </c>
      <c r="F394" t="str">
        <v>-</v>
      </c>
      <c r="G394" t="str">
        <v>-</v>
      </c>
    </row>
    <row r="395">
      <c r="A395">
        <v>394</v>
      </c>
      <c r="B395">
        <f>HYPERLINK("https://kimthanh.haiduong.gov.vn/", "UBND Ủy ban nhân dân huyện Kim Thành  tỉnh Hải Dương")</f>
      </c>
      <c r="C395" t="str">
        <v>https://kimthanh.haiduong.gov.vn/</v>
      </c>
      <c r="D395" t="str">
        <v>-</v>
      </c>
      <c r="E395" t="str">
        <v>-</v>
      </c>
      <c r="F395" t="str">
        <v>-</v>
      </c>
      <c r="G395" t="str">
        <v>-</v>
      </c>
    </row>
    <row r="396">
      <c r="A396">
        <v>395</v>
      </c>
      <c r="B396">
        <f>HYPERLINK("https://www.facebook.com/p/C%C3%B4ng-an-huy%E1%BB%87n-Thanh-H%C3%A0-H%E1%BA%A3i-D%C6%B0%C6%A1ng-100064628331014/", "Công an huyện Thanh Hà  tỉnh Hải Dương")</f>
      </c>
      <c r="C396" t="str">
        <v>https://www.facebook.com/p/C%C3%B4ng-an-huy%E1%BB%87n-Thanh-H%C3%A0-H%E1%BA%A3i-D%C6%B0%C6%A1ng-100064628331014/</v>
      </c>
      <c r="D396" t="str">
        <v>-</v>
      </c>
      <c r="E396" t="str">
        <v/>
      </c>
      <c r="F396" t="str">
        <v>-</v>
      </c>
      <c r="G396" t="str">
        <v>-</v>
      </c>
    </row>
    <row r="397">
      <c r="A397">
        <v>396</v>
      </c>
      <c r="B397">
        <f>HYPERLINK("https://thanhha.haiduong.gov.vn/", "UBND Ủy ban nhân dân huyện Thanh Hà  tỉnh Hải Dương")</f>
      </c>
      <c r="C397" t="str">
        <v>https://thanhha.haiduong.gov.vn/</v>
      </c>
      <c r="D397" t="str">
        <v>-</v>
      </c>
      <c r="E397" t="str">
        <v>-</v>
      </c>
      <c r="F397" t="str">
        <v>-</v>
      </c>
      <c r="G397" t="str">
        <v>-</v>
      </c>
    </row>
    <row r="398">
      <c r="A398">
        <v>397</v>
      </c>
      <c r="B398">
        <f>HYPERLINK("https://www.facebook.com/p/C%C3%B4ng-an-huy%E1%BB%87n-C%E1%BA%A9m-Gi%C3%A0ng-H%E1%BA%A3i-D%C6%B0%C6%A1ng-100069362282975/", "Công an huyện Cẩm Giàng  tỉnh Hải Dương")</f>
      </c>
      <c r="C398" t="str">
        <v>https://www.facebook.com/p/C%C3%B4ng-an-huy%E1%BB%87n-C%E1%BA%A9m-Gi%C3%A0ng-H%E1%BA%A3i-D%C6%B0%C6%A1ng-100069362282975/</v>
      </c>
      <c r="D398" t="str">
        <v>-</v>
      </c>
      <c r="E398" t="str">
        <v/>
      </c>
      <c r="F398" t="str">
        <v>-</v>
      </c>
      <c r="G398" t="str">
        <v>-</v>
      </c>
    </row>
    <row r="399">
      <c r="A399">
        <v>398</v>
      </c>
      <c r="B399">
        <f>HYPERLINK("https://camgiang.haiduong.gov.vn/", "UBND Ủy ban nhân dân huyện Cẩm Giàng  tỉnh Hải Dương")</f>
      </c>
      <c r="C399" t="str">
        <v>https://camgiang.haiduong.gov.vn/</v>
      </c>
      <c r="D399" t="str">
        <v>-</v>
      </c>
      <c r="E399" t="str">
        <v>-</v>
      </c>
      <c r="F399" t="str">
        <v>-</v>
      </c>
      <c r="G399" t="str">
        <v>-</v>
      </c>
    </row>
    <row r="400">
      <c r="A400">
        <v>399</v>
      </c>
      <c r="B400">
        <f>HYPERLINK("https://www.facebook.com/p/C%C3%B4ng-an-huy%E1%BB%87n-B%C3%ACnh-Giang-H%E1%BA%A3i-D%C6%B0%C6%A1ng-100070047815358/?locale=vi_VN", "Công an huyện Bình Giang  tỉnh Hải Dương")</f>
      </c>
      <c r="C400" t="str">
        <v>https://www.facebook.com/p/C%C3%B4ng-an-huy%E1%BB%87n-B%C3%ACnh-Giang-H%E1%BA%A3i-D%C6%B0%C6%A1ng-100070047815358/?locale=vi_VN</v>
      </c>
      <c r="D400" t="str">
        <v>-</v>
      </c>
      <c r="E400" t="str">
        <v/>
      </c>
      <c r="F400" t="str">
        <v>-</v>
      </c>
      <c r="G400" t="str">
        <v>-</v>
      </c>
    </row>
    <row r="401">
      <c r="A401">
        <v>400</v>
      </c>
      <c r="B401">
        <f>HYPERLINK("https://binhgiang.haiduong.gov.vn/", "UBND Ủy ban nhân dân huyện Bình Giang  tỉnh Hải Dương")</f>
      </c>
      <c r="C401" t="str">
        <v>https://binhgiang.haiduong.gov.vn/</v>
      </c>
      <c r="D401" t="str">
        <v>-</v>
      </c>
      <c r="E401" t="str">
        <v>-</v>
      </c>
      <c r="F401" t="str">
        <v>-</v>
      </c>
      <c r="G401" t="str">
        <v>-</v>
      </c>
    </row>
    <row r="402">
      <c r="A402">
        <v>401</v>
      </c>
      <c r="B402">
        <f>HYPERLINK("https://www.facebook.com/conganhuyengialoc/", "Công an huyện Gia Lộc  tỉnh Hải Dương")</f>
      </c>
      <c r="C402" t="str">
        <v>https://www.facebook.com/conganhuyengialoc/</v>
      </c>
      <c r="D402" t="str">
        <v>-</v>
      </c>
      <c r="E402" t="str">
        <v/>
      </c>
      <c r="F402" t="str">
        <v>-</v>
      </c>
      <c r="G402" t="str">
        <v>-</v>
      </c>
    </row>
    <row r="403">
      <c r="A403">
        <v>402</v>
      </c>
      <c r="B403">
        <f>HYPERLINK("https://gialoc.haiduong.gov.vn/", "UBND Ủy ban nhân dân huyện Gia Lộc  tỉnh Hải Dương")</f>
      </c>
      <c r="C403" t="str">
        <v>https://gialoc.haiduong.gov.vn/</v>
      </c>
      <c r="D403" t="str">
        <v>-</v>
      </c>
      <c r="E403" t="str">
        <v>-</v>
      </c>
      <c r="F403" t="str">
        <v>-</v>
      </c>
      <c r="G403" t="str">
        <v>-</v>
      </c>
    </row>
    <row r="404">
      <c r="A404">
        <v>403</v>
      </c>
      <c r="B404">
        <f>HYPERLINK("https://www.facebook.com/p/C%C3%B4ng-an-huy%E1%BB%87n-T%E1%BB%A9-K%E1%BB%B3-100076039831546/", "Công an huyện Tứ Kỳ  tỉnh Hải Dương")</f>
      </c>
      <c r="C404" t="str">
        <v>https://www.facebook.com/p/C%C3%B4ng-an-huy%E1%BB%87n-T%E1%BB%A9-K%E1%BB%B3-100076039831546/</v>
      </c>
      <c r="D404" t="str">
        <v>-</v>
      </c>
      <c r="E404" t="str">
        <v/>
      </c>
      <c r="F404" t="str">
        <v>-</v>
      </c>
      <c r="G404" t="str">
        <v>-</v>
      </c>
    </row>
    <row r="405">
      <c r="A405">
        <v>404</v>
      </c>
      <c r="B405">
        <f>HYPERLINK("https://tuky.haiduong.gov.vn/", "UBND Ủy ban nhân dân huyện Tứ Kỳ  tỉnh Hải Dương")</f>
      </c>
      <c r="C405" t="str">
        <v>https://tuky.haiduong.gov.vn/</v>
      </c>
      <c r="D405" t="str">
        <v>-</v>
      </c>
      <c r="E405" t="str">
        <v>-</v>
      </c>
      <c r="F405" t="str">
        <v>-</v>
      </c>
      <c r="G405" t="str">
        <v>-</v>
      </c>
    </row>
    <row r="406">
      <c r="A406">
        <v>405</v>
      </c>
      <c r="B406">
        <f>HYPERLINK("https://www.facebook.com/p/C%C3%B4ng-an-huy%E1%BB%87n-Ninh-Giang-H%E1%BA%A3i-D%C6%B0%C6%A1ng-100071685176816/", "Công an huyện Ninh Giang  tỉnh Hải Dương")</f>
      </c>
      <c r="C406" t="str">
        <v>https://www.facebook.com/p/C%C3%B4ng-an-huy%E1%BB%87n-Ninh-Giang-H%E1%BA%A3i-D%C6%B0%C6%A1ng-100071685176816/</v>
      </c>
      <c r="D406" t="str">
        <v>-</v>
      </c>
      <c r="E406" t="str">
        <v/>
      </c>
      <c r="F406" t="str">
        <v>-</v>
      </c>
      <c r="G406" t="str">
        <v>-</v>
      </c>
    </row>
    <row r="407">
      <c r="A407">
        <v>406</v>
      </c>
      <c r="B407">
        <f>HYPERLINK("https://ninhgiang.haiduong.gov.vn/", "UBND Ủy ban nhân dân huyện Ninh Giang  tỉnh Hải Dương")</f>
      </c>
      <c r="C407" t="str">
        <v>https://ninhgiang.haiduong.gov.vn/</v>
      </c>
      <c r="D407" t="str">
        <v>-</v>
      </c>
      <c r="E407" t="str">
        <v>-</v>
      </c>
      <c r="F407" t="str">
        <v>-</v>
      </c>
      <c r="G407" t="str">
        <v>-</v>
      </c>
    </row>
    <row r="408">
      <c r="A408">
        <v>407</v>
      </c>
      <c r="B408">
        <f>HYPERLINK("https://www.facebook.com/p/C%C3%B4ng-an-Thanh-Mi%E1%BB%87n-100068994404736/", "Công an huyện Thanh Miện  tỉnh Hải Dương")</f>
      </c>
      <c r="C408" t="str">
        <v>https://www.facebook.com/p/C%C3%B4ng-an-Thanh-Mi%E1%BB%87n-100068994404736/</v>
      </c>
      <c r="D408" t="str">
        <v>-</v>
      </c>
      <c r="E408" t="str">
        <v/>
      </c>
      <c r="F408" t="str">
        <v>-</v>
      </c>
      <c r="G408" t="str">
        <v>-</v>
      </c>
    </row>
    <row r="409">
      <c r="A409">
        <v>408</v>
      </c>
      <c r="B409">
        <f>HYPERLINK("https://thanhmien.haiduong.gov.vn/", "UBND Ủy ban nhân dân huyện Thanh Miện  tỉnh Hải Dương")</f>
      </c>
      <c r="C409" t="str">
        <v>https://thanhmien.haiduong.gov.vn/</v>
      </c>
      <c r="D409" t="str">
        <v>-</v>
      </c>
      <c r="E409" t="str">
        <v>-</v>
      </c>
      <c r="F409" t="str">
        <v>-</v>
      </c>
      <c r="G409" t="str">
        <v>-</v>
      </c>
    </row>
    <row r="410">
      <c r="A410">
        <v>409</v>
      </c>
      <c r="B410">
        <f>HYPERLINK("https://www.facebook.com/CAQHongBang/", "Công an quận Hồng Bàng  thành phố Hải Phòng")</f>
      </c>
      <c r="C410" t="str">
        <v>https://www.facebook.com/CAQHongBang/</v>
      </c>
      <c r="D410" t="str">
        <v>-</v>
      </c>
      <c r="E410" t="str">
        <v/>
      </c>
      <c r="F410" t="str">
        <v>-</v>
      </c>
      <c r="G410" t="str">
        <v>-</v>
      </c>
    </row>
    <row r="411">
      <c r="A411">
        <v>410</v>
      </c>
      <c r="B411">
        <f>HYPERLINK("https://hongbang.haiphong.gov.vn/", "UBND Ủy ban nhân dân quận Hồng Bàng  thành phố Hải Phòng")</f>
      </c>
      <c r="C411" t="str">
        <v>https://hongbang.haiphong.gov.vn/</v>
      </c>
      <c r="D411" t="str">
        <v>-</v>
      </c>
      <c r="E411" t="str">
        <v>-</v>
      </c>
      <c r="F411" t="str">
        <v>-</v>
      </c>
      <c r="G411" t="str">
        <v>-</v>
      </c>
    </row>
    <row r="412">
      <c r="A412">
        <v>411</v>
      </c>
      <c r="B412">
        <f>HYPERLINK("https://www.facebook.com/dtncatphp/", "Công an quận Ngô Quyền  thành phố Hải Phòng")</f>
      </c>
      <c r="C412" t="str">
        <v>https://www.facebook.com/dtncatphp/</v>
      </c>
      <c r="D412" t="str">
        <v>-</v>
      </c>
      <c r="E412" t="str">
        <v/>
      </c>
      <c r="F412" t="str">
        <v>-</v>
      </c>
      <c r="G412" t="str">
        <v>-</v>
      </c>
    </row>
    <row r="413">
      <c r="A413">
        <v>412</v>
      </c>
      <c r="B413">
        <f>HYPERLINK("https://ngoquyen.haiphong.gov.vn/", "UBND Ủy ban nhân dân quận Ngô Quyền  thành phố Hải Phòng")</f>
      </c>
      <c r="C413" t="str">
        <v>https://ngoquyen.haiphong.gov.vn/</v>
      </c>
      <c r="D413" t="str">
        <v>-</v>
      </c>
      <c r="E413" t="str">
        <v>-</v>
      </c>
      <c r="F413" t="str">
        <v>-</v>
      </c>
      <c r="G413" t="str">
        <v>-</v>
      </c>
    </row>
    <row r="414">
      <c r="A414">
        <v>413</v>
      </c>
      <c r="B414">
        <f>HYPERLINK("https://www.facebook.com/people/Qu%E1%BA%ADn-L%C3%AA-Ch%C3%A2n-th%C3%A0nh-ph%E1%BB%91-H%E1%BA%A3i-Ph%C3%B2ng/100069248557826/", "Công an quận Lê Chân  thành phố Hải Phòng")</f>
      </c>
      <c r="C414" t="str">
        <v>https://www.facebook.com/people/Qu%E1%BA%ADn-L%C3%AA-Ch%C3%A2n-th%C3%A0nh-ph%E1%BB%91-H%E1%BA%A3i-Ph%C3%B2ng/100069248557826/</v>
      </c>
      <c r="D414" t="str">
        <v>-</v>
      </c>
      <c r="E414" t="str">
        <v/>
      </c>
      <c r="F414" t="str">
        <v>-</v>
      </c>
      <c r="G414" t="str">
        <v>-</v>
      </c>
    </row>
    <row r="415">
      <c r="A415">
        <v>414</v>
      </c>
      <c r="B415">
        <f>HYPERLINK("https://lechan.haiphong.gov.vn/", "UBND Ủy ban nhân dân quận Lê Chân  thành phố Hải Phòng")</f>
      </c>
      <c r="C415" t="str">
        <v>https://lechan.haiphong.gov.vn/</v>
      </c>
      <c r="D415" t="str">
        <v>-</v>
      </c>
      <c r="E415" t="str">
        <v>-</v>
      </c>
      <c r="F415" t="str">
        <v>-</v>
      </c>
      <c r="G415" t="str">
        <v>-</v>
      </c>
    </row>
    <row r="416">
      <c r="A416">
        <v>415</v>
      </c>
      <c r="B416">
        <f>HYPERLINK("https://www.facebook.com/dtncatphp/", "Công an quận Hải An  thành phố Hải Phòng")</f>
      </c>
      <c r="C416" t="str">
        <v>https://www.facebook.com/dtncatphp/</v>
      </c>
      <c r="D416" t="str">
        <v>-</v>
      </c>
      <c r="E416" t="str">
        <v/>
      </c>
      <c r="F416" t="str">
        <v>-</v>
      </c>
      <c r="G416" t="str">
        <v>-</v>
      </c>
    </row>
    <row r="417">
      <c r="A417">
        <v>416</v>
      </c>
      <c r="B417">
        <f>HYPERLINK("https://haian.haiphong.gov.vn/", "UBND Ủy ban nhân dân quận Hải An  thành phố Hải Phòng")</f>
      </c>
      <c r="C417" t="str">
        <v>https://haian.haiphong.gov.vn/</v>
      </c>
      <c r="D417" t="str">
        <v>-</v>
      </c>
      <c r="E417" t="str">
        <v>-</v>
      </c>
      <c r="F417" t="str">
        <v>-</v>
      </c>
      <c r="G417" t="str">
        <v>-</v>
      </c>
    </row>
    <row r="418">
      <c r="A418">
        <v>417</v>
      </c>
      <c r="B418">
        <f>HYPERLINK("https://www.facebook.com/ubndquankienan/", "Công an quận Kiến An  thành phố Hải Phòng")</f>
      </c>
      <c r="C418" t="str">
        <v>https://www.facebook.com/ubndquankienan/</v>
      </c>
      <c r="D418" t="str">
        <v>-</v>
      </c>
      <c r="E418" t="str">
        <v/>
      </c>
      <c r="F418" t="str">
        <v>-</v>
      </c>
      <c r="G418" t="str">
        <v>-</v>
      </c>
    </row>
    <row r="419">
      <c r="A419">
        <v>418</v>
      </c>
      <c r="B419">
        <f>HYPERLINK("https://kienan.haiphong.gov.vn/", "UBND Ủy ban nhân dân quận Kiến An  thành phố Hải Phòng")</f>
      </c>
      <c r="C419" t="str">
        <v>https://kienan.haiphong.gov.vn/</v>
      </c>
      <c r="D419" t="str">
        <v>-</v>
      </c>
      <c r="E419" t="str">
        <v>-</v>
      </c>
      <c r="F419" t="str">
        <v>-</v>
      </c>
      <c r="G419" t="str">
        <v>-</v>
      </c>
    </row>
    <row r="420">
      <c r="A420">
        <v>419</v>
      </c>
      <c r="B420" t="str">
        <v>Công an quận Đồ Sơn  thành phố Hải Phòng</v>
      </c>
      <c r="C420" t="str">
        <v>-</v>
      </c>
      <c r="D420" t="str">
        <v>-</v>
      </c>
      <c r="E420" t="str">
        <v/>
      </c>
      <c r="F420" t="str">
        <v>-</v>
      </c>
      <c r="G420" t="str">
        <v>-</v>
      </c>
    </row>
    <row r="421">
      <c r="A421">
        <v>420</v>
      </c>
      <c r="B421">
        <f>HYPERLINK("https://doson.haiphong.gov.vn/", "UBND Ủy ban nhân dân quận Đồ Sơn  thành phố Hải Phòng")</f>
      </c>
      <c r="C421" t="str">
        <v>https://doson.haiphong.gov.vn/</v>
      </c>
      <c r="D421" t="str">
        <v>-</v>
      </c>
      <c r="E421" t="str">
        <v>-</v>
      </c>
      <c r="F421" t="str">
        <v>-</v>
      </c>
      <c r="G421" t="str">
        <v>-</v>
      </c>
    </row>
    <row r="422">
      <c r="A422">
        <v>421</v>
      </c>
      <c r="B422" t="str">
        <v>Công an quận Dương Kinh  thành phố Hải Phòng</v>
      </c>
      <c r="C422" t="str">
        <v>-</v>
      </c>
      <c r="D422" t="str">
        <v>-</v>
      </c>
      <c r="E422" t="str">
        <v/>
      </c>
      <c r="F422" t="str">
        <v>-</v>
      </c>
      <c r="G422" t="str">
        <v>-</v>
      </c>
    </row>
    <row r="423">
      <c r="A423">
        <v>422</v>
      </c>
      <c r="B423">
        <f>HYPERLINK("https://duongkinh.haiphong.gov.vn/", "UBND Ủy ban nhân dân quận Dương Kinh  thành phố Hải Phòng")</f>
      </c>
      <c r="C423" t="str">
        <v>https://duongkinh.haiphong.gov.vn/</v>
      </c>
      <c r="D423" t="str">
        <v>-</v>
      </c>
      <c r="E423" t="str">
        <v>-</v>
      </c>
      <c r="F423" t="str">
        <v>-</v>
      </c>
      <c r="G423" t="str">
        <v>-</v>
      </c>
    </row>
    <row r="424">
      <c r="A424">
        <v>423</v>
      </c>
      <c r="B424">
        <f>HYPERLINK("https://www.facebook.com/thuynguyen.haiphong.gov.vn/?locale=vi_VN", "Công an huyện Thuỷ Nguyên  thành phố Hải Phòng")</f>
      </c>
      <c r="C424" t="str">
        <v>https://www.facebook.com/thuynguyen.haiphong.gov.vn/?locale=vi_VN</v>
      </c>
      <c r="D424" t="str">
        <v>-</v>
      </c>
      <c r="E424" t="str">
        <v/>
      </c>
      <c r="F424" t="str">
        <v>-</v>
      </c>
      <c r="G424" t="str">
        <v>-</v>
      </c>
    </row>
    <row r="425">
      <c r="A425">
        <v>424</v>
      </c>
      <c r="B425">
        <f>HYPERLINK("https://thuynguyen.haiphong.gov.vn/", "UBND Ủy ban nhân dân huyện Thuỷ Nguyên  thành phố Hải Phòng")</f>
      </c>
      <c r="C425" t="str">
        <v>https://thuynguyen.haiphong.gov.vn/</v>
      </c>
      <c r="D425" t="str">
        <v>-</v>
      </c>
      <c r="E425" t="str">
        <v>-</v>
      </c>
      <c r="F425" t="str">
        <v>-</v>
      </c>
      <c r="G425" t="str">
        <v>-</v>
      </c>
    </row>
    <row r="426">
      <c r="A426">
        <v>425</v>
      </c>
      <c r="B426">
        <f>HYPERLINK("https://www.facebook.com/cahanduong.haiphong/?locale=vi_VN", "Công an huyện An Dương  thành phố Hải Phòng")</f>
      </c>
      <c r="C426" t="str">
        <v>https://www.facebook.com/cahanduong.haiphong/?locale=vi_VN</v>
      </c>
      <c r="D426" t="str">
        <v>-</v>
      </c>
      <c r="E426" t="str">
        <v/>
      </c>
      <c r="F426" t="str">
        <v>-</v>
      </c>
      <c r="G426" t="str">
        <v>-</v>
      </c>
    </row>
    <row r="427">
      <c r="A427">
        <v>426</v>
      </c>
      <c r="B427">
        <f>HYPERLINK("https://anduong.haiphong.gov.vn/", "UBND Ủy ban nhân dân huyện An Dương  thành phố Hải Phòng")</f>
      </c>
      <c r="C427" t="str">
        <v>https://anduong.haiphong.gov.vn/</v>
      </c>
      <c r="D427" t="str">
        <v>-</v>
      </c>
      <c r="E427" t="str">
        <v>-</v>
      </c>
      <c r="F427" t="str">
        <v>-</v>
      </c>
      <c r="G427" t="str">
        <v>-</v>
      </c>
    </row>
    <row r="428">
      <c r="A428">
        <v>427</v>
      </c>
      <c r="B428">
        <f>HYPERLINK("https://www.facebook.com/dtncatphp/", "Công an huyện An Lão  thành phố Hải Phòng")</f>
      </c>
      <c r="C428" t="str">
        <v>https://www.facebook.com/dtncatphp/</v>
      </c>
      <c r="D428" t="str">
        <v>-</v>
      </c>
      <c r="E428" t="str">
        <v/>
      </c>
      <c r="F428" t="str">
        <v>-</v>
      </c>
      <c r="G428" t="str">
        <v>-</v>
      </c>
    </row>
    <row r="429">
      <c r="A429">
        <v>428</v>
      </c>
      <c r="B429">
        <f>HYPERLINK("https://anlao.haiphong.gov.vn/", "UBND Ủy ban nhân dân huyện An Lão  thành phố Hải Phòng")</f>
      </c>
      <c r="C429" t="str">
        <v>https://anlao.haiphong.gov.vn/</v>
      </c>
      <c r="D429" t="str">
        <v>-</v>
      </c>
      <c r="E429" t="str">
        <v>-</v>
      </c>
      <c r="F429" t="str">
        <v>-</v>
      </c>
      <c r="G429" t="str">
        <v>-</v>
      </c>
    </row>
    <row r="430">
      <c r="A430">
        <v>429</v>
      </c>
      <c r="B430">
        <f>HYPERLINK("https://www.facebook.com/dtncatphp/", "Công an huyện Kiến Thuỵ  thành phố Hải Phòng")</f>
      </c>
      <c r="C430" t="str">
        <v>https://www.facebook.com/dtncatphp/</v>
      </c>
      <c r="D430" t="str">
        <v>-</v>
      </c>
      <c r="E430" t="str">
        <v/>
      </c>
      <c r="F430" t="str">
        <v>-</v>
      </c>
      <c r="G430" t="str">
        <v>-</v>
      </c>
    </row>
    <row r="431">
      <c r="A431">
        <v>430</v>
      </c>
      <c r="B431">
        <f>HYPERLINK("https://kienthuy.haiphong.gov.vn/", "UBND Ủy ban nhân dân huyện Kiến Thuỵ  thành phố Hải Phòng")</f>
      </c>
      <c r="C431" t="str">
        <v>https://kienthuy.haiphong.gov.vn/</v>
      </c>
      <c r="D431" t="str">
        <v>-</v>
      </c>
      <c r="E431" t="str">
        <v>-</v>
      </c>
      <c r="F431" t="str">
        <v>-</v>
      </c>
      <c r="G431" t="str">
        <v>-</v>
      </c>
    </row>
    <row r="432">
      <c r="A432">
        <v>431</v>
      </c>
      <c r="B432">
        <f>HYPERLINK("https://www.facebook.com/ConganhuyenTienLang/", "Công an huyện Tiên Lãng  thành phố Hải Phòng")</f>
      </c>
      <c r="C432" t="str">
        <v>https://www.facebook.com/ConganhuyenTienLang/</v>
      </c>
      <c r="D432" t="str">
        <v>-</v>
      </c>
      <c r="E432" t="str">
        <v/>
      </c>
      <c r="F432" t="str">
        <v>-</v>
      </c>
      <c r="G432" t="str">
        <v>-</v>
      </c>
    </row>
    <row r="433">
      <c r="A433">
        <v>432</v>
      </c>
      <c r="B433">
        <f>HYPERLINK("https://tienlang.haiphong.gov.vn/", "UBND Ủy ban nhân dân huyện Tiên Lãng  thành phố Hải Phòng")</f>
      </c>
      <c r="C433" t="str">
        <v>https://tienlang.haiphong.gov.vn/</v>
      </c>
      <c r="D433" t="str">
        <v>-</v>
      </c>
      <c r="E433" t="str">
        <v>-</v>
      </c>
      <c r="F433" t="str">
        <v>-</v>
      </c>
      <c r="G433" t="str">
        <v>-</v>
      </c>
    </row>
    <row r="434">
      <c r="A434">
        <v>433</v>
      </c>
      <c r="B434">
        <f>HYPERLINK("https://www.facebook.com/p/C%C3%B4ng-an-Huy%E1%BB%87n-V%C4%A9nh-B%E1%BA%A3o-H%E1%BA%A3i-Ph%C3%B2ng-100091921350663/?locale=ur_PK", "Công an huyện Vĩnh Bảo  thành phố Hải Phòng")</f>
      </c>
      <c r="C434" t="str">
        <v>https://www.facebook.com/p/C%C3%B4ng-an-Huy%E1%BB%87n-V%C4%A9nh-B%E1%BA%A3o-H%E1%BA%A3i-Ph%C3%B2ng-100091921350663/?locale=ur_PK</v>
      </c>
      <c r="D434" t="str">
        <v>-</v>
      </c>
      <c r="E434" t="str">
        <v/>
      </c>
      <c r="F434" t="str">
        <v>-</v>
      </c>
      <c r="G434" t="str">
        <v>-</v>
      </c>
    </row>
    <row r="435">
      <c r="A435">
        <v>434</v>
      </c>
      <c r="B435">
        <f>HYPERLINK("https://vinhbao.haiphong.gov.vn/", "UBND Ủy ban nhân dân huyện Vĩnh Bảo  thành phố Hải Phòng")</f>
      </c>
      <c r="C435" t="str">
        <v>https://vinhbao.haiphong.gov.vn/</v>
      </c>
      <c r="D435" t="str">
        <v>-</v>
      </c>
      <c r="E435" t="str">
        <v>-</v>
      </c>
      <c r="F435" t="str">
        <v>-</v>
      </c>
      <c r="G435" t="str">
        <v>-</v>
      </c>
    </row>
    <row r="436">
      <c r="A436">
        <v>435</v>
      </c>
      <c r="B436">
        <f>HYPERLINK("https://www.facebook.com/952355681898414", "Công an huyện Cát Hải  thành phố Hải Phòng")</f>
      </c>
      <c r="C436" t="str">
        <v>https://www.facebook.com/952355681898414</v>
      </c>
      <c r="D436" t="str">
        <v>-</v>
      </c>
      <c r="E436" t="str">
        <v/>
      </c>
      <c r="F436" t="str">
        <v>-</v>
      </c>
      <c r="G436" t="str">
        <v>-</v>
      </c>
    </row>
    <row r="437">
      <c r="A437">
        <v>436</v>
      </c>
      <c r="B437">
        <f>HYPERLINK("https://cathai.haiphong.gov.vn/", "UBND Ủy ban nhân dân huyện Cát Hải  thành phố Hải Phòng")</f>
      </c>
      <c r="C437" t="str">
        <v>https://cathai.haiphong.gov.vn/</v>
      </c>
      <c r="D437" t="str">
        <v>-</v>
      </c>
      <c r="E437" t="str">
        <v>-</v>
      </c>
      <c r="F437" t="str">
        <v>-</v>
      </c>
      <c r="G437" t="str">
        <v>-</v>
      </c>
    </row>
    <row r="438">
      <c r="A438">
        <v>437</v>
      </c>
      <c r="B438">
        <f>HYPERLINK("https://www.facebook.com/p/C%C3%B4ng-An-Th%C3%A0nh-Ph%E1%BB%91-H%C6%B0ng-Y%C3%AAn-100057576334172/", "Công an thành phố Hưng Yên  tỉnh Hưng Yên")</f>
      </c>
      <c r="C438" t="str">
        <v>https://www.facebook.com/p/C%C3%B4ng-An-Th%C3%A0nh-Ph%E1%BB%91-H%C6%B0ng-Y%C3%AAn-100057576334172/</v>
      </c>
      <c r="D438" t="str">
        <v>-</v>
      </c>
      <c r="E438" t="str">
        <v/>
      </c>
      <c r="F438" t="str">
        <v>-</v>
      </c>
      <c r="G438" t="str">
        <v>-</v>
      </c>
    </row>
    <row r="439">
      <c r="A439">
        <v>438</v>
      </c>
      <c r="B439">
        <f>HYPERLINK("https://vpubnd.hungyen.gov.vn/", "UBND Ủy ban nhân dân thành phố Hưng Yên  tỉnh Hưng Yên")</f>
      </c>
      <c r="C439" t="str">
        <v>https://vpubnd.hungyen.gov.vn/</v>
      </c>
      <c r="D439" t="str">
        <v>-</v>
      </c>
      <c r="E439" t="str">
        <v>-</v>
      </c>
      <c r="F439" t="str">
        <v>-</v>
      </c>
      <c r="G439" t="str">
        <v>-</v>
      </c>
    </row>
    <row r="440">
      <c r="A440">
        <v>439</v>
      </c>
      <c r="B440">
        <f>HYPERLINK("https://www.facebook.com/congdoanvanlamhy/", "Công an huyện Văn Lâm  tỉnh Hưng Yên")</f>
      </c>
      <c r="C440" t="str">
        <v>https://www.facebook.com/congdoanvanlamhy/</v>
      </c>
      <c r="D440" t="str">
        <v>-</v>
      </c>
      <c r="E440" t="str">
        <v/>
      </c>
      <c r="F440" t="str">
        <v>-</v>
      </c>
      <c r="G440" t="str">
        <v>-</v>
      </c>
    </row>
    <row r="441">
      <c r="A441">
        <v>440</v>
      </c>
      <c r="B441">
        <f>HYPERLINK("https://vanlam.hungyen.gov.vn/", "UBND Ủy ban nhân dân huyện Văn Lâm  tỉnh Hưng Yên")</f>
      </c>
      <c r="C441" t="str">
        <v>https://vanlam.hungyen.gov.vn/</v>
      </c>
      <c r="D441" t="str">
        <v>-</v>
      </c>
      <c r="E441" t="str">
        <v>-</v>
      </c>
      <c r="F441" t="str">
        <v>-</v>
      </c>
      <c r="G441" t="str">
        <v>-</v>
      </c>
    </row>
    <row r="442">
      <c r="A442">
        <v>441</v>
      </c>
      <c r="B442">
        <f>HYPERLINK("https://www.facebook.com/doanthanhniencavg/", "Công an huyện Văn Giang  tỉnh Hưng Yên")</f>
      </c>
      <c r="C442" t="str">
        <v>https://www.facebook.com/doanthanhniencavg/</v>
      </c>
      <c r="D442" t="str">
        <v>-</v>
      </c>
      <c r="E442" t="str">
        <v/>
      </c>
      <c r="F442" t="str">
        <v>-</v>
      </c>
      <c r="G442" t="str">
        <v>-</v>
      </c>
    </row>
    <row r="443">
      <c r="A443">
        <v>442</v>
      </c>
      <c r="B443">
        <f>HYPERLINK("https://vangiang.hungyen.gov.vn/", "UBND Ủy ban nhân dân huyện Văn Giang  tỉnh Hưng Yên")</f>
      </c>
      <c r="C443" t="str">
        <v>https://vangiang.hungyen.gov.vn/</v>
      </c>
      <c r="D443" t="str">
        <v>-</v>
      </c>
      <c r="E443" t="str">
        <v>-</v>
      </c>
      <c r="F443" t="str">
        <v>-</v>
      </c>
      <c r="G443" t="str">
        <v>-</v>
      </c>
    </row>
    <row r="444">
      <c r="A444">
        <v>443</v>
      </c>
      <c r="B444">
        <f>HYPERLINK("https://www.facebook.com/p/%C4%90o%C3%A0n-Thanh-ni%C3%AAn-C%C3%B4ng-an-huy%E1%BB%87n-Y%C3%AAn-M%E1%BB%B9-100064984451611/", "Công an huyện Yên Mỹ  tỉnh Hưng Yên")</f>
      </c>
      <c r="C444" t="str">
        <v>https://www.facebook.com/p/%C4%90o%C3%A0n-Thanh-ni%C3%AAn-C%C3%B4ng-an-huy%E1%BB%87n-Y%C3%AAn-M%E1%BB%B9-100064984451611/</v>
      </c>
      <c r="D444" t="str">
        <v>-</v>
      </c>
      <c r="E444" t="str">
        <v/>
      </c>
      <c r="F444" t="str">
        <v>-</v>
      </c>
      <c r="G444" t="str">
        <v>-</v>
      </c>
    </row>
    <row r="445">
      <c r="A445">
        <v>444</v>
      </c>
      <c r="B445">
        <f>HYPERLINK("https://yenmy.hungyen.gov.vn/", "UBND Ủy ban nhân dân huyện Yên Mỹ  tỉnh Hưng Yên")</f>
      </c>
      <c r="C445" t="str">
        <v>https://yenmy.hungyen.gov.vn/</v>
      </c>
      <c r="D445" t="str">
        <v>-</v>
      </c>
      <c r="E445" t="str">
        <v>-</v>
      </c>
      <c r="F445" t="str">
        <v>-</v>
      </c>
      <c r="G445" t="str">
        <v>-</v>
      </c>
    </row>
    <row r="446">
      <c r="A446">
        <v>445</v>
      </c>
      <c r="B446">
        <f>HYPERLINK("https://www.facebook.com/p/%C4%90o%C3%A0n-thanh-ni%C3%AAn-C%C3%B4ng-an-th%E1%BB%8B-x%C3%A3-M%E1%BB%B9-H%C3%A0o-100069012732882/", "Công an huyện Mỹ Hào  tỉnh Hưng Yên")</f>
      </c>
      <c r="C446" t="str">
        <v>https://www.facebook.com/p/%C4%90o%C3%A0n-thanh-ni%C3%AAn-C%C3%B4ng-an-th%E1%BB%8B-x%C3%A3-M%E1%BB%B9-H%C3%A0o-100069012732882/</v>
      </c>
      <c r="D446" t="str">
        <v>-</v>
      </c>
      <c r="E446" t="str">
        <v/>
      </c>
      <c r="F446" t="str">
        <v>-</v>
      </c>
      <c r="G446" t="str">
        <v>-</v>
      </c>
    </row>
    <row r="447">
      <c r="A447">
        <v>446</v>
      </c>
      <c r="B447">
        <f>HYPERLINK("https://myhao.hungyen.gov.vn/", "UBND Ủy ban nhân dân huyện Mỹ Hào  tỉnh Hưng Yên")</f>
      </c>
      <c r="C447" t="str">
        <v>https://myhao.hungyen.gov.vn/</v>
      </c>
      <c r="D447" t="str">
        <v>-</v>
      </c>
      <c r="E447" t="str">
        <v>-</v>
      </c>
      <c r="F447" t="str">
        <v>-</v>
      </c>
      <c r="G447" t="str">
        <v>-</v>
      </c>
    </row>
    <row r="448">
      <c r="A448">
        <v>447</v>
      </c>
      <c r="B448">
        <f>HYPERLINK("https://www.facebook.com/p/%C4%90o%C3%A0n-Thanh-ni%C3%AAn-C%C3%B4ng-an-huy%E1%BB%87n-%C3%82n-Thi-t%E1%BB%89nh-H%C6%B0ng-Y%C3%AAn-100029060573137/", "Công an huyện Ân Thi  tỉnh Hưng Yên")</f>
      </c>
      <c r="C448" t="str">
        <v>https://www.facebook.com/p/%C4%90o%C3%A0n-Thanh-ni%C3%AAn-C%C3%B4ng-an-huy%E1%BB%87n-%C3%82n-Thi-t%E1%BB%89nh-H%C6%B0ng-Y%C3%AAn-100029060573137/</v>
      </c>
      <c r="D448" t="str">
        <v>-</v>
      </c>
      <c r="E448" t="str">
        <v/>
      </c>
      <c r="F448" t="str">
        <v>-</v>
      </c>
      <c r="G448" t="str">
        <v>-</v>
      </c>
    </row>
    <row r="449">
      <c r="A449">
        <v>448</v>
      </c>
      <c r="B449">
        <f>HYPERLINK("https://anthi.hungyen.gov.vn/", "UBND Ủy ban nhân dân huyện Ân Thi  tỉnh Hưng Yên")</f>
      </c>
      <c r="C449" t="str">
        <v>https://anthi.hungyen.gov.vn/</v>
      </c>
      <c r="D449" t="str">
        <v>-</v>
      </c>
      <c r="E449" t="str">
        <v>-</v>
      </c>
      <c r="F449" t="str">
        <v>-</v>
      </c>
      <c r="G449" t="str">
        <v>-</v>
      </c>
    </row>
    <row r="450">
      <c r="A450">
        <v>449</v>
      </c>
      <c r="B450">
        <f>HYPERLINK("https://www.facebook.com/DTNCAKC/", "Công an huyện Khoái Châu  tỉnh Hưng Yên")</f>
      </c>
      <c r="C450" t="str">
        <v>https://www.facebook.com/DTNCAKC/</v>
      </c>
      <c r="D450" t="str">
        <v>-</v>
      </c>
      <c r="E450" t="str">
        <v/>
      </c>
      <c r="F450" t="str">
        <v>-</v>
      </c>
      <c r="G450" t="str">
        <v>-</v>
      </c>
    </row>
    <row r="451">
      <c r="A451">
        <v>450</v>
      </c>
      <c r="B451">
        <f>HYPERLINK("https://khoaichau.hungyen.gov.vn/", "UBND Ủy ban nhân dân huyện Khoái Châu  tỉnh Hưng Yên")</f>
      </c>
      <c r="C451" t="str">
        <v>https://khoaichau.hungyen.gov.vn/</v>
      </c>
      <c r="D451" t="str">
        <v>-</v>
      </c>
      <c r="E451" t="str">
        <v>-</v>
      </c>
      <c r="F451" t="str">
        <v>-</v>
      </c>
      <c r="G451" t="str">
        <v>-</v>
      </c>
    </row>
    <row r="452">
      <c r="A452">
        <v>451</v>
      </c>
      <c r="B452" t="str">
        <v>Công an huyện Kim Động  tỉnh Hưng Yên</v>
      </c>
      <c r="C452" t="str">
        <v>-</v>
      </c>
      <c r="D452" t="str">
        <v>-</v>
      </c>
      <c r="E452" t="str">
        <v/>
      </c>
      <c r="F452" t="str">
        <v>-</v>
      </c>
      <c r="G452" t="str">
        <v>-</v>
      </c>
    </row>
    <row r="453">
      <c r="A453">
        <v>452</v>
      </c>
      <c r="B453">
        <f>HYPERLINK("https://kimdong.hungyen.gov.vn/", "UBND Ủy ban nhân dân huyện Kim Động  tỉnh Hưng Yên")</f>
      </c>
      <c r="C453" t="str">
        <v>https://kimdong.hungyen.gov.vn/</v>
      </c>
      <c r="D453" t="str">
        <v>-</v>
      </c>
      <c r="E453" t="str">
        <v>-</v>
      </c>
      <c r="F453" t="str">
        <v>-</v>
      </c>
      <c r="G453" t="str">
        <v>-</v>
      </c>
    </row>
    <row r="454">
      <c r="A454">
        <v>453</v>
      </c>
      <c r="B454" t="str">
        <v>Công an huyện Tiên Lữ  tỉnh Hưng Yên</v>
      </c>
      <c r="C454" t="str">
        <v>-</v>
      </c>
      <c r="D454" t="str">
        <v>-</v>
      </c>
      <c r="E454" t="str">
        <v/>
      </c>
      <c r="F454" t="str">
        <v>-</v>
      </c>
      <c r="G454" t="str">
        <v>-</v>
      </c>
    </row>
    <row r="455">
      <c r="A455">
        <v>454</v>
      </c>
      <c r="B455">
        <f>HYPERLINK("https://tienlu.hungyen.gov.vn/", "UBND Ủy ban nhân dân huyện Tiên Lữ  tỉnh Hưng Yên")</f>
      </c>
      <c r="C455" t="str">
        <v>https://tienlu.hungyen.gov.vn/</v>
      </c>
      <c r="D455" t="str">
        <v>-</v>
      </c>
      <c r="E455" t="str">
        <v>-</v>
      </c>
      <c r="F455" t="str">
        <v>-</v>
      </c>
      <c r="G455" t="str">
        <v>-</v>
      </c>
    </row>
    <row r="456">
      <c r="A456">
        <v>455</v>
      </c>
      <c r="B456">
        <f>HYPERLINK("https://www.facebook.com/ConganPhuCu/", "Công an huyện Phù Cừ  tỉnh Hưng Yên")</f>
      </c>
      <c r="C456" t="str">
        <v>https://www.facebook.com/ConganPhuCu/</v>
      </c>
      <c r="D456" t="str">
        <v>-</v>
      </c>
      <c r="E456" t="str">
        <v/>
      </c>
      <c r="F456" t="str">
        <v>-</v>
      </c>
      <c r="G456" t="str">
        <v>-</v>
      </c>
    </row>
    <row r="457">
      <c r="A457">
        <v>456</v>
      </c>
      <c r="B457">
        <f>HYPERLINK("https://phucu.hungyen.gov.vn/", "UBND Ủy ban nhân dân huyện Phù Cừ  tỉnh Hưng Yên")</f>
      </c>
      <c r="C457" t="str">
        <v>https://phucu.hungyen.gov.vn/</v>
      </c>
      <c r="D457" t="str">
        <v>-</v>
      </c>
      <c r="E457" t="str">
        <v>-</v>
      </c>
      <c r="F457" t="str">
        <v>-</v>
      </c>
      <c r="G457" t="str">
        <v>-</v>
      </c>
    </row>
    <row r="458">
      <c r="A458">
        <v>457</v>
      </c>
      <c r="B458">
        <f>HYPERLINK("https://www.facebook.com/congan.thaibinh.gov.vn/", "Công an thành phố Thái Bình  tỉnh Thái Bình")</f>
      </c>
      <c r="C458" t="str">
        <v>https://www.facebook.com/congan.thaibinh.gov.vn/</v>
      </c>
      <c r="D458" t="str">
        <v>-</v>
      </c>
      <c r="E458" t="str">
        <v/>
      </c>
      <c r="F458" t="str">
        <v>-</v>
      </c>
      <c r="G458" t="str">
        <v>-</v>
      </c>
    </row>
    <row r="459">
      <c r="A459">
        <v>458</v>
      </c>
      <c r="B459">
        <f>HYPERLINK("https://thaibinh.gov.vn/", "UBND Ủy ban nhân dân thành phố Thái Bình  tỉnh Thái Bình")</f>
      </c>
      <c r="C459" t="str">
        <v>https://thaibinh.gov.vn/</v>
      </c>
      <c r="D459" t="str">
        <v>-</v>
      </c>
      <c r="E459" t="str">
        <v>-</v>
      </c>
      <c r="F459" t="str">
        <v>-</v>
      </c>
      <c r="G459" t="str">
        <v>-</v>
      </c>
    </row>
    <row r="460">
      <c r="A460">
        <v>459</v>
      </c>
      <c r="B460">
        <f>HYPERLINK("https://www.facebook.com/congananbai/", "Công an huyện Quỳnh Phụ  tỉnh Thái Bình")</f>
      </c>
      <c r="C460" t="str">
        <v>https://www.facebook.com/congananbai/</v>
      </c>
      <c r="D460" t="str">
        <v>-</v>
      </c>
      <c r="E460" t="str">
        <v/>
      </c>
      <c r="F460" t="str">
        <v>-</v>
      </c>
      <c r="G460" t="str">
        <v>-</v>
      </c>
    </row>
    <row r="461">
      <c r="A461">
        <v>460</v>
      </c>
      <c r="B461">
        <f>HYPERLINK("https://quynhphu.thaibinh.gov.vn/", "UBND Ủy ban nhân dân huyện Quỳnh Phụ  tỉnh Thái Bình")</f>
      </c>
      <c r="C461" t="str">
        <v>https://quynhphu.thaibinh.gov.vn/</v>
      </c>
      <c r="D461" t="str">
        <v>-</v>
      </c>
      <c r="E461" t="str">
        <v>-</v>
      </c>
      <c r="F461" t="str">
        <v>-</v>
      </c>
      <c r="G461" t="str">
        <v>-</v>
      </c>
    </row>
    <row r="462">
      <c r="A462">
        <v>461</v>
      </c>
      <c r="B462">
        <f>HYPERLINK("https://www.facebook.com/p/Tu%E1%BB%95i-tr%E1%BA%BB-C%C3%B4ng-an-Th%C3%A1i-B%C3%ACnh-100068113789461/", "Công an huyện Hưng Hà  tỉnh Thái Bình")</f>
      </c>
      <c r="C462" t="str">
        <v>https://www.facebook.com/p/Tu%E1%BB%95i-tr%E1%BA%BB-C%C3%B4ng-an-Th%C3%A1i-B%C3%ACnh-100068113789461/</v>
      </c>
      <c r="D462" t="str">
        <v>-</v>
      </c>
      <c r="E462" t="str">
        <v/>
      </c>
      <c r="F462" t="str">
        <v>-</v>
      </c>
      <c r="G462" t="str">
        <v>-</v>
      </c>
    </row>
    <row r="463">
      <c r="A463">
        <v>462</v>
      </c>
      <c r="B463">
        <f>HYPERLINK("https://hungha.thaibinh.gov.vn/", "UBND Ủy ban nhân dân huyện Hưng Hà  tỉnh Thái Bình")</f>
      </c>
      <c r="C463" t="str">
        <v>https://hungha.thaibinh.gov.vn/</v>
      </c>
      <c r="D463" t="str">
        <v>-</v>
      </c>
      <c r="E463" t="str">
        <v>-</v>
      </c>
      <c r="F463" t="str">
        <v>-</v>
      </c>
      <c r="G463" t="str">
        <v>-</v>
      </c>
    </row>
    <row r="464">
      <c r="A464">
        <v>463</v>
      </c>
      <c r="B464">
        <f>HYPERLINK("https://www.facebook.com/ConganxaDongVinh/", "Công an huyện Đông Hưng  tỉnh Thái Bình")</f>
      </c>
      <c r="C464" t="str">
        <v>https://www.facebook.com/ConganxaDongVinh/</v>
      </c>
      <c r="D464" t="str">
        <v>-</v>
      </c>
      <c r="E464" t="str">
        <v/>
      </c>
      <c r="F464" t="str">
        <v>-</v>
      </c>
      <c r="G464" t="str">
        <v>-</v>
      </c>
    </row>
    <row r="465">
      <c r="A465">
        <v>464</v>
      </c>
      <c r="B465">
        <f>HYPERLINK("https://donghung.thaibinh.gov.vn/", "UBND Ủy ban nhân dân huyện Đông Hưng  tỉnh Thái Bình")</f>
      </c>
      <c r="C465" t="str">
        <v>https://donghung.thaibinh.gov.vn/</v>
      </c>
      <c r="D465" t="str">
        <v>-</v>
      </c>
      <c r="E465" t="str">
        <v>-</v>
      </c>
      <c r="F465" t="str">
        <v>-</v>
      </c>
      <c r="G465" t="str">
        <v>-</v>
      </c>
    </row>
    <row r="466">
      <c r="A466">
        <v>465</v>
      </c>
      <c r="B466">
        <f>HYPERLINK("https://www.facebook.com/p/Tu%E1%BB%95i-tr%E1%BA%BB-C%C3%B4ng-an-huy%E1%BB%87n-Th%C3%A1i-Th%E1%BB%A5y-100083773900284/", "Công an huyện Thái Thụy  tỉnh Thái Bình")</f>
      </c>
      <c r="C466" t="str">
        <v>https://www.facebook.com/p/Tu%E1%BB%95i-tr%E1%BA%BB-C%C3%B4ng-an-huy%E1%BB%87n-Th%C3%A1i-Th%E1%BB%A5y-100083773900284/</v>
      </c>
      <c r="D466" t="str">
        <v>-</v>
      </c>
      <c r="E466" t="str">
        <v/>
      </c>
      <c r="F466" t="str">
        <v>-</v>
      </c>
      <c r="G466" t="str">
        <v>-</v>
      </c>
    </row>
    <row r="467">
      <c r="A467">
        <v>466</v>
      </c>
      <c r="B467">
        <f>HYPERLINK("https://thaithuy.thaibinh.gov.vn/", "UBND Ủy ban nhân dân huyện Thái Thụy  tỉnh Thái Bình")</f>
      </c>
      <c r="C467" t="str">
        <v>https://thaithuy.thaibinh.gov.vn/</v>
      </c>
      <c r="D467" t="str">
        <v>-</v>
      </c>
      <c r="E467" t="str">
        <v>-</v>
      </c>
      <c r="F467" t="str">
        <v>-</v>
      </c>
      <c r="G467" t="str">
        <v>-</v>
      </c>
    </row>
    <row r="468">
      <c r="A468">
        <v>467</v>
      </c>
      <c r="B468">
        <f>HYPERLINK("https://www.facebook.com/ConganhuyenTienHai/", "Công an huyện Tiền Hải  tỉnh Thái Bình")</f>
      </c>
      <c r="C468" t="str">
        <v>https://www.facebook.com/ConganhuyenTienHai/</v>
      </c>
      <c r="D468" t="str">
        <v>-</v>
      </c>
      <c r="E468" t="str">
        <v/>
      </c>
      <c r="F468" t="str">
        <v>-</v>
      </c>
      <c r="G468" t="str">
        <v>-</v>
      </c>
    </row>
    <row r="469">
      <c r="A469">
        <v>468</v>
      </c>
      <c r="B469">
        <f>HYPERLINK("https://tienhai.thaibinh.gov.vn/", "UBND Ủy ban nhân dân huyện Tiền Hải  tỉnh Thái Bình")</f>
      </c>
      <c r="C469" t="str">
        <v>https://tienhai.thaibinh.gov.vn/</v>
      </c>
      <c r="D469" t="str">
        <v>-</v>
      </c>
      <c r="E469" t="str">
        <v>-</v>
      </c>
      <c r="F469" t="str">
        <v>-</v>
      </c>
      <c r="G469" t="str">
        <v>-</v>
      </c>
    </row>
    <row r="470">
      <c r="A470">
        <v>469</v>
      </c>
      <c r="B470" t="str">
        <v>Công an huyện Kiến Xương  tỉnh Thái Bình</v>
      </c>
      <c r="C470" t="str">
        <v>-</v>
      </c>
      <c r="D470" t="str">
        <v>-</v>
      </c>
      <c r="E470" t="str">
        <v/>
      </c>
      <c r="F470" t="str">
        <v>-</v>
      </c>
      <c r="G470" t="str">
        <v>-</v>
      </c>
    </row>
    <row r="471">
      <c r="A471">
        <v>470</v>
      </c>
      <c r="B471">
        <f>HYPERLINK("https://kienxuong.thaibinh.gov.vn/", "UBND Ủy ban nhân dân huyện Kiến Xương  tỉnh Thái Bình")</f>
      </c>
      <c r="C471" t="str">
        <v>https://kienxuong.thaibinh.gov.vn/</v>
      </c>
      <c r="D471" t="str">
        <v>-</v>
      </c>
      <c r="E471" t="str">
        <v>-</v>
      </c>
      <c r="F471" t="str">
        <v>-</v>
      </c>
      <c r="G471" t="str">
        <v>-</v>
      </c>
    </row>
    <row r="472">
      <c r="A472">
        <v>471</v>
      </c>
      <c r="B472">
        <f>HYPERLINK("https://www.facebook.com/p/Tu%E1%BB%95i-tr%E1%BA%BB-C%C3%B4ng-an-Th%C3%A1i-B%C3%ACnh-100068113789461/", "Công an huyện Vũ Thư  tỉnh Thái Bình")</f>
      </c>
      <c r="C472" t="str">
        <v>https://www.facebook.com/p/Tu%E1%BB%95i-tr%E1%BA%BB-C%C3%B4ng-an-Th%C3%A1i-B%C3%ACnh-100068113789461/</v>
      </c>
      <c r="D472" t="str">
        <v>-</v>
      </c>
      <c r="E472" t="str">
        <v/>
      </c>
      <c r="F472" t="str">
        <v>-</v>
      </c>
      <c r="G472" t="str">
        <v>-</v>
      </c>
    </row>
    <row r="473">
      <c r="A473">
        <v>472</v>
      </c>
      <c r="B473">
        <f>HYPERLINK("https://vuthu.thaibinh.gov.vn/", "UBND Ủy ban nhân dân huyện Vũ Thư  tỉnh Thái Bình")</f>
      </c>
      <c r="C473" t="str">
        <v>https://vuthu.thaibinh.gov.vn/</v>
      </c>
      <c r="D473" t="str">
        <v>-</v>
      </c>
      <c r="E473" t="str">
        <v>-</v>
      </c>
      <c r="F473" t="str">
        <v>-</v>
      </c>
      <c r="G473" t="str">
        <v>-</v>
      </c>
    </row>
    <row r="474">
      <c r="A474">
        <v>473</v>
      </c>
      <c r="B474">
        <f>HYPERLINK("https://www.facebook.com/conganhanamonline/?locale=vi_VN", "Công an thành phố Phủ Lý  tỉnh Hà Nam")</f>
      </c>
      <c r="C474" t="str">
        <v>https://www.facebook.com/conganhanamonline/?locale=vi_VN</v>
      </c>
      <c r="D474" t="str">
        <v>-</v>
      </c>
      <c r="E474" t="str">
        <v/>
      </c>
      <c r="F474" t="str">
        <v>-</v>
      </c>
      <c r="G474" t="str">
        <v>-</v>
      </c>
    </row>
    <row r="475">
      <c r="A475">
        <v>474</v>
      </c>
      <c r="B475">
        <f>HYPERLINK("https://phuly.hanam.gov.vn/", "UBND Ủy ban nhân dân thành phố Phủ Lý  tỉnh Hà Nam")</f>
      </c>
      <c r="C475" t="str">
        <v>https://phuly.hanam.gov.vn/</v>
      </c>
      <c r="D475" t="str">
        <v>-</v>
      </c>
      <c r="E475" t="str">
        <v>-</v>
      </c>
      <c r="F475" t="str">
        <v>-</v>
      </c>
      <c r="G475" t="str">
        <v>-</v>
      </c>
    </row>
    <row r="476">
      <c r="A476">
        <v>475</v>
      </c>
      <c r="B476">
        <f>HYPERLINK("https://www.facebook.com/doanthanhnienconganhanam/", "Công an huyện Duy Tiên  tỉnh Hà Nam")</f>
      </c>
      <c r="C476" t="str">
        <v>https://www.facebook.com/doanthanhnienconganhanam/</v>
      </c>
      <c r="D476" t="str">
        <v>-</v>
      </c>
      <c r="E476" t="str">
        <v/>
      </c>
      <c r="F476" t="str">
        <v>-</v>
      </c>
      <c r="G476" t="str">
        <v>-</v>
      </c>
    </row>
    <row r="477">
      <c r="A477">
        <v>476</v>
      </c>
      <c r="B477">
        <f>HYPERLINK("https://www.duytien.gov.vn/", "UBND Ủy ban nhân dân huyện Duy Tiên  tỉnh Hà Nam")</f>
      </c>
      <c r="C477" t="str">
        <v>https://www.duytien.gov.vn/</v>
      </c>
      <c r="D477" t="str">
        <v>-</v>
      </c>
      <c r="E477" t="str">
        <v>-</v>
      </c>
      <c r="F477" t="str">
        <v>-</v>
      </c>
      <c r="G477" t="str">
        <v>-</v>
      </c>
    </row>
    <row r="478">
      <c r="A478">
        <v>477</v>
      </c>
      <c r="B478">
        <f>HYPERLINK("https://www.facebook.com/conganhuyenkimbang/", "Công an huyện Kim Bảng  tỉnh Hà Nam")</f>
      </c>
      <c r="C478" t="str">
        <v>https://www.facebook.com/conganhuyenkimbang/</v>
      </c>
      <c r="D478" t="str">
        <v>-</v>
      </c>
      <c r="E478" t="str">
        <v/>
      </c>
      <c r="F478" t="str">
        <v>-</v>
      </c>
      <c r="G478" t="str">
        <v>-</v>
      </c>
    </row>
    <row r="479">
      <c r="A479">
        <v>478</v>
      </c>
      <c r="B479">
        <f>HYPERLINK("https://kimbang.hanam.gov.vn/", "UBND Ủy ban nhân dân huyện Kim Bảng  tỉnh Hà Nam")</f>
      </c>
      <c r="C479" t="str">
        <v>https://kimbang.hanam.gov.vn/</v>
      </c>
      <c r="D479" t="str">
        <v>-</v>
      </c>
      <c r="E479" t="str">
        <v>-</v>
      </c>
      <c r="F479" t="str">
        <v>-</v>
      </c>
      <c r="G479" t="str">
        <v>-</v>
      </c>
    </row>
    <row r="480">
      <c r="A480">
        <v>479</v>
      </c>
      <c r="B480">
        <f>HYPERLINK("https://www.facebook.com/doanthanhnienconganhanam/", "Công an huyện Thanh Liêm  tỉnh Hà Nam")</f>
      </c>
      <c r="C480" t="str">
        <v>https://www.facebook.com/doanthanhnienconganhanam/</v>
      </c>
      <c r="D480" t="str">
        <v>-</v>
      </c>
      <c r="E480" t="str">
        <v/>
      </c>
      <c r="F480" t="str">
        <v>-</v>
      </c>
      <c r="G480" t="str">
        <v>-</v>
      </c>
    </row>
    <row r="481">
      <c r="A481">
        <v>480</v>
      </c>
      <c r="B481">
        <f>HYPERLINK("https://thanhliem.hanam.gov.vn/", "UBND Ủy ban nhân dân huyện Thanh Liêm  tỉnh Hà Nam")</f>
      </c>
      <c r="C481" t="str">
        <v>https://thanhliem.hanam.gov.vn/</v>
      </c>
      <c r="D481" t="str">
        <v>-</v>
      </c>
      <c r="E481" t="str">
        <v>-</v>
      </c>
      <c r="F481" t="str">
        <v>-</v>
      </c>
      <c r="G481" t="str">
        <v>-</v>
      </c>
    </row>
    <row r="482">
      <c r="A482">
        <v>481</v>
      </c>
      <c r="B482">
        <f>HYPERLINK("https://www.facebook.com/tintuchuyenbinhluc24h/", "Công an huyện Bình Lục  tỉnh Hà Nam")</f>
      </c>
      <c r="C482" t="str">
        <v>https://www.facebook.com/tintuchuyenbinhluc24h/</v>
      </c>
      <c r="D482" t="str">
        <v>-</v>
      </c>
      <c r="E482" t="str">
        <v/>
      </c>
      <c r="F482" t="str">
        <v>-</v>
      </c>
      <c r="G482" t="str">
        <v>-</v>
      </c>
    </row>
    <row r="483">
      <c r="A483">
        <v>482</v>
      </c>
      <c r="B483">
        <f>HYPERLINK("https://binhluc.hanam.gov.vn/", "UBND Ủy ban nhân dân huyện Bình Lục  tỉnh Hà Nam")</f>
      </c>
      <c r="C483" t="str">
        <v>https://binhluc.hanam.gov.vn/</v>
      </c>
      <c r="D483" t="str">
        <v>-</v>
      </c>
      <c r="E483" t="str">
        <v>-</v>
      </c>
      <c r="F483" t="str">
        <v>-</v>
      </c>
      <c r="G483" t="str">
        <v>-</v>
      </c>
    </row>
    <row r="484">
      <c r="A484">
        <v>483</v>
      </c>
      <c r="B484" t="str">
        <v>Công an huyện Lý Nhân  tỉnh Hà Nam</v>
      </c>
      <c r="C484" t="str">
        <v>-</v>
      </c>
      <c r="D484" t="str">
        <v>-</v>
      </c>
      <c r="E484" t="str">
        <v/>
      </c>
      <c r="F484" t="str">
        <v>-</v>
      </c>
      <c r="G484" t="str">
        <v>-</v>
      </c>
    </row>
    <row r="485">
      <c r="A485">
        <v>484</v>
      </c>
      <c r="B485">
        <f>HYPERLINK("https://lynhan.hanam.gov.vn/", "UBND Ủy ban nhân dân huyện Lý Nhân  tỉnh Hà Nam")</f>
      </c>
      <c r="C485" t="str">
        <v>https://lynhan.hanam.gov.vn/</v>
      </c>
      <c r="D485" t="str">
        <v>-</v>
      </c>
      <c r="E485" t="str">
        <v>-</v>
      </c>
      <c r="F485" t="str">
        <v>-</v>
      </c>
      <c r="G485" t="str">
        <v>-</v>
      </c>
    </row>
    <row r="486">
      <c r="A486">
        <v>485</v>
      </c>
      <c r="B486">
        <f>HYPERLINK("https://www.facebook.com/catp.namdinh/", "Công an thành phố Nam Định  tỉnh Nam Định")</f>
      </c>
      <c r="C486" t="str">
        <v>https://www.facebook.com/catp.namdinh/</v>
      </c>
      <c r="D486" t="str">
        <v>-</v>
      </c>
      <c r="E486" t="str">
        <v/>
      </c>
      <c r="F486" t="str">
        <v>-</v>
      </c>
      <c r="G486" t="str">
        <v>-</v>
      </c>
    </row>
    <row r="487">
      <c r="A487">
        <v>486</v>
      </c>
      <c r="B487">
        <f>HYPERLINK("https://thanhpho.namdinh.gov.vn/", "UBND Ủy ban nhân dân thành phố Nam Định  tỉnh Nam Định")</f>
      </c>
      <c r="C487" t="str">
        <v>https://thanhpho.namdinh.gov.vn/</v>
      </c>
      <c r="D487" t="str">
        <v>-</v>
      </c>
      <c r="E487" t="str">
        <v>-</v>
      </c>
      <c r="F487" t="str">
        <v>-</v>
      </c>
      <c r="G487" t="str">
        <v>-</v>
      </c>
    </row>
    <row r="488">
      <c r="A488">
        <v>487</v>
      </c>
      <c r="B488">
        <f>HYPERLINK("https://www.facebook.com/p/C%C3%B4ng-an-Huy%E1%BB%87n-M%E1%BB%B9-L%E1%BB%99c-Nam-%C4%90%E1%BB%8Bnh-100071974110040/?locale=eo_EO", "Công an huyện Mỹ Lộc  tỉnh Nam Định")</f>
      </c>
      <c r="C488" t="str">
        <v>https://www.facebook.com/p/C%C3%B4ng-an-Huy%E1%BB%87n-M%E1%BB%B9-L%E1%BB%99c-Nam-%C4%90%E1%BB%8Bnh-100071974110040/?locale=eo_EO</v>
      </c>
      <c r="D488" t="str">
        <v>-</v>
      </c>
      <c r="E488" t="str">
        <v/>
      </c>
      <c r="F488" t="str">
        <v>-</v>
      </c>
      <c r="G488" t="str">
        <v>-</v>
      </c>
    </row>
    <row r="489">
      <c r="A489">
        <v>488</v>
      </c>
      <c r="B489">
        <f>HYPERLINK("https://myloc.namdinh.gov.vn/", "UBND Ủy ban nhân dân huyện Mỹ Lộc  tỉnh Nam Định")</f>
      </c>
      <c r="C489" t="str">
        <v>https://myloc.namdinh.gov.vn/</v>
      </c>
      <c r="D489" t="str">
        <v>-</v>
      </c>
      <c r="E489" t="str">
        <v>-</v>
      </c>
      <c r="F489" t="str">
        <v>-</v>
      </c>
      <c r="G489" t="str">
        <v>-</v>
      </c>
    </row>
    <row r="490">
      <c r="A490">
        <v>489</v>
      </c>
      <c r="B490" t="str">
        <v>Công an huyện Vụ Bản  tỉnh Nam Định</v>
      </c>
      <c r="C490" t="str">
        <v>-</v>
      </c>
      <c r="D490" t="str">
        <v>-</v>
      </c>
      <c r="E490" t="str">
        <v/>
      </c>
      <c r="F490" t="str">
        <v>-</v>
      </c>
      <c r="G490" t="str">
        <v>-</v>
      </c>
    </row>
    <row r="491">
      <c r="A491">
        <v>490</v>
      </c>
      <c r="B491">
        <f>HYPERLINK("https://vuban.namdinh.gov.vn/", "UBND Ủy ban nhân dân huyện Vụ Bản  tỉnh Nam Định")</f>
      </c>
      <c r="C491" t="str">
        <v>https://vuban.namdinh.gov.vn/</v>
      </c>
      <c r="D491" t="str">
        <v>-</v>
      </c>
      <c r="E491" t="str">
        <v>-</v>
      </c>
      <c r="F491" t="str">
        <v>-</v>
      </c>
      <c r="G491" t="str">
        <v>-</v>
      </c>
    </row>
    <row r="492">
      <c r="A492">
        <v>491</v>
      </c>
      <c r="B492">
        <f>HYPERLINK("https://www.facebook.com/p/C%C3%B4ng-an-Th%E1%BB%8B-tr%E1%BA%A5n-L%C3%A2m-%C3%9D-Y%C3%AAn-Nam-%C4%90%E1%BB%8Bnh-100080254186975/", "Công an huyện Ý Yên  tỉnh Nam Định")</f>
      </c>
      <c r="C492" t="str">
        <v>https://www.facebook.com/p/C%C3%B4ng-an-Th%E1%BB%8B-tr%E1%BA%A5n-L%C3%A2m-%C3%9D-Y%C3%AAn-Nam-%C4%90%E1%BB%8Bnh-100080254186975/</v>
      </c>
      <c r="D492" t="str">
        <v>-</v>
      </c>
      <c r="E492" t="str">
        <v/>
      </c>
      <c r="F492" t="str">
        <v>-</v>
      </c>
      <c r="G492" t="str">
        <v>-</v>
      </c>
    </row>
    <row r="493">
      <c r="A493">
        <v>492</v>
      </c>
      <c r="B493">
        <f>HYPERLINK("https://yyen.namdinh.gov.vn/", "UBND Ủy ban nhân dân huyện Ý Yên  tỉnh Nam Định")</f>
      </c>
      <c r="C493" t="str">
        <v>https://yyen.namdinh.gov.vn/</v>
      </c>
      <c r="D493" t="str">
        <v>-</v>
      </c>
      <c r="E493" t="str">
        <v>-</v>
      </c>
      <c r="F493" t="str">
        <v>-</v>
      </c>
      <c r="G493" t="str">
        <v>-</v>
      </c>
    </row>
    <row r="494">
      <c r="A494">
        <v>493</v>
      </c>
      <c r="B494">
        <f>HYPERLINK("https://www.facebook.com/dtncahuyennghiahung/", "Công an huyện Nghĩa Hưng  tỉnh Nam Định")</f>
      </c>
      <c r="C494" t="str">
        <v>https://www.facebook.com/dtncahuyennghiahung/</v>
      </c>
      <c r="D494" t="str">
        <v>-</v>
      </c>
      <c r="E494" t="str">
        <v/>
      </c>
      <c r="F494" t="str">
        <v>-</v>
      </c>
      <c r="G494" t="str">
        <v>-</v>
      </c>
    </row>
    <row r="495">
      <c r="A495">
        <v>494</v>
      </c>
      <c r="B495">
        <f>HYPERLINK("https://nghiahung.namdinh.gov.vn/", "UBND Ủy ban nhân dân huyện Nghĩa Hưng  tỉnh Nam Định")</f>
      </c>
      <c r="C495" t="str">
        <v>https://nghiahung.namdinh.gov.vn/</v>
      </c>
      <c r="D495" t="str">
        <v>-</v>
      </c>
      <c r="E495" t="str">
        <v>-</v>
      </c>
      <c r="F495" t="str">
        <v>-</v>
      </c>
      <c r="G495" t="str">
        <v>-</v>
      </c>
    </row>
    <row r="496">
      <c r="A496">
        <v>495</v>
      </c>
      <c r="B496">
        <f>HYPERLINK("https://www.facebook.com/p/%C4%90o%C3%A0n-thanh-ni%C3%AAn-C%C3%B4ng-an-huy%E1%BB%87n-Nam-Tr%E1%BB%B1c-100057116153272/", "Công an huyện Nam Trực  tỉnh Nam Định")</f>
      </c>
      <c r="C496" t="str">
        <v>https://www.facebook.com/p/%C4%90o%C3%A0n-thanh-ni%C3%AAn-C%C3%B4ng-an-huy%E1%BB%87n-Nam-Tr%E1%BB%B1c-100057116153272/</v>
      </c>
      <c r="D496" t="str">
        <v>-</v>
      </c>
      <c r="E496" t="str">
        <v/>
      </c>
      <c r="F496" t="str">
        <v>-</v>
      </c>
      <c r="G496" t="str">
        <v>-</v>
      </c>
    </row>
    <row r="497">
      <c r="A497">
        <v>496</v>
      </c>
      <c r="B497">
        <f>HYPERLINK("https://namtruc.namdinh.gov.vn/", "UBND Ủy ban nhân dân huyện Nam Trực  tỉnh Nam Định")</f>
      </c>
      <c r="C497" t="str">
        <v>https://namtruc.namdinh.gov.vn/</v>
      </c>
      <c r="D497" t="str">
        <v>-</v>
      </c>
      <c r="E497" t="str">
        <v>-</v>
      </c>
      <c r="F497" t="str">
        <v>-</v>
      </c>
      <c r="G497" t="str">
        <v>-</v>
      </c>
    </row>
    <row r="498">
      <c r="A498">
        <v>497</v>
      </c>
      <c r="B498">
        <f>HYPERLINK("https://www.facebook.com/p/C%C3%B4ng-an-th%E1%BB%8B-tr%E1%BA%A5n-C%E1%BB%95-L%E1%BB%85-100069913269136/?locale=vi_VN", "Công an huyện Trực Ninh  tỉnh Nam Định")</f>
      </c>
      <c r="C498" t="str">
        <v>https://www.facebook.com/p/C%C3%B4ng-an-th%E1%BB%8B-tr%E1%BA%A5n-C%E1%BB%95-L%E1%BB%85-100069913269136/?locale=vi_VN</v>
      </c>
      <c r="D498" t="str">
        <v>-</v>
      </c>
      <c r="E498" t="str">
        <v/>
      </c>
      <c r="F498" t="str">
        <v>-</v>
      </c>
      <c r="G498" t="str">
        <v>-</v>
      </c>
    </row>
    <row r="499">
      <c r="A499">
        <v>498</v>
      </c>
      <c r="B499">
        <f>HYPERLINK("https://trucninh.namdinh.gov.vn/", "UBND Ủy ban nhân dân huyện Trực Ninh  tỉnh Nam Định")</f>
      </c>
      <c r="C499" t="str">
        <v>https://trucninh.namdinh.gov.vn/</v>
      </c>
      <c r="D499" t="str">
        <v>-</v>
      </c>
      <c r="E499" t="str">
        <v>-</v>
      </c>
      <c r="F499" t="str">
        <v>-</v>
      </c>
      <c r="G499" t="str">
        <v>-</v>
      </c>
    </row>
    <row r="500">
      <c r="A500">
        <v>499</v>
      </c>
      <c r="B500" t="str">
        <v>Công an huyện Xuân Trường  tỉnh Nam Định</v>
      </c>
      <c r="C500" t="str">
        <v>-</v>
      </c>
      <c r="D500" t="str">
        <v>-</v>
      </c>
      <c r="E500" t="str">
        <v/>
      </c>
      <c r="F500" t="str">
        <v>-</v>
      </c>
      <c r="G500" t="str">
        <v>-</v>
      </c>
    </row>
    <row r="501">
      <c r="A501">
        <v>500</v>
      </c>
      <c r="B501">
        <f>HYPERLINK("https://xuantruong.namdinh.gov.vn/", "UBND Ủy ban nhân dân huyện Xuân Trường  tỉnh Nam Định")</f>
      </c>
      <c r="C501" t="str">
        <v>https://xuantruong.namdinh.gov.vn/</v>
      </c>
      <c r="D501" t="str">
        <v>-</v>
      </c>
      <c r="E501" t="str">
        <v>-</v>
      </c>
      <c r="F501" t="str">
        <v>-</v>
      </c>
      <c r="G501" t="str">
        <v>-</v>
      </c>
    </row>
    <row r="502">
      <c r="A502">
        <v>501</v>
      </c>
      <c r="B502">
        <f>HYPERLINK("https://www.facebook.com/p/Tu%E1%BB%95i-tr%E1%BA%BB-C%C3%B4ng-an-huy%E1%BB%87n-Th%C3%A1i-Th%E1%BB%A5y-100083773900284/", "Công an huyện Giao Thủy  tỉnh Nam Định")</f>
      </c>
      <c r="C502" t="str">
        <v>https://www.facebook.com/p/Tu%E1%BB%95i-tr%E1%BA%BB-C%C3%B4ng-an-huy%E1%BB%87n-Th%C3%A1i-Th%E1%BB%A5y-100083773900284/</v>
      </c>
      <c r="D502" t="str">
        <v>-</v>
      </c>
      <c r="E502" t="str">
        <v/>
      </c>
      <c r="F502" t="str">
        <v>-</v>
      </c>
      <c r="G502" t="str">
        <v>-</v>
      </c>
    </row>
    <row r="503">
      <c r="A503">
        <v>502</v>
      </c>
      <c r="B503">
        <f>HYPERLINK("https://giaothuy.namdinh.gov.vn/", "UBND Ủy ban nhân dân huyện Giao Thủy  tỉnh Nam Định")</f>
      </c>
      <c r="C503" t="str">
        <v>https://giaothuy.namdinh.gov.vn/</v>
      </c>
      <c r="D503" t="str">
        <v>-</v>
      </c>
      <c r="E503" t="str">
        <v>-</v>
      </c>
      <c r="F503" t="str">
        <v>-</v>
      </c>
      <c r="G503" t="str">
        <v>-</v>
      </c>
    </row>
    <row r="504">
      <c r="A504">
        <v>503</v>
      </c>
      <c r="B504">
        <f>HYPERLINK("https://www.facebook.com/CAH.HaiHau/", "Công an huyện Hải Hậu  tỉnh Nam Định")</f>
      </c>
      <c r="C504" t="str">
        <v>https://www.facebook.com/CAH.HaiHau/</v>
      </c>
      <c r="D504" t="str">
        <v>-</v>
      </c>
      <c r="E504" t="str">
        <v/>
      </c>
      <c r="F504" t="str">
        <v>-</v>
      </c>
      <c r="G504" t="str">
        <v>-</v>
      </c>
    </row>
    <row r="505">
      <c r="A505">
        <v>504</v>
      </c>
      <c r="B505">
        <f>HYPERLINK("https://haihau.namdinh.gov.vn/", "UBND Ủy ban nhân dân huyện Hải Hậu  tỉnh Nam Định")</f>
      </c>
      <c r="C505" t="str">
        <v>https://haihau.namdinh.gov.vn/</v>
      </c>
      <c r="D505" t="str">
        <v>-</v>
      </c>
      <c r="E505" t="str">
        <v>-</v>
      </c>
      <c r="F505" t="str">
        <v>-</v>
      </c>
      <c r="G505" t="str">
        <v>-</v>
      </c>
    </row>
    <row r="506">
      <c r="A506">
        <v>505</v>
      </c>
      <c r="B506">
        <f>HYPERLINK("https://www.facebook.com/tuoitreconganninhbinh/", "Công an thành phố Ninh Bình  tỉnh Ninh Bình")</f>
      </c>
      <c r="C506" t="str">
        <v>https://www.facebook.com/tuoitreconganninhbinh/</v>
      </c>
      <c r="D506" t="str">
        <v>-</v>
      </c>
      <c r="E506" t="str">
        <v/>
      </c>
      <c r="F506" t="str">
        <v>-</v>
      </c>
      <c r="G506" t="str">
        <v>-</v>
      </c>
    </row>
    <row r="507">
      <c r="A507">
        <v>506</v>
      </c>
      <c r="B507">
        <f>HYPERLINK("https://tpninhbinh.ninhbinh.gov.vn/", "UBND Ủy ban nhân dân thành phố Ninh Bình  tỉnh Ninh Bình")</f>
      </c>
      <c r="C507" t="str">
        <v>https://tpninhbinh.ninhbinh.gov.vn/</v>
      </c>
      <c r="D507" t="str">
        <v>-</v>
      </c>
      <c r="E507" t="str">
        <v>-</v>
      </c>
      <c r="F507" t="str">
        <v>-</v>
      </c>
      <c r="G507" t="str">
        <v>-</v>
      </c>
    </row>
    <row r="508">
      <c r="A508">
        <v>507</v>
      </c>
      <c r="B508">
        <f>HYPERLINK("https://www.facebook.com/p/C%C3%B4ng-an-th%C3%A0nh-ph%E1%BB%91-Tam-%C4%90i%E1%BB%87p-100069074291255/", "Công an thành phố Tam Điệp  tỉnh Ninh Bình")</f>
      </c>
      <c r="C508" t="str">
        <v>https://www.facebook.com/p/C%C3%B4ng-an-th%C3%A0nh-ph%E1%BB%91-Tam-%C4%90i%E1%BB%87p-100069074291255/</v>
      </c>
      <c r="D508" t="str">
        <v>-</v>
      </c>
      <c r="E508" t="str">
        <v/>
      </c>
      <c r="F508" t="str">
        <v>-</v>
      </c>
      <c r="G508" t="str">
        <v>-</v>
      </c>
    </row>
    <row r="509">
      <c r="A509">
        <v>508</v>
      </c>
      <c r="B509">
        <f>HYPERLINK("https://tamdiep.ninhbinh.gov.vn/", "UBND Ủy ban nhân dân thành phố Tam Điệp  tỉnh Ninh Bình")</f>
      </c>
      <c r="C509" t="str">
        <v>https://tamdiep.ninhbinh.gov.vn/</v>
      </c>
      <c r="D509" t="str">
        <v>-</v>
      </c>
      <c r="E509" t="str">
        <v>-</v>
      </c>
      <c r="F509" t="str">
        <v>-</v>
      </c>
      <c r="G509" t="str">
        <v>-</v>
      </c>
    </row>
    <row r="510">
      <c r="A510">
        <v>509</v>
      </c>
      <c r="B510">
        <f>HYPERLINK("https://www.facebook.com/CAHNhoQuan/", "Công an huyện Nho Quan  tỉnh Ninh Bình")</f>
      </c>
      <c r="C510" t="str">
        <v>https://www.facebook.com/CAHNhoQuan/</v>
      </c>
      <c r="D510" t="str">
        <v>-</v>
      </c>
      <c r="E510" t="str">
        <v/>
      </c>
      <c r="F510" t="str">
        <v>-</v>
      </c>
      <c r="G510" t="str">
        <v>-</v>
      </c>
    </row>
    <row r="511">
      <c r="A511">
        <v>510</v>
      </c>
      <c r="B511">
        <f>HYPERLINK("https://nhoquan.ninhbinh.gov.vn/", "UBND Ủy ban nhân dân huyện Nho Quan  tỉnh Ninh Bình")</f>
      </c>
      <c r="C511" t="str">
        <v>https://nhoquan.ninhbinh.gov.vn/</v>
      </c>
      <c r="D511" t="str">
        <v>-</v>
      </c>
      <c r="E511" t="str">
        <v>-</v>
      </c>
      <c r="F511" t="str">
        <v>-</v>
      </c>
      <c r="G511" t="str">
        <v>-</v>
      </c>
    </row>
    <row r="512">
      <c r="A512">
        <v>511</v>
      </c>
      <c r="B512">
        <f>HYPERLINK("https://www.facebook.com/CAHGiaVien/", "Công an huyện Gia Viễn  tỉnh Ninh Bình")</f>
      </c>
      <c r="C512" t="str">
        <v>https://www.facebook.com/CAHGiaVien/</v>
      </c>
      <c r="D512" t="str">
        <v>-</v>
      </c>
      <c r="E512" t="str">
        <v/>
      </c>
      <c r="F512" t="str">
        <v>-</v>
      </c>
      <c r="G512" t="str">
        <v>-</v>
      </c>
    </row>
    <row r="513">
      <c r="A513">
        <v>512</v>
      </c>
      <c r="B513">
        <f>HYPERLINK("https://giavien.ninhbinh.gov.vn/", "UBND Ủy ban nhân dân huyện Gia Viễn  tỉnh Ninh Bình")</f>
      </c>
      <c r="C513" t="str">
        <v>https://giavien.ninhbinh.gov.vn/</v>
      </c>
      <c r="D513" t="str">
        <v>-</v>
      </c>
      <c r="E513" t="str">
        <v>-</v>
      </c>
      <c r="F513" t="str">
        <v>-</v>
      </c>
      <c r="G513" t="str">
        <v>-</v>
      </c>
    </row>
    <row r="514">
      <c r="A514">
        <v>513</v>
      </c>
      <c r="B514" t="str">
        <v>Công an huyện Hoa Lư  tỉnh Ninh Bình</v>
      </c>
      <c r="C514" t="str">
        <v>-</v>
      </c>
      <c r="D514" t="str">
        <v>-</v>
      </c>
      <c r="E514" t="str">
        <v/>
      </c>
      <c r="F514" t="str">
        <v>-</v>
      </c>
      <c r="G514" t="str">
        <v>-</v>
      </c>
    </row>
    <row r="515">
      <c r="A515">
        <v>514</v>
      </c>
      <c r="B515">
        <f>HYPERLINK("https://hoalu.ninhbinh.gov.vn/", "UBND Ủy ban nhân dân huyện Hoa Lư  tỉnh Ninh Bình")</f>
      </c>
      <c r="C515" t="str">
        <v>https://hoalu.ninhbinh.gov.vn/</v>
      </c>
      <c r="D515" t="str">
        <v>-</v>
      </c>
      <c r="E515" t="str">
        <v>-</v>
      </c>
      <c r="F515" t="str">
        <v>-</v>
      </c>
      <c r="G515" t="str">
        <v>-</v>
      </c>
    </row>
    <row r="516">
      <c r="A516">
        <v>515</v>
      </c>
      <c r="B516">
        <f>HYPERLINK("https://www.facebook.com/Conganhuyenyenkhanh/?locale=vi_VN", "Công an huyện Yên Khánh  tỉnh Ninh Bình")</f>
      </c>
      <c r="C516" t="str">
        <v>https://www.facebook.com/Conganhuyenyenkhanh/?locale=vi_VN</v>
      </c>
      <c r="D516" t="str">
        <v>-</v>
      </c>
      <c r="E516" t="str">
        <v/>
      </c>
      <c r="F516" t="str">
        <v>-</v>
      </c>
      <c r="G516" t="str">
        <v>-</v>
      </c>
    </row>
    <row r="517">
      <c r="A517">
        <v>516</v>
      </c>
      <c r="B517">
        <f>HYPERLINK("https://yenkhanh.ninhbinh.gov.vn/", "UBND Ủy ban nhân dân huyện Yên Khánh  tỉnh Ninh Bình")</f>
      </c>
      <c r="C517" t="str">
        <v>https://yenkhanh.ninhbinh.gov.vn/</v>
      </c>
      <c r="D517" t="str">
        <v>-</v>
      </c>
      <c r="E517" t="str">
        <v>-</v>
      </c>
      <c r="F517" t="str">
        <v>-</v>
      </c>
      <c r="G517" t="str">
        <v>-</v>
      </c>
    </row>
    <row r="518">
      <c r="A518">
        <v>517</v>
      </c>
      <c r="B518">
        <f>HYPERLINK("https://www.facebook.com/cahuyenkimson/", "Công an huyện Kim Sơn  tỉnh Ninh Bình")</f>
      </c>
      <c r="C518" t="str">
        <v>https://www.facebook.com/cahuyenkimson/</v>
      </c>
      <c r="D518" t="str">
        <v>-</v>
      </c>
      <c r="E518" t="str">
        <v/>
      </c>
      <c r="F518" t="str">
        <v>-</v>
      </c>
      <c r="G518" t="str">
        <v>-</v>
      </c>
    </row>
    <row r="519">
      <c r="A519">
        <v>518</v>
      </c>
      <c r="B519">
        <f>HYPERLINK("https://kimson.ninhbinh.gov.vn/", "UBND Ủy ban nhân dân huyện Kim Sơn  tỉnh Ninh Bình")</f>
      </c>
      <c r="C519" t="str">
        <v>https://kimson.ninhbinh.gov.vn/</v>
      </c>
      <c r="D519" t="str">
        <v>-</v>
      </c>
      <c r="E519" t="str">
        <v>-</v>
      </c>
      <c r="F519" t="str">
        <v>-</v>
      </c>
      <c r="G519" t="str">
        <v>-</v>
      </c>
    </row>
    <row r="520">
      <c r="A520">
        <v>519</v>
      </c>
      <c r="B520">
        <f>HYPERLINK("https://www.facebook.com/p/C%C3%B4ng-an-huy%E1%BB%87n-Y%C3%AAn-M%C3%B4-100033535308059/?locale=vi_VN", "Công an huyện Yên Mô  tỉnh Ninh Bình")</f>
      </c>
      <c r="C520" t="str">
        <v>https://www.facebook.com/p/C%C3%B4ng-an-huy%E1%BB%87n-Y%C3%AAn-M%C3%B4-100033535308059/?locale=vi_VN</v>
      </c>
      <c r="D520" t="str">
        <v>-</v>
      </c>
      <c r="E520" t="str">
        <v/>
      </c>
      <c r="F520" t="str">
        <v>-</v>
      </c>
      <c r="G520" t="str">
        <v>-</v>
      </c>
    </row>
    <row r="521">
      <c r="A521">
        <v>520</v>
      </c>
      <c r="B521">
        <f>HYPERLINK("https://yenmo.ninhbinh.gov.vn/", "UBND Ủy ban nhân dân huyện Yên Mô  tỉnh Ninh Bình")</f>
      </c>
      <c r="C521" t="str">
        <v>https://yenmo.ninhbinh.gov.vn/</v>
      </c>
      <c r="D521" t="str">
        <v>-</v>
      </c>
      <c r="E521" t="str">
        <v>-</v>
      </c>
      <c r="F521" t="str">
        <v>-</v>
      </c>
      <c r="G521" t="str">
        <v>-</v>
      </c>
    </row>
    <row r="522">
      <c r="A522">
        <v>521</v>
      </c>
      <c r="B522">
        <f>HYPERLINK("https://www.facebook.com/conganthanhphothanhhoa/?locale=vi_VN", "Công an thành phố Thanh Hóa  tỉnh Thanh Hóa")</f>
      </c>
      <c r="C522" t="str">
        <v>https://www.facebook.com/conganthanhphothanhhoa/?locale=vi_VN</v>
      </c>
      <c r="D522" t="str">
        <v>-</v>
      </c>
      <c r="E522" t="str">
        <v/>
      </c>
      <c r="F522" t="str">
        <v>-</v>
      </c>
      <c r="G522" t="str">
        <v>-</v>
      </c>
    </row>
    <row r="523">
      <c r="A523">
        <v>522</v>
      </c>
      <c r="B523">
        <f>HYPERLINK("https://tpthanhhoa.thanhhoa.gov.vn/", "UBND Ủy ban nhân dân thành phố Thanh Hóa  tỉnh Thanh Hóa")</f>
      </c>
      <c r="C523" t="str">
        <v>https://tpthanhhoa.thanhhoa.gov.vn/</v>
      </c>
      <c r="D523" t="str">
        <v>-</v>
      </c>
      <c r="E523" t="str">
        <v>-</v>
      </c>
      <c r="F523" t="str">
        <v>-</v>
      </c>
      <c r="G523" t="str">
        <v>-</v>
      </c>
    </row>
    <row r="524">
      <c r="A524">
        <v>523</v>
      </c>
      <c r="B524">
        <f>HYPERLINK("https://www.facebook.com/p/C%C3%B4ng-an-th%C3%A0nh-ph%E1%BB%91-S%E1%BA%A7m-S%C6%A1n-Thanh-Ho%C3%A1-100063748233268/", "Công an thành phố Sầm Sơn  tỉnh Thanh Hóa")</f>
      </c>
      <c r="C524" t="str">
        <v>https://www.facebook.com/p/C%C3%B4ng-an-th%C3%A0nh-ph%E1%BB%91-S%E1%BA%A7m-S%C6%A1n-Thanh-Ho%C3%A1-100063748233268/</v>
      </c>
      <c r="D524" t="str">
        <v>-</v>
      </c>
      <c r="E524" t="str">
        <v/>
      </c>
      <c r="F524" t="str">
        <v>-</v>
      </c>
      <c r="G524" t="str">
        <v>-</v>
      </c>
    </row>
    <row r="525">
      <c r="A525">
        <v>524</v>
      </c>
      <c r="B525">
        <f>HYPERLINK("https://quangdai.samson.thanhhoa.gov.vn/", "UBND Ủy ban nhân dân thành phố Sầm Sơn  tỉnh Thanh Hóa")</f>
      </c>
      <c r="C525" t="str">
        <v>https://quangdai.samson.thanhhoa.gov.vn/</v>
      </c>
      <c r="D525" t="str">
        <v>-</v>
      </c>
      <c r="E525" t="str">
        <v>-</v>
      </c>
      <c r="F525" t="str">
        <v>-</v>
      </c>
      <c r="G525" t="str">
        <v>-</v>
      </c>
    </row>
    <row r="526">
      <c r="A526">
        <v>525</v>
      </c>
      <c r="B526">
        <f>HYPERLINK("https://www.facebook.com/p/Tu%E1%BB%95i-tr%E1%BA%BB-C%C3%B4ng-an-TP-S%E1%BA%A7m-S%C6%A1n-100069346653553/?locale=hi_IN", "Công an huyện Mường Lát  tỉnh Thanh Hóa")</f>
      </c>
      <c r="C526" t="str">
        <v>https://www.facebook.com/p/Tu%E1%BB%95i-tr%E1%BA%BB-C%C3%B4ng-an-TP-S%E1%BA%A7m-S%C6%A1n-100069346653553/?locale=hi_IN</v>
      </c>
      <c r="D526" t="str">
        <v>-</v>
      </c>
      <c r="E526" t="str">
        <v/>
      </c>
      <c r="F526" t="str">
        <v>-</v>
      </c>
      <c r="G526" t="str">
        <v>-</v>
      </c>
    </row>
    <row r="527">
      <c r="A527">
        <v>526</v>
      </c>
      <c r="B527">
        <f>HYPERLINK("https://thitran.muonglat.thanhhoa.gov.vn/", "UBND Ủy ban nhân dân huyện Mường Lát  tỉnh Thanh Hóa")</f>
      </c>
      <c r="C527" t="str">
        <v>https://thitran.muonglat.thanhhoa.gov.vn/</v>
      </c>
      <c r="D527" t="str">
        <v>-</v>
      </c>
      <c r="E527" t="str">
        <v>-</v>
      </c>
      <c r="F527" t="str">
        <v>-</v>
      </c>
      <c r="G527" t="str">
        <v>-</v>
      </c>
    </row>
    <row r="528">
      <c r="A528">
        <v>527</v>
      </c>
      <c r="B528">
        <f>HYPERLINK("https://www.facebook.com/100063702331996", "Công an huyện Quan Hóa  tỉnh Thanh Hóa")</f>
      </c>
      <c r="C528" t="str">
        <v>https://www.facebook.com/100063702331996</v>
      </c>
      <c r="D528" t="str">
        <v>-</v>
      </c>
      <c r="E528" t="str">
        <v>02373875003</v>
      </c>
      <c r="F528" t="str">
        <v>-</v>
      </c>
      <c r="G528" t="str">
        <v>-</v>
      </c>
    </row>
    <row r="529">
      <c r="A529">
        <v>528</v>
      </c>
      <c r="B529">
        <f>HYPERLINK("https://qppl.thanhhoa.gov.vn/vbpq_quanhoa.nsf/DefaultMetro", "UBND Ủy ban nhân dân huyện Quan Hóa  tỉnh Thanh Hóa")</f>
      </c>
      <c r="C529" t="str">
        <v>https://qppl.thanhhoa.gov.vn/vbpq_quanhoa.nsf/DefaultMetro</v>
      </c>
      <c r="D529" t="str">
        <v>-</v>
      </c>
      <c r="E529" t="str">
        <v>-</v>
      </c>
      <c r="F529" t="str">
        <v>-</v>
      </c>
      <c r="G529" t="str">
        <v>-</v>
      </c>
    </row>
    <row r="530">
      <c r="A530">
        <v>529</v>
      </c>
      <c r="B530">
        <f>HYPERLINK("https://www.facebook.com/conganhuyenbathuoc/", "Công an huyện Bá Thước  tỉnh Thanh Hóa")</f>
      </c>
      <c r="C530" t="str">
        <v>https://www.facebook.com/conganhuyenbathuoc/</v>
      </c>
      <c r="D530" t="str">
        <v>-</v>
      </c>
      <c r="E530" t="str">
        <v/>
      </c>
      <c r="F530" t="str">
        <v>-</v>
      </c>
      <c r="G530" t="str">
        <v>-</v>
      </c>
    </row>
    <row r="531">
      <c r="A531">
        <v>530</v>
      </c>
      <c r="B531">
        <f>HYPERLINK("http://bathuoc.gov.vn/", "UBND Ủy ban nhân dân huyện Bá Thước  tỉnh Thanh Hóa")</f>
      </c>
      <c r="C531" t="str">
        <v>http://bathuoc.gov.vn/</v>
      </c>
      <c r="D531" t="str">
        <v>-</v>
      </c>
      <c r="E531" t="str">
        <v>-</v>
      </c>
      <c r="F531" t="str">
        <v>-</v>
      </c>
      <c r="G531" t="str">
        <v>-</v>
      </c>
    </row>
    <row r="532">
      <c r="A532">
        <v>531</v>
      </c>
      <c r="B532">
        <f>HYPERLINK("https://www.facebook.com/caqs.36/?locale=vi_VN", "Công an huyện Quan Sơn  tỉnh Thanh Hóa")</f>
      </c>
      <c r="C532" t="str">
        <v>https://www.facebook.com/caqs.36/?locale=vi_VN</v>
      </c>
      <c r="D532" t="str">
        <v>-</v>
      </c>
      <c r="E532" t="str">
        <v/>
      </c>
      <c r="F532" t="str">
        <v>-</v>
      </c>
      <c r="G532" t="str">
        <v>-</v>
      </c>
    </row>
    <row r="533">
      <c r="A533">
        <v>532</v>
      </c>
      <c r="B533">
        <f>HYPERLINK("https://pbgdpl.thanhhoa.gov.vn/providers/75", "UBND Ủy ban nhân dân huyện Quan Sơn  tỉnh Thanh Hóa")</f>
      </c>
      <c r="C533" t="str">
        <v>https://pbgdpl.thanhhoa.gov.vn/providers/75</v>
      </c>
      <c r="D533" t="str">
        <v>-</v>
      </c>
      <c r="E533" t="str">
        <v>-</v>
      </c>
      <c r="F533" t="str">
        <v>-</v>
      </c>
      <c r="G533" t="str">
        <v>-</v>
      </c>
    </row>
    <row r="534">
      <c r="A534">
        <v>533</v>
      </c>
      <c r="B534">
        <f>HYPERLINK("https://www.facebook.com/p/C%C3%B4ng-an-huy%E1%BB%87n-Lang-Ch%C3%A1nh-100063611228708/", "Công an huyện Lang Chánh  tỉnh Thanh Hóa")</f>
      </c>
      <c r="C534" t="str">
        <v>https://www.facebook.com/p/C%C3%B4ng-an-huy%E1%BB%87n-Lang-Ch%C3%A1nh-100063611228708/</v>
      </c>
      <c r="D534" t="str">
        <v>-</v>
      </c>
      <c r="E534" t="str">
        <v/>
      </c>
      <c r="F534" t="str">
        <v>-</v>
      </c>
      <c r="G534" t="str">
        <v>-</v>
      </c>
    </row>
    <row r="535">
      <c r="A535">
        <v>534</v>
      </c>
      <c r="B535">
        <f>HYPERLINK("https://thitran.langchanh.thanhhoa.gov.vn/", "UBND Ủy ban nhân dân huyện Lang Chánh  tỉnh Thanh Hóa")</f>
      </c>
      <c r="C535" t="str">
        <v>https://thitran.langchanh.thanhhoa.gov.vn/</v>
      </c>
      <c r="D535" t="str">
        <v>-</v>
      </c>
      <c r="E535" t="str">
        <v>-</v>
      </c>
      <c r="F535" t="str">
        <v>-</v>
      </c>
      <c r="G535" t="str">
        <v>-</v>
      </c>
    </row>
    <row r="536">
      <c r="A536">
        <v>535</v>
      </c>
      <c r="B536">
        <f>HYPERLINK("https://www.facebook.com/100064202226018/", "Công an huyện Ngọc Lặc  tỉnh Thanh Hóa")</f>
      </c>
      <c r="C536" t="str">
        <v>https://www.facebook.com/100064202226018/</v>
      </c>
      <c r="D536" t="str">
        <v>-</v>
      </c>
      <c r="E536" t="str">
        <v>02373871143</v>
      </c>
      <c r="F536" t="str">
        <v>-</v>
      </c>
      <c r="G536" t="str">
        <v>489 đường Phố Cống, Ngoc Lac, Vietnam</v>
      </c>
    </row>
    <row r="537">
      <c r="A537">
        <v>536</v>
      </c>
      <c r="B537">
        <f>HYPERLINK("https://qppl.thanhhoa.gov.vn/vbpq_thanhhoa.nsf/BFD4657191ACAC4C472587030006E9F0/$file/DT-VBDTPT888955083-6-20211624637967645_tuandm_26-06-2021-10-55-28_signed.pdf", "UBND Ủy ban nhân dân huyện Ngọc Lặc  tỉnh Thanh Hóa")</f>
      </c>
      <c r="C537" t="str">
        <v>https://qppl.thanhhoa.gov.vn/vbpq_thanhhoa.nsf/BFD4657191ACAC4C472587030006E9F0/$file/DT-VBDTPT888955083-6-20211624637967645_tuandm_26-06-2021-10-55-28_signed.pdf</v>
      </c>
      <c r="D537" t="str">
        <v>-</v>
      </c>
      <c r="E537" t="str">
        <v>-</v>
      </c>
      <c r="F537" t="str">
        <v>-</v>
      </c>
      <c r="G537" t="str">
        <v>-</v>
      </c>
    </row>
    <row r="538">
      <c r="A538">
        <v>537</v>
      </c>
      <c r="B538">
        <f>HYPERLINK("https://www.facebook.com/congancamthuy/", "Công an huyện Cẩm Thủy  tỉnh Thanh Hóa")</f>
      </c>
      <c r="C538" t="str">
        <v>https://www.facebook.com/congancamthuy/</v>
      </c>
      <c r="D538" t="str">
        <v>-</v>
      </c>
      <c r="E538" t="str">
        <v/>
      </c>
      <c r="F538" t="str">
        <v>-</v>
      </c>
      <c r="G538" t="str">
        <v>-</v>
      </c>
    </row>
    <row r="539">
      <c r="A539">
        <v>538</v>
      </c>
      <c r="B539">
        <f>HYPERLINK("https://camphu.camthuy.thanhhoa.gov.vn/", "UBND Ủy ban nhân dân huyện Cẩm Thủy  tỉnh Thanh Hóa")</f>
      </c>
      <c r="C539" t="str">
        <v>https://camphu.camthuy.thanhhoa.gov.vn/</v>
      </c>
      <c r="D539" t="str">
        <v>-</v>
      </c>
      <c r="E539" t="str">
        <v>-</v>
      </c>
      <c r="F539" t="str">
        <v>-</v>
      </c>
      <c r="G539" t="str">
        <v>-</v>
      </c>
    </row>
    <row r="540">
      <c r="A540">
        <v>539</v>
      </c>
      <c r="B540">
        <f>HYPERLINK("https://www.facebook.com/CATT.THO/", "Công an huyện Thạch Thành  tỉnh Thanh Hóa")</f>
      </c>
      <c r="C540" t="str">
        <v>https://www.facebook.com/CATT.THO/</v>
      </c>
      <c r="D540" t="str">
        <v>-</v>
      </c>
      <c r="E540" t="str">
        <v/>
      </c>
      <c r="F540" t="str">
        <v>-</v>
      </c>
      <c r="G540" t="str">
        <v>-</v>
      </c>
    </row>
    <row r="541">
      <c r="A541">
        <v>540</v>
      </c>
      <c r="B541">
        <f>HYPERLINK("https://thanhvinh.thachthanh.thanhhoa.gov.vn/", "UBND Ủy ban nhân dân huyện Thạch Thành  tỉnh Thanh Hóa")</f>
      </c>
      <c r="C541" t="str">
        <v>https://thanhvinh.thachthanh.thanhhoa.gov.vn/</v>
      </c>
      <c r="D541" t="str">
        <v>-</v>
      </c>
      <c r="E541" t="str">
        <v>-</v>
      </c>
      <c r="F541" t="str">
        <v>-</v>
      </c>
      <c r="G541" t="str">
        <v>-</v>
      </c>
    </row>
    <row r="542">
      <c r="A542">
        <v>541</v>
      </c>
      <c r="B542">
        <f>HYPERLINK("https://www.facebook.com/p/Tu%E1%BB%95i-tr%E1%BA%BB-C%C3%B4ng-an-TP-S%E1%BA%A7m-S%C6%A1n-100069346653553/?locale=hi_IN", "Công an huyện Hà Trung  tỉnh Thanh Hóa")</f>
      </c>
      <c r="C542" t="str">
        <v>https://www.facebook.com/p/Tu%E1%BB%95i-tr%E1%BA%BB-C%C3%B4ng-an-TP-S%E1%BA%A7m-S%C6%A1n-100069346653553/?locale=hi_IN</v>
      </c>
      <c r="D542" t="str">
        <v>-</v>
      </c>
      <c r="E542" t="str">
        <v/>
      </c>
      <c r="F542" t="str">
        <v>-</v>
      </c>
      <c r="G542" t="str">
        <v>-</v>
      </c>
    </row>
    <row r="543">
      <c r="A543">
        <v>542</v>
      </c>
      <c r="B543">
        <f>HYPERLINK("https://thitran.hatrung.thanhhoa.gov.vn/", "UBND Ủy ban nhân dân huyện Hà Trung  tỉnh Thanh Hóa")</f>
      </c>
      <c r="C543" t="str">
        <v>https://thitran.hatrung.thanhhoa.gov.vn/</v>
      </c>
      <c r="D543" t="str">
        <v>-</v>
      </c>
      <c r="E543" t="str">
        <v>-</v>
      </c>
      <c r="F543" t="str">
        <v>-</v>
      </c>
      <c r="G543" t="str">
        <v>-</v>
      </c>
    </row>
    <row r="544">
      <c r="A544">
        <v>543</v>
      </c>
      <c r="B544">
        <f>HYPERLINK("https://www.facebook.com/conganvinhloc/?locale=vi_VN", "Công an huyện Vĩnh Lộc  tỉnh Thanh Hóa")</f>
      </c>
      <c r="C544" t="str">
        <v>https://www.facebook.com/conganvinhloc/?locale=vi_VN</v>
      </c>
      <c r="D544" t="str">
        <v>-</v>
      </c>
      <c r="E544" t="str">
        <v/>
      </c>
      <c r="F544" t="str">
        <v>-</v>
      </c>
      <c r="G544" t="str">
        <v>-</v>
      </c>
    </row>
    <row r="545">
      <c r="A545">
        <v>544</v>
      </c>
      <c r="B545">
        <f>HYPERLINK("https://benhviennhitrunguong.gov.vn/ky-ket-thoa-thuan-hop-tac-ho-tro-chuyen-mon-y-te-voi-ubnd-huyen-vinh-loc-tinh-thanh-hoa.html", "UBND Ủy ban nhân dân huyện Vĩnh Lộc  tỉnh Thanh Hóa")</f>
      </c>
      <c r="C545" t="str">
        <v>https://benhviennhitrunguong.gov.vn/ky-ket-thoa-thuan-hop-tac-ho-tro-chuyen-mon-y-te-voi-ubnd-huyen-vinh-loc-tinh-thanh-hoa.html</v>
      </c>
      <c r="D545" t="str">
        <v>-</v>
      </c>
      <c r="E545" t="str">
        <v>-</v>
      </c>
      <c r="F545" t="str">
        <v>-</v>
      </c>
      <c r="G545" t="str">
        <v>-</v>
      </c>
    </row>
    <row r="546">
      <c r="A546">
        <v>545</v>
      </c>
      <c r="B546">
        <f>HYPERLINK("https://www.facebook.com/CAHYD.THO/", "Công an huyện Yên Định  tỉnh Thanh Hóa")</f>
      </c>
      <c r="C546" t="str">
        <v>https://www.facebook.com/CAHYD.THO/</v>
      </c>
      <c r="D546" t="str">
        <v>-</v>
      </c>
      <c r="E546" t="str">
        <v/>
      </c>
      <c r="F546" t="str">
        <v>-</v>
      </c>
      <c r="G546" t="str">
        <v>-</v>
      </c>
    </row>
    <row r="547">
      <c r="A547">
        <v>546</v>
      </c>
      <c r="B547">
        <f>HYPERLINK("https://dichvucong.gov.vn/p/home/dvc-tthc-bonganh-tinhtp.html?id2=372584&amp;name2=UBND%20huy%E1%BB%87n%20Y%C3%AAn%20%C4%90%E1%BB%8Bnh&amp;name1=UBND%20t%E1%BB%89nh%20Thanh%20Ho%C3%A1&amp;id1=371854&amp;type_tinh_bo=2&amp;lan=2", "UBND Ủy ban nhân dân huyện Yên Định  tỉnh Thanh Hóa")</f>
      </c>
      <c r="C547" t="str">
        <v>https://dichvucong.gov.vn/p/home/dvc-tthc-bonganh-tinhtp.html?id2=372584&amp;name2=UBND%20huy%E1%BB%87n%20Y%C3%AAn%20%C4%90%E1%BB%8Bnh&amp;name1=UBND%20t%E1%BB%89nh%20Thanh%20Ho%C3%A1&amp;id1=371854&amp;type_tinh_bo=2&amp;lan=2</v>
      </c>
      <c r="D547" t="str">
        <v>-</v>
      </c>
      <c r="E547" t="str">
        <v>-</v>
      </c>
      <c r="F547" t="str">
        <v>-</v>
      </c>
      <c r="G547" t="str">
        <v>-</v>
      </c>
    </row>
    <row r="548">
      <c r="A548">
        <v>547</v>
      </c>
      <c r="B548">
        <f>HYPERLINK("https://www.facebook.com/p/C%C3%B4ng-an-huy%E1%BB%87n-Th%E1%BB%8D-Xu%C3%A2n-100072365537592/", "Công an huyện Thọ Xuân  tỉnh Thanh Hóa")</f>
      </c>
      <c r="C548" t="str">
        <v>https://www.facebook.com/p/C%C3%B4ng-an-huy%E1%BB%87n-Th%E1%BB%8D-Xu%C3%A2n-100072365537592/</v>
      </c>
      <c r="D548" t="str">
        <v>-</v>
      </c>
      <c r="E548" t="str">
        <v/>
      </c>
      <c r="F548" t="str">
        <v>-</v>
      </c>
      <c r="G548" t="str">
        <v>-</v>
      </c>
    </row>
    <row r="549">
      <c r="A549">
        <v>548</v>
      </c>
      <c r="B549">
        <f>HYPERLINK("https://thoxuan.thanhhoa.gov.vn/", "UBND Ủy ban nhân dân huyện Thọ Xuân  tỉnh Thanh Hóa")</f>
      </c>
      <c r="C549" t="str">
        <v>https://thoxuan.thanhhoa.gov.vn/</v>
      </c>
      <c r="D549" t="str">
        <v>-</v>
      </c>
      <c r="E549" t="str">
        <v>-</v>
      </c>
      <c r="F549" t="str">
        <v>-</v>
      </c>
      <c r="G549" t="str">
        <v>-</v>
      </c>
    </row>
    <row r="550">
      <c r="A550">
        <v>549</v>
      </c>
      <c r="B550">
        <f>HYPERLINK("https://www.facebook.com/conganhuyenthuongxuan/?locale=vi_VN", "Công an huyện Thường Xuân  tỉnh Thanh Hóa")</f>
      </c>
      <c r="C550" t="str">
        <v>https://www.facebook.com/conganhuyenthuongxuan/?locale=vi_VN</v>
      </c>
      <c r="D550" t="str">
        <v>-</v>
      </c>
      <c r="E550" t="str">
        <v/>
      </c>
      <c r="F550" t="str">
        <v>-</v>
      </c>
      <c r="G550" t="str">
        <v>-</v>
      </c>
    </row>
    <row r="551">
      <c r="A551">
        <v>550</v>
      </c>
      <c r="B551">
        <f>HYPERLINK("http://thuongxuan.gov.vn/", "UBND Ủy ban nhân dân huyện Thường Xuân  tỉnh Thanh Hóa")</f>
      </c>
      <c r="C551" t="str">
        <v>http://thuongxuan.gov.vn/</v>
      </c>
      <c r="D551" t="str">
        <v>-</v>
      </c>
      <c r="E551" t="str">
        <v>-</v>
      </c>
      <c r="F551" t="str">
        <v>-</v>
      </c>
      <c r="G551" t="str">
        <v>-</v>
      </c>
    </row>
    <row r="552">
      <c r="A552">
        <v>551</v>
      </c>
      <c r="B552">
        <f>HYPERLINK("https://www.facebook.com/ConganTrieuSonOfficial/", "Công an huyện Triệu Sơn  tỉnh Thanh Hóa")</f>
      </c>
      <c r="C552" t="str">
        <v>https://www.facebook.com/ConganTrieuSonOfficial/</v>
      </c>
      <c r="D552" t="str">
        <v>-</v>
      </c>
      <c r="E552" t="str">
        <v/>
      </c>
      <c r="F552" t="str">
        <v>-</v>
      </c>
      <c r="G552" t="str">
        <v>-</v>
      </c>
    </row>
    <row r="553">
      <c r="A553">
        <v>552</v>
      </c>
      <c r="B553">
        <f>HYPERLINK("http://trieuson.gov.vn/", "UBND Ủy ban nhân dân huyện Triệu Sơn  tỉnh Thanh Hóa")</f>
      </c>
      <c r="C553" t="str">
        <v>http://trieuson.gov.vn/</v>
      </c>
      <c r="D553" t="str">
        <v>-</v>
      </c>
      <c r="E553" t="str">
        <v>-</v>
      </c>
      <c r="F553" t="str">
        <v>-</v>
      </c>
      <c r="G553" t="str">
        <v>-</v>
      </c>
    </row>
    <row r="554">
      <c r="A554">
        <v>553</v>
      </c>
      <c r="B554">
        <f>HYPERLINK("https://www.facebook.com/Conganhuyenthieuhoa/?locale=vi_VN", "Công an huyện Thiệu Hóa  tỉnh Thanh Hóa")</f>
      </c>
      <c r="C554" t="str">
        <v>https://www.facebook.com/Conganhuyenthieuhoa/?locale=vi_VN</v>
      </c>
      <c r="D554" t="str">
        <v>-</v>
      </c>
      <c r="E554" t="str">
        <v/>
      </c>
      <c r="F554" t="str">
        <v>-</v>
      </c>
      <c r="G554" t="str">
        <v>-</v>
      </c>
    </row>
    <row r="555">
      <c r="A555">
        <v>554</v>
      </c>
      <c r="B555">
        <f>HYPERLINK("https://qppl.thanhhoa.gov.vn/vbpq_thanhhoa.nsf/All/668550997CC9E19747257B2B00112189/$file/d768.pdf", "UBND Ủy ban nhân dân huyện Thiệu Hóa  tỉnh Thanh Hóa")</f>
      </c>
      <c r="C555" t="str">
        <v>https://qppl.thanhhoa.gov.vn/vbpq_thanhhoa.nsf/All/668550997CC9E19747257B2B00112189/$file/d768.pdf</v>
      </c>
      <c r="D555" t="str">
        <v>-</v>
      </c>
      <c r="E555" t="str">
        <v>-</v>
      </c>
      <c r="F555" t="str">
        <v>-</v>
      </c>
      <c r="G555" t="str">
        <v>-</v>
      </c>
    </row>
    <row r="556">
      <c r="A556">
        <v>555</v>
      </c>
      <c r="B556">
        <f>HYPERLINK("https://www.facebook.com/conganhuyenhoanghoa/", "Công an huyện Hoằng Hóa  tỉnh Thanh Hóa")</f>
      </c>
      <c r="C556" t="str">
        <v>https://www.facebook.com/conganhuyenhoanghoa/</v>
      </c>
      <c r="D556" t="str">
        <v>-</v>
      </c>
      <c r="E556" t="str">
        <v/>
      </c>
      <c r="F556" t="str">
        <v>-</v>
      </c>
      <c r="G556" t="str">
        <v>-</v>
      </c>
    </row>
    <row r="557">
      <c r="A557">
        <v>556</v>
      </c>
      <c r="B557">
        <f>HYPERLINK("http://hoanghoa.gov.vn/", "UBND Ủy ban nhân dân huyện Hoằng Hóa  tỉnh Thanh Hóa")</f>
      </c>
      <c r="C557" t="str">
        <v>http://hoanghoa.gov.vn/</v>
      </c>
      <c r="D557" t="str">
        <v>-</v>
      </c>
      <c r="E557" t="str">
        <v>-</v>
      </c>
      <c r="F557" t="str">
        <v>-</v>
      </c>
      <c r="G557" t="str">
        <v>-</v>
      </c>
    </row>
    <row r="558">
      <c r="A558">
        <v>557</v>
      </c>
      <c r="B558">
        <f>HYPERLINK("https://www.facebook.com/conganvinhloc/", "Công an huyện Hậu Lộc  tỉnh Thanh Hóa")</f>
      </c>
      <c r="C558" t="str">
        <v>https://www.facebook.com/conganvinhloc/</v>
      </c>
      <c r="D558" t="str">
        <v>-</v>
      </c>
      <c r="E558" t="str">
        <v/>
      </c>
      <c r="F558" t="str">
        <v>-</v>
      </c>
      <c r="G558" t="str">
        <v>-</v>
      </c>
    </row>
    <row r="559">
      <c r="A559">
        <v>558</v>
      </c>
      <c r="B559">
        <f>HYPERLINK("https://dichvucong.gov.vn/p/home/dvc-tthc-bonganh-tinhtp.html?id2=372303&amp;name2=UBND%20huy%E1%BB%87n%20H%E1%BA%ADu%20L%E1%BB%99c&amp;name1=UBND%20t%E1%BB%89nh%20Thanh%20Ho%C3%A1&amp;id1=371854&amp;type_tinh_bo=2&amp;lan=2", "UBND Ủy ban nhân dân huyện Hậu Lộc  tỉnh Thanh Hóa")</f>
      </c>
      <c r="C559" t="str">
        <v>https://dichvucong.gov.vn/p/home/dvc-tthc-bonganh-tinhtp.html?id2=372303&amp;name2=UBND%20huy%E1%BB%87n%20H%E1%BA%ADu%20L%E1%BB%99c&amp;name1=UBND%20t%E1%BB%89nh%20Thanh%20Ho%C3%A1&amp;id1=371854&amp;type_tinh_bo=2&amp;lan=2</v>
      </c>
      <c r="D559" t="str">
        <v>-</v>
      </c>
      <c r="E559" t="str">
        <v>-</v>
      </c>
      <c r="F559" t="str">
        <v>-</v>
      </c>
      <c r="G559" t="str">
        <v>-</v>
      </c>
    </row>
    <row r="560">
      <c r="A560">
        <v>559</v>
      </c>
      <c r="B560">
        <f>HYPERLINK("https://www.facebook.com/CA.NgaSon.TH/", "Công an huyện Nga Sơn  tỉnh Thanh Hóa")</f>
      </c>
      <c r="C560" t="str">
        <v>https://www.facebook.com/CA.NgaSon.TH/</v>
      </c>
      <c r="D560" t="str">
        <v>-</v>
      </c>
      <c r="E560" t="str">
        <v/>
      </c>
      <c r="F560" t="str">
        <v>-</v>
      </c>
      <c r="G560" t="str">
        <v>-</v>
      </c>
    </row>
    <row r="561">
      <c r="A561">
        <v>560</v>
      </c>
      <c r="B561">
        <f>HYPERLINK("https://ngason.thanhhoa.gov.vn/", "UBND Ủy ban nhân dân huyện Nga Sơn  tỉnh Thanh Hóa")</f>
      </c>
      <c r="C561" t="str">
        <v>https://ngason.thanhhoa.gov.vn/</v>
      </c>
      <c r="D561" t="str">
        <v>-</v>
      </c>
      <c r="E561" t="str">
        <v>-</v>
      </c>
      <c r="F561" t="str">
        <v>-</v>
      </c>
      <c r="G561" t="str">
        <v>-</v>
      </c>
    </row>
    <row r="562">
      <c r="A562">
        <v>561</v>
      </c>
      <c r="B562">
        <f>HYPERLINK("https://www.facebook.com/conganhuyennhuxuan/", "Công an huyện Như Xuân  tỉnh Thanh Hóa")</f>
      </c>
      <c r="C562" t="str">
        <v>https://www.facebook.com/conganhuyennhuxuan/</v>
      </c>
      <c r="D562" t="str">
        <v>-</v>
      </c>
      <c r="E562" t="str">
        <v/>
      </c>
      <c r="F562" t="str">
        <v>-</v>
      </c>
      <c r="G562" t="str">
        <v>-</v>
      </c>
    </row>
    <row r="563">
      <c r="A563">
        <v>562</v>
      </c>
      <c r="B563">
        <f>HYPERLINK("http://dieuhanh.nhuxuan.thanhhoa.gov.vn/", "UBND Ủy ban nhân dân huyện Như Xuân  tỉnh Thanh Hóa")</f>
      </c>
      <c r="C563" t="str">
        <v>http://dieuhanh.nhuxuan.thanhhoa.gov.vn/</v>
      </c>
      <c r="D563" t="str">
        <v>-</v>
      </c>
      <c r="E563" t="str">
        <v>-</v>
      </c>
      <c r="F563" t="str">
        <v>-</v>
      </c>
      <c r="G563" t="str">
        <v>-</v>
      </c>
    </row>
    <row r="564">
      <c r="A564">
        <v>563</v>
      </c>
      <c r="B564">
        <f>HYPERLINK("https://www.facebook.com/conganhuyennhuthanh/?locale=vi_VN", "Công an huyện Như Thanh  tỉnh Thanh Hóa")</f>
      </c>
      <c r="C564" t="str">
        <v>https://www.facebook.com/conganhuyennhuthanh/?locale=vi_VN</v>
      </c>
      <c r="D564" t="str">
        <v>-</v>
      </c>
      <c r="E564" t="str">
        <v/>
      </c>
      <c r="F564" t="str">
        <v>-</v>
      </c>
      <c r="G564" t="str">
        <v>-</v>
      </c>
    </row>
    <row r="565">
      <c r="A565">
        <v>564</v>
      </c>
      <c r="B565">
        <f>HYPERLINK("http://bensung.nhuthanh.thanhhoa.gov.vn/", "UBND Ủy ban nhân dân huyện Như Thanh  tỉnh Thanh Hóa")</f>
      </c>
      <c r="C565" t="str">
        <v>http://bensung.nhuthanh.thanhhoa.gov.vn/</v>
      </c>
      <c r="D565" t="str">
        <v>-</v>
      </c>
      <c r="E565" t="str">
        <v>-</v>
      </c>
      <c r="F565" t="str">
        <v>-</v>
      </c>
      <c r="G565" t="str">
        <v>-</v>
      </c>
    </row>
    <row r="566">
      <c r="A566">
        <v>565</v>
      </c>
      <c r="B566">
        <f>HYPERLINK("https://www.facebook.com/p/C%C3%B4ng-An-Huy%E1%BB%87n-N%C3%B4ng-C%E1%BB%91ng-100063664087545/?locale=vi_VN", "Công an huyện Nông Cống  tỉnh Thanh Hóa")</f>
      </c>
      <c r="C566" t="str">
        <v>https://www.facebook.com/p/C%C3%B4ng-An-Huy%E1%BB%87n-N%C3%B4ng-C%E1%BB%91ng-100063664087545/?locale=vi_VN</v>
      </c>
      <c r="D566" t="str">
        <v>-</v>
      </c>
      <c r="E566" t="str">
        <v/>
      </c>
      <c r="F566" t="str">
        <v>-</v>
      </c>
      <c r="G566" t="str">
        <v>-</v>
      </c>
    </row>
    <row r="567">
      <c r="A567">
        <v>566</v>
      </c>
      <c r="B567">
        <f>HYPERLINK("https://nongcong.thanhhoa.gov.vn/", "UBND Ủy ban nhân dân huyện Nông Cống  tỉnh Thanh Hóa")</f>
      </c>
      <c r="C567" t="str">
        <v>https://nongcong.thanhhoa.gov.vn/</v>
      </c>
      <c r="D567" t="str">
        <v>-</v>
      </c>
      <c r="E567" t="str">
        <v>-</v>
      </c>
      <c r="F567" t="str">
        <v>-</v>
      </c>
      <c r="G567" t="str">
        <v>-</v>
      </c>
    </row>
    <row r="568">
      <c r="A568">
        <v>567</v>
      </c>
      <c r="B568">
        <f>HYPERLINK("https://www.facebook.com/conganhuyendongsonthanhhoa/?locale=vi_VN", "Công an huyện Đông Sơn  tỉnh Thanh Hóa")</f>
      </c>
      <c r="C568" t="str">
        <v>https://www.facebook.com/conganhuyendongsonthanhhoa/?locale=vi_VN</v>
      </c>
      <c r="D568" t="str">
        <v>-</v>
      </c>
      <c r="E568" t="str">
        <v/>
      </c>
      <c r="F568" t="str">
        <v>-</v>
      </c>
      <c r="G568" t="str">
        <v>-</v>
      </c>
    </row>
    <row r="569">
      <c r="A569">
        <v>568</v>
      </c>
      <c r="B569">
        <f>HYPERLINK("https://dongson.thanhhoa.gov.vn/", "UBND Ủy ban nhân dân huyện Đông Sơn  tỉnh Thanh Hóa")</f>
      </c>
      <c r="C569" t="str">
        <v>https://dongson.thanhhoa.gov.vn/</v>
      </c>
      <c r="D569" t="str">
        <v>-</v>
      </c>
      <c r="E569" t="str">
        <v>-</v>
      </c>
      <c r="F569" t="str">
        <v>-</v>
      </c>
      <c r="G569" t="str">
        <v>-</v>
      </c>
    </row>
    <row r="570">
      <c r="A570">
        <v>569</v>
      </c>
      <c r="B570">
        <f>HYPERLINK("https://www.facebook.com/Conganquangxuong/?locale=vi_VN", "Công an huyện Quảng Xương  tỉnh Thanh Hóa")</f>
      </c>
      <c r="C570" t="str">
        <v>https://www.facebook.com/Conganquangxuong/?locale=vi_VN</v>
      </c>
      <c r="D570" t="str">
        <v>-</v>
      </c>
      <c r="E570" t="str">
        <v/>
      </c>
      <c r="F570" t="str">
        <v>-</v>
      </c>
      <c r="G570" t="str">
        <v>-</v>
      </c>
    </row>
    <row r="571">
      <c r="A571">
        <v>570</v>
      </c>
      <c r="B571">
        <f>HYPERLINK("https://kntc.thanhhoa.gov.vn/kntc.nsf/8B7B11ADD65ADB7D4725877A000C15D3/$file/DT-VBDTPT936332298-10-20211634804359487tungct22.10.2021_08h43p58_giangld_22-10-2021-08-51-13_signed.pdf", "UBND Ủy ban nhân dân huyện Quảng Xương  tỉnh Thanh Hóa")</f>
      </c>
      <c r="C571" t="str">
        <v>https://kntc.thanhhoa.gov.vn/kntc.nsf/8B7B11ADD65ADB7D4725877A000C15D3/$file/DT-VBDTPT936332298-10-20211634804359487tungct22.10.2021_08h43p58_giangld_22-10-2021-08-51-13_signed.pdf</v>
      </c>
      <c r="D571" t="str">
        <v>-</v>
      </c>
      <c r="E571" t="str">
        <v>-</v>
      </c>
      <c r="F571" t="str">
        <v>-</v>
      </c>
      <c r="G571" t="str">
        <v>-</v>
      </c>
    </row>
    <row r="572">
      <c r="A572">
        <v>571</v>
      </c>
      <c r="B572" t="str">
        <v>Công an huyện Tĩnh Gia  tỉnh Thanh Hóa</v>
      </c>
      <c r="C572" t="str">
        <v>-</v>
      </c>
      <c r="D572" t="str">
        <v>-</v>
      </c>
      <c r="E572" t="str">
        <v/>
      </c>
      <c r="F572" t="str">
        <v>-</v>
      </c>
      <c r="G572" t="str">
        <v>-</v>
      </c>
    </row>
    <row r="573">
      <c r="A573">
        <v>572</v>
      </c>
      <c r="B573">
        <f>HYPERLINK("https://qppl.thanhhoa.gov.vn/vbpq_thanhhoa.nsf/9e6a1e4b64680bd247256801000a8614/FD02D958604DF5B747257D2E00046884/$file/d2499.pdf", "UBND Ủy ban nhân dân huyện Tĩnh Gia  tỉnh Thanh Hóa")</f>
      </c>
      <c r="C573" t="str">
        <v>https://qppl.thanhhoa.gov.vn/vbpq_thanhhoa.nsf/9e6a1e4b64680bd247256801000a8614/FD02D958604DF5B747257D2E00046884/$file/d2499.pdf</v>
      </c>
      <c r="D573" t="str">
        <v>-</v>
      </c>
      <c r="E573" t="str">
        <v>-</v>
      </c>
      <c r="F573" t="str">
        <v>-</v>
      </c>
      <c r="G573" t="str">
        <v>-</v>
      </c>
    </row>
    <row r="574">
      <c r="A574">
        <v>573</v>
      </c>
      <c r="B574">
        <f>HYPERLINK("https://www.facebook.com/p/C%C3%B4ng-an-th%C3%A0nh-ph%E1%BB%91-Vinh-B%E1%BB%99-ph%E1%BA%ADn-m%E1%BB%99t-c%E1%BB%ADa-100060887654936/", "Công an thành phố Vinh  tỉnh Nghệ An")</f>
      </c>
      <c r="C574" t="str">
        <v>https://www.facebook.com/p/C%C3%B4ng-an-th%C3%A0nh-ph%E1%BB%91-Vinh-B%E1%BB%99-ph%E1%BA%ADn-m%E1%BB%99t-c%E1%BB%ADa-100060887654936/</v>
      </c>
      <c r="D574" t="str">
        <v>-</v>
      </c>
      <c r="E574" t="str">
        <v/>
      </c>
      <c r="F574" t="str">
        <v>-</v>
      </c>
      <c r="G574" t="str">
        <v>-</v>
      </c>
    </row>
    <row r="575">
      <c r="A575">
        <v>574</v>
      </c>
      <c r="B575">
        <f>HYPERLINK("https://vinh.nghean.gov.vn/xem-chi-tiet-bai-viet/-/asset_publisher/t2ZLc8uKcyGV/content/id/3066052", "UBND Ủy ban nhân dân thành phố Vinh  tỉnh Nghệ An")</f>
      </c>
      <c r="C575" t="str">
        <v>https://vinh.nghean.gov.vn/xem-chi-tiet-bai-viet/-/asset_publisher/t2ZLc8uKcyGV/content/id/3066052</v>
      </c>
      <c r="D575" t="str">
        <v>-</v>
      </c>
      <c r="E575" t="str">
        <v>-</v>
      </c>
      <c r="F575" t="str">
        <v>-</v>
      </c>
      <c r="G575" t="str">
        <v>-</v>
      </c>
    </row>
    <row r="576">
      <c r="A576">
        <v>575</v>
      </c>
      <c r="B576" t="str">
        <v>Công an huyện Quế Phong  tỉnh Nghệ An</v>
      </c>
      <c r="C576" t="str">
        <v>-</v>
      </c>
      <c r="D576" t="str">
        <v>-</v>
      </c>
      <c r="E576" t="str">
        <v/>
      </c>
      <c r="F576" t="str">
        <v>-</v>
      </c>
      <c r="G576" t="str">
        <v>-</v>
      </c>
    </row>
    <row r="577">
      <c r="A577">
        <v>576</v>
      </c>
      <c r="B577">
        <f>HYPERLINK("https://quephong.nghean.gov.vn/uy-ban-nhan-dan-huyen", "UBND Ủy ban nhân dân huyện Quế Phong  tỉnh Nghệ An")</f>
      </c>
      <c r="C577" t="str">
        <v>https://quephong.nghean.gov.vn/uy-ban-nhan-dan-huyen</v>
      </c>
      <c r="D577" t="str">
        <v>-</v>
      </c>
      <c r="E577" t="str">
        <v>-</v>
      </c>
      <c r="F577" t="str">
        <v>-</v>
      </c>
      <c r="G577" t="str">
        <v>-</v>
      </c>
    </row>
    <row r="578">
      <c r="A578">
        <v>577</v>
      </c>
      <c r="B578">
        <f>HYPERLINK("https://www.facebook.com/Conganhuyenquychau02383884113/?locale=vi_VN", "Công an huyện Quỳ Châu  tỉnh Nghệ An")</f>
      </c>
      <c r="C578" t="str">
        <v>https://www.facebook.com/Conganhuyenquychau02383884113/?locale=vi_VN</v>
      </c>
      <c r="D578" t="str">
        <v>-</v>
      </c>
      <c r="E578" t="str">
        <v/>
      </c>
      <c r="F578" t="str">
        <v>-</v>
      </c>
      <c r="G578" t="str">
        <v>-</v>
      </c>
    </row>
    <row r="579">
      <c r="A579">
        <v>578</v>
      </c>
      <c r="B579">
        <f>HYPERLINK("https://quychau.nghean.gov.vn/", "UBND Ủy ban nhân dân huyện Quỳ Châu  tỉnh Nghệ An")</f>
      </c>
      <c r="C579" t="str">
        <v>https://quychau.nghean.gov.vn/</v>
      </c>
      <c r="D579" t="str">
        <v>-</v>
      </c>
      <c r="E579" t="str">
        <v>-</v>
      </c>
      <c r="F579" t="str">
        <v>-</v>
      </c>
      <c r="G579" t="str">
        <v>-</v>
      </c>
    </row>
    <row r="580">
      <c r="A580">
        <v>579</v>
      </c>
      <c r="B580">
        <f>HYPERLINK("https://www.facebook.com/p/C%C3%B4ng-an-huy%E1%BB%87n-T%C6%B0%C6%A1ng-D%C6%B0%C6%A1ng-100064406753739/", "Công an huyện Tương Dương  tỉnh Nghệ An")</f>
      </c>
      <c r="C580" t="str">
        <v>https://www.facebook.com/p/C%C3%B4ng-an-huy%E1%BB%87n-T%C6%B0%C6%A1ng-D%C6%B0%C6%A1ng-100064406753739/</v>
      </c>
      <c r="D580" t="str">
        <v>-</v>
      </c>
      <c r="E580" t="str">
        <v/>
      </c>
      <c r="F580" t="str">
        <v>-</v>
      </c>
      <c r="G580" t="str">
        <v>-</v>
      </c>
    </row>
    <row r="581">
      <c r="A581">
        <v>580</v>
      </c>
      <c r="B581">
        <f>HYPERLINK("https://tuongduong.nghean.gov.vn/", "UBND Ủy ban nhân dân huyện Tương Dương  tỉnh Nghệ An")</f>
      </c>
      <c r="C581" t="str">
        <v>https://tuongduong.nghean.gov.vn/</v>
      </c>
      <c r="D581" t="str">
        <v>-</v>
      </c>
      <c r="E581" t="str">
        <v>-</v>
      </c>
      <c r="F581" t="str">
        <v>-</v>
      </c>
      <c r="G581" t="str">
        <v>-</v>
      </c>
    </row>
    <row r="582">
      <c r="A582">
        <v>581</v>
      </c>
      <c r="B582">
        <f>HYPERLINK("https://www.facebook.com/p/C%C3%B4ng-an-huy%E1%BB%87n-Ngh%C4%A9a-%C4%90%C3%A0n-100034707650596/", "Công an huyện Nghĩa Đàn  tỉnh Nghệ An")</f>
      </c>
      <c r="C582" t="str">
        <v>https://www.facebook.com/p/C%C3%B4ng-an-huy%E1%BB%87n-Ngh%C4%A9a-%C4%90%C3%A0n-100034707650596/</v>
      </c>
      <c r="D582" t="str">
        <v>-</v>
      </c>
      <c r="E582" t="str">
        <v/>
      </c>
      <c r="F582" t="str">
        <v>-</v>
      </c>
      <c r="G582" t="str">
        <v>-</v>
      </c>
    </row>
    <row r="583">
      <c r="A583">
        <v>582</v>
      </c>
      <c r="B583">
        <f>HYPERLINK("https://nghiadan.nghean.gov.vn/", "UBND Ủy ban nhân dân huyện Nghĩa Đàn  tỉnh Nghệ An")</f>
      </c>
      <c r="C583" t="str">
        <v>https://nghiadan.nghean.gov.vn/</v>
      </c>
      <c r="D583" t="str">
        <v>-</v>
      </c>
      <c r="E583" t="str">
        <v>-</v>
      </c>
      <c r="F583" t="str">
        <v>-</v>
      </c>
      <c r="G583" t="str">
        <v>-</v>
      </c>
    </row>
    <row r="584">
      <c r="A584">
        <v>583</v>
      </c>
      <c r="B584" t="str">
        <v>Công an huyện Quỳ Hợp  tỉnh Nghệ An</v>
      </c>
      <c r="C584" t="str">
        <v>-</v>
      </c>
      <c r="D584" t="str">
        <v>-</v>
      </c>
      <c r="E584" t="str">
        <v/>
      </c>
      <c r="F584" t="str">
        <v>-</v>
      </c>
      <c r="G584" t="str">
        <v>-</v>
      </c>
    </row>
    <row r="585">
      <c r="A585">
        <v>584</v>
      </c>
      <c r="B585">
        <f>HYPERLINK("http://quyhop.gov.vn/", "UBND Ủy ban nhân dân huyện Quỳ Hợp  tỉnh Nghệ An")</f>
      </c>
      <c r="C585" t="str">
        <v>http://quyhop.gov.vn/</v>
      </c>
      <c r="D585" t="str">
        <v>-</v>
      </c>
      <c r="E585" t="str">
        <v>-</v>
      </c>
      <c r="F585" t="str">
        <v>-</v>
      </c>
      <c r="G585" t="str">
        <v>-</v>
      </c>
    </row>
    <row r="586">
      <c r="A586">
        <v>585</v>
      </c>
      <c r="B586">
        <f>HYPERLINK("https://www.facebook.com/bophanmotcuaconganhuyenquynhluu/", "Công an huyện Quỳnh Lưu  tỉnh Nghệ An")</f>
      </c>
      <c r="C586" t="str">
        <v>https://www.facebook.com/bophanmotcuaconganhuyenquynhluu/</v>
      </c>
      <c r="D586" t="str">
        <v>-</v>
      </c>
      <c r="E586" t="str">
        <v/>
      </c>
      <c r="F586" t="str">
        <v>-</v>
      </c>
      <c r="G586" t="str">
        <v>-</v>
      </c>
    </row>
    <row r="587">
      <c r="A587">
        <v>586</v>
      </c>
      <c r="B587">
        <f>HYPERLINK("https://quynhluu.nghean.gov.vn/", "UBND Ủy ban nhân dân huyện Quỳnh Lưu  tỉnh Nghệ An")</f>
      </c>
      <c r="C587" t="str">
        <v>https://quynhluu.nghean.gov.vn/</v>
      </c>
      <c r="D587" t="str">
        <v>-</v>
      </c>
      <c r="E587" t="str">
        <v>-</v>
      </c>
      <c r="F587" t="str">
        <v>-</v>
      </c>
      <c r="G587" t="str">
        <v>-</v>
      </c>
    </row>
    <row r="588">
      <c r="A588">
        <v>587</v>
      </c>
      <c r="B588">
        <f>HYPERLINK("https://www.facebook.com/61557574741798", "Công an huyện Con Cuông  tỉnh Nghệ An")</f>
      </c>
      <c r="C588" t="str">
        <v>https://www.facebook.com/61557574741798</v>
      </c>
      <c r="D588" t="str">
        <v>-</v>
      </c>
      <c r="E588" t="str">
        <v>02383873112</v>
      </c>
      <c r="F588" t="str">
        <v>-</v>
      </c>
      <c r="G588" t="str">
        <v>Khối 1, thị trấn Con Cuông, huyện Con Cuông, tỉnh Nghệ An</v>
      </c>
    </row>
    <row r="589">
      <c r="A589">
        <v>588</v>
      </c>
      <c r="B589">
        <f>HYPERLINK("https://concuong.nghean.gov.vn/", "UBND Ủy ban nhân dân huyện Con Cuông  tỉnh Nghệ An")</f>
      </c>
      <c r="C589" t="str">
        <v>https://concuong.nghean.gov.vn/</v>
      </c>
      <c r="D589" t="str">
        <v>-</v>
      </c>
      <c r="E589" t="str">
        <v>-</v>
      </c>
      <c r="F589" t="str">
        <v>-</v>
      </c>
      <c r="G589" t="str">
        <v>-</v>
      </c>
    </row>
    <row r="590">
      <c r="A590">
        <v>589</v>
      </c>
      <c r="B590">
        <f>HYPERLINK("https://www.facebook.com/trungtamvanhoathethaovatruyenthongtanky/", "Công an huyện Tân Kỳ  tỉnh Nghệ An")</f>
      </c>
      <c r="C590" t="str">
        <v>https://www.facebook.com/trungtamvanhoathethaovatruyenthongtanky/</v>
      </c>
      <c r="D590" t="str">
        <v>-</v>
      </c>
      <c r="E590" t="str">
        <v/>
      </c>
      <c r="F590" t="str">
        <v>-</v>
      </c>
      <c r="G590" t="str">
        <v>-</v>
      </c>
    </row>
    <row r="591">
      <c r="A591">
        <v>590</v>
      </c>
      <c r="B591">
        <f>HYPERLINK("https://tanky.nghean.gov.vn/", "UBND Ủy ban nhân dân huyện Tân Kỳ  tỉnh Nghệ An")</f>
      </c>
      <c r="C591" t="str">
        <v>https://tanky.nghean.gov.vn/</v>
      </c>
      <c r="D591" t="str">
        <v>-</v>
      </c>
      <c r="E591" t="str">
        <v>-</v>
      </c>
      <c r="F591" t="str">
        <v>-</v>
      </c>
      <c r="G591" t="str">
        <v>-</v>
      </c>
    </row>
    <row r="592">
      <c r="A592">
        <v>591</v>
      </c>
      <c r="B592">
        <f>HYPERLINK("https://www.facebook.com/p/C%C3%B4ng-an-huy%E1%BB%87n-Anh-S%C6%A1n-100050389963999/", "Công an huyện Anh Sơn  tỉnh Nghệ An")</f>
      </c>
      <c r="C592" t="str">
        <v>https://www.facebook.com/p/C%C3%B4ng-an-huy%E1%BB%87n-Anh-S%C6%A1n-100050389963999/</v>
      </c>
      <c r="D592" t="str">
        <v>-</v>
      </c>
      <c r="E592" t="str">
        <v/>
      </c>
      <c r="F592" t="str">
        <v>-</v>
      </c>
      <c r="G592" t="str">
        <v>-</v>
      </c>
    </row>
    <row r="593">
      <c r="A593">
        <v>592</v>
      </c>
      <c r="B593">
        <f>HYPERLINK("https://anhson.nghean.gov.vn/", "UBND Ủy ban nhân dân huyện Anh Sơn  tỉnh Nghệ An")</f>
      </c>
      <c r="C593" t="str">
        <v>https://anhson.nghean.gov.vn/</v>
      </c>
      <c r="D593" t="str">
        <v>-</v>
      </c>
      <c r="E593" t="str">
        <v>-</v>
      </c>
      <c r="F593" t="str">
        <v>-</v>
      </c>
      <c r="G593" t="str">
        <v>-</v>
      </c>
    </row>
    <row r="594">
      <c r="A594">
        <v>593</v>
      </c>
      <c r="B594">
        <f>HYPERLINK("https://www.facebook.com/conganhuyendienchau/", "Công an huyện Diễn Châu  tỉnh Nghệ An")</f>
      </c>
      <c r="C594" t="str">
        <v>https://www.facebook.com/conganhuyendienchau/</v>
      </c>
      <c r="D594" t="str">
        <v>-</v>
      </c>
      <c r="E594" t="str">
        <v/>
      </c>
      <c r="F594" t="str">
        <v>-</v>
      </c>
      <c r="G594" t="str">
        <v>-</v>
      </c>
    </row>
    <row r="595">
      <c r="A595">
        <v>594</v>
      </c>
      <c r="B595">
        <f>HYPERLINK("https://dienchau.nghean.gov.vn/uy-ban-nhan-dan-huyen", "UBND Ủy ban nhân dân huyện Diễn Châu  tỉnh Nghệ An")</f>
      </c>
      <c r="C595" t="str">
        <v>https://dienchau.nghean.gov.vn/uy-ban-nhan-dan-huyen</v>
      </c>
      <c r="D595" t="str">
        <v>-</v>
      </c>
      <c r="E595" t="str">
        <v>-</v>
      </c>
      <c r="F595" t="str">
        <v>-</v>
      </c>
      <c r="G595" t="str">
        <v>-</v>
      </c>
    </row>
    <row r="596">
      <c r="A596">
        <v>595</v>
      </c>
      <c r="B596">
        <f>HYPERLINK("https://www.facebook.com/p/C%C3%B4ng-an-huy%E1%BB%87n-Y%C3%AAn-Th%C3%A0nh-100064179789086/", "Công an huyện Yên Thành  tỉnh Nghệ An")</f>
      </c>
      <c r="C596" t="str">
        <v>https://www.facebook.com/p/C%C3%B4ng-an-huy%E1%BB%87n-Y%C3%AAn-Th%C3%A0nh-100064179789086/</v>
      </c>
      <c r="D596" t="str">
        <v>-</v>
      </c>
      <c r="E596" t="str">
        <v/>
      </c>
      <c r="F596" t="str">
        <v>-</v>
      </c>
      <c r="G596" t="str">
        <v>-</v>
      </c>
    </row>
    <row r="597">
      <c r="A597">
        <v>596</v>
      </c>
      <c r="B597">
        <f>HYPERLINK("https://yenthanh.nghean.gov.vn/", "UBND Ủy ban nhân dân huyện Yên Thành  tỉnh Nghệ An")</f>
      </c>
      <c r="C597" t="str">
        <v>https://yenthanh.nghean.gov.vn/</v>
      </c>
      <c r="D597" t="str">
        <v>-</v>
      </c>
      <c r="E597" t="str">
        <v>-</v>
      </c>
      <c r="F597" t="str">
        <v>-</v>
      </c>
      <c r="G597" t="str">
        <v>-</v>
      </c>
    </row>
    <row r="598">
      <c r="A598">
        <v>597</v>
      </c>
      <c r="B598">
        <f>HYPERLINK("https://www.facebook.com/ConganDoLuong/?locale=vi_VN", "Công an huyện Đô Lương  tỉnh Nghệ An")</f>
      </c>
      <c r="C598" t="str">
        <v>https://www.facebook.com/ConganDoLuong/?locale=vi_VN</v>
      </c>
      <c r="D598" t="str">
        <v>-</v>
      </c>
      <c r="E598" t="str">
        <v/>
      </c>
      <c r="F598" t="str">
        <v>-</v>
      </c>
      <c r="G598" t="str">
        <v>-</v>
      </c>
    </row>
    <row r="599">
      <c r="A599">
        <v>598</v>
      </c>
      <c r="B599">
        <f>HYPERLINK("https://doluong.nghean.gov.vn/", "UBND Ủy ban nhân dân huyện Đô Lương  tỉnh Nghệ An")</f>
      </c>
      <c r="C599" t="str">
        <v>https://doluong.nghean.gov.vn/</v>
      </c>
      <c r="D599" t="str">
        <v>-</v>
      </c>
      <c r="E599" t="str">
        <v>-</v>
      </c>
      <c r="F599" t="str">
        <v>-</v>
      </c>
      <c r="G599" t="str">
        <v>-</v>
      </c>
    </row>
    <row r="600">
      <c r="A600">
        <v>599</v>
      </c>
      <c r="B600" t="str">
        <v>Công an huyện Thanh Chương  tỉnh Nghệ An</v>
      </c>
      <c r="C600" t="str">
        <v>-</v>
      </c>
      <c r="D600" t="str">
        <v>-</v>
      </c>
      <c r="E600" t="str">
        <v/>
      </c>
      <c r="F600" t="str">
        <v>-</v>
      </c>
      <c r="G600" t="str">
        <v>-</v>
      </c>
    </row>
    <row r="601">
      <c r="A601">
        <v>600</v>
      </c>
      <c r="B601">
        <f>HYPERLINK("https://thanhchuong.nghean.gov.vn/", "UBND Ủy ban nhân dân huyện Thanh Chương  tỉnh Nghệ An")</f>
      </c>
      <c r="C601" t="str">
        <v>https://thanhchuong.nghean.gov.vn/</v>
      </c>
      <c r="D601" t="str">
        <v>-</v>
      </c>
      <c r="E601" t="str">
        <v>-</v>
      </c>
      <c r="F601" t="str">
        <v>-</v>
      </c>
      <c r="G601" t="str">
        <v>-</v>
      </c>
    </row>
    <row r="602">
      <c r="A602">
        <v>601</v>
      </c>
      <c r="B602">
        <f>HYPERLINK("https://www.facebook.com/conganhuyennghilocnghean/?locale=vi_VN", "Công an huyện Nghi Lộc  tỉnh Nghệ An")</f>
      </c>
      <c r="C602" t="str">
        <v>https://www.facebook.com/conganhuyennghilocnghean/?locale=vi_VN</v>
      </c>
      <c r="D602" t="str">
        <v>-</v>
      </c>
      <c r="E602" t="str">
        <v/>
      </c>
      <c r="F602" t="str">
        <v>-</v>
      </c>
      <c r="G602" t="str">
        <v>-</v>
      </c>
    </row>
    <row r="603">
      <c r="A603">
        <v>602</v>
      </c>
      <c r="B603">
        <f>HYPERLINK("https://nghiloc.nghean.gov.vn/ubnd-huyen", "UBND Ủy ban nhân dân huyện Nghi Lộc  tỉnh Nghệ An")</f>
      </c>
      <c r="C603" t="str">
        <v>https://nghiloc.nghean.gov.vn/ubnd-huyen</v>
      </c>
      <c r="D603" t="str">
        <v>-</v>
      </c>
      <c r="E603" t="str">
        <v>-</v>
      </c>
      <c r="F603" t="str">
        <v>-</v>
      </c>
      <c r="G603" t="str">
        <v>-</v>
      </c>
    </row>
    <row r="604">
      <c r="A604">
        <v>603</v>
      </c>
      <c r="B604">
        <f>HYPERLINK("https://www.facebook.com/p/C%C3%B4ng-an-th%E1%BB%8B-tr%E1%BA%A5n-Nam-%C4%90%C3%A0n-100077451044059/", "Công an huyện Nam Đàn  tỉnh Nghệ An")</f>
      </c>
      <c r="C604" t="str">
        <v>https://www.facebook.com/p/C%C3%B4ng-an-th%E1%BB%8B-tr%E1%BA%A5n-Nam-%C4%90%C3%A0n-100077451044059/</v>
      </c>
      <c r="D604" t="str">
        <v>-</v>
      </c>
      <c r="E604" t="str">
        <v/>
      </c>
      <c r="F604" t="str">
        <v>-</v>
      </c>
      <c r="G604" t="str">
        <v>-</v>
      </c>
    </row>
    <row r="605">
      <c r="A605">
        <v>604</v>
      </c>
      <c r="B605">
        <f>HYPERLINK("https://namdan.nghean.gov.vn/", "UBND Ủy ban nhân dân huyện Nam Đàn  tỉnh Nghệ An")</f>
      </c>
      <c r="C605" t="str">
        <v>https://namdan.nghean.gov.vn/</v>
      </c>
      <c r="D605" t="str">
        <v>-</v>
      </c>
      <c r="E605" t="str">
        <v>-</v>
      </c>
      <c r="F605" t="str">
        <v>-</v>
      </c>
      <c r="G605" t="str">
        <v>-</v>
      </c>
    </row>
    <row r="606">
      <c r="A606">
        <v>605</v>
      </c>
      <c r="B606">
        <f>HYPERLINK("https://www.facebook.com/cahungnguyennghean/", "Công an huyện Hưng Nguyên  tỉnh Nghệ An")</f>
      </c>
      <c r="C606" t="str">
        <v>https://www.facebook.com/cahungnguyennghean/</v>
      </c>
      <c r="D606" t="str">
        <v>-</v>
      </c>
      <c r="E606" t="str">
        <v/>
      </c>
      <c r="F606" t="str">
        <v>-</v>
      </c>
      <c r="G606" t="str">
        <v>-</v>
      </c>
    </row>
    <row r="607">
      <c r="A607">
        <v>606</v>
      </c>
      <c r="B607">
        <f>HYPERLINK("https://hungnguyen.nghean.gov.vn/", "UBND Ủy ban nhân dân huyện Hưng Nguyên  tỉnh Nghệ An")</f>
      </c>
      <c r="C607" t="str">
        <v>https://hungnguyen.nghean.gov.vn/</v>
      </c>
      <c r="D607" t="str">
        <v>-</v>
      </c>
      <c r="E607" t="str">
        <v>-</v>
      </c>
      <c r="F607" t="str">
        <v>-</v>
      </c>
      <c r="G607" t="str">
        <v>-</v>
      </c>
    </row>
    <row r="608">
      <c r="A608">
        <v>607</v>
      </c>
      <c r="B608">
        <f>HYPERLINK("https://www.facebook.com/catphatinh/?locale=vi_VN", "Công an thành phố Hà Tĩnh  tỉnh Hà Tĩnh")</f>
      </c>
      <c r="C608" t="str">
        <v>https://www.facebook.com/catphatinh/?locale=vi_VN</v>
      </c>
      <c r="D608" t="str">
        <v>-</v>
      </c>
      <c r="E608" t="str">
        <v/>
      </c>
      <c r="F608" t="str">
        <v>-</v>
      </c>
      <c r="G608" t="str">
        <v>-</v>
      </c>
    </row>
    <row r="609">
      <c r="A609">
        <v>608</v>
      </c>
      <c r="B609">
        <f>HYPERLINK("https://hatinh.gov.vn/", "UBND Ủy ban nhân dân thành phố Hà Tĩnh  tỉnh Hà Tĩnh")</f>
      </c>
      <c r="C609" t="str">
        <v>https://hatinh.gov.vn/</v>
      </c>
      <c r="D609" t="str">
        <v>-</v>
      </c>
      <c r="E609" t="str">
        <v>-</v>
      </c>
      <c r="F609" t="str">
        <v>-</v>
      </c>
      <c r="G609" t="str">
        <v>-</v>
      </c>
    </row>
    <row r="610">
      <c r="A610">
        <v>609</v>
      </c>
      <c r="B610">
        <f>HYPERLINK("https://www.facebook.com/ConganhuyenHuongSon/", "Công an huyện Hương Sơn  tỉnh Hà Tĩnh")</f>
      </c>
      <c r="C610" t="str">
        <v>https://www.facebook.com/ConganhuyenHuongSon/</v>
      </c>
      <c r="D610" t="str">
        <v>-</v>
      </c>
      <c r="E610" t="str">
        <v/>
      </c>
      <c r="F610" t="str">
        <v>-</v>
      </c>
      <c r="G610" t="str">
        <v>-</v>
      </c>
    </row>
    <row r="611">
      <c r="A611">
        <v>610</v>
      </c>
      <c r="B611">
        <f>HYPERLINK("https://huongson.hatinh.gov.vn/", "UBND Ủy ban nhân dân huyện Hương Sơn  tỉnh Hà Tĩnh")</f>
      </c>
      <c r="C611" t="str">
        <v>https://huongson.hatinh.gov.vn/</v>
      </c>
      <c r="D611" t="str">
        <v>-</v>
      </c>
      <c r="E611" t="str">
        <v>-</v>
      </c>
      <c r="F611" t="str">
        <v>-</v>
      </c>
      <c r="G611" t="str">
        <v>-</v>
      </c>
    </row>
    <row r="612">
      <c r="A612">
        <v>611</v>
      </c>
      <c r="B612">
        <f>HYPERLINK("https://www.facebook.com/p/C%C3%B4ng-an-huy%E1%BB%87n-%C4%90%E1%BB%A9c-Th%E1%BB%8D-H%C3%A0-T%C4%A9nh-100069319692485/?locale=vi_VN", "Công an huyện Đức Thọ  tỉnh Hà Tĩnh")</f>
      </c>
      <c r="C612" t="str">
        <v>https://www.facebook.com/p/C%C3%B4ng-an-huy%E1%BB%87n-%C4%90%E1%BB%A9c-Th%E1%BB%8D-H%C3%A0-T%C4%A9nh-100069319692485/?locale=vi_VN</v>
      </c>
      <c r="D612" t="str">
        <v>-</v>
      </c>
      <c r="E612" t="str">
        <v/>
      </c>
      <c r="F612" t="str">
        <v>-</v>
      </c>
      <c r="G612" t="str">
        <v>-</v>
      </c>
    </row>
    <row r="613">
      <c r="A613">
        <v>612</v>
      </c>
      <c r="B613">
        <f>HYPERLINK("https://ductho.hatinh.gov.vn/", "UBND Ủy ban nhân dân huyện Đức Thọ  tỉnh Hà Tĩnh")</f>
      </c>
      <c r="C613" t="str">
        <v>https://ductho.hatinh.gov.vn/</v>
      </c>
      <c r="D613" t="str">
        <v>-</v>
      </c>
      <c r="E613" t="str">
        <v>-</v>
      </c>
      <c r="F613" t="str">
        <v>-</v>
      </c>
      <c r="G613" t="str">
        <v>-</v>
      </c>
    </row>
    <row r="614">
      <c r="A614">
        <v>613</v>
      </c>
      <c r="B614">
        <f>HYPERLINK("https://www.facebook.com/p/C%C3%B4ng-an-huy%E1%BB%87n-V%C5%A9-Quang-100069158351410/", "Công an huyện Vũ Quang  tỉnh Hà Tĩnh")</f>
      </c>
      <c r="C614" t="str">
        <v>https://www.facebook.com/p/C%C3%B4ng-an-huy%E1%BB%87n-V%C5%A9-Quang-100069158351410/</v>
      </c>
      <c r="D614" t="str">
        <v>-</v>
      </c>
      <c r="E614" t="str">
        <v/>
      </c>
      <c r="F614" t="str">
        <v>-</v>
      </c>
      <c r="G614" t="str">
        <v>-</v>
      </c>
    </row>
    <row r="615">
      <c r="A615">
        <v>614</v>
      </c>
      <c r="B615">
        <f>HYPERLINK("https://vuquang.hatinh.gov.vn/", "UBND Ủy ban nhân dân huyện Vũ Quang  tỉnh Hà Tĩnh")</f>
      </c>
      <c r="C615" t="str">
        <v>https://vuquang.hatinh.gov.vn/</v>
      </c>
      <c r="D615" t="str">
        <v>-</v>
      </c>
      <c r="E615" t="str">
        <v>-</v>
      </c>
      <c r="F615" t="str">
        <v>-</v>
      </c>
      <c r="G615" t="str">
        <v>-</v>
      </c>
    </row>
    <row r="616">
      <c r="A616">
        <v>615</v>
      </c>
      <c r="B616">
        <f>HYPERLINK("https://www.facebook.com/Congannghixuan/?locale=vi_VN", "Công an huyện Nghi Xuân  tỉnh Hà Tĩnh")</f>
      </c>
      <c r="C616" t="str">
        <v>https://www.facebook.com/Congannghixuan/?locale=vi_VN</v>
      </c>
      <c r="D616" t="str">
        <v>-</v>
      </c>
      <c r="E616" t="str">
        <v/>
      </c>
      <c r="F616" t="str">
        <v>-</v>
      </c>
      <c r="G616" t="str">
        <v>-</v>
      </c>
    </row>
    <row r="617">
      <c r="A617">
        <v>616</v>
      </c>
      <c r="B617">
        <f>HYPERLINK("https://nghixuan.hatinh.gov.vn/", "UBND Ủy ban nhân dân huyện Nghi Xuân  tỉnh Hà Tĩnh")</f>
      </c>
      <c r="C617" t="str">
        <v>https://nghixuan.hatinh.gov.vn/</v>
      </c>
      <c r="D617" t="str">
        <v>-</v>
      </c>
      <c r="E617" t="str">
        <v>-</v>
      </c>
      <c r="F617" t="str">
        <v>-</v>
      </c>
      <c r="G617" t="str">
        <v>-</v>
      </c>
    </row>
    <row r="618">
      <c r="A618">
        <v>617</v>
      </c>
      <c r="B618">
        <f>HYPERLINK("https://www.facebook.com/p/C%C3%B4ng-an-huy%E1%BB%87n-Can-L%E1%BB%99c-100077389749902/", "Công an huyện Can Lộc  tỉnh Hà Tĩnh")</f>
      </c>
      <c r="C618" t="str">
        <v>https://www.facebook.com/p/C%C3%B4ng-an-huy%E1%BB%87n-Can-L%E1%BB%99c-100077389749902/</v>
      </c>
      <c r="D618" t="str">
        <v>-</v>
      </c>
      <c r="E618" t="str">
        <v/>
      </c>
      <c r="F618" t="str">
        <v>-</v>
      </c>
      <c r="G618" t="str">
        <v>-</v>
      </c>
    </row>
    <row r="619">
      <c r="A619">
        <v>618</v>
      </c>
      <c r="B619">
        <f>HYPERLINK("https://canloc.hatinh.gov.vn/", "UBND Ủy ban nhân dân huyện Can Lộc  tỉnh Hà Tĩnh")</f>
      </c>
      <c r="C619" t="str">
        <v>https://canloc.hatinh.gov.vn/</v>
      </c>
      <c r="D619" t="str">
        <v>-</v>
      </c>
      <c r="E619" t="str">
        <v>-</v>
      </c>
      <c r="F619" t="str">
        <v>-</v>
      </c>
      <c r="G619" t="str">
        <v>-</v>
      </c>
    </row>
    <row r="620">
      <c r="A620">
        <v>619</v>
      </c>
      <c r="B620">
        <f>HYPERLINK("https://www.facebook.com/conganhuongkhehatinh/", "Công an huyện Hương Khê  tỉnh Hà Tĩnh")</f>
      </c>
      <c r="C620" t="str">
        <v>https://www.facebook.com/conganhuongkhehatinh/</v>
      </c>
      <c r="D620" t="str">
        <v>-</v>
      </c>
      <c r="E620" t="str">
        <v/>
      </c>
      <c r="F620" t="str">
        <v>-</v>
      </c>
      <c r="G620" t="str">
        <v>-</v>
      </c>
    </row>
    <row r="621">
      <c r="A621">
        <v>620</v>
      </c>
      <c r="B621">
        <f>HYPERLINK("https://hscvhk.hatinh.gov.vn/huongkhe/vbpq.nsf", "UBND Ủy ban nhân dân huyện Hương Khê  tỉnh Hà Tĩnh")</f>
      </c>
      <c r="C621" t="str">
        <v>https://hscvhk.hatinh.gov.vn/huongkhe/vbpq.nsf</v>
      </c>
      <c r="D621" t="str">
        <v>-</v>
      </c>
      <c r="E621" t="str">
        <v>-</v>
      </c>
      <c r="F621" t="str">
        <v>-</v>
      </c>
      <c r="G621" t="str">
        <v>-</v>
      </c>
    </row>
    <row r="622">
      <c r="A622">
        <v>621</v>
      </c>
      <c r="B622">
        <f>HYPERLINK("https://www.facebook.com/conganthachha/?locale=vi_VN", "Công an huyện Thạch Hà  tỉnh Hà Tĩnh")</f>
      </c>
      <c r="C622" t="str">
        <v>https://www.facebook.com/conganthachha/?locale=vi_VN</v>
      </c>
      <c r="D622" t="str">
        <v>-</v>
      </c>
      <c r="E622" t="str">
        <v/>
      </c>
      <c r="F622" t="str">
        <v>-</v>
      </c>
      <c r="G622" t="str">
        <v>-</v>
      </c>
    </row>
    <row r="623">
      <c r="A623">
        <v>622</v>
      </c>
      <c r="B623">
        <f>HYPERLINK("https://thachha.hatinh.gov.vn/", "UBND Ủy ban nhân dân huyện Thạch Hà  tỉnh Hà Tĩnh")</f>
      </c>
      <c r="C623" t="str">
        <v>https://thachha.hatinh.gov.vn/</v>
      </c>
      <c r="D623" t="str">
        <v>-</v>
      </c>
      <c r="E623" t="str">
        <v>-</v>
      </c>
      <c r="F623" t="str">
        <v>-</v>
      </c>
      <c r="G623" t="str">
        <v>-</v>
      </c>
    </row>
    <row r="624">
      <c r="A624">
        <v>623</v>
      </c>
      <c r="B624">
        <f>HYPERLINK("https://www.facebook.com/congancamxuyen/?locale=vi_VN", "Công an huyện Cẩm Xuyên  tỉnh Hà Tĩnh")</f>
      </c>
      <c r="C624" t="str">
        <v>https://www.facebook.com/congancamxuyen/?locale=vi_VN</v>
      </c>
      <c r="D624" t="str">
        <v>-</v>
      </c>
      <c r="E624" t="str">
        <v/>
      </c>
      <c r="F624" t="str">
        <v>-</v>
      </c>
      <c r="G624" t="str">
        <v>-</v>
      </c>
    </row>
    <row r="625">
      <c r="A625">
        <v>624</v>
      </c>
      <c r="B625">
        <f>HYPERLINK("https://camha.camxuyen.hatinh.gov.vn/", "UBND Ủy ban nhân dân huyện Cẩm Xuyên  tỉnh Hà Tĩnh")</f>
      </c>
      <c r="C625" t="str">
        <v>https://camha.camxuyen.hatinh.gov.vn/</v>
      </c>
      <c r="D625" t="str">
        <v>-</v>
      </c>
      <c r="E625" t="str">
        <v>-</v>
      </c>
      <c r="F625" t="str">
        <v>-</v>
      </c>
      <c r="G625" t="str">
        <v>-</v>
      </c>
    </row>
    <row r="626">
      <c r="A626">
        <v>625</v>
      </c>
      <c r="B626">
        <f>HYPERLINK("https://www.facebook.com/p/C%C3%B4ng-an-huy%E1%BB%87n-K%E1%BB%B3-Anh-H%C3%A0-T%C4%A9nh-100071287980284/?locale=vi_VN", "Công an huyện Kỳ Anh  tỉnh Hà Tĩnh")</f>
      </c>
      <c r="C626" t="str">
        <v>https://www.facebook.com/p/C%C3%B4ng-an-huy%E1%BB%87n-K%E1%BB%B3-Anh-H%C3%A0-T%C4%A9nh-100071287980284/?locale=vi_VN</v>
      </c>
      <c r="D626" t="str">
        <v>-</v>
      </c>
      <c r="E626" t="str">
        <v/>
      </c>
      <c r="F626" t="str">
        <v>-</v>
      </c>
      <c r="G626" t="str">
        <v>-</v>
      </c>
    </row>
    <row r="627">
      <c r="A627">
        <v>626</v>
      </c>
      <c r="B627">
        <f>HYPERLINK("https://kyanh.hatinh.gov.vn/", "UBND Ủy ban nhân dân huyện Kỳ Anh  tỉnh Hà Tĩnh")</f>
      </c>
      <c r="C627" t="str">
        <v>https://kyanh.hatinh.gov.vn/</v>
      </c>
      <c r="D627" t="str">
        <v>-</v>
      </c>
      <c r="E627" t="str">
        <v>-</v>
      </c>
      <c r="F627" t="str">
        <v>-</v>
      </c>
      <c r="G627" t="str">
        <v>-</v>
      </c>
    </row>
    <row r="628">
      <c r="A628">
        <v>627</v>
      </c>
      <c r="B628">
        <f>HYPERLINK("https://www.facebook.com/p/C%C3%B4ng-an-th%E1%BB%8B-tr%E1%BA%A5n-L%E1%BB%99c-H%C3%A0-L%E1%BB%99c-H%C3%A0-H%C3%A0-T%C4%A9nh-100069078312692/", "Công an huyện Lộc Hà  tỉnh Hà Tĩnh")</f>
      </c>
      <c r="C628" t="str">
        <v>https://www.facebook.com/p/C%C3%B4ng-an-th%E1%BB%8B-tr%E1%BA%A5n-L%E1%BB%99c-H%C3%A0-L%E1%BB%99c-H%C3%A0-H%C3%A0-T%C4%A9nh-100069078312692/</v>
      </c>
      <c r="D628" t="str">
        <v>-</v>
      </c>
      <c r="E628" t="str">
        <v/>
      </c>
      <c r="F628" t="str">
        <v>-</v>
      </c>
      <c r="G628" t="str">
        <v>-</v>
      </c>
    </row>
    <row r="629">
      <c r="A629">
        <v>628</v>
      </c>
      <c r="B629">
        <f>HYPERLINK("https://locha.hatinh.gov.vn/", "UBND Ủy ban nhân dân huyện Lộc Hà  tỉnh Hà Tĩnh")</f>
      </c>
      <c r="C629" t="str">
        <v>https://locha.hatinh.gov.vn/</v>
      </c>
      <c r="D629" t="str">
        <v>-</v>
      </c>
      <c r="E629" t="str">
        <v>-</v>
      </c>
      <c r="F629" t="str">
        <v>-</v>
      </c>
      <c r="G629" t="str">
        <v>-</v>
      </c>
    </row>
    <row r="630">
      <c r="A630">
        <v>629</v>
      </c>
      <c r="B630">
        <f>HYPERLINK("https://www.facebook.com/tuoitrephucxa/", "Công an phường Phúc Xá  thành phố Hà Nội")</f>
      </c>
      <c r="C630" t="str">
        <v>https://www.facebook.com/tuoitrephucxa/</v>
      </c>
      <c r="D630" t="str">
        <v>-</v>
      </c>
      <c r="E630" t="str">
        <v/>
      </c>
      <c r="F630" t="str">
        <v>-</v>
      </c>
      <c r="G630" t="str">
        <v>-</v>
      </c>
    </row>
    <row r="631">
      <c r="A631">
        <v>630</v>
      </c>
      <c r="B631">
        <f>HYPERLINK("https://phucxa.badinh.hanoi.gov.vn/", "UBND Ủy ban nhân dân phường Phúc Xá  thành phố Hà Nội")</f>
      </c>
      <c r="C631" t="str">
        <v>https://phucxa.badinh.hanoi.gov.vn/</v>
      </c>
      <c r="D631" t="str">
        <v>-</v>
      </c>
      <c r="E631" t="str">
        <v>-</v>
      </c>
      <c r="F631" t="str">
        <v>-</v>
      </c>
      <c r="G631" t="str">
        <v>-</v>
      </c>
    </row>
    <row r="632">
      <c r="A632">
        <v>631</v>
      </c>
      <c r="B632" t="str">
        <v>Công an phường Trúc Bạch  thành phố Hà Nội</v>
      </c>
      <c r="C632" t="str">
        <v>-</v>
      </c>
      <c r="D632" t="str">
        <v>-</v>
      </c>
      <c r="E632" t="str">
        <v/>
      </c>
      <c r="F632" t="str">
        <v>-</v>
      </c>
      <c r="G632" t="str">
        <v>-</v>
      </c>
    </row>
    <row r="633">
      <c r="A633">
        <v>632</v>
      </c>
      <c r="B633">
        <f>HYPERLINK("https://trucbach.badinh.hanoi.gov.vn/", "UBND Ủy ban nhân dân phường Trúc Bạch  thành phố Hà Nội")</f>
      </c>
      <c r="C633" t="str">
        <v>https://trucbach.badinh.hanoi.gov.vn/</v>
      </c>
      <c r="D633" t="str">
        <v>-</v>
      </c>
      <c r="E633" t="str">
        <v>-</v>
      </c>
      <c r="F633" t="str">
        <v>-</v>
      </c>
      <c r="G633" t="str">
        <v>-</v>
      </c>
    </row>
    <row r="634">
      <c r="A634">
        <v>633</v>
      </c>
      <c r="B634">
        <f>HYPERLINK("https://www.facebook.com/p/Tu%E1%BB%95i-tr%E1%BA%BB-C%C3%B4ng-an-Th%C3%A0nh-ph%E1%BB%91-V%C4%A9nh-Y%C3%AAn-100066497717181/", "Công an phường Vĩnh Phúc  thành phố Hà Nội")</f>
      </c>
      <c r="C634" t="str">
        <v>https://www.facebook.com/p/Tu%E1%BB%95i-tr%E1%BA%BB-C%C3%B4ng-an-Th%C3%A0nh-ph%E1%BB%91-V%C4%A9nh-Y%C3%AAn-100066497717181/</v>
      </c>
      <c r="D634" t="str">
        <v>-</v>
      </c>
      <c r="E634" t="str">
        <v/>
      </c>
      <c r="F634" t="str">
        <v>-</v>
      </c>
      <c r="G634" t="str">
        <v>-</v>
      </c>
    </row>
    <row r="635">
      <c r="A635">
        <v>634</v>
      </c>
      <c r="B635">
        <f>HYPERLINK("https://vinhphuc.badinh.hanoi.gov.vn/", "UBND Ủy ban nhân dân phường Vĩnh Phúc  thành phố Hà Nội")</f>
      </c>
      <c r="C635" t="str">
        <v>https://vinhphuc.badinh.hanoi.gov.vn/</v>
      </c>
      <c r="D635" t="str">
        <v>-</v>
      </c>
      <c r="E635" t="str">
        <v>-</v>
      </c>
      <c r="F635" t="str">
        <v>-</v>
      </c>
      <c r="G635" t="str">
        <v>-</v>
      </c>
    </row>
    <row r="636">
      <c r="A636">
        <v>635</v>
      </c>
      <c r="B636">
        <f>HYPERLINK("https://www.facebook.com/groups/toiyeuphuongcongviquanbadinh/", "Công an phường Cống Vị  thành phố Hà Nội")</f>
      </c>
      <c r="C636" t="str">
        <v>https://www.facebook.com/groups/toiyeuphuongcongviquanbadinh/</v>
      </c>
      <c r="D636" t="str">
        <v>-</v>
      </c>
      <c r="E636" t="str">
        <v/>
      </c>
      <c r="F636" t="str">
        <v>-</v>
      </c>
      <c r="G636" t="str">
        <v>-</v>
      </c>
    </row>
    <row r="637">
      <c r="A637">
        <v>636</v>
      </c>
      <c r="B637">
        <f>HYPERLINK("https://congvi.badinh.hanoi.gov.vn/", "UBND Ủy ban nhân dân phường Cống Vị  thành phố Hà Nội")</f>
      </c>
      <c r="C637" t="str">
        <v>https://congvi.badinh.hanoi.gov.vn/</v>
      </c>
      <c r="D637" t="str">
        <v>-</v>
      </c>
      <c r="E637" t="str">
        <v>-</v>
      </c>
      <c r="F637" t="str">
        <v>-</v>
      </c>
      <c r="G637" t="str">
        <v>-</v>
      </c>
    </row>
    <row r="638">
      <c r="A638">
        <v>637</v>
      </c>
      <c r="B638">
        <f>HYPERLINK("https://www.facebook.com/groups/toiyeuphuonglieugiaiquanbadinh/members/", "Công an phường Liễu Giai  thành phố Hà Nội")</f>
      </c>
      <c r="C638" t="str">
        <v>https://www.facebook.com/groups/toiyeuphuonglieugiaiquanbadinh/members/</v>
      </c>
      <c r="D638" t="str">
        <v>-</v>
      </c>
      <c r="E638" t="str">
        <v/>
      </c>
      <c r="F638" t="str">
        <v>-</v>
      </c>
      <c r="G638" t="str">
        <v>-</v>
      </c>
    </row>
    <row r="639">
      <c r="A639">
        <v>638</v>
      </c>
      <c r="B639">
        <f>HYPERLINK("https://lieugiai.badinh.hanoi.gov.vn/", "UBND Ủy ban nhân dân phường Liễu Giai  thành phố Hà Nội")</f>
      </c>
      <c r="C639" t="str">
        <v>https://lieugiai.badinh.hanoi.gov.vn/</v>
      </c>
      <c r="D639" t="str">
        <v>-</v>
      </c>
      <c r="E639" t="str">
        <v>-</v>
      </c>
      <c r="F639" t="str">
        <v>-</v>
      </c>
      <c r="G639" t="str">
        <v>-</v>
      </c>
    </row>
    <row r="640">
      <c r="A640">
        <v>639</v>
      </c>
      <c r="B640">
        <f>HYPERLINK("https://www.facebook.com/doanthanhnien.1956/", "Công an phường Nguyễn Trung Trực  thành phố Hà Nội")</f>
      </c>
      <c r="C640" t="str">
        <v>https://www.facebook.com/doanthanhnien.1956/</v>
      </c>
      <c r="D640" t="str">
        <v>-</v>
      </c>
      <c r="E640" t="str">
        <v/>
      </c>
      <c r="F640" t="str">
        <v>-</v>
      </c>
      <c r="G640" t="str">
        <v>-</v>
      </c>
    </row>
    <row r="641">
      <c r="A641">
        <v>640</v>
      </c>
      <c r="B641">
        <f>HYPERLINK("https://nguyentrungtruc.badinh.hanoi.gov.vn/", "UBND Ủy ban nhân dân phường Nguyễn Trung Trực  thành phố Hà Nội")</f>
      </c>
      <c r="C641" t="str">
        <v>https://nguyentrungtruc.badinh.hanoi.gov.vn/</v>
      </c>
      <c r="D641" t="str">
        <v>-</v>
      </c>
      <c r="E641" t="str">
        <v>-</v>
      </c>
      <c r="F641" t="str">
        <v>-</v>
      </c>
      <c r="G641" t="str">
        <v>-</v>
      </c>
    </row>
    <row r="642">
      <c r="A642">
        <v>641</v>
      </c>
      <c r="B642">
        <f>HYPERLINK("https://www.facebook.com/1226720857722655", "Công an phường Quán Thánh  thành phố Hà Nội")</f>
      </c>
      <c r="C642" t="str">
        <v>https://www.facebook.com/1226720857722655</v>
      </c>
      <c r="D642" t="str">
        <v>-</v>
      </c>
      <c r="E642" t="str">
        <v/>
      </c>
      <c r="F642" t="str">
        <v>-</v>
      </c>
      <c r="G642" t="str">
        <v>-</v>
      </c>
    </row>
    <row r="643">
      <c r="A643">
        <v>642</v>
      </c>
      <c r="B643">
        <f>HYPERLINK("https://quanthanh.badinh.hanoi.gov.vn/", "UBND Ủy ban nhân dân phường Quán Thánh  thành phố Hà Nội")</f>
      </c>
      <c r="C643" t="str">
        <v>https://quanthanh.badinh.hanoi.gov.vn/</v>
      </c>
      <c r="D643" t="str">
        <v>-</v>
      </c>
      <c r="E643" t="str">
        <v>-</v>
      </c>
      <c r="F643" t="str">
        <v>-</v>
      </c>
      <c r="G643" t="str">
        <v>-</v>
      </c>
    </row>
    <row r="644">
      <c r="A644">
        <v>643</v>
      </c>
      <c r="B644" t="str">
        <v>Công an phường Ngọc Hà  thành phố Hà Nội</v>
      </c>
      <c r="C644" t="str">
        <v>-</v>
      </c>
      <c r="D644" t="str">
        <v>-</v>
      </c>
      <c r="E644" t="str">
        <v/>
      </c>
      <c r="F644" t="str">
        <v>-</v>
      </c>
      <c r="G644" t="str">
        <v>-</v>
      </c>
    </row>
    <row r="645">
      <c r="A645">
        <v>644</v>
      </c>
      <c r="B645">
        <f>HYPERLINK("https://ngocha.badinh.hanoi.gov.vn/bo-may-to-chuc", "UBND Ủy ban nhân dân phường Ngọc Hà  thành phố Hà Nội")</f>
      </c>
      <c r="C645" t="str">
        <v>https://ngocha.badinh.hanoi.gov.vn/bo-may-to-chuc</v>
      </c>
      <c r="D645" t="str">
        <v>-</v>
      </c>
      <c r="E645" t="str">
        <v>-</v>
      </c>
      <c r="F645" t="str">
        <v>-</v>
      </c>
      <c r="G645" t="str">
        <v>-</v>
      </c>
    </row>
    <row r="646">
      <c r="A646">
        <v>645</v>
      </c>
      <c r="B646" t="str">
        <v>Công an phường Điện Biên  thành phố Hà Nội</v>
      </c>
      <c r="C646" t="str">
        <v>-</v>
      </c>
      <c r="D646" t="str">
        <v>-</v>
      </c>
      <c r="E646" t="str">
        <v/>
      </c>
      <c r="F646" t="str">
        <v>-</v>
      </c>
      <c r="G646" t="str">
        <v>-</v>
      </c>
    </row>
    <row r="647">
      <c r="A647">
        <v>646</v>
      </c>
      <c r="B647">
        <f>HYPERLINK("https://dienbien.badinh.hanoi.gov.vn/", "UBND Ủy ban nhân dân phường Điện Biên  thành phố Hà Nội")</f>
      </c>
      <c r="C647" t="str">
        <v>https://dienbien.badinh.hanoi.gov.vn/</v>
      </c>
      <c r="D647" t="str">
        <v>-</v>
      </c>
      <c r="E647" t="str">
        <v>-</v>
      </c>
      <c r="F647" t="str">
        <v>-</v>
      </c>
      <c r="G647" t="str">
        <v>-</v>
      </c>
    </row>
    <row r="648">
      <c r="A648">
        <v>647</v>
      </c>
      <c r="B648" t="str">
        <v>Công an phường Đội Cấn  thành phố Hà Nội</v>
      </c>
      <c r="C648" t="str">
        <v>-</v>
      </c>
      <c r="D648" t="str">
        <v>-</v>
      </c>
      <c r="E648" t="str">
        <v/>
      </c>
      <c r="F648" t="str">
        <v>-</v>
      </c>
      <c r="G648" t="str">
        <v>-</v>
      </c>
    </row>
    <row r="649">
      <c r="A649">
        <v>648</v>
      </c>
      <c r="B649">
        <f>HYPERLINK("https://doican.badinh.hanoi.gov.vn/", "UBND Ủy ban nhân dân phường Đội Cấn  thành phố Hà Nội")</f>
      </c>
      <c r="C649" t="str">
        <v>https://doican.badinh.hanoi.gov.vn/</v>
      </c>
      <c r="D649" t="str">
        <v>-</v>
      </c>
      <c r="E649" t="str">
        <v>-</v>
      </c>
      <c r="F649" t="str">
        <v>-</v>
      </c>
      <c r="G649" t="str">
        <v>-</v>
      </c>
    </row>
    <row r="650">
      <c r="A650">
        <v>649</v>
      </c>
      <c r="B650" t="str">
        <v>Công an phường Ngọc Khánh  thành phố Hà Nội</v>
      </c>
      <c r="C650" t="str">
        <v>-</v>
      </c>
      <c r="D650" t="str">
        <v>-</v>
      </c>
      <c r="E650" t="str">
        <v/>
      </c>
      <c r="F650" t="str">
        <v>-</v>
      </c>
      <c r="G650" t="str">
        <v>-</v>
      </c>
    </row>
    <row r="651">
      <c r="A651">
        <v>650</v>
      </c>
      <c r="B651">
        <f>HYPERLINK("https://ngockhanh.badinh.hanoi.gov.vn/", "UBND Ủy ban nhân dân phường Ngọc Khánh  thành phố Hà Nội")</f>
      </c>
      <c r="C651" t="str">
        <v>https://ngockhanh.badinh.hanoi.gov.vn/</v>
      </c>
      <c r="D651" t="str">
        <v>-</v>
      </c>
      <c r="E651" t="str">
        <v>-</v>
      </c>
      <c r="F651" t="str">
        <v>-</v>
      </c>
      <c r="G651" t="str">
        <v>-</v>
      </c>
    </row>
    <row r="652">
      <c r="A652">
        <v>651</v>
      </c>
      <c r="B652">
        <f>HYPERLINK("https://www.facebook.com/1275645332645704", "Công an phường Kim Mã  thành phố Hà Nội")</f>
      </c>
      <c r="C652" t="str">
        <v>https://www.facebook.com/1275645332645704</v>
      </c>
      <c r="D652" t="str">
        <v>-</v>
      </c>
      <c r="E652" t="str">
        <v/>
      </c>
      <c r="F652" t="str">
        <v>-</v>
      </c>
      <c r="G652" t="str">
        <v>-</v>
      </c>
    </row>
    <row r="653">
      <c r="A653">
        <v>652</v>
      </c>
      <c r="B653">
        <f>HYPERLINK("https://kimma.badinh.hanoi.gov.vn/", "UBND Ủy ban nhân dân phường Kim Mã  thành phố Hà Nội")</f>
      </c>
      <c r="C653" t="str">
        <v>https://kimma.badinh.hanoi.gov.vn/</v>
      </c>
      <c r="D653" t="str">
        <v>-</v>
      </c>
      <c r="E653" t="str">
        <v>-</v>
      </c>
      <c r="F653" t="str">
        <v>-</v>
      </c>
      <c r="G653" t="str">
        <v>-</v>
      </c>
    </row>
    <row r="654">
      <c r="A654">
        <v>653</v>
      </c>
      <c r="B654" t="str">
        <v>Công an phường Giảng Võ  thành phố Hà Nội</v>
      </c>
      <c r="C654" t="str">
        <v>-</v>
      </c>
      <c r="D654" t="str">
        <v>-</v>
      </c>
      <c r="E654" t="str">
        <v/>
      </c>
      <c r="F654" t="str">
        <v>-</v>
      </c>
      <c r="G654" t="str">
        <v>-</v>
      </c>
    </row>
    <row r="655">
      <c r="A655">
        <v>654</v>
      </c>
      <c r="B655">
        <f>HYPERLINK("https://giangvo.badinh.hanoi.gov.vn/", "UBND Ủy ban nhân dân phường Giảng Võ  thành phố Hà Nội")</f>
      </c>
      <c r="C655" t="str">
        <v>https://giangvo.badinh.hanoi.gov.vn/</v>
      </c>
      <c r="D655" t="str">
        <v>-</v>
      </c>
      <c r="E655" t="str">
        <v>-</v>
      </c>
      <c r="F655" t="str">
        <v>-</v>
      </c>
      <c r="G655" t="str">
        <v>-</v>
      </c>
    </row>
    <row r="656">
      <c r="A656">
        <v>655</v>
      </c>
      <c r="B656">
        <f>HYPERLINK("https://www.facebook.com/doanthanhnien.1956/", "Công an phường Thành Công  thành phố Hà Nội")</f>
      </c>
      <c r="C656" t="str">
        <v>https://www.facebook.com/doanthanhnien.1956/</v>
      </c>
      <c r="D656" t="str">
        <v>-</v>
      </c>
      <c r="E656" t="str">
        <v/>
      </c>
      <c r="F656" t="str">
        <v>-</v>
      </c>
      <c r="G656" t="str">
        <v>-</v>
      </c>
    </row>
    <row r="657">
      <c r="A657">
        <v>656</v>
      </c>
      <c r="B657">
        <f>HYPERLINK("https://thanhcong.badinh.hanoi.gov.vn/", "UBND Ủy ban nhân dân phường Thành Công  thành phố Hà Nội")</f>
      </c>
      <c r="C657" t="str">
        <v>https://thanhcong.badinh.hanoi.gov.vn/</v>
      </c>
      <c r="D657" t="str">
        <v>-</v>
      </c>
      <c r="E657" t="str">
        <v>-</v>
      </c>
      <c r="F657" t="str">
        <v>-</v>
      </c>
      <c r="G657" t="str">
        <v>-</v>
      </c>
    </row>
    <row r="658">
      <c r="A658">
        <v>657</v>
      </c>
      <c r="B658">
        <f>HYPERLINK("https://www.facebook.com/groups/1027569767653361/", "Công an phường Phúc Tân  thành phố Hà Nội")</f>
      </c>
      <c r="C658" t="str">
        <v>https://www.facebook.com/groups/1027569767653361/</v>
      </c>
      <c r="D658" t="str">
        <v>-</v>
      </c>
      <c r="E658" t="str">
        <v/>
      </c>
      <c r="F658" t="str">
        <v>-</v>
      </c>
      <c r="G658" t="str">
        <v>-</v>
      </c>
    </row>
    <row r="659">
      <c r="A659">
        <v>658</v>
      </c>
      <c r="B659">
        <f>HYPERLINK("https://hoankiem.hanoi.gov.vn/", "UBND Ủy ban nhân dân phường Phúc Tân  thành phố Hà Nội")</f>
      </c>
      <c r="C659" t="str">
        <v>https://hoankiem.hanoi.gov.vn/</v>
      </c>
      <c r="D659" t="str">
        <v>-</v>
      </c>
      <c r="E659" t="str">
        <v>-</v>
      </c>
      <c r="F659" t="str">
        <v>-</v>
      </c>
      <c r="G659" t="str">
        <v>-</v>
      </c>
    </row>
    <row r="660">
      <c r="A660">
        <v>659</v>
      </c>
      <c r="B660">
        <f>HYPERLINK("https://www.facebook.com/p/Ph%C6%B0%E1%BB%9Dng-%C4%90%E1%BB%93ng-Xu%C3%A2n-100071633148088/", "Công an phường Đồng Xuân  thành phố Hà Nội")</f>
      </c>
      <c r="C660" t="str">
        <v>https://www.facebook.com/p/Ph%C6%B0%E1%BB%9Dng-%C4%90%E1%BB%93ng-Xu%C3%A2n-100071633148088/</v>
      </c>
      <c r="D660" t="str">
        <v>-</v>
      </c>
      <c r="E660" t="str">
        <v/>
      </c>
      <c r="F660" t="str">
        <v>-</v>
      </c>
      <c r="G660" t="str">
        <v>-</v>
      </c>
    </row>
    <row r="661">
      <c r="A661">
        <v>660</v>
      </c>
      <c r="B661">
        <f>HYPERLINK("https://dongxuan-hoankiem.thudo.gov.vn/he-thong-van-ban", "UBND Ủy ban nhân dân phường Đồng Xuân  thành phố Hà Nội")</f>
      </c>
      <c r="C661" t="str">
        <v>https://dongxuan-hoankiem.thudo.gov.vn/he-thong-van-ban</v>
      </c>
      <c r="D661" t="str">
        <v>-</v>
      </c>
      <c r="E661" t="str">
        <v>-</v>
      </c>
      <c r="F661" t="str">
        <v>-</v>
      </c>
      <c r="G661" t="str">
        <v>-</v>
      </c>
    </row>
    <row r="662">
      <c r="A662">
        <v>661</v>
      </c>
      <c r="B662">
        <f>HYPERLINK("https://www.facebook.com/p/Ph%C6%B0%E1%BB%9Dng-H%C3%A0ng-M%C3%A3-100037207403338/", "Công an phường Hàng Mã  thành phố Hà Nội")</f>
      </c>
      <c r="C662" t="str">
        <v>https://www.facebook.com/p/Ph%C6%B0%E1%BB%9Dng-H%C3%A0ng-M%C3%A3-100037207403338/</v>
      </c>
      <c r="D662" t="str">
        <v>-</v>
      </c>
      <c r="E662" t="str">
        <v/>
      </c>
      <c r="F662" t="str">
        <v>-</v>
      </c>
      <c r="G662" t="str">
        <v>-</v>
      </c>
    </row>
    <row r="663">
      <c r="A663">
        <v>662</v>
      </c>
      <c r="B663">
        <f>HYPERLINK("https://hoankiem.hanoi.gov.vn/", "UBND Ủy ban nhân dân phường Hàng Mã  thành phố Hà Nội")</f>
      </c>
      <c r="C663" t="str">
        <v>https://hoankiem.hanoi.gov.vn/</v>
      </c>
      <c r="D663" t="str">
        <v>-</v>
      </c>
      <c r="E663" t="str">
        <v>-</v>
      </c>
      <c r="F663" t="str">
        <v>-</v>
      </c>
      <c r="G663" t="str">
        <v>-</v>
      </c>
    </row>
    <row r="664">
      <c r="A664">
        <v>663</v>
      </c>
      <c r="B664">
        <f>HYPERLINK("https://www.facebook.com/phuonghangdao.hoankiem/", "Công an phường Hàng Buồm  thành phố Hà Nội")</f>
      </c>
      <c r="C664" t="str">
        <v>https://www.facebook.com/phuonghangdao.hoankiem/</v>
      </c>
      <c r="D664" t="str">
        <v>-</v>
      </c>
      <c r="E664" t="str">
        <v/>
      </c>
      <c r="F664" t="str">
        <v>-</v>
      </c>
      <c r="G664" t="str">
        <v>-</v>
      </c>
    </row>
    <row r="665">
      <c r="A665">
        <v>664</v>
      </c>
      <c r="B665">
        <f>HYPERLINK("https://hoankiem.hanoi.gov.vn/", "UBND Ủy ban nhân dân phường Hàng Buồm  thành phố Hà Nội")</f>
      </c>
      <c r="C665" t="str">
        <v>https://hoankiem.hanoi.gov.vn/</v>
      </c>
      <c r="D665" t="str">
        <v>-</v>
      </c>
      <c r="E665" t="str">
        <v>-</v>
      </c>
      <c r="F665" t="str">
        <v>-</v>
      </c>
      <c r="G665" t="str">
        <v>-</v>
      </c>
    </row>
    <row r="666">
      <c r="A666">
        <v>665</v>
      </c>
      <c r="B666">
        <f>HYPERLINK("https://www.facebook.com/phuonghangdao.hoankiem/", "Công an phường Hàng Đào  thành phố Hà Nội")</f>
      </c>
      <c r="C666" t="str">
        <v>https://www.facebook.com/phuonghangdao.hoankiem/</v>
      </c>
      <c r="D666" t="str">
        <v>-</v>
      </c>
      <c r="E666" t="str">
        <v/>
      </c>
      <c r="F666" t="str">
        <v>-</v>
      </c>
      <c r="G666" t="str">
        <v>-</v>
      </c>
    </row>
    <row r="667">
      <c r="A667">
        <v>666</v>
      </c>
      <c r="B667">
        <f>HYPERLINK("https://hoankiem.hanoi.gov.vn/", "UBND Ủy ban nhân dân phường Hàng Đào  thành phố Hà Nội")</f>
      </c>
      <c r="C667" t="str">
        <v>https://hoankiem.hanoi.gov.vn/</v>
      </c>
      <c r="D667" t="str">
        <v>-</v>
      </c>
      <c r="E667" t="str">
        <v>-</v>
      </c>
      <c r="F667" t="str">
        <v>-</v>
      </c>
      <c r="G667" t="str">
        <v>-</v>
      </c>
    </row>
    <row r="668">
      <c r="A668">
        <v>667</v>
      </c>
      <c r="B668">
        <f>HYPERLINK("https://www.facebook.com/phuonghangdao.hoankiem/", "Công an phường Hàng Bồ  thành phố Hà Nội")</f>
      </c>
      <c r="C668" t="str">
        <v>https://www.facebook.com/phuonghangdao.hoankiem/</v>
      </c>
      <c r="D668" t="str">
        <v>-</v>
      </c>
      <c r="E668" t="str">
        <v/>
      </c>
      <c r="F668" t="str">
        <v>-</v>
      </c>
      <c r="G668" t="str">
        <v>-</v>
      </c>
    </row>
    <row r="669">
      <c r="A669">
        <v>668</v>
      </c>
      <c r="B669">
        <f>HYPERLINK("https://hangbo.hanoi.gov.vn/chien-luoc-quy-hoach-phat-trien", "UBND Ủy ban nhân dân phường Hàng Bồ  thành phố Hà Nội")</f>
      </c>
      <c r="C669" t="str">
        <v>https://hangbo.hanoi.gov.vn/chien-luoc-quy-hoach-phat-trien</v>
      </c>
      <c r="D669" t="str">
        <v>-</v>
      </c>
      <c r="E669" t="str">
        <v>-</v>
      </c>
      <c r="F669" t="str">
        <v>-</v>
      </c>
      <c r="G669" t="str">
        <v>-</v>
      </c>
    </row>
    <row r="670">
      <c r="A670">
        <v>669</v>
      </c>
      <c r="B670">
        <f>HYPERLINK("https://www.facebook.com/p/PH%C6%AF%E1%BB%9CNG-C%E1%BB%ACA-%C4%90%C3%94NG-QU%E1%BA%ACN-HO%C3%80N-KI%E1%BA%BEM-100060847036034/", "Công an phường Cửa Đông  thành phố Hà Nội")</f>
      </c>
      <c r="C670" t="str">
        <v>https://www.facebook.com/p/PH%C6%AF%E1%BB%9CNG-C%E1%BB%ACA-%C4%90%C3%94NG-QU%E1%BA%ACN-HO%C3%80N-KI%E1%BA%BEM-100060847036034/</v>
      </c>
      <c r="D670" t="str">
        <v>-</v>
      </c>
      <c r="E670" t="str">
        <v/>
      </c>
      <c r="F670" t="str">
        <v>-</v>
      </c>
      <c r="G670" t="str">
        <v>-</v>
      </c>
    </row>
    <row r="671">
      <c r="A671">
        <v>670</v>
      </c>
      <c r="B671">
        <f>HYPERLINK("https://hoankiem.hanoi.gov.vn/", "UBND Ủy ban nhân dân phường Cửa Đông  thành phố Hà Nội")</f>
      </c>
      <c r="C671" t="str">
        <v>https://hoankiem.hanoi.gov.vn/</v>
      </c>
      <c r="D671" t="str">
        <v>-</v>
      </c>
      <c r="E671" t="str">
        <v>-</v>
      </c>
      <c r="F671" t="str">
        <v>-</v>
      </c>
      <c r="G671" t="str">
        <v>-</v>
      </c>
    </row>
    <row r="672">
      <c r="A672">
        <v>671</v>
      </c>
      <c r="B672" t="str">
        <v>Công an phường Lý Thái Tổ  thành phố Hà Nội</v>
      </c>
      <c r="C672" t="str">
        <v>-</v>
      </c>
      <c r="D672" t="str">
        <v>-</v>
      </c>
      <c r="E672" t="str">
        <v/>
      </c>
      <c r="F672" t="str">
        <v>-</v>
      </c>
      <c r="G672" t="str">
        <v>-</v>
      </c>
    </row>
    <row r="673">
      <c r="A673">
        <v>672</v>
      </c>
      <c r="B673">
        <f>HYPERLINK("https://caicachhanhchinh.hanoi.gov.vn/chi-tiet-van-ban/ve-viec-ban-hanh-khung-chi-so-cai-cach-hanh-chinh-ap-dung-doi-voi-cac-phong-chuyen-mon-va-tuong--192634", "UBND Ủy ban nhân dân phường Lý Thái Tổ  thành phố Hà Nội")</f>
      </c>
      <c r="C673" t="str">
        <v>https://caicachhanhchinh.hanoi.gov.vn/chi-tiet-van-ban/ve-viec-ban-hanh-khung-chi-so-cai-cach-hanh-chinh-ap-dung-doi-voi-cac-phong-chuyen-mon-va-tuong--192634</v>
      </c>
      <c r="D673" t="str">
        <v>-</v>
      </c>
      <c r="E673" t="str">
        <v>-</v>
      </c>
      <c r="F673" t="str">
        <v>-</v>
      </c>
      <c r="G673" t="str">
        <v>-</v>
      </c>
    </row>
    <row r="674">
      <c r="A674">
        <v>673</v>
      </c>
      <c r="B674" t="str">
        <v>Công an phường Hàng Bạc  thành phố Hà Nội</v>
      </c>
      <c r="C674" t="str">
        <v>-</v>
      </c>
      <c r="D674" t="str">
        <v>-</v>
      </c>
      <c r="E674" t="str">
        <v/>
      </c>
      <c r="F674" t="str">
        <v>-</v>
      </c>
      <c r="G674" t="str">
        <v>-</v>
      </c>
    </row>
    <row r="675">
      <c r="A675">
        <v>674</v>
      </c>
      <c r="B675">
        <f>HYPERLINK("https://hoankiem.hanoi.gov.vn/", "UBND Ủy ban nhân dân phường Hàng Bạc  thành phố Hà Nội")</f>
      </c>
      <c r="C675" t="str">
        <v>https://hoankiem.hanoi.gov.vn/</v>
      </c>
      <c r="D675" t="str">
        <v>-</v>
      </c>
      <c r="E675" t="str">
        <v>-</v>
      </c>
      <c r="F675" t="str">
        <v>-</v>
      </c>
      <c r="G675" t="str">
        <v>-</v>
      </c>
    </row>
    <row r="676">
      <c r="A676">
        <v>675</v>
      </c>
      <c r="B676">
        <f>HYPERLINK("https://www.facebook.com/doanthanhnien.1956/", "Công an phường Hàng Gai  thành phố Hà Nội")</f>
      </c>
      <c r="C676" t="str">
        <v>https://www.facebook.com/doanthanhnien.1956/</v>
      </c>
      <c r="D676" t="str">
        <v>-</v>
      </c>
      <c r="E676" t="str">
        <v/>
      </c>
      <c r="F676" t="str">
        <v>-</v>
      </c>
      <c r="G676" t="str">
        <v>-</v>
      </c>
    </row>
    <row r="677">
      <c r="A677">
        <v>676</v>
      </c>
      <c r="B677">
        <f>HYPERLINK("https://hoankiem.hanoi.gov.vn/", "UBND Ủy ban nhân dân phường Hàng Gai  thành phố Hà Nội")</f>
      </c>
      <c r="C677" t="str">
        <v>https://hoankiem.hanoi.gov.vn/</v>
      </c>
      <c r="D677" t="str">
        <v>-</v>
      </c>
      <c r="E677" t="str">
        <v>-</v>
      </c>
      <c r="F677" t="str">
        <v>-</v>
      </c>
      <c r="G677" t="str">
        <v>-</v>
      </c>
    </row>
    <row r="678">
      <c r="A678">
        <v>677</v>
      </c>
      <c r="B678">
        <f>HYPERLINK("https://www.facebook.com/ChuongDuong.HoanKiem.HaNoi/", "Công an phường Chương Dương  thành phố Hà Nội")</f>
      </c>
      <c r="C678" t="str">
        <v>https://www.facebook.com/ChuongDuong.HoanKiem.HaNoi/</v>
      </c>
      <c r="D678" t="str">
        <v>-</v>
      </c>
      <c r="E678" t="str">
        <v/>
      </c>
      <c r="F678" t="str">
        <v>-</v>
      </c>
      <c r="G678" t="str">
        <v>-</v>
      </c>
    </row>
    <row r="679">
      <c r="A679">
        <v>678</v>
      </c>
      <c r="B679">
        <f>HYPERLINK("https://hoankiem.hanoi.gov.vn/", "UBND Ủy ban nhân dân phường Chương Dương  thành phố Hà Nội")</f>
      </c>
      <c r="C679" t="str">
        <v>https://hoankiem.hanoi.gov.vn/</v>
      </c>
      <c r="D679" t="str">
        <v>-</v>
      </c>
      <c r="E679" t="str">
        <v>-</v>
      </c>
      <c r="F679" t="str">
        <v>-</v>
      </c>
      <c r="G679" t="str">
        <v>-</v>
      </c>
    </row>
    <row r="680">
      <c r="A680">
        <v>679</v>
      </c>
      <c r="B680" t="str">
        <v>Công an phường Hàng Trống  thành phố Hà Nội</v>
      </c>
      <c r="C680" t="str">
        <v>-</v>
      </c>
      <c r="D680" t="str">
        <v>-</v>
      </c>
      <c r="E680" t="str">
        <v/>
      </c>
      <c r="F680" t="str">
        <v>-</v>
      </c>
      <c r="G680" t="str">
        <v>-</v>
      </c>
    </row>
    <row r="681">
      <c r="A681">
        <v>680</v>
      </c>
      <c r="B681">
        <f>HYPERLINK("https://hoankiem.hanoi.gov.vn/", "UBND Ủy ban nhân dân phường Hàng Trống  thành phố Hà Nội")</f>
      </c>
      <c r="C681" t="str">
        <v>https://hoankiem.hanoi.gov.vn/</v>
      </c>
      <c r="D681" t="str">
        <v>-</v>
      </c>
      <c r="E681" t="str">
        <v>-</v>
      </c>
      <c r="F681" t="str">
        <v>-</v>
      </c>
      <c r="G681" t="str">
        <v>-</v>
      </c>
    </row>
    <row r="682">
      <c r="A682">
        <v>681</v>
      </c>
      <c r="B682">
        <f>HYPERLINK("https://www.facebook.com/phuongcuanamhanoi/", "Công an phường Cửa Nam  thành phố Hà Nội")</f>
      </c>
      <c r="C682" t="str">
        <v>https://www.facebook.com/phuongcuanamhanoi/</v>
      </c>
      <c r="D682" t="str">
        <v>-</v>
      </c>
      <c r="E682" t="str">
        <v/>
      </c>
      <c r="F682" t="str">
        <v>-</v>
      </c>
      <c r="G682" t="str">
        <v>-</v>
      </c>
    </row>
    <row r="683">
      <c r="A683">
        <v>682</v>
      </c>
      <c r="B683">
        <f>HYPERLINK("https://dichvucong.namdinh.gov.vn/portaldvc/KenhTin/dich-vu-cong-truc-tuyen.aspx?_dv=52ACAC4B-4898-D2EA-F61E-274935F8584A", "UBND Ủy ban nhân dân phường Cửa Nam  thành phố Hà Nội")</f>
      </c>
      <c r="C683" t="str">
        <v>https://dichvucong.namdinh.gov.vn/portaldvc/KenhTin/dich-vu-cong-truc-tuyen.aspx?_dv=52ACAC4B-4898-D2EA-F61E-274935F8584A</v>
      </c>
      <c r="D683" t="str">
        <v>-</v>
      </c>
      <c r="E683" t="str">
        <v>-</v>
      </c>
      <c r="F683" t="str">
        <v>-</v>
      </c>
      <c r="G683" t="str">
        <v>-</v>
      </c>
    </row>
    <row r="684">
      <c r="A684">
        <v>683</v>
      </c>
      <c r="B684">
        <f>HYPERLINK("https://www.facebook.com/doanthanhnien.1956/", "Công an phường Hàng Bông  thành phố Hà Nội")</f>
      </c>
      <c r="C684" t="str">
        <v>https://www.facebook.com/doanthanhnien.1956/</v>
      </c>
      <c r="D684" t="str">
        <v>-</v>
      </c>
      <c r="E684" t="str">
        <v/>
      </c>
      <c r="F684" t="str">
        <v>-</v>
      </c>
      <c r="G684" t="str">
        <v>-</v>
      </c>
    </row>
    <row r="685">
      <c r="A685">
        <v>684</v>
      </c>
      <c r="B685">
        <f>HYPERLINK("https://hoankiem.hanoi.gov.vn/", "UBND Ủy ban nhân dân phường Hàng Bông  thành phố Hà Nội")</f>
      </c>
      <c r="C685" t="str">
        <v>https://hoankiem.hanoi.gov.vn/</v>
      </c>
      <c r="D685" t="str">
        <v>-</v>
      </c>
      <c r="E685" t="str">
        <v>-</v>
      </c>
      <c r="F685" t="str">
        <v>-</v>
      </c>
      <c r="G685" t="str">
        <v>-</v>
      </c>
    </row>
    <row r="686">
      <c r="A686">
        <v>685</v>
      </c>
      <c r="B686">
        <f>HYPERLINK("https://www.facebook.com/p/Ph%C6%B0%E1%BB%9Dng-Tr%C3%A0ng-Ti%E1%BB%81n-Ho%C3%A0n-Ki%E1%BA%BFm-100063645393207/", "Công an phường Tràng Tiền  thành phố Hà Nội")</f>
      </c>
      <c r="C686" t="str">
        <v>https://www.facebook.com/p/Ph%C6%B0%E1%BB%9Dng-Tr%C3%A0ng-Ti%E1%BB%81n-Ho%C3%A0n-Ki%E1%BA%BFm-100063645393207/</v>
      </c>
      <c r="D686" t="str">
        <v>-</v>
      </c>
      <c r="E686" t="str">
        <v/>
      </c>
      <c r="F686" t="str">
        <v>-</v>
      </c>
      <c r="G686" t="str">
        <v>-</v>
      </c>
    </row>
    <row r="687">
      <c r="A687">
        <v>686</v>
      </c>
      <c r="B687">
        <f>HYPERLINK("https://hoankiem.hanoi.gov.vn/", "UBND Ủy ban nhân dân phường Tràng Tiền  thành phố Hà Nội")</f>
      </c>
      <c r="C687" t="str">
        <v>https://hoankiem.hanoi.gov.vn/</v>
      </c>
      <c r="D687" t="str">
        <v>-</v>
      </c>
      <c r="E687" t="str">
        <v>-</v>
      </c>
      <c r="F687" t="str">
        <v>-</v>
      </c>
      <c r="G687" t="str">
        <v>-</v>
      </c>
    </row>
    <row r="688">
      <c r="A688">
        <v>687</v>
      </c>
      <c r="B688">
        <f>HYPERLINK("https://www.facebook.com/p/Ph%C6%B0%E1%BB%9Dng-Tr%E1%BA%A7n-H%C6%B0ng-%C4%90%E1%BA%A1o-100069789705989/?locale=vi_VN", "Công an phường Trần Hưng Đạo  thành phố Hà Nội")</f>
      </c>
      <c r="C688" t="str">
        <v>https://www.facebook.com/p/Ph%C6%B0%E1%BB%9Dng-Tr%E1%BA%A7n-H%C6%B0ng-%C4%90%E1%BA%A1o-100069789705989/?locale=vi_VN</v>
      </c>
      <c r="D688" t="str">
        <v>-</v>
      </c>
      <c r="E688" t="str">
        <v/>
      </c>
      <c r="F688" t="str">
        <v>-</v>
      </c>
      <c r="G688" t="str">
        <v>-</v>
      </c>
    </row>
    <row r="689">
      <c r="A689">
        <v>688</v>
      </c>
      <c r="B689">
        <f>HYPERLINK("https://quangngai.gov.vn/web/phuong-tran-hung-dao/trang-chu", "UBND Ủy ban nhân dân phường Trần Hưng Đạo  thành phố Hà Nội")</f>
      </c>
      <c r="C689" t="str">
        <v>https://quangngai.gov.vn/web/phuong-tran-hung-dao/trang-chu</v>
      </c>
      <c r="D689" t="str">
        <v>-</v>
      </c>
      <c r="E689" t="str">
        <v>-</v>
      </c>
      <c r="F689" t="str">
        <v>-</v>
      </c>
      <c r="G689" t="str">
        <v>-</v>
      </c>
    </row>
    <row r="690">
      <c r="A690">
        <v>689</v>
      </c>
      <c r="B690" t="str">
        <v>Công an phường Phan Chu Trinh  thành phố Hà Nội</v>
      </c>
      <c r="C690" t="str">
        <v>-</v>
      </c>
      <c r="D690" t="str">
        <v>-</v>
      </c>
      <c r="E690" t="str">
        <v/>
      </c>
      <c r="F690" t="str">
        <v>-</v>
      </c>
      <c r="G690" t="str">
        <v>-</v>
      </c>
    </row>
    <row r="691">
      <c r="A691">
        <v>690</v>
      </c>
      <c r="B691">
        <f>HYPERLINK("https://hoankiem.hanoi.gov.vn/", "UBND Ủy ban nhân dân phường Phan Chu Trinh  thành phố Hà Nội")</f>
      </c>
      <c r="C691" t="str">
        <v>https://hoankiem.hanoi.gov.vn/</v>
      </c>
      <c r="D691" t="str">
        <v>-</v>
      </c>
      <c r="E691" t="str">
        <v>-</v>
      </c>
      <c r="F691" t="str">
        <v>-</v>
      </c>
      <c r="G691" t="str">
        <v>-</v>
      </c>
    </row>
    <row r="692">
      <c r="A692">
        <v>691</v>
      </c>
      <c r="B692">
        <f>HYPERLINK("https://www.facebook.com/p/%C4%90%E1%BA%A3ng-%E1%BB%A7y-UBND-Ph%C6%B0%E1%BB%9Dng-H%C3%A0ng-B%C3%A0i-100077400726055/", "Công an phường Hàng Bài  thành phố Hà Nội")</f>
      </c>
      <c r="C692" t="str">
        <v>https://www.facebook.com/p/%C4%90%E1%BA%A3ng-%E1%BB%A7y-UBND-Ph%C6%B0%E1%BB%9Dng-H%C3%A0ng-B%C3%A0i-100077400726055/</v>
      </c>
      <c r="D692" t="str">
        <v>-</v>
      </c>
      <c r="E692" t="str">
        <v/>
      </c>
      <c r="F692" t="str">
        <v>-</v>
      </c>
      <c r="G692" t="str">
        <v>-</v>
      </c>
    </row>
    <row r="693">
      <c r="A693">
        <v>692</v>
      </c>
      <c r="B693">
        <f>HYPERLINK("https://hoankiem.hanoi.gov.vn/", "UBND Ủy ban nhân dân phường Hàng Bài  thành phố Hà Nội")</f>
      </c>
      <c r="C693" t="str">
        <v>https://hoankiem.hanoi.gov.vn/</v>
      </c>
      <c r="D693" t="str">
        <v>-</v>
      </c>
      <c r="E693" t="str">
        <v>-</v>
      </c>
      <c r="F693" t="str">
        <v>-</v>
      </c>
      <c r="G693" t="str">
        <v>-</v>
      </c>
    </row>
    <row r="694">
      <c r="A694">
        <v>693</v>
      </c>
      <c r="B694">
        <f>HYPERLINK("https://www.facebook.com/phuongphuthuong/", "Công an phường Phú Thượng  thành phố Hà Nội")</f>
      </c>
      <c r="C694" t="str">
        <v>https://www.facebook.com/phuongphuthuong/</v>
      </c>
      <c r="D694" t="str">
        <v>-</v>
      </c>
      <c r="E694" t="str">
        <v/>
      </c>
      <c r="F694" t="str">
        <v>-</v>
      </c>
      <c r="G694" t="str">
        <v>-</v>
      </c>
    </row>
    <row r="695">
      <c r="A695">
        <v>694</v>
      </c>
      <c r="B695">
        <f>HYPERLINK("https://phuthuong.tayho.hanoi.gov.vn/", "UBND Ủy ban nhân dân phường Phú Thượng  thành phố Hà Nội")</f>
      </c>
      <c r="C695" t="str">
        <v>https://phuthuong.tayho.hanoi.gov.vn/</v>
      </c>
      <c r="D695" t="str">
        <v>-</v>
      </c>
      <c r="E695" t="str">
        <v>-</v>
      </c>
      <c r="F695" t="str">
        <v>-</v>
      </c>
      <c r="G695" t="str">
        <v>-</v>
      </c>
    </row>
    <row r="696">
      <c r="A696">
        <v>695</v>
      </c>
      <c r="B696" t="str">
        <v>Công an phường Nhật Tân  thành phố Hà Nội</v>
      </c>
      <c r="C696" t="str">
        <v>-</v>
      </c>
      <c r="D696" t="str">
        <v>-</v>
      </c>
      <c r="E696" t="str">
        <v/>
      </c>
      <c r="F696" t="str">
        <v>-</v>
      </c>
      <c r="G696" t="str">
        <v>-</v>
      </c>
    </row>
    <row r="697">
      <c r="A697">
        <v>696</v>
      </c>
      <c r="B697">
        <f>HYPERLINK("https://nhattan.tayho.hanoi.gov.vn/", "UBND Ủy ban nhân dân phường Nhật Tân  thành phố Hà Nội")</f>
      </c>
      <c r="C697" t="str">
        <v>https://nhattan.tayho.hanoi.gov.vn/</v>
      </c>
      <c r="D697" t="str">
        <v>-</v>
      </c>
      <c r="E697" t="str">
        <v>-</v>
      </c>
      <c r="F697" t="str">
        <v>-</v>
      </c>
      <c r="G697" t="str">
        <v>-</v>
      </c>
    </row>
    <row r="698">
      <c r="A698">
        <v>697</v>
      </c>
      <c r="B698">
        <f>HYPERLINK("https://www.facebook.com/p/Tu%E1%BB%95i-Tr%E1%BA%BB-C%C3%B4ng-An-Qu%E1%BA%ADn-T%C3%A2y-H%E1%BB%93-100080140217978/?locale=sw_KE", "Công an phường Tứ Liên  thành phố Hà Nội")</f>
      </c>
      <c r="C698" t="str">
        <v>https://www.facebook.com/p/Tu%E1%BB%95i-Tr%E1%BA%BB-C%C3%B4ng-An-Qu%E1%BA%ADn-T%C3%A2y-H%E1%BB%93-100080140217978/?locale=sw_KE</v>
      </c>
      <c r="D698" t="str">
        <v>-</v>
      </c>
      <c r="E698" t="str">
        <v/>
      </c>
      <c r="F698" t="str">
        <v>-</v>
      </c>
      <c r="G698" t="str">
        <v>-</v>
      </c>
    </row>
    <row r="699">
      <c r="A699">
        <v>698</v>
      </c>
      <c r="B699">
        <f>HYPERLINK("https://tulien.tayho.hanoi.gov.vn/", "UBND Ủy ban nhân dân phường Tứ Liên  thành phố Hà Nội")</f>
      </c>
      <c r="C699" t="str">
        <v>https://tulien.tayho.hanoi.gov.vn/</v>
      </c>
      <c r="D699" t="str">
        <v>-</v>
      </c>
      <c r="E699" t="str">
        <v>-</v>
      </c>
      <c r="F699" t="str">
        <v>-</v>
      </c>
      <c r="G699" t="str">
        <v>-</v>
      </c>
    </row>
    <row r="700">
      <c r="A700">
        <v>699</v>
      </c>
      <c r="B700">
        <f>HYPERLINK("https://www.facebook.com/groups/4097713866981525/", "Công an phường Quảng An  thành phố Hà Nội")</f>
      </c>
      <c r="C700" t="str">
        <v>https://www.facebook.com/groups/4097713866981525/</v>
      </c>
      <c r="D700" t="str">
        <v>-</v>
      </c>
      <c r="E700" t="str">
        <v/>
      </c>
      <c r="F700" t="str">
        <v>-</v>
      </c>
      <c r="G700" t="str">
        <v>-</v>
      </c>
    </row>
    <row r="701">
      <c r="A701">
        <v>700</v>
      </c>
      <c r="B701">
        <f>HYPERLINK("https://quangan.tayho.hanoi.gov.vn/", "UBND Ủy ban nhân dân phường Quảng An  thành phố Hà Nội")</f>
      </c>
      <c r="C701" t="str">
        <v>https://quangan.tayho.hanoi.gov.vn/</v>
      </c>
      <c r="D701" t="str">
        <v>-</v>
      </c>
      <c r="E701" t="str">
        <v>-</v>
      </c>
      <c r="F701" t="str">
        <v>-</v>
      </c>
      <c r="G701" t="str">
        <v>-</v>
      </c>
    </row>
    <row r="702">
      <c r="A702">
        <v>701</v>
      </c>
      <c r="B702">
        <f>HYPERLINK("https://www.facebook.com/p/Tu%E1%BB%95i-Tr%E1%BA%BB-C%C3%B4ng-An-Qu%E1%BA%ADn-T%C3%A2y-H%E1%BB%93-100080140217978/?locale=eu_ES", "Công an phường Xuân La  thành phố Hà Nội")</f>
      </c>
      <c r="C702" t="str">
        <v>https://www.facebook.com/p/Tu%E1%BB%95i-Tr%E1%BA%BB-C%C3%B4ng-An-Qu%E1%BA%ADn-T%C3%A2y-H%E1%BB%93-100080140217978/?locale=eu_ES</v>
      </c>
      <c r="D702" t="str">
        <v>-</v>
      </c>
      <c r="E702" t="str">
        <v/>
      </c>
      <c r="F702" t="str">
        <v>-</v>
      </c>
      <c r="G702" t="str">
        <v>-</v>
      </c>
    </row>
    <row r="703">
      <c r="A703">
        <v>702</v>
      </c>
      <c r="B703">
        <f>HYPERLINK("https://xuanla.tayho.hanoi.gov.vn/", "UBND Ủy ban nhân dân phường Xuân La  thành phố Hà Nội")</f>
      </c>
      <c r="C703" t="str">
        <v>https://xuanla.tayho.hanoi.gov.vn/</v>
      </c>
      <c r="D703" t="str">
        <v>-</v>
      </c>
      <c r="E703" t="str">
        <v>-</v>
      </c>
      <c r="F703" t="str">
        <v>-</v>
      </c>
      <c r="G703" t="str">
        <v>-</v>
      </c>
    </row>
    <row r="704">
      <c r="A704">
        <v>703</v>
      </c>
      <c r="B704" t="str">
        <v>Công an phường Yên Phụ  thành phố Hà Nội</v>
      </c>
      <c r="C704" t="str">
        <v>-</v>
      </c>
      <c r="D704" t="str">
        <v>-</v>
      </c>
      <c r="E704" t="str">
        <v/>
      </c>
      <c r="F704" t="str">
        <v>-</v>
      </c>
      <c r="G704" t="str">
        <v>-</v>
      </c>
    </row>
    <row r="705">
      <c r="A705">
        <v>704</v>
      </c>
      <c r="B705">
        <f>HYPERLINK("https://yenphu.tayho.hanoi.gov.vn/", "UBND Ủy ban nhân dân phường Yên Phụ  thành phố Hà Nội")</f>
      </c>
      <c r="C705" t="str">
        <v>https://yenphu.tayho.hanoi.gov.vn/</v>
      </c>
      <c r="D705" t="str">
        <v>-</v>
      </c>
      <c r="E705" t="str">
        <v>-</v>
      </c>
      <c r="F705" t="str">
        <v>-</v>
      </c>
      <c r="G705" t="str">
        <v>-</v>
      </c>
    </row>
    <row r="706">
      <c r="A706">
        <v>705</v>
      </c>
      <c r="B706" t="str">
        <v>Công an phường Bưởi  thành phố Hà Nội</v>
      </c>
      <c r="C706" t="str">
        <v>-</v>
      </c>
      <c r="D706" t="str">
        <v>-</v>
      </c>
      <c r="E706" t="str">
        <v/>
      </c>
      <c r="F706" t="str">
        <v>-</v>
      </c>
      <c r="G706" t="str">
        <v>-</v>
      </c>
    </row>
    <row r="707">
      <c r="A707">
        <v>706</v>
      </c>
      <c r="B707">
        <f>HYPERLINK("https://phuongbuoi.tayho.hanoi.gov.vn/", "UBND Ủy ban nhân dân phường Bưởi  thành phố Hà Nội")</f>
      </c>
      <c r="C707" t="str">
        <v>https://phuongbuoi.tayho.hanoi.gov.vn/</v>
      </c>
      <c r="D707" t="str">
        <v>-</v>
      </c>
      <c r="E707" t="str">
        <v>-</v>
      </c>
      <c r="F707" t="str">
        <v>-</v>
      </c>
      <c r="G707" t="str">
        <v>-</v>
      </c>
    </row>
    <row r="708">
      <c r="A708">
        <v>707</v>
      </c>
      <c r="B708">
        <f>HYPERLINK("https://www.facebook.com/p/Tu%E1%BB%95i-Tr%E1%BA%BB-C%C3%B4ng-An-Qu%E1%BA%ADn-T%C3%A2y-H%E1%BB%93-100080140217978/?locale=vi_VN", "Công an phường Thụy Khuê  thành phố Hà Nội")</f>
      </c>
      <c r="C708" t="str">
        <v>https://www.facebook.com/p/Tu%E1%BB%95i-Tr%E1%BA%BB-C%C3%B4ng-An-Qu%E1%BA%ADn-T%C3%A2y-H%E1%BB%93-100080140217978/?locale=vi_VN</v>
      </c>
      <c r="D708" t="str">
        <v>-</v>
      </c>
      <c r="E708" t="str">
        <v/>
      </c>
      <c r="F708" t="str">
        <v>-</v>
      </c>
      <c r="G708" t="str">
        <v>-</v>
      </c>
    </row>
    <row r="709">
      <c r="A709">
        <v>708</v>
      </c>
      <c r="B709">
        <f>HYPERLINK("https://thuykhue.tayho.hanoi.gov.vn/", "UBND Ủy ban nhân dân phường Thụy Khuê  thành phố Hà Nội")</f>
      </c>
      <c r="C709" t="str">
        <v>https://thuykhue.tayho.hanoi.gov.vn/</v>
      </c>
      <c r="D709" t="str">
        <v>-</v>
      </c>
      <c r="E709" t="str">
        <v>-</v>
      </c>
      <c r="F709" t="str">
        <v>-</v>
      </c>
      <c r="G709" t="str">
        <v>-</v>
      </c>
    </row>
    <row r="710">
      <c r="A710">
        <v>709</v>
      </c>
      <c r="B710">
        <f>HYPERLINK("https://www.facebook.com/doanthanhnien.1956/", "Công an phường Thượng Thanh  thành phố Hà Nội")</f>
      </c>
      <c r="C710" t="str">
        <v>https://www.facebook.com/doanthanhnien.1956/</v>
      </c>
      <c r="D710" t="str">
        <v>-</v>
      </c>
      <c r="E710" t="str">
        <v/>
      </c>
      <c r="F710" t="str">
        <v>-</v>
      </c>
      <c r="G710" t="str">
        <v>-</v>
      </c>
    </row>
    <row r="711">
      <c r="A711">
        <v>710</v>
      </c>
      <c r="B711">
        <f>HYPERLINK("https://thuongthanh.longbien.hanoi.gov.vn/ubnd", "UBND Ủy ban nhân dân phường Thượng Thanh  thành phố Hà Nội")</f>
      </c>
      <c r="C711" t="str">
        <v>https://thuongthanh.longbien.hanoi.gov.vn/ubnd</v>
      </c>
      <c r="D711" t="str">
        <v>-</v>
      </c>
      <c r="E711" t="str">
        <v>-</v>
      </c>
      <c r="F711" t="str">
        <v>-</v>
      </c>
      <c r="G711" t="str">
        <v>-</v>
      </c>
    </row>
    <row r="712">
      <c r="A712">
        <v>711</v>
      </c>
      <c r="B712" t="str">
        <v>Công an phường Ngọc Thụy  thành phố Hà Nội</v>
      </c>
      <c r="C712" t="str">
        <v>-</v>
      </c>
      <c r="D712" t="str">
        <v>-</v>
      </c>
      <c r="E712" t="str">
        <v/>
      </c>
      <c r="F712" t="str">
        <v>-</v>
      </c>
      <c r="G712" t="str">
        <v>-</v>
      </c>
    </row>
    <row r="713">
      <c r="A713">
        <v>712</v>
      </c>
      <c r="B713">
        <f>HYPERLINK("https://ngocthuy.longbien.hanoi.gov.vn/ubnd", "UBND Ủy ban nhân dân phường Ngọc Thụy  thành phố Hà Nội")</f>
      </c>
      <c r="C713" t="str">
        <v>https://ngocthuy.longbien.hanoi.gov.vn/ubnd</v>
      </c>
      <c r="D713" t="str">
        <v>-</v>
      </c>
      <c r="E713" t="str">
        <v>-</v>
      </c>
      <c r="F713" t="str">
        <v>-</v>
      </c>
      <c r="G713" t="str">
        <v>-</v>
      </c>
    </row>
    <row r="714">
      <c r="A714">
        <v>713</v>
      </c>
      <c r="B714" t="str">
        <v>Công an phường Giang Biên  thành phố Hà Nội</v>
      </c>
      <c r="C714" t="str">
        <v>-</v>
      </c>
      <c r="D714" t="str">
        <v>-</v>
      </c>
      <c r="E714" t="str">
        <v/>
      </c>
      <c r="F714" t="str">
        <v>-</v>
      </c>
      <c r="G714" t="str">
        <v>-</v>
      </c>
    </row>
    <row r="715">
      <c r="A715">
        <v>714</v>
      </c>
      <c r="B715">
        <f>HYPERLINK("https://giangbien.longbien.hanoi.gov.vn/ubnd", "UBND Ủy ban nhân dân phường Giang Biên  thành phố Hà Nội")</f>
      </c>
      <c r="C715" t="str">
        <v>https://giangbien.longbien.hanoi.gov.vn/ubnd</v>
      </c>
      <c r="D715" t="str">
        <v>-</v>
      </c>
      <c r="E715" t="str">
        <v>-</v>
      </c>
      <c r="F715" t="str">
        <v>-</v>
      </c>
      <c r="G715" t="str">
        <v>-</v>
      </c>
    </row>
    <row r="716">
      <c r="A716">
        <v>715</v>
      </c>
      <c r="B716">
        <f>HYPERLINK("https://www.facebook.com/322827476213987", "Công an phường Đức Giang  thành phố Hà Nội")</f>
      </c>
      <c r="C716" t="str">
        <v>https://www.facebook.com/322827476213987</v>
      </c>
      <c r="D716" t="str">
        <v>-</v>
      </c>
      <c r="E716" t="str">
        <v/>
      </c>
      <c r="F716" t="str">
        <v>-</v>
      </c>
      <c r="G716" t="str">
        <v>-</v>
      </c>
    </row>
    <row r="717">
      <c r="A717">
        <v>716</v>
      </c>
      <c r="B717">
        <f>HYPERLINK("https://ducgiang.longbien.hanoi.gov.vn/", "UBND Ủy ban nhân dân phường Đức Giang  thành phố Hà Nội")</f>
      </c>
      <c r="C717" t="str">
        <v>https://ducgiang.longbien.hanoi.gov.vn/</v>
      </c>
      <c r="D717" t="str">
        <v>-</v>
      </c>
      <c r="E717" t="str">
        <v>-</v>
      </c>
      <c r="F717" t="str">
        <v>-</v>
      </c>
      <c r="G717" t="str">
        <v>-</v>
      </c>
    </row>
    <row r="718">
      <c r="A718">
        <v>717</v>
      </c>
      <c r="B718" t="str">
        <v>Công an phường Việt Hưng  thành phố Hà Nội</v>
      </c>
      <c r="C718" t="str">
        <v>-</v>
      </c>
      <c r="D718" t="str">
        <v>-</v>
      </c>
      <c r="E718" t="str">
        <v/>
      </c>
      <c r="F718" t="str">
        <v>-</v>
      </c>
      <c r="G718" t="str">
        <v>-</v>
      </c>
    </row>
    <row r="719">
      <c r="A719">
        <v>718</v>
      </c>
      <c r="B719">
        <f>HYPERLINK("https://viethung.longbien.gov.vn/", "UBND Ủy ban nhân dân phường Việt Hưng  thành phố Hà Nội")</f>
      </c>
      <c r="C719" t="str">
        <v>https://viethung.longbien.gov.vn/</v>
      </c>
      <c r="D719" t="str">
        <v>-</v>
      </c>
      <c r="E719" t="str">
        <v>-</v>
      </c>
      <c r="F719" t="str">
        <v>-</v>
      </c>
      <c r="G719" t="str">
        <v>-</v>
      </c>
    </row>
    <row r="720">
      <c r="A720">
        <v>719</v>
      </c>
      <c r="B720">
        <f>HYPERLINK("https://www.facebook.com/p/Tu%E1%BB%95i-Tr%E1%BA%BB-C%C3%B4ng-An-Qu%E1%BA%ADn-T%C3%A2y-H%E1%BB%93-100080140217978/?locale=vi_VN", "Công an phường Gia Thụy  thành phố Hà Nội")</f>
      </c>
      <c r="C720" t="str">
        <v>https://www.facebook.com/p/Tu%E1%BB%95i-Tr%E1%BA%BB-C%C3%B4ng-An-Qu%E1%BA%ADn-T%C3%A2y-H%E1%BB%93-100080140217978/?locale=vi_VN</v>
      </c>
      <c r="D720" t="str">
        <v>-</v>
      </c>
      <c r="E720" t="str">
        <v/>
      </c>
      <c r="F720" t="str">
        <v>-</v>
      </c>
      <c r="G720" t="str">
        <v>-</v>
      </c>
    </row>
    <row r="721">
      <c r="A721">
        <v>720</v>
      </c>
      <c r="B721">
        <f>HYPERLINK("https://giathuy.longbien.hanoi.gov.vn/ubnd", "UBND Ủy ban nhân dân phường Gia Thụy  thành phố Hà Nội")</f>
      </c>
      <c r="C721" t="str">
        <v>https://giathuy.longbien.hanoi.gov.vn/ubnd</v>
      </c>
      <c r="D721" t="str">
        <v>-</v>
      </c>
      <c r="E721" t="str">
        <v>-</v>
      </c>
      <c r="F721" t="str">
        <v>-</v>
      </c>
      <c r="G721" t="str">
        <v>-</v>
      </c>
    </row>
    <row r="722">
      <c r="A722">
        <v>721</v>
      </c>
      <c r="B722">
        <f>HYPERLINK("https://www.facebook.com/672167236869369", "Công an phường Ngọc Lâm  thành phố Hà Nội")</f>
      </c>
      <c r="C722" t="str">
        <v>https://www.facebook.com/672167236869369</v>
      </c>
      <c r="D722" t="str">
        <v>-</v>
      </c>
      <c r="E722" t="str">
        <v/>
      </c>
      <c r="F722" t="str">
        <v>-</v>
      </c>
      <c r="G722" t="str">
        <v>-</v>
      </c>
    </row>
    <row r="723">
      <c r="A723">
        <v>722</v>
      </c>
      <c r="B723">
        <f>HYPERLINK("https://ngoclam.longbien.hanoi.gov.vn/uy-ban-nhan-dan", "UBND Ủy ban nhân dân phường Ngọc Lâm  thành phố Hà Nội")</f>
      </c>
      <c r="C723" t="str">
        <v>https://ngoclam.longbien.hanoi.gov.vn/uy-ban-nhan-dan</v>
      </c>
      <c r="D723" t="str">
        <v>-</v>
      </c>
      <c r="E723" t="str">
        <v>-</v>
      </c>
      <c r="F723" t="str">
        <v>-</v>
      </c>
      <c r="G723" t="str">
        <v>-</v>
      </c>
    </row>
    <row r="724">
      <c r="A724">
        <v>723</v>
      </c>
      <c r="B724">
        <f>HYPERLINK("https://www.facebook.com/672167236869369", "Công an phường Phúc Lợi  thành phố Hà Nội")</f>
      </c>
      <c r="C724" t="str">
        <v>https://www.facebook.com/672167236869369</v>
      </c>
      <c r="D724" t="str">
        <v>-</v>
      </c>
      <c r="E724" t="str">
        <v/>
      </c>
      <c r="F724" t="str">
        <v>-</v>
      </c>
      <c r="G724" t="str">
        <v>-</v>
      </c>
    </row>
    <row r="725">
      <c r="A725">
        <v>724</v>
      </c>
      <c r="B725">
        <f>HYPERLINK("https://phucloi.longbien.hanoi.gov.vn/ubnd", "UBND Ủy ban nhân dân phường Phúc Lợi  thành phố Hà Nội")</f>
      </c>
      <c r="C725" t="str">
        <v>https://phucloi.longbien.hanoi.gov.vn/ubnd</v>
      </c>
      <c r="D725" t="str">
        <v>-</v>
      </c>
      <c r="E725" t="str">
        <v>-</v>
      </c>
      <c r="F725" t="str">
        <v>-</v>
      </c>
      <c r="G725" t="str">
        <v>-</v>
      </c>
    </row>
    <row r="726">
      <c r="A726">
        <v>725</v>
      </c>
      <c r="B726">
        <f>HYPERLINK("https://www.facebook.com/doanthanhnien.1956/", "Công an phường Bồ Đề  thành phố Hà Nội")</f>
      </c>
      <c r="C726" t="str">
        <v>https://www.facebook.com/doanthanhnien.1956/</v>
      </c>
      <c r="D726" t="str">
        <v>-</v>
      </c>
      <c r="E726" t="str">
        <v/>
      </c>
      <c r="F726" t="str">
        <v>-</v>
      </c>
      <c r="G726" t="str">
        <v>-</v>
      </c>
    </row>
    <row r="727">
      <c r="A727">
        <v>726</v>
      </c>
      <c r="B727">
        <f>HYPERLINK("https://bode.longbien.hanoi.gov.vn/web/phuong-bo-de/ubnd", "UBND Ủy ban nhân dân phường Bồ Đề  thành phố Hà Nội")</f>
      </c>
      <c r="C727" t="str">
        <v>https://bode.longbien.hanoi.gov.vn/web/phuong-bo-de/ubnd</v>
      </c>
      <c r="D727" t="str">
        <v>-</v>
      </c>
      <c r="E727" t="str">
        <v>-</v>
      </c>
      <c r="F727" t="str">
        <v>-</v>
      </c>
      <c r="G727" t="str">
        <v>-</v>
      </c>
    </row>
    <row r="728">
      <c r="A728">
        <v>727</v>
      </c>
      <c r="B728">
        <f>HYPERLINK("https://www.facebook.com/672167236869369", "Công an phường Sài Đồng  thành phố Hà Nội")</f>
      </c>
      <c r="C728" t="str">
        <v>https://www.facebook.com/672167236869369</v>
      </c>
      <c r="D728" t="str">
        <v>-</v>
      </c>
      <c r="E728" t="str">
        <v/>
      </c>
      <c r="F728" t="str">
        <v>-</v>
      </c>
      <c r="G728" t="str">
        <v>-</v>
      </c>
    </row>
    <row r="729">
      <c r="A729">
        <v>728</v>
      </c>
      <c r="B729">
        <f>HYPERLINK("https://saidong.longbien.hanoi.gov.vn/web/phuong-sai-dong/ubnd", "UBND Ủy ban nhân dân phường Sài Đồng  thành phố Hà Nội")</f>
      </c>
      <c r="C729" t="str">
        <v>https://saidong.longbien.hanoi.gov.vn/web/phuong-sai-dong/ubnd</v>
      </c>
      <c r="D729" t="str">
        <v>-</v>
      </c>
      <c r="E729" t="str">
        <v>-</v>
      </c>
      <c r="F729" t="str">
        <v>-</v>
      </c>
      <c r="G729" t="str">
        <v>-</v>
      </c>
    </row>
    <row r="730">
      <c r="A730">
        <v>729</v>
      </c>
      <c r="B730">
        <f>HYPERLINK("https://www.facebook.com/672167236869369", "Công an phường Long Biên  thành phố Hà Nội")</f>
      </c>
      <c r="C730" t="str">
        <v>https://www.facebook.com/672167236869369</v>
      </c>
      <c r="D730" t="str">
        <v>-</v>
      </c>
      <c r="E730" t="str">
        <v/>
      </c>
      <c r="F730" t="str">
        <v>-</v>
      </c>
      <c r="G730" t="str">
        <v>-</v>
      </c>
    </row>
    <row r="731">
      <c r="A731">
        <v>730</v>
      </c>
      <c r="B731">
        <f>HYPERLINK("https://longbien.longbien.hanoi.gov.vn/ubnd", "UBND Ủy ban nhân dân phường Long Biên  thành phố Hà Nội")</f>
      </c>
      <c r="C731" t="str">
        <v>https://longbien.longbien.hanoi.gov.vn/ubnd</v>
      </c>
      <c r="D731" t="str">
        <v>-</v>
      </c>
      <c r="E731" t="str">
        <v>-</v>
      </c>
      <c r="F731" t="str">
        <v>-</v>
      </c>
      <c r="G731" t="str">
        <v>-</v>
      </c>
    </row>
    <row r="732">
      <c r="A732">
        <v>731</v>
      </c>
      <c r="B732" t="str">
        <v>Công an phường Thạch Bàn  thành phố Hà Nội</v>
      </c>
      <c r="C732" t="str">
        <v>-</v>
      </c>
      <c r="D732" t="str">
        <v>-</v>
      </c>
      <c r="E732" t="str">
        <v/>
      </c>
      <c r="F732" t="str">
        <v>-</v>
      </c>
      <c r="G732" t="str">
        <v>-</v>
      </c>
    </row>
    <row r="733">
      <c r="A733">
        <v>732</v>
      </c>
      <c r="B733">
        <f>HYPERLINK("https://thachban.longbien.hanoi.gov.vn/ubnd", "UBND Ủy ban nhân dân phường Thạch Bàn  thành phố Hà Nội")</f>
      </c>
      <c r="C733" t="str">
        <v>https://thachban.longbien.hanoi.gov.vn/ubnd</v>
      </c>
      <c r="D733" t="str">
        <v>-</v>
      </c>
      <c r="E733" t="str">
        <v>-</v>
      </c>
      <c r="F733" t="str">
        <v>-</v>
      </c>
      <c r="G733" t="str">
        <v>-</v>
      </c>
    </row>
    <row r="734">
      <c r="A734">
        <v>733</v>
      </c>
      <c r="B734" t="str">
        <v>Công an phường Phúc Đồng  thành phố Hà Nội</v>
      </c>
      <c r="C734" t="str">
        <v>-</v>
      </c>
      <c r="D734" t="str">
        <v>-</v>
      </c>
      <c r="E734" t="str">
        <v/>
      </c>
      <c r="F734" t="str">
        <v>-</v>
      </c>
      <c r="G734" t="str">
        <v>-</v>
      </c>
    </row>
    <row r="735">
      <c r="A735">
        <v>734</v>
      </c>
      <c r="B735">
        <f>HYPERLINK("https://phucdong.longbien.hanoi.gov.vn/ubnd", "UBND Ủy ban nhân dân phường Phúc Đồng  thành phố Hà Nội")</f>
      </c>
      <c r="C735" t="str">
        <v>https://phucdong.longbien.hanoi.gov.vn/ubnd</v>
      </c>
      <c r="D735" t="str">
        <v>-</v>
      </c>
      <c r="E735" t="str">
        <v>-</v>
      </c>
      <c r="F735" t="str">
        <v>-</v>
      </c>
      <c r="G735" t="str">
        <v>-</v>
      </c>
    </row>
    <row r="736">
      <c r="A736">
        <v>735</v>
      </c>
      <c r="B736">
        <f>HYPERLINK("https://www.facebook.com/672167236869369", "Công an phường Cự Khối  thành phố Hà Nội")</f>
      </c>
      <c r="C736" t="str">
        <v>https://www.facebook.com/672167236869369</v>
      </c>
      <c r="D736" t="str">
        <v>-</v>
      </c>
      <c r="E736" t="str">
        <v/>
      </c>
      <c r="F736" t="str">
        <v>-</v>
      </c>
      <c r="G736" t="str">
        <v>-</v>
      </c>
    </row>
    <row r="737">
      <c r="A737">
        <v>736</v>
      </c>
      <c r="B737">
        <f>HYPERLINK("https://cukhoi.longbien.hanoi.gov.vn/lanhdaoubnd", "UBND Ủy ban nhân dân phường Cự Khối  thành phố Hà Nội")</f>
      </c>
      <c r="C737" t="str">
        <v>https://cukhoi.longbien.hanoi.gov.vn/lanhdaoubnd</v>
      </c>
      <c r="D737" t="str">
        <v>-</v>
      </c>
      <c r="E737" t="str">
        <v>-</v>
      </c>
      <c r="F737" t="str">
        <v>-</v>
      </c>
      <c r="G737" t="str">
        <v>-</v>
      </c>
    </row>
    <row r="738">
      <c r="A738">
        <v>737</v>
      </c>
      <c r="B738">
        <f>HYPERLINK("https://www.facebook.com/groups/319819709788805/", "Công an phường Nghĩa Đô  thành phố Hà Nội")</f>
      </c>
      <c r="C738" t="str">
        <v>https://www.facebook.com/groups/319819709788805/</v>
      </c>
      <c r="D738" t="str">
        <v>-</v>
      </c>
      <c r="E738" t="str">
        <v/>
      </c>
      <c r="F738" t="str">
        <v>-</v>
      </c>
      <c r="G738" t="str">
        <v>-</v>
      </c>
    </row>
    <row r="739">
      <c r="A739">
        <v>738</v>
      </c>
      <c r="B739">
        <f>HYPERLINK("http://caugiay.hanoi.gov.vn/phuong-nghia-do", "UBND Ủy ban nhân dân phường Nghĩa Đô  thành phố Hà Nội")</f>
      </c>
      <c r="C739" t="str">
        <v>http://caugiay.hanoi.gov.vn/phuong-nghia-do</v>
      </c>
      <c r="D739" t="str">
        <v>-</v>
      </c>
      <c r="E739" t="str">
        <v>-</v>
      </c>
      <c r="F739" t="str">
        <v>-</v>
      </c>
      <c r="G739" t="str">
        <v>-</v>
      </c>
    </row>
    <row r="740">
      <c r="A740">
        <v>739</v>
      </c>
      <c r="B740">
        <f>HYPERLINK("https://www.facebook.com/biz/laundromat/?place_id=108177959213853&amp;locale=es_ES", "Công an phường Nghĩa Tân  thành phố Hà Nội")</f>
      </c>
      <c r="C740" t="str">
        <v>https://www.facebook.com/biz/laundromat/?place_id=108177959213853&amp;locale=es_ES</v>
      </c>
      <c r="D740" t="str">
        <v>-</v>
      </c>
      <c r="E740" t="str">
        <v/>
      </c>
      <c r="F740" t="str">
        <v>-</v>
      </c>
      <c r="G740" t="str">
        <v>-</v>
      </c>
    </row>
    <row r="741">
      <c r="A741">
        <v>740</v>
      </c>
      <c r="B741">
        <f>HYPERLINK("http://nghiatan.gianghia.daknong.gov.vn/co-cau-to-chuc", "UBND Ủy ban nhân dân phường Nghĩa Tân  thành phố Hà Nội")</f>
      </c>
      <c r="C741" t="str">
        <v>http://nghiatan.gianghia.daknong.gov.vn/co-cau-to-chuc</v>
      </c>
      <c r="D741" t="str">
        <v>-</v>
      </c>
      <c r="E741" t="str">
        <v>-</v>
      </c>
      <c r="F741" t="str">
        <v>-</v>
      </c>
      <c r="G741" t="str">
        <v>-</v>
      </c>
    </row>
    <row r="742">
      <c r="A742">
        <v>741</v>
      </c>
      <c r="B742" t="str">
        <v>Công an phường Mai Dịch  thành phố Hà Nội</v>
      </c>
      <c r="C742" t="str">
        <v>-</v>
      </c>
      <c r="D742" t="str">
        <v>-</v>
      </c>
      <c r="E742" t="str">
        <v/>
      </c>
      <c r="F742" t="str">
        <v>-</v>
      </c>
      <c r="G742" t="str">
        <v>-</v>
      </c>
    </row>
    <row r="743">
      <c r="A743">
        <v>742</v>
      </c>
      <c r="B743">
        <f>HYPERLINK("http://caugiay.hanoi.gov.vn/phuong-mai-dich", "UBND Ủy ban nhân dân phường Mai Dịch  thành phố Hà Nội")</f>
      </c>
      <c r="C743" t="str">
        <v>http://caugiay.hanoi.gov.vn/phuong-mai-dich</v>
      </c>
      <c r="D743" t="str">
        <v>-</v>
      </c>
      <c r="E743" t="str">
        <v>-</v>
      </c>
      <c r="F743" t="str">
        <v>-</v>
      </c>
      <c r="G743" t="str">
        <v>-</v>
      </c>
    </row>
    <row r="744">
      <c r="A744">
        <v>743</v>
      </c>
      <c r="B744" t="str">
        <v>Công an phường Dịch Vọng  thành phố Hà Nội</v>
      </c>
      <c r="C744" t="str">
        <v>-</v>
      </c>
      <c r="D744" t="str">
        <v>-</v>
      </c>
      <c r="E744" t="str">
        <v/>
      </c>
      <c r="F744" t="str">
        <v>-</v>
      </c>
      <c r="G744" t="str">
        <v>-</v>
      </c>
    </row>
    <row r="745">
      <c r="A745">
        <v>744</v>
      </c>
      <c r="B745">
        <f>HYPERLINK("http://caugiay.hanoi.gov.vn/phuong-dich-vong-hau", "UBND Ủy ban nhân dân phường Dịch Vọng  thành phố Hà Nội")</f>
      </c>
      <c r="C745" t="str">
        <v>http://caugiay.hanoi.gov.vn/phuong-dich-vong-hau</v>
      </c>
      <c r="D745" t="str">
        <v>-</v>
      </c>
      <c r="E745" t="str">
        <v>-</v>
      </c>
      <c r="F745" t="str">
        <v>-</v>
      </c>
      <c r="G745" t="str">
        <v>-</v>
      </c>
    </row>
    <row r="746">
      <c r="A746">
        <v>745</v>
      </c>
      <c r="B746" t="str">
        <v>Công an phường Dịch Vọng Hậu  thành phố Hà Nội</v>
      </c>
      <c r="C746" t="str">
        <v>-</v>
      </c>
      <c r="D746" t="str">
        <v>-</v>
      </c>
      <c r="E746" t="str">
        <v/>
      </c>
      <c r="F746" t="str">
        <v>-</v>
      </c>
      <c r="G746" t="str">
        <v>-</v>
      </c>
    </row>
    <row r="747">
      <c r="A747">
        <v>746</v>
      </c>
      <c r="B747">
        <f>HYPERLINK("http://caugiay.hanoi.gov.vn/phuong-dich-vong-hau", "UBND Ủy ban nhân dân phường Dịch Vọng Hậu  thành phố Hà Nội")</f>
      </c>
      <c r="C747" t="str">
        <v>http://caugiay.hanoi.gov.vn/phuong-dich-vong-hau</v>
      </c>
      <c r="D747" t="str">
        <v>-</v>
      </c>
      <c r="E747" t="str">
        <v>-</v>
      </c>
      <c r="F747" t="str">
        <v>-</v>
      </c>
      <c r="G747" t="str">
        <v>-</v>
      </c>
    </row>
    <row r="748">
      <c r="A748">
        <v>747</v>
      </c>
      <c r="B748">
        <f>HYPERLINK("https://www.facebook.com/groups/499112131395918/", "Công an phường Quan Hoa  thành phố Hà Nội")</f>
      </c>
      <c r="C748" t="str">
        <v>https://www.facebook.com/groups/499112131395918/</v>
      </c>
      <c r="D748" t="str">
        <v>-</v>
      </c>
      <c r="E748" t="str">
        <v/>
      </c>
      <c r="F748" t="str">
        <v>-</v>
      </c>
      <c r="G748" t="str">
        <v>-</v>
      </c>
    </row>
    <row r="749">
      <c r="A749">
        <v>748</v>
      </c>
      <c r="B749">
        <f>HYPERLINK("http://caugiay.hanoi.gov.vn/phuong-quan-hoa", "UBND Ủy ban nhân dân phường Quan Hoa  thành phố Hà Nội")</f>
      </c>
      <c r="C749" t="str">
        <v>http://caugiay.hanoi.gov.vn/phuong-quan-hoa</v>
      </c>
      <c r="D749" t="str">
        <v>-</v>
      </c>
      <c r="E749" t="str">
        <v>-</v>
      </c>
      <c r="F749" t="str">
        <v>-</v>
      </c>
      <c r="G749" t="str">
        <v>-</v>
      </c>
    </row>
    <row r="750">
      <c r="A750">
        <v>749</v>
      </c>
      <c r="B750">
        <f>HYPERLINK("https://www.facebook.com/groups/487973442490846/", "Công an phường Yên Hoà  thành phố Hà Nội")</f>
      </c>
      <c r="C750" t="str">
        <v>https://www.facebook.com/groups/487973442490846/</v>
      </c>
      <c r="D750" t="str">
        <v>-</v>
      </c>
      <c r="E750" t="str">
        <v/>
      </c>
      <c r="F750" t="str">
        <v>-</v>
      </c>
      <c r="G750" t="str">
        <v>-</v>
      </c>
    </row>
    <row r="751">
      <c r="A751">
        <v>750</v>
      </c>
      <c r="B751">
        <f>HYPERLINK("http://caugiay.hanoi.gov.vn/phuong-yen-hoa", "UBND Ủy ban nhân dân phường Yên Hoà  thành phố Hà Nội")</f>
      </c>
      <c r="C751" t="str">
        <v>http://caugiay.hanoi.gov.vn/phuong-yen-hoa</v>
      </c>
      <c r="D751" t="str">
        <v>-</v>
      </c>
      <c r="E751" t="str">
        <v>-</v>
      </c>
      <c r="F751" t="str">
        <v>-</v>
      </c>
      <c r="G751" t="str">
        <v>-</v>
      </c>
    </row>
    <row r="752">
      <c r="A752">
        <v>751</v>
      </c>
      <c r="B752">
        <f>HYPERLINK("https://www.facebook.com/groups/4456065151093399/", "Công an phường Trung Hoà  thành phố Hà Nội")</f>
      </c>
      <c r="C752" t="str">
        <v>https://www.facebook.com/groups/4456065151093399/</v>
      </c>
      <c r="D752" t="str">
        <v>-</v>
      </c>
      <c r="E752" t="str">
        <v/>
      </c>
      <c r="F752" t="str">
        <v>-</v>
      </c>
      <c r="G752" t="str">
        <v>-</v>
      </c>
    </row>
    <row r="753">
      <c r="A753">
        <v>752</v>
      </c>
      <c r="B753">
        <f>HYPERLINK("http://caugiay.hanoi.gov.vn/phuong-trung-hoa", "UBND Ủy ban nhân dân phường Trung Hoà  thành phố Hà Nội")</f>
      </c>
      <c r="C753" t="str">
        <v>http://caugiay.hanoi.gov.vn/phuong-trung-hoa</v>
      </c>
      <c r="D753" t="str">
        <v>-</v>
      </c>
      <c r="E753" t="str">
        <v>-</v>
      </c>
      <c r="F753" t="str">
        <v>-</v>
      </c>
      <c r="G753" t="str">
        <v>-</v>
      </c>
    </row>
    <row r="754">
      <c r="A754">
        <v>753</v>
      </c>
      <c r="B754" t="str">
        <v>Công an phường Cát Linh  thành phố Hà Nội</v>
      </c>
      <c r="C754" t="str">
        <v>-</v>
      </c>
      <c r="D754" t="str">
        <v>-</v>
      </c>
      <c r="E754" t="str">
        <v/>
      </c>
      <c r="F754" t="str">
        <v>-</v>
      </c>
      <c r="G754" t="str">
        <v>-</v>
      </c>
    </row>
    <row r="755">
      <c r="A755">
        <v>754</v>
      </c>
      <c r="B755">
        <f>HYPERLINK("https://dongda.hanoi.gov.vn/phuong-cat-linh", "UBND Ủy ban nhân dân phường Cát Linh  thành phố Hà Nội")</f>
      </c>
      <c r="C755" t="str">
        <v>https://dongda.hanoi.gov.vn/phuong-cat-linh</v>
      </c>
      <c r="D755" t="str">
        <v>-</v>
      </c>
      <c r="E755" t="str">
        <v>-</v>
      </c>
      <c r="F755" t="str">
        <v>-</v>
      </c>
      <c r="G755" t="str">
        <v>-</v>
      </c>
    </row>
    <row r="756">
      <c r="A756">
        <v>755</v>
      </c>
      <c r="B756">
        <f>HYPERLINK("https://www.facebook.com/groups/toi.yeu.phuong.van.mieu.quan.dong.da/", "Công an phường Văn Miếu  thành phố Hà Nội")</f>
      </c>
      <c r="C756" t="str">
        <v>https://www.facebook.com/groups/toi.yeu.phuong.van.mieu.quan.dong.da/</v>
      </c>
      <c r="D756" t="str">
        <v>-</v>
      </c>
      <c r="E756" t="str">
        <v/>
      </c>
      <c r="F756" t="str">
        <v>-</v>
      </c>
      <c r="G756" t="str">
        <v>-</v>
      </c>
    </row>
    <row r="757">
      <c r="A757">
        <v>756</v>
      </c>
      <c r="B757">
        <f>HYPERLINK("https://dongda.hanoi.gov.vn/phuong-van-mieu", "UBND Ủy ban nhân dân phường Văn Miếu  thành phố Hà Nội")</f>
      </c>
      <c r="C757" t="str">
        <v>https://dongda.hanoi.gov.vn/phuong-van-mieu</v>
      </c>
      <c r="D757" t="str">
        <v>-</v>
      </c>
      <c r="E757" t="str">
        <v>-</v>
      </c>
      <c r="F757" t="str">
        <v>-</v>
      </c>
      <c r="G757" t="str">
        <v>-</v>
      </c>
    </row>
    <row r="758">
      <c r="A758">
        <v>757</v>
      </c>
      <c r="B758">
        <f>HYPERLINK("https://www.facebook.com/doanthanhnien.1956/", "Công an phường Quốc Tử Giám  thành phố Hà Nội")</f>
      </c>
      <c r="C758" t="str">
        <v>https://www.facebook.com/doanthanhnien.1956/</v>
      </c>
      <c r="D758" t="str">
        <v>-</v>
      </c>
      <c r="E758" t="str">
        <v/>
      </c>
      <c r="F758" t="str">
        <v>-</v>
      </c>
      <c r="G758" t="str">
        <v>-</v>
      </c>
    </row>
    <row r="759">
      <c r="A759">
        <v>758</v>
      </c>
      <c r="B759">
        <f>HYPERLINK("https://dongda.hanoi.gov.vn/phuong-quoc-tu-giam", "UBND Ủy ban nhân dân phường Quốc Tử Giám  thành phố Hà Nội")</f>
      </c>
      <c r="C759" t="str">
        <v>https://dongda.hanoi.gov.vn/phuong-quoc-tu-giam</v>
      </c>
      <c r="D759" t="str">
        <v>-</v>
      </c>
      <c r="E759" t="str">
        <v>-</v>
      </c>
      <c r="F759" t="str">
        <v>-</v>
      </c>
      <c r="G759" t="str">
        <v>-</v>
      </c>
    </row>
    <row r="760">
      <c r="A760">
        <v>759</v>
      </c>
      <c r="B760" t="str">
        <v>Công an phường Láng Thượng  thành phố Hà Nội</v>
      </c>
      <c r="C760" t="str">
        <v>-</v>
      </c>
      <c r="D760" t="str">
        <v>-</v>
      </c>
      <c r="E760" t="str">
        <v/>
      </c>
      <c r="F760" t="str">
        <v>-</v>
      </c>
      <c r="G760" t="str">
        <v>-</v>
      </c>
    </row>
    <row r="761">
      <c r="A761">
        <v>760</v>
      </c>
      <c r="B761">
        <f>HYPERLINK("https://dongda.hanoi.gov.vn/phuong-lang-thuong", "UBND Ủy ban nhân dân phường Láng Thượng  thành phố Hà Nội")</f>
      </c>
      <c r="C761" t="str">
        <v>https://dongda.hanoi.gov.vn/phuong-lang-thuong</v>
      </c>
      <c r="D761" t="str">
        <v>-</v>
      </c>
      <c r="E761" t="str">
        <v>-</v>
      </c>
      <c r="F761" t="str">
        <v>-</v>
      </c>
      <c r="G761" t="str">
        <v>-</v>
      </c>
    </row>
    <row r="762">
      <c r="A762">
        <v>761</v>
      </c>
      <c r="B762" t="str">
        <v>Công an phường Ô Chợ Dừa  thành phố Hà Nội</v>
      </c>
      <c r="C762" t="str">
        <v>-</v>
      </c>
      <c r="D762" t="str">
        <v>-</v>
      </c>
      <c r="E762" t="str">
        <v/>
      </c>
      <c r="F762" t="str">
        <v>-</v>
      </c>
      <c r="G762" t="str">
        <v>-</v>
      </c>
    </row>
    <row r="763">
      <c r="A763">
        <v>762</v>
      </c>
      <c r="B763">
        <f>HYPERLINK("https://dongda.hanoi.gov.vn/phuong-o-cho-dua", "UBND Ủy ban nhân dân phường Ô Chợ Dừa  thành phố Hà Nội")</f>
      </c>
      <c r="C763" t="str">
        <v>https://dongda.hanoi.gov.vn/phuong-o-cho-dua</v>
      </c>
      <c r="D763" t="str">
        <v>-</v>
      </c>
      <c r="E763" t="str">
        <v>-</v>
      </c>
      <c r="F763" t="str">
        <v>-</v>
      </c>
      <c r="G763" t="str">
        <v>-</v>
      </c>
    </row>
    <row r="764">
      <c r="A764">
        <v>763</v>
      </c>
      <c r="B764">
        <f>HYPERLINK("https://www.facebook.com/1405696862973883", "Công an phường Văn Chương  thành phố Hà Nội")</f>
      </c>
      <c r="C764" t="str">
        <v>https://www.facebook.com/1405696862973883</v>
      </c>
      <c r="D764" t="str">
        <v>-</v>
      </c>
      <c r="E764" t="str">
        <v/>
      </c>
      <c r="F764" t="str">
        <v>-</v>
      </c>
      <c r="G764" t="str">
        <v>-</v>
      </c>
    </row>
    <row r="765">
      <c r="A765">
        <v>764</v>
      </c>
      <c r="B765">
        <f>HYPERLINK("https://dongda.hanoi.gov.vn/phuong-van-chuong", "UBND Ủy ban nhân dân phường Văn Chương  thành phố Hà Nội")</f>
      </c>
      <c r="C765" t="str">
        <v>https://dongda.hanoi.gov.vn/phuong-van-chuong</v>
      </c>
      <c r="D765" t="str">
        <v>-</v>
      </c>
      <c r="E765" t="str">
        <v>-</v>
      </c>
      <c r="F765" t="str">
        <v>-</v>
      </c>
      <c r="G765" t="str">
        <v>-</v>
      </c>
    </row>
    <row r="766">
      <c r="A766">
        <v>765</v>
      </c>
      <c r="B766" t="str">
        <v>Công an phường Hàng Bột  thành phố Hà Nội</v>
      </c>
      <c r="C766" t="str">
        <v>-</v>
      </c>
      <c r="D766" t="str">
        <v>-</v>
      </c>
      <c r="E766" t="str">
        <v/>
      </c>
      <c r="F766" t="str">
        <v>-</v>
      </c>
      <c r="G766" t="str">
        <v>-</v>
      </c>
    </row>
    <row r="767">
      <c r="A767">
        <v>766</v>
      </c>
      <c r="B767">
        <f>HYPERLINK("https://dongda.hanoi.gov.vn/phuong-hang-bot", "UBND Ủy ban nhân dân phường Hàng Bột  thành phố Hà Nội")</f>
      </c>
      <c r="C767" t="str">
        <v>https://dongda.hanoi.gov.vn/phuong-hang-bot</v>
      </c>
      <c r="D767" t="str">
        <v>-</v>
      </c>
      <c r="E767" t="str">
        <v>-</v>
      </c>
      <c r="F767" t="str">
        <v>-</v>
      </c>
      <c r="G767" t="str">
        <v>-</v>
      </c>
    </row>
    <row r="768">
      <c r="A768">
        <v>767</v>
      </c>
      <c r="B768" t="str">
        <v>Công an phường Láng Hạ  thành phố Hà Nội</v>
      </c>
      <c r="C768" t="str">
        <v>-</v>
      </c>
      <c r="D768" t="str">
        <v>-</v>
      </c>
      <c r="E768" t="str">
        <v/>
      </c>
      <c r="F768" t="str">
        <v>-</v>
      </c>
      <c r="G768" t="str">
        <v>-</v>
      </c>
    </row>
    <row r="769">
      <c r="A769">
        <v>768</v>
      </c>
      <c r="B769">
        <f>HYPERLINK("https://dongda.hanoi.gov.vn/phuong-lang-ha", "UBND Ủy ban nhân dân phường Láng Hạ  thành phố Hà Nội")</f>
      </c>
      <c r="C769" t="str">
        <v>https://dongda.hanoi.gov.vn/phuong-lang-ha</v>
      </c>
      <c r="D769" t="str">
        <v>-</v>
      </c>
      <c r="E769" t="str">
        <v>-</v>
      </c>
      <c r="F769" t="str">
        <v>-</v>
      </c>
      <c r="G769" t="str">
        <v>-</v>
      </c>
    </row>
    <row r="770">
      <c r="A770">
        <v>769</v>
      </c>
      <c r="B770" t="str">
        <v>Công an phường Khâm Thiên  thành phố Hà Nội</v>
      </c>
      <c r="C770" t="str">
        <v>-</v>
      </c>
      <c r="D770" t="str">
        <v>-</v>
      </c>
      <c r="E770" t="str">
        <v/>
      </c>
      <c r="F770" t="str">
        <v>-</v>
      </c>
      <c r="G770" t="str">
        <v>-</v>
      </c>
    </row>
    <row r="771">
      <c r="A771">
        <v>770</v>
      </c>
      <c r="B771">
        <f>HYPERLINK("https://dongda.hanoi.gov.vn/phuong-kham-thien", "UBND Ủy ban nhân dân phường Khâm Thiên  thành phố Hà Nội")</f>
      </c>
      <c r="C771" t="str">
        <v>https://dongda.hanoi.gov.vn/phuong-kham-thien</v>
      </c>
      <c r="D771" t="str">
        <v>-</v>
      </c>
      <c r="E771" t="str">
        <v>-</v>
      </c>
      <c r="F771" t="str">
        <v>-</v>
      </c>
      <c r="G771" t="str">
        <v>-</v>
      </c>
    </row>
    <row r="772">
      <c r="A772">
        <v>771</v>
      </c>
      <c r="B772" t="str">
        <v>Công an phường Thổ Quan  thành phố Hà Nội</v>
      </c>
      <c r="C772" t="str">
        <v>-</v>
      </c>
      <c r="D772" t="str">
        <v>-</v>
      </c>
      <c r="E772" t="str">
        <v/>
      </c>
      <c r="F772" t="str">
        <v>-</v>
      </c>
      <c r="G772" t="str">
        <v>-</v>
      </c>
    </row>
    <row r="773">
      <c r="A773">
        <v>772</v>
      </c>
      <c r="B773">
        <f>HYPERLINK("https://dongda.hanoi.gov.vn/phuong-tho-quan", "UBND Ủy ban nhân dân phường Thổ Quan  thành phố Hà Nội")</f>
      </c>
      <c r="C773" t="str">
        <v>https://dongda.hanoi.gov.vn/phuong-tho-quan</v>
      </c>
      <c r="D773" t="str">
        <v>-</v>
      </c>
      <c r="E773" t="str">
        <v>-</v>
      </c>
      <c r="F773" t="str">
        <v>-</v>
      </c>
      <c r="G773" t="str">
        <v>-</v>
      </c>
    </row>
    <row r="774">
      <c r="A774">
        <v>773</v>
      </c>
      <c r="B774">
        <f>HYPERLINK("https://www.facebook.com/p/C%C3%B4ng-an-Ph%C6%B0%E1%BB%9Dng-Nam-%C4%90%E1%BB%93ng-Th%C3%A0nh-Ph%E1%BB%91-H%E1%BA%A3i-D%C6%B0%C6%A1ng-100069444347092/", "Công an phường Nam Đồng  thành phố Hà Nội")</f>
      </c>
      <c r="C774" t="str">
        <v>https://www.facebook.com/p/C%C3%B4ng-an-Ph%C6%B0%E1%BB%9Dng-Nam-%C4%90%E1%BB%93ng-Th%C3%A0nh-Ph%E1%BB%91-H%E1%BA%A3i-D%C6%B0%C6%A1ng-100069444347092/</v>
      </c>
      <c r="D774" t="str">
        <v>-</v>
      </c>
      <c r="E774" t="str">
        <v/>
      </c>
      <c r="F774" t="str">
        <v>-</v>
      </c>
      <c r="G774" t="str">
        <v>-</v>
      </c>
    </row>
    <row r="775">
      <c r="A775">
        <v>774</v>
      </c>
      <c r="B775">
        <f>HYPERLINK("https://dongda.hanoi.gov.vn/phuong-nam-ong", "UBND Ủy ban nhân dân phường Nam Đồng  thành phố Hà Nội")</f>
      </c>
      <c r="C775" t="str">
        <v>https://dongda.hanoi.gov.vn/phuong-nam-ong</v>
      </c>
      <c r="D775" t="str">
        <v>-</v>
      </c>
      <c r="E775" t="str">
        <v>-</v>
      </c>
      <c r="F775" t="str">
        <v>-</v>
      </c>
      <c r="G775" t="str">
        <v>-</v>
      </c>
    </row>
    <row r="776">
      <c r="A776">
        <v>775</v>
      </c>
      <c r="B776">
        <f>HYPERLINK("https://www.facebook.com/doanthanhnien.1956/", "Công an phường Trung Phụng  thành phố Hà Nội")</f>
      </c>
      <c r="C776" t="str">
        <v>https://www.facebook.com/doanthanhnien.1956/</v>
      </c>
      <c r="D776" t="str">
        <v>-</v>
      </c>
      <c r="E776" t="str">
        <v/>
      </c>
      <c r="F776" t="str">
        <v>-</v>
      </c>
      <c r="G776" t="str">
        <v>-</v>
      </c>
    </row>
    <row r="777">
      <c r="A777">
        <v>776</v>
      </c>
      <c r="B777">
        <f>HYPERLINK("https://dongda.hanoi.gov.vn/phuong-trung-phung", "UBND Ủy ban nhân dân phường Trung Phụng  thành phố Hà Nội")</f>
      </c>
      <c r="C777" t="str">
        <v>https://dongda.hanoi.gov.vn/phuong-trung-phung</v>
      </c>
      <c r="D777" t="str">
        <v>-</v>
      </c>
      <c r="E777" t="str">
        <v>-</v>
      </c>
      <c r="F777" t="str">
        <v>-</v>
      </c>
      <c r="G777" t="str">
        <v>-</v>
      </c>
    </row>
    <row r="778">
      <c r="A778">
        <v>777</v>
      </c>
      <c r="B778" t="str">
        <v>Công an phường Quang Trung  thành phố Hà Nội</v>
      </c>
      <c r="C778" t="str">
        <v>-</v>
      </c>
      <c r="D778" t="str">
        <v>-</v>
      </c>
      <c r="E778" t="str">
        <v/>
      </c>
      <c r="F778" t="str">
        <v>-</v>
      </c>
      <c r="G778" t="str">
        <v>-</v>
      </c>
    </row>
    <row r="779">
      <c r="A779">
        <v>778</v>
      </c>
      <c r="B779">
        <f>HYPERLINK("http://quangtrung.hadong.hanoi.gov.vn/lien-he-phuong", "UBND Ủy ban nhân dân phường Quang Trung  thành phố Hà Nội")</f>
      </c>
      <c r="C779" t="str">
        <v>http://quangtrung.hadong.hanoi.gov.vn/lien-he-phuong</v>
      </c>
      <c r="D779" t="str">
        <v>-</v>
      </c>
      <c r="E779" t="str">
        <v>-</v>
      </c>
      <c r="F779" t="str">
        <v>-</v>
      </c>
      <c r="G779" t="str">
        <v>-</v>
      </c>
    </row>
    <row r="780">
      <c r="A780">
        <v>779</v>
      </c>
      <c r="B780">
        <f>HYPERLINK("https://www.facebook.com/p/Tu%E1%BB%95i-Tr%E1%BA%BB-Trung-Li%E1%BB%87t-100044744632890/", "Công an phường Trung Liệt  thành phố Hà Nội")</f>
      </c>
      <c r="C780" t="str">
        <v>https://www.facebook.com/p/Tu%E1%BB%95i-Tr%E1%BA%BB-Trung-Li%E1%BB%87t-100044744632890/</v>
      </c>
      <c r="D780" t="str">
        <v>-</v>
      </c>
      <c r="E780" t="str">
        <v/>
      </c>
      <c r="F780" t="str">
        <v>-</v>
      </c>
      <c r="G780" t="str">
        <v>-</v>
      </c>
    </row>
    <row r="781">
      <c r="A781">
        <v>780</v>
      </c>
      <c r="B781">
        <f>HYPERLINK("https://dongda.hanoi.gov.vn/phuong-trung-liet", "UBND Ủy ban nhân dân phường Trung Liệt  thành phố Hà Nội")</f>
      </c>
      <c r="C781" t="str">
        <v>https://dongda.hanoi.gov.vn/phuong-trung-liet</v>
      </c>
      <c r="D781" t="str">
        <v>-</v>
      </c>
      <c r="E781" t="str">
        <v>-</v>
      </c>
      <c r="F781" t="str">
        <v>-</v>
      </c>
      <c r="G781" t="str">
        <v>-</v>
      </c>
    </row>
    <row r="782">
      <c r="A782">
        <v>781</v>
      </c>
      <c r="B782">
        <f>HYPERLINK("https://www.facebook.com/p/Tu%E1%BB%95i-tr%E1%BA%BB-C%C3%B4ng-an-Th%C3%A0nh-ph%E1%BB%91-V%C4%A9nh-Y%C3%AAn-100066497717181/", "Công an phường Phương Liên  thành phố Hà Nội")</f>
      </c>
      <c r="C782" t="str">
        <v>https://www.facebook.com/p/Tu%E1%BB%95i-tr%E1%BA%BB-C%C3%B4ng-an-Th%C3%A0nh-ph%E1%BB%91-V%C4%A9nh-Y%C3%AAn-100066497717181/</v>
      </c>
      <c r="D782" t="str">
        <v>-</v>
      </c>
      <c r="E782" t="str">
        <v/>
      </c>
      <c r="F782" t="str">
        <v>-</v>
      </c>
      <c r="G782" t="str">
        <v>-</v>
      </c>
    </row>
    <row r="783">
      <c r="A783">
        <v>782</v>
      </c>
      <c r="B783">
        <f>HYPERLINK("https://dongda.hanoi.gov.vn/phuong-phuong-lien", "UBND Ủy ban nhân dân phường Phương Liên  thành phố Hà Nội")</f>
      </c>
      <c r="C783" t="str">
        <v>https://dongda.hanoi.gov.vn/phuong-phuong-lien</v>
      </c>
      <c r="D783" t="str">
        <v>-</v>
      </c>
      <c r="E783" t="str">
        <v>-</v>
      </c>
      <c r="F783" t="str">
        <v>-</v>
      </c>
      <c r="G783" t="str">
        <v>-</v>
      </c>
    </row>
    <row r="784">
      <c r="A784">
        <v>783</v>
      </c>
      <c r="B784" t="str">
        <v>Công an phường Thịnh Quang  thành phố Hà Nội</v>
      </c>
      <c r="C784" t="str">
        <v>-</v>
      </c>
      <c r="D784" t="str">
        <v>-</v>
      </c>
      <c r="E784" t="str">
        <v/>
      </c>
      <c r="F784" t="str">
        <v>-</v>
      </c>
      <c r="G784" t="str">
        <v>-</v>
      </c>
    </row>
    <row r="785">
      <c r="A785">
        <v>784</v>
      </c>
      <c r="B785">
        <f>HYPERLINK("https://thinhquang.dongda.hanoi.gov.vn/uy-ban-nhan-dan", "UBND Ủy ban nhân dân phường Thịnh Quang  thành phố Hà Nội")</f>
      </c>
      <c r="C785" t="str">
        <v>https://thinhquang.dongda.hanoi.gov.vn/uy-ban-nhan-dan</v>
      </c>
      <c r="D785" t="str">
        <v>-</v>
      </c>
      <c r="E785" t="str">
        <v>-</v>
      </c>
      <c r="F785" t="str">
        <v>-</v>
      </c>
      <c r="G785" t="str">
        <v>-</v>
      </c>
    </row>
    <row r="786">
      <c r="A786">
        <v>785</v>
      </c>
      <c r="B786">
        <f>HYPERLINK("https://www.facebook.com/doanthanhnien.1956/", "Công an phường Trung Tự  thành phố Hà Nội")</f>
      </c>
      <c r="C786" t="str">
        <v>https://www.facebook.com/doanthanhnien.1956/</v>
      </c>
      <c r="D786" t="str">
        <v>-</v>
      </c>
      <c r="E786" t="str">
        <v/>
      </c>
      <c r="F786" t="str">
        <v>-</v>
      </c>
      <c r="G786" t="str">
        <v>-</v>
      </c>
    </row>
    <row r="787">
      <c r="A787">
        <v>786</v>
      </c>
      <c r="B787">
        <f>HYPERLINK("https://dongda.hanoi.gov.vn/phuong-trung-tu", "UBND Ủy ban nhân dân phường Trung Tự  thành phố Hà Nội")</f>
      </c>
      <c r="C787" t="str">
        <v>https://dongda.hanoi.gov.vn/phuong-trung-tu</v>
      </c>
      <c r="D787" t="str">
        <v>-</v>
      </c>
      <c r="E787" t="str">
        <v>-</v>
      </c>
      <c r="F787" t="str">
        <v>-</v>
      </c>
      <c r="G787" t="str">
        <v>-</v>
      </c>
    </row>
    <row r="788">
      <c r="A788">
        <v>787</v>
      </c>
      <c r="B788" t="str">
        <v>Công an phường Kim Liên  thành phố Hà Nội</v>
      </c>
      <c r="C788" t="str">
        <v>-</v>
      </c>
      <c r="D788" t="str">
        <v>-</v>
      </c>
      <c r="E788" t="str">
        <v/>
      </c>
      <c r="F788" t="str">
        <v>-</v>
      </c>
      <c r="G788" t="str">
        <v>-</v>
      </c>
    </row>
    <row r="789">
      <c r="A789">
        <v>788</v>
      </c>
      <c r="B789">
        <f>HYPERLINK("https://kimlien.dongda.hanoi.gov.vn/", "UBND Ủy ban nhân dân phường Kim Liên  thành phố Hà Nội")</f>
      </c>
      <c r="C789" t="str">
        <v>https://kimlien.dongda.hanoi.gov.vn/</v>
      </c>
      <c r="D789" t="str">
        <v>-</v>
      </c>
      <c r="E789" t="str">
        <v>-</v>
      </c>
      <c r="F789" t="str">
        <v>-</v>
      </c>
      <c r="G789" t="str">
        <v>-</v>
      </c>
    </row>
    <row r="790">
      <c r="A790">
        <v>789</v>
      </c>
      <c r="B790" t="str">
        <v>Công an phường Phương Mai  thành phố Hà Nội</v>
      </c>
      <c r="C790" t="str">
        <v>-</v>
      </c>
      <c r="D790" t="str">
        <v>-</v>
      </c>
      <c r="E790" t="str">
        <v/>
      </c>
      <c r="F790" t="str">
        <v>-</v>
      </c>
      <c r="G790" t="str">
        <v>-</v>
      </c>
    </row>
    <row r="791">
      <c r="A791">
        <v>790</v>
      </c>
      <c r="B791">
        <f>HYPERLINK("https://phuongmai.dongda.hanoi.gov.vn/", "UBND Ủy ban nhân dân phường Phương Mai  thành phố Hà Nội")</f>
      </c>
      <c r="C791" t="str">
        <v>https://phuongmai.dongda.hanoi.gov.vn/</v>
      </c>
      <c r="D791" t="str">
        <v>-</v>
      </c>
      <c r="E791" t="str">
        <v>-</v>
      </c>
      <c r="F791" t="str">
        <v>-</v>
      </c>
      <c r="G791" t="str">
        <v>-</v>
      </c>
    </row>
    <row r="792">
      <c r="A792">
        <v>791</v>
      </c>
      <c r="B792" t="str">
        <v>Công an phường Ngã Tư Sở  thành phố Hà Nội</v>
      </c>
      <c r="C792" t="str">
        <v>-</v>
      </c>
      <c r="D792" t="str">
        <v>-</v>
      </c>
      <c r="E792" t="str">
        <v/>
      </c>
      <c r="F792" t="str">
        <v>-</v>
      </c>
      <c r="G792" t="str">
        <v>-</v>
      </c>
    </row>
    <row r="793">
      <c r="A793">
        <v>792</v>
      </c>
      <c r="B793">
        <f>HYPERLINK("https://dongda.hanoi.gov.vn/phuong-nga-tu-so", "UBND Ủy ban nhân dân phường Ngã Tư Sở  thành phố Hà Nội")</f>
      </c>
      <c r="C793" t="str">
        <v>https://dongda.hanoi.gov.vn/phuong-nga-tu-so</v>
      </c>
      <c r="D793" t="str">
        <v>-</v>
      </c>
      <c r="E793" t="str">
        <v>-</v>
      </c>
      <c r="F793" t="str">
        <v>-</v>
      </c>
      <c r="G793" t="str">
        <v>-</v>
      </c>
    </row>
    <row r="794">
      <c r="A794">
        <v>793</v>
      </c>
      <c r="B794" t="str">
        <v>Công an phường Khương Thượng  thành phố Hà Nội</v>
      </c>
      <c r="C794" t="str">
        <v>-</v>
      </c>
      <c r="D794" t="str">
        <v>-</v>
      </c>
      <c r="E794" t="str">
        <v/>
      </c>
      <c r="F794" t="str">
        <v>-</v>
      </c>
      <c r="G794" t="str">
        <v>-</v>
      </c>
    </row>
    <row r="795">
      <c r="A795">
        <v>794</v>
      </c>
      <c r="B795">
        <f>HYPERLINK("https://dongda.hanoi.gov.vn/phuong-khuong-thuong", "UBND Ủy ban nhân dân phường Khương Thượng  thành phố Hà Nội")</f>
      </c>
      <c r="C795" t="str">
        <v>https://dongda.hanoi.gov.vn/phuong-khuong-thuong</v>
      </c>
      <c r="D795" t="str">
        <v>-</v>
      </c>
      <c r="E795" t="str">
        <v>-</v>
      </c>
      <c r="F795" t="str">
        <v>-</v>
      </c>
      <c r="G795" t="str">
        <v>-</v>
      </c>
    </row>
    <row r="796">
      <c r="A796">
        <v>795</v>
      </c>
      <c r="B796" t="str">
        <v>Công an phường Nguyễn Du  thành phố Hà Nội</v>
      </c>
      <c r="C796" t="str">
        <v>-</v>
      </c>
      <c r="D796" t="str">
        <v>-</v>
      </c>
      <c r="E796" t="str">
        <v/>
      </c>
      <c r="F796" t="str">
        <v>-</v>
      </c>
      <c r="G796" t="str">
        <v>-</v>
      </c>
    </row>
    <row r="797">
      <c r="A797">
        <v>796</v>
      </c>
      <c r="B797">
        <f>HYPERLINK("https://nguyendu.haibatrung.hanoi.gov.vn/", "UBND Ủy ban nhân dân phường Nguyễn Du  thành phố Hà Nội")</f>
      </c>
      <c r="C797" t="str">
        <v>https://nguyendu.haibatrung.hanoi.gov.vn/</v>
      </c>
      <c r="D797" t="str">
        <v>-</v>
      </c>
      <c r="E797" t="str">
        <v>-</v>
      </c>
      <c r="F797" t="str">
        <v>-</v>
      </c>
      <c r="G797" t="str">
        <v>-</v>
      </c>
    </row>
    <row r="798">
      <c r="A798">
        <v>797</v>
      </c>
      <c r="B798" t="str">
        <v>Công an phường Bạch Đằng  thành phố Hà Nội</v>
      </c>
      <c r="C798" t="str">
        <v>-</v>
      </c>
      <c r="D798" t="str">
        <v>-</v>
      </c>
      <c r="E798" t="str">
        <v/>
      </c>
      <c r="F798" t="str">
        <v>-</v>
      </c>
      <c r="G798" t="str">
        <v>-</v>
      </c>
    </row>
    <row r="799">
      <c r="A799">
        <v>798</v>
      </c>
      <c r="B799">
        <f>HYPERLINK("https://bachdang.haibatrung.hanoi.gov.vn/", "UBND Ủy ban nhân dân phường Bạch Đằng  thành phố Hà Nội")</f>
      </c>
      <c r="C799" t="str">
        <v>https://bachdang.haibatrung.hanoi.gov.vn/</v>
      </c>
      <c r="D799" t="str">
        <v>-</v>
      </c>
      <c r="E799" t="str">
        <v>-</v>
      </c>
      <c r="F799" t="str">
        <v>-</v>
      </c>
      <c r="G799" t="str">
        <v>-</v>
      </c>
    </row>
    <row r="800">
      <c r="A800">
        <v>799</v>
      </c>
      <c r="B800" t="str">
        <v>Công an phường Phạm Đình Hổ  thành phố Hà Nội</v>
      </c>
      <c r="C800" t="str">
        <v>-</v>
      </c>
      <c r="D800" t="str">
        <v>-</v>
      </c>
      <c r="E800" t="str">
        <v/>
      </c>
      <c r="F800" t="str">
        <v>-</v>
      </c>
      <c r="G800" t="str">
        <v>-</v>
      </c>
    </row>
    <row r="801">
      <c r="A801">
        <v>800</v>
      </c>
      <c r="B801">
        <f>HYPERLINK("https://phamdinhho.haibatrung.hanoi.gov.vn/", "UBND Ủy ban nhân dân phường Phạm Đình Hổ  thành phố Hà Nội")</f>
      </c>
      <c r="C801" t="str">
        <v>https://phamdinhho.haibatrung.hanoi.gov.vn/</v>
      </c>
      <c r="D801" t="str">
        <v>-</v>
      </c>
      <c r="E801" t="str">
        <v>-</v>
      </c>
      <c r="F801" t="str">
        <v>-</v>
      </c>
      <c r="G801" t="str">
        <v>-</v>
      </c>
    </row>
    <row r="802">
      <c r="A802">
        <v>801</v>
      </c>
      <c r="B802">
        <f>HYPERLINK("https://www.facebook.com/AmadoraOfficial/?locale=ru_RU", "Công an phường Bùi Thị Xuân  thành phố Hà Nội")</f>
      </c>
      <c r="C802" t="str">
        <v>https://www.facebook.com/AmadoraOfficial/?locale=ru_RU</v>
      </c>
      <c r="D802" t="str">
        <v>-</v>
      </c>
      <c r="E802" t="str">
        <v/>
      </c>
      <c r="F802" t="str">
        <v>-</v>
      </c>
      <c r="G802" t="str">
        <v>-</v>
      </c>
    </row>
    <row r="803">
      <c r="A803">
        <v>802</v>
      </c>
      <c r="B803">
        <f>HYPERLINK("http://buithixuan.quynhon.binhdinh.gov.vn/", "UBND Ủy ban nhân dân phường Bùi Thị Xuân  thành phố Hà Nội")</f>
      </c>
      <c r="C803" t="str">
        <v>http://buithixuan.quynhon.binhdinh.gov.vn/</v>
      </c>
      <c r="D803" t="str">
        <v>-</v>
      </c>
      <c r="E803" t="str">
        <v>-</v>
      </c>
      <c r="F803" t="str">
        <v>-</v>
      </c>
      <c r="G803" t="str">
        <v>-</v>
      </c>
    </row>
    <row r="804">
      <c r="A804">
        <v>803</v>
      </c>
      <c r="B804" t="str">
        <v>Công an phường Ngô Thì Nhậm  thành phố Hà Nội</v>
      </c>
      <c r="C804" t="str">
        <v>-</v>
      </c>
      <c r="D804" t="str">
        <v>-</v>
      </c>
      <c r="E804" t="str">
        <v/>
      </c>
      <c r="F804" t="str">
        <v>-</v>
      </c>
      <c r="G804" t="str">
        <v>-</v>
      </c>
    </row>
    <row r="805">
      <c r="A805">
        <v>804</v>
      </c>
      <c r="B805">
        <f>HYPERLINK("http://hacau.hadong.hanoi.gov.vn/ke-hoach-chuc-bau-cu-truong-dan-pho-nhiem-ky-2023-2025-tai-cac-dan-pho-cau-do-3-cau-do-4-cau-do-5-ha", "UBND Ủy ban nhân dân phường Ngô Thì Nhậm  thành phố Hà Nội")</f>
      </c>
      <c r="C805" t="str">
        <v>http://hacau.hadong.hanoi.gov.vn/ke-hoach-chuc-bau-cu-truong-dan-pho-nhiem-ky-2023-2025-tai-cac-dan-pho-cau-do-3-cau-do-4-cau-do-5-ha</v>
      </c>
      <c r="D805" t="str">
        <v>-</v>
      </c>
      <c r="E805" t="str">
        <v>-</v>
      </c>
      <c r="F805" t="str">
        <v>-</v>
      </c>
      <c r="G805" t="str">
        <v>-</v>
      </c>
    </row>
    <row r="806">
      <c r="A806">
        <v>805</v>
      </c>
      <c r="B806" t="str">
        <v>Công an phường Lê Đại Hành  thành phố Hà Nội</v>
      </c>
      <c r="C806" t="str">
        <v>-</v>
      </c>
      <c r="D806" t="str">
        <v>-</v>
      </c>
      <c r="E806" t="str">
        <v/>
      </c>
      <c r="F806" t="str">
        <v>-</v>
      </c>
      <c r="G806" t="str">
        <v>-</v>
      </c>
    </row>
    <row r="807">
      <c r="A807">
        <v>806</v>
      </c>
      <c r="B807">
        <f>HYPERLINK("https://ledaihanh.haibatrung.hanoi.gov.vn/", "UBND Ủy ban nhân dân phường Lê Đại Hành  thành phố Hà Nội")</f>
      </c>
      <c r="C807" t="str">
        <v>https://ledaihanh.haibatrung.hanoi.gov.vn/</v>
      </c>
      <c r="D807" t="str">
        <v>-</v>
      </c>
      <c r="E807" t="str">
        <v>-</v>
      </c>
      <c r="F807" t="str">
        <v>-</v>
      </c>
      <c r="G807" t="str">
        <v>-</v>
      </c>
    </row>
    <row r="808">
      <c r="A808">
        <v>807</v>
      </c>
      <c r="B808">
        <f>HYPERLINK("https://www.facebook.com/doanthanhnien.1956/", "Công an phường Đồng Nhân  thành phố Hà Nội")</f>
      </c>
      <c r="C808" t="str">
        <v>https://www.facebook.com/doanthanhnien.1956/</v>
      </c>
      <c r="D808" t="str">
        <v>-</v>
      </c>
      <c r="E808" t="str">
        <v/>
      </c>
      <c r="F808" t="str">
        <v>-</v>
      </c>
      <c r="G808" t="str">
        <v>-</v>
      </c>
    </row>
    <row r="809">
      <c r="A809">
        <v>808</v>
      </c>
      <c r="B809">
        <f>HYPERLINK("https://dongnhan.haibatrung.hanoi.gov.vn/", "UBND Ủy ban nhân dân phường Đồng Nhân  thành phố Hà Nội")</f>
      </c>
      <c r="C809" t="str">
        <v>https://dongnhan.haibatrung.hanoi.gov.vn/</v>
      </c>
      <c r="D809" t="str">
        <v>-</v>
      </c>
      <c r="E809" t="str">
        <v>-</v>
      </c>
      <c r="F809" t="str">
        <v>-</v>
      </c>
      <c r="G809" t="str">
        <v>-</v>
      </c>
    </row>
    <row r="810">
      <c r="A810">
        <v>809</v>
      </c>
      <c r="B810">
        <f>HYPERLINK("https://www.facebook.com/doanthanhnien.1956/", "Công an phường Phố Huế  thành phố Hà Nội")</f>
      </c>
      <c r="C810" t="str">
        <v>https://www.facebook.com/doanthanhnien.1956/</v>
      </c>
      <c r="D810" t="str">
        <v>-</v>
      </c>
      <c r="E810" t="str">
        <v/>
      </c>
      <c r="F810" t="str">
        <v>-</v>
      </c>
      <c r="G810" t="str">
        <v>-</v>
      </c>
    </row>
    <row r="811">
      <c r="A811">
        <v>810</v>
      </c>
      <c r="B811">
        <f>HYPERLINK("https://phohue.haibatrung.hanoi.gov.vn/", "UBND Ủy ban nhân dân phường Phố Huế  thành phố Hà Nội")</f>
      </c>
      <c r="C811" t="str">
        <v>https://phohue.haibatrung.hanoi.gov.vn/</v>
      </c>
      <c r="D811" t="str">
        <v>-</v>
      </c>
      <c r="E811" t="str">
        <v>-</v>
      </c>
      <c r="F811" t="str">
        <v>-</v>
      </c>
      <c r="G811" t="str">
        <v>-</v>
      </c>
    </row>
    <row r="812">
      <c r="A812">
        <v>811</v>
      </c>
      <c r="B812">
        <f>HYPERLINK("https://www.facebook.com/tuoitreconganquanhadong/", "Công an phường Đống Mác  thành phố Hà Nội")</f>
      </c>
      <c r="C812" t="str">
        <v>https://www.facebook.com/tuoitreconganquanhadong/</v>
      </c>
      <c r="D812" t="str">
        <v>-</v>
      </c>
      <c r="E812" t="str">
        <v/>
      </c>
      <c r="F812" t="str">
        <v>-</v>
      </c>
      <c r="G812" t="str">
        <v>-</v>
      </c>
    </row>
    <row r="813">
      <c r="A813">
        <v>812</v>
      </c>
      <c r="B813">
        <f>HYPERLINK("https://dongmac.haibatrung.hanoi.gov.vn/", "UBND Ủy ban nhân dân phường Đống Mác  thành phố Hà Nội")</f>
      </c>
      <c r="C813" t="str">
        <v>https://dongmac.haibatrung.hanoi.gov.vn/</v>
      </c>
      <c r="D813" t="str">
        <v>-</v>
      </c>
      <c r="E813" t="str">
        <v>-</v>
      </c>
      <c r="F813" t="str">
        <v>-</v>
      </c>
      <c r="G813" t="str">
        <v>-</v>
      </c>
    </row>
    <row r="814">
      <c r="A814">
        <v>813</v>
      </c>
      <c r="B814">
        <f>HYPERLINK("https://www.facebook.com/doanthanhnien.1956/", "Công an phường Thanh Lương  thành phố Hà Nội")</f>
      </c>
      <c r="C814" t="str">
        <v>https://www.facebook.com/doanthanhnien.1956/</v>
      </c>
      <c r="D814" t="str">
        <v>-</v>
      </c>
      <c r="E814" t="str">
        <v/>
      </c>
      <c r="F814" t="str">
        <v>-</v>
      </c>
      <c r="G814" t="str">
        <v>-</v>
      </c>
    </row>
    <row r="815">
      <c r="A815">
        <v>814</v>
      </c>
      <c r="B815">
        <f>HYPERLINK("https://thanhluong.haibatrung.hanoi.gov.vn/", "UBND Ủy ban nhân dân phường Thanh Lương  thành phố Hà Nội")</f>
      </c>
      <c r="C815" t="str">
        <v>https://thanhluong.haibatrung.hanoi.gov.vn/</v>
      </c>
      <c r="D815" t="str">
        <v>-</v>
      </c>
      <c r="E815" t="str">
        <v>-</v>
      </c>
      <c r="F815" t="str">
        <v>-</v>
      </c>
      <c r="G815" t="str">
        <v>-</v>
      </c>
    </row>
    <row r="816">
      <c r="A816">
        <v>815</v>
      </c>
      <c r="B816">
        <f>HYPERLINK("https://www.facebook.com/1921034744704276", "Công an phường Thanh Nhàn  thành phố Hà Nội")</f>
      </c>
      <c r="C816" t="str">
        <v>https://www.facebook.com/1921034744704276</v>
      </c>
      <c r="D816" t="str">
        <v>-</v>
      </c>
      <c r="E816" t="str">
        <v/>
      </c>
      <c r="F816" t="str">
        <v>-</v>
      </c>
      <c r="G816" t="str">
        <v>-</v>
      </c>
    </row>
    <row r="817">
      <c r="A817">
        <v>816</v>
      </c>
      <c r="B817">
        <f>HYPERLINK("https://thanhnhan.haibatrung.hanoi.gov.vn/", "UBND Ủy ban nhân dân phường Thanh Nhàn  thành phố Hà Nội")</f>
      </c>
      <c r="C817" t="str">
        <v>https://thanhnhan.haibatrung.hanoi.gov.vn/</v>
      </c>
      <c r="D817" t="str">
        <v>-</v>
      </c>
      <c r="E817" t="str">
        <v>-</v>
      </c>
      <c r="F817" t="str">
        <v>-</v>
      </c>
      <c r="G817" t="str">
        <v>-</v>
      </c>
    </row>
    <row r="818">
      <c r="A818">
        <v>817</v>
      </c>
      <c r="B818" t="str">
        <v>Công an phường Cầu Dền  thành phố Hà Nội</v>
      </c>
      <c r="C818" t="str">
        <v>-</v>
      </c>
      <c r="D818" t="str">
        <v>-</v>
      </c>
      <c r="E818" t="str">
        <v/>
      </c>
      <c r="F818" t="str">
        <v>-</v>
      </c>
      <c r="G818" t="str">
        <v>-</v>
      </c>
    </row>
    <row r="819">
      <c r="A819">
        <v>818</v>
      </c>
      <c r="B819">
        <f>HYPERLINK("https://cauden.haibatrung.hanoi.gov.vn/", "UBND Ủy ban nhân dân phường Cầu Dền  thành phố Hà Nội")</f>
      </c>
      <c r="C819" t="str">
        <v>https://cauden.haibatrung.hanoi.gov.vn/</v>
      </c>
      <c r="D819" t="str">
        <v>-</v>
      </c>
      <c r="E819" t="str">
        <v>-</v>
      </c>
      <c r="F819" t="str">
        <v>-</v>
      </c>
      <c r="G819" t="str">
        <v>-</v>
      </c>
    </row>
    <row r="820">
      <c r="A820">
        <v>819</v>
      </c>
      <c r="B820">
        <f>HYPERLINK("https://www.facebook.com/doanthanhnien.1956/", "Công an phường Bách Khoa  thành phố Hà Nội")</f>
      </c>
      <c r="C820" t="str">
        <v>https://www.facebook.com/doanthanhnien.1956/</v>
      </c>
      <c r="D820" t="str">
        <v>-</v>
      </c>
      <c r="E820" t="str">
        <v/>
      </c>
      <c r="F820" t="str">
        <v>-</v>
      </c>
      <c r="G820" t="str">
        <v>-</v>
      </c>
    </row>
    <row r="821">
      <c r="A821">
        <v>820</v>
      </c>
      <c r="B821">
        <f>HYPERLINK("https://bachkhoa.haibatrung.hanoi.gov.vn/", "UBND Ủy ban nhân dân phường Bách Khoa  thành phố Hà Nội")</f>
      </c>
      <c r="C821" t="str">
        <v>https://bachkhoa.haibatrung.hanoi.gov.vn/</v>
      </c>
      <c r="D821" t="str">
        <v>-</v>
      </c>
      <c r="E821" t="str">
        <v>-</v>
      </c>
      <c r="F821" t="str">
        <v>-</v>
      </c>
      <c r="G821" t="str">
        <v>-</v>
      </c>
    </row>
    <row r="822">
      <c r="A822">
        <v>821</v>
      </c>
      <c r="B822">
        <f>HYPERLINK("https://www.facebook.com/tuoitreconganquanhadong/", "Công an phường Đồng Tâm  thành phố Hà Nội")</f>
      </c>
      <c r="C822" t="str">
        <v>https://www.facebook.com/tuoitreconganquanhadong/</v>
      </c>
      <c r="D822" t="str">
        <v>-</v>
      </c>
      <c r="E822" t="str">
        <v/>
      </c>
      <c r="F822" t="str">
        <v>-</v>
      </c>
      <c r="G822" t="str">
        <v>-</v>
      </c>
    </row>
    <row r="823">
      <c r="A823">
        <v>822</v>
      </c>
      <c r="B823">
        <f>HYPERLINK("https://dongtam.haibatrung.hanoi.gov.vn/", "UBND Ủy ban nhân dân phường Đồng Tâm  thành phố Hà Nội")</f>
      </c>
      <c r="C823" t="str">
        <v>https://dongtam.haibatrung.hanoi.gov.vn/</v>
      </c>
      <c r="D823" t="str">
        <v>-</v>
      </c>
      <c r="E823" t="str">
        <v>-</v>
      </c>
      <c r="F823" t="str">
        <v>-</v>
      </c>
      <c r="G823" t="str">
        <v>-</v>
      </c>
    </row>
    <row r="824">
      <c r="A824">
        <v>823</v>
      </c>
      <c r="B824">
        <f>HYPERLINK("https://www.facebook.com/p/Tu%E1%BB%95i-tr%E1%BA%BB-C%C3%B4ng-an-Th%C3%A0nh-ph%E1%BB%91-V%C4%A9nh-Y%C3%AAn-100066497717181/?locale=vi_VN", "Công an phường Vĩnh Tuy  thành phố Hà Nội")</f>
      </c>
      <c r="C824" t="str">
        <v>https://www.facebook.com/p/Tu%E1%BB%95i-tr%E1%BA%BB-C%C3%B4ng-an-Th%C3%A0nh-ph%E1%BB%91-V%C4%A9nh-Y%C3%AAn-100066497717181/?locale=vi_VN</v>
      </c>
      <c r="D824" t="str">
        <v>-</v>
      </c>
      <c r="E824" t="str">
        <v/>
      </c>
      <c r="F824" t="str">
        <v>-</v>
      </c>
      <c r="G824" t="str">
        <v>-</v>
      </c>
    </row>
    <row r="825">
      <c r="A825">
        <v>824</v>
      </c>
      <c r="B825">
        <f>HYPERLINK("https://vinhtuy.haibatrung.hanoi.gov.vn/", "UBND Ủy ban nhân dân phường Vĩnh Tuy  thành phố Hà Nội")</f>
      </c>
      <c r="C825" t="str">
        <v>https://vinhtuy.haibatrung.hanoi.gov.vn/</v>
      </c>
      <c r="D825" t="str">
        <v>-</v>
      </c>
      <c r="E825" t="str">
        <v>-</v>
      </c>
      <c r="F825" t="str">
        <v>-</v>
      </c>
      <c r="G825" t="str">
        <v>-</v>
      </c>
    </row>
    <row r="826">
      <c r="A826">
        <v>825</v>
      </c>
      <c r="B826" t="str">
        <v>Công an phường Bạch Mai  thành phố Hà Nội</v>
      </c>
      <c r="C826" t="str">
        <v>-</v>
      </c>
      <c r="D826" t="str">
        <v>-</v>
      </c>
      <c r="E826" t="str">
        <v/>
      </c>
      <c r="F826" t="str">
        <v>-</v>
      </c>
      <c r="G826" t="str">
        <v>-</v>
      </c>
    </row>
    <row r="827">
      <c r="A827">
        <v>826</v>
      </c>
      <c r="B827">
        <f>HYPERLINK("https://bachmai.haibatrung.hanoi.gov.vn/", "UBND Ủy ban nhân dân phường Bạch Mai  thành phố Hà Nội")</f>
      </c>
      <c r="C827" t="str">
        <v>https://bachmai.haibatrung.hanoi.gov.vn/</v>
      </c>
      <c r="D827" t="str">
        <v>-</v>
      </c>
      <c r="E827" t="str">
        <v>-</v>
      </c>
      <c r="F827" t="str">
        <v>-</v>
      </c>
      <c r="G827" t="str">
        <v>-</v>
      </c>
    </row>
    <row r="828">
      <c r="A828">
        <v>827</v>
      </c>
      <c r="B828" t="str">
        <v>Công an phường Quỳnh Mai  thành phố Hà Nội</v>
      </c>
      <c r="C828" t="str">
        <v>-</v>
      </c>
      <c r="D828" t="str">
        <v>-</v>
      </c>
      <c r="E828" t="str">
        <v/>
      </c>
      <c r="F828" t="str">
        <v>-</v>
      </c>
      <c r="G828" t="str">
        <v>-</v>
      </c>
    </row>
    <row r="829">
      <c r="A829">
        <v>828</v>
      </c>
      <c r="B829">
        <f>HYPERLINK("https://quynhmai.haibatrung.hanoi.gov.vn/", "UBND Ủy ban nhân dân phường Quỳnh Mai  thành phố Hà Nội")</f>
      </c>
      <c r="C829" t="str">
        <v>https://quynhmai.haibatrung.hanoi.gov.vn/</v>
      </c>
      <c r="D829" t="str">
        <v>-</v>
      </c>
      <c r="E829" t="str">
        <v>-</v>
      </c>
      <c r="F829" t="str">
        <v>-</v>
      </c>
      <c r="G829" t="str">
        <v>-</v>
      </c>
    </row>
    <row r="830">
      <c r="A830">
        <v>829</v>
      </c>
      <c r="B830" t="str">
        <v>Công an phường Quỳnh Lôi  thành phố Hà Nội</v>
      </c>
      <c r="C830" t="str">
        <v>-</v>
      </c>
      <c r="D830" t="str">
        <v>-</v>
      </c>
      <c r="E830" t="str">
        <v/>
      </c>
      <c r="F830" t="str">
        <v>-</v>
      </c>
      <c r="G830" t="str">
        <v>-</v>
      </c>
    </row>
    <row r="831">
      <c r="A831">
        <v>830</v>
      </c>
      <c r="B831">
        <f>HYPERLINK("https://quynhloi.haibatrung.hanoi.gov.vn/", "UBND Ủy ban nhân dân phường Quỳnh Lôi  thành phố Hà Nội")</f>
      </c>
      <c r="C831" t="str">
        <v>https://quynhloi.haibatrung.hanoi.gov.vn/</v>
      </c>
      <c r="D831" t="str">
        <v>-</v>
      </c>
      <c r="E831" t="str">
        <v>-</v>
      </c>
      <c r="F831" t="str">
        <v>-</v>
      </c>
      <c r="G831" t="str">
        <v>-</v>
      </c>
    </row>
    <row r="832">
      <c r="A832">
        <v>831</v>
      </c>
      <c r="B832" t="str">
        <v>Công an phường Minh Khai  thành phố Hà Nội</v>
      </c>
      <c r="C832" t="str">
        <v>-</v>
      </c>
      <c r="D832" t="str">
        <v>-</v>
      </c>
      <c r="E832" t="str">
        <v/>
      </c>
      <c r="F832" t="str">
        <v>-</v>
      </c>
      <c r="G832" t="str">
        <v>-</v>
      </c>
    </row>
    <row r="833">
      <c r="A833">
        <v>832</v>
      </c>
      <c r="B833">
        <f>HYPERLINK("https://minhkhai.haibatrung.hanoi.gov.vn/", "UBND Ủy ban nhân dân phường Minh Khai  thành phố Hà Nội")</f>
      </c>
      <c r="C833" t="str">
        <v>https://minhkhai.haibatrung.hanoi.gov.vn/</v>
      </c>
      <c r="D833" t="str">
        <v>-</v>
      </c>
      <c r="E833" t="str">
        <v>-</v>
      </c>
      <c r="F833" t="str">
        <v>-</v>
      </c>
      <c r="G833" t="str">
        <v>-</v>
      </c>
    </row>
    <row r="834">
      <c r="A834">
        <v>833</v>
      </c>
      <c r="B834">
        <f>HYPERLINK("https://www.facebook.com/doanthanhnien.1956/", "Công an phường Trương Định  thành phố Hà Nội")</f>
      </c>
      <c r="C834" t="str">
        <v>https://www.facebook.com/doanthanhnien.1956/</v>
      </c>
      <c r="D834" t="str">
        <v>-</v>
      </c>
      <c r="E834" t="str">
        <v/>
      </c>
      <c r="F834" t="str">
        <v>-</v>
      </c>
      <c r="G834" t="str">
        <v>-</v>
      </c>
    </row>
    <row r="835">
      <c r="A835">
        <v>834</v>
      </c>
      <c r="B835">
        <f>HYPERLINK("https://truongdinh.haibatrung.hanoi.gov.vn/", "UBND Ủy ban nhân dân phường Trương Định  thành phố Hà Nội")</f>
      </c>
      <c r="C835" t="str">
        <v>https://truongdinh.haibatrung.hanoi.gov.vn/</v>
      </c>
      <c r="D835" t="str">
        <v>-</v>
      </c>
      <c r="E835" t="str">
        <v>-</v>
      </c>
      <c r="F835" t="str">
        <v>-</v>
      </c>
      <c r="G835" t="str">
        <v>-</v>
      </c>
    </row>
    <row r="836">
      <c r="A836">
        <v>835</v>
      </c>
      <c r="B836">
        <f>HYPERLINK("https://www.facebook.com/groups/toi.yeu.phuong.thanh.tri.quan.hoang.mai/", "Công an phường Thanh Trì  thành phố Hà Nội")</f>
      </c>
      <c r="C836" t="str">
        <v>https://www.facebook.com/groups/toi.yeu.phuong.thanh.tri.quan.hoang.mai/</v>
      </c>
      <c r="D836" t="str">
        <v>-</v>
      </c>
      <c r="E836" t="str">
        <v/>
      </c>
      <c r="F836" t="str">
        <v>-</v>
      </c>
      <c r="G836" t="str">
        <v>-</v>
      </c>
    </row>
    <row r="837">
      <c r="A837">
        <v>836</v>
      </c>
      <c r="B837">
        <f>HYPERLINK("http://hoangmai.hanoi.gov.vn/phuong-thanh-tri", "UBND Ủy ban nhân dân phường Thanh Trì  thành phố Hà Nội")</f>
      </c>
      <c r="C837" t="str">
        <v>http://hoangmai.hanoi.gov.vn/phuong-thanh-tri</v>
      </c>
      <c r="D837" t="str">
        <v>-</v>
      </c>
      <c r="E837" t="str">
        <v>-</v>
      </c>
      <c r="F837" t="str">
        <v>-</v>
      </c>
      <c r="G837" t="str">
        <v>-</v>
      </c>
    </row>
    <row r="838">
      <c r="A838">
        <v>837</v>
      </c>
      <c r="B838">
        <f>HYPERLINK("https://www.facebook.com/p/Tu%E1%BB%95i-tr%E1%BA%BB-C%C3%B4ng-an-Th%C3%A0nh-ph%E1%BB%91-V%C4%A9nh-Y%C3%AAn-100066497717181/?locale=vi_VN", "Công an phường Vĩnh Hưng  thành phố Hà Nội")</f>
      </c>
      <c r="C838" t="str">
        <v>https://www.facebook.com/p/Tu%E1%BB%95i-tr%E1%BA%BB-C%C3%B4ng-an-Th%C3%A0nh-ph%E1%BB%91-V%C4%A9nh-Y%C3%AAn-100066497717181/?locale=vi_VN</v>
      </c>
      <c r="D838" t="str">
        <v>-</v>
      </c>
      <c r="E838" t="str">
        <v/>
      </c>
      <c r="F838" t="str">
        <v>-</v>
      </c>
      <c r="G838" t="str">
        <v>-</v>
      </c>
    </row>
    <row r="839">
      <c r="A839">
        <v>838</v>
      </c>
      <c r="B839">
        <f>HYPERLINK("http://hoangmai.hanoi.gov.vn/phuong-vinh-hung", "UBND Ủy ban nhân dân phường Vĩnh Hưng  thành phố Hà Nội")</f>
      </c>
      <c r="C839" t="str">
        <v>http://hoangmai.hanoi.gov.vn/phuong-vinh-hung</v>
      </c>
      <c r="D839" t="str">
        <v>-</v>
      </c>
      <c r="E839" t="str">
        <v>-</v>
      </c>
      <c r="F839" t="str">
        <v>-</v>
      </c>
      <c r="G839" t="str">
        <v>-</v>
      </c>
    </row>
    <row r="840">
      <c r="A840">
        <v>839</v>
      </c>
      <c r="B840">
        <f>HYPERLINK("https://www.facebook.com/doanthanhnien.1956/", "Công an phường Định Công  thành phố Hà Nội")</f>
      </c>
      <c r="C840" t="str">
        <v>https://www.facebook.com/doanthanhnien.1956/</v>
      </c>
      <c r="D840" t="str">
        <v>-</v>
      </c>
      <c r="E840" t="str">
        <v/>
      </c>
      <c r="F840" t="str">
        <v>-</v>
      </c>
      <c r="G840" t="str">
        <v>-</v>
      </c>
    </row>
    <row r="841">
      <c r="A841">
        <v>840</v>
      </c>
      <c r="B841">
        <f>HYPERLINK("http://hoangmai.hanoi.gov.vn/phuong-dinh-cong", "UBND Ủy ban nhân dân phường Định Công  thành phố Hà Nội")</f>
      </c>
      <c r="C841" t="str">
        <v>http://hoangmai.hanoi.gov.vn/phuong-dinh-cong</v>
      </c>
      <c r="D841" t="str">
        <v>-</v>
      </c>
      <c r="E841" t="str">
        <v>-</v>
      </c>
      <c r="F841" t="str">
        <v>-</v>
      </c>
      <c r="G841" t="str">
        <v>-</v>
      </c>
    </row>
    <row r="842">
      <c r="A842">
        <v>841</v>
      </c>
      <c r="B842">
        <f>HYPERLINK("https://www.facebook.com/470081403386608", "Công an phường Mai Động  thành phố Hà Nội")</f>
      </c>
      <c r="C842" t="str">
        <v>https://www.facebook.com/470081403386608</v>
      </c>
      <c r="D842" t="str">
        <v>-</v>
      </c>
      <c r="E842" t="str">
        <v/>
      </c>
      <c r="F842" t="str">
        <v>-</v>
      </c>
      <c r="G842" t="str">
        <v>-</v>
      </c>
    </row>
    <row r="843">
      <c r="A843">
        <v>842</v>
      </c>
      <c r="B843">
        <f>HYPERLINK("http://hoangmai.hanoi.gov.vn/phuong-mai-dong", "UBND Ủy ban nhân dân phường Mai Động  thành phố Hà Nội")</f>
      </c>
      <c r="C843" t="str">
        <v>http://hoangmai.hanoi.gov.vn/phuong-mai-dong</v>
      </c>
      <c r="D843" t="str">
        <v>-</v>
      </c>
      <c r="E843" t="str">
        <v>-</v>
      </c>
      <c r="F843" t="str">
        <v>-</v>
      </c>
      <c r="G843" t="str">
        <v>-</v>
      </c>
    </row>
    <row r="844">
      <c r="A844">
        <v>843</v>
      </c>
      <c r="B844" t="str">
        <v>Công an phường Tương Mai  thành phố Hà Nội</v>
      </c>
      <c r="C844" t="str">
        <v>-</v>
      </c>
      <c r="D844" t="str">
        <v>-</v>
      </c>
      <c r="E844" t="str">
        <v/>
      </c>
      <c r="F844" t="str">
        <v>-</v>
      </c>
      <c r="G844" t="str">
        <v>-</v>
      </c>
    </row>
    <row r="845">
      <c r="A845">
        <v>844</v>
      </c>
      <c r="B845">
        <f>HYPERLINK("https://tuongmai.hoangmai.hanoi.gov.vn/", "UBND Ủy ban nhân dân phường Tương Mai  thành phố Hà Nội")</f>
      </c>
      <c r="C845" t="str">
        <v>https://tuongmai.hoangmai.hanoi.gov.vn/</v>
      </c>
      <c r="D845" t="str">
        <v>-</v>
      </c>
      <c r="E845" t="str">
        <v>-</v>
      </c>
      <c r="F845" t="str">
        <v>-</v>
      </c>
      <c r="G845" t="str">
        <v>-</v>
      </c>
    </row>
    <row r="846">
      <c r="A846">
        <v>845</v>
      </c>
      <c r="B846">
        <f>HYPERLINK("https://www.facebook.com/groups/toi.yeu.phuong.dai.kim.quan.hoang.mai/", "Công an phường Đại Kim  thành phố Hà Nội")</f>
      </c>
      <c r="C846" t="str">
        <v>https://www.facebook.com/groups/toi.yeu.phuong.dai.kim.quan.hoang.mai/</v>
      </c>
      <c r="D846" t="str">
        <v>-</v>
      </c>
      <c r="E846" t="str">
        <v/>
      </c>
      <c r="F846" t="str">
        <v>-</v>
      </c>
      <c r="G846" t="str">
        <v>-</v>
      </c>
    </row>
    <row r="847">
      <c r="A847">
        <v>846</v>
      </c>
      <c r="B847">
        <f>HYPERLINK("https://daikim.hoangmai.hanoi.gov.vn/van-ban-phap-quy", "UBND Ủy ban nhân dân phường Đại Kim  thành phố Hà Nội")</f>
      </c>
      <c r="C847" t="str">
        <v>https://daikim.hoangmai.hanoi.gov.vn/van-ban-phap-quy</v>
      </c>
      <c r="D847" t="str">
        <v>-</v>
      </c>
      <c r="E847" t="str">
        <v>-</v>
      </c>
      <c r="F847" t="str">
        <v>-</v>
      </c>
      <c r="G847" t="str">
        <v>-</v>
      </c>
    </row>
    <row r="848">
      <c r="A848">
        <v>847</v>
      </c>
      <c r="B848">
        <f>HYPERLINK("https://www.facebook.com/dathucongLG/", "Công an phường Tân Mai  thành phố Hà Nội")</f>
      </c>
      <c r="C848" t="str">
        <v>https://www.facebook.com/dathucongLG/</v>
      </c>
      <c r="D848" t="str">
        <v>-</v>
      </c>
      <c r="E848" t="str">
        <v/>
      </c>
      <c r="F848" t="str">
        <v>-</v>
      </c>
      <c r="G848" t="str">
        <v>-</v>
      </c>
    </row>
    <row r="849">
      <c r="A849">
        <v>848</v>
      </c>
      <c r="B849">
        <f>HYPERLINK("https://tuongmai.hoangmai.hanoi.gov.vn/", "UBND Ủy ban nhân dân phường Tân Mai  thành phố Hà Nội")</f>
      </c>
      <c r="C849" t="str">
        <v>https://tuongmai.hoangmai.hanoi.gov.vn/</v>
      </c>
      <c r="D849" t="str">
        <v>-</v>
      </c>
      <c r="E849" t="str">
        <v>-</v>
      </c>
      <c r="F849" t="str">
        <v>-</v>
      </c>
      <c r="G849" t="str">
        <v>-</v>
      </c>
    </row>
    <row r="850">
      <c r="A850">
        <v>849</v>
      </c>
      <c r="B850">
        <f>HYPERLINK("https://www.facebook.com/p/Tu%E1%BB%95i-Tr%E1%BA%BB-C%C3%B4ng-An-Qu%E1%BA%ADn-T%C3%A2y-H%E1%BB%93-100080140217978/?locale=cx_PH", "Công an phường Hoàng Văn Thụ  thành phố Hà Nội")</f>
      </c>
      <c r="C850" t="str">
        <v>https://www.facebook.com/p/Tu%E1%BB%95i-Tr%E1%BA%BB-C%C3%B4ng-An-Qu%E1%BA%ADn-T%C3%A2y-H%E1%BB%93-100080140217978/?locale=cx_PH</v>
      </c>
      <c r="D850" t="str">
        <v>-</v>
      </c>
      <c r="E850" t="str">
        <v/>
      </c>
      <c r="F850" t="str">
        <v>-</v>
      </c>
      <c r="G850" t="str">
        <v>-</v>
      </c>
    </row>
    <row r="851">
      <c r="A851">
        <v>850</v>
      </c>
      <c r="B851">
        <f>HYPERLINK("http://hoangmai.hanoi.gov.vn/cac-phuong/-/view_content/445440-phuong-hoang-van-thu.html", "UBND Ủy ban nhân dân phường Hoàng Văn Thụ  thành phố Hà Nội")</f>
      </c>
      <c r="C851" t="str">
        <v>http://hoangmai.hanoi.gov.vn/cac-phuong/-/view_content/445440-phuong-hoang-van-thu.html</v>
      </c>
      <c r="D851" t="str">
        <v>-</v>
      </c>
      <c r="E851" t="str">
        <v>-</v>
      </c>
      <c r="F851" t="str">
        <v>-</v>
      </c>
      <c r="G851" t="str">
        <v>-</v>
      </c>
    </row>
    <row r="852">
      <c r="A852">
        <v>851</v>
      </c>
      <c r="B852">
        <f>HYPERLINK("https://www.facebook.com/groups/833528787590923/", "Công an phường Giáp Bát  thành phố Hà Nội")</f>
      </c>
      <c r="C852" t="str">
        <v>https://www.facebook.com/groups/833528787590923/</v>
      </c>
      <c r="D852" t="str">
        <v>-</v>
      </c>
      <c r="E852" t="str">
        <v/>
      </c>
      <c r="F852" t="str">
        <v>-</v>
      </c>
      <c r="G852" t="str">
        <v>-</v>
      </c>
    </row>
    <row r="853">
      <c r="A853">
        <v>852</v>
      </c>
      <c r="B853">
        <f>HYPERLINK("http://hoangmai.hanoi.gov.vn/phuong-giap-bat", "UBND Ủy ban nhân dân phường Giáp Bát  thành phố Hà Nội")</f>
      </c>
      <c r="C853" t="str">
        <v>http://hoangmai.hanoi.gov.vn/phuong-giap-bat</v>
      </c>
      <c r="D853" t="str">
        <v>-</v>
      </c>
      <c r="E853" t="str">
        <v>-</v>
      </c>
      <c r="F853" t="str">
        <v>-</v>
      </c>
      <c r="G853" t="str">
        <v>-</v>
      </c>
    </row>
    <row r="854">
      <c r="A854">
        <v>853</v>
      </c>
      <c r="B854">
        <f>HYPERLINK("https://www.facebook.com/p/Tu%E1%BB%95i-tr%E1%BA%BB-C%C3%B4ng-an-Th%C3%A0nh-ph%E1%BB%91-V%C4%A9nh-Y%C3%AAn-100066497717181/?locale=vi_VN", "Công an phường Lĩnh Nam  thành phố Hà Nội")</f>
      </c>
      <c r="C854" t="str">
        <v>https://www.facebook.com/p/Tu%E1%BB%95i-tr%E1%BA%BB-C%C3%B4ng-an-Th%C3%A0nh-ph%E1%BB%91-V%C4%A9nh-Y%C3%AAn-100066497717181/?locale=vi_VN</v>
      </c>
      <c r="D854" t="str">
        <v>-</v>
      </c>
      <c r="E854" t="str">
        <v/>
      </c>
      <c r="F854" t="str">
        <v>-</v>
      </c>
      <c r="G854" t="str">
        <v>-</v>
      </c>
    </row>
    <row r="855">
      <c r="A855">
        <v>854</v>
      </c>
      <c r="B855">
        <f>HYPERLINK("http://hoangmai.hanoi.gov.vn/cac-phuong/-/view_content/445449-phuong-linh-nam.html", "UBND Ủy ban nhân dân phường Lĩnh Nam  thành phố Hà Nội")</f>
      </c>
      <c r="C855" t="str">
        <v>http://hoangmai.hanoi.gov.vn/cac-phuong/-/view_content/445449-phuong-linh-nam.html</v>
      </c>
      <c r="D855" t="str">
        <v>-</v>
      </c>
      <c r="E855" t="str">
        <v>-</v>
      </c>
      <c r="F855" t="str">
        <v>-</v>
      </c>
      <c r="G855" t="str">
        <v>-</v>
      </c>
    </row>
    <row r="856">
      <c r="A856">
        <v>855</v>
      </c>
      <c r="B856" t="str">
        <v>Công an phường Thịnh Liệt  thành phố Hà Nội</v>
      </c>
      <c r="C856" t="str">
        <v>-</v>
      </c>
      <c r="D856" t="str">
        <v>-</v>
      </c>
      <c r="E856" t="str">
        <v/>
      </c>
      <c r="F856" t="str">
        <v>-</v>
      </c>
      <c r="G856" t="str">
        <v>-</v>
      </c>
    </row>
    <row r="857">
      <c r="A857">
        <v>856</v>
      </c>
      <c r="B857">
        <f>HYPERLINK("http://hoangmai.hanoi.gov.vn/phuong-thinh-liet", "UBND Ủy ban nhân dân phường Thịnh Liệt  thành phố Hà Nội")</f>
      </c>
      <c r="C857" t="str">
        <v>http://hoangmai.hanoi.gov.vn/phuong-thinh-liet</v>
      </c>
      <c r="D857" t="str">
        <v>-</v>
      </c>
      <c r="E857" t="str">
        <v>-</v>
      </c>
      <c r="F857" t="str">
        <v>-</v>
      </c>
      <c r="G857" t="str">
        <v>-</v>
      </c>
    </row>
    <row r="858">
      <c r="A858">
        <v>857</v>
      </c>
      <c r="B858">
        <f>HYPERLINK("https://www.facebook.com/p/C%C3%B4ng-an-ph%C6%B0%E1%BB%9Dng-Tr%E1%BA%A7n-Ph%C3%BA-Th%C3%A0nh-ph%E1%BB%91-H%C3%A0-T%C4%A9nh-100068323082489/", "Công an phường Trần Phú  thành phố Hà Nội")</f>
      </c>
      <c r="C858" t="str">
        <v>https://www.facebook.com/p/C%C3%B4ng-an-ph%C6%B0%E1%BB%9Dng-Tr%E1%BA%A7n-Ph%C3%BA-Th%C3%A0nh-ph%E1%BB%91-H%C3%A0-T%C4%A9nh-100068323082489/</v>
      </c>
      <c r="D858" t="str">
        <v>-</v>
      </c>
      <c r="E858" t="str">
        <v/>
      </c>
      <c r="F858" t="str">
        <v>-</v>
      </c>
      <c r="G858" t="str">
        <v>-</v>
      </c>
    </row>
    <row r="859">
      <c r="A859">
        <v>858</v>
      </c>
      <c r="B859">
        <f>HYPERLINK("https://tranphu.hoangmai.hanoi.gov.vn/", "UBND Ủy ban nhân dân phường Trần Phú  thành phố Hà Nội")</f>
      </c>
      <c r="C859" t="str">
        <v>https://tranphu.hoangmai.hanoi.gov.vn/</v>
      </c>
      <c r="D859" t="str">
        <v>-</v>
      </c>
      <c r="E859" t="str">
        <v>-</v>
      </c>
      <c r="F859" t="str">
        <v>-</v>
      </c>
      <c r="G859" t="str">
        <v>-</v>
      </c>
    </row>
    <row r="860">
      <c r="A860">
        <v>859</v>
      </c>
      <c r="B860" t="str">
        <v>Công an phường Hoàng Liệt  thành phố Hà Nội</v>
      </c>
      <c r="C860" t="str">
        <v>-</v>
      </c>
      <c r="D860" t="str">
        <v>-</v>
      </c>
      <c r="E860" t="str">
        <v/>
      </c>
      <c r="F860" t="str">
        <v>-</v>
      </c>
      <c r="G860" t="str">
        <v>-</v>
      </c>
    </row>
    <row r="861">
      <c r="A861">
        <v>860</v>
      </c>
      <c r="B861">
        <f>HYPERLINK("http://hoangmai.hanoi.gov.vn/phuong-hoang-liet", "UBND Ủy ban nhân dân phường Hoàng Liệt  thành phố Hà Nội")</f>
      </c>
      <c r="C861" t="str">
        <v>http://hoangmai.hanoi.gov.vn/phuong-hoang-liet</v>
      </c>
      <c r="D861" t="str">
        <v>-</v>
      </c>
      <c r="E861" t="str">
        <v>-</v>
      </c>
      <c r="F861" t="str">
        <v>-</v>
      </c>
      <c r="G861" t="str">
        <v>-</v>
      </c>
    </row>
    <row r="862">
      <c r="A862">
        <v>861</v>
      </c>
      <c r="B862" t="str">
        <v>Công an phường Yên Sở  thành phố Hà Nội</v>
      </c>
      <c r="C862" t="str">
        <v>-</v>
      </c>
      <c r="D862" t="str">
        <v>-</v>
      </c>
      <c r="E862" t="str">
        <v/>
      </c>
      <c r="F862" t="str">
        <v>-</v>
      </c>
      <c r="G862" t="str">
        <v>-</v>
      </c>
    </row>
    <row r="863">
      <c r="A863">
        <v>862</v>
      </c>
      <c r="B863">
        <f>HYPERLINK("http://hoangmai.hanoi.gov.vn/phuong-yen-so", "UBND Ủy ban nhân dân phường Yên Sở  thành phố Hà Nội")</f>
      </c>
      <c r="C863" t="str">
        <v>http://hoangmai.hanoi.gov.vn/phuong-yen-so</v>
      </c>
      <c r="D863" t="str">
        <v>-</v>
      </c>
      <c r="E863" t="str">
        <v>-</v>
      </c>
      <c r="F863" t="str">
        <v>-</v>
      </c>
      <c r="G863" t="str">
        <v>-</v>
      </c>
    </row>
    <row r="864">
      <c r="A864">
        <v>863</v>
      </c>
      <c r="B864">
        <f>HYPERLINK("https://www.facebook.com/doanthanhnien.1956/", "Công an phường Nhân Chính  thành phố Hà Nội")</f>
      </c>
      <c r="C864" t="str">
        <v>https://www.facebook.com/doanthanhnien.1956/</v>
      </c>
      <c r="D864" t="str">
        <v>-</v>
      </c>
      <c r="E864" t="str">
        <v/>
      </c>
      <c r="F864" t="str">
        <v>-</v>
      </c>
      <c r="G864" t="str">
        <v>-</v>
      </c>
    </row>
    <row r="865">
      <c r="A865">
        <v>864</v>
      </c>
      <c r="B865">
        <f>HYPERLINK("https://nhanchinh.thanhxuan.hanoi.gov.vn/", "UBND Ủy ban nhân dân phường Nhân Chính  thành phố Hà Nội")</f>
      </c>
      <c r="C865" t="str">
        <v>https://nhanchinh.thanhxuan.hanoi.gov.vn/</v>
      </c>
      <c r="D865" t="str">
        <v>-</v>
      </c>
      <c r="E865" t="str">
        <v>-</v>
      </c>
      <c r="F865" t="str">
        <v>-</v>
      </c>
      <c r="G865" t="str">
        <v>-</v>
      </c>
    </row>
    <row r="866">
      <c r="A866">
        <v>865</v>
      </c>
      <c r="B866" t="str">
        <v>Công an phường Thượng Đình  thành phố Hà Nội</v>
      </c>
      <c r="C866" t="str">
        <v>-</v>
      </c>
      <c r="D866" t="str">
        <v>-</v>
      </c>
      <c r="E866" t="str">
        <v/>
      </c>
      <c r="F866" t="str">
        <v>-</v>
      </c>
      <c r="G866" t="str">
        <v>-</v>
      </c>
    </row>
    <row r="867">
      <c r="A867">
        <v>866</v>
      </c>
      <c r="B867">
        <f>HYPERLINK("https://thuongdinh.thanhxuan.hanoi.gov.vn/uy-ban-nhan-dan-phuong-thuong-inh", "UBND Ủy ban nhân dân phường Thượng Đình  thành phố Hà Nội")</f>
      </c>
      <c r="C867" t="str">
        <v>https://thuongdinh.thanhxuan.hanoi.gov.vn/uy-ban-nhan-dan-phuong-thuong-inh</v>
      </c>
      <c r="D867" t="str">
        <v>-</v>
      </c>
      <c r="E867" t="str">
        <v>-</v>
      </c>
      <c r="F867" t="str">
        <v>-</v>
      </c>
      <c r="G867" t="str">
        <v>-</v>
      </c>
    </row>
    <row r="868">
      <c r="A868">
        <v>867</v>
      </c>
      <c r="B868">
        <f>HYPERLINK("https://www.facebook.com/conganphuongkhuongtrung/", "Công an phường Khương Trung  thành phố Hà Nội")</f>
      </c>
      <c r="C868" t="str">
        <v>https://www.facebook.com/conganphuongkhuongtrung/</v>
      </c>
      <c r="D868" t="str">
        <v>-</v>
      </c>
      <c r="E868" t="str">
        <v/>
      </c>
      <c r="F868" t="str">
        <v>-</v>
      </c>
      <c r="G868" t="str">
        <v>-</v>
      </c>
    </row>
    <row r="869">
      <c r="A869">
        <v>868</v>
      </c>
      <c r="B869">
        <f>HYPERLINK("https://thanhxuan.hanoi.gov.vn/phuong-khuong-trung1", "UBND Ủy ban nhân dân phường Khương Trung  thành phố Hà Nội")</f>
      </c>
      <c r="C869" t="str">
        <v>https://thanhxuan.hanoi.gov.vn/phuong-khuong-trung1</v>
      </c>
      <c r="D869" t="str">
        <v>-</v>
      </c>
      <c r="E869" t="str">
        <v>-</v>
      </c>
      <c r="F869" t="str">
        <v>-</v>
      </c>
      <c r="G869" t="str">
        <v>-</v>
      </c>
    </row>
    <row r="870">
      <c r="A870">
        <v>869</v>
      </c>
      <c r="B870">
        <f>HYPERLINK("https://www.facebook.com/p/C%C3%B4ng-An-ph%C6%B0%E1%BB%9Dng-Kh%C6%B0%C6%A1ng-Mai-100063648333285/", "Công an phường Khương Mai  thành phố Hà Nội")</f>
      </c>
      <c r="C870" t="str">
        <v>https://www.facebook.com/p/C%C3%B4ng-An-ph%C6%B0%E1%BB%9Dng-Kh%C6%B0%C6%A1ng-Mai-100063648333285/</v>
      </c>
      <c r="D870" t="str">
        <v>-</v>
      </c>
      <c r="E870" t="str">
        <v/>
      </c>
      <c r="F870" t="str">
        <v>-</v>
      </c>
      <c r="G870" t="str">
        <v>-</v>
      </c>
    </row>
    <row r="871">
      <c r="A871">
        <v>870</v>
      </c>
      <c r="B871">
        <f>HYPERLINK("https://khuongmai.thanhxuan.hanoi.gov.vn/", "UBND Ủy ban nhân dân phường Khương Mai  thành phố Hà Nội")</f>
      </c>
      <c r="C871" t="str">
        <v>https://khuongmai.thanhxuan.hanoi.gov.vn/</v>
      </c>
      <c r="D871" t="str">
        <v>-</v>
      </c>
      <c r="E871" t="str">
        <v>-</v>
      </c>
      <c r="F871" t="str">
        <v>-</v>
      </c>
      <c r="G871" t="str">
        <v>-</v>
      </c>
    </row>
    <row r="872">
      <c r="A872">
        <v>871</v>
      </c>
      <c r="B872">
        <f>HYPERLINK("https://www.facebook.com/CAQTX/", "Công an phường Thanh Xuân Trung  thành phố Hà Nội")</f>
      </c>
      <c r="C872" t="str">
        <v>https://www.facebook.com/CAQTX/</v>
      </c>
      <c r="D872" t="str">
        <v>-</v>
      </c>
      <c r="E872" t="str">
        <v/>
      </c>
      <c r="F872" t="str">
        <v>-</v>
      </c>
      <c r="G872" t="str">
        <v>-</v>
      </c>
    </row>
    <row r="873">
      <c r="A873">
        <v>872</v>
      </c>
      <c r="B873">
        <f>HYPERLINK("https://thanhxuan.hanoi.gov.vn/phuong-thanh-xuan-trung", "UBND Ủy ban nhân dân phường Thanh Xuân Trung  thành phố Hà Nội")</f>
      </c>
      <c r="C873" t="str">
        <v>https://thanhxuan.hanoi.gov.vn/phuong-thanh-xuan-trung</v>
      </c>
      <c r="D873" t="str">
        <v>-</v>
      </c>
      <c r="E873" t="str">
        <v>-</v>
      </c>
      <c r="F873" t="str">
        <v>-</v>
      </c>
      <c r="G873" t="str">
        <v>-</v>
      </c>
    </row>
    <row r="874">
      <c r="A874">
        <v>873</v>
      </c>
      <c r="B874" t="str">
        <v>Công an phường Phương Liệt  thành phố Hà Nội</v>
      </c>
      <c r="C874" t="str">
        <v>-</v>
      </c>
      <c r="D874" t="str">
        <v>-</v>
      </c>
      <c r="E874" t="str">
        <v/>
      </c>
      <c r="F874" t="str">
        <v>-</v>
      </c>
      <c r="G874" t="str">
        <v>-</v>
      </c>
    </row>
    <row r="875">
      <c r="A875">
        <v>874</v>
      </c>
      <c r="B875">
        <f>HYPERLINK("https://thanhxuan.hanoi.gov.vn/phuong-phuong-liet1", "UBND Ủy ban nhân dân phường Phương Liệt  thành phố Hà Nội")</f>
      </c>
      <c r="C875" t="str">
        <v>https://thanhxuan.hanoi.gov.vn/phuong-phuong-liet1</v>
      </c>
      <c r="D875" t="str">
        <v>-</v>
      </c>
      <c r="E875" t="str">
        <v>-</v>
      </c>
      <c r="F875" t="str">
        <v>-</v>
      </c>
      <c r="G875" t="str">
        <v>-</v>
      </c>
    </row>
    <row r="876">
      <c r="A876">
        <v>875</v>
      </c>
      <c r="B876">
        <f>HYPERLINK("https://www.facebook.com/CAQTX/", "Công an phường Hạ Đình  thành phố Hà Nội")</f>
      </c>
      <c r="C876" t="str">
        <v>https://www.facebook.com/CAQTX/</v>
      </c>
      <c r="D876" t="str">
        <v>-</v>
      </c>
      <c r="E876" t="str">
        <v/>
      </c>
      <c r="F876" t="str">
        <v>-</v>
      </c>
      <c r="G876" t="str">
        <v>-</v>
      </c>
    </row>
    <row r="877">
      <c r="A877">
        <v>876</v>
      </c>
      <c r="B877">
        <f>HYPERLINK("https://thanhxuan.hanoi.gov.vn/phuong-ha-inh", "UBND Ủy ban nhân dân phường Hạ Đình  thành phố Hà Nội")</f>
      </c>
      <c r="C877" t="str">
        <v>https://thanhxuan.hanoi.gov.vn/phuong-ha-inh</v>
      </c>
      <c r="D877" t="str">
        <v>-</v>
      </c>
      <c r="E877" t="str">
        <v>-</v>
      </c>
      <c r="F877" t="str">
        <v>-</v>
      </c>
      <c r="G877" t="str">
        <v>-</v>
      </c>
    </row>
    <row r="878">
      <c r="A878">
        <v>877</v>
      </c>
      <c r="B878">
        <f>HYPERLINK("https://www.facebook.com/1216604591883112", "Công an phường Khương Đình  thành phố Hà Nội")</f>
      </c>
      <c r="C878" t="str">
        <v>https://www.facebook.com/1216604591883112</v>
      </c>
      <c r="D878" t="str">
        <v>-</v>
      </c>
      <c r="E878" t="str">
        <v/>
      </c>
      <c r="F878" t="str">
        <v>-</v>
      </c>
      <c r="G878" t="str">
        <v>-</v>
      </c>
    </row>
    <row r="879">
      <c r="A879">
        <v>878</v>
      </c>
      <c r="B879">
        <f>HYPERLINK("https://thanhxuan.hanoi.gov.vn/phuong-khuong-inh", "UBND Ủy ban nhân dân phường Khương Đình  thành phố Hà Nội")</f>
      </c>
      <c r="C879" t="str">
        <v>https://thanhxuan.hanoi.gov.vn/phuong-khuong-inh</v>
      </c>
      <c r="D879" t="str">
        <v>-</v>
      </c>
      <c r="E879" t="str">
        <v>-</v>
      </c>
      <c r="F879" t="str">
        <v>-</v>
      </c>
      <c r="G879" t="str">
        <v>-</v>
      </c>
    </row>
    <row r="880">
      <c r="A880">
        <v>879</v>
      </c>
      <c r="B880">
        <f>HYPERLINK("https://www.facebook.com/CAQTX/", "Công an phường Thanh Xuân Bắc  thành phố Hà Nội")</f>
      </c>
      <c r="C880" t="str">
        <v>https://www.facebook.com/CAQTX/</v>
      </c>
      <c r="D880" t="str">
        <v>-</v>
      </c>
      <c r="E880" t="str">
        <v/>
      </c>
      <c r="F880" t="str">
        <v>-</v>
      </c>
      <c r="G880" t="str">
        <v>-</v>
      </c>
    </row>
    <row r="881">
      <c r="A881">
        <v>880</v>
      </c>
      <c r="B881">
        <f>HYPERLINK("https://thanhxuan.hanoi.gov.vn/phuong-thanh-xuan-bac", "UBND Ủy ban nhân dân phường Thanh Xuân Bắc  thành phố Hà Nội")</f>
      </c>
      <c r="C881" t="str">
        <v>https://thanhxuan.hanoi.gov.vn/phuong-thanh-xuan-bac</v>
      </c>
      <c r="D881" t="str">
        <v>-</v>
      </c>
      <c r="E881" t="str">
        <v>-</v>
      </c>
      <c r="F881" t="str">
        <v>-</v>
      </c>
      <c r="G881" t="str">
        <v>-</v>
      </c>
    </row>
    <row r="882">
      <c r="A882">
        <v>881</v>
      </c>
      <c r="B882">
        <f>HYPERLINK("https://www.facebook.com/CAQTX/", "Công an phường Thanh Xuân Nam  thành phố Hà Nội")</f>
      </c>
      <c r="C882" t="str">
        <v>https://www.facebook.com/CAQTX/</v>
      </c>
      <c r="D882" t="str">
        <v>-</v>
      </c>
      <c r="E882" t="str">
        <v/>
      </c>
      <c r="F882" t="str">
        <v>-</v>
      </c>
      <c r="G882" t="str">
        <v>-</v>
      </c>
    </row>
    <row r="883">
      <c r="A883">
        <v>882</v>
      </c>
      <c r="B883">
        <f>HYPERLINK("https://thanhxuan.hanoi.gov.vn/phuong-thanh-xuan-nam", "UBND Ủy ban nhân dân phường Thanh Xuân Nam  thành phố Hà Nội")</f>
      </c>
      <c r="C883" t="str">
        <v>https://thanhxuan.hanoi.gov.vn/phuong-thanh-xuan-nam</v>
      </c>
      <c r="D883" t="str">
        <v>-</v>
      </c>
      <c r="E883" t="str">
        <v>-</v>
      </c>
      <c r="F883" t="str">
        <v>-</v>
      </c>
      <c r="G883" t="str">
        <v>-</v>
      </c>
    </row>
    <row r="884">
      <c r="A884">
        <v>883</v>
      </c>
      <c r="B884" t="str">
        <v>Công an phường Kim Giang  thành phố Hà Nội</v>
      </c>
      <c r="C884" t="str">
        <v>-</v>
      </c>
      <c r="D884" t="str">
        <v>-</v>
      </c>
      <c r="E884" t="str">
        <v/>
      </c>
      <c r="F884" t="str">
        <v>-</v>
      </c>
      <c r="G884" t="str">
        <v>-</v>
      </c>
    </row>
    <row r="885">
      <c r="A885">
        <v>884</v>
      </c>
      <c r="B885">
        <f>HYPERLINK("https://thanhxuan.hanoi.gov.vn/phuong-kim-giang1", "UBND Ủy ban nhân dân phường Kim Giang  thành phố Hà Nội")</f>
      </c>
      <c r="C885" t="str">
        <v>https://thanhxuan.hanoi.gov.vn/phuong-kim-giang1</v>
      </c>
      <c r="D885" t="str">
        <v>-</v>
      </c>
      <c r="E885" t="str">
        <v>-</v>
      </c>
      <c r="F885" t="str">
        <v>-</v>
      </c>
      <c r="G885" t="str">
        <v>-</v>
      </c>
    </row>
    <row r="886">
      <c r="A886">
        <v>885</v>
      </c>
      <c r="B886" t="str">
        <v>Công an thị trấn Sóc Sơn  thành phố Hà Nội</v>
      </c>
      <c r="C886" t="str">
        <v>-</v>
      </c>
      <c r="D886" t="str">
        <v>-</v>
      </c>
      <c r="E886" t="str">
        <v/>
      </c>
      <c r="F886" t="str">
        <v>-</v>
      </c>
      <c r="G886" t="str">
        <v>-</v>
      </c>
    </row>
    <row r="887">
      <c r="A887">
        <v>886</v>
      </c>
      <c r="B887">
        <f>HYPERLINK("https://socson.hanoi.gov.vn/", "UBND Ủy ban nhân dân thị trấn Sóc Sơn  thành phố Hà Nội")</f>
      </c>
      <c r="C887" t="str">
        <v>https://socson.hanoi.gov.vn/</v>
      </c>
      <c r="D887" t="str">
        <v>-</v>
      </c>
      <c r="E887" t="str">
        <v>-</v>
      </c>
      <c r="F887" t="str">
        <v>-</v>
      </c>
      <c r="G887" t="str">
        <v>-</v>
      </c>
    </row>
    <row r="888">
      <c r="A888">
        <v>887</v>
      </c>
      <c r="B888">
        <f>HYPERLINK("https://www.facebook.com/chidoan.congan/", "Công an xã Bắc Sơn  thành phố Hà Nội")</f>
      </c>
      <c r="C888" t="str">
        <v>https://www.facebook.com/chidoan.congan/</v>
      </c>
      <c r="D888" t="str">
        <v>-</v>
      </c>
      <c r="E888" t="str">
        <v/>
      </c>
      <c r="F888" t="str">
        <v>-</v>
      </c>
      <c r="G888" t="str">
        <v>-</v>
      </c>
    </row>
    <row r="889">
      <c r="A889">
        <v>888</v>
      </c>
      <c r="B889">
        <f>HYPERLINK("https://bacson.langson.gov.vn/", "UBND Ủy ban nhân dân xã Bắc Sơn  thành phố Hà Nội")</f>
      </c>
      <c r="C889" t="str">
        <v>https://bacson.langson.gov.vn/</v>
      </c>
      <c r="D889" t="str">
        <v>-</v>
      </c>
      <c r="E889" t="str">
        <v>-</v>
      </c>
      <c r="F889" t="str">
        <v>-</v>
      </c>
      <c r="G889" t="str">
        <v>-</v>
      </c>
    </row>
    <row r="890">
      <c r="A890">
        <v>889</v>
      </c>
      <c r="B890">
        <f>HYPERLINK("https://www.facebook.com/p/UBND-x%C3%A3-Minh-Tr%C3%AD-100066564339917/", "Công an xã Minh Trí  thành phố Hà Nội")</f>
      </c>
      <c r="C890" t="str">
        <v>https://www.facebook.com/p/UBND-x%C3%A3-Minh-Tr%C3%AD-100066564339917/</v>
      </c>
      <c r="D890" t="str">
        <v>-</v>
      </c>
      <c r="E890" t="str">
        <v/>
      </c>
      <c r="F890" t="str">
        <v>-</v>
      </c>
      <c r="G890" t="str">
        <v>-</v>
      </c>
    </row>
    <row r="891">
      <c r="A891">
        <v>890</v>
      </c>
      <c r="B891">
        <f>HYPERLINK("http://minhtri.socson.hanoi.gov.vn/", "UBND Ủy ban nhân dân xã Minh Trí  thành phố Hà Nội")</f>
      </c>
      <c r="C891" t="str">
        <v>http://minhtri.socson.hanoi.gov.vn/</v>
      </c>
      <c r="D891" t="str">
        <v>-</v>
      </c>
      <c r="E891" t="str">
        <v>-</v>
      </c>
      <c r="F891" t="str">
        <v>-</v>
      </c>
      <c r="G891" t="str">
        <v>-</v>
      </c>
    </row>
    <row r="892">
      <c r="A892">
        <v>891</v>
      </c>
      <c r="B892">
        <f>HYPERLINK("https://www.facebook.com/doanxaHongKy/", "Công an xã Hồng Kỳ  thành phố Hà Nội")</f>
      </c>
      <c r="C892" t="str">
        <v>https://www.facebook.com/doanxaHongKy/</v>
      </c>
      <c r="D892" t="str">
        <v>-</v>
      </c>
      <c r="E892" t="str">
        <v/>
      </c>
      <c r="F892" t="str">
        <v>-</v>
      </c>
      <c r="G892" t="str">
        <v>-</v>
      </c>
    </row>
    <row r="893">
      <c r="A893">
        <v>892</v>
      </c>
      <c r="B893">
        <f>HYPERLINK("http://hongky.socson.hanoi.gov.vn/ubnd", "UBND Ủy ban nhân dân xã Hồng Kỳ  thành phố Hà Nội")</f>
      </c>
      <c r="C893" t="str">
        <v>http://hongky.socson.hanoi.gov.vn/ubnd</v>
      </c>
      <c r="D893" t="str">
        <v>-</v>
      </c>
      <c r="E893" t="str">
        <v>-</v>
      </c>
      <c r="F893" t="str">
        <v>-</v>
      </c>
      <c r="G893" t="str">
        <v>-</v>
      </c>
    </row>
    <row r="894">
      <c r="A894">
        <v>893</v>
      </c>
      <c r="B894" t="str">
        <v>Công an xã Nam Sơn  thành phố Hà Nội</v>
      </c>
      <c r="C894" t="str">
        <v>-</v>
      </c>
      <c r="D894" t="str">
        <v>-</v>
      </c>
      <c r="E894" t="str">
        <v/>
      </c>
      <c r="F894" t="str">
        <v>-</v>
      </c>
      <c r="G894" t="str">
        <v>-</v>
      </c>
    </row>
    <row r="895">
      <c r="A895">
        <v>894</v>
      </c>
      <c r="B895">
        <f>HYPERLINK("http://namson.socson.hanoi.gov.vn/uy-ban-nhan-dan", "UBND Ủy ban nhân dân xã Nam Sơn  thành phố Hà Nội")</f>
      </c>
      <c r="C895" t="str">
        <v>http://namson.socson.hanoi.gov.vn/uy-ban-nhan-dan</v>
      </c>
      <c r="D895" t="str">
        <v>-</v>
      </c>
      <c r="E895" t="str">
        <v>-</v>
      </c>
      <c r="F895" t="str">
        <v>-</v>
      </c>
      <c r="G895" t="str">
        <v>-</v>
      </c>
    </row>
    <row r="896">
      <c r="A896">
        <v>895</v>
      </c>
      <c r="B896">
        <f>HYPERLINK("https://www.facebook.com/doanthanhnien.1956/", "Công an xã Trung Giã  thành phố Hà Nội")</f>
      </c>
      <c r="C896" t="str">
        <v>https://www.facebook.com/doanthanhnien.1956/</v>
      </c>
      <c r="D896" t="str">
        <v>-</v>
      </c>
      <c r="E896" t="str">
        <v/>
      </c>
      <c r="F896" t="str">
        <v>-</v>
      </c>
      <c r="G896" t="str">
        <v>-</v>
      </c>
    </row>
    <row r="897">
      <c r="A897">
        <v>896</v>
      </c>
      <c r="B897">
        <f>HYPERLINK("http://trunggia.socson.hanoi.gov.vn/", "UBND Ủy ban nhân dân xã Trung Giã  thành phố Hà Nội")</f>
      </c>
      <c r="C897" t="str">
        <v>http://trunggia.socson.hanoi.gov.vn/</v>
      </c>
      <c r="D897" t="str">
        <v>-</v>
      </c>
      <c r="E897" t="str">
        <v>-</v>
      </c>
      <c r="F897" t="str">
        <v>-</v>
      </c>
      <c r="G897" t="str">
        <v>-</v>
      </c>
    </row>
    <row r="898">
      <c r="A898">
        <v>897</v>
      </c>
      <c r="B898">
        <f>HYPERLINK("https://www.facebook.com/TanHungpolice/", "Công an xã Tân Hưng  thành phố Hà Nội")</f>
      </c>
      <c r="C898" t="str">
        <v>https://www.facebook.com/TanHungpolice/</v>
      </c>
      <c r="D898" t="str">
        <v>-</v>
      </c>
      <c r="E898" t="str">
        <v/>
      </c>
      <c r="F898" t="str">
        <v>-</v>
      </c>
      <c r="G898" t="str">
        <v>-</v>
      </c>
    </row>
    <row r="899">
      <c r="A899">
        <v>898</v>
      </c>
      <c r="B899">
        <f>HYPERLINK("http://tanhung.socson.hanoi.gov.vn/gioi-thieu", "UBND Ủy ban nhân dân xã Tân Hưng  thành phố Hà Nội")</f>
      </c>
      <c r="C899" t="str">
        <v>http://tanhung.socson.hanoi.gov.vn/gioi-thieu</v>
      </c>
      <c r="D899" t="str">
        <v>-</v>
      </c>
      <c r="E899" t="str">
        <v>-</v>
      </c>
      <c r="F899" t="str">
        <v>-</v>
      </c>
      <c r="G899" t="str">
        <v>-</v>
      </c>
    </row>
    <row r="900">
      <c r="A900">
        <v>899</v>
      </c>
      <c r="B900" t="str">
        <v>Công an xã Minh Phú  thành phố Hà Nội</v>
      </c>
      <c r="C900" t="str">
        <v>-</v>
      </c>
      <c r="D900" t="str">
        <v>-</v>
      </c>
      <c r="E900" t="str">
        <v/>
      </c>
      <c r="F900" t="str">
        <v>-</v>
      </c>
      <c r="G900" t="str">
        <v>-</v>
      </c>
    </row>
    <row r="901">
      <c r="A901">
        <v>900</v>
      </c>
      <c r="B901">
        <f>HYPERLINK("http://phuminh.socson.hanoi.gov.vn/", "UBND Ủy ban nhân dân xã Minh Phú  thành phố Hà Nội")</f>
      </c>
      <c r="C901" t="str">
        <v>http://phuminh.socson.hanoi.gov.vn/</v>
      </c>
      <c r="D901" t="str">
        <v>-</v>
      </c>
      <c r="E901" t="str">
        <v>-</v>
      </c>
      <c r="F901" t="str">
        <v>-</v>
      </c>
      <c r="G901" t="str">
        <v>-</v>
      </c>
    </row>
    <row r="902">
      <c r="A902">
        <v>901</v>
      </c>
      <c r="B902">
        <f>HYPERLINK("https://www.facebook.com/p/Tu%E1%BB%95i-tr%E1%BA%BB-C%C3%B4ng-an-Th%C3%A0nh-ph%E1%BB%91-V%C4%A9nh-Y%C3%AAn-100066497717181/?locale=vi_VN", "Công an xã Phù Linh  thành phố Hà Nội")</f>
      </c>
      <c r="C902" t="str">
        <v>https://www.facebook.com/p/Tu%E1%BB%95i-tr%E1%BA%BB-C%C3%B4ng-an-Th%C3%A0nh-ph%E1%BB%91-V%C4%A9nh-Y%C3%AAn-100066497717181/?locale=vi_VN</v>
      </c>
      <c r="D902" t="str">
        <v>-</v>
      </c>
      <c r="E902" t="str">
        <v/>
      </c>
      <c r="F902" t="str">
        <v>-</v>
      </c>
      <c r="G902" t="str">
        <v>-</v>
      </c>
    </row>
    <row r="903">
      <c r="A903">
        <v>902</v>
      </c>
      <c r="B903">
        <f>HYPERLINK("http://phulinh.socson.hanoi.gov.vn/uy-ban-nhan-dan", "UBND Ủy ban nhân dân xã Phù Linh  thành phố Hà Nội")</f>
      </c>
      <c r="C903" t="str">
        <v>http://phulinh.socson.hanoi.gov.vn/uy-ban-nhan-dan</v>
      </c>
      <c r="D903" t="str">
        <v>-</v>
      </c>
      <c r="E903" t="str">
        <v>-</v>
      </c>
      <c r="F903" t="str">
        <v>-</v>
      </c>
      <c r="G903" t="str">
        <v>-</v>
      </c>
    </row>
    <row r="904">
      <c r="A904">
        <v>903</v>
      </c>
      <c r="B904" t="str">
        <v>Công an xã Bắc Phú  thành phố Hà Nội</v>
      </c>
      <c r="C904" t="str">
        <v>-</v>
      </c>
      <c r="D904" t="str">
        <v>-</v>
      </c>
      <c r="E904" t="str">
        <v/>
      </c>
      <c r="F904" t="str">
        <v>-</v>
      </c>
      <c r="G904" t="str">
        <v>-</v>
      </c>
    </row>
    <row r="905">
      <c r="A905">
        <v>904</v>
      </c>
      <c r="B905">
        <f>HYPERLINK("http://bacphu.socson.hanoi.gov.vn/", "UBND Ủy ban nhân dân xã Bắc Phú  thành phố Hà Nội")</f>
      </c>
      <c r="C905" t="str">
        <v>http://bacphu.socson.hanoi.gov.vn/</v>
      </c>
      <c r="D905" t="str">
        <v>-</v>
      </c>
      <c r="E905" t="str">
        <v>-</v>
      </c>
      <c r="F905" t="str">
        <v>-</v>
      </c>
      <c r="G905" t="str">
        <v>-</v>
      </c>
    </row>
    <row r="906">
      <c r="A906">
        <v>905</v>
      </c>
      <c r="B906">
        <f>HYPERLINK("https://www.facebook.com/thanhnientanbinh/", "Công an xã Tân Minh  thành phố Hà Nội")</f>
      </c>
      <c r="C906" t="str">
        <v>https://www.facebook.com/thanhnientanbinh/</v>
      </c>
      <c r="D906" t="str">
        <v>-</v>
      </c>
      <c r="E906" t="str">
        <v/>
      </c>
      <c r="F906" t="str">
        <v>-</v>
      </c>
      <c r="G906" t="str">
        <v>-</v>
      </c>
    </row>
    <row r="907">
      <c r="A907">
        <v>906</v>
      </c>
      <c r="B907">
        <f>HYPERLINK("http://thuongtin.hanoi.gov.vn/", "UBND Ủy ban nhân dân xã Tân Minh  thành phố Hà Nội")</f>
      </c>
      <c r="C907" t="str">
        <v>http://thuongtin.hanoi.gov.vn/</v>
      </c>
      <c r="D907" t="str">
        <v>-</v>
      </c>
      <c r="E907" t="str">
        <v>-</v>
      </c>
      <c r="F907" t="str">
        <v>-</v>
      </c>
      <c r="G907" t="str">
        <v>-</v>
      </c>
    </row>
    <row r="908">
      <c r="A908">
        <v>907</v>
      </c>
      <c r="B908">
        <f>HYPERLINK("https://www.facebook.com/doanthanhnien.1956/", "Công an xã Quang Tiến  thành phố Hà Nội")</f>
      </c>
      <c r="C908" t="str">
        <v>https://www.facebook.com/doanthanhnien.1956/</v>
      </c>
      <c r="D908" t="str">
        <v>-</v>
      </c>
      <c r="E908" t="str">
        <v/>
      </c>
      <c r="F908" t="str">
        <v>-</v>
      </c>
      <c r="G908" t="str">
        <v>-</v>
      </c>
    </row>
    <row r="909">
      <c r="A909">
        <v>908</v>
      </c>
      <c r="B909">
        <f>HYPERLINK("http://quangtien.socson.hanoi.gov.vn/uy-ban-nhan-dan", "UBND Ủy ban nhân dân xã Quang Tiến  thành phố Hà Nội")</f>
      </c>
      <c r="C909" t="str">
        <v>http://quangtien.socson.hanoi.gov.vn/uy-ban-nhan-dan</v>
      </c>
      <c r="D909" t="str">
        <v>-</v>
      </c>
      <c r="E909" t="str">
        <v>-</v>
      </c>
      <c r="F909" t="str">
        <v>-</v>
      </c>
      <c r="G909" t="str">
        <v>-</v>
      </c>
    </row>
    <row r="910">
      <c r="A910">
        <v>909</v>
      </c>
      <c r="B910" t="str">
        <v>Công an xã Hiền Ninh  thành phố Hà Nội</v>
      </c>
      <c r="C910" t="str">
        <v>-</v>
      </c>
      <c r="D910" t="str">
        <v>-</v>
      </c>
      <c r="E910" t="str">
        <v/>
      </c>
      <c r="F910" t="str">
        <v>-</v>
      </c>
      <c r="G910" t="str">
        <v>-</v>
      </c>
    </row>
    <row r="911">
      <c r="A911">
        <v>910</v>
      </c>
      <c r="B911">
        <f>HYPERLINK("http://hienninh.socson.hanoi.gov.vn/", "UBND Ủy ban nhân dân xã Hiền Ninh  thành phố Hà Nội")</f>
      </c>
      <c r="C911" t="str">
        <v>http://hienninh.socson.hanoi.gov.vn/</v>
      </c>
      <c r="D911" t="str">
        <v>-</v>
      </c>
      <c r="E911" t="str">
        <v>-</v>
      </c>
      <c r="F911" t="str">
        <v>-</v>
      </c>
      <c r="G911" t="str">
        <v>-</v>
      </c>
    </row>
    <row r="912">
      <c r="A912">
        <v>911</v>
      </c>
      <c r="B912" t="str">
        <v>Công an xã Tân Dân  thành phố Hà Nội</v>
      </c>
      <c r="C912" t="str">
        <v>-</v>
      </c>
      <c r="D912" t="str">
        <v>-</v>
      </c>
      <c r="E912" t="str">
        <v/>
      </c>
      <c r="F912" t="str">
        <v>-</v>
      </c>
      <c r="G912" t="str">
        <v>-</v>
      </c>
    </row>
    <row r="913">
      <c r="A913">
        <v>912</v>
      </c>
      <c r="B913">
        <f>HYPERLINK("http://tandan.socson.hanoi.gov.vn/uy-ban-nhan-dan", "UBND Ủy ban nhân dân xã Tân Dân  thành phố Hà Nội")</f>
      </c>
      <c r="C913" t="str">
        <v>http://tandan.socson.hanoi.gov.vn/uy-ban-nhan-dan</v>
      </c>
      <c r="D913" t="str">
        <v>-</v>
      </c>
      <c r="E913" t="str">
        <v>-</v>
      </c>
      <c r="F913" t="str">
        <v>-</v>
      </c>
      <c r="G913" t="str">
        <v>-</v>
      </c>
    </row>
    <row r="914">
      <c r="A914">
        <v>913</v>
      </c>
      <c r="B914" t="str">
        <v>Công an xã Tiên Dược  thành phố Hà Nội</v>
      </c>
      <c r="C914" t="str">
        <v>-</v>
      </c>
      <c r="D914" t="str">
        <v>-</v>
      </c>
      <c r="E914" t="str">
        <v/>
      </c>
      <c r="F914" t="str">
        <v>-</v>
      </c>
      <c r="G914" t="str">
        <v>-</v>
      </c>
    </row>
    <row r="915">
      <c r="A915">
        <v>914</v>
      </c>
      <c r="B915">
        <f>HYPERLINK("http://tienduoc.socson.hanoi.gov.vn/", "UBND Ủy ban nhân dân xã Tiên Dược  thành phố Hà Nội")</f>
      </c>
      <c r="C915" t="str">
        <v>http://tienduoc.socson.hanoi.gov.vn/</v>
      </c>
      <c r="D915" t="str">
        <v>-</v>
      </c>
      <c r="E915" t="str">
        <v>-</v>
      </c>
      <c r="F915" t="str">
        <v>-</v>
      </c>
      <c r="G915" t="str">
        <v>-</v>
      </c>
    </row>
    <row r="916">
      <c r="A916">
        <v>915</v>
      </c>
      <c r="B916" t="str">
        <v>Công an xã Việt Long  thành phố Hà Nội</v>
      </c>
      <c r="C916" t="str">
        <v>-</v>
      </c>
      <c r="D916" t="str">
        <v>-</v>
      </c>
      <c r="E916" t="str">
        <v/>
      </c>
      <c r="F916" t="str">
        <v>-</v>
      </c>
      <c r="G916" t="str">
        <v>-</v>
      </c>
    </row>
    <row r="917">
      <c r="A917">
        <v>916</v>
      </c>
      <c r="B917">
        <f>HYPERLINK("http://vietlong.socson.hanoi.gov.vn/", "UBND Ủy ban nhân dân xã Việt Long  thành phố Hà Nội")</f>
      </c>
      <c r="C917" t="str">
        <v>http://vietlong.socson.hanoi.gov.vn/</v>
      </c>
      <c r="D917" t="str">
        <v>-</v>
      </c>
      <c r="E917" t="str">
        <v>-</v>
      </c>
      <c r="F917" t="str">
        <v>-</v>
      </c>
      <c r="G917" t="str">
        <v>-</v>
      </c>
    </row>
    <row r="918">
      <c r="A918">
        <v>917</v>
      </c>
      <c r="B918">
        <f>HYPERLINK("https://www.facebook.com/p/C%C3%B4ng-an-x%C3%A3-Xu%C3%A2n-Giang-100069958610694/", "Công an xã Xuân Giang  thành phố Hà Nội")</f>
      </c>
      <c r="C918" t="str">
        <v>https://www.facebook.com/p/C%C3%B4ng-an-x%C3%A3-Xu%C3%A2n-Giang-100069958610694/</v>
      </c>
      <c r="D918" t="str">
        <v>-</v>
      </c>
      <c r="E918" t="str">
        <v/>
      </c>
      <c r="F918" t="str">
        <v>-</v>
      </c>
      <c r="G918" t="str">
        <v>-</v>
      </c>
    </row>
    <row r="919">
      <c r="A919">
        <v>918</v>
      </c>
      <c r="B919">
        <f>HYPERLINK("http://xuangiang.nghixuan.hatinh.gov.vn/", "UBND Ủy ban nhân dân xã Xuân Giang  thành phố Hà Nội")</f>
      </c>
      <c r="C919" t="str">
        <v>http://xuangiang.nghixuan.hatinh.gov.vn/</v>
      </c>
      <c r="D919" t="str">
        <v>-</v>
      </c>
      <c r="E919" t="str">
        <v>-</v>
      </c>
      <c r="F919" t="str">
        <v>-</v>
      </c>
      <c r="G919" t="str">
        <v>-</v>
      </c>
    </row>
    <row r="920">
      <c r="A920">
        <v>919</v>
      </c>
      <c r="B920">
        <f>HYPERLINK("https://www.facebook.com/p/Tu%E1%BB%95i-Tr%E1%BA%BB-C%C3%B4ng-An-Qu%E1%BA%ADn-T%C3%A2y-H%E1%BB%93-100080140217978/?locale=sw_KE", "Công an xã Mai Đình  thành phố Hà Nội")</f>
      </c>
      <c r="C920" t="str">
        <v>https://www.facebook.com/p/Tu%E1%BB%95i-Tr%E1%BA%BB-C%C3%B4ng-An-Qu%E1%BA%ADn-T%C3%A2y-H%E1%BB%93-100080140217978/?locale=sw_KE</v>
      </c>
      <c r="D920" t="str">
        <v>-</v>
      </c>
      <c r="E920" t="str">
        <v/>
      </c>
      <c r="F920" t="str">
        <v>-</v>
      </c>
      <c r="G920" t="str">
        <v>-</v>
      </c>
    </row>
    <row r="921">
      <c r="A921">
        <v>920</v>
      </c>
      <c r="B921">
        <f>HYPERLINK("http://maidinh.socson.hanoi.gov.vn/", "UBND Ủy ban nhân dân xã Mai Đình  thành phố Hà Nội")</f>
      </c>
      <c r="C921" t="str">
        <v>http://maidinh.socson.hanoi.gov.vn/</v>
      </c>
      <c r="D921" t="str">
        <v>-</v>
      </c>
      <c r="E921" t="str">
        <v>-</v>
      </c>
      <c r="F921" t="str">
        <v>-</v>
      </c>
      <c r="G921" t="str">
        <v>-</v>
      </c>
    </row>
    <row r="922">
      <c r="A922">
        <v>921</v>
      </c>
      <c r="B922">
        <f>HYPERLINK("https://www.facebook.com/doanthanhnien.1956/", "Công an xã Đức Hoà  thành phố Hà Nội")</f>
      </c>
      <c r="C922" t="str">
        <v>https://www.facebook.com/doanthanhnien.1956/</v>
      </c>
      <c r="D922" t="str">
        <v>-</v>
      </c>
      <c r="E922" t="str">
        <v/>
      </c>
      <c r="F922" t="str">
        <v>-</v>
      </c>
      <c r="G922" t="str">
        <v>-</v>
      </c>
    </row>
    <row r="923">
      <c r="A923">
        <v>922</v>
      </c>
      <c r="B923">
        <f>HYPERLINK("http://duchoa.socson.hanoi.gov.vn/uy-ban-nhan-dan", "UBND Ủy ban nhân dân xã Đức Hoà  thành phố Hà Nội")</f>
      </c>
      <c r="C923" t="str">
        <v>http://duchoa.socson.hanoi.gov.vn/uy-ban-nhan-dan</v>
      </c>
      <c r="D923" t="str">
        <v>-</v>
      </c>
      <c r="E923" t="str">
        <v>-</v>
      </c>
      <c r="F923" t="str">
        <v>-</v>
      </c>
      <c r="G923" t="str">
        <v>-</v>
      </c>
    </row>
    <row r="924">
      <c r="A924">
        <v>923</v>
      </c>
      <c r="B924">
        <f>HYPERLINK("https://www.facebook.com/CAQTX/", "Công an xã Thanh Xuân  thành phố Hà Nội")</f>
      </c>
      <c r="C924" t="str">
        <v>https://www.facebook.com/CAQTX/</v>
      </c>
      <c r="D924" t="str">
        <v>-</v>
      </c>
      <c r="E924" t="str">
        <v/>
      </c>
      <c r="F924" t="str">
        <v>-</v>
      </c>
      <c r="G924" t="str">
        <v>-</v>
      </c>
    </row>
    <row r="925">
      <c r="A925">
        <v>924</v>
      </c>
      <c r="B925">
        <f>HYPERLINK("https://thanhxuan.hanoi.gov.vn/uy-ban-nhan-dan", "UBND Ủy ban nhân dân xã Thanh Xuân  thành phố Hà Nội")</f>
      </c>
      <c r="C925" t="str">
        <v>https://thanhxuan.hanoi.gov.vn/uy-ban-nhan-dan</v>
      </c>
      <c r="D925" t="str">
        <v>-</v>
      </c>
      <c r="E925" t="str">
        <v>-</v>
      </c>
      <c r="F925" t="str">
        <v>-</v>
      </c>
      <c r="G925" t="str">
        <v>-</v>
      </c>
    </row>
    <row r="926">
      <c r="A926">
        <v>925</v>
      </c>
      <c r="B926">
        <f>HYPERLINK("https://www.facebook.com/CAQTX/", "Công an xã Đông Xuân  thành phố Hà Nội")</f>
      </c>
      <c r="C926" t="str">
        <v>https://www.facebook.com/CAQTX/</v>
      </c>
      <c r="D926" t="str">
        <v>-</v>
      </c>
      <c r="E926" t="str">
        <v/>
      </c>
      <c r="F926" t="str">
        <v>-</v>
      </c>
      <c r="G926" t="str">
        <v>-</v>
      </c>
    </row>
    <row r="927">
      <c r="A927">
        <v>926</v>
      </c>
      <c r="B927">
        <f>HYPERLINK("https://chuongmy.hanoi.gov.vn/", "UBND Ủy ban nhân dân xã Đông Xuân  thành phố Hà Nội")</f>
      </c>
      <c r="C927" t="str">
        <v>https://chuongmy.hanoi.gov.vn/</v>
      </c>
      <c r="D927" t="str">
        <v>-</v>
      </c>
      <c r="E927" t="str">
        <v>-</v>
      </c>
      <c r="F927" t="str">
        <v>-</v>
      </c>
      <c r="G927" t="str">
        <v>-</v>
      </c>
    </row>
    <row r="928">
      <c r="A928">
        <v>927</v>
      </c>
      <c r="B928">
        <f>HYPERLINK("https://www.facebook.com/265963428377240", "Công an xã Kim Lũ  thành phố Hà Nội")</f>
      </c>
      <c r="C928" t="str">
        <v>https://www.facebook.com/265963428377240</v>
      </c>
      <c r="D928" t="str">
        <v>-</v>
      </c>
      <c r="E928" t="str">
        <v/>
      </c>
      <c r="F928" t="str">
        <v>-</v>
      </c>
      <c r="G928" t="str">
        <v>-</v>
      </c>
    </row>
    <row r="929">
      <c r="A929">
        <v>928</v>
      </c>
      <c r="B929">
        <f>HYPERLINK("http://kimlu.socson.hanoi.gov.vn/", "UBND Ủy ban nhân dân xã Kim Lũ  thành phố Hà Nội")</f>
      </c>
      <c r="C929" t="str">
        <v>http://kimlu.socson.hanoi.gov.vn/</v>
      </c>
      <c r="D929" t="str">
        <v>-</v>
      </c>
      <c r="E929" t="str">
        <v>-</v>
      </c>
      <c r="F929" t="str">
        <v>-</v>
      </c>
      <c r="G929" t="str">
        <v>-</v>
      </c>
    </row>
    <row r="930">
      <c r="A930">
        <v>929</v>
      </c>
      <c r="B930">
        <f>HYPERLINK("https://www.facebook.com/groups/toi.yeu.xa.phu.cuong.huyen.soc.son/", "Công an xã Phú Cường  thành phố Hà Nội")</f>
      </c>
      <c r="C930" t="str">
        <v>https://www.facebook.com/groups/toi.yeu.xa.phu.cuong.huyen.soc.son/</v>
      </c>
      <c r="D930" t="str">
        <v>-</v>
      </c>
      <c r="E930" t="str">
        <v/>
      </c>
      <c r="F930" t="str">
        <v>-</v>
      </c>
      <c r="G930" t="str">
        <v>-</v>
      </c>
    </row>
    <row r="931">
      <c r="A931">
        <v>930</v>
      </c>
      <c r="B931">
        <f>HYPERLINK("https://bavi.hanoi.gov.vn/uy-ban-nhan-dan-xa-thi-tran/-/asset_publisher/BXvxOA8eYieu/content/xa-phu-cuong", "UBND Ủy ban nhân dân xã Phú Cường  thành phố Hà Nội")</f>
      </c>
      <c r="C931" t="str">
        <v>https://bavi.hanoi.gov.vn/uy-ban-nhan-dan-xa-thi-tran/-/asset_publisher/BXvxOA8eYieu/content/xa-phu-cuong</v>
      </c>
      <c r="D931" t="str">
        <v>-</v>
      </c>
      <c r="E931" t="str">
        <v>-</v>
      </c>
      <c r="F931" t="str">
        <v>-</v>
      </c>
      <c r="G931" t="str">
        <v>-</v>
      </c>
    </row>
    <row r="932">
      <c r="A932">
        <v>931</v>
      </c>
      <c r="B932">
        <f>HYPERLINK("https://www.facebook.com/vanhoathongtin.phuminh/", "Công an xã Phú Minh  thành phố Hà Nội")</f>
      </c>
      <c r="C932" t="str">
        <v>https://www.facebook.com/vanhoathongtin.phuminh/</v>
      </c>
      <c r="D932" t="str">
        <v>-</v>
      </c>
      <c r="E932" t="str">
        <v/>
      </c>
      <c r="F932" t="str">
        <v>-</v>
      </c>
      <c r="G932" t="str">
        <v>-</v>
      </c>
    </row>
    <row r="933">
      <c r="A933">
        <v>932</v>
      </c>
      <c r="B933">
        <f>HYPERLINK("http://phuminh.socson.hanoi.gov.vn/", "UBND Ủy ban nhân dân xã Phú Minh  thành phố Hà Nội")</f>
      </c>
      <c r="C933" t="str">
        <v>http://phuminh.socson.hanoi.gov.vn/</v>
      </c>
      <c r="D933" t="str">
        <v>-</v>
      </c>
      <c r="E933" t="str">
        <v>-</v>
      </c>
      <c r="F933" t="str">
        <v>-</v>
      </c>
      <c r="G933" t="str">
        <v>-</v>
      </c>
    </row>
    <row r="934">
      <c r="A934">
        <v>933</v>
      </c>
      <c r="B934">
        <f>HYPERLINK("https://www.facebook.com/p/Ph%C3%B9-L%E1%BB%97-V%C3%B9ng-%C4%90%E1%BA%A5t-Con-Ng%C6%B0%E1%BB%9Di-100065179714867/", "Công an xã Phù Lỗ  thành phố Hà Nội")</f>
      </c>
      <c r="C934" t="str">
        <v>https://www.facebook.com/p/Ph%C3%B9-L%E1%BB%97-V%C3%B9ng-%C4%90%E1%BA%A5t-Con-Ng%C6%B0%E1%BB%9Di-100065179714867/</v>
      </c>
      <c r="D934" t="str">
        <v>-</v>
      </c>
      <c r="E934" t="str">
        <v/>
      </c>
      <c r="F934" t="str">
        <v>-</v>
      </c>
      <c r="G934" t="str">
        <v>-</v>
      </c>
    </row>
    <row r="935">
      <c r="A935">
        <v>934</v>
      </c>
      <c r="B935">
        <f>HYPERLINK("http://ttsocson.socson.hanoi.gov.vn/web/xa-phu-lo/trang-chu/-/view_content/325415-che-nhai-phu-lo.html?p_p_auth=i3UO3nxI", "UBND Ủy ban nhân dân xã Phù Lỗ  thành phố Hà Nội")</f>
      </c>
      <c r="C935" t="str">
        <v>http://ttsocson.socson.hanoi.gov.vn/web/xa-phu-lo/trang-chu/-/view_content/325415-che-nhai-phu-lo.html?p_p_auth=i3UO3nxI</v>
      </c>
      <c r="D935" t="str">
        <v>-</v>
      </c>
      <c r="E935" t="str">
        <v>-</v>
      </c>
      <c r="F935" t="str">
        <v>-</v>
      </c>
      <c r="G935" t="str">
        <v>-</v>
      </c>
    </row>
    <row r="936">
      <c r="A936">
        <v>935</v>
      </c>
      <c r="B936">
        <f>HYPERLINK("https://www.facebook.com/CAQTX/", "Công an xã Xuân Thu  thành phố Hà Nội")</f>
      </c>
      <c r="C936" t="str">
        <v>https://www.facebook.com/CAQTX/</v>
      </c>
      <c r="D936" t="str">
        <v>-</v>
      </c>
      <c r="E936" t="str">
        <v/>
      </c>
      <c r="F936" t="str">
        <v>-</v>
      </c>
      <c r="G936" t="str">
        <v>-</v>
      </c>
    </row>
    <row r="937">
      <c r="A937">
        <v>936</v>
      </c>
      <c r="B937">
        <f>HYPERLINK("http://xuanthu.socson.hanoi.gov.vn/", "UBND Ủy ban nhân dân xã Xuân Thu  thành phố Hà Nội")</f>
      </c>
      <c r="C937" t="str">
        <v>http://xuanthu.socson.hanoi.gov.vn/</v>
      </c>
      <c r="D937" t="str">
        <v>-</v>
      </c>
      <c r="E937" t="str">
        <v>-</v>
      </c>
      <c r="F937" t="str">
        <v>-</v>
      </c>
      <c r="G937" t="str">
        <v>-</v>
      </c>
    </row>
    <row r="938">
      <c r="A938">
        <v>937</v>
      </c>
      <c r="B938">
        <f>HYPERLINK("https://www.facebook.com/TTCAHDongAnh/?locale=vi_VN", "Công an thị trấn Đông Anh  thành phố Hà Nội")</f>
      </c>
      <c r="C938" t="str">
        <v>https://www.facebook.com/TTCAHDongAnh/?locale=vi_VN</v>
      </c>
      <c r="D938" t="str">
        <v>-</v>
      </c>
      <c r="E938" t="str">
        <v/>
      </c>
      <c r="F938" t="str">
        <v>-</v>
      </c>
      <c r="G938" t="str">
        <v>-</v>
      </c>
    </row>
    <row r="939">
      <c r="A939">
        <v>938</v>
      </c>
      <c r="B939">
        <f>HYPERLINK("https://thitran.donganh.hanoi.gov.vn/uy-ban-nhan-dan-thi-tran", "UBND Ủy ban nhân dân thị trấn Đông Anh  thành phố Hà Nội")</f>
      </c>
      <c r="C939" t="str">
        <v>https://thitran.donganh.hanoi.gov.vn/uy-ban-nhan-dan-thi-tran</v>
      </c>
      <c r="D939" t="str">
        <v>-</v>
      </c>
      <c r="E939" t="str">
        <v>-</v>
      </c>
      <c r="F939" t="str">
        <v>-</v>
      </c>
      <c r="G939" t="str">
        <v>-</v>
      </c>
    </row>
    <row r="940">
      <c r="A940">
        <v>939</v>
      </c>
      <c r="B940">
        <f>HYPERLINK("https://www.facebook.com/p/Tu%E1%BB%95i-tr%E1%BA%BB-C%C3%B4ng-an-huy%E1%BB%87n-Ph%C3%BAc-Th%E1%BB%8D-100066934373551/", "Công an xã Xuân Nộn  thành phố Hà Nội")</f>
      </c>
      <c r="C940" t="str">
        <v>https://www.facebook.com/p/Tu%E1%BB%95i-tr%E1%BA%BB-C%C3%B4ng-an-huy%E1%BB%87n-Ph%C3%BAc-Th%E1%BB%8D-100066934373551/</v>
      </c>
      <c r="D940" t="str">
        <v>-</v>
      </c>
      <c r="E940" t="str">
        <v/>
      </c>
      <c r="F940" t="str">
        <v>-</v>
      </c>
      <c r="G940" t="str">
        <v>-</v>
      </c>
    </row>
    <row r="941">
      <c r="A941">
        <v>940</v>
      </c>
      <c r="B941">
        <f>HYPERLINK("https://xuannon.donganh.hanoi.gov.vn/", "UBND Ủy ban nhân dân xã Xuân Nộn  thành phố Hà Nội")</f>
      </c>
      <c r="C941" t="str">
        <v>https://xuannon.donganh.hanoi.gov.vn/</v>
      </c>
      <c r="D941" t="str">
        <v>-</v>
      </c>
      <c r="E941" t="str">
        <v>-</v>
      </c>
      <c r="F941" t="str">
        <v>-</v>
      </c>
      <c r="G941" t="str">
        <v>-</v>
      </c>
    </row>
    <row r="942">
      <c r="A942">
        <v>941</v>
      </c>
      <c r="B942">
        <f>HYPERLINK("https://www.facebook.com/ThcsThuyLam.da/", "Công an xã Thuỵ Lâm  thành phố Hà Nội")</f>
      </c>
      <c r="C942" t="str">
        <v>https://www.facebook.com/ThcsThuyLam.da/</v>
      </c>
      <c r="D942" t="str">
        <v>-</v>
      </c>
      <c r="E942" t="str">
        <v/>
      </c>
      <c r="F942" t="str">
        <v>-</v>
      </c>
      <c r="G942" t="str">
        <v>-</v>
      </c>
    </row>
    <row r="943">
      <c r="A943">
        <v>942</v>
      </c>
      <c r="B943">
        <f>HYPERLINK("https://thuylam.donganh.hanoi.gov.vn/", "UBND Ủy ban nhân dân xã Thuỵ Lâm  thành phố Hà Nội")</f>
      </c>
      <c r="C943" t="str">
        <v>https://thuylam.donganh.hanoi.gov.vn/</v>
      </c>
      <c r="D943" t="str">
        <v>-</v>
      </c>
      <c r="E943" t="str">
        <v>-</v>
      </c>
      <c r="F943" t="str">
        <v>-</v>
      </c>
      <c r="G943" t="str">
        <v>-</v>
      </c>
    </row>
    <row r="944">
      <c r="A944">
        <v>943</v>
      </c>
      <c r="B944">
        <f>HYPERLINK("https://www.facebook.com/groups/toi.yeu.xa.bac.hong.huyen.dong.anh/", "Công an xã Bắc Hồng  thành phố Hà Nội")</f>
      </c>
      <c r="C944" t="str">
        <v>https://www.facebook.com/groups/toi.yeu.xa.bac.hong.huyen.dong.anh/</v>
      </c>
      <c r="D944" t="str">
        <v>-</v>
      </c>
      <c r="E944" t="str">
        <v/>
      </c>
      <c r="F944" t="str">
        <v>-</v>
      </c>
      <c r="G944" t="str">
        <v>-</v>
      </c>
    </row>
    <row r="945">
      <c r="A945">
        <v>944</v>
      </c>
      <c r="B945">
        <f>HYPERLINK("https://bachong.donganh.hanoi.gov.vn/", "UBND Ủy ban nhân dân xã Bắc Hồng  thành phố Hà Nội")</f>
      </c>
      <c r="C945" t="str">
        <v>https://bachong.donganh.hanoi.gov.vn/</v>
      </c>
      <c r="D945" t="str">
        <v>-</v>
      </c>
      <c r="E945" t="str">
        <v>-</v>
      </c>
      <c r="F945" t="str">
        <v>-</v>
      </c>
      <c r="G945" t="str">
        <v>-</v>
      </c>
    </row>
    <row r="946">
      <c r="A946">
        <v>945</v>
      </c>
      <c r="B946">
        <f>HYPERLINK("https://www.facebook.com/p/Tu%E1%BB%95i-tr%E1%BA%BB-C%C3%B4ng-an-huy%E1%BB%87n-Ph%C3%BAc-Th%E1%BB%8D-100066934373551/", "Công an xã Nguyên Khê  thành phố Hà Nội")</f>
      </c>
      <c r="C946" t="str">
        <v>https://www.facebook.com/p/Tu%E1%BB%95i-tr%E1%BA%BB-C%C3%B4ng-an-huy%E1%BB%87n-Ph%C3%BAc-Th%E1%BB%8D-100066934373551/</v>
      </c>
      <c r="D946" t="str">
        <v>-</v>
      </c>
      <c r="E946" t="str">
        <v/>
      </c>
      <c r="F946" t="str">
        <v>-</v>
      </c>
      <c r="G946" t="str">
        <v>-</v>
      </c>
    </row>
    <row r="947">
      <c r="A947">
        <v>946</v>
      </c>
      <c r="B947">
        <f>HYPERLINK("https://nguyenkhe.donganh.hanoi.gov.vn/", "UBND Ủy ban nhân dân xã Nguyên Khê  thành phố Hà Nội")</f>
      </c>
      <c r="C947" t="str">
        <v>https://nguyenkhe.donganh.hanoi.gov.vn/</v>
      </c>
      <c r="D947" t="str">
        <v>-</v>
      </c>
      <c r="E947" t="str">
        <v>-</v>
      </c>
      <c r="F947" t="str">
        <v>-</v>
      </c>
      <c r="G947" t="str">
        <v>-</v>
      </c>
    </row>
    <row r="948">
      <c r="A948">
        <v>947</v>
      </c>
      <c r="B948" t="str">
        <v>Công an xã Nam Hồng  thành phố Hà Nội</v>
      </c>
      <c r="C948" t="str">
        <v>-</v>
      </c>
      <c r="D948" t="str">
        <v>-</v>
      </c>
      <c r="E948" t="str">
        <v/>
      </c>
      <c r="F948" t="str">
        <v>-</v>
      </c>
      <c r="G948" t="str">
        <v>-</v>
      </c>
    </row>
    <row r="949">
      <c r="A949">
        <v>948</v>
      </c>
      <c r="B949">
        <f>HYPERLINK("https://namhong.donganh.hanoi.gov.vn/", "UBND Ủy ban nhân dân xã Nam Hồng  thành phố Hà Nội")</f>
      </c>
      <c r="C949" t="str">
        <v>https://namhong.donganh.hanoi.gov.vn/</v>
      </c>
      <c r="D949" t="str">
        <v>-</v>
      </c>
      <c r="E949" t="str">
        <v>-</v>
      </c>
      <c r="F949" t="str">
        <v>-</v>
      </c>
      <c r="G949" t="str">
        <v>-</v>
      </c>
    </row>
    <row r="950">
      <c r="A950">
        <v>949</v>
      </c>
      <c r="B950">
        <f>HYPERLINK("https://www.facebook.com/1181134665614608", "Công an xã Tiên Dương  thành phố Hà Nội")</f>
      </c>
      <c r="C950" t="str">
        <v>https://www.facebook.com/1181134665614608</v>
      </c>
      <c r="D950" t="str">
        <v>-</v>
      </c>
      <c r="E950" t="str">
        <v/>
      </c>
      <c r="F950" t="str">
        <v>-</v>
      </c>
      <c r="G950" t="str">
        <v>-</v>
      </c>
    </row>
    <row r="951">
      <c r="A951">
        <v>950</v>
      </c>
      <c r="B951">
        <f>HYPERLINK("https://tienduong.donganh.hanoi.gov.vn/", "UBND Ủy ban nhân dân xã Tiên Dương  thành phố Hà Nội")</f>
      </c>
      <c r="C951" t="str">
        <v>https://tienduong.donganh.hanoi.gov.vn/</v>
      </c>
      <c r="D951" t="str">
        <v>-</v>
      </c>
      <c r="E951" t="str">
        <v>-</v>
      </c>
      <c r="F951" t="str">
        <v>-</v>
      </c>
      <c r="G951" t="str">
        <v>-</v>
      </c>
    </row>
    <row r="952">
      <c r="A952">
        <v>951</v>
      </c>
      <c r="B952">
        <f>HYPERLINK("https://www.facebook.com/CAxVanHa/", "Công an xã Vân Hà  thành phố Hà Nội")</f>
      </c>
      <c r="C952" t="str">
        <v>https://www.facebook.com/CAxVanHa/</v>
      </c>
      <c r="D952" t="str">
        <v>-</v>
      </c>
      <c r="E952" t="str">
        <v/>
      </c>
      <c r="F952" t="str">
        <v>-</v>
      </c>
      <c r="G952" t="str">
        <v>-</v>
      </c>
    </row>
    <row r="953">
      <c r="A953">
        <v>952</v>
      </c>
      <c r="B953">
        <f>HYPERLINK("https://vanha.donganh.hanoi.gov.vn/", "UBND Ủy ban nhân dân xã Vân Hà  thành phố Hà Nội")</f>
      </c>
      <c r="C953" t="str">
        <v>https://vanha.donganh.hanoi.gov.vn/</v>
      </c>
      <c r="D953" t="str">
        <v>-</v>
      </c>
      <c r="E953" t="str">
        <v>-</v>
      </c>
      <c r="F953" t="str">
        <v>-</v>
      </c>
      <c r="G953" t="str">
        <v>-</v>
      </c>
    </row>
    <row r="954">
      <c r="A954">
        <v>953</v>
      </c>
      <c r="B954">
        <f>HYPERLINK("https://www.facebook.com/TTCAHDongAnh/?locale=zh_HK", "Công an xã Uy Nỗ  thành phố Hà Nội")</f>
      </c>
      <c r="C954" t="str">
        <v>https://www.facebook.com/TTCAHDongAnh/?locale=zh_HK</v>
      </c>
      <c r="D954" t="str">
        <v>-</v>
      </c>
      <c r="E954" t="str">
        <v/>
      </c>
      <c r="F954" t="str">
        <v>-</v>
      </c>
      <c r="G954" t="str">
        <v>-</v>
      </c>
    </row>
    <row r="955">
      <c r="A955">
        <v>954</v>
      </c>
      <c r="B955">
        <f>HYPERLINK("https://uyno.donganh.hanoi.gov.vn/", "UBND Ủy ban nhân dân xã Uy Nỗ  thành phố Hà Nội")</f>
      </c>
      <c r="C955" t="str">
        <v>https://uyno.donganh.hanoi.gov.vn/</v>
      </c>
      <c r="D955" t="str">
        <v>-</v>
      </c>
      <c r="E955" t="str">
        <v>-</v>
      </c>
      <c r="F955" t="str">
        <v>-</v>
      </c>
      <c r="G955" t="str">
        <v>-</v>
      </c>
    </row>
    <row r="956">
      <c r="A956">
        <v>955</v>
      </c>
      <c r="B956">
        <f>HYPERLINK("https://www.facebook.com/CAxVanHa/", "Công an xã Vân Nội  thành phố Hà Nội")</f>
      </c>
      <c r="C956" t="str">
        <v>https://www.facebook.com/CAxVanHa/</v>
      </c>
      <c r="D956" t="str">
        <v>-</v>
      </c>
      <c r="E956" t="str">
        <v/>
      </c>
      <c r="F956" t="str">
        <v>-</v>
      </c>
      <c r="G956" t="str">
        <v>-</v>
      </c>
    </row>
    <row r="957">
      <c r="A957">
        <v>956</v>
      </c>
      <c r="B957">
        <f>HYPERLINK("https://vannoi.donganh.hanoi.gov.vn/", "UBND Ủy ban nhân dân xã Vân Nội  thành phố Hà Nội")</f>
      </c>
      <c r="C957" t="str">
        <v>https://vannoi.donganh.hanoi.gov.vn/</v>
      </c>
      <c r="D957" t="str">
        <v>-</v>
      </c>
      <c r="E957" t="str">
        <v>-</v>
      </c>
      <c r="F957" t="str">
        <v>-</v>
      </c>
      <c r="G957" t="str">
        <v>-</v>
      </c>
    </row>
    <row r="958">
      <c r="A958">
        <v>957</v>
      </c>
      <c r="B958" t="str">
        <v>Công an xã Liên Hà  thành phố Hà Nội</v>
      </c>
      <c r="C958" t="str">
        <v>-</v>
      </c>
      <c r="D958" t="str">
        <v>-</v>
      </c>
      <c r="E958" t="str">
        <v/>
      </c>
      <c r="F958" t="str">
        <v>-</v>
      </c>
      <c r="G958" t="str">
        <v>-</v>
      </c>
    </row>
    <row r="959">
      <c r="A959">
        <v>958</v>
      </c>
      <c r="B959">
        <f>HYPERLINK("https://lienha.donganh.hanoi.gov.vn/", "UBND Ủy ban nhân dân xã Liên Hà  thành phố Hà Nội")</f>
      </c>
      <c r="C959" t="str">
        <v>https://lienha.donganh.hanoi.gov.vn/</v>
      </c>
      <c r="D959" t="str">
        <v>-</v>
      </c>
      <c r="E959" t="str">
        <v>-</v>
      </c>
      <c r="F959" t="str">
        <v>-</v>
      </c>
      <c r="G959" t="str">
        <v>-</v>
      </c>
    </row>
    <row r="960">
      <c r="A960">
        <v>959</v>
      </c>
      <c r="B960">
        <f>HYPERLINK("https://www.facebook.com/thonducnoiviethung/", "Công an xã Việt Hùng  thành phố Hà Nội")</f>
      </c>
      <c r="C960" t="str">
        <v>https://www.facebook.com/thonducnoiviethung/</v>
      </c>
      <c r="D960" t="str">
        <v>-</v>
      </c>
      <c r="E960" t="str">
        <v/>
      </c>
      <c r="F960" t="str">
        <v>-</v>
      </c>
      <c r="G960" t="str">
        <v>-</v>
      </c>
    </row>
    <row r="961">
      <c r="A961">
        <v>960</v>
      </c>
      <c r="B961">
        <f>HYPERLINK("https://viethung.donganh.hanoi.gov.vn/", "UBND Ủy ban nhân dân xã Việt Hùng  thành phố Hà Nội")</f>
      </c>
      <c r="C961" t="str">
        <v>https://viethung.donganh.hanoi.gov.vn/</v>
      </c>
      <c r="D961" t="str">
        <v>-</v>
      </c>
      <c r="E961" t="str">
        <v>-</v>
      </c>
      <c r="F961" t="str">
        <v>-</v>
      </c>
      <c r="G961" t="str">
        <v>-</v>
      </c>
    </row>
    <row r="962">
      <c r="A962">
        <v>961</v>
      </c>
      <c r="B962">
        <f>HYPERLINK("https://www.facebook.com/p/Tr%C6%B0%E1%BB%9Dng-THCS-Kim-N%E1%BB%97-100057429489776/", "Công an xã Kim Nỗ  thành phố Hà Nội")</f>
      </c>
      <c r="C962" t="str">
        <v>https://www.facebook.com/p/Tr%C6%B0%E1%BB%9Dng-THCS-Kim-N%E1%BB%97-100057429489776/</v>
      </c>
      <c r="D962" t="str">
        <v>-</v>
      </c>
      <c r="E962" t="str">
        <v/>
      </c>
      <c r="F962" t="str">
        <v>-</v>
      </c>
      <c r="G962" t="str">
        <v>-</v>
      </c>
    </row>
    <row r="963">
      <c r="A963">
        <v>962</v>
      </c>
      <c r="B963">
        <f>HYPERLINK("https://kimno.donganh.hanoi.gov.vn/", "UBND Ủy ban nhân dân xã Kim Nỗ  thành phố Hà Nội")</f>
      </c>
      <c r="C963" t="str">
        <v>https://kimno.donganh.hanoi.gov.vn/</v>
      </c>
      <c r="D963" t="str">
        <v>-</v>
      </c>
      <c r="E963" t="str">
        <v>-</v>
      </c>
      <c r="F963" t="str">
        <v>-</v>
      </c>
      <c r="G963" t="str">
        <v>-</v>
      </c>
    </row>
    <row r="964">
      <c r="A964">
        <v>963</v>
      </c>
      <c r="B964" t="str">
        <v>Công an xã Kim Chung  thành phố Hà Nội</v>
      </c>
      <c r="C964" t="str">
        <v>-</v>
      </c>
      <c r="D964" t="str">
        <v>-</v>
      </c>
      <c r="E964" t="str">
        <v/>
      </c>
      <c r="F964" t="str">
        <v>-</v>
      </c>
      <c r="G964" t="str">
        <v>-</v>
      </c>
    </row>
    <row r="965">
      <c r="A965">
        <v>964</v>
      </c>
      <c r="B965">
        <f>HYPERLINK("https://kimchung.donganh.hanoi.gov.vn/uy-ban-nhan-dan-xa-kim-chung", "UBND Ủy ban nhân dân xã Kim Chung  thành phố Hà Nội")</f>
      </c>
      <c r="C965" t="str">
        <v>https://kimchung.donganh.hanoi.gov.vn/uy-ban-nhan-dan-xa-kim-chung</v>
      </c>
      <c r="D965" t="str">
        <v>-</v>
      </c>
      <c r="E965" t="str">
        <v>-</v>
      </c>
      <c r="F965" t="str">
        <v>-</v>
      </c>
      <c r="G965" t="str">
        <v>-</v>
      </c>
    </row>
    <row r="966">
      <c r="A966">
        <v>965</v>
      </c>
      <c r="B966" t="str">
        <v>Công an xã Dục Tú  thành phố Hà Nội</v>
      </c>
      <c r="C966" t="str">
        <v>-</v>
      </c>
      <c r="D966" t="str">
        <v>-</v>
      </c>
      <c r="E966" t="str">
        <v/>
      </c>
      <c r="F966" t="str">
        <v>-</v>
      </c>
      <c r="G966" t="str">
        <v>-</v>
      </c>
    </row>
    <row r="967">
      <c r="A967">
        <v>966</v>
      </c>
      <c r="B967">
        <f>HYPERLINK("https://ductu.donganh.hanoi.gov.vn/uy-ban-nhan-dan-phuong-khuong-mai", "UBND Ủy ban nhân dân xã Dục Tú  thành phố Hà Nội")</f>
      </c>
      <c r="C967" t="str">
        <v>https://ductu.donganh.hanoi.gov.vn/uy-ban-nhan-dan-phuong-khuong-mai</v>
      </c>
      <c r="D967" t="str">
        <v>-</v>
      </c>
      <c r="E967" t="str">
        <v>-</v>
      </c>
      <c r="F967" t="str">
        <v>-</v>
      </c>
      <c r="G967" t="str">
        <v>-</v>
      </c>
    </row>
    <row r="968">
      <c r="A968">
        <v>967</v>
      </c>
      <c r="B968">
        <f>HYPERLINK("https://www.facebook.com/groups/toi.yeu.xa.dai.mach.huyen.dong.anh/", "Công an xã Đại Mạch  thành phố Hà Nội")</f>
      </c>
      <c r="C968" t="str">
        <v>https://www.facebook.com/groups/toi.yeu.xa.dai.mach.huyen.dong.anh/</v>
      </c>
      <c r="D968" t="str">
        <v>-</v>
      </c>
      <c r="E968" t="str">
        <v/>
      </c>
      <c r="F968" t="str">
        <v>-</v>
      </c>
      <c r="G968" t="str">
        <v>-</v>
      </c>
    </row>
    <row r="969">
      <c r="A969">
        <v>968</v>
      </c>
      <c r="B969">
        <f>HYPERLINK("https://daimach.donganh.hanoi.gov.vn/", "UBND Ủy ban nhân dân xã Đại Mạch  thành phố Hà Nội")</f>
      </c>
      <c r="C969" t="str">
        <v>https://daimach.donganh.hanoi.gov.vn/</v>
      </c>
      <c r="D969" t="str">
        <v>-</v>
      </c>
      <c r="E969" t="str">
        <v>-</v>
      </c>
      <c r="F969" t="str">
        <v>-</v>
      </c>
      <c r="G969" t="str">
        <v>-</v>
      </c>
    </row>
    <row r="970">
      <c r="A970">
        <v>969</v>
      </c>
      <c r="B970" t="str">
        <v>Công an xã Vĩnh Ngọc  thành phố Hà Nội</v>
      </c>
      <c r="C970" t="str">
        <v>-</v>
      </c>
      <c r="D970" t="str">
        <v>-</v>
      </c>
      <c r="E970" t="str">
        <v/>
      </c>
      <c r="F970" t="str">
        <v>-</v>
      </c>
      <c r="G970" t="str">
        <v>-</v>
      </c>
    </row>
    <row r="971">
      <c r="A971">
        <v>970</v>
      </c>
      <c r="B971">
        <f>HYPERLINK("https://vinhngoc.donganh.hanoi.gov.vn/", "UBND Ủy ban nhân dân xã Vĩnh Ngọc  thành phố Hà Nội")</f>
      </c>
      <c r="C971" t="str">
        <v>https://vinhngoc.donganh.hanoi.gov.vn/</v>
      </c>
      <c r="D971" t="str">
        <v>-</v>
      </c>
      <c r="E971" t="str">
        <v>-</v>
      </c>
      <c r="F971" t="str">
        <v>-</v>
      </c>
      <c r="G971" t="str">
        <v>-</v>
      </c>
    </row>
    <row r="972">
      <c r="A972">
        <v>971</v>
      </c>
      <c r="B972" t="str">
        <v>Công an xã Cổ Loa  thành phố Hà Nội</v>
      </c>
      <c r="C972" t="str">
        <v>-</v>
      </c>
      <c r="D972" t="str">
        <v>-</v>
      </c>
      <c r="E972" t="str">
        <v/>
      </c>
      <c r="F972" t="str">
        <v>-</v>
      </c>
      <c r="G972" t="str">
        <v>-</v>
      </c>
    </row>
    <row r="973">
      <c r="A973">
        <v>972</v>
      </c>
      <c r="B973">
        <f>HYPERLINK("https://coloa.donganh.hanoi.gov.vn/uy-ban-nhan-dan-xa-co-loa", "UBND Ủy ban nhân dân xã Cổ Loa  thành phố Hà Nội")</f>
      </c>
      <c r="C973" t="str">
        <v>https://coloa.donganh.hanoi.gov.vn/uy-ban-nhan-dan-xa-co-loa</v>
      </c>
      <c r="D973" t="str">
        <v>-</v>
      </c>
      <c r="E973" t="str">
        <v>-</v>
      </c>
      <c r="F973" t="str">
        <v>-</v>
      </c>
      <c r="G973" t="str">
        <v>-</v>
      </c>
    </row>
    <row r="974">
      <c r="A974">
        <v>973</v>
      </c>
      <c r="B974" t="str">
        <v>Công an xã Hải Bối  thành phố Hà Nội</v>
      </c>
      <c r="C974" t="str">
        <v>-</v>
      </c>
      <c r="D974" t="str">
        <v>-</v>
      </c>
      <c r="E974" t="str">
        <v/>
      </c>
      <c r="F974" t="str">
        <v>-</v>
      </c>
      <c r="G974" t="str">
        <v>-</v>
      </c>
    </row>
    <row r="975">
      <c r="A975">
        <v>974</v>
      </c>
      <c r="B975">
        <f>HYPERLINK("https://haiboi.donganh.hanoi.gov.vn/", "UBND Ủy ban nhân dân xã Hải Bối  thành phố Hà Nội")</f>
      </c>
      <c r="C975" t="str">
        <v>https://haiboi.donganh.hanoi.gov.vn/</v>
      </c>
      <c r="D975" t="str">
        <v>-</v>
      </c>
      <c r="E975" t="str">
        <v>-</v>
      </c>
      <c r="F975" t="str">
        <v>-</v>
      </c>
      <c r="G975" t="str">
        <v>-</v>
      </c>
    </row>
    <row r="976">
      <c r="A976">
        <v>975</v>
      </c>
      <c r="B976" t="str">
        <v>Công an xã Xuân Canh  thành phố Hà Nội</v>
      </c>
      <c r="C976" t="str">
        <v>-</v>
      </c>
      <c r="D976" t="str">
        <v>-</v>
      </c>
      <c r="E976" t="str">
        <v/>
      </c>
      <c r="F976" t="str">
        <v>-</v>
      </c>
      <c r="G976" t="str">
        <v>-</v>
      </c>
    </row>
    <row r="977">
      <c r="A977">
        <v>976</v>
      </c>
      <c r="B977">
        <f>HYPERLINK("https://xuancanh.donganh.hanoi.gov.vn/", "UBND Ủy ban nhân dân xã Xuân Canh  thành phố Hà Nội")</f>
      </c>
      <c r="C977" t="str">
        <v>https://xuancanh.donganh.hanoi.gov.vn/</v>
      </c>
      <c r="D977" t="str">
        <v>-</v>
      </c>
      <c r="E977" t="str">
        <v>-</v>
      </c>
      <c r="F977" t="str">
        <v>-</v>
      </c>
      <c r="G977" t="str">
        <v>-</v>
      </c>
    </row>
    <row r="978">
      <c r="A978">
        <v>977</v>
      </c>
      <c r="B978">
        <f>HYPERLINK("https://www.facebook.com/p/UBND-x%C3%A3-V%C3%B5ng-La-huy%E1%BB%87n-%C4%90%C3%B4ng-Anh-TP-H%C3%A0-N%E1%BB%99i-100068982827310/", "Công an xã Võng La  thành phố Hà Nội")</f>
      </c>
      <c r="C978" t="str">
        <v>https://www.facebook.com/p/UBND-x%C3%A3-V%C3%B5ng-La-huy%E1%BB%87n-%C4%90%C3%B4ng-Anh-TP-H%C3%A0-N%E1%BB%99i-100068982827310/</v>
      </c>
      <c r="D978" t="str">
        <v>-</v>
      </c>
      <c r="E978" t="str">
        <v/>
      </c>
      <c r="F978" t="str">
        <v>-</v>
      </c>
      <c r="G978" t="str">
        <v>-</v>
      </c>
    </row>
    <row r="979">
      <c r="A979">
        <v>978</v>
      </c>
      <c r="B979">
        <f>HYPERLINK("https://vongla.donganh.hanoi.gov.vn/", "UBND Ủy ban nhân dân xã Võng La  thành phố Hà Nội")</f>
      </c>
      <c r="C979" t="str">
        <v>https://vongla.donganh.hanoi.gov.vn/</v>
      </c>
      <c r="D979" t="str">
        <v>-</v>
      </c>
      <c r="E979" t="str">
        <v>-</v>
      </c>
      <c r="F979" t="str">
        <v>-</v>
      </c>
      <c r="G979" t="str">
        <v>-</v>
      </c>
    </row>
    <row r="980">
      <c r="A980">
        <v>979</v>
      </c>
      <c r="B980" t="str">
        <v>Công an xã Tàm Xá  thành phố Hà Nội</v>
      </c>
      <c r="C980" t="str">
        <v>-</v>
      </c>
      <c r="D980" t="str">
        <v>-</v>
      </c>
      <c r="E980" t="str">
        <v/>
      </c>
      <c r="F980" t="str">
        <v>-</v>
      </c>
      <c r="G980" t="str">
        <v>-</v>
      </c>
    </row>
    <row r="981">
      <c r="A981">
        <v>980</v>
      </c>
      <c r="B981">
        <f>HYPERLINK("https://donganh.hanoi.gov.vn/", "UBND Ủy ban nhân dân xã Tàm Xá  thành phố Hà Nội")</f>
      </c>
      <c r="C981" t="str">
        <v>https://donganh.hanoi.gov.vn/</v>
      </c>
      <c r="D981" t="str">
        <v>-</v>
      </c>
      <c r="E981" t="str">
        <v>-</v>
      </c>
      <c r="F981" t="str">
        <v>-</v>
      </c>
      <c r="G981" t="str">
        <v>-</v>
      </c>
    </row>
    <row r="982">
      <c r="A982">
        <v>981</v>
      </c>
      <c r="B982" t="str">
        <v>Công an xã Mai Lâm  thành phố Hà Nội</v>
      </c>
      <c r="C982" t="str">
        <v>-</v>
      </c>
      <c r="D982" t="str">
        <v>-</v>
      </c>
      <c r="E982" t="str">
        <v/>
      </c>
      <c r="F982" t="str">
        <v>-</v>
      </c>
      <c r="G982" t="str">
        <v>-</v>
      </c>
    </row>
    <row r="983">
      <c r="A983">
        <v>982</v>
      </c>
      <c r="B983">
        <f>HYPERLINK("https://mailam.donganh.hanoi.gov.vn/", "UBND Ủy ban nhân dân xã Mai Lâm  thành phố Hà Nội")</f>
      </c>
      <c r="C983" t="str">
        <v>https://mailam.donganh.hanoi.gov.vn/</v>
      </c>
      <c r="D983" t="str">
        <v>-</v>
      </c>
      <c r="E983" t="str">
        <v>-</v>
      </c>
      <c r="F983" t="str">
        <v>-</v>
      </c>
      <c r="G983" t="str">
        <v>-</v>
      </c>
    </row>
    <row r="984">
      <c r="A984">
        <v>983</v>
      </c>
      <c r="B984" t="str">
        <v>Công an xã Đông Hội  thành phố Hà Nội</v>
      </c>
      <c r="C984" t="str">
        <v>-</v>
      </c>
      <c r="D984" t="str">
        <v>-</v>
      </c>
      <c r="E984" t="str">
        <v/>
      </c>
      <c r="F984" t="str">
        <v>-</v>
      </c>
      <c r="G984" t="str">
        <v>-</v>
      </c>
    </row>
    <row r="985">
      <c r="A985">
        <v>984</v>
      </c>
      <c r="B985">
        <f>HYPERLINK("https://donghoi.donganh.hanoi.gov.vn/", "UBND Ủy ban nhân dân xã Đông Hội  thành phố Hà Nội")</f>
      </c>
      <c r="C985" t="str">
        <v>https://donghoi.donganh.hanoi.gov.vn/</v>
      </c>
      <c r="D985" t="str">
        <v>-</v>
      </c>
      <c r="E985" t="str">
        <v>-</v>
      </c>
      <c r="F985" t="str">
        <v>-</v>
      </c>
      <c r="G985" t="str">
        <v>-</v>
      </c>
    </row>
    <row r="986">
      <c r="A986">
        <v>985</v>
      </c>
      <c r="B986">
        <f>HYPERLINK("https://www.facebook.com/p/%E1%BB%A6y-Ban-Nh%C3%A2n-D%C3%A2n-th%E1%BB%8B-tr%E1%BA%A5n-Y%C3%AAn-Vi%C3%AAn-100069742186125/", "Công an thị trấn Yên Viên  thành phố Hà Nội")</f>
      </c>
      <c r="C986" t="str">
        <v>https://www.facebook.com/p/%E1%BB%A6y-Ban-Nh%C3%A2n-D%C3%A2n-th%E1%BB%8B-tr%E1%BA%A5n-Y%C3%AAn-Vi%C3%AAn-100069742186125/</v>
      </c>
      <c r="D986" t="str">
        <v>-</v>
      </c>
      <c r="E986" t="str">
        <v/>
      </c>
      <c r="F986" t="str">
        <v>-</v>
      </c>
      <c r="G986" t="str">
        <v>-</v>
      </c>
    </row>
    <row r="987">
      <c r="A987">
        <v>986</v>
      </c>
      <c r="B987">
        <f>HYPERLINK("https://ttyenvien.gialam.hanoi.gov.vn/", "UBND Ủy ban nhân dân thị trấn Yên Viên  thành phố Hà Nội")</f>
      </c>
      <c r="C987" t="str">
        <v>https://ttyenvien.gialam.hanoi.gov.vn/</v>
      </c>
      <c r="D987" t="str">
        <v>-</v>
      </c>
      <c r="E987" t="str">
        <v>-</v>
      </c>
      <c r="F987" t="str">
        <v>-</v>
      </c>
      <c r="G987" t="str">
        <v>-</v>
      </c>
    </row>
    <row r="988">
      <c r="A988">
        <v>987</v>
      </c>
      <c r="B988">
        <f>HYPERLINK("https://www.facebook.com/p/Tr%C6%B0%E1%BB%9Dng-Ti%E1%BB%83u-h%E1%BB%8Dc-Y%C3%AAn-Th%C6%B0%E1%BB%9Dng-Gia-L%C3%A2m-100057280846622/", "Công an xã Yên Thường  thành phố Hà Nội")</f>
      </c>
      <c r="C988" t="str">
        <v>https://www.facebook.com/p/Tr%C6%B0%E1%BB%9Dng-Ti%E1%BB%83u-h%E1%BB%8Dc-Y%C3%AAn-Th%C6%B0%E1%BB%9Dng-Gia-L%C3%A2m-100057280846622/</v>
      </c>
      <c r="D988" t="str">
        <v>-</v>
      </c>
      <c r="E988" t="str">
        <v/>
      </c>
      <c r="F988" t="str">
        <v>-</v>
      </c>
      <c r="G988" t="str">
        <v>-</v>
      </c>
    </row>
    <row r="989">
      <c r="A989">
        <v>988</v>
      </c>
      <c r="B989">
        <f>HYPERLINK("https://yenthuong.gialam.hanoi.gov.vn/", "UBND Ủy ban nhân dân xã Yên Thường  thành phố Hà Nội")</f>
      </c>
      <c r="C989" t="str">
        <v>https://yenthuong.gialam.hanoi.gov.vn/</v>
      </c>
      <c r="D989" t="str">
        <v>-</v>
      </c>
      <c r="E989" t="str">
        <v>-</v>
      </c>
      <c r="F989" t="str">
        <v>-</v>
      </c>
      <c r="G989" t="str">
        <v>-</v>
      </c>
    </row>
    <row r="990">
      <c r="A990">
        <v>989</v>
      </c>
      <c r="B990">
        <f>HYPERLINK("https://www.facebook.com/p/Tu%E1%BB%95i-tr%E1%BA%BB-C%C3%B4ng-an-Th%C3%A0nh-ph%E1%BB%91-V%C4%A9nh-Y%C3%AAn-100066497717181/", "Công an xã Yên Viên  thành phố Hà Nội")</f>
      </c>
      <c r="C990" t="str">
        <v>https://www.facebook.com/p/Tu%E1%BB%95i-tr%E1%BA%BB-C%C3%B4ng-an-Th%C3%A0nh-ph%E1%BB%91-V%C4%A9nh-Y%C3%AAn-100066497717181/</v>
      </c>
      <c r="D990" t="str">
        <v>-</v>
      </c>
      <c r="E990" t="str">
        <v/>
      </c>
      <c r="F990" t="str">
        <v>-</v>
      </c>
      <c r="G990" t="str">
        <v>-</v>
      </c>
    </row>
    <row r="991">
      <c r="A991">
        <v>990</v>
      </c>
      <c r="B991">
        <f>HYPERLINK("https://xayenvien.gialam.hanoi.gov.vn/danh-ba-dien-thoai", "UBND Ủy ban nhân dân xã Yên Viên  thành phố Hà Nội")</f>
      </c>
      <c r="C991" t="str">
        <v>https://xayenvien.gialam.hanoi.gov.vn/danh-ba-dien-thoai</v>
      </c>
      <c r="D991" t="str">
        <v>-</v>
      </c>
      <c r="E991" t="str">
        <v>-</v>
      </c>
      <c r="F991" t="str">
        <v>-</v>
      </c>
      <c r="G991" t="str">
        <v>-</v>
      </c>
    </row>
    <row r="992">
      <c r="A992">
        <v>991</v>
      </c>
      <c r="B992">
        <f>HYPERLINK("https://www.facebook.com/2784661765192661", "Công an xã Ninh Hiệp  thành phố Hà Nội")</f>
      </c>
      <c r="C992" t="str">
        <v>https://www.facebook.com/2784661765192661</v>
      </c>
      <c r="D992" t="str">
        <v>-</v>
      </c>
      <c r="E992" t="str">
        <v/>
      </c>
      <c r="F992" t="str">
        <v>-</v>
      </c>
      <c r="G992" t="str">
        <v>-</v>
      </c>
    </row>
    <row r="993">
      <c r="A993">
        <v>992</v>
      </c>
      <c r="B993">
        <f>HYPERLINK("https://ninhhiep.gialam.hanoi.gov.vn/ubnd1", "UBND Ủy ban nhân dân xã Ninh Hiệp  thành phố Hà Nội")</f>
      </c>
      <c r="C993" t="str">
        <v>https://ninhhiep.gialam.hanoi.gov.vn/ubnd1</v>
      </c>
      <c r="D993" t="str">
        <v>-</v>
      </c>
      <c r="E993" t="str">
        <v>-</v>
      </c>
      <c r="F993" t="str">
        <v>-</v>
      </c>
      <c r="G993" t="str">
        <v>-</v>
      </c>
    </row>
    <row r="994">
      <c r="A994">
        <v>993</v>
      </c>
      <c r="B994">
        <f>HYPERLINK("https://www.facebook.com/p/Tr%C6%B0%E1%BB%9Dng-Ti%E1%BB%83u-H%E1%BB%8Dc-%C4%90%C3%ACnh-Xuy%C3%AAn-100061039292349/", "Công an xã Đình Xuyên  thành phố Hà Nội")</f>
      </c>
      <c r="C994" t="str">
        <v>https://www.facebook.com/p/Tr%C6%B0%E1%BB%9Dng-Ti%E1%BB%83u-H%E1%BB%8Dc-%C4%90%C3%ACnh-Xuy%C3%AAn-100061039292349/</v>
      </c>
      <c r="D994" t="str">
        <v>-</v>
      </c>
      <c r="E994" t="str">
        <v/>
      </c>
      <c r="F994" t="str">
        <v>-</v>
      </c>
      <c r="G994" t="str">
        <v>-</v>
      </c>
    </row>
    <row r="995">
      <c r="A995">
        <v>994</v>
      </c>
      <c r="B995">
        <f>HYPERLINK("https://vanban.hanoi.gov.vn/ru/giaiquyetkhieunaitocao/-/hn/uxPHaGQkvD8x/7801/131281/7/giai-quyet-khieu-nai-cua-ba-tran-thi-nga-o-huyen-gia-lam.html;jsessionid=fIRESPhuzyq1Ry8ivDmUYSkb.undefined", "UBND Ủy ban nhân dân xã Đình Xuyên  thành phố Hà Nội")</f>
      </c>
      <c r="C995" t="str">
        <v>https://vanban.hanoi.gov.vn/ru/giaiquyetkhieunaitocao/-/hn/uxPHaGQkvD8x/7801/131281/7/giai-quyet-khieu-nai-cua-ba-tran-thi-nga-o-huyen-gia-lam.html;jsessionid=fIRESPhuzyq1Ry8ivDmUYSkb.undefined</v>
      </c>
      <c r="D995" t="str">
        <v>-</v>
      </c>
      <c r="E995" t="str">
        <v>-</v>
      </c>
      <c r="F995" t="str">
        <v>-</v>
      </c>
      <c r="G995" t="str">
        <v>-</v>
      </c>
    </row>
    <row r="996">
      <c r="A996">
        <v>995</v>
      </c>
      <c r="B996">
        <f>HYPERLINK("https://www.facebook.com/doanthanhnien.1956/", "Công an xã Dương Hà  thành phố Hà Nội")</f>
      </c>
      <c r="C996" t="str">
        <v>https://www.facebook.com/doanthanhnien.1956/</v>
      </c>
      <c r="D996" t="str">
        <v>-</v>
      </c>
      <c r="E996" t="str">
        <v/>
      </c>
      <c r="F996" t="str">
        <v>-</v>
      </c>
      <c r="G996" t="str">
        <v>-</v>
      </c>
    </row>
    <row r="997">
      <c r="A997">
        <v>996</v>
      </c>
      <c r="B997">
        <f>HYPERLINK("https://duongha.gialam.hanoi.gov.vn/", "UBND Ủy ban nhân dân xã Dương Hà  thành phố Hà Nội")</f>
      </c>
      <c r="C997" t="str">
        <v>https://duongha.gialam.hanoi.gov.vn/</v>
      </c>
      <c r="D997" t="str">
        <v>-</v>
      </c>
      <c r="E997" t="str">
        <v>-</v>
      </c>
      <c r="F997" t="str">
        <v>-</v>
      </c>
      <c r="G997" t="str">
        <v>-</v>
      </c>
    </row>
    <row r="998">
      <c r="A998">
        <v>997</v>
      </c>
      <c r="B998">
        <f>HYPERLINK("https://www.facebook.com/hanhchinhcongphudong/", "Công an xã Phù Đổng  thành phố Hà Nội")</f>
      </c>
      <c r="C998" t="str">
        <v>https://www.facebook.com/hanhchinhcongphudong/</v>
      </c>
      <c r="D998" t="str">
        <v>-</v>
      </c>
      <c r="E998" t="str">
        <v/>
      </c>
      <c r="F998" t="str">
        <v>-</v>
      </c>
      <c r="G998" t="str">
        <v>-</v>
      </c>
    </row>
    <row r="999">
      <c r="A999">
        <v>998</v>
      </c>
      <c r="B999">
        <f>HYPERLINK("https://dangxa.gialam.hanoi.gov.vn/web/xa-phu-dong/tin-tuc-su-kien/-/view_content/fdsfBhwlU", "UBND Ủy ban nhân dân xã Phù Đổng  thành phố Hà Nội")</f>
      </c>
      <c r="C999" t="str">
        <v>https://dangxa.gialam.hanoi.gov.vn/web/xa-phu-dong/tin-tuc-su-kien/-/view_content/fdsfBhwlU</v>
      </c>
      <c r="D999" t="str">
        <v>-</v>
      </c>
      <c r="E999" t="str">
        <v>-</v>
      </c>
      <c r="F999" t="str">
        <v>-</v>
      </c>
      <c r="G999" t="str">
        <v>-</v>
      </c>
    </row>
    <row r="1000">
      <c r="A1000">
        <v>999</v>
      </c>
      <c r="B1000" t="str">
        <v>Công an xã Trung Mầu  thành phố Hà Nội</v>
      </c>
      <c r="C1000" t="str">
        <v>-</v>
      </c>
      <c r="D1000" t="str">
        <v>-</v>
      </c>
      <c r="E1000" t="str">
        <v/>
      </c>
      <c r="F1000" t="str">
        <v>-</v>
      </c>
      <c r="G1000" t="str">
        <v>-</v>
      </c>
    </row>
    <row r="1001">
      <c r="A1001">
        <v>1000</v>
      </c>
      <c r="B1001">
        <f>HYPERLINK("https://trungmau.gialam.hanoi.gov.vn/danh-ba-dien-thoai", "UBND Ủy ban nhân dân xã Trung Mầu  thành phố Hà Nội")</f>
      </c>
      <c r="C1001" t="str">
        <v>https://trungmau.gialam.hanoi.gov.vn/danh-ba-dien-thoai</v>
      </c>
      <c r="D1001" t="str">
        <v>-</v>
      </c>
      <c r="E1001" t="str">
        <v>-</v>
      </c>
      <c r="F1001" t="str">
        <v>-</v>
      </c>
      <c r="G1001" t="str">
        <v>-</v>
      </c>
    </row>
    <row r="1002">
      <c r="A1002">
        <v>1001</v>
      </c>
      <c r="B1002">
        <f>HYPERLINK("https://www.facebook.com/KimHo113/", "Công an xã Lệ Chi  thành phố Hà Nội")</f>
      </c>
      <c r="C1002" t="str">
        <v>https://www.facebook.com/KimHo113/</v>
      </c>
      <c r="D1002" t="str">
        <v>-</v>
      </c>
      <c r="E1002" t="str">
        <v/>
      </c>
      <c r="F1002" t="str">
        <v>-</v>
      </c>
      <c r="G1002" t="str">
        <v>-</v>
      </c>
    </row>
    <row r="1003">
      <c r="A1003">
        <v>1002</v>
      </c>
      <c r="B1003">
        <f>HYPERLINK("https://lechi.gialam.hanoi.gov.vn/", "UBND Ủy ban nhân dân xã Lệ Chi  thành phố Hà Nội")</f>
      </c>
      <c r="C1003" t="str">
        <v>https://lechi.gialam.hanoi.gov.vn/</v>
      </c>
      <c r="D1003" t="str">
        <v>-</v>
      </c>
      <c r="E1003" t="str">
        <v>-</v>
      </c>
      <c r="F1003" t="str">
        <v>-</v>
      </c>
      <c r="G1003" t="str">
        <v>-</v>
      </c>
    </row>
    <row r="1004">
      <c r="A1004">
        <v>1003</v>
      </c>
      <c r="B1004" t="str">
        <v>Công an xã Cổ Bi  thành phố Hà Nội</v>
      </c>
      <c r="C1004" t="str">
        <v>-</v>
      </c>
      <c r="D1004" t="str">
        <v>-</v>
      </c>
      <c r="E1004" t="str">
        <v/>
      </c>
      <c r="F1004" t="str">
        <v>-</v>
      </c>
      <c r="G1004" t="str">
        <v>-</v>
      </c>
    </row>
    <row r="1005">
      <c r="A1005">
        <v>1004</v>
      </c>
      <c r="B1005">
        <f>HYPERLINK("https://cobi.gialam.hanoi.gov.vn/", "UBND Ủy ban nhân dân xã Cổ Bi  thành phố Hà Nội")</f>
      </c>
      <c r="C1005" t="str">
        <v>https://cobi.gialam.hanoi.gov.vn/</v>
      </c>
      <c r="D1005" t="str">
        <v>-</v>
      </c>
      <c r="E1005" t="str">
        <v>-</v>
      </c>
      <c r="F1005" t="str">
        <v>-</v>
      </c>
      <c r="G1005" t="str">
        <v>-</v>
      </c>
    </row>
    <row r="1006">
      <c r="A1006">
        <v>1005</v>
      </c>
      <c r="B1006" t="str">
        <v>Công an xã Đặng Xá  thành phố Hà Nội</v>
      </c>
      <c r="C1006" t="str">
        <v>-</v>
      </c>
      <c r="D1006" t="str">
        <v>-</v>
      </c>
      <c r="E1006" t="str">
        <v/>
      </c>
      <c r="F1006" t="str">
        <v>-</v>
      </c>
      <c r="G1006" t="str">
        <v>-</v>
      </c>
    </row>
    <row r="1007">
      <c r="A1007">
        <v>1006</v>
      </c>
      <c r="B1007">
        <f>HYPERLINK("https://dangxa.gialam.hanoi.gov.vn/", "UBND Ủy ban nhân dân xã Đặng Xá  thành phố Hà Nội")</f>
      </c>
      <c r="C1007" t="str">
        <v>https://dangxa.gialam.hanoi.gov.vn/</v>
      </c>
      <c r="D1007" t="str">
        <v>-</v>
      </c>
      <c r="E1007" t="str">
        <v>-</v>
      </c>
      <c r="F1007" t="str">
        <v>-</v>
      </c>
      <c r="G1007" t="str">
        <v>-</v>
      </c>
    </row>
    <row r="1008">
      <c r="A1008">
        <v>1007</v>
      </c>
      <c r="B1008">
        <f>HYPERLINK("https://www.facebook.com/groups/toi.yeu.xa.phu.thi.huyen.gia.lam/", "Công an xã Phú Thị  thành phố Hà Nội")</f>
      </c>
      <c r="C1008" t="str">
        <v>https://www.facebook.com/groups/toi.yeu.xa.phu.thi.huyen.gia.lam/</v>
      </c>
      <c r="D1008" t="str">
        <v>-</v>
      </c>
      <c r="E1008" t="str">
        <v/>
      </c>
      <c r="F1008" t="str">
        <v>-</v>
      </c>
      <c r="G1008" t="str">
        <v>-</v>
      </c>
    </row>
    <row r="1009">
      <c r="A1009">
        <v>1008</v>
      </c>
      <c r="B1009">
        <f>HYPERLINK("https://phuthi.gialam.hanoi.gov.vn/", "UBND Ủy ban nhân dân xã Phú Thị  thành phố Hà Nội")</f>
      </c>
      <c r="C1009" t="str">
        <v>https://phuthi.gialam.hanoi.gov.vn/</v>
      </c>
      <c r="D1009" t="str">
        <v>-</v>
      </c>
      <c r="E1009" t="str">
        <v>-</v>
      </c>
      <c r="F1009" t="str">
        <v>-</v>
      </c>
      <c r="G1009" t="str">
        <v>-</v>
      </c>
    </row>
    <row r="1010">
      <c r="A1010">
        <v>1009</v>
      </c>
      <c r="B1010">
        <f>HYPERLINK("https://www.facebook.com/KimSon.SonTay.HaNoi/?locale=vi_VN", "Công an xã Kim Sơn  thành phố Hà Nội")</f>
      </c>
      <c r="C1010" t="str">
        <v>https://www.facebook.com/KimSon.SonTay.HaNoi/?locale=vi_VN</v>
      </c>
      <c r="D1010" t="str">
        <v>-</v>
      </c>
      <c r="E1010" t="str">
        <v/>
      </c>
      <c r="F1010" t="str">
        <v>-</v>
      </c>
      <c r="G1010" t="str">
        <v>-</v>
      </c>
    </row>
    <row r="1011">
      <c r="A1011">
        <v>1010</v>
      </c>
      <c r="B1011">
        <f>HYPERLINK("https://kimson.sontay.hanoi.gov.vn/tin-chi-tiet/-/chi-tiet/uy-ban-nhan-dan-xa-kim-son-6047-1307.html", "UBND Ủy ban nhân dân xã Kim Sơn  thành phố Hà Nội")</f>
      </c>
      <c r="C1011" t="str">
        <v>https://kimson.sontay.hanoi.gov.vn/tin-chi-tiet/-/chi-tiet/uy-ban-nhan-dan-xa-kim-son-6047-1307.html</v>
      </c>
      <c r="D1011" t="str">
        <v>-</v>
      </c>
      <c r="E1011" t="str">
        <v>-</v>
      </c>
      <c r="F1011" t="str">
        <v>-</v>
      </c>
      <c r="G1011" t="str">
        <v>-</v>
      </c>
    </row>
    <row r="1012">
      <c r="A1012">
        <v>1011</v>
      </c>
      <c r="B1012" t="str">
        <v>Công an thị trấn Trâu Quỳ  thành phố Hà Nội</v>
      </c>
      <c r="C1012" t="str">
        <v>-</v>
      </c>
      <c r="D1012" t="str">
        <v>-</v>
      </c>
      <c r="E1012" t="str">
        <v/>
      </c>
      <c r="F1012" t="str">
        <v>-</v>
      </c>
      <c r="G1012" t="str">
        <v>-</v>
      </c>
    </row>
    <row r="1013">
      <c r="A1013">
        <v>1012</v>
      </c>
      <c r="B1013">
        <f>HYPERLINK("https://trauquy.gialam.hanoi.gov.vn/", "UBND Ủy ban nhân dân thị trấn Trâu Quỳ  thành phố Hà Nội")</f>
      </c>
      <c r="C1013" t="str">
        <v>https://trauquy.gialam.hanoi.gov.vn/</v>
      </c>
      <c r="D1013" t="str">
        <v>-</v>
      </c>
      <c r="E1013" t="str">
        <v>-</v>
      </c>
      <c r="F1013" t="str">
        <v>-</v>
      </c>
      <c r="G1013" t="str">
        <v>-</v>
      </c>
    </row>
    <row r="1014">
      <c r="A1014">
        <v>1013</v>
      </c>
      <c r="B1014">
        <f>HYPERLINK("https://www.facebook.com/p/Tu%E1%BB%95i-tr%E1%BA%BB-C%C3%B4ng-an-Th%C3%A0nh-ph%E1%BB%91-V%C4%A9nh-Y%C3%AAn-100066497717181/?locale=vi_VN", "Công an xã Dương Quang  thành phố Hà Nội")</f>
      </c>
      <c r="C1014" t="str">
        <v>https://www.facebook.com/p/Tu%E1%BB%95i-tr%E1%BA%BB-C%C3%B4ng-an-Th%C3%A0nh-ph%E1%BB%91-V%C4%A9nh-Y%C3%AAn-100066497717181/?locale=vi_VN</v>
      </c>
      <c r="D1014" t="str">
        <v>-</v>
      </c>
      <c r="E1014" t="str">
        <v/>
      </c>
      <c r="F1014" t="str">
        <v>-</v>
      </c>
      <c r="G1014" t="str">
        <v>-</v>
      </c>
    </row>
    <row r="1015">
      <c r="A1015">
        <v>1014</v>
      </c>
      <c r="B1015">
        <f>HYPERLINK("https://backancity.gov.vn/be-mac-dien-tap-chien-dau-xa-duong-quang-trong-khu-vuc-phong-thu-nam-2024/", "UBND Ủy ban nhân dân xã Dương Quang  thành phố Hà Nội")</f>
      </c>
      <c r="C1015" t="str">
        <v>https://backancity.gov.vn/be-mac-dien-tap-chien-dau-xa-duong-quang-trong-khu-vuc-phong-thu-nam-2024/</v>
      </c>
      <c r="D1015" t="str">
        <v>-</v>
      </c>
      <c r="E1015" t="str">
        <v>-</v>
      </c>
      <c r="F1015" t="str">
        <v>-</v>
      </c>
      <c r="G1015" t="str">
        <v>-</v>
      </c>
    </row>
    <row r="1016">
      <c r="A1016">
        <v>1015</v>
      </c>
      <c r="B1016">
        <f>HYPERLINK("https://www.facebook.com/groups/toi.yeu.xa.duong.xa.huyen.gia.lam/", "Công an xã Dương Xá  thành phố Hà Nội")</f>
      </c>
      <c r="C1016" t="str">
        <v>https://www.facebook.com/groups/toi.yeu.xa.duong.xa.huyen.gia.lam/</v>
      </c>
      <c r="D1016" t="str">
        <v>-</v>
      </c>
      <c r="E1016" t="str">
        <v/>
      </c>
      <c r="F1016" t="str">
        <v>-</v>
      </c>
      <c r="G1016" t="str">
        <v>-</v>
      </c>
    </row>
    <row r="1017">
      <c r="A1017">
        <v>1016</v>
      </c>
      <c r="B1017">
        <f>HYPERLINK("https://duongxa.gialam.hanoi.gov.vn/", "UBND Ủy ban nhân dân xã Dương Xá  thành phố Hà Nội")</f>
      </c>
      <c r="C1017" t="str">
        <v>https://duongxa.gialam.hanoi.gov.vn/</v>
      </c>
      <c r="D1017" t="str">
        <v>-</v>
      </c>
      <c r="E1017" t="str">
        <v>-</v>
      </c>
      <c r="F1017" t="str">
        <v>-</v>
      </c>
      <c r="G1017" t="str">
        <v>-</v>
      </c>
    </row>
    <row r="1018">
      <c r="A1018">
        <v>1017</v>
      </c>
      <c r="B1018">
        <f>HYPERLINK("https://www.facebook.com/p/UBND-x%C3%A3-%C4%90%C3%B4ng-D%C6%B0-100072336880202/", "Công an xã Đông Dư  thành phố Hà Nội")</f>
      </c>
      <c r="C1018" t="str">
        <v>https://www.facebook.com/p/UBND-x%C3%A3-%C4%90%C3%B4ng-D%C6%B0-100072336880202/</v>
      </c>
      <c r="D1018" t="str">
        <v>-</v>
      </c>
      <c r="E1018" t="str">
        <v/>
      </c>
      <c r="F1018" t="str">
        <v>-</v>
      </c>
      <c r="G1018" t="str">
        <v>-</v>
      </c>
    </row>
    <row r="1019">
      <c r="A1019">
        <v>1018</v>
      </c>
      <c r="B1019">
        <f>HYPERLINK("https://dongdu.gialam.hanoi.gov.vn/danh-ba-dien-thoai", "UBND Ủy ban nhân dân xã Đông Dư  thành phố Hà Nội")</f>
      </c>
      <c r="C1019" t="str">
        <v>https://dongdu.gialam.hanoi.gov.vn/danh-ba-dien-thoai</v>
      </c>
      <c r="D1019" t="str">
        <v>-</v>
      </c>
      <c r="E1019" t="str">
        <v>-</v>
      </c>
      <c r="F1019" t="str">
        <v>-</v>
      </c>
      <c r="G1019" t="str">
        <v>-</v>
      </c>
    </row>
    <row r="1020">
      <c r="A1020">
        <v>1019</v>
      </c>
      <c r="B1020" t="str">
        <v>Công an xã Đa Tốn  thành phố Hà Nội</v>
      </c>
      <c r="C1020" t="str">
        <v>-</v>
      </c>
      <c r="D1020" t="str">
        <v>-</v>
      </c>
      <c r="E1020" t="str">
        <v/>
      </c>
      <c r="F1020" t="str">
        <v>-</v>
      </c>
      <c r="G1020" t="str">
        <v>-</v>
      </c>
    </row>
    <row r="1021">
      <c r="A1021">
        <v>1020</v>
      </c>
      <c r="B1021">
        <f>HYPERLINK("https://daton.gialam.hanoi.gov.vn/", "UBND Ủy ban nhân dân xã Đa Tốn  thành phố Hà Nội")</f>
      </c>
      <c r="C1021" t="str">
        <v>https://daton.gialam.hanoi.gov.vn/</v>
      </c>
      <c r="D1021" t="str">
        <v>-</v>
      </c>
      <c r="E1021" t="str">
        <v>-</v>
      </c>
      <c r="F1021" t="str">
        <v>-</v>
      </c>
      <c r="G1021" t="str">
        <v>-</v>
      </c>
    </row>
    <row r="1022">
      <c r="A1022">
        <v>1021</v>
      </c>
      <c r="B1022">
        <f>HYPERLINK("https://www.facebook.com/groups/toi.yeu.xa.kieu.ky.huyen.gia.lam/", "Công an xã Kiêu Kỵ  thành phố Hà Nội")</f>
      </c>
      <c r="C1022" t="str">
        <v>https://www.facebook.com/groups/toi.yeu.xa.kieu.ky.huyen.gia.lam/</v>
      </c>
      <c r="D1022" t="str">
        <v>-</v>
      </c>
      <c r="E1022" t="str">
        <v/>
      </c>
      <c r="F1022" t="str">
        <v>-</v>
      </c>
      <c r="G1022" t="str">
        <v>-</v>
      </c>
    </row>
    <row r="1023">
      <c r="A1023">
        <v>1022</v>
      </c>
      <c r="B1023">
        <f>HYPERLINK("https://kieuky.gialam.hanoi.gov.vn/danh-ba-dien-thoai", "UBND Ủy ban nhân dân xã Kiêu Kỵ  thành phố Hà Nội")</f>
      </c>
      <c r="C1023" t="str">
        <v>https://kieuky.gialam.hanoi.gov.vn/danh-ba-dien-thoai</v>
      </c>
      <c r="D1023" t="str">
        <v>-</v>
      </c>
      <c r="E1023" t="str">
        <v>-</v>
      </c>
      <c r="F1023" t="str">
        <v>-</v>
      </c>
      <c r="G1023" t="str">
        <v>-</v>
      </c>
    </row>
    <row r="1024">
      <c r="A1024">
        <v>1023</v>
      </c>
      <c r="B1024" t="str">
        <v>Công an xã Bát Tràng  thành phố Hà Nội</v>
      </c>
      <c r="C1024" t="str">
        <v>-</v>
      </c>
      <c r="D1024" t="str">
        <v>-</v>
      </c>
      <c r="E1024" t="str">
        <v/>
      </c>
      <c r="F1024" t="str">
        <v>-</v>
      </c>
      <c r="G1024" t="str">
        <v>-</v>
      </c>
    </row>
    <row r="1025">
      <c r="A1025">
        <v>1024</v>
      </c>
      <c r="B1025">
        <f>HYPERLINK("https://battrang.gialam.hanoi.gov.vn/", "UBND Ủy ban nhân dân xã Bát Tràng  thành phố Hà Nội")</f>
      </c>
      <c r="C1025" t="str">
        <v>https://battrang.gialam.hanoi.gov.vn/</v>
      </c>
      <c r="D1025" t="str">
        <v>-</v>
      </c>
      <c r="E1025" t="str">
        <v>-</v>
      </c>
      <c r="F1025" t="str">
        <v>-</v>
      </c>
      <c r="G1025" t="str">
        <v>-</v>
      </c>
    </row>
    <row r="1026">
      <c r="A1026">
        <v>1025</v>
      </c>
      <c r="B1026">
        <f>HYPERLINK("https://www.facebook.com/groups/toi.yeu.xa.kim.lan.huyen.gia.lam/", "Công an xã Kim Lan  thành phố Hà Nội")</f>
      </c>
      <c r="C1026" t="str">
        <v>https://www.facebook.com/groups/toi.yeu.xa.kim.lan.huyen.gia.lam/</v>
      </c>
      <c r="D1026" t="str">
        <v>-</v>
      </c>
      <c r="E1026" t="str">
        <v/>
      </c>
      <c r="F1026" t="str">
        <v>-</v>
      </c>
      <c r="G1026" t="str">
        <v>-</v>
      </c>
    </row>
    <row r="1027">
      <c r="A1027">
        <v>1026</v>
      </c>
      <c r="B1027">
        <f>HYPERLINK("http://gialam.hanoi.gov.vn/ubnd-cac-xa-thi-tran/-/view_content/391664-xa-kim-lan.html", "UBND Ủy ban nhân dân xã Kim Lan  thành phố Hà Nội")</f>
      </c>
      <c r="C1027" t="str">
        <v>http://gialam.hanoi.gov.vn/ubnd-cac-xa-thi-tran/-/view_content/391664-xa-kim-lan.html</v>
      </c>
      <c r="D1027" t="str">
        <v>-</v>
      </c>
      <c r="E1027" t="str">
        <v>-</v>
      </c>
      <c r="F1027" t="str">
        <v>-</v>
      </c>
      <c r="G1027" t="str">
        <v>-</v>
      </c>
    </row>
    <row r="1028">
      <c r="A1028">
        <v>1027</v>
      </c>
      <c r="B1028">
        <f>HYPERLINK("https://www.facebook.com/p/V%C4%83n-%C4%90%E1%BB%A9c-Qu%C3%AA-h%C6%B0%C6%A1ng-%C4%90%E1%BB%A9c-th%C3%A1nh-Ch%E1%BB%AD-%C4%90%E1%BB%93ng-T%E1%BB%AD-100057556295711/", "Công an xã Văn Đức  thành phố Hà Nội")</f>
      </c>
      <c r="C1028" t="str">
        <v>https://www.facebook.com/p/V%C4%83n-%C4%90%E1%BB%A9c-Qu%C3%AA-h%C6%B0%C6%A1ng-%C4%90%E1%BB%A9c-th%C3%A1nh-Ch%E1%BB%AD-%C4%90%E1%BB%93ng-T%E1%BB%AD-100057556295711/</v>
      </c>
      <c r="D1028" t="str">
        <v>-</v>
      </c>
      <c r="E1028" t="str">
        <v/>
      </c>
      <c r="F1028" t="str">
        <v>-</v>
      </c>
      <c r="G1028" t="str">
        <v>-</v>
      </c>
    </row>
    <row r="1029">
      <c r="A1029">
        <v>1028</v>
      </c>
      <c r="B1029">
        <f>HYPERLINK("https://vanduc.gialam.hanoi.gov.vn/gioi-thieu", "UBND Ủy ban nhân dân xã Văn Đức  thành phố Hà Nội")</f>
      </c>
      <c r="C1029" t="str">
        <v>https://vanduc.gialam.hanoi.gov.vn/gioi-thieu</v>
      </c>
      <c r="D1029" t="str">
        <v>-</v>
      </c>
      <c r="E1029" t="str">
        <v>-</v>
      </c>
      <c r="F1029" t="str">
        <v>-</v>
      </c>
      <c r="G1029" t="str">
        <v>-</v>
      </c>
    </row>
    <row r="1030">
      <c r="A1030">
        <v>1029</v>
      </c>
      <c r="B1030">
        <f>HYPERLINK("https://www.facebook.com/doanthanhnien.1956/", "Công an phường Cầu Diễn  thành phố Hà Nội")</f>
      </c>
      <c r="C1030" t="str">
        <v>https://www.facebook.com/doanthanhnien.1956/</v>
      </c>
      <c r="D1030" t="str">
        <v>-</v>
      </c>
      <c r="E1030" t="str">
        <v/>
      </c>
      <c r="F1030" t="str">
        <v>doanthanhniencatphanoi@gmail.com</v>
      </c>
      <c r="G1030" t="str">
        <v>87 phố Trần Hưng Đạo, quận Hoàn Kiếm, TP Hà Nội, Hanoi, Vietnam</v>
      </c>
    </row>
    <row r="1031">
      <c r="A1031">
        <v>1030</v>
      </c>
      <c r="B1031">
        <f>HYPERLINK("https://namtuliem.hanoi.gov.vn/phuong-cau-dien", "UBND Ủy ban nhân dân phường Cầu Diễn  thành phố Hà Nội")</f>
      </c>
      <c r="C1031" t="str">
        <v>https://namtuliem.hanoi.gov.vn/phuong-cau-dien</v>
      </c>
      <c r="D1031" t="str">
        <v>-</v>
      </c>
      <c r="E1031" t="str">
        <v>-</v>
      </c>
      <c r="F1031" t="str">
        <v>-</v>
      </c>
      <c r="G1031" t="str">
        <v>-</v>
      </c>
    </row>
    <row r="1032">
      <c r="A1032">
        <v>1031</v>
      </c>
      <c r="B1032">
        <f>HYPERLINK("https://www.facebook.com/KangoCourier/", "Công an phường Xuân Phương  thành phố Hà Nội")</f>
      </c>
      <c r="C1032" t="str">
        <v>https://www.facebook.com/KangoCourier/</v>
      </c>
      <c r="D1032" t="str">
        <v>-</v>
      </c>
      <c r="E1032" t="str">
        <v>19009475</v>
      </c>
      <c r="F1032" t="str">
        <v>sales@kangoexp.com</v>
      </c>
      <c r="G1032" t="str">
        <v>188 Nguyễn Văn Công, Phường 3, Quận Gò Vấp, Thành Phố Hồ Chí Minh, Việt Nam, Ho Chi Minh City, Vietnam</v>
      </c>
    </row>
    <row r="1033">
      <c r="A1033">
        <v>1032</v>
      </c>
      <c r="B1033">
        <f>HYPERLINK("https://namtuliem.hanoi.gov.vn/phuong-xuan-phuong", "UBND Ủy ban nhân dân phường Xuân Phương  thành phố Hà Nội")</f>
      </c>
      <c r="C1033" t="str">
        <v>https://namtuliem.hanoi.gov.vn/phuong-xuan-phuong</v>
      </c>
      <c r="D1033" t="str">
        <v>-</v>
      </c>
      <c r="E1033" t="str">
        <v>-</v>
      </c>
      <c r="F1033" t="str">
        <v>-</v>
      </c>
      <c r="G1033" t="str">
        <v>-</v>
      </c>
    </row>
    <row r="1034">
      <c r="A1034">
        <v>1033</v>
      </c>
      <c r="B1034">
        <f>HYPERLINK("https://www.facebook.com/groups/1188570108317575/", "Công an phường Phương Canh  thành phố Hà Nội")</f>
      </c>
      <c r="C1034" t="str">
        <v>https://www.facebook.com/groups/1188570108317575/</v>
      </c>
      <c r="D1034" t="str">
        <v>-</v>
      </c>
      <c r="E1034" t="str">
        <v/>
      </c>
      <c r="F1034" t="str">
        <v>-</v>
      </c>
      <c r="G1034" t="str">
        <v>-</v>
      </c>
    </row>
    <row r="1035">
      <c r="A1035">
        <v>1034</v>
      </c>
      <c r="B1035">
        <f>HYPERLINK("http://caicachhanhchinh.gov.vn/tin-tuc/le-ra-mat-gioi-thieu-mo-hinh-chuyen-doi-so-trong-cchc-va-gan-bien-cong-trinh-tru-so-dang-uy-ubnd-phuong-phuong-canh-chao-mung-ky-niem-10-nam-thanh-lap-quan", "UBND Ủy ban nhân dân phường Phương Canh  thành phố Hà Nội")</f>
      </c>
      <c r="C1035" t="str">
        <v>http://caicachhanhchinh.gov.vn/tin-tuc/le-ra-mat-gioi-thieu-mo-hinh-chuyen-doi-so-trong-cchc-va-gan-bien-cong-trinh-tru-so-dang-uy-ubnd-phuong-phuong-canh-chao-mung-ky-niem-10-nam-thanh-lap-quan</v>
      </c>
      <c r="D1035" t="str">
        <v>-</v>
      </c>
      <c r="E1035" t="str">
        <v>-</v>
      </c>
      <c r="F1035" t="str">
        <v>-</v>
      </c>
      <c r="G1035" t="str">
        <v>-</v>
      </c>
    </row>
    <row r="1036">
      <c r="A1036">
        <v>1035</v>
      </c>
      <c r="B1036">
        <f>HYPERLINK("https://www.facebook.com/doanthanhnien.1956/", "Công an phường Mỹ Đình 1  thành phố Hà Nội")</f>
      </c>
      <c r="C1036" t="str">
        <v>https://www.facebook.com/doanthanhnien.1956/</v>
      </c>
      <c r="D1036" t="str">
        <v>-</v>
      </c>
      <c r="E1036" t="str">
        <v/>
      </c>
      <c r="F1036" t="str">
        <v>doanthanhniencatphanoi@gmail.com</v>
      </c>
      <c r="G1036" t="str">
        <v>87 phố Trần Hưng Đạo, quận Hoàn Kiếm, TP Hà Nội, Hanoi, Vietnam</v>
      </c>
    </row>
    <row r="1037">
      <c r="A1037">
        <v>1036</v>
      </c>
      <c r="B1037">
        <f>HYPERLINK("https://namtuliem.hanoi.gov.vn/phuong-my-dinh-1", "UBND Ủy ban nhân dân phường Mỹ Đình 1  thành phố Hà Nội")</f>
      </c>
      <c r="C1037" t="str">
        <v>https://namtuliem.hanoi.gov.vn/phuong-my-dinh-1</v>
      </c>
      <c r="D1037" t="str">
        <v>-</v>
      </c>
      <c r="E1037" t="str">
        <v>-</v>
      </c>
      <c r="F1037" t="str">
        <v>-</v>
      </c>
      <c r="G1037" t="str">
        <v>-</v>
      </c>
    </row>
    <row r="1038">
      <c r="A1038">
        <v>1037</v>
      </c>
      <c r="B1038">
        <f>HYPERLINK("https://www.facebook.com/p/C%C3%B4ng-an-ph%C6%B0%E1%BB%9Dng-M%E1%BB%B9-%C4%90%C3%ACnh-2-100094533320384/", "Công an phường Mỹ Đình 2  thành phố Hà Nội")</f>
      </c>
      <c r="C1038" t="str">
        <v>https://www.facebook.com/p/C%C3%B4ng-an-ph%C6%B0%E1%BB%9Dng-M%E1%BB%B9-%C4%90%C3%ACnh-2-100094533320384/</v>
      </c>
      <c r="D1038" t="str">
        <v>-</v>
      </c>
      <c r="E1038" t="str">
        <v>02437965179</v>
      </c>
      <c r="F1038" t="str">
        <v>-</v>
      </c>
      <c r="G1038" t="str">
        <v>250 Mỹ Đình, phường Mỹ Đình 2, quận Nam Từ Liêm</v>
      </c>
    </row>
    <row r="1039">
      <c r="A1039">
        <v>1038</v>
      </c>
      <c r="B1039">
        <f>HYPERLINK("https://namtuliem.hanoi.gov.vn/phuong-my-dinh-2", "UBND Ủy ban nhân dân phường Mỹ Đình 2  thành phố Hà Nội")</f>
      </c>
      <c r="C1039" t="str">
        <v>https://namtuliem.hanoi.gov.vn/phuong-my-dinh-2</v>
      </c>
      <c r="D1039" t="str">
        <v>-</v>
      </c>
      <c r="E1039" t="str">
        <v>-</v>
      </c>
      <c r="F1039" t="str">
        <v>-</v>
      </c>
      <c r="G1039" t="str">
        <v>-</v>
      </c>
    </row>
    <row r="1040">
      <c r="A1040">
        <v>1039</v>
      </c>
      <c r="B1040" t="str">
        <v>Công an phường Tây Mỗ  thành phố Hà Nội</v>
      </c>
      <c r="C1040" t="str">
        <v>-</v>
      </c>
      <c r="D1040" t="str">
        <v>-</v>
      </c>
      <c r="E1040" t="str">
        <v/>
      </c>
      <c r="F1040" t="str">
        <v>-</v>
      </c>
      <c r="G1040" t="str">
        <v>-</v>
      </c>
    </row>
    <row r="1041">
      <c r="A1041">
        <v>1040</v>
      </c>
      <c r="B1041">
        <f>HYPERLINK("https://namtuliem.hanoi.gov.vn/phuong-tay-mo", "UBND Ủy ban nhân dân phường Tây Mỗ  thành phố Hà Nội")</f>
      </c>
      <c r="C1041" t="str">
        <v>https://namtuliem.hanoi.gov.vn/phuong-tay-mo</v>
      </c>
      <c r="D1041" t="str">
        <v>-</v>
      </c>
      <c r="E1041" t="str">
        <v>-</v>
      </c>
      <c r="F1041" t="str">
        <v>-</v>
      </c>
      <c r="G1041" t="str">
        <v>-</v>
      </c>
    </row>
    <row r="1042">
      <c r="A1042">
        <v>1041</v>
      </c>
      <c r="B1042">
        <f>HYPERLINK("https://www.facebook.com/CONG.AN.PHUONG.ME.TRI/", "Công an phường Mễ Trì  thành phố Hà Nội")</f>
      </c>
      <c r="C1042" t="str">
        <v>https://www.facebook.com/CONG.AN.PHUONG.ME.TRI/</v>
      </c>
      <c r="D1042" t="str">
        <v>-</v>
      </c>
      <c r="E1042" t="str">
        <v/>
      </c>
      <c r="F1042" t="str">
        <v>-</v>
      </c>
      <c r="G1042" t="str">
        <v>-</v>
      </c>
    </row>
    <row r="1043">
      <c r="A1043">
        <v>1042</v>
      </c>
      <c r="B1043">
        <f>HYPERLINK("https://namtuliem.hanoi.gov.vn/phuong-me-tri", "UBND Ủy ban nhân dân phường Mễ Trì  thành phố Hà Nội")</f>
      </c>
      <c r="C1043" t="str">
        <v>https://namtuliem.hanoi.gov.vn/phuong-me-tri</v>
      </c>
      <c r="D1043" t="str">
        <v>-</v>
      </c>
      <c r="E1043" t="str">
        <v>-</v>
      </c>
      <c r="F1043" t="str">
        <v>-</v>
      </c>
      <c r="G1043" t="str">
        <v>-</v>
      </c>
    </row>
    <row r="1044">
      <c r="A1044">
        <v>1043</v>
      </c>
      <c r="B1044">
        <f>HYPERLINK("https://www.facebook.com/tuoitreconganquanhadong/", "Công an phường Phú Đô  thành phố Hà Nội")</f>
      </c>
      <c r="C1044" t="str">
        <v>https://www.facebook.com/tuoitreconganquanhadong/</v>
      </c>
      <c r="D1044" t="str">
        <v>-</v>
      </c>
      <c r="E1044" t="str">
        <v/>
      </c>
      <c r="F1044" t="str">
        <v>-</v>
      </c>
      <c r="G1044" t="str">
        <v>-</v>
      </c>
    </row>
    <row r="1045">
      <c r="A1045">
        <v>1044</v>
      </c>
      <c r="B1045">
        <f>HYPERLINK("https://namtuliem.hanoi.gov.vn/danh-ba-dien-tu/-/asset_publisher/sUFrBHWl8Xfr/content/phuong-phu-o?inheritRedirect=false", "UBND Ủy ban nhân dân phường Phú Đô  thành phố Hà Nội")</f>
      </c>
      <c r="C1045" t="str">
        <v>https://namtuliem.hanoi.gov.vn/danh-ba-dien-tu/-/asset_publisher/sUFrBHWl8Xfr/content/phuong-phu-o?inheritRedirect=false</v>
      </c>
      <c r="D1045" t="str">
        <v>-</v>
      </c>
      <c r="E1045" t="str">
        <v>-</v>
      </c>
      <c r="F1045" t="str">
        <v>-</v>
      </c>
      <c r="G1045" t="str">
        <v>-</v>
      </c>
    </row>
    <row r="1046">
      <c r="A1046">
        <v>1045</v>
      </c>
      <c r="B1046" t="str">
        <v>Công an phường Đại Mỗ  thành phố Hà Nội</v>
      </c>
      <c r="C1046" t="str">
        <v>-</v>
      </c>
      <c r="D1046" t="str">
        <v>-</v>
      </c>
      <c r="E1046" t="str">
        <v/>
      </c>
      <c r="F1046" t="str">
        <v>-</v>
      </c>
      <c r="G1046" t="str">
        <v>-</v>
      </c>
    </row>
    <row r="1047">
      <c r="A1047">
        <v>1046</v>
      </c>
      <c r="B1047">
        <f>HYPERLINK("https://namtuliem.hanoi.gov.vn/phuong-dai-mo", "UBND Ủy ban nhân dân phường Đại Mỗ  thành phố Hà Nội")</f>
      </c>
      <c r="C1047" t="str">
        <v>https://namtuliem.hanoi.gov.vn/phuong-dai-mo</v>
      </c>
      <c r="D1047" t="str">
        <v>-</v>
      </c>
      <c r="E1047" t="str">
        <v>-</v>
      </c>
      <c r="F1047" t="str">
        <v>-</v>
      </c>
      <c r="G1047" t="str">
        <v>-</v>
      </c>
    </row>
    <row r="1048">
      <c r="A1048">
        <v>1047</v>
      </c>
      <c r="B1048">
        <f>HYPERLINK("https://www.facebook.com/groups/1865761656950803/", "Công an phường Trung Văn  thành phố Hà Nội")</f>
      </c>
      <c r="C1048" t="str">
        <v>https://www.facebook.com/groups/1865761656950803/</v>
      </c>
      <c r="D1048" t="str">
        <v>-</v>
      </c>
      <c r="E1048" t="str">
        <v/>
      </c>
      <c r="F1048" t="str">
        <v>-</v>
      </c>
      <c r="G1048" t="str">
        <v>-</v>
      </c>
    </row>
    <row r="1049">
      <c r="A1049">
        <v>1048</v>
      </c>
      <c r="B1049">
        <f>HYPERLINK("https://namtuliem.hanoi.gov.vn/phuong-trung-van", "UBND Ủy ban nhân dân phường Trung Văn  thành phố Hà Nội")</f>
      </c>
      <c r="C1049" t="str">
        <v>https://namtuliem.hanoi.gov.vn/phuong-trung-van</v>
      </c>
      <c r="D1049" t="str">
        <v>-</v>
      </c>
      <c r="E1049" t="str">
        <v>-</v>
      </c>
      <c r="F1049" t="str">
        <v>-</v>
      </c>
      <c r="G1049" t="str">
        <v>-</v>
      </c>
    </row>
    <row r="1050">
      <c r="A1050">
        <v>1049</v>
      </c>
      <c r="B1050">
        <f>HYPERLINK("https://www.facebook.com/2866237956972833", "Công an thị trấn Văn Điển  thành phố Hà Nội")</f>
      </c>
      <c r="C1050" t="str">
        <v>https://www.facebook.com/2866237956972833</v>
      </c>
      <c r="D1050" t="str">
        <v>-</v>
      </c>
      <c r="E1050" t="str">
        <v/>
      </c>
      <c r="F1050" t="str">
        <v>-</v>
      </c>
      <c r="G1050" t="str">
        <v>-</v>
      </c>
    </row>
    <row r="1051">
      <c r="A1051">
        <v>1050</v>
      </c>
      <c r="B1051">
        <f>HYPERLINK("https://vandien.thanhtri.hanoi.gov.vn/", "UBND Ủy ban nhân dân thị trấn Văn Điển  thành phố Hà Nội")</f>
      </c>
      <c r="C1051" t="str">
        <v>https://vandien.thanhtri.hanoi.gov.vn/</v>
      </c>
      <c r="D1051" t="str">
        <v>-</v>
      </c>
      <c r="E1051" t="str">
        <v>-</v>
      </c>
      <c r="F1051" t="str">
        <v>-</v>
      </c>
      <c r="G1051" t="str">
        <v>-</v>
      </c>
    </row>
    <row r="1052">
      <c r="A1052">
        <v>1051</v>
      </c>
      <c r="B1052" t="str">
        <v>Công an xã Tân Triều  thành phố Hà Nội</v>
      </c>
      <c r="C1052" t="str">
        <v>-</v>
      </c>
      <c r="D1052" t="str">
        <v>-</v>
      </c>
      <c r="E1052" t="str">
        <v/>
      </c>
      <c r="F1052" t="str">
        <v>-</v>
      </c>
      <c r="G1052" t="str">
        <v>-</v>
      </c>
    </row>
    <row r="1053">
      <c r="A1053">
        <v>1052</v>
      </c>
      <c r="B1053">
        <f>HYPERLINK("https://tantrieu.thanhtri.hanoi.gov.vn/", "UBND Ủy ban nhân dân xã Tân Triều  thành phố Hà Nội")</f>
      </c>
      <c r="C1053" t="str">
        <v>https://tantrieu.thanhtri.hanoi.gov.vn/</v>
      </c>
      <c r="D1053" t="str">
        <v>-</v>
      </c>
      <c r="E1053" t="str">
        <v>-</v>
      </c>
      <c r="F1053" t="str">
        <v>-</v>
      </c>
      <c r="G1053" t="str">
        <v>-</v>
      </c>
    </row>
    <row r="1054">
      <c r="A1054">
        <v>1053</v>
      </c>
      <c r="B1054" t="str">
        <v>Công an xã Thanh Liệt  thành phố Hà Nội</v>
      </c>
      <c r="C1054" t="str">
        <v>-</v>
      </c>
      <c r="D1054" t="str">
        <v>-</v>
      </c>
      <c r="E1054" t="str">
        <v/>
      </c>
      <c r="F1054" t="str">
        <v>-</v>
      </c>
      <c r="G1054" t="str">
        <v>-</v>
      </c>
    </row>
    <row r="1055">
      <c r="A1055">
        <v>1054</v>
      </c>
      <c r="B1055">
        <f>HYPERLINK("https://thanhliet.thanhtri.hanoi.gov.vn/", "UBND Ủy ban nhân dân xã Thanh Liệt  thành phố Hà Nội")</f>
      </c>
      <c r="C1055" t="str">
        <v>https://thanhliet.thanhtri.hanoi.gov.vn/</v>
      </c>
      <c r="D1055" t="str">
        <v>-</v>
      </c>
      <c r="E1055" t="str">
        <v>-</v>
      </c>
      <c r="F1055" t="str">
        <v>-</v>
      </c>
      <c r="G1055" t="str">
        <v>-</v>
      </c>
    </row>
    <row r="1056">
      <c r="A1056">
        <v>1055</v>
      </c>
      <c r="B1056">
        <f>HYPERLINK("https://www.facebook.com/groups/toi.yeu.xa.ta.thanh.oai.huyen.thanh.tri/", "Công an xã Tả Thanh Oai  thành phố Hà Nội")</f>
      </c>
      <c r="C1056" t="str">
        <v>https://www.facebook.com/groups/toi.yeu.xa.ta.thanh.oai.huyen.thanh.tri/</v>
      </c>
      <c r="D1056" t="str">
        <v>-</v>
      </c>
      <c r="E1056" t="str">
        <v/>
      </c>
      <c r="F1056" t="str">
        <v>-</v>
      </c>
      <c r="G1056" t="str">
        <v>-</v>
      </c>
    </row>
    <row r="1057">
      <c r="A1057">
        <v>1056</v>
      </c>
      <c r="B1057">
        <f>HYPERLINK("https://tathanhoai.thanhtri.hanoi.gov.vn/", "UBND Ủy ban nhân dân xã Tả Thanh Oai  thành phố Hà Nội")</f>
      </c>
      <c r="C1057" t="str">
        <v>https://tathanhoai.thanhtri.hanoi.gov.vn/</v>
      </c>
      <c r="D1057" t="str">
        <v>-</v>
      </c>
      <c r="E1057" t="str">
        <v>-</v>
      </c>
      <c r="F1057" t="str">
        <v>-</v>
      </c>
      <c r="G1057" t="str">
        <v>-</v>
      </c>
    </row>
    <row r="1058">
      <c r="A1058">
        <v>1057</v>
      </c>
      <c r="B1058">
        <f>HYPERLINK("https://www.facebook.com/doanthanhnien.1956/", "Công an xã Hữu Hoà  thành phố Hà Nội")</f>
      </c>
      <c r="C1058" t="str">
        <v>https://www.facebook.com/doanthanhnien.1956/</v>
      </c>
      <c r="D1058" t="str">
        <v>-</v>
      </c>
      <c r="E1058" t="str">
        <v/>
      </c>
      <c r="F1058" t="str">
        <v>doanthanhniencatphanoi@gmail.com</v>
      </c>
      <c r="G1058" t="str">
        <v>87 phố Trần Hưng Đạo, quận Hoàn Kiếm, TP Hà Nội, Hanoi, Vietnam</v>
      </c>
    </row>
    <row r="1059">
      <c r="A1059">
        <v>1058</v>
      </c>
      <c r="B1059">
        <f>HYPERLINK("https://huuhoa.thanhtri.hanoi.gov.vn/bo-may-to-chuc", "UBND Ủy ban nhân dân xã Hữu Hoà  thành phố Hà Nội")</f>
      </c>
      <c r="C1059" t="str">
        <v>https://huuhoa.thanhtri.hanoi.gov.vn/bo-may-to-chuc</v>
      </c>
      <c r="D1059" t="str">
        <v>-</v>
      </c>
      <c r="E1059" t="str">
        <v>-</v>
      </c>
      <c r="F1059" t="str">
        <v>-</v>
      </c>
      <c r="G1059" t="str">
        <v>-</v>
      </c>
    </row>
    <row r="1060">
      <c r="A1060">
        <v>1059</v>
      </c>
      <c r="B1060">
        <f>HYPERLINK("https://www.facebook.com/p/Tr%C6%B0%E1%BB%9Dng-THCS-Tam-Hi%E1%BB%87p-100070619213908/", "Công an xã Tam Hiệp  thành phố Hà Nội")</f>
      </c>
      <c r="C1060" t="str">
        <v>https://www.facebook.com/p/Tr%C6%B0%E1%BB%9Dng-THCS-Tam-Hi%E1%BB%87p-100070619213908/</v>
      </c>
      <c r="D1060" t="str">
        <v>-</v>
      </c>
      <c r="E1060" t="str">
        <v/>
      </c>
      <c r="F1060" t="str">
        <v>-</v>
      </c>
      <c r="G1060" t="str">
        <v>-</v>
      </c>
    </row>
    <row r="1061">
      <c r="A1061">
        <v>1060</v>
      </c>
      <c r="B1061">
        <f>HYPERLINK("https://tamhiep.thanhtri.hanoi.gov.vn/", "UBND Ủy ban nhân dân xã Tam Hiệp  thành phố Hà Nội")</f>
      </c>
      <c r="C1061" t="str">
        <v>https://tamhiep.thanhtri.hanoi.gov.vn/</v>
      </c>
      <c r="D1061" t="str">
        <v>-</v>
      </c>
      <c r="E1061" t="str">
        <v>-</v>
      </c>
      <c r="F1061" t="str">
        <v>-</v>
      </c>
      <c r="G1061" t="str">
        <v>-</v>
      </c>
    </row>
    <row r="1062">
      <c r="A1062">
        <v>1061</v>
      </c>
      <c r="B1062" t="str">
        <v>Công an xã Tứ Hiệp  thành phố Hà Nội</v>
      </c>
      <c r="C1062" t="str">
        <v>-</v>
      </c>
      <c r="D1062" t="str">
        <v>-</v>
      </c>
      <c r="E1062" t="str">
        <v/>
      </c>
      <c r="F1062" t="str">
        <v>-</v>
      </c>
      <c r="G1062" t="str">
        <v>-</v>
      </c>
    </row>
    <row r="1063">
      <c r="A1063">
        <v>1062</v>
      </c>
      <c r="B1063">
        <f>HYPERLINK("https://tuhiep.thanhtri.hanoi.gov.vn/", "UBND Ủy ban nhân dân xã Tứ Hiệp  thành phố Hà Nội")</f>
      </c>
      <c r="C1063" t="str">
        <v>https://tuhiep.thanhtri.hanoi.gov.vn/</v>
      </c>
      <c r="D1063" t="str">
        <v>-</v>
      </c>
      <c r="E1063" t="str">
        <v>-</v>
      </c>
      <c r="F1063" t="str">
        <v>-</v>
      </c>
      <c r="G1063" t="str">
        <v>-</v>
      </c>
    </row>
    <row r="1064">
      <c r="A1064">
        <v>1063</v>
      </c>
      <c r="B1064" t="str">
        <v>Công an xã Yên Mỹ  thành phố Hà Nội</v>
      </c>
      <c r="C1064" t="str">
        <v>-</v>
      </c>
      <c r="D1064" t="str">
        <v>-</v>
      </c>
      <c r="E1064" t="str">
        <v/>
      </c>
      <c r="F1064" t="str">
        <v>-</v>
      </c>
      <c r="G1064" t="str">
        <v>-</v>
      </c>
    </row>
    <row r="1065">
      <c r="A1065">
        <v>1064</v>
      </c>
      <c r="B1065">
        <f>HYPERLINK("https://yenmy.thanhtri.hanoi.gov.vn/", "UBND Ủy ban nhân dân xã Yên Mỹ  thành phố Hà Nội")</f>
      </c>
      <c r="C1065" t="str">
        <v>https://yenmy.thanhtri.hanoi.gov.vn/</v>
      </c>
      <c r="D1065" t="str">
        <v>-</v>
      </c>
      <c r="E1065" t="str">
        <v>-</v>
      </c>
      <c r="F1065" t="str">
        <v>-</v>
      </c>
      <c r="G1065" t="str">
        <v>-</v>
      </c>
    </row>
    <row r="1066">
      <c r="A1066">
        <v>1065</v>
      </c>
      <c r="B1066">
        <f>HYPERLINK("https://www.facebook.com/groups/toi.yeu.xa.vinh.quynh.huyen.thanh.tri/", "Công an xã Vĩnh Quỳnh  thành phố Hà Nội")</f>
      </c>
      <c r="C1066" t="str">
        <v>https://www.facebook.com/groups/toi.yeu.xa.vinh.quynh.huyen.thanh.tri/</v>
      </c>
      <c r="D1066" t="str">
        <v>-</v>
      </c>
      <c r="E1066" t="str">
        <v/>
      </c>
      <c r="F1066" t="str">
        <v>-</v>
      </c>
      <c r="G1066" t="str">
        <v>-</v>
      </c>
    </row>
    <row r="1067">
      <c r="A1067">
        <v>1066</v>
      </c>
      <c r="B1067">
        <f>HYPERLINK("https://vinhquynh.thanhtri.hanoi.gov.vn/", "UBND Ủy ban nhân dân xã Vĩnh Quỳnh  thành phố Hà Nội")</f>
      </c>
      <c r="C1067" t="str">
        <v>https://vinhquynh.thanhtri.hanoi.gov.vn/</v>
      </c>
      <c r="D1067" t="str">
        <v>-</v>
      </c>
      <c r="E1067" t="str">
        <v>-</v>
      </c>
      <c r="F1067" t="str">
        <v>-</v>
      </c>
      <c r="G1067" t="str">
        <v>-</v>
      </c>
    </row>
    <row r="1068">
      <c r="A1068">
        <v>1067</v>
      </c>
      <c r="B1068" t="str">
        <v>Công an xã Ngũ Hiệp  thành phố Hà Nội</v>
      </c>
      <c r="C1068" t="str">
        <v>-</v>
      </c>
      <c r="D1068" t="str">
        <v>-</v>
      </c>
      <c r="E1068" t="str">
        <v/>
      </c>
      <c r="F1068" t="str">
        <v>-</v>
      </c>
      <c r="G1068" t="str">
        <v>-</v>
      </c>
    </row>
    <row r="1069">
      <c r="A1069">
        <v>1068</v>
      </c>
      <c r="B1069">
        <f>HYPERLINK("https://nguhiep.thanhtri.hanoi.gov.vn/", "UBND Ủy ban nhân dân xã Ngũ Hiệp  thành phố Hà Nội")</f>
      </c>
      <c r="C1069" t="str">
        <v>https://nguhiep.thanhtri.hanoi.gov.vn/</v>
      </c>
      <c r="D1069" t="str">
        <v>-</v>
      </c>
      <c r="E1069" t="str">
        <v>-</v>
      </c>
      <c r="F1069" t="str">
        <v>-</v>
      </c>
      <c r="G1069" t="str">
        <v>-</v>
      </c>
    </row>
    <row r="1070">
      <c r="A1070">
        <v>1069</v>
      </c>
      <c r="B1070">
        <f>HYPERLINK("https://www.facebook.com/p/X%C3%83-DUY%C3%8AN-H%C3%80-huy%E1%BB%87n-Thanh-Tr%C3%AC-H%C3%A0-n%E1%BB%99i-100075944622277/?locale=sq_AL", "Công an xã Duyên Hà  thành phố Hà Nội")</f>
      </c>
      <c r="C1070" t="str">
        <v>https://www.facebook.com/p/X%C3%83-DUY%C3%8AN-H%C3%80-huy%E1%BB%87n-Thanh-Tr%C3%AC-H%C3%A0-n%E1%BB%99i-100075944622277/?locale=sq_AL</v>
      </c>
      <c r="D1070" t="str">
        <v>-</v>
      </c>
      <c r="E1070" t="str">
        <v/>
      </c>
      <c r="F1070" t="str">
        <v>nhanvhtt77@gmail.com</v>
      </c>
      <c r="G1070" t="str">
        <v>-</v>
      </c>
    </row>
    <row r="1071">
      <c r="A1071">
        <v>1070</v>
      </c>
      <c r="B1071">
        <f>HYPERLINK("https://duyenha.thanhtri.hanoi.gov.vn/", "UBND Ủy ban nhân dân xã Duyên Hà  thành phố Hà Nội")</f>
      </c>
      <c r="C1071" t="str">
        <v>https://duyenha.thanhtri.hanoi.gov.vn/</v>
      </c>
      <c r="D1071" t="str">
        <v>-</v>
      </c>
      <c r="E1071" t="str">
        <v>-</v>
      </c>
      <c r="F1071" t="str">
        <v>-</v>
      </c>
      <c r="G1071" t="str">
        <v>-</v>
      </c>
    </row>
    <row r="1072">
      <c r="A1072">
        <v>1071</v>
      </c>
      <c r="B1072">
        <f>HYPERLINK("https://www.facebook.com/p/Tr%C6%B0%E1%BB%9Dng-THPT-Ng%E1%BB%8Dc-H%E1%BB%93i-100064880132907/?locale=pa_IN", "Công an xã Ngọc Hồi  thành phố Hà Nội")</f>
      </c>
      <c r="C1072" t="str">
        <v>https://www.facebook.com/p/Tr%C6%B0%E1%BB%9Dng-THPT-Ng%E1%BB%8Dc-H%E1%BB%93i-100064880132907/?locale=pa_IN</v>
      </c>
      <c r="D1072" t="str">
        <v>-</v>
      </c>
      <c r="E1072" t="str">
        <v/>
      </c>
      <c r="F1072" t="str">
        <v>-</v>
      </c>
      <c r="G1072" t="str">
        <v>-</v>
      </c>
    </row>
    <row r="1073">
      <c r="A1073">
        <v>1072</v>
      </c>
      <c r="B1073">
        <f>HYPERLINK("https://ngochoi.thanhtri.hanoi.gov.vn/", "UBND Ủy ban nhân dân xã Ngọc Hồi  thành phố Hà Nội")</f>
      </c>
      <c r="C1073" t="str">
        <v>https://ngochoi.thanhtri.hanoi.gov.vn/</v>
      </c>
      <c r="D1073" t="str">
        <v>-</v>
      </c>
      <c r="E1073" t="str">
        <v>-</v>
      </c>
      <c r="F1073" t="str">
        <v>-</v>
      </c>
      <c r="G1073" t="str">
        <v>-</v>
      </c>
    </row>
    <row r="1074">
      <c r="A1074">
        <v>1073</v>
      </c>
      <c r="B1074">
        <f>HYPERLINK("https://www.facebook.com/groups/toi.yeu.xa.van.phuc.huyen.thanh.tri/", "Công an xã Vạn Phúc  thành phố Hà Nội")</f>
      </c>
      <c r="C1074" t="str">
        <v>https://www.facebook.com/groups/toi.yeu.xa.van.phuc.huyen.thanh.tri/</v>
      </c>
      <c r="D1074" t="str">
        <v>-</v>
      </c>
      <c r="E1074" t="str">
        <v/>
      </c>
      <c r="F1074" t="str">
        <v>-</v>
      </c>
      <c r="G1074" t="str">
        <v>-</v>
      </c>
    </row>
    <row r="1075">
      <c r="A1075">
        <v>1074</v>
      </c>
      <c r="B1075">
        <f>HYPERLINK("https://vanphuc.thanhtri.hanoi.gov.vn/", "UBND Ủy ban nhân dân xã Vạn Phúc  thành phố Hà Nội")</f>
      </c>
      <c r="C1075" t="str">
        <v>https://vanphuc.thanhtri.hanoi.gov.vn/</v>
      </c>
      <c r="D1075" t="str">
        <v>-</v>
      </c>
      <c r="E1075" t="str">
        <v>-</v>
      </c>
      <c r="F1075" t="str">
        <v>-</v>
      </c>
      <c r="G1075" t="str">
        <v>-</v>
      </c>
    </row>
    <row r="1076">
      <c r="A1076">
        <v>1075</v>
      </c>
      <c r="B1076">
        <f>HYPERLINK("https://www.facebook.com/groups/toi.yeu.xa.dai.ang.huyen.thanh.tri/", "Công an xã Đại áng  thành phố Hà Nội")</f>
      </c>
      <c r="C1076" t="str">
        <v>https://www.facebook.com/groups/toi.yeu.xa.dai.ang.huyen.thanh.tri/</v>
      </c>
      <c r="D1076" t="str">
        <v>-</v>
      </c>
      <c r="E1076" t="str">
        <v/>
      </c>
      <c r="F1076" t="str">
        <v>-</v>
      </c>
      <c r="G1076" t="str">
        <v>-</v>
      </c>
    </row>
    <row r="1077">
      <c r="A1077">
        <v>1076</v>
      </c>
      <c r="B1077">
        <f>HYPERLINK("https://thanhtri.hanoi.gov.vn/tin-tuc-hoat-dong/-/asset_publisher/HgNzlI7sMGQj/content/-ong-chi-nguyen-xuan-tho-uoc-bau-giu-chuc-danh-chu-tich-ubnd-xa-ai-ang-nhiem-ky-2021-2026", "UBND Ủy ban nhân dân xã Đại áng  thành phố Hà Nội")</f>
      </c>
      <c r="C1077" t="str">
        <v>https://thanhtri.hanoi.gov.vn/tin-tuc-hoat-dong/-/asset_publisher/HgNzlI7sMGQj/content/-ong-chi-nguyen-xuan-tho-uoc-bau-giu-chuc-danh-chu-tich-ubnd-xa-ai-ang-nhiem-ky-2021-2026</v>
      </c>
      <c r="D1077" t="str">
        <v>-</v>
      </c>
      <c r="E1077" t="str">
        <v>-</v>
      </c>
      <c r="F1077" t="str">
        <v>-</v>
      </c>
      <c r="G1077" t="str">
        <v>-</v>
      </c>
    </row>
    <row r="1078">
      <c r="A1078">
        <v>1077</v>
      </c>
      <c r="B1078">
        <f>HYPERLINK("https://www.facebook.com/groups/toi.yeu.xa.lien.ninh.huyen.thanh.tri/", "Công an xã Liên Ninh  thành phố Hà Nội")</f>
      </c>
      <c r="C1078" t="str">
        <v>https://www.facebook.com/groups/toi.yeu.xa.lien.ninh.huyen.thanh.tri/</v>
      </c>
      <c r="D1078" t="str">
        <v>-</v>
      </c>
      <c r="E1078" t="str">
        <v/>
      </c>
      <c r="F1078" t="str">
        <v>-</v>
      </c>
      <c r="G1078" t="str">
        <v>-</v>
      </c>
    </row>
    <row r="1079">
      <c r="A1079">
        <v>1078</v>
      </c>
      <c r="B1079">
        <f>HYPERLINK("https://lienninh.thanhtri.hanoi.gov.vn/", "UBND Ủy ban nhân dân xã Liên Ninh  thành phố Hà Nội")</f>
      </c>
      <c r="C1079" t="str">
        <v>https://lienninh.thanhtri.hanoi.gov.vn/</v>
      </c>
      <c r="D1079" t="str">
        <v>-</v>
      </c>
      <c r="E1079" t="str">
        <v>-</v>
      </c>
      <c r="F1079" t="str">
        <v>-</v>
      </c>
      <c r="G1079" t="str">
        <v>-</v>
      </c>
    </row>
    <row r="1080">
      <c r="A1080">
        <v>1079</v>
      </c>
      <c r="B1080">
        <f>HYPERLINK("https://www.facebook.com/p/Tu%E1%BB%95i-Tr%E1%BA%BB-C%C3%B4ng-An-Huy%E1%BB%87n-Ch%C6%B0%C6%A1ng-M%E1%BB%B9-100028578047777/?locale=el_GR", "Công an xã Đông Mỹ  thành phố Hà Nội")</f>
      </c>
      <c r="C1080" t="str">
        <v>https://www.facebook.com/p/Tu%E1%BB%95i-Tr%E1%BA%BB-C%C3%B4ng-An-Huy%E1%BB%87n-Ch%C6%B0%C6%A1ng-M%E1%BB%B9-100028578047777/?locale=el_GR</v>
      </c>
      <c r="D1080" t="str">
        <v>-</v>
      </c>
      <c r="E1080" t="str">
        <v/>
      </c>
      <c r="F1080" t="str">
        <v>doantncahchuongmy@gmail.com</v>
      </c>
      <c r="G1080" t="str">
        <v>Số 29A, Tổ dân phố Ninh Kiều, huyện Chương Mỹ, thành phố Hà Nội, Hanoi, Vietnam</v>
      </c>
    </row>
    <row r="1081">
      <c r="A1081">
        <v>1080</v>
      </c>
      <c r="B1081">
        <f>HYPERLINK("https://dongmy.thanhtri.hanoi.gov.vn/", "UBND Ủy ban nhân dân xã Đông Mỹ  thành phố Hà Nội")</f>
      </c>
      <c r="C1081" t="str">
        <v>https://dongmy.thanhtri.hanoi.gov.vn/</v>
      </c>
      <c r="D1081" t="str">
        <v>-</v>
      </c>
      <c r="E1081" t="str">
        <v>-</v>
      </c>
      <c r="F1081" t="str">
        <v>-</v>
      </c>
      <c r="G1081" t="str">
        <v>-</v>
      </c>
    </row>
    <row r="1082">
      <c r="A1082">
        <v>1081</v>
      </c>
      <c r="B1082">
        <f>HYPERLINK("https://www.facebook.com/p/Thuong-Cat-High-School-100064127701586/", "Công an phường Thượng Cát  thành phố Hà Nội")</f>
      </c>
      <c r="C1082" t="str">
        <v>https://www.facebook.com/p/Thuong-Cat-High-School-100064127701586/</v>
      </c>
      <c r="D1082" t="str">
        <v>-</v>
      </c>
      <c r="E1082" t="str">
        <v>02437511480</v>
      </c>
      <c r="F1082" t="str">
        <v>-</v>
      </c>
      <c r="G1082" t="str">
        <v>Thuong Cat, Ha Noi, Vietnam, Thuong Cat, Vietnam</v>
      </c>
    </row>
    <row r="1083">
      <c r="A1083">
        <v>1082</v>
      </c>
      <c r="B1083">
        <f>HYPERLINK("https://bactuliem.hanoi.gov.vn/phuong-thuong-cat", "UBND Ủy ban nhân dân phường Thượng Cát  thành phố Hà Nội")</f>
      </c>
      <c r="C1083" t="str">
        <v>https://bactuliem.hanoi.gov.vn/phuong-thuong-cat</v>
      </c>
      <c r="D1083" t="str">
        <v>-</v>
      </c>
      <c r="E1083" t="str">
        <v>-</v>
      </c>
      <c r="F1083" t="str">
        <v>-</v>
      </c>
      <c r="G1083" t="str">
        <v>-</v>
      </c>
    </row>
    <row r="1084">
      <c r="A1084">
        <v>1083</v>
      </c>
      <c r="B1084" t="str">
        <v>Công an phường Liên Mạc  thành phố Hà Nội</v>
      </c>
      <c r="C1084" t="str">
        <v>-</v>
      </c>
      <c r="D1084" t="str">
        <v>-</v>
      </c>
      <c r="E1084" t="str">
        <v/>
      </c>
      <c r="F1084" t="str">
        <v>-</v>
      </c>
      <c r="G1084" t="str">
        <v>-</v>
      </c>
    </row>
    <row r="1085">
      <c r="A1085">
        <v>1084</v>
      </c>
      <c r="B1085">
        <f>HYPERLINK("https://bactuliem.hanoi.gov.vn/phuong-lien-mac", "UBND Ủy ban nhân dân phường Liên Mạc  thành phố Hà Nội")</f>
      </c>
      <c r="C1085" t="str">
        <v>https://bactuliem.hanoi.gov.vn/phuong-lien-mac</v>
      </c>
      <c r="D1085" t="str">
        <v>-</v>
      </c>
      <c r="E1085" t="str">
        <v>-</v>
      </c>
      <c r="F1085" t="str">
        <v>-</v>
      </c>
      <c r="G1085" t="str">
        <v>-</v>
      </c>
    </row>
    <row r="1086">
      <c r="A1086">
        <v>1085</v>
      </c>
      <c r="B1086" t="str">
        <v>Công an phường Đông Ngạc  thành phố Hà Nội</v>
      </c>
      <c r="C1086" t="str">
        <v>-</v>
      </c>
      <c r="D1086" t="str">
        <v>-</v>
      </c>
      <c r="E1086" t="str">
        <v/>
      </c>
      <c r="F1086" t="str">
        <v>-</v>
      </c>
      <c r="G1086" t="str">
        <v>-</v>
      </c>
    </row>
    <row r="1087">
      <c r="A1087">
        <v>1086</v>
      </c>
      <c r="B1087">
        <f>HYPERLINK("https://bactuliem.hanoi.gov.vn/thong-tin-du-an-dau-thau-mua-sam-cong", "UBND Ủy ban nhân dân phường Đông Ngạc  thành phố Hà Nội")</f>
      </c>
      <c r="C1087" t="str">
        <v>https://bactuliem.hanoi.gov.vn/thong-tin-du-an-dau-thau-mua-sam-cong</v>
      </c>
      <c r="D1087" t="str">
        <v>-</v>
      </c>
      <c r="E1087" t="str">
        <v>-</v>
      </c>
      <c r="F1087" t="str">
        <v>-</v>
      </c>
      <c r="G1087" t="str">
        <v>-</v>
      </c>
    </row>
    <row r="1088">
      <c r="A1088">
        <v>1087</v>
      </c>
      <c r="B1088">
        <f>HYPERLINK("https://www.facebook.com/doanthanhnien.1956/", "Công an phường Đức Thắng  thành phố Hà Nội")</f>
      </c>
      <c r="C1088" t="str">
        <v>https://www.facebook.com/doanthanhnien.1956/</v>
      </c>
      <c r="D1088" t="str">
        <v>-</v>
      </c>
      <c r="E1088" t="str">
        <v/>
      </c>
      <c r="F1088" t="str">
        <v>doanthanhniencatphanoi@gmail.com</v>
      </c>
      <c r="G1088" t="str">
        <v>87 phố Trần Hưng Đạo, quận Hoàn Kiếm, TP Hà Nội, Hanoi, Vietnam</v>
      </c>
    </row>
    <row r="1089">
      <c r="A1089">
        <v>1088</v>
      </c>
      <c r="B1089">
        <f>HYPERLINK("https://bactuliem.hanoi.gov.vn/phuong-duc-thang", "UBND Ủy ban nhân dân phường Đức Thắng  thành phố Hà Nội")</f>
      </c>
      <c r="C1089" t="str">
        <v>https://bactuliem.hanoi.gov.vn/phuong-duc-thang</v>
      </c>
      <c r="D1089" t="str">
        <v>-</v>
      </c>
      <c r="E1089" t="str">
        <v>-</v>
      </c>
      <c r="F1089" t="str">
        <v>-</v>
      </c>
      <c r="G1089" t="str">
        <v>-</v>
      </c>
    </row>
    <row r="1090">
      <c r="A1090">
        <v>1089</v>
      </c>
      <c r="B1090">
        <f>HYPERLINK("https://www.facebook.com/p/Tu%E1%BB%95i-Tr%E1%BA%BB-C%C3%B4ng-An-Qu%E1%BA%ADn-T%C3%A2y-H%E1%BB%93-100080140217978/?locale=vi_VN", "Công an phường Thụy Phương  thành phố Hà Nội")</f>
      </c>
      <c r="C1090" t="str">
        <v>https://www.facebook.com/p/Tu%E1%BB%95i-Tr%E1%BA%BB-C%C3%B4ng-An-Qu%E1%BA%ADn-T%C3%A2y-H%E1%BB%93-100080140217978/?locale=vi_VN</v>
      </c>
      <c r="D1090" t="str">
        <v>-</v>
      </c>
      <c r="E1090" t="str">
        <v/>
      </c>
      <c r="F1090" t="str">
        <v>dtncaqtayho.hn@gmail.com</v>
      </c>
      <c r="G1090" t="str">
        <v>693 Lạc Long Quân, phường Phú Thượng, quận Tây Hồ</v>
      </c>
    </row>
    <row r="1091">
      <c r="A1091">
        <v>1090</v>
      </c>
      <c r="B1091">
        <f>HYPERLINK("https://bactuliem.hanoi.gov.vn/phuong-thuy-phuong", "UBND Ủy ban nhân dân phường Thụy Phương  thành phố Hà Nội")</f>
      </c>
      <c r="C1091" t="str">
        <v>https://bactuliem.hanoi.gov.vn/phuong-thuy-phuong</v>
      </c>
      <c r="D1091" t="str">
        <v>-</v>
      </c>
      <c r="E1091" t="str">
        <v>-</v>
      </c>
      <c r="F1091" t="str">
        <v>-</v>
      </c>
      <c r="G1091" t="str">
        <v>-</v>
      </c>
    </row>
    <row r="1092">
      <c r="A1092">
        <v>1091</v>
      </c>
      <c r="B1092" t="str">
        <v>Công an phường Tây Tựu  thành phố Hà Nội</v>
      </c>
      <c r="C1092" t="str">
        <v>-</v>
      </c>
      <c r="D1092" t="str">
        <v>-</v>
      </c>
      <c r="E1092" t="str">
        <v/>
      </c>
      <c r="F1092" t="str">
        <v>-</v>
      </c>
      <c r="G1092" t="str">
        <v>-</v>
      </c>
    </row>
    <row r="1093">
      <c r="A1093">
        <v>1092</v>
      </c>
      <c r="B1093">
        <f>HYPERLINK("https://bactuliem.hanoi.gov.vn/phuong-tay-tuu", "UBND Ủy ban nhân dân phường Tây Tựu  thành phố Hà Nội")</f>
      </c>
      <c r="C1093" t="str">
        <v>https://bactuliem.hanoi.gov.vn/phuong-tay-tuu</v>
      </c>
      <c r="D1093" t="str">
        <v>-</v>
      </c>
      <c r="E1093" t="str">
        <v>-</v>
      </c>
      <c r="F1093" t="str">
        <v>-</v>
      </c>
      <c r="G1093" t="str">
        <v>-</v>
      </c>
    </row>
    <row r="1094">
      <c r="A1094">
        <v>1093</v>
      </c>
      <c r="B1094">
        <f>HYPERLINK("https://www.facebook.com/ubndphuongxuandinh/", "Công an phường Xuân Đỉnh  thành phố Hà Nội")</f>
      </c>
      <c r="C1094" t="str">
        <v>https://www.facebook.com/ubndphuongxuandinh/</v>
      </c>
      <c r="D1094" t="str">
        <v>-</v>
      </c>
      <c r="E1094" t="str">
        <v>02437509035</v>
      </c>
      <c r="F1094" t="str">
        <v>-</v>
      </c>
      <c r="G1094" t="str">
        <v>418 đường Xuân Đỉnh, quận Bắc Từ Liêm, Hà Nội, Hanoi, Vietnam</v>
      </c>
    </row>
    <row r="1095">
      <c r="A1095">
        <v>1094</v>
      </c>
      <c r="B1095">
        <f>HYPERLINK("https://bactuliem.hanoi.gov.vn/phuong-xuan-dinh", "UBND Ủy ban nhân dân phường Xuân Đỉnh  thành phố Hà Nội")</f>
      </c>
      <c r="C1095" t="str">
        <v>https://bactuliem.hanoi.gov.vn/phuong-xuan-dinh</v>
      </c>
      <c r="D1095" t="str">
        <v>-</v>
      </c>
      <c r="E1095" t="str">
        <v>-</v>
      </c>
      <c r="F1095" t="str">
        <v>-</v>
      </c>
      <c r="G1095" t="str">
        <v>-</v>
      </c>
    </row>
    <row r="1096">
      <c r="A1096">
        <v>1095</v>
      </c>
      <c r="B1096">
        <f>HYPERLINK("https://www.facebook.com/groups/conganphuongxuantao/", "Công an phường Xuân Tảo  thành phố Hà Nội")</f>
      </c>
      <c r="C1096" t="str">
        <v>https://www.facebook.com/groups/conganphuongxuantao/</v>
      </c>
      <c r="D1096" t="str">
        <v>-</v>
      </c>
      <c r="E1096" t="str">
        <v/>
      </c>
      <c r="F1096" t="str">
        <v>-</v>
      </c>
      <c r="G1096" t="str">
        <v>-</v>
      </c>
    </row>
    <row r="1097">
      <c r="A1097">
        <v>1096</v>
      </c>
      <c r="B1097">
        <f>HYPERLINK("https://bactuliem.hanoi.gov.vn/phuong-xuan-tao", "UBND Ủy ban nhân dân phường Xuân Tảo  thành phố Hà Nội")</f>
      </c>
      <c r="C1097" t="str">
        <v>https://bactuliem.hanoi.gov.vn/phuong-xuan-tao</v>
      </c>
      <c r="D1097" t="str">
        <v>-</v>
      </c>
      <c r="E1097" t="str">
        <v>-</v>
      </c>
      <c r="F1097" t="str">
        <v>-</v>
      </c>
      <c r="G1097" t="str">
        <v>-</v>
      </c>
    </row>
    <row r="1098">
      <c r="A1098">
        <v>1097</v>
      </c>
      <c r="B1098" t="str">
        <v>Công an phường Minh Khai  thành phố Hà Nội</v>
      </c>
      <c r="C1098" t="str">
        <v>-</v>
      </c>
      <c r="D1098" t="str">
        <v>-</v>
      </c>
      <c r="E1098" t="str">
        <v/>
      </c>
      <c r="F1098" t="str">
        <v>-</v>
      </c>
      <c r="G1098" t="str">
        <v>-</v>
      </c>
    </row>
    <row r="1099">
      <c r="A1099">
        <v>1098</v>
      </c>
      <c r="B1099">
        <f>HYPERLINK("https://minhkhai.haibatrung.hanoi.gov.vn/", "UBND Ủy ban nhân dân phường Minh Khai  thành phố Hà Nội")</f>
      </c>
      <c r="C1099" t="str">
        <v>https://minhkhai.haibatrung.hanoi.gov.vn/</v>
      </c>
      <c r="D1099" t="str">
        <v>-</v>
      </c>
      <c r="E1099" t="str">
        <v>-</v>
      </c>
      <c r="F1099" t="str">
        <v>-</v>
      </c>
      <c r="G1099" t="str">
        <v>-</v>
      </c>
    </row>
    <row r="1100">
      <c r="A1100">
        <v>1099</v>
      </c>
      <c r="B1100" t="str">
        <v>Công an phường Cổ Nhuế 1  thành phố Hà Nội</v>
      </c>
      <c r="C1100" t="str">
        <v>-</v>
      </c>
      <c r="D1100" t="str">
        <v>-</v>
      </c>
      <c r="E1100" t="str">
        <v/>
      </c>
      <c r="F1100" t="str">
        <v>-</v>
      </c>
      <c r="G1100" t="str">
        <v>-</v>
      </c>
    </row>
    <row r="1101">
      <c r="A1101">
        <v>1100</v>
      </c>
      <c r="B1101">
        <f>HYPERLINK("https://bactuliem.hanoi.gov.vn/phuong-co-nhue-1", "UBND Ủy ban nhân dân phường Cổ Nhuế 1  thành phố Hà Nội")</f>
      </c>
      <c r="C1101" t="str">
        <v>https://bactuliem.hanoi.gov.vn/phuong-co-nhue-1</v>
      </c>
      <c r="D1101" t="str">
        <v>-</v>
      </c>
      <c r="E1101" t="str">
        <v>-</v>
      </c>
      <c r="F1101" t="str">
        <v>-</v>
      </c>
      <c r="G1101" t="str">
        <v>-</v>
      </c>
    </row>
    <row r="1102">
      <c r="A1102">
        <v>1101</v>
      </c>
      <c r="B1102">
        <f>HYPERLINK("https://www.facebook.com/groups/996848967717626/", "Công an phường Cổ Nhuế 2  thành phố Hà Nội")</f>
      </c>
      <c r="C1102" t="str">
        <v>https://www.facebook.com/groups/996848967717626/</v>
      </c>
      <c r="D1102" t="str">
        <v>-</v>
      </c>
      <c r="E1102" t="str">
        <v/>
      </c>
      <c r="F1102" t="str">
        <v>-</v>
      </c>
      <c r="G1102" t="str">
        <v>-</v>
      </c>
    </row>
    <row r="1103">
      <c r="A1103">
        <v>1102</v>
      </c>
      <c r="B1103">
        <f>HYPERLINK("https://bactuliem.hanoi.gov.vn/phuong-co-nhue-2", "UBND Ủy ban nhân dân phường Cổ Nhuế 2  thành phố Hà Nội")</f>
      </c>
      <c r="C1103" t="str">
        <v>https://bactuliem.hanoi.gov.vn/phuong-co-nhue-2</v>
      </c>
      <c r="D1103" t="str">
        <v>-</v>
      </c>
      <c r="E1103" t="str">
        <v>-</v>
      </c>
      <c r="F1103" t="str">
        <v>-</v>
      </c>
      <c r="G1103" t="str">
        <v>-</v>
      </c>
    </row>
    <row r="1104">
      <c r="A1104">
        <v>1103</v>
      </c>
      <c r="B1104" t="str">
        <v>Công an phường Phú Diễn  thành phố Hà Nội</v>
      </c>
      <c r="C1104" t="str">
        <v>-</v>
      </c>
      <c r="D1104" t="str">
        <v>-</v>
      </c>
      <c r="E1104" t="str">
        <v/>
      </c>
      <c r="F1104" t="str">
        <v>-</v>
      </c>
      <c r="G1104" t="str">
        <v>-</v>
      </c>
    </row>
    <row r="1105">
      <c r="A1105">
        <v>1104</v>
      </c>
      <c r="B1105">
        <f>HYPERLINK("https://bactuliem.hanoi.gov.vn/phuong-phu-dien", "UBND Ủy ban nhân dân phường Phú Diễn  thành phố Hà Nội")</f>
      </c>
      <c r="C1105" t="str">
        <v>https://bactuliem.hanoi.gov.vn/phuong-phu-dien</v>
      </c>
      <c r="D1105" t="str">
        <v>-</v>
      </c>
      <c r="E1105" t="str">
        <v>-</v>
      </c>
      <c r="F1105" t="str">
        <v>-</v>
      </c>
      <c r="G1105" t="str">
        <v>-</v>
      </c>
    </row>
    <row r="1106">
      <c r="A1106">
        <v>1105</v>
      </c>
      <c r="B1106" t="str">
        <v>Công an phường Phúc Diễn  thành phố Hà Nội</v>
      </c>
      <c r="C1106" t="str">
        <v>-</v>
      </c>
      <c r="D1106" t="str">
        <v>-</v>
      </c>
      <c r="E1106" t="str">
        <v/>
      </c>
      <c r="F1106" t="str">
        <v>-</v>
      </c>
      <c r="G1106" t="str">
        <v>-</v>
      </c>
    </row>
    <row r="1107">
      <c r="A1107">
        <v>1106</v>
      </c>
      <c r="B1107">
        <f>HYPERLINK("https://bactuliem.hanoi.gov.vn/phuong-phuc-dien", "UBND Ủy ban nhân dân phường Phúc Diễn  thành phố Hà Nội")</f>
      </c>
      <c r="C1107" t="str">
        <v>https://bactuliem.hanoi.gov.vn/phuong-phuc-dien</v>
      </c>
      <c r="D1107" t="str">
        <v>-</v>
      </c>
      <c r="E1107" t="str">
        <v>-</v>
      </c>
      <c r="F1107" t="str">
        <v>-</v>
      </c>
      <c r="G1107" t="str">
        <v>-</v>
      </c>
    </row>
    <row r="1108">
      <c r="A1108">
        <v>1107</v>
      </c>
      <c r="B1108">
        <f>HYPERLINK("https://www.facebook.com/p/Tu%E1%BB%95i-tr%E1%BA%BB-C%C3%B4ng-an-th%E1%BB%8B-x%C3%A3-S%C6%A1n-T%C3%A2y-100040884909606/", "Công an thị trấn Chi Đông  thành phố Hà Nội")</f>
      </c>
      <c r="C1108" t="str">
        <v>https://www.facebook.com/p/Tu%E1%BB%95i-tr%E1%BA%BB-C%C3%B4ng-an-th%E1%BB%8B-x%C3%A3-S%C6%A1n-T%C3%A2y-100040884909606/</v>
      </c>
      <c r="D1108" t="str">
        <v>-</v>
      </c>
      <c r="E1108" t="str">
        <v/>
      </c>
      <c r="F1108" t="str">
        <v>tuoitrecatxsontay@gmail.com</v>
      </c>
      <c r="G1108" t="str">
        <v>-</v>
      </c>
    </row>
    <row r="1109">
      <c r="A1109">
        <v>1108</v>
      </c>
      <c r="B1109">
        <f>HYPERLINK("https://melinh.hanoi.gov.vn/thi-tran-chi-dong-1732851519.htm", "UBND Ủy ban nhân dân thị trấn Chi Đông  thành phố Hà Nội")</f>
      </c>
      <c r="C1109" t="str">
        <v>https://melinh.hanoi.gov.vn/thi-tran-chi-dong-1732851519.htm</v>
      </c>
      <c r="D1109" t="str">
        <v>-</v>
      </c>
      <c r="E1109" t="str">
        <v>-</v>
      </c>
      <c r="F1109" t="str">
        <v>-</v>
      </c>
      <c r="G1109" t="str">
        <v>-</v>
      </c>
    </row>
    <row r="1110">
      <c r="A1110">
        <v>1109</v>
      </c>
      <c r="B1110" t="str">
        <v>Công an xã Đại Thịnh  thành phố Hà Nội</v>
      </c>
      <c r="C1110" t="str">
        <v>-</v>
      </c>
      <c r="D1110" t="str">
        <v>-</v>
      </c>
      <c r="E1110" t="str">
        <v/>
      </c>
      <c r="F1110" t="str">
        <v>-</v>
      </c>
      <c r="G1110" t="str">
        <v>-</v>
      </c>
    </row>
    <row r="1111">
      <c r="A1111">
        <v>1110</v>
      </c>
      <c r="B1111">
        <f>HYPERLINK("https://melinh.hanoi.gov.vn/xa-dai-thinh-1732851487.htm", "UBND Ủy ban nhân dân xã Đại Thịnh  thành phố Hà Nội")</f>
      </c>
      <c r="C1111" t="str">
        <v>https://melinh.hanoi.gov.vn/xa-dai-thinh-1732851487.htm</v>
      </c>
      <c r="D1111" t="str">
        <v>-</v>
      </c>
      <c r="E1111" t="str">
        <v>-</v>
      </c>
      <c r="F1111" t="str">
        <v>-</v>
      </c>
      <c r="G1111" t="str">
        <v>-</v>
      </c>
    </row>
    <row r="1112">
      <c r="A1112">
        <v>1111</v>
      </c>
      <c r="B1112">
        <f>HYPERLINK("https://www.facebook.com/groups/toi.yeu.xa.kim.hoa.huyen.me.linh/", "Công an xã Kim Hoa  thành phố Hà Nội")</f>
      </c>
      <c r="C1112" t="str">
        <v>https://www.facebook.com/groups/toi.yeu.xa.kim.hoa.huyen.me.linh/</v>
      </c>
      <c r="D1112" t="str">
        <v>-</v>
      </c>
      <c r="E1112" t="str">
        <v/>
      </c>
      <c r="F1112" t="str">
        <v>-</v>
      </c>
      <c r="G1112" t="str">
        <v>-</v>
      </c>
    </row>
    <row r="1113">
      <c r="A1113">
        <v>1112</v>
      </c>
      <c r="B1113">
        <f>HYPERLINK("https://melinh.hanoi.gov.vn/xa-kim-hoa/gioi-thieu.htm", "UBND Ủy ban nhân dân xã Kim Hoa  thành phố Hà Nội")</f>
      </c>
      <c r="C1113" t="str">
        <v>https://melinh.hanoi.gov.vn/xa-kim-hoa/gioi-thieu.htm</v>
      </c>
      <c r="D1113" t="str">
        <v>-</v>
      </c>
      <c r="E1113" t="str">
        <v>-</v>
      </c>
      <c r="F1113" t="str">
        <v>-</v>
      </c>
      <c r="G1113" t="str">
        <v>-</v>
      </c>
    </row>
    <row r="1114">
      <c r="A1114">
        <v>1113</v>
      </c>
      <c r="B1114" t="str">
        <v>Công an xã Thạch Đà  thành phố Hà Nội</v>
      </c>
      <c r="C1114" t="str">
        <v>-</v>
      </c>
      <c r="D1114" t="str">
        <v>-</v>
      </c>
      <c r="E1114" t="str">
        <v/>
      </c>
      <c r="F1114" t="str">
        <v>-</v>
      </c>
      <c r="G1114" t="str">
        <v>-</v>
      </c>
    </row>
    <row r="1115">
      <c r="A1115">
        <v>1114</v>
      </c>
      <c r="B1115">
        <f>HYPERLINK("https://melinh.hanoi.gov.vn/xa-thach-da-1732723305.htm", "UBND Ủy ban nhân dân xã Thạch Đà  thành phố Hà Nội")</f>
      </c>
      <c r="C1115" t="str">
        <v>https://melinh.hanoi.gov.vn/xa-thach-da-1732723305.htm</v>
      </c>
      <c r="D1115" t="str">
        <v>-</v>
      </c>
      <c r="E1115" t="str">
        <v>-</v>
      </c>
      <c r="F1115" t="str">
        <v>-</v>
      </c>
      <c r="G1115" t="str">
        <v>-</v>
      </c>
    </row>
    <row r="1116">
      <c r="A1116">
        <v>1115</v>
      </c>
      <c r="B1116">
        <f>HYPERLINK("https://www.facebook.com/doanthanhnien.1956/?locale=vi_VN", "Công an xã Tiến Thắng  thành phố Hà Nội")</f>
      </c>
      <c r="C1116" t="str">
        <v>https://www.facebook.com/doanthanhnien.1956/?locale=vi_VN</v>
      </c>
      <c r="D1116" t="str">
        <v>-</v>
      </c>
      <c r="E1116" t="str">
        <v/>
      </c>
      <c r="F1116" t="str">
        <v>doanthanhniencatphanoi@gmail.com</v>
      </c>
      <c r="G1116" t="str">
        <v>87 phố Trần Hưng Đạo, quận Hoàn Kiếm, TP Hà Nội, Hanoi, Vietnam</v>
      </c>
    </row>
    <row r="1117">
      <c r="A1117">
        <v>1116</v>
      </c>
      <c r="B1117">
        <f>HYPERLINK("https://melinh.hanoi.gov.vn/xa-tien-thang.htm", "UBND Ủy ban nhân dân xã Tiến Thắng  thành phố Hà Nội")</f>
      </c>
      <c r="C1117" t="str">
        <v>https://melinh.hanoi.gov.vn/xa-tien-thang.htm</v>
      </c>
      <c r="D1117" t="str">
        <v>-</v>
      </c>
      <c r="E1117" t="str">
        <v>-</v>
      </c>
      <c r="F1117" t="str">
        <v>-</v>
      </c>
      <c r="G1117" t="str">
        <v>-</v>
      </c>
    </row>
    <row r="1118">
      <c r="A1118">
        <v>1117</v>
      </c>
      <c r="B1118">
        <f>HYPERLINK("https://www.facebook.com/p/UBND-x%C3%A3-T%E1%BB%B1-L%E1%BA%ADp-huy%E1%BB%87n-M%C3%AA-Linh-Th%C3%A0nh-ph%E1%BB%91-H%C3%A0-N%E1%BB%99i-100070815645541/", "Công an xã Tự Lập  thành phố Hà Nội")</f>
      </c>
      <c r="C1118" t="str">
        <v>https://www.facebook.com/p/UBND-x%C3%A3-T%E1%BB%B1-L%E1%BA%ADp-huy%E1%BB%87n-M%C3%AA-Linh-Th%C3%A0nh-ph%E1%BB%91-H%C3%A0-N%E1%BB%99i-100070815645541/</v>
      </c>
      <c r="D1118" t="str">
        <v>0396787342</v>
      </c>
      <c r="E1118" t="str">
        <v>-</v>
      </c>
      <c r="F1118" t="str">
        <v>-</v>
      </c>
      <c r="G1118" t="str">
        <v>-</v>
      </c>
    </row>
    <row r="1119">
      <c r="A1119">
        <v>1118</v>
      </c>
      <c r="B1119">
        <f>HYPERLINK("https://melinh.hanoi.gov.vn/xa-tu-lap.htm", "UBND Ủy ban nhân dân xã Tự Lập  thành phố Hà Nội")</f>
      </c>
      <c r="C1119" t="str">
        <v>https://melinh.hanoi.gov.vn/xa-tu-lap.htm</v>
      </c>
      <c r="D1119" t="str">
        <v>-</v>
      </c>
      <c r="E1119" t="str">
        <v>-</v>
      </c>
      <c r="F1119" t="str">
        <v>-</v>
      </c>
      <c r="G1119" t="str">
        <v>-</v>
      </c>
    </row>
    <row r="1120">
      <c r="A1120">
        <v>1119</v>
      </c>
      <c r="B1120">
        <f>HYPERLINK("https://www.facebook.com/p/UBND-th%E1%BB%8B-tr%E1%BA%A5n-Quang-Minh-100064366135613/", "Công an thị trấn Quang Minh  thành phố Hà Nội")</f>
      </c>
      <c r="C1120" t="str">
        <v>https://www.facebook.com/p/UBND-th%E1%BB%8B-tr%E1%BA%A5n-Quang-Minh-100064366135613/</v>
      </c>
      <c r="D1120" t="str">
        <v>-</v>
      </c>
      <c r="E1120" t="str">
        <v>02438134010</v>
      </c>
      <c r="F1120" t="str">
        <v>ttqm_melinh@hanoi.gov.vn</v>
      </c>
      <c r="G1120" t="str">
        <v>Đường Quang Minh, Tổ 3, thị trấn Quang Minh, Mê Linh, Hanoi, Vietnam</v>
      </c>
    </row>
    <row r="1121">
      <c r="A1121">
        <v>1120</v>
      </c>
      <c r="B1121">
        <f>HYPERLINK("https://melinh.hanoi.gov.vn/thi-tran-quang-minh.htm", "UBND Ủy ban nhân dân thị trấn Quang Minh  thành phố Hà Nội")</f>
      </c>
      <c r="C1121" t="str">
        <v>https://melinh.hanoi.gov.vn/thi-tran-quang-minh.htm</v>
      </c>
      <c r="D1121" t="str">
        <v>-</v>
      </c>
      <c r="E1121" t="str">
        <v>-</v>
      </c>
      <c r="F1121" t="str">
        <v>-</v>
      </c>
      <c r="G1121" t="str">
        <v>-</v>
      </c>
    </row>
    <row r="1122">
      <c r="A1122">
        <v>1121</v>
      </c>
      <c r="B1122">
        <f>HYPERLINK("https://www.facebook.com/doanthanhnien.1956/?locale=vi_VN", "Công an xã Thanh Lâm  thành phố Hà Nội")</f>
      </c>
      <c r="C1122" t="str">
        <v>https://www.facebook.com/doanthanhnien.1956/?locale=vi_VN</v>
      </c>
      <c r="D1122" t="str">
        <v>-</v>
      </c>
      <c r="E1122" t="str">
        <v/>
      </c>
      <c r="F1122" t="str">
        <v>doanthanhniencatphanoi@gmail.com</v>
      </c>
      <c r="G1122" t="str">
        <v>87 phố Trần Hưng Đạo, quận Hoàn Kiếm, TP Hà Nội, Hanoi, Vietnam</v>
      </c>
    </row>
    <row r="1123">
      <c r="A1123">
        <v>1122</v>
      </c>
      <c r="B1123">
        <f>HYPERLINK("https://melinh.hanoi.gov.vn/xa-thanh-lam/gioi-thieu.htm", "UBND Ủy ban nhân dân xã Thanh Lâm  thành phố Hà Nội")</f>
      </c>
      <c r="C1123" t="str">
        <v>https://melinh.hanoi.gov.vn/xa-thanh-lam/gioi-thieu.htm</v>
      </c>
      <c r="D1123" t="str">
        <v>-</v>
      </c>
      <c r="E1123" t="str">
        <v>-</v>
      </c>
      <c r="F1123" t="str">
        <v>-</v>
      </c>
      <c r="G1123" t="str">
        <v>-</v>
      </c>
    </row>
    <row r="1124">
      <c r="A1124">
        <v>1123</v>
      </c>
      <c r="B1124">
        <f>HYPERLINK("https://www.facebook.com/doanthanhnien.1956/", "Công an xã Tam Đồng  thành phố Hà Nội")</f>
      </c>
      <c r="C1124" t="str">
        <v>https://www.facebook.com/doanthanhnien.1956/</v>
      </c>
      <c r="D1124" t="str">
        <v>-</v>
      </c>
      <c r="E1124" t="str">
        <v/>
      </c>
      <c r="F1124" t="str">
        <v>doanthanhniencatphanoi@gmail.com</v>
      </c>
      <c r="G1124" t="str">
        <v>87 phố Trần Hưng Đạo, quận Hoàn Kiếm, TP Hà Nội, Hanoi, Vietnam</v>
      </c>
    </row>
    <row r="1125">
      <c r="A1125">
        <v>1124</v>
      </c>
      <c r="B1125">
        <f>HYPERLINK("https://melinh.hanoi.gov.vn/xa-tam-dong.htm", "UBND Ủy ban nhân dân xã Tam Đồng  thành phố Hà Nội")</f>
      </c>
      <c r="C1125" t="str">
        <v>https://melinh.hanoi.gov.vn/xa-tam-dong.htm</v>
      </c>
      <c r="D1125" t="str">
        <v>-</v>
      </c>
      <c r="E1125" t="str">
        <v>-</v>
      </c>
      <c r="F1125" t="str">
        <v>-</v>
      </c>
      <c r="G1125" t="str">
        <v>-</v>
      </c>
    </row>
    <row r="1126">
      <c r="A1126">
        <v>1125</v>
      </c>
      <c r="B1126" t="str">
        <v>Công an xã Liên Mạc  thành phố Hà Nội</v>
      </c>
      <c r="C1126" t="str">
        <v>-</v>
      </c>
      <c r="D1126" t="str">
        <v>-</v>
      </c>
      <c r="E1126" t="str">
        <v/>
      </c>
      <c r="F1126" t="str">
        <v>-</v>
      </c>
      <c r="G1126" t="str">
        <v>-</v>
      </c>
    </row>
    <row r="1127">
      <c r="A1127">
        <v>1126</v>
      </c>
      <c r="B1127">
        <f>HYPERLINK("https://melinh.hanoi.gov.vn/xa-lien-mac.htm", "UBND Ủy ban nhân dân xã Liên Mạc  thành phố Hà Nội")</f>
      </c>
      <c r="C1127" t="str">
        <v>https://melinh.hanoi.gov.vn/xa-lien-mac.htm</v>
      </c>
      <c r="D1127" t="str">
        <v>-</v>
      </c>
      <c r="E1127" t="str">
        <v>-</v>
      </c>
      <c r="F1127" t="str">
        <v>-</v>
      </c>
      <c r="G1127" t="str">
        <v>-</v>
      </c>
    </row>
    <row r="1128">
      <c r="A1128">
        <v>1127</v>
      </c>
      <c r="B1128">
        <f>HYPERLINK("https://www.facebook.com/p/Tu%E1%BB%95i-tr%E1%BA%BB-C%C3%B4ng-an-Th%C3%A0nh-ph%E1%BB%91-V%C4%A9nh-Y%C3%AAn-100066497717181/?locale=vi_VN", "Công an xã Vạn Yên  thành phố Hà Nội")</f>
      </c>
      <c r="C1128" t="str">
        <v>https://www.facebook.com/p/Tu%E1%BB%95i-tr%E1%BA%BB-C%C3%B4ng-an-Th%C3%A0nh-ph%E1%BB%91-V%C4%A9nh-Y%C3%AAn-100066497717181/?locale=vi_VN</v>
      </c>
      <c r="D1128" t="str">
        <v>-</v>
      </c>
      <c r="E1128" t="str">
        <v>02113861204</v>
      </c>
      <c r="F1128" t="str">
        <v>-</v>
      </c>
      <c r="G1128" t="str">
        <v>Lê Xoay - Ngô Quyền - Vĩnh Yên, Yen, Vietnam</v>
      </c>
    </row>
    <row r="1129">
      <c r="A1129">
        <v>1128</v>
      </c>
      <c r="B1129">
        <f>HYPERLINK("https://melinh.hanoi.gov.vn/xa-van-yen.htm", "UBND Ủy ban nhân dân xã Vạn Yên  thành phố Hà Nội")</f>
      </c>
      <c r="C1129" t="str">
        <v>https://melinh.hanoi.gov.vn/xa-van-yen.htm</v>
      </c>
      <c r="D1129" t="str">
        <v>-</v>
      </c>
      <c r="E1129" t="str">
        <v>-</v>
      </c>
      <c r="F1129" t="str">
        <v>-</v>
      </c>
      <c r="G1129" t="str">
        <v>-</v>
      </c>
    </row>
    <row r="1130">
      <c r="A1130">
        <v>1129</v>
      </c>
      <c r="B1130" t="str">
        <v>Công an xã Chu Phan  thành phố Hà Nội</v>
      </c>
      <c r="C1130" t="str">
        <v>-</v>
      </c>
      <c r="D1130" t="str">
        <v>-</v>
      </c>
      <c r="E1130" t="str">
        <v/>
      </c>
      <c r="F1130" t="str">
        <v>-</v>
      </c>
      <c r="G1130" t="str">
        <v>-</v>
      </c>
    </row>
    <row r="1131">
      <c r="A1131">
        <v>1130</v>
      </c>
      <c r="B1131">
        <f>HYPERLINK("https://melinh.hanoi.gov.vn/hdnd-xa-chu-phan-thuc-hien-bau-chuc-danh-pho-chu-tich-ubnd-xa-nhiem-ky-2021-2026-173241107211832851.htm", "UBND Ủy ban nhân dân xã Chu Phan  thành phố Hà Nội")</f>
      </c>
      <c r="C1131" t="str">
        <v>https://melinh.hanoi.gov.vn/hdnd-xa-chu-phan-thuc-hien-bau-chuc-danh-pho-chu-tich-ubnd-xa-nhiem-ky-2021-2026-173241107211832851.htm</v>
      </c>
      <c r="D1131" t="str">
        <v>-</v>
      </c>
      <c r="E1131" t="str">
        <v>-</v>
      </c>
      <c r="F1131" t="str">
        <v>-</v>
      </c>
      <c r="G1131" t="str">
        <v>-</v>
      </c>
    </row>
    <row r="1132">
      <c r="A1132">
        <v>1131</v>
      </c>
      <c r="B1132">
        <f>HYPERLINK("https://www.facebook.com/doanxatienthinh.vn/", "Công an xã Tiến Thịnh  thành phố Hà Nội")</f>
      </c>
      <c r="C1132" t="str">
        <v>https://www.facebook.com/doanxatienthinh.vn/</v>
      </c>
      <c r="D1132" t="str">
        <v>-</v>
      </c>
      <c r="E1132" t="str">
        <v>0976189401</v>
      </c>
      <c r="F1132" t="str">
        <v>-</v>
      </c>
      <c r="G1132" t="str">
        <v>Đường 308 xã Tiến Thịnh, huyện Mê Linh, Thành phố Hà Nội, Hanoi, Vietnam</v>
      </c>
    </row>
    <row r="1133">
      <c r="A1133">
        <v>1132</v>
      </c>
      <c r="B1133">
        <f>HYPERLINK("https://melinh.hanoi.gov.vn/xa-tien-thinh-1732851390.htm", "UBND Ủy ban nhân dân xã Tiến Thịnh  thành phố Hà Nội")</f>
      </c>
      <c r="C1133" t="str">
        <v>https://melinh.hanoi.gov.vn/xa-tien-thinh-1732851390.htm</v>
      </c>
      <c r="D1133" t="str">
        <v>-</v>
      </c>
      <c r="E1133" t="str">
        <v>-</v>
      </c>
      <c r="F1133" t="str">
        <v>-</v>
      </c>
      <c r="G1133" t="str">
        <v>-</v>
      </c>
    </row>
    <row r="1134">
      <c r="A1134">
        <v>1133</v>
      </c>
      <c r="B1134">
        <f>HYPERLINK("https://www.facebook.com/p/Tu%E1%BB%95i-tr%E1%BA%BB-C%C3%B4ng-an-huy%E1%BB%87n-M%C3%AA-Linh-100072183319533/", "Công an xã Mê Linh  thành phố Hà Nội")</f>
      </c>
      <c r="C1134" t="str">
        <v>https://www.facebook.com/p/Tu%E1%BB%95i-tr%E1%BA%BB-C%C3%B4ng-an-huy%E1%BB%87n-M%C3%AA-Linh-100072183319533/</v>
      </c>
      <c r="D1134" t="str">
        <v>-</v>
      </c>
      <c r="E1134" t="str">
        <v>+2435202453</v>
      </c>
      <c r="F1134" t="str">
        <v>doanthanhniencamelinh@gmail.com</v>
      </c>
      <c r="G1134" t="str">
        <v>số 5, Đường Đại Thịnh, xã Đại Thịnh, huyện Mê Linh,  Hà Nội</v>
      </c>
    </row>
    <row r="1135">
      <c r="A1135">
        <v>1134</v>
      </c>
      <c r="B1135">
        <f>HYPERLINK("https://melinh.hanoi.gov.vn/xa-me-linh.htm", "UBND Ủy ban nhân dân xã Mê Linh  thành phố Hà Nội")</f>
      </c>
      <c r="C1135" t="str">
        <v>https://melinh.hanoi.gov.vn/xa-me-linh.htm</v>
      </c>
      <c r="D1135" t="str">
        <v>-</v>
      </c>
      <c r="E1135" t="str">
        <v>-</v>
      </c>
      <c r="F1135" t="str">
        <v>-</v>
      </c>
      <c r="G1135" t="str">
        <v>-</v>
      </c>
    </row>
    <row r="1136">
      <c r="A1136">
        <v>1135</v>
      </c>
      <c r="B1136">
        <f>HYPERLINK("https://www.facebook.com/322827476213987", "Công an xã Văn Khê  thành phố Hà Nội")</f>
      </c>
      <c r="C1136" t="str">
        <v>https://www.facebook.com/322827476213987</v>
      </c>
      <c r="D1136" t="str">
        <v>-</v>
      </c>
      <c r="E1136" t="str">
        <v/>
      </c>
      <c r="F1136" t="str">
        <v>-</v>
      </c>
      <c r="G1136" t="str">
        <v>-</v>
      </c>
    </row>
    <row r="1137">
      <c r="A1137">
        <v>1136</v>
      </c>
      <c r="B1137">
        <f>HYPERLINK("https://melinh.hanoi.gov.vn/xa-van-khe/gioi-thieu.htm", "UBND Ủy ban nhân dân xã Văn Khê  thành phố Hà Nội")</f>
      </c>
      <c r="C1137" t="str">
        <v>https://melinh.hanoi.gov.vn/xa-van-khe/gioi-thieu.htm</v>
      </c>
      <c r="D1137" t="str">
        <v>-</v>
      </c>
      <c r="E1137" t="str">
        <v>-</v>
      </c>
      <c r="F1137" t="str">
        <v>-</v>
      </c>
      <c r="G1137" t="str">
        <v>-</v>
      </c>
    </row>
    <row r="1138">
      <c r="A1138">
        <v>1137</v>
      </c>
      <c r="B1138" t="str">
        <v>Công an xã Hoàng Kim  thành phố Hà Nội</v>
      </c>
      <c r="C1138" t="str">
        <v>-</v>
      </c>
      <c r="D1138" t="str">
        <v>-</v>
      </c>
      <c r="E1138" t="str">
        <v/>
      </c>
      <c r="F1138" t="str">
        <v>-</v>
      </c>
      <c r="G1138" t="str">
        <v>-</v>
      </c>
    </row>
    <row r="1139">
      <c r="A1139">
        <v>1138</v>
      </c>
      <c r="B1139">
        <f>HYPERLINK("https://melinh.hanoi.gov.vn/xa-hoang-kim.htm", "UBND Ủy ban nhân dân xã Hoàng Kim  thành phố Hà Nội")</f>
      </c>
      <c r="C1139" t="str">
        <v>https://melinh.hanoi.gov.vn/xa-hoang-kim.htm</v>
      </c>
      <c r="D1139" t="str">
        <v>-</v>
      </c>
      <c r="E1139" t="str">
        <v>-</v>
      </c>
      <c r="F1139" t="str">
        <v>-</v>
      </c>
      <c r="G1139" t="str">
        <v>-</v>
      </c>
    </row>
    <row r="1140">
      <c r="A1140">
        <v>1139</v>
      </c>
      <c r="B1140">
        <f>HYPERLINK("https://www.facebook.com/1625067657681016", "Công an xã Tiền Phong  thành phố Hà Nội")</f>
      </c>
      <c r="C1140" t="str">
        <v>https://www.facebook.com/1625067657681016</v>
      </c>
      <c r="D1140" t="str">
        <v>-</v>
      </c>
      <c r="E1140" t="str">
        <v/>
      </c>
      <c r="F1140" t="str">
        <v>-</v>
      </c>
      <c r="G1140" t="str">
        <v>-</v>
      </c>
    </row>
    <row r="1141">
      <c r="A1141">
        <v>1140</v>
      </c>
      <c r="B1141">
        <f>HYPERLINK("https://melinh.hanoi.gov.vn/xa-tien-phong.htm", "UBND Ủy ban nhân dân xã Tiền Phong  thành phố Hà Nội")</f>
      </c>
      <c r="C1141" t="str">
        <v>https://melinh.hanoi.gov.vn/xa-tien-phong.htm</v>
      </c>
      <c r="D1141" t="str">
        <v>-</v>
      </c>
      <c r="E1141" t="str">
        <v>-</v>
      </c>
      <c r="F1141" t="str">
        <v>-</v>
      </c>
      <c r="G1141" t="str">
        <v>-</v>
      </c>
    </row>
    <row r="1142">
      <c r="A1142">
        <v>1141</v>
      </c>
      <c r="B1142" t="str">
        <v>Công an xã Tráng Việt  thành phố Hà Nội</v>
      </c>
      <c r="C1142" t="str">
        <v>-</v>
      </c>
      <c r="D1142" t="str">
        <v>-</v>
      </c>
      <c r="E1142" t="str">
        <v/>
      </c>
      <c r="F1142" t="str">
        <v>-</v>
      </c>
      <c r="G1142" t="str">
        <v>-</v>
      </c>
    </row>
    <row r="1143">
      <c r="A1143">
        <v>1142</v>
      </c>
      <c r="B1143">
        <f>HYPERLINK("https://melinh.hanoi.gov.vn/xa-trang-viet-1732851323.htm", "UBND Ủy ban nhân dân xã Tráng Việt  thành phố Hà Nội")</f>
      </c>
      <c r="C1143" t="str">
        <v>https://melinh.hanoi.gov.vn/xa-trang-viet-1732851323.htm</v>
      </c>
      <c r="D1143" t="str">
        <v>-</v>
      </c>
      <c r="E1143" t="str">
        <v>-</v>
      </c>
      <c r="F1143" t="str">
        <v>-</v>
      </c>
      <c r="G1143" t="str">
        <v>-</v>
      </c>
    </row>
    <row r="1144">
      <c r="A1144">
        <v>1143</v>
      </c>
      <c r="B1144">
        <f>HYPERLINK("https://www.facebook.com/doanthanhnien.1956/", "Công an phường Nguyễn Trãi  thành phố Hà Nội")</f>
      </c>
      <c r="C1144" t="str">
        <v>https://www.facebook.com/doanthanhnien.1956/</v>
      </c>
      <c r="D1144" t="str">
        <v>-</v>
      </c>
      <c r="E1144" t="str">
        <v/>
      </c>
      <c r="F1144" t="str">
        <v>doanthanhniencatphanoi@gmail.com</v>
      </c>
      <c r="G1144" t="str">
        <v>87 phố Trần Hưng Đạo, quận Hoàn Kiếm, TP Hà Nội, Hanoi, Vietnam</v>
      </c>
    </row>
    <row r="1145">
      <c r="A1145">
        <v>1144</v>
      </c>
      <c r="B1145">
        <f>HYPERLINK("http://nguyentrai.hadong.hanoi.gov.vn/", "UBND Ủy ban nhân dân phường Nguyễn Trãi  thành phố Hà Nội")</f>
      </c>
      <c r="C1145" t="str">
        <v>http://nguyentrai.hadong.hanoi.gov.vn/</v>
      </c>
      <c r="D1145" t="str">
        <v>-</v>
      </c>
      <c r="E1145" t="str">
        <v>-</v>
      </c>
      <c r="F1145" t="str">
        <v>-</v>
      </c>
      <c r="G1145" t="str">
        <v>-</v>
      </c>
    </row>
    <row r="1146">
      <c r="A1146">
        <v>1145</v>
      </c>
      <c r="B1146" t="str">
        <v>Công an phường Mộ Lao  thành phố Hà Nội</v>
      </c>
      <c r="C1146" t="str">
        <v>-</v>
      </c>
      <c r="D1146" t="str">
        <v>-</v>
      </c>
      <c r="E1146" t="str">
        <v/>
      </c>
      <c r="F1146" t="str">
        <v>-</v>
      </c>
      <c r="G1146" t="str">
        <v>-</v>
      </c>
    </row>
    <row r="1147">
      <c r="A1147">
        <v>1146</v>
      </c>
      <c r="B1147">
        <f>HYPERLINK("http://molao.hadong.hanoi.gov.vn/", "UBND Ủy ban nhân dân phường Mộ Lao  thành phố Hà Nội")</f>
      </c>
      <c r="C1147" t="str">
        <v>http://molao.hadong.hanoi.gov.vn/</v>
      </c>
      <c r="D1147" t="str">
        <v>-</v>
      </c>
      <c r="E1147" t="str">
        <v>-</v>
      </c>
      <c r="F1147" t="str">
        <v>-</v>
      </c>
      <c r="G1147" t="str">
        <v>-</v>
      </c>
    </row>
    <row r="1148">
      <c r="A1148">
        <v>1147</v>
      </c>
      <c r="B1148">
        <f>HYPERLINK("https://www.facebook.com/tuoitreconganquanhadong/", "Công an phường Văn Quán  thành phố Hà Nội")</f>
      </c>
      <c r="C1148" t="str">
        <v>https://www.facebook.com/tuoitreconganquanhadong/</v>
      </c>
      <c r="D1148" t="str">
        <v>-</v>
      </c>
      <c r="E1148" t="str">
        <v/>
      </c>
      <c r="F1148" t="str">
        <v>-</v>
      </c>
      <c r="G1148" t="str">
        <v>-</v>
      </c>
    </row>
    <row r="1149">
      <c r="A1149">
        <v>1148</v>
      </c>
      <c r="B1149">
        <f>HYPERLINK("http://vanquan.hadong.hanoi.gov.vn/", "UBND Ủy ban nhân dân phường Văn Quán  thành phố Hà Nội")</f>
      </c>
      <c r="C1149" t="str">
        <v>http://vanquan.hadong.hanoi.gov.vn/</v>
      </c>
      <c r="D1149" t="str">
        <v>-</v>
      </c>
      <c r="E1149" t="str">
        <v>-</v>
      </c>
      <c r="F1149" t="str">
        <v>-</v>
      </c>
      <c r="G1149" t="str">
        <v>-</v>
      </c>
    </row>
    <row r="1150">
      <c r="A1150">
        <v>1149</v>
      </c>
      <c r="B1150">
        <f>HYPERLINK("https://www.facebook.com/people/TU%E1%BB%94I-TR%E1%BA%BA-V%E1%BA%A0N-PH%C3%9AC/100066503377007/", "Công an phường Vạn Phúc  thành phố Hà Nội")</f>
      </c>
      <c r="C1150" t="str">
        <v>https://www.facebook.com/people/TU%E1%BB%94I-TR%E1%BA%BA-V%E1%BA%A0N-PH%C3%9AC/100066503377007/</v>
      </c>
      <c r="D1150" t="str">
        <v>-</v>
      </c>
      <c r="E1150" t="str">
        <v/>
      </c>
      <c r="F1150" t="str">
        <v>doanphuongvanphuc@gmail.com</v>
      </c>
      <c r="G1150" t="str">
        <v>Số 18 Phố Lụa , Phường Vạn Phúc , Quận Hà Đông, Hanoi, Vietnam</v>
      </c>
    </row>
    <row r="1151">
      <c r="A1151">
        <v>1150</v>
      </c>
      <c r="B1151">
        <f>HYPERLINK("http://vanphuc.hadong.hanoi.gov.vn/", "UBND Ủy ban nhân dân phường Vạn Phúc  thành phố Hà Nội")</f>
      </c>
      <c r="C1151" t="str">
        <v>http://vanphuc.hadong.hanoi.gov.vn/</v>
      </c>
      <c r="D1151" t="str">
        <v>-</v>
      </c>
      <c r="E1151" t="str">
        <v>-</v>
      </c>
      <c r="F1151" t="str">
        <v>-</v>
      </c>
      <c r="G1151" t="str">
        <v>-</v>
      </c>
    </row>
    <row r="1152">
      <c r="A1152">
        <v>1151</v>
      </c>
      <c r="B1152" t="str">
        <v>Công an phường Yết Kiêu  thành phố Hà Nội</v>
      </c>
      <c r="C1152" t="str">
        <v>-</v>
      </c>
      <c r="D1152" t="str">
        <v>-</v>
      </c>
      <c r="E1152" t="str">
        <v/>
      </c>
      <c r="F1152" t="str">
        <v>-</v>
      </c>
      <c r="G1152" t="str">
        <v>-</v>
      </c>
    </row>
    <row r="1153">
      <c r="A1153">
        <v>1152</v>
      </c>
      <c r="B1153">
        <f>HYPERLINK("http://yetkieu.hadong.hanoi.gov.vn/", "UBND Ủy ban nhân dân phường Yết Kiêu  thành phố Hà Nội")</f>
      </c>
      <c r="C1153" t="str">
        <v>http://yetkieu.hadong.hanoi.gov.vn/</v>
      </c>
      <c r="D1153" t="str">
        <v>-</v>
      </c>
      <c r="E1153" t="str">
        <v>-</v>
      </c>
      <c r="F1153" t="str">
        <v>-</v>
      </c>
      <c r="G1153" t="str">
        <v>-</v>
      </c>
    </row>
    <row r="1154">
      <c r="A1154">
        <v>1153</v>
      </c>
      <c r="B1154" t="str">
        <v>Công an phường Quang Trung  thành phố Hà Nội</v>
      </c>
      <c r="C1154" t="str">
        <v>-</v>
      </c>
      <c r="D1154" t="str">
        <v>-</v>
      </c>
      <c r="E1154" t="str">
        <v/>
      </c>
      <c r="F1154" t="str">
        <v>-</v>
      </c>
      <c r="G1154" t="str">
        <v>-</v>
      </c>
    </row>
    <row r="1155">
      <c r="A1155">
        <v>1154</v>
      </c>
      <c r="B1155">
        <f>HYPERLINK("http://quangtrung.hadong.hanoi.gov.vn/lien-he-phuong", "UBND Ủy ban nhân dân phường Quang Trung  thành phố Hà Nội")</f>
      </c>
      <c r="C1155" t="str">
        <v>http://quangtrung.hadong.hanoi.gov.vn/lien-he-phuong</v>
      </c>
      <c r="D1155" t="str">
        <v>-</v>
      </c>
      <c r="E1155" t="str">
        <v>-</v>
      </c>
      <c r="F1155" t="str">
        <v>-</v>
      </c>
      <c r="G1155" t="str">
        <v>-</v>
      </c>
    </row>
    <row r="1156">
      <c r="A1156">
        <v>1155</v>
      </c>
      <c r="B1156" t="str">
        <v>Công an phường La Khê  thành phố Hà Nội</v>
      </c>
      <c r="C1156" t="str">
        <v>-</v>
      </c>
      <c r="D1156" t="str">
        <v>-</v>
      </c>
      <c r="E1156" t="str">
        <v/>
      </c>
      <c r="F1156" t="str">
        <v>-</v>
      </c>
      <c r="G1156" t="str">
        <v>-</v>
      </c>
    </row>
    <row r="1157">
      <c r="A1157">
        <v>1156</v>
      </c>
      <c r="B1157">
        <f>HYPERLINK("http://lakhe.hadong.hanoi.gov.vn/", "UBND Ủy ban nhân dân phường La Khê  thành phố Hà Nội")</f>
      </c>
      <c r="C1157" t="str">
        <v>http://lakhe.hadong.hanoi.gov.vn/</v>
      </c>
      <c r="D1157" t="str">
        <v>-</v>
      </c>
      <c r="E1157" t="str">
        <v>-</v>
      </c>
      <c r="F1157" t="str">
        <v>-</v>
      </c>
      <c r="G1157" t="str">
        <v>-</v>
      </c>
    </row>
    <row r="1158">
      <c r="A1158">
        <v>1157</v>
      </c>
      <c r="B1158">
        <f>HYPERLINK("https://www.facebook.com/tuoitreconganquanhadong/", "Công an phường Phú La  thành phố Hà Nội")</f>
      </c>
      <c r="C1158" t="str">
        <v>https://www.facebook.com/tuoitreconganquanhadong/</v>
      </c>
      <c r="D1158" t="str">
        <v>-</v>
      </c>
      <c r="E1158" t="str">
        <v/>
      </c>
      <c r="F1158" t="str">
        <v>-</v>
      </c>
      <c r="G1158" t="str">
        <v>-</v>
      </c>
    </row>
    <row r="1159">
      <c r="A1159">
        <v>1158</v>
      </c>
      <c r="B1159">
        <f>HYPERLINK("http://phula.hadong.hanoi.gov.vn/", "UBND Ủy ban nhân dân phường Phú La  thành phố Hà Nội")</f>
      </c>
      <c r="C1159" t="str">
        <v>http://phula.hadong.hanoi.gov.vn/</v>
      </c>
      <c r="D1159" t="str">
        <v>-</v>
      </c>
      <c r="E1159" t="str">
        <v>-</v>
      </c>
      <c r="F1159" t="str">
        <v>-</v>
      </c>
      <c r="G1159" t="str">
        <v>-</v>
      </c>
    </row>
    <row r="1160">
      <c r="A1160">
        <v>1159</v>
      </c>
      <c r="B1160">
        <f>HYPERLINK("https://www.facebook.com/p/Tu%E1%BB%95i-tr%E1%BA%BB-C%C3%B4ng-an-Th%C3%A0nh-ph%E1%BB%91-V%C4%A9nh-Y%C3%AAn-100066497717181/?locale=vi_VN", "Công an phường Phúc La  thành phố Hà Nội")</f>
      </c>
      <c r="C1160" t="str">
        <v>https://www.facebook.com/p/Tu%E1%BB%95i-tr%E1%BA%BB-C%C3%B4ng-an-Th%C3%A0nh-ph%E1%BB%91-V%C4%A9nh-Y%C3%AAn-100066497717181/?locale=vi_VN</v>
      </c>
      <c r="D1160" t="str">
        <v>-</v>
      </c>
      <c r="E1160" t="str">
        <v>02113861204</v>
      </c>
      <c r="F1160" t="str">
        <v>-</v>
      </c>
      <c r="G1160" t="str">
        <v>Lê Xoay - Ngô Quyền - Vĩnh Yên, Yen, Vietnam</v>
      </c>
    </row>
    <row r="1161">
      <c r="A1161">
        <v>1160</v>
      </c>
      <c r="B1161">
        <f>HYPERLINK("http://phucla.hadong.hanoi.gov.vn/", "UBND Ủy ban nhân dân phường Phúc La  thành phố Hà Nội")</f>
      </c>
      <c r="C1161" t="str">
        <v>http://phucla.hadong.hanoi.gov.vn/</v>
      </c>
      <c r="D1161" t="str">
        <v>-</v>
      </c>
      <c r="E1161" t="str">
        <v>-</v>
      </c>
      <c r="F1161" t="str">
        <v>-</v>
      </c>
      <c r="G1161" t="str">
        <v>-</v>
      </c>
    </row>
    <row r="1162">
      <c r="A1162">
        <v>1161</v>
      </c>
      <c r="B1162">
        <f>HYPERLINK("https://www.facebook.com/HaCauPho/", "Công an phường Hà Cầu  thành phố Hà Nội")</f>
      </c>
      <c r="C1162" t="str">
        <v>https://www.facebook.com/HaCauPho/</v>
      </c>
      <c r="D1162" t="str">
        <v>-</v>
      </c>
      <c r="E1162" t="str">
        <v>02433825057</v>
      </c>
      <c r="F1162" t="str">
        <v>phc_hadong@hanoi.gov.vn</v>
      </c>
      <c r="G1162" t="str">
        <v>163 Lê Hồng Phong, Hà Cầu, Hà Đông, Hanoi, Vietnam</v>
      </c>
    </row>
    <row r="1163">
      <c r="A1163">
        <v>1162</v>
      </c>
      <c r="B1163">
        <f>HYPERLINK("http://hacau.hadong.hanoi.gov.vn/", "UBND Ủy ban nhân dân phường Hà Cầu  thành phố Hà Nội")</f>
      </c>
      <c r="C1163" t="str">
        <v>http://hacau.hadong.hanoi.gov.vn/</v>
      </c>
      <c r="D1163" t="str">
        <v>-</v>
      </c>
      <c r="E1163" t="str">
        <v>-</v>
      </c>
      <c r="F1163" t="str">
        <v>-</v>
      </c>
      <c r="G1163" t="str">
        <v>-</v>
      </c>
    </row>
    <row r="1164">
      <c r="A1164">
        <v>1163</v>
      </c>
      <c r="B1164" t="str">
        <v>Công an phường Yên Nghĩa  thành phố Hà Nội</v>
      </c>
      <c r="C1164" t="str">
        <v>-</v>
      </c>
      <c r="D1164" t="str">
        <v>-</v>
      </c>
      <c r="E1164" t="str">
        <v/>
      </c>
      <c r="F1164" t="str">
        <v>-</v>
      </c>
      <c r="G1164" t="str">
        <v>-</v>
      </c>
    </row>
    <row r="1165">
      <c r="A1165">
        <v>1164</v>
      </c>
      <c r="B1165">
        <f>HYPERLINK("http://yennghia.hadong.hanoi.gov.vn/", "UBND Ủy ban nhân dân phường Yên Nghĩa  thành phố Hà Nội")</f>
      </c>
      <c r="C1165" t="str">
        <v>http://yennghia.hadong.hanoi.gov.vn/</v>
      </c>
      <c r="D1165" t="str">
        <v>-</v>
      </c>
      <c r="E1165" t="str">
        <v>-</v>
      </c>
      <c r="F1165" t="str">
        <v>-</v>
      </c>
      <c r="G1165" t="str">
        <v>-</v>
      </c>
    </row>
    <row r="1166">
      <c r="A1166">
        <v>1165</v>
      </c>
      <c r="B1166" t="str">
        <v>Công an phường Kiến Hưng  thành phố Hà Nội</v>
      </c>
      <c r="C1166" t="str">
        <v>-</v>
      </c>
      <c r="D1166" t="str">
        <v>-</v>
      </c>
      <c r="E1166" t="str">
        <v/>
      </c>
      <c r="F1166" t="str">
        <v>-</v>
      </c>
      <c r="G1166" t="str">
        <v>-</v>
      </c>
    </row>
    <row r="1167">
      <c r="A1167">
        <v>1166</v>
      </c>
      <c r="B1167">
        <f>HYPERLINK("http://kienhung.hadong.hanoi.gov.vn/", "UBND Ủy ban nhân dân phường Kiến Hưng  thành phố Hà Nội")</f>
      </c>
      <c r="C1167" t="str">
        <v>http://kienhung.hadong.hanoi.gov.vn/</v>
      </c>
      <c r="D1167" t="str">
        <v>-</v>
      </c>
      <c r="E1167" t="str">
        <v>-</v>
      </c>
      <c r="F1167" t="str">
        <v>-</v>
      </c>
      <c r="G1167" t="str">
        <v>-</v>
      </c>
    </row>
    <row r="1168">
      <c r="A1168">
        <v>1167</v>
      </c>
      <c r="B1168">
        <f>HYPERLINK("https://www.facebook.com/tuoitreconganquanhadong/", "Công an phường Phú Lãm  thành phố Hà Nội")</f>
      </c>
      <c r="C1168" t="str">
        <v>https://www.facebook.com/tuoitreconganquanhadong/</v>
      </c>
      <c r="D1168" t="str">
        <v>-</v>
      </c>
      <c r="E1168" t="str">
        <v/>
      </c>
      <c r="F1168" t="str">
        <v>-</v>
      </c>
      <c r="G1168" t="str">
        <v>-</v>
      </c>
    </row>
    <row r="1169">
      <c r="A1169">
        <v>1168</v>
      </c>
      <c r="B1169">
        <f>HYPERLINK("http://phulam.hadong.hanoi.gov.vn/", "UBND Ủy ban nhân dân phường Phú Lãm  thành phố Hà Nội")</f>
      </c>
      <c r="C1169" t="str">
        <v>http://phulam.hadong.hanoi.gov.vn/</v>
      </c>
      <c r="D1169" t="str">
        <v>-</v>
      </c>
      <c r="E1169" t="str">
        <v>-</v>
      </c>
      <c r="F1169" t="str">
        <v>-</v>
      </c>
      <c r="G1169" t="str">
        <v>-</v>
      </c>
    </row>
    <row r="1170">
      <c r="A1170">
        <v>1169</v>
      </c>
      <c r="B1170" t="str">
        <v>Công an phường Phú Lương  thành phố Hà Nội</v>
      </c>
      <c r="C1170" t="str">
        <v>-</v>
      </c>
      <c r="D1170" t="str">
        <v>-</v>
      </c>
      <c r="E1170" t="str">
        <v/>
      </c>
      <c r="F1170" t="str">
        <v>-</v>
      </c>
      <c r="G1170" t="str">
        <v>-</v>
      </c>
    </row>
    <row r="1171">
      <c r="A1171">
        <v>1170</v>
      </c>
      <c r="B1171">
        <f>HYPERLINK("http://phuluong.hadong.hanoi.gov.vn/", "UBND Ủy ban nhân dân phường Phú Lương  thành phố Hà Nội")</f>
      </c>
      <c r="C1171" t="str">
        <v>http://phuluong.hadong.hanoi.gov.vn/</v>
      </c>
      <c r="D1171" t="str">
        <v>-</v>
      </c>
      <c r="E1171" t="str">
        <v>-</v>
      </c>
      <c r="F1171" t="str">
        <v>-</v>
      </c>
      <c r="G1171" t="str">
        <v>-</v>
      </c>
    </row>
    <row r="1172">
      <c r="A1172">
        <v>1171</v>
      </c>
      <c r="B1172">
        <f>HYPERLINK("https://www.facebook.com/groups/1151655321979143/", "Công an phường Dương Nội  thành phố Hà Nội")</f>
      </c>
      <c r="C1172" t="str">
        <v>https://www.facebook.com/groups/1151655321979143/</v>
      </c>
      <c r="D1172" t="str">
        <v>-</v>
      </c>
      <c r="E1172" t="str">
        <v/>
      </c>
      <c r="F1172" t="str">
        <v>-</v>
      </c>
      <c r="G1172" t="str">
        <v>-</v>
      </c>
    </row>
    <row r="1173">
      <c r="A1173">
        <v>1172</v>
      </c>
      <c r="B1173">
        <f>HYPERLINK("http://duongnoi.hadong.hanoi.gov.vn/uy-ban-nhan-dan", "UBND Ủy ban nhân dân phường Dương Nội  thành phố Hà Nội")</f>
      </c>
      <c r="C1173" t="str">
        <v>http://duongnoi.hadong.hanoi.gov.vn/uy-ban-nhan-dan</v>
      </c>
      <c r="D1173" t="str">
        <v>-</v>
      </c>
      <c r="E1173" t="str">
        <v>-</v>
      </c>
      <c r="F1173" t="str">
        <v>-</v>
      </c>
      <c r="G1173" t="str">
        <v>-</v>
      </c>
    </row>
    <row r="1174">
      <c r="A1174">
        <v>1173</v>
      </c>
      <c r="B1174">
        <f>HYPERLINK("https://www.facebook.com/tuoitreconganquanhadong/?locale=vi_VN", "Công an phường Đồng Mai  thành phố Hà Nội")</f>
      </c>
      <c r="C1174" t="str">
        <v>https://www.facebook.com/tuoitreconganquanhadong/?locale=vi_VN</v>
      </c>
      <c r="D1174" t="str">
        <v>-</v>
      </c>
      <c r="E1174" t="str">
        <v/>
      </c>
      <c r="F1174" t="str">
        <v>-</v>
      </c>
      <c r="G1174" t="str">
        <v>-</v>
      </c>
    </row>
    <row r="1175">
      <c r="A1175">
        <v>1174</v>
      </c>
      <c r="B1175">
        <f>HYPERLINK("http://dongmai.hadong.hanoi.gov.vn/", "UBND Ủy ban nhân dân phường Đồng Mai  thành phố Hà Nội")</f>
      </c>
      <c r="C1175" t="str">
        <v>http://dongmai.hadong.hanoi.gov.vn/</v>
      </c>
      <c r="D1175" t="str">
        <v>-</v>
      </c>
      <c r="E1175" t="str">
        <v>-</v>
      </c>
      <c r="F1175" t="str">
        <v>-</v>
      </c>
      <c r="G1175" t="str">
        <v>-</v>
      </c>
    </row>
    <row r="1176">
      <c r="A1176">
        <v>1175</v>
      </c>
      <c r="B1176">
        <f>HYPERLINK("https://www.facebook.com/DoanPhuongBienGiang/", "Công an phường Biên Giang  thành phố Hà Nội")</f>
      </c>
      <c r="C1176" t="str">
        <v>https://www.facebook.com/DoanPhuongBienGiang/</v>
      </c>
      <c r="D1176" t="str">
        <v>-</v>
      </c>
      <c r="E1176" t="str">
        <v/>
      </c>
      <c r="F1176" t="str">
        <v>vpdoanthanhnienbiengiang@gmail.com</v>
      </c>
      <c r="G1176" t="str">
        <v>Đường Biên Giang, Biên Giang , Hà Đông , Hà Nội</v>
      </c>
    </row>
    <row r="1177">
      <c r="A1177">
        <v>1176</v>
      </c>
      <c r="B1177">
        <f>HYPERLINK("http://biengiang.hadong.hanoi.gov.vn/", "UBND Ủy ban nhân dân phường Biên Giang  thành phố Hà Nội")</f>
      </c>
      <c r="C1177" t="str">
        <v>http://biengiang.hadong.hanoi.gov.vn/</v>
      </c>
      <c r="D1177" t="str">
        <v>-</v>
      </c>
      <c r="E1177" t="str">
        <v>-</v>
      </c>
      <c r="F1177" t="str">
        <v>-</v>
      </c>
      <c r="G1177" t="str">
        <v>-</v>
      </c>
    </row>
    <row r="1178">
      <c r="A1178">
        <v>1177</v>
      </c>
      <c r="B1178" t="str">
        <v>Công an phường Lê Lợi  thành phố Hà Nội</v>
      </c>
      <c r="C1178" t="str">
        <v>-</v>
      </c>
      <c r="D1178" t="str">
        <v>-</v>
      </c>
      <c r="E1178" t="str">
        <v/>
      </c>
      <c r="F1178" t="str">
        <v>-</v>
      </c>
      <c r="G1178" t="str">
        <v>-</v>
      </c>
    </row>
    <row r="1179">
      <c r="A1179">
        <v>1178</v>
      </c>
      <c r="B1179">
        <f>HYPERLINK("https://leloi.sontay.hanoi.gov.vn/", "UBND Ủy ban nhân dân phường Lê Lợi  thành phố Hà Nội")</f>
      </c>
      <c r="C1179" t="str">
        <v>https://leloi.sontay.hanoi.gov.vn/</v>
      </c>
      <c r="D1179" t="str">
        <v>-</v>
      </c>
      <c r="E1179" t="str">
        <v>-</v>
      </c>
      <c r="F1179" t="str">
        <v>-</v>
      </c>
      <c r="G1179" t="str">
        <v>-</v>
      </c>
    </row>
    <row r="1180">
      <c r="A1180">
        <v>1179</v>
      </c>
      <c r="B1180" t="str">
        <v>Công an phường Phú Thịnh  thành phố Hà Nội</v>
      </c>
      <c r="C1180" t="str">
        <v>-</v>
      </c>
      <c r="D1180" t="str">
        <v>-</v>
      </c>
      <c r="E1180" t="str">
        <v/>
      </c>
      <c r="F1180" t="str">
        <v>-</v>
      </c>
      <c r="G1180" t="str">
        <v>-</v>
      </c>
    </row>
    <row r="1181">
      <c r="A1181">
        <v>1180</v>
      </c>
      <c r="B1181">
        <f>HYPERLINK("http://sontay.hanoi.gov.vn/vi/chi-tiet-tim-kiem/-/view_content/496649-phuong-phu-thinh.html", "UBND Ủy ban nhân dân phường Phú Thịnh  thành phố Hà Nội")</f>
      </c>
      <c r="C1181" t="str">
        <v>http://sontay.hanoi.gov.vn/vi/chi-tiet-tim-kiem/-/view_content/496649-phuong-phu-thinh.html</v>
      </c>
      <c r="D1181" t="str">
        <v>-</v>
      </c>
      <c r="E1181" t="str">
        <v>-</v>
      </c>
      <c r="F1181" t="str">
        <v>-</v>
      </c>
      <c r="G1181" t="str">
        <v>-</v>
      </c>
    </row>
    <row r="1182">
      <c r="A1182">
        <v>1181</v>
      </c>
      <c r="B1182" t="str">
        <v>Công an phường Ngô Quyền  thành phố Hà Nội</v>
      </c>
      <c r="C1182" t="str">
        <v>-</v>
      </c>
      <c r="D1182" t="str">
        <v>-</v>
      </c>
      <c r="E1182" t="str">
        <v/>
      </c>
      <c r="F1182" t="str">
        <v>-</v>
      </c>
      <c r="G1182" t="str">
        <v>-</v>
      </c>
    </row>
    <row r="1183">
      <c r="A1183">
        <v>1182</v>
      </c>
      <c r="B1183">
        <f>HYPERLINK("https://ngoquyen.sontay.hanoi.gov.vn/so-o-bo-may", "UBND Ủy ban nhân dân phường Ngô Quyền  thành phố Hà Nội")</f>
      </c>
      <c r="C1183" t="str">
        <v>https://ngoquyen.sontay.hanoi.gov.vn/so-o-bo-may</v>
      </c>
      <c r="D1183" t="str">
        <v>-</v>
      </c>
      <c r="E1183" t="str">
        <v>-</v>
      </c>
      <c r="F1183" t="str">
        <v>-</v>
      </c>
      <c r="G1183" t="str">
        <v>-</v>
      </c>
    </row>
    <row r="1184">
      <c r="A1184">
        <v>1183</v>
      </c>
      <c r="B1184" t="str">
        <v>Công an phường Quang Trung  thành phố Hà Nội</v>
      </c>
      <c r="C1184" t="str">
        <v>-</v>
      </c>
      <c r="D1184" t="str">
        <v>-</v>
      </c>
      <c r="E1184" t="str">
        <v/>
      </c>
      <c r="F1184" t="str">
        <v>-</v>
      </c>
      <c r="G1184" t="str">
        <v>-</v>
      </c>
    </row>
    <row r="1185">
      <c r="A1185">
        <v>1184</v>
      </c>
      <c r="B1185">
        <f>HYPERLINK("http://quangtrung.hadong.hanoi.gov.vn/lien-he-phuong", "UBND Ủy ban nhân dân phường Quang Trung  thành phố Hà Nội")</f>
      </c>
      <c r="C1185" t="str">
        <v>http://quangtrung.hadong.hanoi.gov.vn/lien-he-phuong</v>
      </c>
      <c r="D1185" t="str">
        <v>-</v>
      </c>
      <c r="E1185" t="str">
        <v>-</v>
      </c>
      <c r="F1185" t="str">
        <v>-</v>
      </c>
      <c r="G1185" t="str">
        <v>-</v>
      </c>
    </row>
    <row r="1186">
      <c r="A1186">
        <v>1185</v>
      </c>
      <c r="B1186">
        <f>HYPERLINK("https://www.facebook.com/p/Trang-tin-ph%C6%B0%E1%BB%9Dng-S%C6%A1n-L%E1%BB%99c-100081085797880/", "Công an phường Sơn Lộc  thành phố Hà Nội")</f>
      </c>
      <c r="C1186" t="str">
        <v>https://www.facebook.com/p/Trang-tin-ph%C6%B0%E1%BB%9Dng-S%C6%A1n-L%E1%BB%99c-100081085797880/</v>
      </c>
      <c r="D1186" t="str">
        <v>-</v>
      </c>
      <c r="E1186" t="str">
        <v>0869763363</v>
      </c>
      <c r="F1186" t="str">
        <v>Dusonloc@gmail.com</v>
      </c>
      <c r="G1186" t="str">
        <v>phố Chùa Thông, Son Tay, Vietnam</v>
      </c>
    </row>
    <row r="1187">
      <c r="A1187">
        <v>1186</v>
      </c>
      <c r="B1187">
        <f>HYPERLINK("https://sonloc.sontay.hanoi.gov.vn/gioi-thieu", "UBND Ủy ban nhân dân phường Sơn Lộc  thành phố Hà Nội")</f>
      </c>
      <c r="C1187" t="str">
        <v>https://sonloc.sontay.hanoi.gov.vn/gioi-thieu</v>
      </c>
      <c r="D1187" t="str">
        <v>-</v>
      </c>
      <c r="E1187" t="str">
        <v>-</v>
      </c>
      <c r="F1187" t="str">
        <v>-</v>
      </c>
      <c r="G1187" t="str">
        <v>-</v>
      </c>
    </row>
    <row r="1188">
      <c r="A1188">
        <v>1187</v>
      </c>
      <c r="B1188">
        <f>HYPERLINK("https://www.facebook.com/pxuankhanh/", "Công an phường Xuân Khanh  thành phố Hà Nội")</f>
      </c>
      <c r="C1188" t="str">
        <v>https://www.facebook.com/pxuankhanh/</v>
      </c>
      <c r="D1188" t="str">
        <v>-</v>
      </c>
      <c r="E1188" t="str">
        <v>+2433838342</v>
      </c>
      <c r="F1188" t="str">
        <v>-</v>
      </c>
      <c r="G1188" t="str">
        <v>-</v>
      </c>
    </row>
    <row r="1189">
      <c r="A1189">
        <v>1188</v>
      </c>
      <c r="B1189">
        <f>HYPERLINK("https://xuankhanh.sontay.hanoi.gov.vn/so-o-bo-may", "UBND Ủy ban nhân dân phường Xuân Khanh  thành phố Hà Nội")</f>
      </c>
      <c r="C1189" t="str">
        <v>https://xuankhanh.sontay.hanoi.gov.vn/so-o-bo-may</v>
      </c>
      <c r="D1189" t="str">
        <v>-</v>
      </c>
      <c r="E1189" t="str">
        <v>-</v>
      </c>
      <c r="F1189" t="str">
        <v>-</v>
      </c>
      <c r="G1189" t="str">
        <v>-</v>
      </c>
    </row>
    <row r="1190">
      <c r="A1190">
        <v>1189</v>
      </c>
      <c r="B1190">
        <f>HYPERLINK("https://www.facebook.com/doanthanhnien.1956/?locale=vi_VN", "Công an xã Đường Lâm  thành phố Hà Nội")</f>
      </c>
      <c r="C1190" t="str">
        <v>https://www.facebook.com/doanthanhnien.1956/?locale=vi_VN</v>
      </c>
      <c r="D1190" t="str">
        <v>-</v>
      </c>
      <c r="E1190" t="str">
        <v/>
      </c>
      <c r="F1190" t="str">
        <v>doanthanhniencatphanoi@gmail.com</v>
      </c>
      <c r="G1190" t="str">
        <v>87 phố Trần Hưng Đạo, quận Hoàn Kiếm, TP Hà Nội, Hanoi, Vietnam</v>
      </c>
    </row>
    <row r="1191">
      <c r="A1191">
        <v>1190</v>
      </c>
      <c r="B1191">
        <f>HYPERLINK("https://duonglam.sontay.hanoi.gov.vn/", "UBND Ủy ban nhân dân xã Đường Lâm  thành phố Hà Nội")</f>
      </c>
      <c r="C1191" t="str">
        <v>https://duonglam.sontay.hanoi.gov.vn/</v>
      </c>
      <c r="D1191" t="str">
        <v>-</v>
      </c>
      <c r="E1191" t="str">
        <v>-</v>
      </c>
      <c r="F1191" t="str">
        <v>-</v>
      </c>
      <c r="G1191" t="str">
        <v>-</v>
      </c>
    </row>
    <row r="1192">
      <c r="A1192">
        <v>1191</v>
      </c>
      <c r="B1192">
        <f>HYPERLINK("https://www.facebook.com/p/%C4%90%E1%BA%A3ng-b%E1%BB%99-ph%C6%B0%E1%BB%9Dng-Vi%C3%AAn-S%C6%A1n-100069423120314/", "Công an phường Viên Sơn  thành phố Hà Nội")</f>
      </c>
      <c r="C1192" t="str">
        <v>https://www.facebook.com/p/%C4%90%E1%BA%A3ng-b%E1%BB%99-ph%C6%B0%E1%BB%9Dng-Vi%C3%AAn-S%C6%A1n-100069423120314/</v>
      </c>
      <c r="D1192" t="str">
        <v>-</v>
      </c>
      <c r="E1192" t="str">
        <v/>
      </c>
      <c r="F1192" t="str">
        <v>quansuvs@gmail.com</v>
      </c>
      <c r="G1192" t="str">
        <v>phường Viên Sơn - thị xã Sơn Tây- TP Hà Nội, Hanoi, Vietnam</v>
      </c>
    </row>
    <row r="1193">
      <c r="A1193">
        <v>1192</v>
      </c>
      <c r="B1193">
        <f>HYPERLINK("https://vienson.sontay.hanoi.gov.vn/", "UBND Ủy ban nhân dân phường Viên Sơn  thành phố Hà Nội")</f>
      </c>
      <c r="C1193" t="str">
        <v>https://vienson.sontay.hanoi.gov.vn/</v>
      </c>
      <c r="D1193" t="str">
        <v>-</v>
      </c>
      <c r="E1193" t="str">
        <v>-</v>
      </c>
      <c r="F1193" t="str">
        <v>-</v>
      </c>
      <c r="G1193" t="str">
        <v>-</v>
      </c>
    </row>
    <row r="1194">
      <c r="A1194">
        <v>1193</v>
      </c>
      <c r="B1194" t="str">
        <v>Công an xã Xuân Sơn  thành phố Hà Nội</v>
      </c>
      <c r="C1194" t="str">
        <v>-</v>
      </c>
      <c r="D1194" t="str">
        <v>-</v>
      </c>
      <c r="E1194" t="str">
        <v/>
      </c>
      <c r="F1194" t="str">
        <v>-</v>
      </c>
      <c r="G1194" t="str">
        <v>-</v>
      </c>
    </row>
    <row r="1195">
      <c r="A1195">
        <v>1194</v>
      </c>
      <c r="B1195">
        <f>HYPERLINK("https://xuanson.sontay.hanoi.gov.vn/tin-chi-tiet/-/chi-tiet/gioi-thieu-ve-ubnd-xa-xuan-son-2453-1319.html", "UBND Ủy ban nhân dân xã Xuân Sơn  thành phố Hà Nội")</f>
      </c>
      <c r="C1195" t="str">
        <v>https://xuanson.sontay.hanoi.gov.vn/tin-chi-tiet/-/chi-tiet/gioi-thieu-ve-ubnd-xa-xuan-son-2453-1319.html</v>
      </c>
      <c r="D1195" t="str">
        <v>-</v>
      </c>
      <c r="E1195" t="str">
        <v>-</v>
      </c>
      <c r="F1195" t="str">
        <v>-</v>
      </c>
      <c r="G1195" t="str">
        <v>-</v>
      </c>
    </row>
    <row r="1196">
      <c r="A1196">
        <v>1195</v>
      </c>
      <c r="B1196">
        <f>HYPERLINK("https://www.facebook.com/p/Ph%C6%B0%E1%BB%9Dng-Trung-H%C6%B0ng-100064816207409/?locale=te_IN", "Công an phường Trung Hưng  thành phố Hà Nội")</f>
      </c>
      <c r="C1196" t="str">
        <v>https://www.facebook.com/p/Ph%C6%B0%E1%BB%9Dng-Trung-H%C6%B0ng-100064816207409/?locale=te_IN</v>
      </c>
      <c r="D1196" t="str">
        <v>-</v>
      </c>
      <c r="E1196" t="str">
        <v>+2433831687</v>
      </c>
      <c r="F1196" t="str">
        <v>duptrunghung@gmail.com</v>
      </c>
      <c r="G1196" t="str">
        <v>-</v>
      </c>
    </row>
    <row r="1197">
      <c r="A1197">
        <v>1196</v>
      </c>
      <c r="B1197">
        <f>HYPERLINK("http://sontay.hanoi.gov.vn/gioi-thieu1/-/view_content/496805-phuong-trung-hung.html", "UBND Ủy ban nhân dân phường Trung Hưng  thành phố Hà Nội")</f>
      </c>
      <c r="C1197" t="str">
        <v>http://sontay.hanoi.gov.vn/gioi-thieu1/-/view_content/496805-phuong-trung-hung.html</v>
      </c>
      <c r="D1197" t="str">
        <v>-</v>
      </c>
      <c r="E1197" t="str">
        <v>-</v>
      </c>
      <c r="F1197" t="str">
        <v>-</v>
      </c>
      <c r="G1197" t="str">
        <v>-</v>
      </c>
    </row>
    <row r="1198">
      <c r="A1198">
        <v>1197</v>
      </c>
      <c r="B1198">
        <f>HYPERLINK("https://www.facebook.com/p/Tu%E1%BB%95i-Tr%E1%BA%BB-C%C3%B4ng-An-Huy%E1%BB%87n-Ch%C6%B0%C6%A1ng-M%E1%BB%B9-100028578047777/", "Công an xã Thanh Mỹ  thành phố Hà Nội")</f>
      </c>
      <c r="C1198" t="str">
        <v>https://www.facebook.com/p/Tu%E1%BB%95i-Tr%E1%BA%BB-C%C3%B4ng-An-Huy%E1%BB%87n-Ch%C6%B0%C6%A1ng-M%E1%BB%B9-100028578047777/</v>
      </c>
      <c r="D1198" t="str">
        <v>-</v>
      </c>
      <c r="E1198" t="str">
        <v/>
      </c>
      <c r="F1198" t="str">
        <v>doantncahchuongmy@gmail.com</v>
      </c>
      <c r="G1198" t="str">
        <v>Số 29A, Tổ dân phố Ninh Kiều, huyện Chương Mỹ, thành phố Hà Nội, Hanoi, Vietnam</v>
      </c>
    </row>
    <row r="1199">
      <c r="A1199">
        <v>1198</v>
      </c>
      <c r="B1199">
        <f>HYPERLINK("https://thanhmy.sontay.hanoi.gov.vn/", "UBND Ủy ban nhân dân xã Thanh Mỹ  thành phố Hà Nội")</f>
      </c>
      <c r="C1199" t="str">
        <v>https://thanhmy.sontay.hanoi.gov.vn/</v>
      </c>
      <c r="D1199" t="str">
        <v>-</v>
      </c>
      <c r="E1199" t="str">
        <v>-</v>
      </c>
      <c r="F1199" t="str">
        <v>-</v>
      </c>
      <c r="G1199" t="str">
        <v>-</v>
      </c>
    </row>
    <row r="1200">
      <c r="A1200">
        <v>1199</v>
      </c>
      <c r="B1200">
        <f>HYPERLINK("https://www.facebook.com/danguytst/", "Công an phường Trung Sơn Trầm  thành phố Hà Nội")</f>
      </c>
      <c r="C1200" t="str">
        <v>https://www.facebook.com/danguytst/</v>
      </c>
      <c r="D1200" t="str">
        <v>-</v>
      </c>
      <c r="E1200" t="str">
        <v>+2433932084</v>
      </c>
      <c r="F1200" t="str">
        <v>minhhuu530@gmail.com</v>
      </c>
      <c r="G1200" t="str">
        <v>-</v>
      </c>
    </row>
    <row r="1201">
      <c r="A1201">
        <v>1200</v>
      </c>
      <c r="B1201">
        <f>HYPERLINK("https://trungsontram.sontay.hanoi.gov.vn/gioi-thieu", "UBND Ủy ban nhân dân phường Trung Sơn Trầm  thành phố Hà Nội")</f>
      </c>
      <c r="C1201" t="str">
        <v>https://trungsontram.sontay.hanoi.gov.vn/gioi-thieu</v>
      </c>
      <c r="D1201" t="str">
        <v>-</v>
      </c>
      <c r="E1201" t="str">
        <v>-</v>
      </c>
      <c r="F1201" t="str">
        <v>-</v>
      </c>
      <c r="G1201" t="str">
        <v>-</v>
      </c>
    </row>
    <row r="1202">
      <c r="A1202">
        <v>1201</v>
      </c>
      <c r="B1202">
        <f>HYPERLINK("https://www.facebook.com/KimSon.SonTay.HaNoi/?locale=vi_VN", "Công an xã Kim Sơn  thành phố Hà Nội")</f>
      </c>
      <c r="C1202" t="str">
        <v>https://www.facebook.com/KimSon.SonTay.HaNoi/?locale=vi_VN</v>
      </c>
      <c r="D1202" t="str">
        <v>-</v>
      </c>
      <c r="E1202" t="str">
        <v/>
      </c>
      <c r="F1202" t="str">
        <v>xks_sontay@hanoi.gov.vn</v>
      </c>
      <c r="G1202" t="str">
        <v>UBND Xã Kim Sơn,, Son Tay, Vietnam</v>
      </c>
    </row>
    <row r="1203">
      <c r="A1203">
        <v>1202</v>
      </c>
      <c r="B1203">
        <f>HYPERLINK("https://kimson.sontay.hanoi.gov.vn/tin-chi-tiet/-/chi-tiet/uy-ban-nhan-dan-xa-kim-son-6047-1307.html", "UBND Ủy ban nhân dân xã Kim Sơn  thành phố Hà Nội")</f>
      </c>
      <c r="C1203" t="str">
        <v>https://kimson.sontay.hanoi.gov.vn/tin-chi-tiet/-/chi-tiet/uy-ban-nhan-dan-xa-kim-son-6047-1307.html</v>
      </c>
      <c r="D1203" t="str">
        <v>-</v>
      </c>
      <c r="E1203" t="str">
        <v>-</v>
      </c>
      <c r="F1203" t="str">
        <v>-</v>
      </c>
      <c r="G1203" t="str">
        <v>-</v>
      </c>
    </row>
    <row r="1204">
      <c r="A1204">
        <v>1203</v>
      </c>
      <c r="B1204" t="str">
        <v>Công an xã Sơn Đông  thành phố Hà Nội</v>
      </c>
      <c r="C1204" t="str">
        <v>-</v>
      </c>
      <c r="D1204" t="str">
        <v>-</v>
      </c>
      <c r="E1204" t="str">
        <v/>
      </c>
      <c r="F1204" t="str">
        <v>-</v>
      </c>
      <c r="G1204" t="str">
        <v>-</v>
      </c>
    </row>
    <row r="1205">
      <c r="A1205">
        <v>1204</v>
      </c>
      <c r="B1205">
        <f>HYPERLINK("https://sondong.sontay.hanoi.gov.vn/", "UBND Ủy ban nhân dân xã Sơn Đông  thành phố Hà Nội")</f>
      </c>
      <c r="C1205" t="str">
        <v>https://sondong.sontay.hanoi.gov.vn/</v>
      </c>
      <c r="D1205" t="str">
        <v>-</v>
      </c>
      <c r="E1205" t="str">
        <v>-</v>
      </c>
      <c r="F1205" t="str">
        <v>-</v>
      </c>
      <c r="G1205" t="str">
        <v>-</v>
      </c>
    </row>
    <row r="1206">
      <c r="A1206">
        <v>1205</v>
      </c>
      <c r="B1206">
        <f>HYPERLINK("https://www.facebook.com/Xacodong123/?locale=vi_VN", "Công an xã Cổ Đông  thành phố Hà Nội")</f>
      </c>
      <c r="C1206" t="str">
        <v>https://www.facebook.com/Xacodong123/?locale=vi_VN</v>
      </c>
      <c r="D1206" t="str">
        <v>-</v>
      </c>
      <c r="E1206" t="str">
        <v>0978617465</v>
      </c>
      <c r="F1206" t="str">
        <v>-</v>
      </c>
      <c r="G1206" t="str">
        <v>-</v>
      </c>
    </row>
    <row r="1207">
      <c r="A1207">
        <v>1206</v>
      </c>
      <c r="B1207">
        <f>HYPERLINK("https://codong.sontay.hanoi.gov.vn/", "UBND Ủy ban nhân dân xã Cổ Đông  thành phố Hà Nội")</f>
      </c>
      <c r="C1207" t="str">
        <v>https://codong.sontay.hanoi.gov.vn/</v>
      </c>
      <c r="D1207" t="str">
        <v>-</v>
      </c>
      <c r="E1207" t="str">
        <v>-</v>
      </c>
      <c r="F1207" t="str">
        <v>-</v>
      </c>
      <c r="G1207" t="str">
        <v>-</v>
      </c>
    </row>
    <row r="1208">
      <c r="A1208">
        <v>1207</v>
      </c>
      <c r="B1208">
        <f>HYPERLINK("https://www.facebook.com/groups/toi.yeu.thi.tran.tay.dang.huyen.ba.vi/", "Công an thị trấn Tây Đằng  thành phố Hà Nội")</f>
      </c>
      <c r="C1208" t="str">
        <v>https://www.facebook.com/groups/toi.yeu.thi.tran.tay.dang.huyen.ba.vi/</v>
      </c>
      <c r="D1208" t="str">
        <v>-</v>
      </c>
      <c r="E1208" t="str">
        <v/>
      </c>
      <c r="F1208" t="str">
        <v>-</v>
      </c>
      <c r="G1208" t="str">
        <v>-</v>
      </c>
    </row>
    <row r="1209">
      <c r="A1209">
        <v>1208</v>
      </c>
      <c r="B1209">
        <f>HYPERLINK("https://bavi.hanoi.gov.vn/uy-ban-nhan-dan-xa-thi-tran", "UBND Ủy ban nhân dân thị trấn Tây Đằng  thành phố Hà Nội")</f>
      </c>
      <c r="C1209" t="str">
        <v>https://bavi.hanoi.gov.vn/uy-ban-nhan-dan-xa-thi-tran</v>
      </c>
      <c r="D1209" t="str">
        <v>-</v>
      </c>
      <c r="E1209" t="str">
        <v>-</v>
      </c>
      <c r="F1209" t="str">
        <v>-</v>
      </c>
      <c r="G1209" t="str">
        <v>-</v>
      </c>
    </row>
    <row r="1210">
      <c r="A1210">
        <v>1209</v>
      </c>
      <c r="B1210">
        <f>HYPERLINK("https://www.facebook.com/groups/toi.yeu.xa.phu.cuong.huyen.soc.son/", "Công an xã Phú Cường  thành phố Hà Nội")</f>
      </c>
      <c r="C1210" t="str">
        <v>https://www.facebook.com/groups/toi.yeu.xa.phu.cuong.huyen.soc.son/</v>
      </c>
      <c r="D1210" t="str">
        <v>-</v>
      </c>
      <c r="E1210" t="str">
        <v/>
      </c>
      <c r="F1210" t="str">
        <v>-</v>
      </c>
      <c r="G1210" t="str">
        <v>-</v>
      </c>
    </row>
    <row r="1211">
      <c r="A1211">
        <v>1210</v>
      </c>
      <c r="B1211">
        <f>HYPERLINK("https://bavi.hanoi.gov.vn/uy-ban-nhan-dan-xa-thi-tran/-/asset_publisher/BXvxOA8eYieu/content/xa-phu-cuong", "UBND Ủy ban nhân dân xã Phú Cường  thành phố Hà Nội")</f>
      </c>
      <c r="C1211" t="str">
        <v>https://bavi.hanoi.gov.vn/uy-ban-nhan-dan-xa-thi-tran/-/asset_publisher/BXvxOA8eYieu/content/xa-phu-cuong</v>
      </c>
      <c r="D1211" t="str">
        <v>-</v>
      </c>
      <c r="E1211" t="str">
        <v>-</v>
      </c>
      <c r="F1211" t="str">
        <v>-</v>
      </c>
      <c r="G1211" t="str">
        <v>-</v>
      </c>
    </row>
    <row r="1212">
      <c r="A1212">
        <v>1211</v>
      </c>
      <c r="B1212" t="str">
        <v>Công an xã Cổ Đô  thành phố Hà Nội</v>
      </c>
      <c r="C1212" t="str">
        <v>-</v>
      </c>
      <c r="D1212" t="str">
        <v>-</v>
      </c>
      <c r="E1212" t="str">
        <v/>
      </c>
      <c r="F1212" t="str">
        <v>-</v>
      </c>
      <c r="G1212" t="str">
        <v>-</v>
      </c>
    </row>
    <row r="1213">
      <c r="A1213">
        <v>1212</v>
      </c>
      <c r="B1213">
        <f>HYPERLINK("https://bavi.hanoi.gov.vn/uy-ban-nhan-dan-xa-thi-tran/-/asset_publisher/BXvxOA8eYieu/content/xa-co-o", "UBND Ủy ban nhân dân xã Cổ Đô  thành phố Hà Nội")</f>
      </c>
      <c r="C1213" t="str">
        <v>https://bavi.hanoi.gov.vn/uy-ban-nhan-dan-xa-thi-tran/-/asset_publisher/BXvxOA8eYieu/content/xa-co-o</v>
      </c>
      <c r="D1213" t="str">
        <v>-</v>
      </c>
      <c r="E1213" t="str">
        <v>-</v>
      </c>
      <c r="F1213" t="str">
        <v>-</v>
      </c>
      <c r="G1213" t="str">
        <v>-</v>
      </c>
    </row>
    <row r="1214">
      <c r="A1214">
        <v>1213</v>
      </c>
      <c r="B1214">
        <f>HYPERLINK("https://www.facebook.com/daiphatthanhtruyenhinhbavi/?locale=ms_MY", "Công an xã Tản Hồng  thành phố Hà Nội")</f>
      </c>
      <c r="C1214" t="str">
        <v>https://www.facebook.com/daiphatthanhtruyenhinhbavi/?locale=ms_MY</v>
      </c>
      <c r="D1214" t="str">
        <v>-</v>
      </c>
      <c r="E1214" t="str">
        <v/>
      </c>
      <c r="F1214" t="str">
        <v>truyenhinhbavi@gmail.com</v>
      </c>
      <c r="G1214" t="str">
        <v>-</v>
      </c>
    </row>
    <row r="1215">
      <c r="A1215">
        <v>1214</v>
      </c>
      <c r="B1215">
        <f>HYPERLINK("https://bavi.hanoi.gov.vn/xa-tan-hong", "UBND Ủy ban nhân dân xã Tản Hồng  thành phố Hà Nội")</f>
      </c>
      <c r="C1215" t="str">
        <v>https://bavi.hanoi.gov.vn/xa-tan-hong</v>
      </c>
      <c r="D1215" t="str">
        <v>-</v>
      </c>
      <c r="E1215" t="str">
        <v>-</v>
      </c>
      <c r="F1215" t="str">
        <v>-</v>
      </c>
      <c r="G1215" t="str">
        <v>-</v>
      </c>
    </row>
    <row r="1216">
      <c r="A1216">
        <v>1215</v>
      </c>
      <c r="B1216">
        <f>HYPERLINK("https://www.facebook.com/groups/toi.yeu.xa.van.thang.huyen.ba.vi/", "Công an xã Vạn Thắng  thành phố Hà Nội")</f>
      </c>
      <c r="C1216" t="str">
        <v>https://www.facebook.com/groups/toi.yeu.xa.van.thang.huyen.ba.vi/</v>
      </c>
      <c r="D1216" t="str">
        <v>-</v>
      </c>
      <c r="E1216" t="str">
        <v/>
      </c>
      <c r="F1216" t="str">
        <v>-</v>
      </c>
      <c r="G1216" t="str">
        <v>-</v>
      </c>
    </row>
    <row r="1217">
      <c r="A1217">
        <v>1216</v>
      </c>
      <c r="B1217">
        <f>HYPERLINK("https://bavi.hanoi.gov.vn/uy-ban-nhan-dan-xa-thi-tran/-/asset_publisher/BXvxOA8eYieu/content/xa-van-thang", "UBND Ủy ban nhân dân xã Vạn Thắng  thành phố Hà Nội")</f>
      </c>
      <c r="C1217" t="str">
        <v>https://bavi.hanoi.gov.vn/uy-ban-nhan-dan-xa-thi-tran/-/asset_publisher/BXvxOA8eYieu/content/xa-van-thang</v>
      </c>
      <c r="D1217" t="str">
        <v>-</v>
      </c>
      <c r="E1217" t="str">
        <v>-</v>
      </c>
      <c r="F1217" t="str">
        <v>-</v>
      </c>
      <c r="G1217" t="str">
        <v>-</v>
      </c>
    </row>
    <row r="1218">
      <c r="A1218">
        <v>1217</v>
      </c>
      <c r="B1218">
        <f>HYPERLINK("https://www.facebook.com/daiphatthanhtruyenhinhbavi/?locale=ms_MY", "Công an xã Châu Sơn  thành phố Hà Nội")</f>
      </c>
      <c r="C1218" t="str">
        <v>https://www.facebook.com/daiphatthanhtruyenhinhbavi/?locale=ms_MY</v>
      </c>
      <c r="D1218" t="str">
        <v>-</v>
      </c>
      <c r="E1218" t="str">
        <v/>
      </c>
      <c r="F1218" t="str">
        <v>truyenhinhbavi@gmail.com</v>
      </c>
      <c r="G1218" t="str">
        <v>-</v>
      </c>
    </row>
    <row r="1219">
      <c r="A1219">
        <v>1218</v>
      </c>
      <c r="B1219">
        <f>HYPERLINK("https://bavi.hanoi.gov.vn/uy-ban-nhan-dan-xa-thi-tran/-/asset_publisher/BXvxOA8eYieu/content/xa-chau-son", "UBND Ủy ban nhân dân xã Châu Sơn  thành phố Hà Nội")</f>
      </c>
      <c r="C1219" t="str">
        <v>https://bavi.hanoi.gov.vn/uy-ban-nhan-dan-xa-thi-tran/-/asset_publisher/BXvxOA8eYieu/content/xa-chau-son</v>
      </c>
      <c r="D1219" t="str">
        <v>-</v>
      </c>
      <c r="E1219" t="str">
        <v>-</v>
      </c>
      <c r="F1219" t="str">
        <v>-</v>
      </c>
      <c r="G1219" t="str">
        <v>-</v>
      </c>
    </row>
    <row r="1220">
      <c r="A1220">
        <v>1219</v>
      </c>
      <c r="B1220">
        <f>HYPERLINK("https://www.facebook.com/groups/toi.yeu.xa.phong.van.huyen.ba.vi/", "Công an xã Phong Vân  thành phố Hà Nội")</f>
      </c>
      <c r="C1220" t="str">
        <v>https://www.facebook.com/groups/toi.yeu.xa.phong.van.huyen.ba.vi/</v>
      </c>
      <c r="D1220" t="str">
        <v>-</v>
      </c>
      <c r="E1220" t="str">
        <v/>
      </c>
      <c r="F1220" t="str">
        <v>-</v>
      </c>
      <c r="G1220" t="str">
        <v>-</v>
      </c>
    </row>
    <row r="1221">
      <c r="A1221">
        <v>1220</v>
      </c>
      <c r="B1221">
        <f>HYPERLINK("https://chuongmy.hanoi.gov.vn/", "UBND Ủy ban nhân dân xã Phong Vân  thành phố Hà Nội")</f>
      </c>
      <c r="C1221" t="str">
        <v>https://chuongmy.hanoi.gov.vn/</v>
      </c>
      <c r="D1221" t="str">
        <v>-</v>
      </c>
      <c r="E1221" t="str">
        <v>-</v>
      </c>
      <c r="F1221" t="str">
        <v>-</v>
      </c>
      <c r="G1221" t="str">
        <v>-</v>
      </c>
    </row>
    <row r="1222">
      <c r="A1222">
        <v>1221</v>
      </c>
      <c r="B1222">
        <f>HYPERLINK("https://www.facebook.com/tuoitreconganquanhadong/", "Công an xã Phú Đông  thành phố Hà Nội")</f>
      </c>
      <c r="C1222" t="str">
        <v>https://www.facebook.com/tuoitreconganquanhadong/</v>
      </c>
      <c r="D1222" t="str">
        <v>-</v>
      </c>
      <c r="E1222" t="str">
        <v/>
      </c>
      <c r="F1222" t="str">
        <v>-</v>
      </c>
      <c r="G1222" t="str">
        <v>-</v>
      </c>
    </row>
    <row r="1223">
      <c r="A1223">
        <v>1222</v>
      </c>
      <c r="B1223">
        <f>HYPERLINK("https://bavi.hanoi.gov.vn/xa-phu-ong?p_p_auth=Tc2OyjVe&amp;p_p_id=49&amp;p_p_lifecycle=1&amp;p_p_state=normal&amp;p_p_mode=view&amp;_49_struts_action=%2Fmy_sites%2Fview&amp;_49_groupId=3676906&amp;_49_privateLayout=false", "UBND Ủy ban nhân dân xã Phú Đông  thành phố Hà Nội")</f>
      </c>
      <c r="C1223" t="str">
        <v>https://bavi.hanoi.gov.vn/xa-phu-ong?p_p_auth=Tc2OyjVe&amp;p_p_id=49&amp;p_p_lifecycle=1&amp;p_p_state=normal&amp;p_p_mode=view&amp;_49_struts_action=%2Fmy_sites%2Fview&amp;_49_groupId=3676906&amp;_49_privateLayout=false</v>
      </c>
      <c r="D1223" t="str">
        <v>-</v>
      </c>
      <c r="E1223" t="str">
        <v>-</v>
      </c>
      <c r="F1223" t="str">
        <v>-</v>
      </c>
      <c r="G1223" t="str">
        <v>-</v>
      </c>
    </row>
    <row r="1224">
      <c r="A1224">
        <v>1223</v>
      </c>
      <c r="B1224">
        <f>HYPERLINK("https://www.facebook.com/daiphatthanhtruyenhinhbavi/?locale=ms_MY", "Công an xã Phú Phương  thành phố Hà Nội")</f>
      </c>
      <c r="C1224" t="str">
        <v>https://www.facebook.com/daiphatthanhtruyenhinhbavi/?locale=ms_MY</v>
      </c>
      <c r="D1224" t="str">
        <v>-</v>
      </c>
      <c r="E1224" t="str">
        <v/>
      </c>
      <c r="F1224" t="str">
        <v>truyenhinhbavi@gmail.com</v>
      </c>
      <c r="G1224" t="str">
        <v>-</v>
      </c>
    </row>
    <row r="1225">
      <c r="A1225">
        <v>1224</v>
      </c>
      <c r="B1225">
        <f>HYPERLINK("https://bavi.hanoi.gov.vn/xa-phu-phuong", "UBND Ủy ban nhân dân xã Phú Phương  thành phố Hà Nội")</f>
      </c>
      <c r="C1225" t="str">
        <v>https://bavi.hanoi.gov.vn/xa-phu-phuong</v>
      </c>
      <c r="D1225" t="str">
        <v>-</v>
      </c>
      <c r="E1225" t="str">
        <v>-</v>
      </c>
      <c r="F1225" t="str">
        <v>-</v>
      </c>
      <c r="G1225" t="str">
        <v>-</v>
      </c>
    </row>
    <row r="1226">
      <c r="A1226">
        <v>1225</v>
      </c>
      <c r="B1226" t="str">
        <v>Công an xã Phú Châu  thành phố Hà Nội</v>
      </c>
      <c r="C1226" t="str">
        <v>-</v>
      </c>
      <c r="D1226" t="str">
        <v>-</v>
      </c>
      <c r="E1226" t="str">
        <v/>
      </c>
      <c r="F1226" t="str">
        <v>-</v>
      </c>
      <c r="G1226" t="str">
        <v>-</v>
      </c>
    </row>
    <row r="1227">
      <c r="A1227">
        <v>1226</v>
      </c>
      <c r="B1227">
        <f>HYPERLINK("https://bavi.hanoi.gov.vn/xa-phu-chau", "UBND Ủy ban nhân dân xã Phú Châu  thành phố Hà Nội")</f>
      </c>
      <c r="C1227" t="str">
        <v>https://bavi.hanoi.gov.vn/xa-phu-chau</v>
      </c>
      <c r="D1227" t="str">
        <v>-</v>
      </c>
      <c r="E1227" t="str">
        <v>-</v>
      </c>
      <c r="F1227" t="str">
        <v>-</v>
      </c>
      <c r="G1227" t="str">
        <v>-</v>
      </c>
    </row>
    <row r="1228">
      <c r="A1228">
        <v>1227</v>
      </c>
      <c r="B1228">
        <f>HYPERLINK("https://www.facebook.com/2545213479113505", "Công an xã Thái Hòa  thành phố Hà Nội")</f>
      </c>
      <c r="C1228" t="str">
        <v>https://www.facebook.com/2545213479113505</v>
      </c>
      <c r="D1228" t="str">
        <v>-</v>
      </c>
      <c r="E1228" t="str">
        <v/>
      </c>
      <c r="F1228" t="str">
        <v>-</v>
      </c>
      <c r="G1228" t="str">
        <v>-</v>
      </c>
    </row>
    <row r="1229">
      <c r="A1229">
        <v>1228</v>
      </c>
      <c r="B1229">
        <f>HYPERLINK("https://bavi.hanoi.gov.vn/xa-thai-hoa", "UBND Ủy ban nhân dân xã Thái Hòa  thành phố Hà Nội")</f>
      </c>
      <c r="C1229" t="str">
        <v>https://bavi.hanoi.gov.vn/xa-thai-hoa</v>
      </c>
      <c r="D1229" t="str">
        <v>-</v>
      </c>
      <c r="E1229" t="str">
        <v>-</v>
      </c>
      <c r="F1229" t="str">
        <v>-</v>
      </c>
      <c r="G1229" t="str">
        <v>-</v>
      </c>
    </row>
    <row r="1230">
      <c r="A1230">
        <v>1229</v>
      </c>
      <c r="B1230" t="str">
        <v>Công an xã Đồng Thái  thành phố Hà Nội</v>
      </c>
      <c r="C1230" t="str">
        <v>-</v>
      </c>
      <c r="D1230" t="str">
        <v>-</v>
      </c>
      <c r="E1230" t="str">
        <v/>
      </c>
      <c r="F1230" t="str">
        <v>-</v>
      </c>
      <c r="G1230" t="str">
        <v>-</v>
      </c>
    </row>
    <row r="1231">
      <c r="A1231">
        <v>1230</v>
      </c>
      <c r="B1231">
        <f>HYPERLINK("https://bavi.hanoi.gov.vn/xa-ong-thai", "UBND Ủy ban nhân dân xã Đồng Thái  thành phố Hà Nội")</f>
      </c>
      <c r="C1231" t="str">
        <v>https://bavi.hanoi.gov.vn/xa-ong-thai</v>
      </c>
      <c r="D1231" t="str">
        <v>-</v>
      </c>
      <c r="E1231" t="str">
        <v>-</v>
      </c>
      <c r="F1231" t="str">
        <v>-</v>
      </c>
      <c r="G1231" t="str">
        <v>-</v>
      </c>
    </row>
    <row r="1232">
      <c r="A1232">
        <v>1231</v>
      </c>
      <c r="B1232">
        <f>HYPERLINK("https://www.facebook.com/CAXPSTX.NS/", "Công an xã Phú Sơn  thành phố Hà Nội")</f>
      </c>
      <c r="C1232" t="str">
        <v>https://www.facebook.com/CAXPSTX.NS/</v>
      </c>
      <c r="D1232" t="str">
        <v>-</v>
      </c>
      <c r="E1232" t="str">
        <v>02373768113</v>
      </c>
      <c r="F1232" t="str">
        <v>hoanganhcaps@gmail.com</v>
      </c>
      <c r="G1232" t="str">
        <v>thôn Trung Sơn, xã Phú Sơn, Thị xã Nghi sơn, tỉnh Thanh Hoá, Tinh Gia, Vietnam</v>
      </c>
    </row>
    <row r="1233">
      <c r="A1233">
        <v>1232</v>
      </c>
      <c r="B1233">
        <f>HYPERLINK("https://bavi.hanoi.gov.vn/", "UBND Ủy ban nhân dân xã Phú Sơn  thành phố Hà Nội")</f>
      </c>
      <c r="C1233" t="str">
        <v>https://bavi.hanoi.gov.vn/</v>
      </c>
      <c r="D1233" t="str">
        <v>-</v>
      </c>
      <c r="E1233" t="str">
        <v>-</v>
      </c>
      <c r="F1233" t="str">
        <v>-</v>
      </c>
      <c r="G1233" t="str">
        <v>-</v>
      </c>
    </row>
    <row r="1234">
      <c r="A1234">
        <v>1233</v>
      </c>
      <c r="B1234">
        <f>HYPERLINK("https://www.facebook.com/p/Tu%E1%BB%95i-Tr%E1%BA%BB-C%C3%B4ng-An-Huy%E1%BB%87n-Ch%C6%B0%C6%A1ng-M%E1%BB%B9-100028578047777/", "Công an xã Minh Châu  thành phố Hà Nội")</f>
      </c>
      <c r="C1234" t="str">
        <v>https://www.facebook.com/p/Tu%E1%BB%95i-Tr%E1%BA%BB-C%C3%B4ng-An-Huy%E1%BB%87n-Ch%C6%B0%C6%A1ng-M%E1%BB%B9-100028578047777/</v>
      </c>
      <c r="D1234" t="str">
        <v>-</v>
      </c>
      <c r="E1234" t="str">
        <v/>
      </c>
      <c r="F1234" t="str">
        <v>doantncahchuongmy@gmail.com</v>
      </c>
      <c r="G1234" t="str">
        <v>Số 29A, Tổ dân phố Ninh Kiều, huyện Chương Mỹ, thành phố Hà Nội, Hanoi, Vietnam</v>
      </c>
    </row>
    <row r="1235">
      <c r="A1235">
        <v>1234</v>
      </c>
      <c r="B1235">
        <f>HYPERLINK("https://bavi.hanoi.gov.vn/xa-minh-chau", "UBND Ủy ban nhân dân xã Minh Châu  thành phố Hà Nội")</f>
      </c>
      <c r="C1235" t="str">
        <v>https://bavi.hanoi.gov.vn/xa-minh-chau</v>
      </c>
      <c r="D1235" t="str">
        <v>-</v>
      </c>
      <c r="E1235" t="str">
        <v>-</v>
      </c>
      <c r="F1235" t="str">
        <v>-</v>
      </c>
      <c r="G1235" t="str">
        <v>-</v>
      </c>
    </row>
    <row r="1236">
      <c r="A1236">
        <v>1235</v>
      </c>
      <c r="B1236">
        <f>HYPERLINK("https://www.facebook.com/p/Tu%E1%BB%95i-Tr%E1%BA%BB-C%C3%B4ng-An-Huy%E1%BB%87n-Ch%C6%B0%C6%A1ng-M%E1%BB%B9-100028578047777/", "Công an xã Vật Lại  thành phố Hà Nội")</f>
      </c>
      <c r="C1236" t="str">
        <v>https://www.facebook.com/p/Tu%E1%BB%95i-Tr%E1%BA%BB-C%C3%B4ng-An-Huy%E1%BB%87n-Ch%C6%B0%C6%A1ng-M%E1%BB%B9-100028578047777/</v>
      </c>
      <c r="D1236" t="str">
        <v>-</v>
      </c>
      <c r="E1236" t="str">
        <v/>
      </c>
      <c r="F1236" t="str">
        <v>doantncahchuongmy@gmail.com</v>
      </c>
      <c r="G1236" t="str">
        <v>Số 29A, Tổ dân phố Ninh Kiều, huyện Chương Mỹ, thành phố Hà Nội, Hanoi, Vietnam</v>
      </c>
    </row>
    <row r="1237">
      <c r="A1237">
        <v>1236</v>
      </c>
      <c r="B1237">
        <f>HYPERLINK("https://bavi.hanoi.gov.vn/", "UBND Ủy ban nhân dân xã Vật Lại  thành phố Hà Nội")</f>
      </c>
      <c r="C1237" t="str">
        <v>https://bavi.hanoi.gov.vn/</v>
      </c>
      <c r="D1237" t="str">
        <v>-</v>
      </c>
      <c r="E1237" t="str">
        <v>-</v>
      </c>
      <c r="F1237" t="str">
        <v>-</v>
      </c>
      <c r="G1237" t="str">
        <v>-</v>
      </c>
    </row>
    <row r="1238">
      <c r="A1238">
        <v>1237</v>
      </c>
      <c r="B1238">
        <f>HYPERLINK("https://www.facebook.com/doanthanhnien.1956/?locale=vi_VN", "Công an xã Chu Minh  thành phố Hà Nội")</f>
      </c>
      <c r="C1238" t="str">
        <v>https://www.facebook.com/doanthanhnien.1956/?locale=vi_VN</v>
      </c>
      <c r="D1238" t="str">
        <v>-</v>
      </c>
      <c r="E1238" t="str">
        <v/>
      </c>
      <c r="F1238" t="str">
        <v>doanthanhniencatphanoi@gmail.com</v>
      </c>
      <c r="G1238" t="str">
        <v>87 phố Trần Hưng Đạo, quận Hoàn Kiếm, TP Hà Nội, Hanoi, Vietnam</v>
      </c>
    </row>
    <row r="1239">
      <c r="A1239">
        <v>1238</v>
      </c>
      <c r="B1239">
        <f>HYPERLINK("https://bavi.hanoi.gov.vn/xa-chu-minh", "UBND Ủy ban nhân dân xã Chu Minh  thành phố Hà Nội")</f>
      </c>
      <c r="C1239" t="str">
        <v>https://bavi.hanoi.gov.vn/xa-chu-minh</v>
      </c>
      <c r="D1239" t="str">
        <v>-</v>
      </c>
      <c r="E1239" t="str">
        <v>-</v>
      </c>
      <c r="F1239" t="str">
        <v>-</v>
      </c>
      <c r="G1239" t="str">
        <v>-</v>
      </c>
    </row>
    <row r="1240">
      <c r="A1240">
        <v>1239</v>
      </c>
      <c r="B1240">
        <f>HYPERLINK("https://www.facebook.com/groups/toi.yeu.xa.tong.bat.huyen.ba.vi/", "Công an xã Tòng Bạt  thành phố Hà Nội")</f>
      </c>
      <c r="C1240" t="str">
        <v>https://www.facebook.com/groups/toi.yeu.xa.tong.bat.huyen.ba.vi/</v>
      </c>
      <c r="D1240" t="str">
        <v>-</v>
      </c>
      <c r="E1240" t="str">
        <v/>
      </c>
      <c r="F1240" t="str">
        <v>-</v>
      </c>
      <c r="G1240" t="str">
        <v>-</v>
      </c>
    </row>
    <row r="1241">
      <c r="A1241">
        <v>1240</v>
      </c>
      <c r="B1241">
        <f>HYPERLINK("https://bavi.hanoi.gov.vn/xa-tong-bat?p_p_auth=VSSEb4Jk&amp;p_p_id=49&amp;p_p_lifecycle=1&amp;p_p_state=normal&amp;p_p_mode=view&amp;_49_struts_action=%2Fmy_sites%2Fview&amp;_49_groupId=3676906&amp;_49_privateLayout=false", "UBND Ủy ban nhân dân xã Tòng Bạt  thành phố Hà Nội")</f>
      </c>
      <c r="C1241" t="str">
        <v>https://bavi.hanoi.gov.vn/xa-tong-bat?p_p_auth=VSSEb4Jk&amp;p_p_id=49&amp;p_p_lifecycle=1&amp;p_p_state=normal&amp;p_p_mode=view&amp;_49_struts_action=%2Fmy_sites%2Fview&amp;_49_groupId=3676906&amp;_49_privateLayout=false</v>
      </c>
      <c r="D1241" t="str">
        <v>-</v>
      </c>
      <c r="E1241" t="str">
        <v>-</v>
      </c>
      <c r="F1241" t="str">
        <v>-</v>
      </c>
      <c r="G1241" t="str">
        <v>-</v>
      </c>
    </row>
    <row r="1242">
      <c r="A1242">
        <v>1241</v>
      </c>
      <c r="B1242">
        <f>HYPERLINK("https://www.facebook.com/p/UBND-x%C3%A3-C%E1%BA%A9m-L%C4%A9nh-Ba-V%C3%AC-H%C3%A0-N%E1%BB%99i-100069128203276/", "Công an xã Cẩm Lĩnh  thành phố Hà Nội")</f>
      </c>
      <c r="C1242" t="str">
        <v>https://www.facebook.com/p/UBND-x%C3%A3-C%E1%BA%A9m-L%C4%A9nh-Ba-V%C3%AC-H%C3%A0-N%E1%BB%99i-100069128203276/</v>
      </c>
      <c r="D1242" t="str">
        <v>-</v>
      </c>
      <c r="E1242" t="str">
        <v/>
      </c>
      <c r="F1242" t="str">
        <v>Vpubcamlinh@gmail.com</v>
      </c>
      <c r="G1242" t="str">
        <v>-</v>
      </c>
    </row>
    <row r="1243">
      <c r="A1243">
        <v>1242</v>
      </c>
      <c r="B1243">
        <f>HYPERLINK("https://bavi.hanoi.gov.vn/xa-cam-linh?p_p_auth=BpYDACLI&amp;p_p_id=49&amp;p_p_lifecycle=1&amp;p_p_state=normal&amp;p_p_mode=view&amp;_49_struts_action=%2Fmy_sites%2Fview&amp;_49_groupId=3676906&amp;_49_privateLayout=false", "UBND Ủy ban nhân dân xã Cẩm Lĩnh  thành phố Hà Nội")</f>
      </c>
      <c r="C1243" t="str">
        <v>https://bavi.hanoi.gov.vn/xa-cam-linh?p_p_auth=BpYDACLI&amp;p_p_id=49&amp;p_p_lifecycle=1&amp;p_p_state=normal&amp;p_p_mode=view&amp;_49_struts_action=%2Fmy_sites%2Fview&amp;_49_groupId=3676906&amp;_49_privateLayout=false</v>
      </c>
      <c r="D1243" t="str">
        <v>-</v>
      </c>
      <c r="E1243" t="str">
        <v>-</v>
      </c>
      <c r="F1243" t="str">
        <v>-</v>
      </c>
      <c r="G1243" t="str">
        <v>-</v>
      </c>
    </row>
    <row r="1244">
      <c r="A1244">
        <v>1243</v>
      </c>
      <c r="B1244">
        <f>HYPERLINK("https://www.facebook.com/p/Tu%E1%BB%95i-tr%E1%BA%BB-C%C3%B4ng-an-th%E1%BB%8B-x%C3%A3-S%C6%A1n-T%C3%A2y-100040884909606/", "Công an xã Sơn Đà  thành phố Hà Nội")</f>
      </c>
      <c r="C1244" t="str">
        <v>https://www.facebook.com/p/Tu%E1%BB%95i-tr%E1%BA%BB-C%C3%B4ng-an-th%E1%BB%8B-x%C3%A3-S%C6%A1n-T%C3%A2y-100040884909606/</v>
      </c>
      <c r="D1244" t="str">
        <v>-</v>
      </c>
      <c r="E1244" t="str">
        <v/>
      </c>
      <c r="F1244" t="str">
        <v>tuoitrecatxsontay@gmail.com</v>
      </c>
      <c r="G1244" t="str">
        <v>-</v>
      </c>
    </row>
    <row r="1245">
      <c r="A1245">
        <v>1244</v>
      </c>
      <c r="B1245">
        <f>HYPERLINK("https://sonda.bavi.hanoi.gov.vn/", "UBND Ủy ban nhân dân xã Sơn Đà  thành phố Hà Nội")</f>
      </c>
      <c r="C1245" t="str">
        <v>https://sonda.bavi.hanoi.gov.vn/</v>
      </c>
      <c r="D1245" t="str">
        <v>-</v>
      </c>
      <c r="E1245" t="str">
        <v>-</v>
      </c>
      <c r="F1245" t="str">
        <v>-</v>
      </c>
      <c r="G1245" t="str">
        <v>-</v>
      </c>
    </row>
    <row r="1246">
      <c r="A1246">
        <v>1245</v>
      </c>
      <c r="B1246">
        <f>HYPERLINK("https://www.facebook.com/tuoitreconganquanhadong/?locale=vi_VN", "Công an xã Đông Quang  thành phố Hà Nội")</f>
      </c>
      <c r="C1246" t="str">
        <v>https://www.facebook.com/tuoitreconganquanhadong/?locale=vi_VN</v>
      </c>
      <c r="D1246" t="str">
        <v>-</v>
      </c>
      <c r="E1246" t="str">
        <v/>
      </c>
      <c r="F1246" t="str">
        <v>-</v>
      </c>
      <c r="G1246" t="str">
        <v>-</v>
      </c>
    </row>
    <row r="1247">
      <c r="A1247">
        <v>1246</v>
      </c>
      <c r="B1247">
        <f>HYPERLINK("https://bavi.hanoi.gov.vn/xa-ong-quang", "UBND Ủy ban nhân dân xã Đông Quang  thành phố Hà Nội")</f>
      </c>
      <c r="C1247" t="str">
        <v>https://bavi.hanoi.gov.vn/xa-ong-quang</v>
      </c>
      <c r="D1247" t="str">
        <v>-</v>
      </c>
      <c r="E1247" t="str">
        <v>-</v>
      </c>
      <c r="F1247" t="str">
        <v>-</v>
      </c>
      <c r="G1247" t="str">
        <v>-</v>
      </c>
    </row>
    <row r="1248">
      <c r="A1248">
        <v>1247</v>
      </c>
      <c r="B1248">
        <f>HYPERLINK("https://www.facebook.com/1181134665614608", "Công an xã Tiên Phong  thành phố Hà Nội")</f>
      </c>
      <c r="C1248" t="str">
        <v>https://www.facebook.com/1181134665614608</v>
      </c>
      <c r="D1248" t="str">
        <v>-</v>
      </c>
      <c r="E1248" t="str">
        <v/>
      </c>
      <c r="F1248" t="str">
        <v>-</v>
      </c>
      <c r="G1248" t="str">
        <v>-</v>
      </c>
    </row>
    <row r="1249">
      <c r="A1249">
        <v>1248</v>
      </c>
      <c r="B1249">
        <f>HYPERLINK("https://bavi.hanoi.gov.vn/xa-tien-phong", "UBND Ủy ban nhân dân xã Tiên Phong  thành phố Hà Nội")</f>
      </c>
      <c r="C1249" t="str">
        <v>https://bavi.hanoi.gov.vn/xa-tien-phong</v>
      </c>
      <c r="D1249" t="str">
        <v>-</v>
      </c>
      <c r="E1249" t="str">
        <v>-</v>
      </c>
      <c r="F1249" t="str">
        <v>-</v>
      </c>
      <c r="G1249" t="str">
        <v>-</v>
      </c>
    </row>
    <row r="1250">
      <c r="A1250">
        <v>1249</v>
      </c>
      <c r="B1250">
        <f>HYPERLINK("https://www.facebook.com/tuoitreconganBaVi/", "Công an xã Thụy An  thành phố Hà Nội")</f>
      </c>
      <c r="C1250" t="str">
        <v>https://www.facebook.com/tuoitreconganBaVi/</v>
      </c>
      <c r="D1250" t="str">
        <v>-</v>
      </c>
      <c r="E1250" t="str">
        <v/>
      </c>
      <c r="F1250" t="str">
        <v>dtncahbavi.hn@gmail.com</v>
      </c>
      <c r="G1250" t="str">
        <v>Số 121, Đường Quảng Oai, thị trấn Tây Đằng, Ba Vì, Thành phố Hà Nội</v>
      </c>
    </row>
    <row r="1251">
      <c r="A1251">
        <v>1250</v>
      </c>
      <c r="B1251">
        <f>HYPERLINK("https://bavi.hanoi.gov.vn/uy-ban-nhan-dan-xa-thi-tran/-/asset_publisher/BXvxOA8eYieu/content/xa-thuy-an", "UBND Ủy ban nhân dân xã Thụy An  thành phố Hà Nội")</f>
      </c>
      <c r="C1251" t="str">
        <v>https://bavi.hanoi.gov.vn/uy-ban-nhan-dan-xa-thi-tran/-/asset_publisher/BXvxOA8eYieu/content/xa-thuy-an</v>
      </c>
      <c r="D1251" t="str">
        <v>-</v>
      </c>
      <c r="E1251" t="str">
        <v>-</v>
      </c>
      <c r="F1251" t="str">
        <v>-</v>
      </c>
      <c r="G1251" t="str">
        <v>-</v>
      </c>
    </row>
    <row r="1252">
      <c r="A1252">
        <v>1251</v>
      </c>
      <c r="B1252">
        <f>HYPERLINK("https://www.facebook.com/camthuongxa/", "Công an xã Cam Thượng  thành phố Hà Nội")</f>
      </c>
      <c r="C1252" t="str">
        <v>https://www.facebook.com/camthuongxa/</v>
      </c>
      <c r="D1252" t="str">
        <v>-</v>
      </c>
      <c r="E1252" t="str">
        <v>0986555081</v>
      </c>
      <c r="F1252" t="str">
        <v>mttqxcamthuong@gmail.com</v>
      </c>
      <c r="G1252" t="str">
        <v>Ủy ban MTTQ Việt Nam xã Cam Thượng, huyện Ba Vì, TP, Hanoi, Vietnam</v>
      </c>
    </row>
    <row r="1253">
      <c r="A1253">
        <v>1252</v>
      </c>
      <c r="B1253">
        <f>HYPERLINK("https://bavi.hanoi.gov.vn/uy-ban-nhan-dan-xa-thi-tran/-/asset_publisher/BXvxOA8eYieu/content/xa-cam-thuong", "UBND Ủy ban nhân dân xã Cam Thượng  thành phố Hà Nội")</f>
      </c>
      <c r="C1253" t="str">
        <v>https://bavi.hanoi.gov.vn/uy-ban-nhan-dan-xa-thi-tran/-/asset_publisher/BXvxOA8eYieu/content/xa-cam-thuong</v>
      </c>
      <c r="D1253" t="str">
        <v>-</v>
      </c>
      <c r="E1253" t="str">
        <v>-</v>
      </c>
      <c r="F1253" t="str">
        <v>-</v>
      </c>
      <c r="G1253" t="str">
        <v>-</v>
      </c>
    </row>
    <row r="1254">
      <c r="A1254">
        <v>1253</v>
      </c>
      <c r="B1254" t="str">
        <v>Công an xã Thuần Mỹ  thành phố Hà Nội</v>
      </c>
      <c r="C1254" t="str">
        <v>-</v>
      </c>
      <c r="D1254" t="str">
        <v>-</v>
      </c>
      <c r="E1254" t="str">
        <v/>
      </c>
      <c r="F1254" t="str">
        <v>-</v>
      </c>
      <c r="G1254" t="str">
        <v>-</v>
      </c>
    </row>
    <row r="1255">
      <c r="A1255">
        <v>1254</v>
      </c>
      <c r="B1255">
        <f>HYPERLINK("https://bavi.hanoi.gov.vn/xa-thuan-my", "UBND Ủy ban nhân dân xã Thuần Mỹ  thành phố Hà Nội")</f>
      </c>
      <c r="C1255" t="str">
        <v>https://bavi.hanoi.gov.vn/xa-thuan-my</v>
      </c>
      <c r="D1255" t="str">
        <v>-</v>
      </c>
      <c r="E1255" t="str">
        <v>-</v>
      </c>
      <c r="F1255" t="str">
        <v>-</v>
      </c>
      <c r="G1255" t="str">
        <v>-</v>
      </c>
    </row>
    <row r="1256">
      <c r="A1256">
        <v>1255</v>
      </c>
      <c r="B1256">
        <f>HYPERLINK("https://www.facebook.com/1181134665614608", "Công an xã Tản Lĩnh  thành phố Hà Nội")</f>
      </c>
      <c r="C1256" t="str">
        <v>https://www.facebook.com/1181134665614608</v>
      </c>
      <c r="D1256" t="str">
        <v>-</v>
      </c>
      <c r="E1256" t="str">
        <v/>
      </c>
      <c r="F1256" t="str">
        <v>-</v>
      </c>
      <c r="G1256" t="str">
        <v>-</v>
      </c>
    </row>
    <row r="1257">
      <c r="A1257">
        <v>1256</v>
      </c>
      <c r="B1257">
        <f>HYPERLINK("https://bavi.hanoi.gov.vn/xa-tan-linh", "UBND Ủy ban nhân dân xã Tản Lĩnh  thành phố Hà Nội")</f>
      </c>
      <c r="C1257" t="str">
        <v>https://bavi.hanoi.gov.vn/xa-tan-linh</v>
      </c>
      <c r="D1257" t="str">
        <v>-</v>
      </c>
      <c r="E1257" t="str">
        <v>-</v>
      </c>
      <c r="F1257" t="str">
        <v>-</v>
      </c>
      <c r="G1257" t="str">
        <v>-</v>
      </c>
    </row>
    <row r="1258">
      <c r="A1258">
        <v>1257</v>
      </c>
      <c r="B1258" t="str">
        <v>Công an xã Ba Trại  thành phố Hà Nội</v>
      </c>
      <c r="C1258" t="str">
        <v>-</v>
      </c>
      <c r="D1258" t="str">
        <v>-</v>
      </c>
      <c r="E1258" t="str">
        <v/>
      </c>
      <c r="F1258" t="str">
        <v>-</v>
      </c>
      <c r="G1258" t="str">
        <v>-</v>
      </c>
    </row>
    <row r="1259">
      <c r="A1259">
        <v>1258</v>
      </c>
      <c r="B1259">
        <f>HYPERLINK("https://bavi.hanoi.gov.vn/uy-ban-nhan-dan-xa-thi-tran/-/asset_publisher/BXvxOA8eYieu/content/xa-ba-trai", "UBND Ủy ban nhân dân xã Ba Trại  thành phố Hà Nội")</f>
      </c>
      <c r="C1259" t="str">
        <v>https://bavi.hanoi.gov.vn/uy-ban-nhan-dan-xa-thi-tran/-/asset_publisher/BXvxOA8eYieu/content/xa-ba-trai</v>
      </c>
      <c r="D1259" t="str">
        <v>-</v>
      </c>
      <c r="E1259" t="str">
        <v>-</v>
      </c>
      <c r="F1259" t="str">
        <v>-</v>
      </c>
      <c r="G1259" t="str">
        <v>-</v>
      </c>
    </row>
    <row r="1260">
      <c r="A1260">
        <v>1259</v>
      </c>
      <c r="B1260">
        <f>HYPERLINK("https://www.facebook.com/thptmq/?locale=en_GB", "Công an xã Minh Quang  thành phố Hà Nội")</f>
      </c>
      <c r="C1260" t="str">
        <v>https://www.facebook.com/thptmq/?locale=en_GB</v>
      </c>
      <c r="D1260" t="str">
        <v>-</v>
      </c>
      <c r="E1260" t="str">
        <v/>
      </c>
      <c r="F1260" t="str">
        <v>dtnc3mq@gmail.com</v>
      </c>
      <c r="G1260" t="str">
        <v>Thôn Lặt -  Minh Quang - Ba Vì - Hà Nội., Hanoi, Vietnam</v>
      </c>
    </row>
    <row r="1261">
      <c r="A1261">
        <v>1260</v>
      </c>
      <c r="B1261">
        <f>HYPERLINK("https://bavi.hanoi.gov.vn/xa-minh-quang", "UBND Ủy ban nhân dân xã Minh Quang  thành phố Hà Nội")</f>
      </c>
      <c r="C1261" t="str">
        <v>https://bavi.hanoi.gov.vn/xa-minh-quang</v>
      </c>
      <c r="D1261" t="str">
        <v>-</v>
      </c>
      <c r="E1261" t="str">
        <v>-</v>
      </c>
      <c r="F1261" t="str">
        <v>-</v>
      </c>
      <c r="G1261" t="str">
        <v>-</v>
      </c>
    </row>
    <row r="1262">
      <c r="A1262">
        <v>1261</v>
      </c>
      <c r="B1262">
        <f>HYPERLINK("https://www.facebook.com/tuoitreconganBaVi/", "Công an xã Ba Vì  thành phố Hà Nội")</f>
      </c>
      <c r="C1262" t="str">
        <v>https://www.facebook.com/tuoitreconganBaVi/</v>
      </c>
      <c r="D1262" t="str">
        <v>-</v>
      </c>
      <c r="E1262" t="str">
        <v/>
      </c>
      <c r="F1262" t="str">
        <v>dtncahbavi.hn@gmail.com</v>
      </c>
      <c r="G1262" t="str">
        <v>Số 121, Đường Quảng Oai, thị trấn Tây Đằng, Ba Vì, Thành phố Hà Nội</v>
      </c>
    </row>
    <row r="1263">
      <c r="A1263">
        <v>1262</v>
      </c>
      <c r="B1263">
        <f>HYPERLINK("https://bavi.hanoi.gov.vn/uy-ban-nhan-dan-xa-thi-tran/-/asset_publisher/BXvxOA8eYieu/content/xa-ba-vi", "UBND Ủy ban nhân dân xã Ba Vì  thành phố Hà Nội")</f>
      </c>
      <c r="C1263" t="str">
        <v>https://bavi.hanoi.gov.vn/uy-ban-nhan-dan-xa-thi-tran/-/asset_publisher/BXvxOA8eYieu/content/xa-ba-vi</v>
      </c>
      <c r="D1263" t="str">
        <v>-</v>
      </c>
      <c r="E1263" t="str">
        <v>-</v>
      </c>
      <c r="F1263" t="str">
        <v>-</v>
      </c>
      <c r="G1263" t="str">
        <v>-</v>
      </c>
    </row>
    <row r="1264">
      <c r="A1264">
        <v>1263</v>
      </c>
      <c r="B1264">
        <f>HYPERLINK("https://www.facebook.com/tuoitrecongansonla/?locale=hi_IN", "Công an xã Vân Hòa  thành phố Hà Nội")</f>
      </c>
      <c r="C1264" t="str">
        <v>https://www.facebook.com/tuoitrecongansonla/?locale=hi_IN</v>
      </c>
      <c r="D1264" t="str">
        <v>-</v>
      </c>
      <c r="E1264" t="str">
        <v/>
      </c>
      <c r="F1264" t="str">
        <v>doanthanhniencasl@gmail.com</v>
      </c>
      <c r="G1264" t="str">
        <v>-</v>
      </c>
    </row>
    <row r="1265">
      <c r="A1265">
        <v>1264</v>
      </c>
      <c r="B1265">
        <f>HYPERLINK("https://bavi.hanoi.gov.vn/uy-ban-nhan-dan-xa-thi-tran/-/asset_publisher/BXvxOA8eYieu/content/xa-van-hoa", "UBND Ủy ban nhân dân xã Vân Hòa  thành phố Hà Nội")</f>
      </c>
      <c r="C1265" t="str">
        <v>https://bavi.hanoi.gov.vn/uy-ban-nhan-dan-xa-thi-tran/-/asset_publisher/BXvxOA8eYieu/content/xa-van-hoa</v>
      </c>
      <c r="D1265" t="str">
        <v>-</v>
      </c>
      <c r="E1265" t="str">
        <v>-</v>
      </c>
      <c r="F1265" t="str">
        <v>-</v>
      </c>
      <c r="G1265" t="str">
        <v>-</v>
      </c>
    </row>
    <row r="1266">
      <c r="A1266">
        <v>1265</v>
      </c>
      <c r="B1266" t="str">
        <v>Công an xã Yên Bài  thành phố Hà Nội</v>
      </c>
      <c r="C1266" t="str">
        <v>-</v>
      </c>
      <c r="D1266" t="str">
        <v>-</v>
      </c>
      <c r="E1266" t="str">
        <v/>
      </c>
      <c r="F1266" t="str">
        <v>-</v>
      </c>
      <c r="G1266" t="str">
        <v>-</v>
      </c>
    </row>
    <row r="1267">
      <c r="A1267">
        <v>1266</v>
      </c>
      <c r="B1267">
        <f>HYPERLINK("https://bavi.hanoi.gov.vn/uy-ban-nhan-dan-xa-thi-tran/-/asset_publisher/BXvxOA8eYieu/content/xa-yen-bai", "UBND Ủy ban nhân dân xã Yên Bài  thành phố Hà Nội")</f>
      </c>
      <c r="C1267" t="str">
        <v>https://bavi.hanoi.gov.vn/uy-ban-nhan-dan-xa-thi-tran/-/asset_publisher/BXvxOA8eYieu/content/xa-yen-bai</v>
      </c>
      <c r="D1267" t="str">
        <v>-</v>
      </c>
      <c r="E1267" t="str">
        <v>-</v>
      </c>
      <c r="F1267" t="str">
        <v>-</v>
      </c>
      <c r="G1267" t="str">
        <v>-</v>
      </c>
    </row>
    <row r="1268">
      <c r="A1268">
        <v>1267</v>
      </c>
      <c r="B1268" t="str">
        <v>Công an xã Khánh Thượng  thành phố Hà Nội</v>
      </c>
      <c r="C1268" t="str">
        <v>-</v>
      </c>
      <c r="D1268" t="str">
        <v>-</v>
      </c>
      <c r="E1268" t="str">
        <v/>
      </c>
      <c r="F1268" t="str">
        <v>-</v>
      </c>
      <c r="G1268" t="str">
        <v>-</v>
      </c>
    </row>
    <row r="1269">
      <c r="A1269">
        <v>1268</v>
      </c>
      <c r="B1269">
        <f>HYPERLINK("https://khanhthuong.bavi.hanoi.gov.vn/", "UBND Ủy ban nhân dân xã Khánh Thượng  thành phố Hà Nội")</f>
      </c>
      <c r="C1269" t="str">
        <v>https://khanhthuong.bavi.hanoi.gov.vn/</v>
      </c>
      <c r="D1269" t="str">
        <v>-</v>
      </c>
      <c r="E1269" t="str">
        <v>-</v>
      </c>
      <c r="F1269" t="str">
        <v>-</v>
      </c>
      <c r="G1269" t="str">
        <v>-</v>
      </c>
    </row>
    <row r="1270">
      <c r="A1270">
        <v>1269</v>
      </c>
      <c r="B1270">
        <f>HYPERLINK("https://www.facebook.com/p/Tu%E1%BB%95i-tr%E1%BA%BB-C%C3%B4ng-an-huy%E1%BB%87n-Ph%C3%BAc-Th%E1%BB%8D-100066934373551/", "Công an thị trấn Phúc Thọ  thành phố Hà Nội")</f>
      </c>
      <c r="C1270" t="str">
        <v>https://www.facebook.com/p/Tu%E1%BB%95i-tr%E1%BA%BB-C%C3%B4ng-an-huy%E1%BB%87n-Ph%C3%BAc-Th%E1%BB%8D-100066934373551/</v>
      </c>
      <c r="D1270" t="str">
        <v>-</v>
      </c>
      <c r="E1270" t="str">
        <v/>
      </c>
      <c r="F1270" t="str">
        <v>Doanthanhnienconganphuctho@gmail.com</v>
      </c>
      <c r="G1270" t="str">
        <v>-</v>
      </c>
    </row>
    <row r="1271">
      <c r="A1271">
        <v>1270</v>
      </c>
      <c r="B1271">
        <f>HYPERLINK("https://phuctho.hanoi.gov.vn/", "UBND Ủy ban nhân dân thị trấn Phúc Thọ  thành phố Hà Nội")</f>
      </c>
      <c r="C1271" t="str">
        <v>https://phuctho.hanoi.gov.vn/</v>
      </c>
      <c r="D1271" t="str">
        <v>-</v>
      </c>
      <c r="E1271" t="str">
        <v>-</v>
      </c>
      <c r="F1271" t="str">
        <v>-</v>
      </c>
      <c r="G1271" t="str">
        <v>-</v>
      </c>
    </row>
    <row r="1272">
      <c r="A1272">
        <v>1271</v>
      </c>
      <c r="B1272">
        <f>HYPERLINK("https://www.facebook.com/CAxVanHa/", "Công an xã Vân Hà  thành phố Hà Nội")</f>
      </c>
      <c r="C1272" t="str">
        <v>https://www.facebook.com/CAxVanHa/</v>
      </c>
      <c r="D1272" t="str">
        <v>-</v>
      </c>
      <c r="E1272" t="str">
        <v>02432068106</v>
      </c>
      <c r="F1272" t="str">
        <v>congan.vanha.00475.donganh@gmail.com</v>
      </c>
      <c r="G1272" t="str">
        <v>-</v>
      </c>
    </row>
    <row r="1273">
      <c r="A1273">
        <v>1272</v>
      </c>
      <c r="B1273">
        <f>HYPERLINK("https://vanha.donganh.hanoi.gov.vn/", "UBND Ủy ban nhân dân xã Vân Hà  thành phố Hà Nội")</f>
      </c>
      <c r="C1273" t="str">
        <v>https://vanha.donganh.hanoi.gov.vn/</v>
      </c>
      <c r="D1273" t="str">
        <v>-</v>
      </c>
      <c r="E1273" t="str">
        <v>-</v>
      </c>
      <c r="F1273" t="str">
        <v>-</v>
      </c>
      <c r="G1273" t="str">
        <v>-</v>
      </c>
    </row>
    <row r="1274">
      <c r="A1274">
        <v>1273</v>
      </c>
      <c r="B1274" t="str">
        <v>Công an xã Vân Phúc  thành phố Hà Nội</v>
      </c>
      <c r="C1274" t="str">
        <v>-</v>
      </c>
      <c r="D1274" t="str">
        <v>-</v>
      </c>
      <c r="E1274" t="str">
        <v/>
      </c>
      <c r="F1274" t="str">
        <v>-</v>
      </c>
      <c r="G1274" t="str">
        <v>-</v>
      </c>
    </row>
    <row r="1275">
      <c r="A1275">
        <v>1274</v>
      </c>
      <c r="B1275">
        <f>HYPERLINK("https://vanphuc.phuctho.hanoi.gov.vn/", "UBND Ủy ban nhân dân xã Vân Phúc  thành phố Hà Nội")</f>
      </c>
      <c r="C1275" t="str">
        <v>https://vanphuc.phuctho.hanoi.gov.vn/</v>
      </c>
      <c r="D1275" t="str">
        <v>-</v>
      </c>
      <c r="E1275" t="str">
        <v>-</v>
      </c>
      <c r="F1275" t="str">
        <v>-</v>
      </c>
      <c r="G1275" t="str">
        <v>-</v>
      </c>
    </row>
    <row r="1276">
      <c r="A1276">
        <v>1275</v>
      </c>
      <c r="B1276" t="str">
        <v>Công an xã Vân Nam  thành phố Hà Nội</v>
      </c>
      <c r="C1276" t="str">
        <v>-</v>
      </c>
      <c r="D1276" t="str">
        <v>-</v>
      </c>
      <c r="E1276" t="str">
        <v/>
      </c>
      <c r="F1276" t="str">
        <v>-</v>
      </c>
      <c r="G1276" t="str">
        <v>-</v>
      </c>
    </row>
    <row r="1277">
      <c r="A1277">
        <v>1276</v>
      </c>
      <c r="B1277">
        <f>HYPERLINK("https://vanphuc.phuctho.hanoi.gov.vn/", "UBND Ủy ban nhân dân xã Vân Nam  thành phố Hà Nội")</f>
      </c>
      <c r="C1277" t="str">
        <v>https://vanphuc.phuctho.hanoi.gov.vn/</v>
      </c>
      <c r="D1277" t="str">
        <v>-</v>
      </c>
      <c r="E1277" t="str">
        <v>-</v>
      </c>
      <c r="F1277" t="str">
        <v>-</v>
      </c>
      <c r="G1277" t="str">
        <v>-</v>
      </c>
    </row>
    <row r="1278">
      <c r="A1278">
        <v>1277</v>
      </c>
      <c r="B1278" t="str">
        <v>Công an xã Xuân Phú  thành phố Hà Nội</v>
      </c>
      <c r="C1278" t="str">
        <v>-</v>
      </c>
      <c r="D1278" t="str">
        <v>-</v>
      </c>
      <c r="E1278" t="str">
        <v/>
      </c>
      <c r="F1278" t="str">
        <v>-</v>
      </c>
      <c r="G1278" t="str">
        <v>-</v>
      </c>
    </row>
    <row r="1279">
      <c r="A1279">
        <v>1278</v>
      </c>
      <c r="B1279">
        <f>HYPERLINK("https://xuanphu-xuantruong.namdinh.gov.vn/uy-ban-nhan-dan/uy-ban-nhan-dan-xa-xuan-phu-289181", "UBND Ủy ban nhân dân xã Xuân Phú  thành phố Hà Nội")</f>
      </c>
      <c r="C1279" t="str">
        <v>https://xuanphu-xuantruong.namdinh.gov.vn/uy-ban-nhan-dan/uy-ban-nhan-dan-xa-xuan-phu-289181</v>
      </c>
      <c r="D1279" t="str">
        <v>-</v>
      </c>
      <c r="E1279" t="str">
        <v>-</v>
      </c>
      <c r="F1279" t="str">
        <v>-</v>
      </c>
      <c r="G1279" t="str">
        <v>-</v>
      </c>
    </row>
    <row r="1280">
      <c r="A1280">
        <v>1279</v>
      </c>
      <c r="B1280" t="str">
        <v>Công an xã Phương Độ  thành phố Hà Nội</v>
      </c>
      <c r="C1280" t="str">
        <v>-</v>
      </c>
      <c r="D1280" t="str">
        <v>-</v>
      </c>
      <c r="E1280" t="str">
        <v/>
      </c>
      <c r="F1280" t="str">
        <v>-</v>
      </c>
      <c r="G1280" t="str">
        <v>-</v>
      </c>
    </row>
    <row r="1281">
      <c r="A1281">
        <v>1280</v>
      </c>
      <c r="B1281">
        <f>HYPERLINK("https://danphuong.hanoi.gov.vn/", "UBND Ủy ban nhân dân xã Phương Độ  thành phố Hà Nội")</f>
      </c>
      <c r="C1281" t="str">
        <v>https://danphuong.hanoi.gov.vn/</v>
      </c>
      <c r="D1281" t="str">
        <v>-</v>
      </c>
      <c r="E1281" t="str">
        <v>-</v>
      </c>
      <c r="F1281" t="str">
        <v>-</v>
      </c>
      <c r="G1281" t="str">
        <v>-</v>
      </c>
    </row>
    <row r="1282">
      <c r="A1282">
        <v>1281</v>
      </c>
      <c r="B1282">
        <f>HYPERLINK("https://www.facebook.com/groups/212129662793821/", "Công an xã Sen Chiểu  thành phố Hà Nội")</f>
      </c>
      <c r="C1282" t="str">
        <v>https://www.facebook.com/groups/212129662793821/</v>
      </c>
      <c r="D1282" t="str">
        <v>-</v>
      </c>
      <c r="E1282" t="str">
        <v/>
      </c>
      <c r="F1282" t="str">
        <v>-</v>
      </c>
      <c r="G1282" t="str">
        <v>-</v>
      </c>
    </row>
    <row r="1283">
      <c r="A1283">
        <v>1282</v>
      </c>
      <c r="B1283">
        <f>HYPERLINK("https://phuctho.hanoi.gov.vn/nl/chi-dao-dieu-hanh/-/news/0epP85PlRoOp/1/660010.html;jsessionid=J6c-mGqXgeFhMN6tGz65JL9F.undefined", "UBND Ủy ban nhân dân xã Sen Chiểu  thành phố Hà Nội")</f>
      </c>
      <c r="C1283" t="str">
        <v>https://phuctho.hanoi.gov.vn/nl/chi-dao-dieu-hanh/-/news/0epP85PlRoOp/1/660010.html;jsessionid=J6c-mGqXgeFhMN6tGz65JL9F.undefined</v>
      </c>
      <c r="D1283" t="str">
        <v>-</v>
      </c>
      <c r="E1283" t="str">
        <v>-</v>
      </c>
      <c r="F1283" t="str">
        <v>-</v>
      </c>
      <c r="G1283" t="str">
        <v>-</v>
      </c>
    </row>
    <row r="1284">
      <c r="A1284">
        <v>1283</v>
      </c>
      <c r="B1284">
        <f>HYPERLINK("https://www.facebook.com/doanthanhnien.1956/", "Công an xã Cẩm Đình  thành phố Hà Nội")</f>
      </c>
      <c r="C1284" t="str">
        <v>https://www.facebook.com/doanthanhnien.1956/</v>
      </c>
      <c r="D1284" t="str">
        <v>-</v>
      </c>
      <c r="E1284" t="str">
        <v/>
      </c>
      <c r="F1284" t="str">
        <v>doanthanhniencatphanoi@gmail.com</v>
      </c>
      <c r="G1284" t="str">
        <v>87 phố Trần Hưng Đạo, quận Hoàn Kiếm, TP Hà Nội, Hanoi, Vietnam</v>
      </c>
    </row>
    <row r="1285">
      <c r="A1285">
        <v>1284</v>
      </c>
      <c r="B1285">
        <f>HYPERLINK("https://phuctho.hanoi.gov.vn/it/tin-noi-bat/-/news/KkhcXEagK6vu/557457.html;jsessionid=lKaiGbXfXOpK1JkiG9PI177j.undefined", "UBND Ủy ban nhân dân xã Cẩm Đình  thành phố Hà Nội")</f>
      </c>
      <c r="C1285" t="str">
        <v>https://phuctho.hanoi.gov.vn/it/tin-noi-bat/-/news/KkhcXEagK6vu/557457.html;jsessionid=lKaiGbXfXOpK1JkiG9PI177j.undefined</v>
      </c>
      <c r="D1285" t="str">
        <v>-</v>
      </c>
      <c r="E1285" t="str">
        <v>-</v>
      </c>
      <c r="F1285" t="str">
        <v>-</v>
      </c>
      <c r="G1285" t="str">
        <v>-</v>
      </c>
    </row>
    <row r="1286">
      <c r="A1286">
        <v>1285</v>
      </c>
      <c r="B1286">
        <f>HYPERLINK("https://www.facebook.com/groups/2031129377197819/_join_/?locale=fi_FI", "Công an xã Võng Xuyên  thành phố Hà Nội")</f>
      </c>
      <c r="C1286" t="str">
        <v>https://www.facebook.com/groups/2031129377197819/_join_/?locale=fi_FI</v>
      </c>
      <c r="D1286" t="str">
        <v>-</v>
      </c>
      <c r="E1286" t="str">
        <v/>
      </c>
      <c r="F1286" t="str">
        <v>-</v>
      </c>
      <c r="G1286" t="str">
        <v>-</v>
      </c>
    </row>
    <row r="1287">
      <c r="A1287">
        <v>1286</v>
      </c>
      <c r="B1287">
        <f>HYPERLINK("https://vongxuyen.phuctho.hanoi.gov.vn/", "UBND Ủy ban nhân dân xã Võng Xuyên  thành phố Hà Nội")</f>
      </c>
      <c r="C1287" t="str">
        <v>https://vongxuyen.phuctho.hanoi.gov.vn/</v>
      </c>
      <c r="D1287" t="str">
        <v>-</v>
      </c>
      <c r="E1287" t="str">
        <v>-</v>
      </c>
      <c r="F1287" t="str">
        <v>-</v>
      </c>
      <c r="G1287" t="str">
        <v>-</v>
      </c>
    </row>
    <row r="1288">
      <c r="A1288">
        <v>1287</v>
      </c>
      <c r="B1288">
        <f>HYPERLINK("https://www.facebook.com/groups/875178792678941/", "Công an xã Thọ Lộc  thành phố Hà Nội")</f>
      </c>
      <c r="C1288" t="str">
        <v>https://www.facebook.com/groups/875178792678941/</v>
      </c>
      <c r="D1288" t="str">
        <v>-</v>
      </c>
      <c r="E1288" t="str">
        <v/>
      </c>
      <c r="F1288" t="str">
        <v>-</v>
      </c>
      <c r="G1288" t="str">
        <v>-</v>
      </c>
    </row>
    <row r="1289">
      <c r="A1289">
        <v>1288</v>
      </c>
      <c r="B1289">
        <f>HYPERLINK("https://tholoc.phuctho.hanoi.gov.vn/tin-chi-tiet/-/chi-tiet/uy-ban-nhan-dan-xa-tho-loc-to-chuc-hoi-nghi-tuyen-truyen-pho-bien-phap-luat-huong-ung-ngay-phap-luat-viet-nam-4863-149.html", "UBND Ủy ban nhân dân xã Thọ Lộc  thành phố Hà Nội")</f>
      </c>
      <c r="C1289" t="str">
        <v>https://tholoc.phuctho.hanoi.gov.vn/tin-chi-tiet/-/chi-tiet/uy-ban-nhan-dan-xa-tho-loc-to-chuc-hoi-nghi-tuyen-truyen-pho-bien-phap-luat-huong-ung-ngay-phap-luat-viet-nam-4863-149.html</v>
      </c>
      <c r="D1289" t="str">
        <v>-</v>
      </c>
      <c r="E1289" t="str">
        <v>-</v>
      </c>
      <c r="F1289" t="str">
        <v>-</v>
      </c>
      <c r="G1289" t="str">
        <v>-</v>
      </c>
    </row>
    <row r="1290">
      <c r="A1290">
        <v>1289</v>
      </c>
      <c r="B1290">
        <f>HYPERLINK("https://www.facebook.com/265963428377240", "Công an xã Long Xuyên  thành phố Hà Nội")</f>
      </c>
      <c r="C1290" t="str">
        <v>https://www.facebook.com/265963428377240</v>
      </c>
      <c r="D1290" t="str">
        <v>-</v>
      </c>
      <c r="E1290" t="str">
        <v/>
      </c>
      <c r="F1290" t="str">
        <v>-</v>
      </c>
      <c r="G1290" t="str">
        <v>-</v>
      </c>
    </row>
    <row r="1291">
      <c r="A1291">
        <v>1290</v>
      </c>
      <c r="B1291">
        <f>HYPERLINK("https://longxuyen.phuctho.hanoi.gov.vn/", "UBND Ủy ban nhân dân xã Long Xuyên  thành phố Hà Nội")</f>
      </c>
      <c r="C1291" t="str">
        <v>https://longxuyen.phuctho.hanoi.gov.vn/</v>
      </c>
      <c r="D1291" t="str">
        <v>-</v>
      </c>
      <c r="E1291" t="str">
        <v>-</v>
      </c>
      <c r="F1291" t="str">
        <v>-</v>
      </c>
      <c r="G1291" t="str">
        <v>-</v>
      </c>
    </row>
    <row r="1292">
      <c r="A1292">
        <v>1291</v>
      </c>
      <c r="B1292">
        <f>HYPERLINK("https://www.facebook.com/Vinhandanphucv/", "Công an xã Thượng Cốc  thành phố Hà Nội")</f>
      </c>
      <c r="C1292" t="str">
        <v>https://www.facebook.com/Vinhandanphucv/</v>
      </c>
      <c r="D1292" t="str">
        <v>-</v>
      </c>
      <c r="E1292" t="str">
        <v>02183902536</v>
      </c>
      <c r="F1292" t="str">
        <v>quachtrang1991@gmail.com</v>
      </c>
      <c r="G1292" t="str">
        <v>xã Thượng Cốc, huyện Lạc Sơn, tỉnh Hòa Bình</v>
      </c>
    </row>
    <row r="1293">
      <c r="A1293">
        <v>1292</v>
      </c>
      <c r="B1293">
        <f>HYPERLINK("https://thuongcoc.phuctho.hanoi.gov.vn/", "UBND Ủy ban nhân dân xã Thượng Cốc  thành phố Hà Nội")</f>
      </c>
      <c r="C1293" t="str">
        <v>https://thuongcoc.phuctho.hanoi.gov.vn/</v>
      </c>
      <c r="D1293" t="str">
        <v>-</v>
      </c>
      <c r="E1293" t="str">
        <v>-</v>
      </c>
      <c r="F1293" t="str">
        <v>-</v>
      </c>
      <c r="G1293" t="str">
        <v>-</v>
      </c>
    </row>
    <row r="1294">
      <c r="A1294">
        <v>1293</v>
      </c>
      <c r="B1294">
        <f>HYPERLINK("https://www.facebook.com/groups/toi.yeu.xa.hat.mon.huyen.phuc.tho/", "Công an xã Hát Môn  thành phố Hà Nội")</f>
      </c>
      <c r="C1294" t="str">
        <v>https://www.facebook.com/groups/toi.yeu.xa.hat.mon.huyen.phuc.tho/</v>
      </c>
      <c r="D1294" t="str">
        <v>-</v>
      </c>
      <c r="E1294" t="str">
        <v/>
      </c>
      <c r="F1294" t="str">
        <v>-</v>
      </c>
      <c r="G1294" t="str">
        <v>-</v>
      </c>
    </row>
    <row r="1295">
      <c r="A1295">
        <v>1294</v>
      </c>
      <c r="B1295">
        <f>HYPERLINK("https://hatmon.phuctho.hanoi.gov.vn/", "UBND Ủy ban nhân dân xã Hát Môn  thành phố Hà Nội")</f>
      </c>
      <c r="C1295" t="str">
        <v>https://hatmon.phuctho.hanoi.gov.vn/</v>
      </c>
      <c r="D1295" t="str">
        <v>-</v>
      </c>
      <c r="E1295" t="str">
        <v>-</v>
      </c>
      <c r="F1295" t="str">
        <v>-</v>
      </c>
      <c r="G1295" t="str">
        <v>-</v>
      </c>
    </row>
    <row r="1296">
      <c r="A1296">
        <v>1295</v>
      </c>
      <c r="B1296">
        <f>HYPERLINK("https://www.facebook.com/tuoitreconganhagiang/", "Công an xã Tích Giang  thành phố Hà Nội")</f>
      </c>
      <c r="C1296" t="str">
        <v>https://www.facebook.com/tuoitreconganhagiang/</v>
      </c>
      <c r="D1296" t="str">
        <v>0339977730</v>
      </c>
      <c r="E1296" t="str">
        <v>-</v>
      </c>
      <c r="F1296" t="str">
        <v>fanpagetuoitreconganhg@gmail.com</v>
      </c>
      <c r="G1296" t="str">
        <v>Số 28, đường Phan Chu Trinh, Hà Giang, Vietnam</v>
      </c>
    </row>
    <row r="1297">
      <c r="A1297">
        <v>1296</v>
      </c>
      <c r="B1297">
        <f>HYPERLINK("https://tichgiang.phuctho.hanoi.gov.vn/li%C3%AAn-h%E1%BB%87", "UBND Ủy ban nhân dân xã Tích Giang  thành phố Hà Nội")</f>
      </c>
      <c r="C1297" t="str">
        <v>https://tichgiang.phuctho.hanoi.gov.vn/li%C3%AAn-h%E1%BB%87</v>
      </c>
      <c r="D1297" t="str">
        <v>-</v>
      </c>
      <c r="E1297" t="str">
        <v>-</v>
      </c>
      <c r="F1297" t="str">
        <v>-</v>
      </c>
      <c r="G1297" t="str">
        <v>-</v>
      </c>
    </row>
    <row r="1298">
      <c r="A1298">
        <v>1297</v>
      </c>
      <c r="B1298">
        <f>HYPERLINK("https://www.facebook.com/doanthanhnien.1956/", "Công an xã Thanh Đa  thành phố Hà Nội")</f>
      </c>
      <c r="C1298" t="str">
        <v>https://www.facebook.com/doanthanhnien.1956/</v>
      </c>
      <c r="D1298" t="str">
        <v>-</v>
      </c>
      <c r="E1298" t="str">
        <v/>
      </c>
      <c r="F1298" t="str">
        <v>doanthanhniencatphanoi@gmail.com</v>
      </c>
      <c r="G1298" t="str">
        <v>87 phố Trần Hưng Đạo, quận Hoàn Kiếm, TP Hà Nội, Hanoi, Vietnam</v>
      </c>
    </row>
    <row r="1299">
      <c r="A1299">
        <v>1298</v>
      </c>
      <c r="B1299">
        <f>HYPERLINK("https://thanhda.phuctho.hanoi.gov.vn/", "UBND Ủy ban nhân dân xã Thanh Đa  thành phố Hà Nội")</f>
      </c>
      <c r="C1299" t="str">
        <v>https://thanhda.phuctho.hanoi.gov.vn/</v>
      </c>
      <c r="D1299" t="str">
        <v>-</v>
      </c>
      <c r="E1299" t="str">
        <v>-</v>
      </c>
      <c r="F1299" t="str">
        <v>-</v>
      </c>
      <c r="G1299" t="str">
        <v>-</v>
      </c>
    </row>
    <row r="1300">
      <c r="A1300">
        <v>1299</v>
      </c>
      <c r="B1300">
        <f>HYPERLINK("https://www.facebook.com/groups/381758619025801/?locale=vi_VN", "Công an xã Trạch Mỹ Lộc  thành phố Hà Nội")</f>
      </c>
      <c r="C1300" t="str">
        <v>https://www.facebook.com/groups/381758619025801/?locale=vi_VN</v>
      </c>
      <c r="D1300" t="str">
        <v>-</v>
      </c>
      <c r="E1300" t="str">
        <v/>
      </c>
      <c r="F1300" t="str">
        <v>-</v>
      </c>
      <c r="G1300" t="str">
        <v>-</v>
      </c>
    </row>
    <row r="1301">
      <c r="A1301">
        <v>1300</v>
      </c>
      <c r="B1301">
        <f>HYPERLINK("https://trachmyloc.phuctho.hanoi.gov.vn/", "UBND Ủy ban nhân dân xã Trạch Mỹ Lộc  thành phố Hà Nội")</f>
      </c>
      <c r="C1301" t="str">
        <v>https://trachmyloc.phuctho.hanoi.gov.vn/</v>
      </c>
      <c r="D1301" t="str">
        <v>-</v>
      </c>
      <c r="E1301" t="str">
        <v>-</v>
      </c>
      <c r="F1301" t="str">
        <v>-</v>
      </c>
      <c r="G1301" t="str">
        <v>-</v>
      </c>
    </row>
    <row r="1302">
      <c r="A1302">
        <v>1301</v>
      </c>
      <c r="B1302">
        <f>HYPERLINK("https://www.facebook.com/TuoitreConganVinhPhuc/", "Công an xã Phúc Hòa  thành phố Hà Nội")</f>
      </c>
      <c r="C1302" t="str">
        <v>https://www.facebook.com/TuoitreConganVinhPhuc/</v>
      </c>
      <c r="D1302" t="str">
        <v>-</v>
      </c>
      <c r="E1302" t="str">
        <v/>
      </c>
      <c r="F1302" t="str">
        <v>doanconganvp@gmail.com</v>
      </c>
      <c r="G1302" t="str">
        <v>số 1 đường tôn đức thắng, Vinh Yen, Vietnam</v>
      </c>
    </row>
    <row r="1303">
      <c r="A1303">
        <v>1302</v>
      </c>
      <c r="B1303">
        <f>HYPERLINK("https://phuctho.hanoi.gov.vn/", "UBND Ủy ban nhân dân xã Phúc Hòa  thành phố Hà Nội")</f>
      </c>
      <c r="C1303" t="str">
        <v>https://phuctho.hanoi.gov.vn/</v>
      </c>
      <c r="D1303" t="str">
        <v>-</v>
      </c>
      <c r="E1303" t="str">
        <v>-</v>
      </c>
      <c r="F1303" t="str">
        <v>-</v>
      </c>
      <c r="G1303" t="str">
        <v>-</v>
      </c>
    </row>
    <row r="1304">
      <c r="A1304">
        <v>1303</v>
      </c>
      <c r="B1304" t="str">
        <v>Công an xã Ngọc Tảo  thành phố Hà Nội</v>
      </c>
      <c r="C1304" t="str">
        <v>-</v>
      </c>
      <c r="D1304" t="str">
        <v>-</v>
      </c>
      <c r="E1304" t="str">
        <v/>
      </c>
      <c r="F1304" t="str">
        <v>-</v>
      </c>
      <c r="G1304" t="str">
        <v>-</v>
      </c>
    </row>
    <row r="1305">
      <c r="A1305">
        <v>1304</v>
      </c>
      <c r="B1305">
        <f>HYPERLINK("https://ngoctao.phuctho.hanoi.gov.vn/", "UBND Ủy ban nhân dân xã Ngọc Tảo  thành phố Hà Nội")</f>
      </c>
      <c r="C1305" t="str">
        <v>https://ngoctao.phuctho.hanoi.gov.vn/</v>
      </c>
      <c r="D1305" t="str">
        <v>-</v>
      </c>
      <c r="E1305" t="str">
        <v>-</v>
      </c>
      <c r="F1305" t="str">
        <v>-</v>
      </c>
      <c r="G1305" t="str">
        <v>-</v>
      </c>
    </row>
    <row r="1306">
      <c r="A1306">
        <v>1305</v>
      </c>
      <c r="B1306">
        <f>HYPERLINK("https://www.facebook.com/groups/toi.yeu.xa.phung.thuong.huyen.phuc.tho/", "Công an xã Phụng Thượng  thành phố Hà Nội")</f>
      </c>
      <c r="C1306" t="str">
        <v>https://www.facebook.com/groups/toi.yeu.xa.phung.thuong.huyen.phuc.tho/</v>
      </c>
      <c r="D1306" t="str">
        <v>-</v>
      </c>
      <c r="E1306" t="str">
        <v/>
      </c>
      <c r="F1306" t="str">
        <v>-</v>
      </c>
      <c r="G1306" t="str">
        <v>-</v>
      </c>
    </row>
    <row r="1307">
      <c r="A1307">
        <v>1306</v>
      </c>
      <c r="B1307">
        <f>HYPERLINK("https://phungthuong.phuctho.hanoi.gov.vn/", "UBND Ủy ban nhân dân xã Phụng Thượng  thành phố Hà Nội")</f>
      </c>
      <c r="C1307" t="str">
        <v>https://phungthuong.phuctho.hanoi.gov.vn/</v>
      </c>
      <c r="D1307" t="str">
        <v>-</v>
      </c>
      <c r="E1307" t="str">
        <v>-</v>
      </c>
      <c r="F1307" t="str">
        <v>-</v>
      </c>
      <c r="G1307" t="str">
        <v>-</v>
      </c>
    </row>
    <row r="1308">
      <c r="A1308">
        <v>1307</v>
      </c>
      <c r="B1308">
        <f>HYPERLINK("https://www.facebook.com/groups/toi.yeu.xa.tam.thuan.huyen.phuc.tho/", "Công an xã Tam Thuấn  thành phố Hà Nội")</f>
      </c>
      <c r="C1308" t="str">
        <v>https://www.facebook.com/groups/toi.yeu.xa.tam.thuan.huyen.phuc.tho/</v>
      </c>
      <c r="D1308" t="str">
        <v>-</v>
      </c>
      <c r="E1308" t="str">
        <v/>
      </c>
      <c r="F1308" t="str">
        <v>-</v>
      </c>
      <c r="G1308" t="str">
        <v>-</v>
      </c>
    </row>
    <row r="1309">
      <c r="A1309">
        <v>1308</v>
      </c>
      <c r="B1309">
        <f>HYPERLINK("https://tamthuan.phuctho.hanoi.gov.vn/", "UBND Ủy ban nhân dân xã Tam Thuấn  thành phố Hà Nội")</f>
      </c>
      <c r="C1309" t="str">
        <v>https://tamthuan.phuctho.hanoi.gov.vn/</v>
      </c>
      <c r="D1309" t="str">
        <v>-</v>
      </c>
      <c r="E1309" t="str">
        <v>-</v>
      </c>
      <c r="F1309" t="str">
        <v>-</v>
      </c>
      <c r="G1309" t="str">
        <v>-</v>
      </c>
    </row>
    <row r="1310">
      <c r="A1310">
        <v>1309</v>
      </c>
      <c r="B1310">
        <f>HYPERLINK("https://www.facebook.com/p/Tr%C6%B0%E1%BB%9Dng-THCS-Tam-Hi%E1%BB%87p-100070619213908/", "Công an xã Tam Hiệp  thành phố Hà Nội")</f>
      </c>
      <c r="C1310" t="str">
        <v>https://www.facebook.com/p/Tr%C6%B0%E1%BB%9Dng-THCS-Tam-Hi%E1%BB%87p-100070619213908/</v>
      </c>
      <c r="D1310" t="str">
        <v>-</v>
      </c>
      <c r="E1310" t="str">
        <v/>
      </c>
      <c r="F1310" t="str">
        <v>-</v>
      </c>
      <c r="G1310" t="str">
        <v>-</v>
      </c>
    </row>
    <row r="1311">
      <c r="A1311">
        <v>1310</v>
      </c>
      <c r="B1311">
        <f>HYPERLINK("https://tamhiep.thanhtri.hanoi.gov.vn/", "UBND Ủy ban nhân dân xã Tam Hiệp  thành phố Hà Nội")</f>
      </c>
      <c r="C1311" t="str">
        <v>https://tamhiep.thanhtri.hanoi.gov.vn/</v>
      </c>
      <c r="D1311" t="str">
        <v>-</v>
      </c>
      <c r="E1311" t="str">
        <v>-</v>
      </c>
      <c r="F1311" t="str">
        <v>-</v>
      </c>
      <c r="G1311" t="str">
        <v>-</v>
      </c>
    </row>
    <row r="1312">
      <c r="A1312">
        <v>1311</v>
      </c>
      <c r="B1312">
        <f>HYPERLINK("https://www.facebook.com/groups/1091618164327711/", "Công an xã Hiệp Thuận  thành phố Hà Nội")</f>
      </c>
      <c r="C1312" t="str">
        <v>https://www.facebook.com/groups/1091618164327711/</v>
      </c>
      <c r="D1312" t="str">
        <v>-</v>
      </c>
      <c r="E1312" t="str">
        <v/>
      </c>
      <c r="F1312" t="str">
        <v>-</v>
      </c>
      <c r="G1312" t="str">
        <v>-</v>
      </c>
    </row>
    <row r="1313">
      <c r="A1313">
        <v>1312</v>
      </c>
      <c r="B1313">
        <f>HYPERLINK("https://hiepthuan.phuctho.hanoi.gov.vn/", "UBND Ủy ban nhân dân xã Hiệp Thuận  thành phố Hà Nội")</f>
      </c>
      <c r="C1313" t="str">
        <v>https://hiepthuan.phuctho.hanoi.gov.vn/</v>
      </c>
      <c r="D1313" t="str">
        <v>-</v>
      </c>
      <c r="E1313" t="str">
        <v>-</v>
      </c>
      <c r="F1313" t="str">
        <v>-</v>
      </c>
      <c r="G1313" t="str">
        <v>-</v>
      </c>
    </row>
    <row r="1314">
      <c r="A1314">
        <v>1313</v>
      </c>
      <c r="B1314" t="str">
        <v>Công an xã Liên Hiệp  thành phố Hà Nội</v>
      </c>
      <c r="C1314" t="str">
        <v>-</v>
      </c>
      <c r="D1314" t="str">
        <v>-</v>
      </c>
      <c r="E1314" t="str">
        <v/>
      </c>
      <c r="F1314" t="str">
        <v>-</v>
      </c>
      <c r="G1314" t="str">
        <v>-</v>
      </c>
    </row>
    <row r="1315">
      <c r="A1315">
        <v>1314</v>
      </c>
      <c r="B1315">
        <f>HYPERLINK("https://lienhiep.phuctho.hanoi.gov.vn/", "UBND Ủy ban nhân dân xã Liên Hiệp  thành phố Hà Nội")</f>
      </c>
      <c r="C1315" t="str">
        <v>https://lienhiep.phuctho.hanoi.gov.vn/</v>
      </c>
      <c r="D1315" t="str">
        <v>-</v>
      </c>
      <c r="E1315" t="str">
        <v>-</v>
      </c>
      <c r="F1315" t="str">
        <v>-</v>
      </c>
      <c r="G1315" t="str">
        <v>-</v>
      </c>
    </row>
    <row r="1316">
      <c r="A1316">
        <v>1315</v>
      </c>
      <c r="B1316">
        <f>HYPERLINK("https://www.facebook.com/p/Tu%E1%BB%95i-Tr%E1%BA%BB-C%C3%B4ng-An-Huy%E1%BB%87n-Ch%C6%B0%C6%A1ng-M%E1%BB%B9-100028578047777/", "Công an thị trấn Phùng  thành phố Hà Nội")</f>
      </c>
      <c r="C1316" t="str">
        <v>https://www.facebook.com/p/Tu%E1%BB%95i-Tr%E1%BA%BB-C%C3%B4ng-An-Huy%E1%BB%87n-Ch%C6%B0%C6%A1ng-M%E1%BB%B9-100028578047777/</v>
      </c>
      <c r="D1316" t="str">
        <v>-</v>
      </c>
      <c r="E1316" t="str">
        <v/>
      </c>
      <c r="F1316" t="str">
        <v>doantncahchuongmy@gmail.com</v>
      </c>
      <c r="G1316" t="str">
        <v>Số 29A, Tổ dân phố Ninh Kiều, huyện Chương Mỹ, thành phố Hà Nội, Hanoi, Vietnam</v>
      </c>
    </row>
    <row r="1317">
      <c r="A1317">
        <v>1316</v>
      </c>
      <c r="B1317">
        <f>HYPERLINK("https://danphuong.hanoi.gov.vn/", "UBND Ủy ban nhân dân thị trấn Phùng  thành phố Hà Nội")</f>
      </c>
      <c r="C1317" t="str">
        <v>https://danphuong.hanoi.gov.vn/</v>
      </c>
      <c r="D1317" t="str">
        <v>-</v>
      </c>
      <c r="E1317" t="str">
        <v>-</v>
      </c>
      <c r="F1317" t="str">
        <v>-</v>
      </c>
      <c r="G1317" t="str">
        <v>-</v>
      </c>
    </row>
    <row r="1318">
      <c r="A1318">
        <v>1317</v>
      </c>
      <c r="B1318" t="str">
        <v>Công an xã Trung Châu  thành phố Hà Nội</v>
      </c>
      <c r="C1318" t="str">
        <v>-</v>
      </c>
      <c r="D1318" t="str">
        <v>-</v>
      </c>
      <c r="E1318" t="str">
        <v/>
      </c>
      <c r="F1318" t="str">
        <v>-</v>
      </c>
      <c r="G1318" t="str">
        <v>-</v>
      </c>
    </row>
    <row r="1319">
      <c r="A1319">
        <v>1318</v>
      </c>
      <c r="B1319">
        <f>HYPERLINK("https://danphuong.hanoi.gov.vn/", "UBND Ủy ban nhân dân xã Trung Châu  thành phố Hà Nội")</f>
      </c>
      <c r="C1319" t="str">
        <v>https://danphuong.hanoi.gov.vn/</v>
      </c>
      <c r="D1319" t="str">
        <v>-</v>
      </c>
      <c r="E1319" t="str">
        <v>-</v>
      </c>
      <c r="F1319" t="str">
        <v>-</v>
      </c>
      <c r="G1319" t="str">
        <v>-</v>
      </c>
    </row>
    <row r="1320">
      <c r="A1320">
        <v>1319</v>
      </c>
      <c r="B1320">
        <f>HYPERLINK("https://www.facebook.com/doanthanhnien.1956/", "Công an xã Thọ An  thành phố Hà Nội")</f>
      </c>
      <c r="C1320" t="str">
        <v>https://www.facebook.com/doanthanhnien.1956/</v>
      </c>
      <c r="D1320" t="str">
        <v>-</v>
      </c>
      <c r="E1320" t="str">
        <v/>
      </c>
      <c r="F1320" t="str">
        <v>doanthanhniencatphanoi@gmail.com</v>
      </c>
      <c r="G1320" t="str">
        <v>87 phố Trần Hưng Đạo, quận Hoàn Kiếm, TP Hà Nội, Hanoi, Vietnam</v>
      </c>
    </row>
    <row r="1321">
      <c r="A1321">
        <v>1320</v>
      </c>
      <c r="B1321">
        <f>HYPERLINK("https://thoan.danphuong.hanoi.gov.vn/", "UBND Ủy ban nhân dân xã Thọ An  thành phố Hà Nội")</f>
      </c>
      <c r="C1321" t="str">
        <v>https://thoan.danphuong.hanoi.gov.vn/</v>
      </c>
      <c r="D1321" t="str">
        <v>-</v>
      </c>
      <c r="E1321" t="str">
        <v>-</v>
      </c>
      <c r="F1321" t="str">
        <v>-</v>
      </c>
      <c r="G1321" t="str">
        <v>-</v>
      </c>
    </row>
    <row r="1322">
      <c r="A1322">
        <v>1321</v>
      </c>
      <c r="B1322">
        <f>HYPERLINK("https://www.facebook.com/p/Tu%E1%BB%95i-tr%E1%BA%BB-C%C3%B4ng-an-huy%E1%BB%87n-Ph%C3%BAc-Th%E1%BB%8D-100066934373551/", "Công an xã Thọ Xuân  thành phố Hà Nội")</f>
      </c>
      <c r="C1322" t="str">
        <v>https://www.facebook.com/p/Tu%E1%BB%95i-tr%E1%BA%BB-C%C3%B4ng-an-huy%E1%BB%87n-Ph%C3%BAc-Th%E1%BB%8D-100066934373551/</v>
      </c>
      <c r="D1322" t="str">
        <v>-</v>
      </c>
      <c r="E1322" t="str">
        <v/>
      </c>
      <c r="F1322" t="str">
        <v>Doanthanhnienconganphuctho@gmail.com</v>
      </c>
      <c r="G1322" t="str">
        <v>-</v>
      </c>
    </row>
    <row r="1323">
      <c r="A1323">
        <v>1322</v>
      </c>
      <c r="B1323">
        <f>HYPERLINK("https://danphuong.hanoi.gov.vn/", "UBND Ủy ban nhân dân xã Thọ Xuân  thành phố Hà Nội")</f>
      </c>
      <c r="C1323" t="str">
        <v>https://danphuong.hanoi.gov.vn/</v>
      </c>
      <c r="D1323" t="str">
        <v>-</v>
      </c>
      <c r="E1323" t="str">
        <v>-</v>
      </c>
      <c r="F1323" t="str">
        <v>-</v>
      </c>
      <c r="G1323" t="str">
        <v>-</v>
      </c>
    </row>
    <row r="1324">
      <c r="A1324">
        <v>1323</v>
      </c>
      <c r="B1324" t="str">
        <v>Công an xã Hồng Hà  thành phố Hà Nội</v>
      </c>
      <c r="C1324" t="str">
        <v>-</v>
      </c>
      <c r="D1324" t="str">
        <v>-</v>
      </c>
      <c r="E1324" t="str">
        <v/>
      </c>
      <c r="F1324" t="str">
        <v>-</v>
      </c>
      <c r="G1324" t="str">
        <v>-</v>
      </c>
    </row>
    <row r="1325">
      <c r="A1325">
        <v>1324</v>
      </c>
      <c r="B1325">
        <f>HYPERLINK("https://danphuong.hanoi.gov.vn/", "UBND Ủy ban nhân dân xã Hồng Hà  thành phố Hà Nội")</f>
      </c>
      <c r="C1325" t="str">
        <v>https://danphuong.hanoi.gov.vn/</v>
      </c>
      <c r="D1325" t="str">
        <v>-</v>
      </c>
      <c r="E1325" t="str">
        <v>-</v>
      </c>
      <c r="F1325" t="str">
        <v>-</v>
      </c>
      <c r="G1325" t="str">
        <v>-</v>
      </c>
    </row>
    <row r="1326">
      <c r="A1326">
        <v>1325</v>
      </c>
      <c r="B1326">
        <f>HYPERLINK("https://www.facebook.com/groups/toi.yeu.xa.lien.hong.huyen.dan.phuong/", "Công an xã Liên Hồng  thành phố Hà Nội")</f>
      </c>
      <c r="C1326" t="str">
        <v>https://www.facebook.com/groups/toi.yeu.xa.lien.hong.huyen.dan.phuong/</v>
      </c>
      <c r="D1326" t="str">
        <v>-</v>
      </c>
      <c r="E1326" t="str">
        <v/>
      </c>
      <c r="F1326" t="str">
        <v>-</v>
      </c>
      <c r="G1326" t="str">
        <v>-</v>
      </c>
    </row>
    <row r="1327">
      <c r="A1327">
        <v>1326</v>
      </c>
      <c r="B1327">
        <f>HYPERLINK("https://lienhong.danphuong.hanoi.gov.vn/", "UBND Ủy ban nhân dân xã Liên Hồng  thành phố Hà Nội")</f>
      </c>
      <c r="C1327" t="str">
        <v>https://lienhong.danphuong.hanoi.gov.vn/</v>
      </c>
      <c r="D1327" t="str">
        <v>-</v>
      </c>
      <c r="E1327" t="str">
        <v>-</v>
      </c>
      <c r="F1327" t="str">
        <v>-</v>
      </c>
      <c r="G1327" t="str">
        <v>-</v>
      </c>
    </row>
    <row r="1328">
      <c r="A1328">
        <v>1327</v>
      </c>
      <c r="B1328" t="str">
        <v>Công an xã Liên Hà  thành phố Hà Nội</v>
      </c>
      <c r="C1328" t="str">
        <v>-</v>
      </c>
      <c r="D1328" t="str">
        <v>-</v>
      </c>
      <c r="E1328" t="str">
        <v/>
      </c>
      <c r="F1328" t="str">
        <v>-</v>
      </c>
      <c r="G1328" t="str">
        <v>-</v>
      </c>
    </row>
    <row r="1329">
      <c r="A1329">
        <v>1328</v>
      </c>
      <c r="B1329">
        <f>HYPERLINK("https://lienha.donganh.hanoi.gov.vn/", "UBND Ủy ban nhân dân xã Liên Hà  thành phố Hà Nội")</f>
      </c>
      <c r="C1329" t="str">
        <v>https://lienha.donganh.hanoi.gov.vn/</v>
      </c>
      <c r="D1329" t="str">
        <v>-</v>
      </c>
      <c r="E1329" t="str">
        <v>-</v>
      </c>
      <c r="F1329" t="str">
        <v>-</v>
      </c>
      <c r="G1329" t="str">
        <v>-</v>
      </c>
    </row>
    <row r="1330">
      <c r="A1330">
        <v>1329</v>
      </c>
      <c r="B1330">
        <f>HYPERLINK("https://www.facebook.com/groups/toi.yeu.xa.ha.mo.huyen.dan.phuong/", "Công an xã Hạ Mỗ  thành phố Hà Nội")</f>
      </c>
      <c r="C1330" t="str">
        <v>https://www.facebook.com/groups/toi.yeu.xa.ha.mo.huyen.dan.phuong/</v>
      </c>
      <c r="D1330" t="str">
        <v>-</v>
      </c>
      <c r="E1330" t="str">
        <v/>
      </c>
      <c r="F1330" t="str">
        <v>-</v>
      </c>
      <c r="G1330" t="str">
        <v>-</v>
      </c>
    </row>
    <row r="1331">
      <c r="A1331">
        <v>1330</v>
      </c>
      <c r="B1331">
        <f>HYPERLINK("https://danphuong.hanoi.gov.vn/", "UBND Ủy ban nhân dân xã Hạ Mỗ  thành phố Hà Nội")</f>
      </c>
      <c r="C1331" t="str">
        <v>https://danphuong.hanoi.gov.vn/</v>
      </c>
      <c r="D1331" t="str">
        <v>-</v>
      </c>
      <c r="E1331" t="str">
        <v>-</v>
      </c>
      <c r="F1331" t="str">
        <v>-</v>
      </c>
      <c r="G1331" t="str">
        <v>-</v>
      </c>
    </row>
    <row r="1332">
      <c r="A1332">
        <v>1331</v>
      </c>
      <c r="B1332">
        <f>HYPERLINK("https://www.facebook.com/p/Tu%E1%BB%95i-tr%E1%BA%BB-C%C3%B4ng-an-Th%C3%A0nh-ph%E1%BB%91-V%C4%A9nh-Y%C3%AAn-100066497717181/?locale=vi_VN", "Công an xã Liên Trung  thành phố Hà Nội")</f>
      </c>
      <c r="C1332" t="str">
        <v>https://www.facebook.com/p/Tu%E1%BB%95i-tr%E1%BA%BB-C%C3%B4ng-an-Th%C3%A0nh-ph%E1%BB%91-V%C4%A9nh-Y%C3%AAn-100066497717181/?locale=vi_VN</v>
      </c>
      <c r="D1332" t="str">
        <v>-</v>
      </c>
      <c r="E1332" t="str">
        <v>02113861204</v>
      </c>
      <c r="F1332" t="str">
        <v>-</v>
      </c>
      <c r="G1332" t="str">
        <v>Lê Xoay - Ngô Quyền - Vĩnh Yên, Yen, Vietnam</v>
      </c>
    </row>
    <row r="1333">
      <c r="A1333">
        <v>1332</v>
      </c>
      <c r="B1333">
        <f>HYPERLINK("https://danphuong.hanoi.gov.vn/", "UBND Ủy ban nhân dân xã Liên Trung  thành phố Hà Nội")</f>
      </c>
      <c r="C1333" t="str">
        <v>https://danphuong.hanoi.gov.vn/</v>
      </c>
      <c r="D1333" t="str">
        <v>-</v>
      </c>
      <c r="E1333" t="str">
        <v>-</v>
      </c>
      <c r="F1333" t="str">
        <v>-</v>
      </c>
      <c r="G1333" t="str">
        <v>-</v>
      </c>
    </row>
    <row r="1334">
      <c r="A1334">
        <v>1333</v>
      </c>
      <c r="B1334">
        <f>HYPERLINK("https://www.facebook.com/p/%C4%90o%C3%A0n-x%C3%A3-Ph%C6%B0%C6%A1ng-%C4%90%C3%ACnh-61553709044561/", "Công an xã Phương Đình  thành phố Hà Nội")</f>
      </c>
      <c r="C1334" t="str">
        <v>https://www.facebook.com/p/%C4%90o%C3%A0n-x%C3%A3-Ph%C6%B0%C6%A1ng-%C4%90%C3%ACnh-61553709044561/</v>
      </c>
      <c r="D1334" t="str">
        <v>0374538186</v>
      </c>
      <c r="E1334" t="str">
        <v>-</v>
      </c>
      <c r="F1334" t="str">
        <v>doanxaphuongdinh@gmail.com</v>
      </c>
      <c r="G1334" t="str">
        <v>-</v>
      </c>
    </row>
    <row r="1335">
      <c r="A1335">
        <v>1334</v>
      </c>
      <c r="B1335">
        <f>HYPERLINK("https://phuongdinh.danphuong.hanoi.gov.vn/", "UBND Ủy ban nhân dân xã Phương Đình  thành phố Hà Nội")</f>
      </c>
      <c r="C1335" t="str">
        <v>https://phuongdinh.danphuong.hanoi.gov.vn/</v>
      </c>
      <c r="D1335" t="str">
        <v>-</v>
      </c>
      <c r="E1335" t="str">
        <v>-</v>
      </c>
      <c r="F1335" t="str">
        <v>-</v>
      </c>
      <c r="G1335" t="str">
        <v>-</v>
      </c>
    </row>
    <row r="1336">
      <c r="A1336">
        <v>1335</v>
      </c>
      <c r="B1336" t="str">
        <v>Công an xã Thượng Mỗ  thành phố Hà Nội</v>
      </c>
      <c r="C1336" t="str">
        <v>-</v>
      </c>
      <c r="D1336" t="str">
        <v>-</v>
      </c>
      <c r="E1336" t="str">
        <v/>
      </c>
      <c r="F1336" t="str">
        <v>-</v>
      </c>
      <c r="G1336" t="str">
        <v>-</v>
      </c>
    </row>
    <row r="1337">
      <c r="A1337">
        <v>1336</v>
      </c>
      <c r="B1337">
        <f>HYPERLINK("https://thuongmo.danphuong.hanoi.gov.vn/", "UBND Ủy ban nhân dân xã Thượng Mỗ  thành phố Hà Nội")</f>
      </c>
      <c r="C1337" t="str">
        <v>https://thuongmo.danphuong.hanoi.gov.vn/</v>
      </c>
      <c r="D1337" t="str">
        <v>-</v>
      </c>
      <c r="E1337" t="str">
        <v>-</v>
      </c>
      <c r="F1337" t="str">
        <v>-</v>
      </c>
      <c r="G1337" t="str">
        <v>-</v>
      </c>
    </row>
    <row r="1338">
      <c r="A1338">
        <v>1337</v>
      </c>
      <c r="B1338">
        <f>HYPERLINK("https://www.facebook.com/p/Tr%C6%B0%E1%BB%9Dng-THCS-T%C3%A2n-H%E1%BB%99i-100075757241971/", "Công an xã Tân Hội  thành phố Hà Nội")</f>
      </c>
      <c r="C1338" t="str">
        <v>https://www.facebook.com/p/Tr%C6%B0%E1%BB%9Dng-THCS-T%C3%A2n-H%E1%BB%99i-100075757241971/</v>
      </c>
      <c r="D1338" t="str">
        <v>-</v>
      </c>
      <c r="E1338" t="str">
        <v>02433631401</v>
      </c>
      <c r="F1338" t="str">
        <v>FBTHCSTH@gmail.com</v>
      </c>
      <c r="G1338" t="str">
        <v>Tân Hội - Đan Phượng, Hanoi, Vietnam</v>
      </c>
    </row>
    <row r="1339">
      <c r="A1339">
        <v>1338</v>
      </c>
      <c r="B1339">
        <f>HYPERLINK("https://tanhoi.danphuong.hanoi.gov.vn/so-do-trang", "UBND Ủy ban nhân dân xã Tân Hội  thành phố Hà Nội")</f>
      </c>
      <c r="C1339" t="str">
        <v>https://tanhoi.danphuong.hanoi.gov.vn/so-do-trang</v>
      </c>
      <c r="D1339" t="str">
        <v>-</v>
      </c>
      <c r="E1339" t="str">
        <v>-</v>
      </c>
      <c r="F1339" t="str">
        <v>-</v>
      </c>
      <c r="G1339" t="str">
        <v>-</v>
      </c>
    </row>
    <row r="1340">
      <c r="A1340">
        <v>1339</v>
      </c>
      <c r="B1340" t="str">
        <v>Công an xã Tân Lập  thành phố Hà Nội</v>
      </c>
      <c r="C1340" t="str">
        <v>-</v>
      </c>
      <c r="D1340" t="str">
        <v>-</v>
      </c>
      <c r="E1340" t="str">
        <v/>
      </c>
      <c r="F1340" t="str">
        <v>-</v>
      </c>
      <c r="G1340" t="str">
        <v>-</v>
      </c>
    </row>
    <row r="1341">
      <c r="A1341">
        <v>1340</v>
      </c>
      <c r="B1341">
        <f>HYPERLINK("https://tanlap.danphuong.hanoi.gov.vn/", "UBND Ủy ban nhân dân xã Tân Lập  thành phố Hà Nội")</f>
      </c>
      <c r="C1341" t="str">
        <v>https://tanlap.danphuong.hanoi.gov.vn/</v>
      </c>
      <c r="D1341" t="str">
        <v>-</v>
      </c>
      <c r="E1341" t="str">
        <v>-</v>
      </c>
      <c r="F1341" t="str">
        <v>-</v>
      </c>
      <c r="G1341" t="str">
        <v>-</v>
      </c>
    </row>
    <row r="1342">
      <c r="A1342">
        <v>1341</v>
      </c>
      <c r="B1342">
        <f>HYPERLINK("https://www.facebook.com/dtncahdanphuong/?locale=vi_VN", "Công an xã Đan Phượng  thành phố Hà Nội")</f>
      </c>
      <c r="C1342" t="str">
        <v>https://www.facebook.com/dtncahdanphuong/?locale=vi_VN</v>
      </c>
      <c r="D1342" t="str">
        <v>-</v>
      </c>
      <c r="E1342" t="str">
        <v>+2433885444</v>
      </c>
      <c r="F1342" t="str">
        <v>doanthanhniencahdp@gmail.com</v>
      </c>
      <c r="G1342" t="str">
        <v>-</v>
      </c>
    </row>
    <row r="1343">
      <c r="A1343">
        <v>1342</v>
      </c>
      <c r="B1343">
        <f>HYPERLINK("https://danphuong.hanoi.gov.vn/", "UBND Ủy ban nhân dân xã Đan Phượng  thành phố Hà Nội")</f>
      </c>
      <c r="C1343" t="str">
        <v>https://danphuong.hanoi.gov.vn/</v>
      </c>
      <c r="D1343" t="str">
        <v>-</v>
      </c>
      <c r="E1343" t="str">
        <v>-</v>
      </c>
      <c r="F1343" t="str">
        <v>-</v>
      </c>
      <c r="G1343" t="str">
        <v>-</v>
      </c>
    </row>
    <row r="1344">
      <c r="A1344">
        <v>1343</v>
      </c>
      <c r="B1344" t="str">
        <v>Công an xã Đồng Tháp  thành phố Hà Nội</v>
      </c>
      <c r="C1344" t="str">
        <v>-</v>
      </c>
      <c r="D1344" t="str">
        <v>-</v>
      </c>
      <c r="E1344" t="str">
        <v/>
      </c>
      <c r="F1344" t="str">
        <v>-</v>
      </c>
      <c r="G1344" t="str">
        <v>-</v>
      </c>
    </row>
    <row r="1345">
      <c r="A1345">
        <v>1344</v>
      </c>
      <c r="B1345">
        <f>HYPERLINK("https://danphuong.hanoi.gov.vn/", "UBND Ủy ban nhân dân xã Đồng Tháp  thành phố Hà Nội")</f>
      </c>
      <c r="C1345" t="str">
        <v>https://danphuong.hanoi.gov.vn/</v>
      </c>
      <c r="D1345" t="str">
        <v>-</v>
      </c>
      <c r="E1345" t="str">
        <v>-</v>
      </c>
      <c r="F1345" t="str">
        <v>-</v>
      </c>
      <c r="G1345" t="str">
        <v>-</v>
      </c>
    </row>
    <row r="1346">
      <c r="A1346">
        <v>1345</v>
      </c>
      <c r="B1346" t="str">
        <v>Công an xã Song Phượng  thành phố Hà Nội</v>
      </c>
      <c r="C1346" t="str">
        <v>-</v>
      </c>
      <c r="D1346" t="str">
        <v>-</v>
      </c>
      <c r="E1346" t="str">
        <v/>
      </c>
      <c r="F1346" t="str">
        <v>-</v>
      </c>
      <c r="G1346" t="str">
        <v>-</v>
      </c>
    </row>
    <row r="1347">
      <c r="A1347">
        <v>1346</v>
      </c>
      <c r="B1347">
        <f>HYPERLINK("https://songphuong.danphuong.hanoi.gov.vn/", "UBND Ủy ban nhân dân xã Song Phượng  thành phố Hà Nội")</f>
      </c>
      <c r="C1347" t="str">
        <v>https://songphuong.danphuong.hanoi.gov.vn/</v>
      </c>
      <c r="D1347" t="str">
        <v>-</v>
      </c>
      <c r="E1347" t="str">
        <v>-</v>
      </c>
      <c r="F1347" t="str">
        <v>-</v>
      </c>
      <c r="G1347" t="str">
        <v>-</v>
      </c>
    </row>
    <row r="1348">
      <c r="A1348">
        <v>1347</v>
      </c>
      <c r="B1348">
        <f>HYPERLINK("https://www.facebook.com/1755479254662307", "Công an thị trấn Trạm Trôi  thành phố Hà Nội")</f>
      </c>
      <c r="C1348" t="str">
        <v>https://www.facebook.com/1755479254662307</v>
      </c>
      <c r="D1348" t="str">
        <v>-</v>
      </c>
      <c r="E1348" t="str">
        <v/>
      </c>
      <c r="F1348" t="str">
        <v>-</v>
      </c>
      <c r="G1348" t="str">
        <v>-</v>
      </c>
    </row>
    <row r="1349">
      <c r="A1349">
        <v>1348</v>
      </c>
      <c r="B1349">
        <f>HYPERLINK("http://hoaiduc.hanoi.gov.vn/ubnd-cac-xa-thi-tran", "UBND Ủy ban nhân dân thị trấn Trạm Trôi  thành phố Hà Nội")</f>
      </c>
      <c r="C1349" t="str">
        <v>http://hoaiduc.hanoi.gov.vn/ubnd-cac-xa-thi-tran</v>
      </c>
      <c r="D1349" t="str">
        <v>-</v>
      </c>
      <c r="E1349" t="str">
        <v>-</v>
      </c>
      <c r="F1349" t="str">
        <v>-</v>
      </c>
      <c r="G1349" t="str">
        <v>-</v>
      </c>
    </row>
    <row r="1350">
      <c r="A1350">
        <v>1349</v>
      </c>
      <c r="B1350">
        <f>HYPERLINK("https://www.facebook.com/p/C%C3%B4ng-an-th%C3%A0nh-ph%E1%BB%91-Th%E1%BB%A7-%C4%90%E1%BB%A9c-100066442031973/?locale=be_BY", "Công an xã Đức Thượng  thành phố Hà Nội")</f>
      </c>
      <c r="C1350" t="str">
        <v>https://www.facebook.com/p/C%C3%B4ng-an-th%C3%A0nh-ph%E1%BB%91-Th%E1%BB%A7-%C4%90%E1%BB%A9c-100066442031973/?locale=be_BY</v>
      </c>
      <c r="D1350" t="str">
        <v>-</v>
      </c>
      <c r="E1350" t="str">
        <v>02388972025</v>
      </c>
      <c r="F1350" t="str">
        <v>-</v>
      </c>
      <c r="G1350" t="str">
        <v>-</v>
      </c>
    </row>
    <row r="1351">
      <c r="A1351">
        <v>1350</v>
      </c>
      <c r="B1351">
        <f>HYPERLINK("http://hoaiduc.hanoi.gov.vn/ubnd-cac-xa-thi-tran", "UBND Ủy ban nhân dân xã Đức Thượng  thành phố Hà Nội")</f>
      </c>
      <c r="C1351" t="str">
        <v>http://hoaiduc.hanoi.gov.vn/ubnd-cac-xa-thi-tran</v>
      </c>
      <c r="D1351" t="str">
        <v>-</v>
      </c>
      <c r="E1351" t="str">
        <v>-</v>
      </c>
      <c r="F1351" t="str">
        <v>-</v>
      </c>
      <c r="G1351" t="str">
        <v>-</v>
      </c>
    </row>
    <row r="1352">
      <c r="A1352">
        <v>1351</v>
      </c>
      <c r="B1352" t="str">
        <v>Công an xã Minh Khai  thành phố Hà Nội</v>
      </c>
      <c r="C1352" t="str">
        <v>-</v>
      </c>
      <c r="D1352" t="str">
        <v>-</v>
      </c>
      <c r="E1352" t="str">
        <v/>
      </c>
      <c r="F1352" t="str">
        <v>-</v>
      </c>
      <c r="G1352" t="str">
        <v>-</v>
      </c>
    </row>
    <row r="1353">
      <c r="A1353">
        <v>1352</v>
      </c>
      <c r="B1353">
        <f>HYPERLINK("https://vanban.hanoi.gov.vn/pl/giaiquyetkhieunaitocao/-/hn/uxPHaGQkvD8x/7801/177141/13/13/0.html;jsessionid=s9+5OAk9QRSAot8f1K1t1kuu.undefined", "UBND Ủy ban nhân dân xã Minh Khai  thành phố Hà Nội")</f>
      </c>
      <c r="C1353" t="str">
        <v>https://vanban.hanoi.gov.vn/pl/giaiquyetkhieunaitocao/-/hn/uxPHaGQkvD8x/7801/177141/13/13/0.html;jsessionid=s9+5OAk9QRSAot8f1K1t1kuu.undefined</v>
      </c>
      <c r="D1353" t="str">
        <v>-</v>
      </c>
      <c r="E1353" t="str">
        <v>-</v>
      </c>
      <c r="F1353" t="str">
        <v>-</v>
      </c>
      <c r="G1353" t="str">
        <v>-</v>
      </c>
    </row>
    <row r="1354">
      <c r="A1354">
        <v>1353</v>
      </c>
      <c r="B1354">
        <f>HYPERLINK("https://www.facebook.com/doanxaduonglieuhduc/?locale=vi_VN", "Công an xã Dương Liễu  thành phố Hà Nội")</f>
      </c>
      <c r="C1354" t="str">
        <v>https://www.facebook.com/doanxaduonglieuhduc/?locale=vi_VN</v>
      </c>
      <c r="D1354" t="str">
        <v>0855499599</v>
      </c>
      <c r="E1354" t="str">
        <v>-</v>
      </c>
      <c r="F1354" t="str">
        <v>doanthanhnienxaduonglieu@gmail.com</v>
      </c>
      <c r="G1354" t="str">
        <v>-</v>
      </c>
    </row>
    <row r="1355">
      <c r="A1355">
        <v>1354</v>
      </c>
      <c r="B1355">
        <f>HYPERLINK("http://hoaiduc.hanoi.gov.vn/ubnd-cac-xa-thi-tran", "UBND Ủy ban nhân dân xã Dương Liễu  thành phố Hà Nội")</f>
      </c>
      <c r="C1355" t="str">
        <v>http://hoaiduc.hanoi.gov.vn/ubnd-cac-xa-thi-tran</v>
      </c>
      <c r="D1355" t="str">
        <v>-</v>
      </c>
      <c r="E1355" t="str">
        <v>-</v>
      </c>
      <c r="F1355" t="str">
        <v>-</v>
      </c>
      <c r="G1355" t="str">
        <v>-</v>
      </c>
    </row>
    <row r="1356">
      <c r="A1356">
        <v>1355</v>
      </c>
      <c r="B1356">
        <f>HYPERLINK("https://www.facebook.com/groups/toi.yeu.xa.di.trach.huyen.hoai.duc/", "Công an xã Di Trạch  thành phố Hà Nội")</f>
      </c>
      <c r="C1356" t="str">
        <v>https://www.facebook.com/groups/toi.yeu.xa.di.trach.huyen.hoai.duc/</v>
      </c>
      <c r="D1356" t="str">
        <v>-</v>
      </c>
      <c r="E1356" t="str">
        <v/>
      </c>
      <c r="F1356" t="str">
        <v>-</v>
      </c>
      <c r="G1356" t="str">
        <v>-</v>
      </c>
    </row>
    <row r="1357">
      <c r="A1357">
        <v>1356</v>
      </c>
      <c r="B1357">
        <f>HYPERLINK("http://hoaiduc.hanoi.gov.vn/ubnd-cac-xa-thi-tran", "UBND Ủy ban nhân dân xã Di Trạch  thành phố Hà Nội")</f>
      </c>
      <c r="C1357" t="str">
        <v>http://hoaiduc.hanoi.gov.vn/ubnd-cac-xa-thi-tran</v>
      </c>
      <c r="D1357" t="str">
        <v>-</v>
      </c>
      <c r="E1357" t="str">
        <v>-</v>
      </c>
      <c r="F1357" t="str">
        <v>-</v>
      </c>
      <c r="G1357" t="str">
        <v>-</v>
      </c>
    </row>
    <row r="1358">
      <c r="A1358">
        <v>1357</v>
      </c>
      <c r="B1358">
        <f>HYPERLINK("https://www.facebook.com/322827476213987", "Công an xã Đức Giang  thành phố Hà Nội")</f>
      </c>
      <c r="C1358" t="str">
        <v>https://www.facebook.com/322827476213987</v>
      </c>
      <c r="D1358" t="str">
        <v>-</v>
      </c>
      <c r="E1358" t="str">
        <v/>
      </c>
      <c r="F1358" t="str">
        <v>-</v>
      </c>
      <c r="G1358" t="str">
        <v>-</v>
      </c>
    </row>
    <row r="1359">
      <c r="A1359">
        <v>1358</v>
      </c>
      <c r="B1359">
        <f>HYPERLINK("http://hoaiduc.hanoi.gov.vn/ubnd-cac-xa-thi-tran", "UBND Ủy ban nhân dân xã Đức Giang  thành phố Hà Nội")</f>
      </c>
      <c r="C1359" t="str">
        <v>http://hoaiduc.hanoi.gov.vn/ubnd-cac-xa-thi-tran</v>
      </c>
      <c r="D1359" t="str">
        <v>-</v>
      </c>
      <c r="E1359" t="str">
        <v>-</v>
      </c>
      <c r="F1359" t="str">
        <v>-</v>
      </c>
      <c r="G1359" t="str">
        <v>-</v>
      </c>
    </row>
    <row r="1360">
      <c r="A1360">
        <v>1359</v>
      </c>
      <c r="B1360">
        <f>HYPERLINK("https://www.facebook.com/groups/108093166017581/", "Công an xã Cát Quế  thành phố Hà Nội")</f>
      </c>
      <c r="C1360" t="str">
        <v>https://www.facebook.com/groups/108093166017581/</v>
      </c>
      <c r="D1360" t="str">
        <v>-</v>
      </c>
      <c r="E1360" t="str">
        <v/>
      </c>
      <c r="F1360" t="str">
        <v>-</v>
      </c>
      <c r="G1360" t="str">
        <v>-</v>
      </c>
    </row>
    <row r="1361">
      <c r="A1361">
        <v>1360</v>
      </c>
      <c r="B1361">
        <f>HYPERLINK("http://hoaiduc.hanoi.gov.vn/", "UBND Ủy ban nhân dân xã Cát Quế  thành phố Hà Nội")</f>
      </c>
      <c r="C1361" t="str">
        <v>http://hoaiduc.hanoi.gov.vn/</v>
      </c>
      <c r="D1361" t="str">
        <v>-</v>
      </c>
      <c r="E1361" t="str">
        <v>-</v>
      </c>
      <c r="F1361" t="str">
        <v>-</v>
      </c>
      <c r="G1361" t="str">
        <v>-</v>
      </c>
    </row>
    <row r="1362">
      <c r="A1362">
        <v>1361</v>
      </c>
      <c r="B1362" t="str">
        <v>Công an xã Kim Chung  thành phố Hà Nội</v>
      </c>
      <c r="C1362" t="str">
        <v>-</v>
      </c>
      <c r="D1362" t="str">
        <v>-</v>
      </c>
      <c r="E1362" t="str">
        <v/>
      </c>
      <c r="F1362" t="str">
        <v>-</v>
      </c>
      <c r="G1362" t="str">
        <v>-</v>
      </c>
    </row>
    <row r="1363">
      <c r="A1363">
        <v>1362</v>
      </c>
      <c r="B1363">
        <f>HYPERLINK("https://kimchung.donganh.hanoi.gov.vn/uy-ban-nhan-dan-xa-kim-chung", "UBND Ủy ban nhân dân xã Kim Chung  thành phố Hà Nội")</f>
      </c>
      <c r="C1363" t="str">
        <v>https://kimchung.donganh.hanoi.gov.vn/uy-ban-nhan-dan-xa-kim-chung</v>
      </c>
      <c r="D1363" t="str">
        <v>-</v>
      </c>
      <c r="E1363" t="str">
        <v>-</v>
      </c>
      <c r="F1363" t="str">
        <v>-</v>
      </c>
      <c r="G1363" t="str">
        <v>-</v>
      </c>
    </row>
    <row r="1364">
      <c r="A1364">
        <v>1363</v>
      </c>
      <c r="B1364">
        <f>HYPERLINK("https://www.facebook.com/p/Tu%E1%BB%95i-tr%E1%BA%BB-C%C3%B4ng-an-Th%C3%A0nh-ph%E1%BB%91-V%C4%A9nh-Y%C3%AAn-100066497717181/", "Công an xã Yên Sở  thành phố Hà Nội")</f>
      </c>
      <c r="C1364" t="str">
        <v>https://www.facebook.com/p/Tu%E1%BB%95i-tr%E1%BA%BB-C%C3%B4ng-an-Th%C3%A0nh-ph%E1%BB%91-V%C4%A9nh-Y%C3%AAn-100066497717181/</v>
      </c>
      <c r="D1364" t="str">
        <v>-</v>
      </c>
      <c r="E1364" t="str">
        <v>02113861204</v>
      </c>
      <c r="F1364" t="str">
        <v>-</v>
      </c>
      <c r="G1364" t="str">
        <v>Lê Xoay - Ngô Quyền - Vĩnh Yên, Yen, Vietnam</v>
      </c>
    </row>
    <row r="1365">
      <c r="A1365">
        <v>1364</v>
      </c>
      <c r="B1365">
        <f>HYPERLINK("http://hoaiduc.hanoi.gov.vn/ubnd-cac-xa-thi-tran", "UBND Ủy ban nhân dân xã Yên Sở  thành phố Hà Nội")</f>
      </c>
      <c r="C1365" t="str">
        <v>http://hoaiduc.hanoi.gov.vn/ubnd-cac-xa-thi-tran</v>
      </c>
      <c r="D1365" t="str">
        <v>-</v>
      </c>
      <c r="E1365" t="str">
        <v>-</v>
      </c>
      <c r="F1365" t="str">
        <v>-</v>
      </c>
      <c r="G1365" t="str">
        <v>-</v>
      </c>
    </row>
    <row r="1366">
      <c r="A1366">
        <v>1365</v>
      </c>
      <c r="B1366">
        <f>HYPERLINK("https://www.facebook.com/p/Tu%E1%BB%95i-tr%E1%BA%BB-C%C3%B4ng-an-th%E1%BB%8B-x%C3%A3-S%C6%A1n-T%C3%A2y-100040884909606/", "Công an xã Sơn Đồng  thành phố Hà Nội")</f>
      </c>
      <c r="C1366" t="str">
        <v>https://www.facebook.com/p/Tu%E1%BB%95i-tr%E1%BA%BB-C%C3%B4ng-an-th%E1%BB%8B-x%C3%A3-S%C6%A1n-T%C3%A2y-100040884909606/</v>
      </c>
      <c r="D1366" t="str">
        <v>-</v>
      </c>
      <c r="E1366" t="str">
        <v/>
      </c>
      <c r="F1366" t="str">
        <v>tuoitrecatxsontay@gmail.com</v>
      </c>
      <c r="G1366" t="str">
        <v>-</v>
      </c>
    </row>
    <row r="1367">
      <c r="A1367">
        <v>1366</v>
      </c>
      <c r="B1367">
        <f>HYPERLINK("http://hoaiduc.hanoi.gov.vn/ubnd-cac-xa-thi-tran", "UBND Ủy ban nhân dân xã Sơn Đồng  thành phố Hà Nội")</f>
      </c>
      <c r="C1367" t="str">
        <v>http://hoaiduc.hanoi.gov.vn/ubnd-cac-xa-thi-tran</v>
      </c>
      <c r="D1367" t="str">
        <v>-</v>
      </c>
      <c r="E1367" t="str">
        <v>-</v>
      </c>
      <c r="F1367" t="str">
        <v>-</v>
      </c>
      <c r="G1367" t="str">
        <v>-</v>
      </c>
    </row>
    <row r="1368">
      <c r="A1368">
        <v>1367</v>
      </c>
      <c r="B1368">
        <f>HYPERLINK("https://www.facebook.com/p/Tu%E1%BB%95i-tr%E1%BA%BB-C%C3%B4ng-an-Th%C3%A0nh-ph%E1%BB%91-V%C4%A9nh-Y%C3%AAn-100066497717181/?locale=vi_VN", "Công an xã Vân Canh  thành phố Hà Nội")</f>
      </c>
      <c r="C1368" t="str">
        <v>https://www.facebook.com/p/Tu%E1%BB%95i-tr%E1%BA%BB-C%C3%B4ng-an-Th%C3%A0nh-ph%E1%BB%91-V%C4%A9nh-Y%C3%AAn-100066497717181/?locale=vi_VN</v>
      </c>
      <c r="D1368" t="str">
        <v>-</v>
      </c>
      <c r="E1368" t="str">
        <v>02113861204</v>
      </c>
      <c r="F1368" t="str">
        <v>-</v>
      </c>
      <c r="G1368" t="str">
        <v>Lê Xoay - Ngô Quyền - Vĩnh Yên, Yen, Vietnam</v>
      </c>
    </row>
    <row r="1369">
      <c r="A1369">
        <v>1368</v>
      </c>
      <c r="B1369">
        <f>HYPERLINK("http://hoaiduc.hanoi.gov.vn/ubnd-cac-xa-thi-tran", "UBND Ủy ban nhân dân xã Vân Canh  thành phố Hà Nội")</f>
      </c>
      <c r="C1369" t="str">
        <v>http://hoaiduc.hanoi.gov.vn/ubnd-cac-xa-thi-tran</v>
      </c>
      <c r="D1369" t="str">
        <v>-</v>
      </c>
      <c r="E1369" t="str">
        <v>-</v>
      </c>
      <c r="F1369" t="str">
        <v>-</v>
      </c>
      <c r="G1369" t="str">
        <v>-</v>
      </c>
    </row>
    <row r="1370">
      <c r="A1370">
        <v>1369</v>
      </c>
      <c r="B1370">
        <f>HYPERLINK("https://www.facebook.com/p/Tu%E1%BB%95i-tr%E1%BA%BB-C%C3%B4ng-an-Th%C3%A0nh-ph%E1%BB%91-V%C4%A9nh-Y%C3%AAn-100066497717181/?locale=nl_BE", "Công an xã Đắc Sở  thành phố Hà Nội")</f>
      </c>
      <c r="C1370" t="str">
        <v>https://www.facebook.com/p/Tu%E1%BB%95i-tr%E1%BA%BB-C%C3%B4ng-an-Th%C3%A0nh-ph%E1%BB%91-V%C4%A9nh-Y%C3%AAn-100066497717181/?locale=nl_BE</v>
      </c>
      <c r="D1370" t="str">
        <v>-</v>
      </c>
      <c r="E1370" t="str">
        <v>02113861204</v>
      </c>
      <c r="F1370" t="str">
        <v>-</v>
      </c>
      <c r="G1370" t="str">
        <v>Lê Xoay - Ngô Quyền - Vĩnh Yên, Yen, Vietnam</v>
      </c>
    </row>
    <row r="1371">
      <c r="A1371">
        <v>1370</v>
      </c>
      <c r="B1371">
        <f>HYPERLINK("http://hoaiduc.hanoi.gov.vn/ubnd-cac-xa-thi-tran", "UBND Ủy ban nhân dân xã Đắc Sở  thành phố Hà Nội")</f>
      </c>
      <c r="C1371" t="str">
        <v>http://hoaiduc.hanoi.gov.vn/ubnd-cac-xa-thi-tran</v>
      </c>
      <c r="D1371" t="str">
        <v>-</v>
      </c>
      <c r="E1371" t="str">
        <v>-</v>
      </c>
      <c r="F1371" t="str">
        <v>-</v>
      </c>
      <c r="G1371" t="str">
        <v>-</v>
      </c>
    </row>
    <row r="1372">
      <c r="A1372">
        <v>1371</v>
      </c>
      <c r="B1372">
        <f>HYPERLINK("https://www.facebook.com/p/Tu%E1%BB%95i-tr%E1%BA%BB-C%C3%B4ng-an-Th%C3%A0nh-ph%E1%BB%91-V%C4%A9nh-Y%C3%AAn-100066497717181/?locale=vi_VN", "Công an xã Lại Yên  thành phố Hà Nội")</f>
      </c>
      <c r="C1372" t="str">
        <v>https://www.facebook.com/p/Tu%E1%BB%95i-tr%E1%BA%BB-C%C3%B4ng-an-Th%C3%A0nh-ph%E1%BB%91-V%C4%A9nh-Y%C3%AAn-100066497717181/?locale=vi_VN</v>
      </c>
      <c r="D1372" t="str">
        <v>-</v>
      </c>
      <c r="E1372" t="str">
        <v>02113861204</v>
      </c>
      <c r="F1372" t="str">
        <v>-</v>
      </c>
      <c r="G1372" t="str">
        <v>Lê Xoay - Ngô Quyền - Vĩnh Yên, Yen, Vietnam</v>
      </c>
    </row>
    <row r="1373">
      <c r="A1373">
        <v>1372</v>
      </c>
      <c r="B1373">
        <f>HYPERLINK("http://hoaiduc.hanoi.gov.vn/", "UBND Ủy ban nhân dân xã Lại Yên  thành phố Hà Nội")</f>
      </c>
      <c r="C1373" t="str">
        <v>http://hoaiduc.hanoi.gov.vn/</v>
      </c>
      <c r="D1373" t="str">
        <v>-</v>
      </c>
      <c r="E1373" t="str">
        <v>-</v>
      </c>
      <c r="F1373" t="str">
        <v>-</v>
      </c>
      <c r="G1373" t="str">
        <v>-</v>
      </c>
    </row>
    <row r="1374">
      <c r="A1374">
        <v>1373</v>
      </c>
      <c r="B1374">
        <f>HYPERLINK("https://www.facebook.com/p/Tu%E1%BB%95i-tr%E1%BA%BB-C%C3%B4ng-an-Th%C3%A0nh-ph%E1%BB%91-V%C4%A9nh-Y%C3%AAn-100066497717181/", "Công an xã Tiền Yên  thành phố Hà Nội")</f>
      </c>
      <c r="C1374" t="str">
        <v>https://www.facebook.com/p/Tu%E1%BB%95i-tr%E1%BA%BB-C%C3%B4ng-an-Th%C3%A0nh-ph%E1%BB%91-V%C4%A9nh-Y%C3%AAn-100066497717181/</v>
      </c>
      <c r="D1374" t="str">
        <v>-</v>
      </c>
      <c r="E1374" t="str">
        <v>02113861204</v>
      </c>
      <c r="F1374" t="str">
        <v>-</v>
      </c>
      <c r="G1374" t="str">
        <v>Lê Xoay - Ngô Quyền - Vĩnh Yên, Yen, Vietnam</v>
      </c>
    </row>
    <row r="1375">
      <c r="A1375">
        <v>1374</v>
      </c>
      <c r="B1375">
        <f>HYPERLINK("http://hoaiduc.hanoi.gov.vn/", "UBND Ủy ban nhân dân xã Tiền Yên  thành phố Hà Nội")</f>
      </c>
      <c r="C1375" t="str">
        <v>http://hoaiduc.hanoi.gov.vn/</v>
      </c>
      <c r="D1375" t="str">
        <v>-</v>
      </c>
      <c r="E1375" t="str">
        <v>-</v>
      </c>
      <c r="F1375" t="str">
        <v>-</v>
      </c>
      <c r="G1375" t="str">
        <v>-</v>
      </c>
    </row>
    <row r="1376">
      <c r="A1376">
        <v>1375</v>
      </c>
      <c r="B1376">
        <f>HYPERLINK("https://www.facebook.com/p/Tu%E1%BB%95i-tr%E1%BA%BB-C%C3%B4ng-an-Th%C3%A0nh-ph%E1%BB%91-V%C4%A9nh-Y%C3%AAn-100066497717181/", "Công an xã Song Phương  thành phố Hà Nội")</f>
      </c>
      <c r="C1376" t="str">
        <v>https://www.facebook.com/p/Tu%E1%BB%95i-tr%E1%BA%BB-C%C3%B4ng-an-Th%C3%A0nh-ph%E1%BB%91-V%C4%A9nh-Y%C3%AAn-100066497717181/</v>
      </c>
      <c r="D1376" t="str">
        <v>-</v>
      </c>
      <c r="E1376" t="str">
        <v>02113861204</v>
      </c>
      <c r="F1376" t="str">
        <v>-</v>
      </c>
      <c r="G1376" t="str">
        <v>Lê Xoay - Ngô Quyền - Vĩnh Yên, Yen, Vietnam</v>
      </c>
    </row>
    <row r="1377">
      <c r="A1377">
        <v>1376</v>
      </c>
      <c r="B1377">
        <f>HYPERLINK("https://songphuong.danphuong.hanoi.gov.vn/", "UBND Ủy ban nhân dân xã Song Phương  thành phố Hà Nội")</f>
      </c>
      <c r="C1377" t="str">
        <v>https://songphuong.danphuong.hanoi.gov.vn/</v>
      </c>
      <c r="D1377" t="str">
        <v>-</v>
      </c>
      <c r="E1377" t="str">
        <v>-</v>
      </c>
      <c r="F1377" t="str">
        <v>-</v>
      </c>
      <c r="G1377" t="str">
        <v>-</v>
      </c>
    </row>
    <row r="1378">
      <c r="A1378">
        <v>1377</v>
      </c>
      <c r="B1378">
        <f>HYPERLINK("https://www.facebook.com/doanthanhnien.1956/", "Công an xã An Khánh  thành phố Hà Nội")</f>
      </c>
      <c r="C1378" t="str">
        <v>https://www.facebook.com/doanthanhnien.1956/</v>
      </c>
      <c r="D1378" t="str">
        <v>-</v>
      </c>
      <c r="E1378" t="str">
        <v/>
      </c>
      <c r="F1378" t="str">
        <v>doanthanhniencatphanoi@gmail.com</v>
      </c>
      <c r="G1378" t="str">
        <v>87 phố Trần Hưng Đạo, quận Hoàn Kiếm, TP Hà Nội, Hanoi, Vietnam</v>
      </c>
    </row>
    <row r="1379">
      <c r="A1379">
        <v>1378</v>
      </c>
      <c r="B1379">
        <f>HYPERLINK("https://chuongmy.hanoi.gov.vn/", "UBND Ủy ban nhân dân xã An Khánh  thành phố Hà Nội")</f>
      </c>
      <c r="C1379" t="str">
        <v>https://chuongmy.hanoi.gov.vn/</v>
      </c>
      <c r="D1379" t="str">
        <v>-</v>
      </c>
      <c r="E1379" t="str">
        <v>-</v>
      </c>
      <c r="F1379" t="str">
        <v>-</v>
      </c>
      <c r="G1379" t="str">
        <v>-</v>
      </c>
    </row>
    <row r="1380">
      <c r="A1380">
        <v>1379</v>
      </c>
      <c r="B1380" t="str">
        <v>Công an xã An Thượng  thành phố Hà Nội</v>
      </c>
      <c r="C1380" t="str">
        <v>-</v>
      </c>
      <c r="D1380" t="str">
        <v>-</v>
      </c>
      <c r="E1380" t="str">
        <v/>
      </c>
      <c r="F1380" t="str">
        <v>-</v>
      </c>
      <c r="G1380" t="str">
        <v>-</v>
      </c>
    </row>
    <row r="1381">
      <c r="A1381">
        <v>1380</v>
      </c>
      <c r="B1381">
        <f>HYPERLINK("http://hoaiduc.hanoi.gov.vn/ubnd-cac-xa-thi-tran", "UBND Ủy ban nhân dân xã An Thượng  thành phố Hà Nội")</f>
      </c>
      <c r="C1381" t="str">
        <v>http://hoaiduc.hanoi.gov.vn/ubnd-cac-xa-thi-tran</v>
      </c>
      <c r="D1381" t="str">
        <v>-</v>
      </c>
      <c r="E1381" t="str">
        <v>-</v>
      </c>
      <c r="F1381" t="str">
        <v>-</v>
      </c>
      <c r="G1381" t="str">
        <v>-</v>
      </c>
    </row>
    <row r="1382">
      <c r="A1382">
        <v>1381</v>
      </c>
      <c r="B1382">
        <f>HYPERLINK("https://www.facebook.com/doanthanhnien.1956/?locale=vi_VN", "Công an xã Vân Côn  thành phố Hà Nội")</f>
      </c>
      <c r="C1382" t="str">
        <v>https://www.facebook.com/doanthanhnien.1956/?locale=vi_VN</v>
      </c>
      <c r="D1382" t="str">
        <v>-</v>
      </c>
      <c r="E1382" t="str">
        <v/>
      </c>
      <c r="F1382" t="str">
        <v>doanthanhniencatphanoi@gmail.com</v>
      </c>
      <c r="G1382" t="str">
        <v>87 phố Trần Hưng Đạo, quận Hoàn Kiếm, TP Hà Nội, Hanoi, Vietnam</v>
      </c>
    </row>
    <row r="1383">
      <c r="A1383">
        <v>1382</v>
      </c>
      <c r="B1383">
        <f>HYPERLINK("http://hoaiduc.hanoi.gov.vn/ubnd-cac-xa-thi-tran", "UBND Ủy ban nhân dân xã Vân Côn  thành phố Hà Nội")</f>
      </c>
      <c r="C1383" t="str">
        <v>http://hoaiduc.hanoi.gov.vn/ubnd-cac-xa-thi-tran</v>
      </c>
      <c r="D1383" t="str">
        <v>-</v>
      </c>
      <c r="E1383" t="str">
        <v>-</v>
      </c>
      <c r="F1383" t="str">
        <v>-</v>
      </c>
      <c r="G1383" t="str">
        <v>-</v>
      </c>
    </row>
    <row r="1384">
      <c r="A1384">
        <v>1383</v>
      </c>
      <c r="B1384" t="str">
        <v>Công an xã La Phù  thành phố Hà Nội</v>
      </c>
      <c r="C1384" t="str">
        <v>-</v>
      </c>
      <c r="D1384" t="str">
        <v>-</v>
      </c>
      <c r="E1384" t="str">
        <v/>
      </c>
      <c r="F1384" t="str">
        <v>-</v>
      </c>
      <c r="G1384" t="str">
        <v>-</v>
      </c>
    </row>
    <row r="1385">
      <c r="A1385">
        <v>1384</v>
      </c>
      <c r="B1385">
        <f>HYPERLINK("http://hoaiduc.hanoi.gov.vn/ubnd-cac-xa-thi-tran", "UBND Ủy ban nhân dân xã La Phù  thành phố Hà Nội")</f>
      </c>
      <c r="C1385" t="str">
        <v>http://hoaiduc.hanoi.gov.vn/ubnd-cac-xa-thi-tran</v>
      </c>
      <c r="D1385" t="str">
        <v>-</v>
      </c>
      <c r="E1385" t="str">
        <v>-</v>
      </c>
      <c r="F1385" t="str">
        <v>-</v>
      </c>
      <c r="G1385" t="str">
        <v>-</v>
      </c>
    </row>
    <row r="1386">
      <c r="A1386">
        <v>1385</v>
      </c>
      <c r="B1386">
        <f>HYPERLINK("https://www.facebook.com/tuoitreconganquanhadong/", "Công an xã Đông La  thành phố Hà Nội")</f>
      </c>
      <c r="C1386" t="str">
        <v>https://www.facebook.com/tuoitreconganquanhadong/</v>
      </c>
      <c r="D1386" t="str">
        <v>-</v>
      </c>
      <c r="E1386" t="str">
        <v/>
      </c>
      <c r="F1386" t="str">
        <v>-</v>
      </c>
      <c r="G1386" t="str">
        <v>-</v>
      </c>
    </row>
    <row r="1387">
      <c r="A1387">
        <v>1386</v>
      </c>
      <c r="B1387">
        <f>HYPERLINK("http://hoaiduc.hanoi.gov.vn/ubnd-cac-xa-thi-tran/-/view_content/1760299-ubnd-xa-dong-la.html", "UBND Ủy ban nhân dân xã Đông La  thành phố Hà Nội")</f>
      </c>
      <c r="C1387" t="str">
        <v>http://hoaiduc.hanoi.gov.vn/ubnd-cac-xa-thi-tran/-/view_content/1760299-ubnd-xa-dong-la.html</v>
      </c>
      <c r="D1387" t="str">
        <v>-</v>
      </c>
      <c r="E1387" t="str">
        <v>-</v>
      </c>
      <c r="F1387" t="str">
        <v>-</v>
      </c>
      <c r="G1387" t="str">
        <v>-</v>
      </c>
    </row>
    <row r="1388">
      <c r="A1388">
        <v>1387</v>
      </c>
      <c r="B1388">
        <f>HYPERLINK("https://www.facebook.com/CAQTX/", "Công an xã Đông Xuân  thành phố Hà Nội")</f>
      </c>
      <c r="C1388" t="str">
        <v>https://www.facebook.com/CAQTX/</v>
      </c>
      <c r="D1388" t="str">
        <v>-</v>
      </c>
      <c r="E1388" t="str">
        <v/>
      </c>
      <c r="F1388" t="str">
        <v>-</v>
      </c>
      <c r="G1388" t="str">
        <v>-</v>
      </c>
    </row>
    <row r="1389">
      <c r="A1389">
        <v>1388</v>
      </c>
      <c r="B1389">
        <f>HYPERLINK("https://chuongmy.hanoi.gov.vn/", "UBND Ủy ban nhân dân xã Đông Xuân  thành phố Hà Nội")</f>
      </c>
      <c r="C1389" t="str">
        <v>https://chuongmy.hanoi.gov.vn/</v>
      </c>
      <c r="D1389" t="str">
        <v>-</v>
      </c>
      <c r="E1389" t="str">
        <v>-</v>
      </c>
      <c r="F1389" t="str">
        <v>-</v>
      </c>
      <c r="G1389" t="str">
        <v>-</v>
      </c>
    </row>
    <row r="1390">
      <c r="A1390">
        <v>1389</v>
      </c>
      <c r="B1390">
        <f>HYPERLINK("https://www.facebook.com/tuoitreconganhuyenQuocOai/?locale=fy_NL", "Công an thị trấn Quốc Oai  thành phố Hà Nội")</f>
      </c>
      <c r="C1390" t="str">
        <v>https://www.facebook.com/tuoitreconganhuyenQuocOai/?locale=fy_NL</v>
      </c>
      <c r="D1390" t="str">
        <v>-</v>
      </c>
      <c r="E1390" t="str">
        <v>02433843115</v>
      </c>
      <c r="F1390" t="str">
        <v>-</v>
      </c>
      <c r="G1390" t="str">
        <v>TT Quốc Oai</v>
      </c>
    </row>
    <row r="1391">
      <c r="A1391">
        <v>1390</v>
      </c>
      <c r="B1391">
        <f>HYPERLINK("https://quocoai.hanoi.gov.vn/", "UBND Ủy ban nhân dân thị trấn Quốc Oai  thành phố Hà Nội")</f>
      </c>
      <c r="C1391" t="str">
        <v>https://quocoai.hanoi.gov.vn/</v>
      </c>
      <c r="D1391" t="str">
        <v>-</v>
      </c>
      <c r="E1391" t="str">
        <v>-</v>
      </c>
      <c r="F1391" t="str">
        <v>-</v>
      </c>
      <c r="G1391" t="str">
        <v>-</v>
      </c>
    </row>
    <row r="1392">
      <c r="A1392">
        <v>1391</v>
      </c>
      <c r="B1392">
        <f>HYPERLINK("https://www.facebook.com/p/C%E1%BB%95ng-th%C3%B4ng-tin-UBND-x%C3%A3-S%C3%A0i-S%C6%A1n-huy%E1%BB%87n-Qu%E1%BB%91c-Oai-100064643113835/", "Công an xã Sài Sơn  thành phố Hà Nội")</f>
      </c>
      <c r="C1392" t="str">
        <v>https://www.facebook.com/p/C%E1%BB%95ng-th%C3%B4ng-tin-UBND-x%C3%A3-S%C3%A0i-S%C6%A1n-huy%E1%BB%87n-Qu%E1%BB%91c-Oai-100064643113835/</v>
      </c>
      <c r="D1392" t="str">
        <v>-</v>
      </c>
      <c r="E1392" t="str">
        <v>0972051971</v>
      </c>
      <c r="F1392" t="str">
        <v>-</v>
      </c>
      <c r="G1392" t="str">
        <v>-</v>
      </c>
    </row>
    <row r="1393">
      <c r="A1393">
        <v>1392</v>
      </c>
      <c r="B1393">
        <f>HYPERLINK("https://quocoai.hanoi.gov.vn/", "UBND Ủy ban nhân dân xã Sài Sơn  thành phố Hà Nội")</f>
      </c>
      <c r="C1393" t="str">
        <v>https://quocoai.hanoi.gov.vn/</v>
      </c>
      <c r="D1393" t="str">
        <v>-</v>
      </c>
      <c r="E1393" t="str">
        <v>-</v>
      </c>
      <c r="F1393" t="str">
        <v>-</v>
      </c>
      <c r="G1393" t="str">
        <v>-</v>
      </c>
    </row>
    <row r="1394">
      <c r="A1394">
        <v>1393</v>
      </c>
      <c r="B1394">
        <f>HYPERLINK("https://www.facebook.com/p/Tu%E1%BB%95i-tr%E1%BA%BB-C%C3%B4ng-an-Th%C3%A0nh-ph%E1%BB%91-V%C4%A9nh-Y%C3%AAn-100066497717181/", "Công an xã Phượng Cách  thành phố Hà Nội")</f>
      </c>
      <c r="C1394" t="str">
        <v>https://www.facebook.com/p/Tu%E1%BB%95i-tr%E1%BA%BB-C%C3%B4ng-an-Th%C3%A0nh-ph%E1%BB%91-V%C4%A9nh-Y%C3%AAn-100066497717181/</v>
      </c>
      <c r="D1394" t="str">
        <v>-</v>
      </c>
      <c r="E1394" t="str">
        <v>02113861204</v>
      </c>
      <c r="F1394" t="str">
        <v>-</v>
      </c>
      <c r="G1394" t="str">
        <v>Lê Xoay - Ngô Quyền - Vĩnh Yên, Yen, Vietnam</v>
      </c>
    </row>
    <row r="1395">
      <c r="A1395">
        <v>1394</v>
      </c>
      <c r="B1395">
        <f>HYPERLINK("https://danphuong.hanoi.gov.vn/", "UBND Ủy ban nhân dân xã Phượng Cách  thành phố Hà Nội")</f>
      </c>
      <c r="C1395" t="str">
        <v>https://danphuong.hanoi.gov.vn/</v>
      </c>
      <c r="D1395" t="str">
        <v>-</v>
      </c>
      <c r="E1395" t="str">
        <v>-</v>
      </c>
      <c r="F1395" t="str">
        <v>-</v>
      </c>
      <c r="G1395" t="str">
        <v>-</v>
      </c>
    </row>
    <row r="1396">
      <c r="A1396">
        <v>1395</v>
      </c>
      <c r="B1396">
        <f>HYPERLINK("https://www.facebook.com/p/Tu%E1%BB%95i-tr%E1%BA%BB-C%C3%B4ng-an-Th%C3%A0nh-ph%E1%BB%91-V%C4%A9nh-Y%C3%AAn-100066497717181/?locale=nl_BE", "Công an xã Yên Sơn  thành phố Hà Nội")</f>
      </c>
      <c r="C1396" t="str">
        <v>https://www.facebook.com/p/Tu%E1%BB%95i-tr%E1%BA%BB-C%C3%B4ng-an-Th%C3%A0nh-ph%E1%BB%91-V%C4%A9nh-Y%C3%AAn-100066497717181/?locale=nl_BE</v>
      </c>
      <c r="D1396" t="str">
        <v>-</v>
      </c>
      <c r="E1396" t="str">
        <v>02113861204</v>
      </c>
      <c r="F1396" t="str">
        <v>-</v>
      </c>
      <c r="G1396" t="str">
        <v>Lê Xoay - Ngô Quyền - Vĩnh Yên, Yen, Vietnam</v>
      </c>
    </row>
    <row r="1397">
      <c r="A1397">
        <v>1396</v>
      </c>
      <c r="B1397">
        <f>HYPERLINK("https://quocoai.hanoi.gov.vn/khoa-hoc-cong-nghe/-/asset_publisher/PkxzUJ0wdylW/content/-ai-hoi-mttq-xa-yen-son-nhiem-ky-2024-2029-thanh-cong-tot-ep", "UBND Ủy ban nhân dân xã Yên Sơn  thành phố Hà Nội")</f>
      </c>
      <c r="C1397" t="str">
        <v>https://quocoai.hanoi.gov.vn/khoa-hoc-cong-nghe/-/asset_publisher/PkxzUJ0wdylW/content/-ai-hoi-mttq-xa-yen-son-nhiem-ky-2024-2029-thanh-cong-tot-ep</v>
      </c>
      <c r="D1397" t="str">
        <v>-</v>
      </c>
      <c r="E1397" t="str">
        <v>-</v>
      </c>
      <c r="F1397" t="str">
        <v>-</v>
      </c>
      <c r="G1397" t="str">
        <v>-</v>
      </c>
    </row>
    <row r="1398">
      <c r="A1398">
        <v>1397</v>
      </c>
      <c r="B1398">
        <f>HYPERLINK("https://www.facebook.com/groups/1201533353996045/", "Công an xã Ngọc Liệp  thành phố Hà Nội")</f>
      </c>
      <c r="C1398" t="str">
        <v>https://www.facebook.com/groups/1201533353996045/</v>
      </c>
      <c r="D1398" t="str">
        <v>-</v>
      </c>
      <c r="E1398" t="str">
        <v/>
      </c>
      <c r="F1398" t="str">
        <v>-</v>
      </c>
      <c r="G1398" t="str">
        <v>-</v>
      </c>
    </row>
    <row r="1399">
      <c r="A1399">
        <v>1398</v>
      </c>
      <c r="B1399">
        <f>HYPERLINK("https://quocoai.hanoi.gov.vn/tin-tuc-su-kien/-/asset_publisher/PkxzUJ0wdylW/content/le-on-nhan-bang-xep-hang-di-tich-cap-thanh-pho-inh-ong-but-xa-ngoc-liep", "UBND Ủy ban nhân dân xã Ngọc Liệp  thành phố Hà Nội")</f>
      </c>
      <c r="C1399" t="str">
        <v>https://quocoai.hanoi.gov.vn/tin-tuc-su-kien/-/asset_publisher/PkxzUJ0wdylW/content/le-on-nhan-bang-xep-hang-di-tich-cap-thanh-pho-inh-ong-but-xa-ngoc-liep</v>
      </c>
      <c r="D1399" t="str">
        <v>-</v>
      </c>
      <c r="E1399" t="str">
        <v>-</v>
      </c>
      <c r="F1399" t="str">
        <v>-</v>
      </c>
      <c r="G1399" t="str">
        <v>-</v>
      </c>
    </row>
    <row r="1400">
      <c r="A1400">
        <v>1399</v>
      </c>
      <c r="B1400" t="str">
        <v>Công an xã Ngọc Mỹ  thành phố Hà Nội</v>
      </c>
      <c r="C1400" t="str">
        <v>-</v>
      </c>
      <c r="D1400" t="str">
        <v>-</v>
      </c>
      <c r="E1400" t="str">
        <v/>
      </c>
      <c r="F1400" t="str">
        <v>-</v>
      </c>
      <c r="G1400" t="str">
        <v>-</v>
      </c>
    </row>
    <row r="1401">
      <c r="A1401">
        <v>1400</v>
      </c>
      <c r="B1401">
        <f>HYPERLINK("https://quocoai.hanoi.gov.vn/kinh-te-chinh-tri/-/asset_publisher/PkxzUJ0wdylW/content/ngoc-my-xay-dung-thanh-cong-xa-nong-thon-moi-nang-cao-tu-su-oan-ket-ong-long-giua-y-ang-long-dan?doAsUserId=_articleId%3D160550", "UBND Ủy ban nhân dân xã Ngọc Mỹ  thành phố Hà Nội")</f>
      </c>
      <c r="C1401" t="str">
        <v>https://quocoai.hanoi.gov.vn/kinh-te-chinh-tri/-/asset_publisher/PkxzUJ0wdylW/content/ngoc-my-xay-dung-thanh-cong-xa-nong-thon-moi-nang-cao-tu-su-oan-ket-ong-long-giua-y-ang-long-dan?doAsUserId=_articleId%3D160550</v>
      </c>
      <c r="D1401" t="str">
        <v>-</v>
      </c>
      <c r="E1401" t="str">
        <v>-</v>
      </c>
      <c r="F1401" t="str">
        <v>-</v>
      </c>
      <c r="G1401" t="str">
        <v>-</v>
      </c>
    </row>
    <row r="1402">
      <c r="A1402">
        <v>1401</v>
      </c>
      <c r="B1402" t="str">
        <v>Công an xã Liệp Tuyết  thành phố Hà Nội</v>
      </c>
      <c r="C1402" t="str">
        <v>-</v>
      </c>
      <c r="D1402" t="str">
        <v>-</v>
      </c>
      <c r="E1402" t="str">
        <v/>
      </c>
      <c r="F1402" t="str">
        <v>-</v>
      </c>
      <c r="G1402" t="str">
        <v>-</v>
      </c>
    </row>
    <row r="1403">
      <c r="A1403">
        <v>1402</v>
      </c>
      <c r="B1403">
        <f>HYPERLINK("https://quocoai.hanoi.gov.vn/tin-tuc-su-kien/-/asset_publisher/PkxzUJ0wdylW/content/le-on-nhan-bang-di-tich-lich-su-cap-thanh-pho-inh-lang-thon-bai-noi-xa-liep-tuyet?doAsUserId=_articleId%3D320117", "UBND Ủy ban nhân dân xã Liệp Tuyết  thành phố Hà Nội")</f>
      </c>
      <c r="C1403" t="str">
        <v>https://quocoai.hanoi.gov.vn/tin-tuc-su-kien/-/asset_publisher/PkxzUJ0wdylW/content/le-on-nhan-bang-di-tich-lich-su-cap-thanh-pho-inh-lang-thon-bai-noi-xa-liep-tuyet?doAsUserId=_articleId%3D320117</v>
      </c>
      <c r="D1403" t="str">
        <v>-</v>
      </c>
      <c r="E1403" t="str">
        <v>-</v>
      </c>
      <c r="F1403" t="str">
        <v>-</v>
      </c>
      <c r="G1403" t="str">
        <v>-</v>
      </c>
    </row>
    <row r="1404">
      <c r="A1404">
        <v>1403</v>
      </c>
      <c r="B1404">
        <f>HYPERLINK("https://www.facebook.com/groups/toi.yeu.xa.thach.than.huyen.quoc.oai/", "Công an xã Thạch Thán  thành phố Hà Nội")</f>
      </c>
      <c r="C1404" t="str">
        <v>https://www.facebook.com/groups/toi.yeu.xa.thach.than.huyen.quoc.oai/</v>
      </c>
      <c r="D1404" t="str">
        <v>-</v>
      </c>
      <c r="E1404" t="str">
        <v/>
      </c>
      <c r="F1404" t="str">
        <v>-</v>
      </c>
      <c r="G1404" t="str">
        <v>-</v>
      </c>
    </row>
    <row r="1405">
      <c r="A1405">
        <v>1404</v>
      </c>
      <c r="B1405">
        <f>HYPERLINK("https://quocoai.hanoi.gov.vn/y-te-giao-duc/-/asset_publisher/PkxzUJ0wdylW/content/xa-thach-than-to-chuc-ngay-hoi-toan-dan-bao-ve-an-ninh-to-quoc-nam-2023", "UBND Ủy ban nhân dân xã Thạch Thán  thành phố Hà Nội")</f>
      </c>
      <c r="C1405" t="str">
        <v>https://quocoai.hanoi.gov.vn/y-te-giao-duc/-/asset_publisher/PkxzUJ0wdylW/content/xa-thach-than-to-chuc-ngay-hoi-toan-dan-bao-ve-an-ninh-to-quoc-nam-2023</v>
      </c>
      <c r="D1405" t="str">
        <v>-</v>
      </c>
      <c r="E1405" t="str">
        <v>-</v>
      </c>
      <c r="F1405" t="str">
        <v>-</v>
      </c>
      <c r="G1405" t="str">
        <v>-</v>
      </c>
    </row>
    <row r="1406">
      <c r="A1406">
        <v>1405</v>
      </c>
      <c r="B1406">
        <f>HYPERLINK("https://www.facebook.com/doanthanhnien.1956/", "Công an xã Đồng Quang  thành phố Hà Nội")</f>
      </c>
      <c r="C1406" t="str">
        <v>https://www.facebook.com/doanthanhnien.1956/</v>
      </c>
      <c r="D1406" t="str">
        <v>-</v>
      </c>
      <c r="E1406" t="str">
        <v/>
      </c>
      <c r="F1406" t="str">
        <v>doanthanhniencatphanoi@gmail.com</v>
      </c>
      <c r="G1406" t="str">
        <v>87 phố Trần Hưng Đạo, quận Hoàn Kiếm, TP Hà Nội, Hanoi, Vietnam</v>
      </c>
    </row>
    <row r="1407">
      <c r="A1407">
        <v>1406</v>
      </c>
      <c r="B1407">
        <f>HYPERLINK("https://bavi.hanoi.gov.vn/xa-ong-quang", "UBND Ủy ban nhân dân xã Đồng Quang  thành phố Hà Nội")</f>
      </c>
      <c r="C1407" t="str">
        <v>https://bavi.hanoi.gov.vn/xa-ong-quang</v>
      </c>
      <c r="D1407" t="str">
        <v>-</v>
      </c>
      <c r="E1407" t="str">
        <v>-</v>
      </c>
      <c r="F1407" t="str">
        <v>-</v>
      </c>
      <c r="G1407" t="str">
        <v>-</v>
      </c>
    </row>
    <row r="1408">
      <c r="A1408">
        <v>1407</v>
      </c>
      <c r="B1408">
        <f>HYPERLINK("https://www.facebook.com/tuoitreconganhuyenQuocOai/?locale=fy_NL", "Công an xã Phú Cát  thành phố Hà Nội")</f>
      </c>
      <c r="C1408" t="str">
        <v>https://www.facebook.com/tuoitreconganhuyenQuocOai/?locale=fy_NL</v>
      </c>
      <c r="D1408" t="str">
        <v>-</v>
      </c>
      <c r="E1408" t="str">
        <v>02433843115</v>
      </c>
      <c r="F1408" t="str">
        <v>-</v>
      </c>
      <c r="G1408" t="str">
        <v>TT Quốc Oai</v>
      </c>
    </row>
    <row r="1409">
      <c r="A1409">
        <v>1408</v>
      </c>
      <c r="B1409">
        <f>HYPERLINK("https://quocoai.hanoi.gov.vn/tin-tuc-su-kien/-/asset_publisher/PkxzUJ0wdylW/content/-ong-chi-nguyen-trong-hoan-uoc-100-phieu-tin-nhiem-bau-giu-chuc-chu-tich-ubnd-xa-phu-cat", "UBND Ủy ban nhân dân xã Phú Cát  thành phố Hà Nội")</f>
      </c>
      <c r="C1409" t="str">
        <v>https://quocoai.hanoi.gov.vn/tin-tuc-su-kien/-/asset_publisher/PkxzUJ0wdylW/content/-ong-chi-nguyen-trong-hoan-uoc-100-phieu-tin-nhiem-bau-giu-chuc-chu-tich-ubnd-xa-phu-cat</v>
      </c>
      <c r="D1409" t="str">
        <v>-</v>
      </c>
      <c r="E1409" t="str">
        <v>-</v>
      </c>
      <c r="F1409" t="str">
        <v>-</v>
      </c>
      <c r="G1409" t="str">
        <v>-</v>
      </c>
    </row>
    <row r="1410">
      <c r="A1410">
        <v>1409</v>
      </c>
      <c r="B1410">
        <f>HYPERLINK("https://www.facebook.com/p/UBND-XA-TUYET-NGHIA-100064837052818/", "Công an xã Tuyết Nghĩa  thành phố Hà Nội")</f>
      </c>
      <c r="C1410" t="str">
        <v>https://www.facebook.com/p/UBND-XA-TUYET-NGHIA-100064837052818/</v>
      </c>
      <c r="D1410" t="str">
        <v>-</v>
      </c>
      <c r="E1410" t="str">
        <v>0977200468</v>
      </c>
      <c r="F1410" t="str">
        <v>-</v>
      </c>
      <c r="G1410" t="str">
        <v>XA TUYET NGHIA, HUYEN QUOC OAI, Hanoi, Vietnam</v>
      </c>
    </row>
    <row r="1411">
      <c r="A1411">
        <v>1410</v>
      </c>
      <c r="B1411">
        <f>HYPERLINK("https://quocoai.hanoi.gov.vn/", "UBND Ủy ban nhân dân xã Tuyết Nghĩa  thành phố Hà Nội")</f>
      </c>
      <c r="C1411" t="str">
        <v>https://quocoai.hanoi.gov.vn/</v>
      </c>
      <c r="D1411" t="str">
        <v>-</v>
      </c>
      <c r="E1411" t="str">
        <v>-</v>
      </c>
      <c r="F1411" t="str">
        <v>-</v>
      </c>
      <c r="G1411" t="str">
        <v>-</v>
      </c>
    </row>
    <row r="1412">
      <c r="A1412">
        <v>1411</v>
      </c>
      <c r="B1412">
        <f>HYPERLINK("https://www.facebook.com/tuoitreconganhuyenQuocOai/?locale=fy_NL", "Công an xã Nghĩa Hương  thành phố Hà Nội")</f>
      </c>
      <c r="C1412" t="str">
        <v>https://www.facebook.com/tuoitreconganhuyenQuocOai/?locale=fy_NL</v>
      </c>
      <c r="D1412" t="str">
        <v>-</v>
      </c>
      <c r="E1412" t="str">
        <v>02433843115</v>
      </c>
      <c r="F1412" t="str">
        <v>-</v>
      </c>
      <c r="G1412" t="str">
        <v>TT Quốc Oai</v>
      </c>
    </row>
    <row r="1413">
      <c r="A1413">
        <v>1412</v>
      </c>
      <c r="B1413">
        <f>HYPERLINK("https://quocoai.hanoi.gov.vn/tin-tuc-su-kien/-/asset_publisher/PkxzUJ0wdylW/content/xa-nghia-huong-ky-niem-60-nam-thanh-lap-ang-bo-va-on-nhan-bang-cong-nhan-xa-at-chuan-ntm-nang-cao", "UBND Ủy ban nhân dân xã Nghĩa Hương  thành phố Hà Nội")</f>
      </c>
      <c r="C1413" t="str">
        <v>https://quocoai.hanoi.gov.vn/tin-tuc-su-kien/-/asset_publisher/PkxzUJ0wdylW/content/xa-nghia-huong-ky-niem-60-nam-thanh-lap-ang-bo-va-on-nhan-bang-cong-nhan-xa-at-chuan-ntm-nang-cao</v>
      </c>
      <c r="D1413" t="str">
        <v>-</v>
      </c>
      <c r="E1413" t="str">
        <v>-</v>
      </c>
      <c r="F1413" t="str">
        <v>-</v>
      </c>
      <c r="G1413" t="str">
        <v>-</v>
      </c>
    </row>
    <row r="1414">
      <c r="A1414">
        <v>1413</v>
      </c>
      <c r="B1414">
        <f>HYPERLINK("https://www.facebook.com/doanthanhnien.1956/", "Công an xã Cộng Hòa  thành phố Hà Nội")</f>
      </c>
      <c r="C1414" t="str">
        <v>https://www.facebook.com/doanthanhnien.1956/</v>
      </c>
      <c r="D1414" t="str">
        <v>-</v>
      </c>
      <c r="E1414" t="str">
        <v/>
      </c>
      <c r="F1414" t="str">
        <v>doanthanhniencatphanoi@gmail.com</v>
      </c>
      <c r="G1414" t="str">
        <v>87 phố Trần Hưng Đạo, quận Hoàn Kiếm, TP Hà Nội, Hanoi, Vietnam</v>
      </c>
    </row>
    <row r="1415">
      <c r="A1415">
        <v>1414</v>
      </c>
      <c r="B1415">
        <f>HYPERLINK("https://sotuphap.hanoi.gov.vn/", "UBND Ủy ban nhân dân xã Cộng Hòa  thành phố Hà Nội")</f>
      </c>
      <c r="C1415" t="str">
        <v>https://sotuphap.hanoi.gov.vn/</v>
      </c>
      <c r="D1415" t="str">
        <v>-</v>
      </c>
      <c r="E1415" t="str">
        <v>-</v>
      </c>
      <c r="F1415" t="str">
        <v>-</v>
      </c>
      <c r="G1415" t="str">
        <v>-</v>
      </c>
    </row>
    <row r="1416">
      <c r="A1416">
        <v>1415</v>
      </c>
      <c r="B1416" t="str">
        <v>Công an xã Tân Phú  thành phố Hà Nội</v>
      </c>
      <c r="C1416" t="str">
        <v>-</v>
      </c>
      <c r="D1416" t="str">
        <v>-</v>
      </c>
      <c r="E1416" t="str">
        <v/>
      </c>
      <c r="F1416" t="str">
        <v>-</v>
      </c>
      <c r="G1416" t="str">
        <v>-</v>
      </c>
    </row>
    <row r="1417">
      <c r="A1417">
        <v>1416</v>
      </c>
      <c r="B1417">
        <f>HYPERLINK("https://tanphudong.sadec.dongthap.gov.vn/", "UBND Ủy ban nhân dân xã Tân Phú  thành phố Hà Nội")</f>
      </c>
      <c r="C1417" t="str">
        <v>https://tanphudong.sadec.dongthap.gov.vn/</v>
      </c>
      <c r="D1417" t="str">
        <v>-</v>
      </c>
      <c r="E1417" t="str">
        <v>-</v>
      </c>
      <c r="F1417" t="str">
        <v>-</v>
      </c>
      <c r="G1417" t="str">
        <v>-</v>
      </c>
    </row>
    <row r="1418">
      <c r="A1418">
        <v>1417</v>
      </c>
      <c r="B1418">
        <f>HYPERLINK("https://www.facebook.com/doanthanhnien.1956/", "Công an xã Đại Thành  thành phố Hà Nội")</f>
      </c>
      <c r="C1418" t="str">
        <v>https://www.facebook.com/doanthanhnien.1956/</v>
      </c>
      <c r="D1418" t="str">
        <v>-</v>
      </c>
      <c r="E1418" t="str">
        <v/>
      </c>
      <c r="F1418" t="str">
        <v>doanthanhniencatphanoi@gmail.com</v>
      </c>
      <c r="G1418" t="str">
        <v>87 phố Trần Hưng Đạo, quận Hoàn Kiếm, TP Hà Nội, Hanoi, Vietnam</v>
      </c>
    </row>
    <row r="1419">
      <c r="A1419">
        <v>1418</v>
      </c>
      <c r="B1419">
        <f>HYPERLINK("https://ngabay.haugiang.gov.vn/ubnd-x%C3%A3-%C4%90%E1%BA%A1i-th%C3%A0nh", "UBND Ủy ban nhân dân xã Đại Thành  thành phố Hà Nội")</f>
      </c>
      <c r="C1419" t="str">
        <v>https://ngabay.haugiang.gov.vn/ubnd-x%C3%A3-%C4%90%E1%BA%A1i-th%C3%A0nh</v>
      </c>
      <c r="D1419" t="str">
        <v>-</v>
      </c>
      <c r="E1419" t="str">
        <v>-</v>
      </c>
      <c r="F1419" t="str">
        <v>-</v>
      </c>
      <c r="G1419" t="str">
        <v>-</v>
      </c>
    </row>
    <row r="1420">
      <c r="A1420">
        <v>1419</v>
      </c>
      <c r="B1420" t="str">
        <v>Công an xã Phú Mãn  thành phố Hà Nội</v>
      </c>
      <c r="C1420" t="str">
        <v>-</v>
      </c>
      <c r="D1420" t="str">
        <v>-</v>
      </c>
      <c r="E1420" t="str">
        <v/>
      </c>
      <c r="F1420" t="str">
        <v>-</v>
      </c>
      <c r="G1420" t="str">
        <v>-</v>
      </c>
    </row>
    <row r="1421">
      <c r="A1421">
        <v>1420</v>
      </c>
      <c r="B1421">
        <f>HYPERLINK("https://muasamcong.mpi.gov.vn/edoc-oldproxy-service/api/download/file/browser?filePath=/WAS/e-doc/BID/EVAL/2021/09/20210930472/00/SUCC/FILE_20211001_064947_Quy%E1%BA%BFt+%C4%91%E1%BB%8Bnh+ph%C3%AA+duy%E1%BB%87t+k%E1%BA%BFt+qu%E1%BA%A3+%C4%91%E1%BA%A5u+th%E1%BA%A7u+01-Oct-2021+06-48-24.pdf", "UBND Ủy ban nhân dân xã Phú Mãn  thành phố Hà Nội")</f>
      </c>
      <c r="C1421" t="str">
        <v>https://muasamcong.mpi.gov.vn/edoc-oldproxy-service/api/download/file/browser?filePath=/WAS/e-doc/BID/EVAL/2021/09/20210930472/00/SUCC/FILE_20211001_064947_Quy%E1%BA%BFt+%C4%91%E1%BB%8Bnh+ph%C3%AA+duy%E1%BB%87t+k%E1%BA%BFt+qu%E1%BA%A3+%C4%91%E1%BA%A5u+th%E1%BA%A7u+01-Oct-2021+06-48-24.pdf</v>
      </c>
      <c r="D1421" t="str">
        <v>-</v>
      </c>
      <c r="E1421" t="str">
        <v>-</v>
      </c>
      <c r="F1421" t="str">
        <v>-</v>
      </c>
      <c r="G1421" t="str">
        <v>-</v>
      </c>
    </row>
    <row r="1422">
      <c r="A1422">
        <v>1421</v>
      </c>
      <c r="B1422">
        <f>HYPERLINK("https://www.facebook.com/groups/toi.yeu.xa.can.huu.huyen.quoc.oai/", "Công an xã Cấn Hữu  thành phố Hà Nội")</f>
      </c>
      <c r="C1422" t="str">
        <v>https://www.facebook.com/groups/toi.yeu.xa.can.huu.huyen.quoc.oai/</v>
      </c>
      <c r="D1422" t="str">
        <v>-</v>
      </c>
      <c r="E1422" t="str">
        <v/>
      </c>
      <c r="F1422" t="str">
        <v>-</v>
      </c>
      <c r="G1422" t="str">
        <v>-</v>
      </c>
    </row>
    <row r="1423">
      <c r="A1423">
        <v>1422</v>
      </c>
      <c r="B1423">
        <f>HYPERLINK("https://vanban.hanoi.gov.vn/pl/danhoiubndtptraloi/-/hn/xLe53OgCrEUu/7501/186027/88/cau-hoi-e-nghi-thanh-pho-xem-xet-tham-inh-va-au-tu-xay-dung-cho-nhan-dan-thon-cay-chay-xa-can-huu-huyen-quoc-oai-1-cay-cau-bac-qua-song-tich.html;jsessionid=UBU9Mj6jEhwScALfsP8EIPQP.undefined", "UBND Ủy ban nhân dân xã Cấn Hữu  thành phố Hà Nội")</f>
      </c>
      <c r="C1423" t="str">
        <v>https://vanban.hanoi.gov.vn/pl/danhoiubndtptraloi/-/hn/xLe53OgCrEUu/7501/186027/88/cau-hoi-e-nghi-thanh-pho-xem-xet-tham-inh-va-au-tu-xay-dung-cho-nhan-dan-thon-cay-chay-xa-can-huu-huyen-quoc-oai-1-cay-cau-bac-qua-song-tich.html;jsessionid=UBU9Mj6jEhwScALfsP8EIPQP.undefined</v>
      </c>
      <c r="D1423" t="str">
        <v>-</v>
      </c>
      <c r="E1423" t="str">
        <v>-</v>
      </c>
      <c r="F1423" t="str">
        <v>-</v>
      </c>
      <c r="G1423" t="str">
        <v>-</v>
      </c>
    </row>
    <row r="1424">
      <c r="A1424">
        <v>1423</v>
      </c>
      <c r="B1424">
        <f>HYPERLINK("https://www.facebook.com/p/L%C3%80NG-SO-X%C3%A3-T%C3%A2n-H%C3%B2a-Huy%E1%BB%87n-Qu%E1%BB%91c-Oai-TP-H%C3%A0-N%E1%BB%99i-100064147380797/", "Công an xã Tân Hòa  thành phố Hà Nội")</f>
      </c>
      <c r="C1424" t="str">
        <v>https://www.facebook.com/p/L%C3%80NG-SO-X%C3%A3-T%C3%A2n-H%C3%B2a-Huy%E1%BB%87n-Qu%E1%BB%91c-Oai-TP-H%C3%A0-N%E1%BB%99i-100064147380797/</v>
      </c>
      <c r="D1424" t="str">
        <v>-</v>
      </c>
      <c r="E1424" t="str">
        <v/>
      </c>
      <c r="F1424" t="str">
        <v>-</v>
      </c>
      <c r="G1424" t="str">
        <v>-</v>
      </c>
    </row>
    <row r="1425">
      <c r="A1425">
        <v>1424</v>
      </c>
      <c r="B1425">
        <f>HYPERLINK("https://tanphuoc.tiengiang.gov.vn/ubnd-xa-tan-hoa-thanh1", "UBND Ủy ban nhân dân xã Tân Hòa  thành phố Hà Nội")</f>
      </c>
      <c r="C1425" t="str">
        <v>https://tanphuoc.tiengiang.gov.vn/ubnd-xa-tan-hoa-thanh1</v>
      </c>
      <c r="D1425" t="str">
        <v>-</v>
      </c>
      <c r="E1425" t="str">
        <v>-</v>
      </c>
      <c r="F1425" t="str">
        <v>-</v>
      </c>
      <c r="G1425" t="str">
        <v>-</v>
      </c>
    </row>
    <row r="1426">
      <c r="A1426">
        <v>1425</v>
      </c>
      <c r="B1426">
        <f>HYPERLINK("https://www.facebook.com/doanthanhnien.1956/", "Công an xã Hòa Thạch  thành phố Hà Nội")</f>
      </c>
      <c r="C1426" t="str">
        <v>https://www.facebook.com/doanthanhnien.1956/</v>
      </c>
      <c r="D1426" t="str">
        <v>-</v>
      </c>
      <c r="E1426" t="str">
        <v/>
      </c>
      <c r="F1426" t="str">
        <v>doanthanhniencatphanoi@gmail.com</v>
      </c>
      <c r="G1426" t="str">
        <v>87 phố Trần Hưng Đạo, quận Hoàn Kiếm, TP Hà Nội, Hanoi, Vietnam</v>
      </c>
    </row>
    <row r="1427">
      <c r="A1427">
        <v>1426</v>
      </c>
      <c r="B1427">
        <f>HYPERLINK("https://quocoai.hanoi.gov.vn/tin-tuc-su-kien/-/asset_publisher/PkxzUJ0wdylW/content/h-nd-xa-hoa-thach-bau-nhieu-chuc-danh-chu-chot?doAsUserId=_viewTinTucId%3D124104", "UBND Ủy ban nhân dân xã Hòa Thạch  thành phố Hà Nội")</f>
      </c>
      <c r="C1427" t="str">
        <v>https://quocoai.hanoi.gov.vn/tin-tuc-su-kien/-/asset_publisher/PkxzUJ0wdylW/content/h-nd-xa-hoa-thach-bau-nhieu-chuc-danh-chu-chot?doAsUserId=_viewTinTucId%3D124104</v>
      </c>
      <c r="D1427" t="str">
        <v>-</v>
      </c>
      <c r="E1427" t="str">
        <v>-</v>
      </c>
      <c r="F1427" t="str">
        <v>-</v>
      </c>
      <c r="G1427" t="str">
        <v>-</v>
      </c>
    </row>
    <row r="1428">
      <c r="A1428">
        <v>1427</v>
      </c>
      <c r="B1428">
        <f>HYPERLINK("https://www.facebook.com/tuoitreconganquanhadong/", "Công an xã Đông Yên  thành phố Hà Nội")</f>
      </c>
      <c r="C1428" t="str">
        <v>https://www.facebook.com/tuoitreconganquanhadong/</v>
      </c>
      <c r="D1428" t="str">
        <v>-</v>
      </c>
      <c r="E1428" t="str">
        <v/>
      </c>
      <c r="F1428" t="str">
        <v>-</v>
      </c>
      <c r="G1428" t="str">
        <v>-</v>
      </c>
    </row>
    <row r="1429">
      <c r="A1429">
        <v>1428</v>
      </c>
      <c r="B1429">
        <f>HYPERLINK("https://thachthat.hanoi.gov.vn/", "UBND Ủy ban nhân dân xã Đông Yên  thành phố Hà Nội")</f>
      </c>
      <c r="C1429" t="str">
        <v>https://thachthat.hanoi.gov.vn/</v>
      </c>
      <c r="D1429" t="str">
        <v>-</v>
      </c>
      <c r="E1429" t="str">
        <v>-</v>
      </c>
      <c r="F1429" t="str">
        <v>-</v>
      </c>
      <c r="G1429" t="str">
        <v>-</v>
      </c>
    </row>
    <row r="1430">
      <c r="A1430">
        <v>1429</v>
      </c>
      <c r="B1430">
        <f>HYPERLINK("https://www.facebook.com/p/Tu%E1%BB%95i-tr%E1%BA%BB-C%C3%B4ng-an-Th%C3%A0nh-ph%E1%BB%91-V%C4%A9nh-Y%C3%AAn-100066497717181/?locale=nl_BE", "Công an xã Yên Trung  thành phố Hà Nội")</f>
      </c>
      <c r="C1430" t="str">
        <v>https://www.facebook.com/p/Tu%E1%BB%95i-tr%E1%BA%BB-C%C3%B4ng-an-Th%C3%A0nh-ph%E1%BB%91-V%C4%A9nh-Y%C3%AAn-100066497717181/?locale=nl_BE</v>
      </c>
      <c r="D1430" t="str">
        <v>-</v>
      </c>
      <c r="E1430" t="str">
        <v>02113861204</v>
      </c>
      <c r="F1430" t="str">
        <v>-</v>
      </c>
      <c r="G1430" t="str">
        <v>Lê Xoay - Ngô Quyền - Vĩnh Yên, Yen, Vietnam</v>
      </c>
    </row>
    <row r="1431">
      <c r="A1431">
        <v>1430</v>
      </c>
      <c r="B1431">
        <f>HYPERLINK("https://bavi.hanoi.gov.vn/uy-ban-nhan-dan-xa-thi-tran/-/asset_publisher/BXvxOA8eYieu/content/xa-yen-bai", "UBND Ủy ban nhân dân xã Yên Trung  thành phố Hà Nội")</f>
      </c>
      <c r="C1431" t="str">
        <v>https://bavi.hanoi.gov.vn/uy-ban-nhan-dan-xa-thi-tran/-/asset_publisher/BXvxOA8eYieu/content/xa-yen-bai</v>
      </c>
      <c r="D1431" t="str">
        <v>-</v>
      </c>
      <c r="E1431" t="str">
        <v>-</v>
      </c>
      <c r="F1431" t="str">
        <v>-</v>
      </c>
      <c r="G1431" t="str">
        <v>-</v>
      </c>
    </row>
    <row r="1432">
      <c r="A1432">
        <v>1431</v>
      </c>
      <c r="B1432">
        <f>HYPERLINK("https://www.facebook.com/p/Tu%E1%BB%95i-tr%E1%BA%BB-C%C3%B4ng-an-Th%C3%A0nh-ph%E1%BB%91-V%C4%A9nh-Y%C3%AAn-100066497717181/?locale=vi_VN", "Công an xã Yên Bình  thành phố Hà Nội")</f>
      </c>
      <c r="C1432" t="str">
        <v>https://www.facebook.com/p/Tu%E1%BB%95i-tr%E1%BA%BB-C%C3%B4ng-an-Th%C3%A0nh-ph%E1%BB%91-V%C4%A9nh-Y%C3%AAn-100066497717181/?locale=vi_VN</v>
      </c>
      <c r="D1432" t="str">
        <v>-</v>
      </c>
      <c r="E1432" t="str">
        <v>02113861204</v>
      </c>
      <c r="F1432" t="str">
        <v>-</v>
      </c>
      <c r="G1432" t="str">
        <v>Lê Xoay - Ngô Quyền - Vĩnh Yên, Yen, Vietnam</v>
      </c>
    </row>
    <row r="1433">
      <c r="A1433">
        <v>1432</v>
      </c>
      <c r="B1433">
        <f>HYPERLINK("https://bavi.hanoi.gov.vn/uy-ban-nhan-dan-xa-thi-tran/-/asset_publisher/BXvxOA8eYieu/content/xa-yen-bai", "UBND Ủy ban nhân dân xã Yên Bình  thành phố Hà Nội")</f>
      </c>
      <c r="C1433" t="str">
        <v>https://bavi.hanoi.gov.vn/uy-ban-nhan-dan-xa-thi-tran/-/asset_publisher/BXvxOA8eYieu/content/xa-yen-bai</v>
      </c>
      <c r="D1433" t="str">
        <v>-</v>
      </c>
      <c r="E1433" t="str">
        <v>-</v>
      </c>
      <c r="F1433" t="str">
        <v>-</v>
      </c>
      <c r="G1433" t="str">
        <v>-</v>
      </c>
    </row>
    <row r="1434">
      <c r="A1434">
        <v>1433</v>
      </c>
      <c r="B1434" t="str">
        <v>Công an xã Tiến Xuân  thành phố Hà Nội</v>
      </c>
      <c r="C1434" t="str">
        <v>-</v>
      </c>
      <c r="D1434" t="str">
        <v>-</v>
      </c>
      <c r="E1434" t="str">
        <v/>
      </c>
      <c r="F1434" t="str">
        <v>-</v>
      </c>
      <c r="G1434" t="str">
        <v>-</v>
      </c>
    </row>
    <row r="1435">
      <c r="A1435">
        <v>1434</v>
      </c>
      <c r="B1435">
        <f>HYPERLINK("https://thachthat.hanoi.gov.vn/", "UBND Ủy ban nhân dân xã Tiến Xuân  thành phố Hà Nội")</f>
      </c>
      <c r="C1435" t="str">
        <v>https://thachthat.hanoi.gov.vn/</v>
      </c>
      <c r="D1435" t="str">
        <v>-</v>
      </c>
      <c r="E1435" t="str">
        <v>-</v>
      </c>
      <c r="F1435" t="str">
        <v>-</v>
      </c>
      <c r="G1435" t="str">
        <v>-</v>
      </c>
    </row>
    <row r="1436">
      <c r="A1436">
        <v>1435</v>
      </c>
      <c r="B1436" t="str">
        <v>Công an thị trấn Liên Quan  thành phố Hà Nội</v>
      </c>
      <c r="C1436" t="str">
        <v>-</v>
      </c>
      <c r="D1436" t="str">
        <v>-</v>
      </c>
      <c r="E1436" t="str">
        <v/>
      </c>
      <c r="F1436" t="str">
        <v>-</v>
      </c>
      <c r="G1436" t="str">
        <v>-</v>
      </c>
    </row>
    <row r="1437">
      <c r="A1437">
        <v>1436</v>
      </c>
      <c r="B1437">
        <f>HYPERLINK("https://thachthat.hanoi.gov.vn/gioi-thieu-chung-ubnd", "UBND Ủy ban nhân dân thị trấn Liên Quan  thành phố Hà Nội")</f>
      </c>
      <c r="C1437" t="str">
        <v>https://thachthat.hanoi.gov.vn/gioi-thieu-chung-ubnd</v>
      </c>
      <c r="D1437" t="str">
        <v>-</v>
      </c>
      <c r="E1437" t="str">
        <v>-</v>
      </c>
      <c r="F1437" t="str">
        <v>-</v>
      </c>
      <c r="G1437" t="str">
        <v>-</v>
      </c>
    </row>
    <row r="1438">
      <c r="A1438">
        <v>1437</v>
      </c>
      <c r="B1438">
        <f>HYPERLINK("https://www.facebook.com/p/UBND-X%C3%A3-%C4%90%E1%BA%A1i-%C4%90%E1%BB%93ng-Th%E1%BA%A1ch-Th%E1%BA%A5t-H%C3%A0-N%E1%BB%99i-100064845394069/", "Công an xã Đại Đồng  thành phố Hà Nội")</f>
      </c>
      <c r="C1438" t="str">
        <v>https://www.facebook.com/p/UBND-X%C3%A3-%C4%90%E1%BA%A1i-%C4%90%E1%BB%93ng-Th%E1%BA%A1ch-Th%E1%BA%A5t-H%C3%A0-N%E1%BB%99i-100064845394069/</v>
      </c>
      <c r="D1438" t="str">
        <v>-</v>
      </c>
      <c r="E1438" t="str">
        <v>+2433591059</v>
      </c>
      <c r="F1438" t="str">
        <v>-</v>
      </c>
      <c r="G1438" t="str">
        <v>-</v>
      </c>
    </row>
    <row r="1439">
      <c r="A1439">
        <v>1438</v>
      </c>
      <c r="B1439">
        <f>HYPERLINK("https://daidong.thanhchuong.nghean.gov.vn/", "UBND Ủy ban nhân dân xã Đại Đồng  thành phố Hà Nội")</f>
      </c>
      <c r="C1439" t="str">
        <v>https://daidong.thanhchuong.nghean.gov.vn/</v>
      </c>
      <c r="D1439" t="str">
        <v>-</v>
      </c>
      <c r="E1439" t="str">
        <v>-</v>
      </c>
      <c r="F1439" t="str">
        <v>-</v>
      </c>
      <c r="G1439" t="str">
        <v>-</v>
      </c>
    </row>
    <row r="1440" xml:space="preserve">
      <c r="A1440">
        <v>1439</v>
      </c>
      <c r="B1440">
        <f>HYPERLINK("https://www.facebook.com/p/UBND-X%C3%A3-C%E1%BA%A9m-Y%C3%AAn-huy%E1%BB%87n-Th%E1%BA%A1ch-Th%E1%BA%A5t-TP-H%C3%A0-N%E1%BB%99i-100080164412960/?locale=vi_VN", "Công an xã Cẩm Yên  thành phố Hà Nội")</f>
      </c>
      <c r="C1440" t="str">
        <v>https://www.facebook.com/p/UBND-X%C3%A3-C%E1%BA%A9m-Y%C3%AAn-huy%E1%BB%87n-Th%E1%BA%A1ch-Th%E1%BA%A5t-TP-H%C3%A0-N%E1%BB%99i-100080164412960/?locale=vi_VN</v>
      </c>
      <c r="D1440" t="str">
        <v>-</v>
      </c>
      <c r="E1440" t="str">
        <v>+2433773038</v>
      </c>
      <c r="F1440" t="str">
        <v>xcy_thachthat@hanoi.gov.vn</v>
      </c>
      <c r="G1440" t="str" xml:space="preserve">
        <v xml:space="preserve">Thôn Yên Lỗ, xã Cẩm Yên, huyện Thạch Thất
, Hanoi, Vietnam</v>
      </c>
    </row>
    <row r="1441">
      <c r="A1441">
        <v>1440</v>
      </c>
      <c r="B1441">
        <f>HYPERLINK("https://thachthat.hanoi.gov.vn/", "UBND Ủy ban nhân dân xã Cẩm Yên  thành phố Hà Nội")</f>
      </c>
      <c r="C1441" t="str">
        <v>https://thachthat.hanoi.gov.vn/</v>
      </c>
      <c r="D1441" t="str">
        <v>-</v>
      </c>
      <c r="E1441" t="str">
        <v>-</v>
      </c>
      <c r="F1441" t="str">
        <v>-</v>
      </c>
      <c r="G1441" t="str">
        <v>-</v>
      </c>
    </row>
    <row r="1442">
      <c r="A1442">
        <v>1441</v>
      </c>
      <c r="B1442">
        <f>HYPERLINK("https://www.facebook.com/283089047236845", "Công an xã Lại Thượng  thành phố Hà Nội")</f>
      </c>
      <c r="C1442" t="str">
        <v>https://www.facebook.com/283089047236845</v>
      </c>
      <c r="D1442" t="str">
        <v>-</v>
      </c>
      <c r="E1442" t="str">
        <v/>
      </c>
      <c r="F1442" t="str">
        <v>-</v>
      </c>
      <c r="G1442" t="str">
        <v>-</v>
      </c>
    </row>
    <row r="1443">
      <c r="A1443">
        <v>1442</v>
      </c>
      <c r="B1443">
        <f>HYPERLINK("https://thachthat.hanoi.gov.vn/", "UBND Ủy ban nhân dân xã Lại Thượng  thành phố Hà Nội")</f>
      </c>
      <c r="C1443" t="str">
        <v>https://thachthat.hanoi.gov.vn/</v>
      </c>
      <c r="D1443" t="str">
        <v>-</v>
      </c>
      <c r="E1443" t="str">
        <v>-</v>
      </c>
      <c r="F1443" t="str">
        <v>-</v>
      </c>
      <c r="G1443" t="str">
        <v>-</v>
      </c>
    </row>
    <row r="1444">
      <c r="A1444">
        <v>1443</v>
      </c>
      <c r="B1444">
        <f>HYPERLINK("https://www.facebook.com/p/Tu%E1%BB%95i-tr%E1%BA%BB-C%C3%B4ng-an-Th%C3%A0nh-ph%E1%BB%91-V%C4%A9nh-Y%C3%AAn-100066497717181/", "Công an xã Phú Kim  thành phố Hà Nội")</f>
      </c>
      <c r="C1444" t="str">
        <v>https://www.facebook.com/p/Tu%E1%BB%95i-tr%E1%BA%BB-C%C3%B4ng-an-Th%C3%A0nh-ph%E1%BB%91-V%C4%A9nh-Y%C3%AAn-100066497717181/</v>
      </c>
      <c r="D1444" t="str">
        <v>-</v>
      </c>
      <c r="E1444" t="str">
        <v>02113861204</v>
      </c>
      <c r="F1444" t="str">
        <v>-</v>
      </c>
      <c r="G1444" t="str">
        <v>Lê Xoay - Ngô Quyền - Vĩnh Yên, Yen, Vietnam</v>
      </c>
    </row>
    <row r="1445">
      <c r="A1445">
        <v>1444</v>
      </c>
      <c r="B1445">
        <f>HYPERLINK("https://thachthat.hanoi.gov.vn/", "UBND Ủy ban nhân dân xã Phú Kim  thành phố Hà Nội")</f>
      </c>
      <c r="C1445" t="str">
        <v>https://thachthat.hanoi.gov.vn/</v>
      </c>
      <c r="D1445" t="str">
        <v>-</v>
      </c>
      <c r="E1445" t="str">
        <v>-</v>
      </c>
      <c r="F1445" t="str">
        <v>-</v>
      </c>
      <c r="G1445" t="str">
        <v>-</v>
      </c>
    </row>
    <row r="1446">
      <c r="A1446">
        <v>1445</v>
      </c>
      <c r="B1446">
        <f>HYPERLINK("https://www.facebook.com/p/UBND-X%C3%83-H%C6%AF%C6%A0NG-NG%E1%BA%A2I-100067671102693/", "Công an xã Hương Ngải  thành phố Hà Nội")</f>
      </c>
      <c r="C1446" t="str">
        <v>https://www.facebook.com/p/UBND-X%C3%83-H%C6%AF%C6%A0NG-NG%E1%BA%A2I-100067671102693/</v>
      </c>
      <c r="D1446" t="str">
        <v>-</v>
      </c>
      <c r="E1446" t="str">
        <v/>
      </c>
      <c r="F1446" t="str">
        <v>ubndxahuongngai@gmail.com</v>
      </c>
      <c r="G1446" t="str">
        <v>Xã Hương Ngải, huyện Thạch Thất, Hanoi, Vietnam</v>
      </c>
    </row>
    <row r="1447">
      <c r="A1447">
        <v>1446</v>
      </c>
      <c r="B1447">
        <f>HYPERLINK("https://thachthat.hanoi.gov.vn/", "UBND Ủy ban nhân dân xã Hương Ngải  thành phố Hà Nội")</f>
      </c>
      <c r="C1447" t="str">
        <v>https://thachthat.hanoi.gov.vn/</v>
      </c>
      <c r="D1447" t="str">
        <v>-</v>
      </c>
      <c r="E1447" t="str">
        <v>-</v>
      </c>
      <c r="F1447" t="str">
        <v>-</v>
      </c>
      <c r="G1447" t="str">
        <v>-</v>
      </c>
    </row>
    <row r="1448">
      <c r="A1448">
        <v>1447</v>
      </c>
      <c r="B1448">
        <f>HYPERLINK("https://www.facebook.com/p/UBND-X%C3%83-CANH-N%E1%BA%ACU-100064453313596/", "Công an xã Canh Nậu  thành phố Hà Nội")</f>
      </c>
      <c r="C1448" t="str">
        <v>https://www.facebook.com/p/UBND-X%C3%83-CANH-N%E1%BA%ACU-100064453313596/</v>
      </c>
      <c r="D1448" t="str">
        <v>-</v>
      </c>
      <c r="E1448" t="str">
        <v/>
      </c>
      <c r="F1448" t="str">
        <v>-</v>
      </c>
      <c r="G1448" t="str">
        <v>Hanoi, Vietnam</v>
      </c>
    </row>
    <row r="1449">
      <c r="A1449">
        <v>1448</v>
      </c>
      <c r="B1449">
        <f>HYPERLINK("https://thachthat.hanoi.gov.vn/gioi-thieu-cac-phong-ban", "UBND Ủy ban nhân dân xã Canh Nậu  thành phố Hà Nội")</f>
      </c>
      <c r="C1449" t="str">
        <v>https://thachthat.hanoi.gov.vn/gioi-thieu-cac-phong-ban</v>
      </c>
      <c r="D1449" t="str">
        <v>-</v>
      </c>
      <c r="E1449" t="str">
        <v>-</v>
      </c>
      <c r="F1449" t="str">
        <v>-</v>
      </c>
      <c r="G1449" t="str">
        <v>-</v>
      </c>
    </row>
    <row r="1450">
      <c r="A1450">
        <v>1449</v>
      </c>
      <c r="B1450">
        <f>HYPERLINK("https://www.facebook.com/p/Tu%E1%BB%95i-tr%E1%BA%BB-C%C3%B4ng-an-Th%C3%A0nh-ph%E1%BB%91-V%C4%A9nh-Y%C3%AAn-100066497717181/?locale=nl_BE", "Công an xã Kim Quan  thành phố Hà Nội")</f>
      </c>
      <c r="C1450" t="str">
        <v>https://www.facebook.com/p/Tu%E1%BB%95i-tr%E1%BA%BB-C%C3%B4ng-an-Th%C3%A0nh-ph%E1%BB%91-V%C4%A9nh-Y%C3%AAn-100066497717181/?locale=nl_BE</v>
      </c>
      <c r="D1450" t="str">
        <v>-</v>
      </c>
      <c r="E1450" t="str">
        <v>02113861204</v>
      </c>
      <c r="F1450" t="str">
        <v>-</v>
      </c>
      <c r="G1450" t="str">
        <v>Lê Xoay - Ngô Quyền - Vĩnh Yên, Yen, Vietnam</v>
      </c>
    </row>
    <row r="1451">
      <c r="A1451">
        <v>1450</v>
      </c>
      <c r="B1451">
        <f>HYPERLINK("https://congbobanan.toaan.gov.vn/5ta635657t1cvn/An_DSPT_Quang__Luong.pdf", "UBND Ủy ban nhân dân xã Kim Quan  thành phố Hà Nội")</f>
      </c>
      <c r="C1451" t="str">
        <v>https://congbobanan.toaan.gov.vn/5ta635657t1cvn/An_DSPT_Quang__Luong.pdf</v>
      </c>
      <c r="D1451" t="str">
        <v>-</v>
      </c>
      <c r="E1451" t="str">
        <v>-</v>
      </c>
      <c r="F1451" t="str">
        <v>-</v>
      </c>
      <c r="G1451" t="str">
        <v>-</v>
      </c>
    </row>
    <row r="1452">
      <c r="A1452">
        <v>1451</v>
      </c>
      <c r="B1452" t="str">
        <v>Công an xã Dị Nậu  thành phố Hà Nội</v>
      </c>
      <c r="C1452" t="str">
        <v>-</v>
      </c>
      <c r="D1452" t="str">
        <v>-</v>
      </c>
      <c r="E1452" t="str">
        <v/>
      </c>
      <c r="F1452" t="str">
        <v>-</v>
      </c>
      <c r="G1452" t="str">
        <v>-</v>
      </c>
    </row>
    <row r="1453">
      <c r="A1453">
        <v>1452</v>
      </c>
      <c r="B1453">
        <f>HYPERLINK("https://thachthat.hanoi.gov.vn/", "UBND Ủy ban nhân dân xã Dị Nậu  thành phố Hà Nội")</f>
      </c>
      <c r="C1453" t="str">
        <v>https://thachthat.hanoi.gov.vn/</v>
      </c>
      <c r="D1453" t="str">
        <v>-</v>
      </c>
      <c r="E1453" t="str">
        <v>-</v>
      </c>
      <c r="F1453" t="str">
        <v>-</v>
      </c>
      <c r="G1453" t="str">
        <v>-</v>
      </c>
    </row>
    <row r="1454">
      <c r="A1454">
        <v>1453</v>
      </c>
      <c r="B1454" t="str">
        <v>Công an xã Bình Yên  thành phố Hà Nội</v>
      </c>
      <c r="C1454" t="str">
        <v>-</v>
      </c>
      <c r="D1454" t="str">
        <v>-</v>
      </c>
      <c r="E1454" t="str">
        <v/>
      </c>
      <c r="F1454" t="str">
        <v>-</v>
      </c>
      <c r="G1454" t="str">
        <v>-</v>
      </c>
    </row>
    <row r="1455">
      <c r="A1455">
        <v>1454</v>
      </c>
      <c r="B1455">
        <f>HYPERLINK("https://thachthat.hanoi.gov.vn/", "UBND Ủy ban nhân dân xã Bình Yên  thành phố Hà Nội")</f>
      </c>
      <c r="C1455" t="str">
        <v>https://thachthat.hanoi.gov.vn/</v>
      </c>
      <c r="D1455" t="str">
        <v>-</v>
      </c>
      <c r="E1455" t="str">
        <v>-</v>
      </c>
      <c r="F1455" t="str">
        <v>-</v>
      </c>
      <c r="G1455" t="str">
        <v>-</v>
      </c>
    </row>
    <row r="1456">
      <c r="A1456">
        <v>1455</v>
      </c>
      <c r="B1456">
        <f>HYPERLINK("https://www.facebook.com/tuoitrecongansonla/", "Công an xã Chàng Sơn  thành phố Hà Nội")</f>
      </c>
      <c r="C1456" t="str">
        <v>https://www.facebook.com/tuoitrecongansonla/</v>
      </c>
      <c r="D1456" t="str">
        <v>-</v>
      </c>
      <c r="E1456" t="str">
        <v/>
      </c>
      <c r="F1456" t="str">
        <v>doanthanhniencasl@gmail.com</v>
      </c>
      <c r="G1456" t="str">
        <v>-</v>
      </c>
    </row>
    <row r="1457">
      <c r="A1457">
        <v>1456</v>
      </c>
      <c r="B1457">
        <f>HYPERLINK("https://thachthat.hanoi.gov.vn/", "UBND Ủy ban nhân dân xã Chàng Sơn  thành phố Hà Nội")</f>
      </c>
      <c r="C1457" t="str">
        <v>https://thachthat.hanoi.gov.vn/</v>
      </c>
      <c r="D1457" t="str">
        <v>-</v>
      </c>
      <c r="E1457" t="str">
        <v>-</v>
      </c>
      <c r="F1457" t="str">
        <v>-</v>
      </c>
      <c r="G1457" t="str">
        <v>-</v>
      </c>
    </row>
    <row r="1458">
      <c r="A1458">
        <v>1457</v>
      </c>
      <c r="B1458" t="str">
        <v>Công an xã Thạch Hoà  thành phố Hà Nội</v>
      </c>
      <c r="C1458" t="str">
        <v>-</v>
      </c>
      <c r="D1458" t="str">
        <v>-</v>
      </c>
      <c r="E1458" t="str">
        <v/>
      </c>
      <c r="F1458" t="str">
        <v>-</v>
      </c>
      <c r="G1458" t="str">
        <v>-</v>
      </c>
    </row>
    <row r="1459">
      <c r="A1459">
        <v>1458</v>
      </c>
      <c r="B1459">
        <f>HYPERLINK("https://thachthat.hanoi.gov.vn/", "UBND Ủy ban nhân dân xã Thạch Hoà  thành phố Hà Nội")</f>
      </c>
      <c r="C1459" t="str">
        <v>https://thachthat.hanoi.gov.vn/</v>
      </c>
      <c r="D1459" t="str">
        <v>-</v>
      </c>
      <c r="E1459" t="str">
        <v>-</v>
      </c>
      <c r="F1459" t="str">
        <v>-</v>
      </c>
      <c r="G1459" t="str">
        <v>-</v>
      </c>
    </row>
    <row r="1460">
      <c r="A1460">
        <v>1459</v>
      </c>
      <c r="B1460">
        <f>HYPERLINK("https://www.facebook.com/groups/toi.yeu.xa.can.kiem.huyen.thach.that/", "Công an xã Cần Kiệm  thành phố Hà Nội")</f>
      </c>
      <c r="C1460" t="str">
        <v>https://www.facebook.com/groups/toi.yeu.xa.can.kiem.huyen.thach.that/</v>
      </c>
      <c r="D1460" t="str">
        <v>-</v>
      </c>
      <c r="E1460" t="str">
        <v/>
      </c>
      <c r="F1460" t="str">
        <v>-</v>
      </c>
      <c r="G1460" t="str">
        <v>-</v>
      </c>
    </row>
    <row r="1461">
      <c r="A1461">
        <v>1460</v>
      </c>
      <c r="B1461">
        <f>HYPERLINK("https://thachthat.hanoi.gov.vn/gioi-thieu-cac-phong-ban", "UBND Ủy ban nhân dân xã Cần Kiệm  thành phố Hà Nội")</f>
      </c>
      <c r="C1461" t="str">
        <v>https://thachthat.hanoi.gov.vn/gioi-thieu-cac-phong-ban</v>
      </c>
      <c r="D1461" t="str">
        <v>-</v>
      </c>
      <c r="E1461" t="str">
        <v>-</v>
      </c>
      <c r="F1461" t="str">
        <v>-</v>
      </c>
      <c r="G1461" t="str">
        <v>-</v>
      </c>
    </row>
    <row r="1462">
      <c r="A1462">
        <v>1461</v>
      </c>
      <c r="B1462">
        <f>HYPERLINK("https://www.facebook.com/doanthanhnien.1956/", "Công an xã Hữu Bằng  thành phố Hà Nội")</f>
      </c>
      <c r="C1462" t="str">
        <v>https://www.facebook.com/doanthanhnien.1956/</v>
      </c>
      <c r="D1462" t="str">
        <v>-</v>
      </c>
      <c r="E1462" t="str">
        <v/>
      </c>
      <c r="F1462" t="str">
        <v>doanthanhniencatphanoi@gmail.com</v>
      </c>
      <c r="G1462" t="str">
        <v>87 phố Trần Hưng Đạo, quận Hoàn Kiếm, TP Hà Nội, Hanoi, Vietnam</v>
      </c>
    </row>
    <row r="1463">
      <c r="A1463">
        <v>1462</v>
      </c>
      <c r="B1463">
        <f>HYPERLINK("https://kienthuy.haiphong.gov.vn/cac-xa-thi-tran/xa-huu-bang-308379", "UBND Ủy ban nhân dân xã Hữu Bằng  thành phố Hà Nội")</f>
      </c>
      <c r="C1463" t="str">
        <v>https://kienthuy.haiphong.gov.vn/cac-xa-thi-tran/xa-huu-bang-308379</v>
      </c>
      <c r="D1463" t="str">
        <v>-</v>
      </c>
      <c r="E1463" t="str">
        <v>-</v>
      </c>
      <c r="F1463" t="str">
        <v>-</v>
      </c>
      <c r="G1463" t="str">
        <v>-</v>
      </c>
    </row>
    <row r="1464">
      <c r="A1464">
        <v>1463</v>
      </c>
      <c r="B1464" t="str">
        <v>Công an xã Phùng Xá  thành phố Hà Nội</v>
      </c>
      <c r="C1464" t="str">
        <v>-</v>
      </c>
      <c r="D1464" t="str">
        <v>-</v>
      </c>
      <c r="E1464" t="str">
        <v/>
      </c>
      <c r="F1464" t="str">
        <v>-</v>
      </c>
      <c r="G1464" t="str">
        <v>-</v>
      </c>
    </row>
    <row r="1465">
      <c r="A1465">
        <v>1464</v>
      </c>
      <c r="B1465">
        <f>HYPERLINK("https://phungxa.myduc.hanoi.gov.vn/", "UBND Ủy ban nhân dân xã Phùng Xá  thành phố Hà Nội")</f>
      </c>
      <c r="C1465" t="str">
        <v>https://phungxa.myduc.hanoi.gov.vn/</v>
      </c>
      <c r="D1465" t="str">
        <v>-</v>
      </c>
      <c r="E1465" t="str">
        <v>-</v>
      </c>
      <c r="F1465" t="str">
        <v>-</v>
      </c>
      <c r="G1465" t="str">
        <v>-</v>
      </c>
    </row>
    <row r="1466">
      <c r="A1466">
        <v>1465</v>
      </c>
      <c r="B1466" t="str">
        <v>Công an xã Tân xã  thành phố Hà Nội</v>
      </c>
      <c r="C1466" t="str">
        <v>-</v>
      </c>
      <c r="D1466" t="str">
        <v>-</v>
      </c>
      <c r="E1466" t="str">
        <v/>
      </c>
      <c r="F1466" t="str">
        <v>-</v>
      </c>
      <c r="G1466" t="str">
        <v>-</v>
      </c>
    </row>
    <row r="1467">
      <c r="A1467">
        <v>1466</v>
      </c>
      <c r="B1467">
        <f>HYPERLINK("https://thachthat.hanoi.gov.vn/", "UBND Ủy ban nhân dân xã Tân xã  thành phố Hà Nội")</f>
      </c>
      <c r="C1467" t="str">
        <v>https://thachthat.hanoi.gov.vn/</v>
      </c>
      <c r="D1467" t="str">
        <v>-</v>
      </c>
      <c r="E1467" t="str">
        <v>-</v>
      </c>
      <c r="F1467" t="str">
        <v>-</v>
      </c>
      <c r="G1467" t="str">
        <v>-</v>
      </c>
    </row>
    <row r="1468">
      <c r="A1468">
        <v>1467</v>
      </c>
      <c r="B1468" t="str">
        <v>Công an xã Thạch Xá  thành phố Hà Nội</v>
      </c>
      <c r="C1468" t="str">
        <v>-</v>
      </c>
      <c r="D1468" t="str">
        <v>-</v>
      </c>
      <c r="E1468" t="str">
        <v/>
      </c>
      <c r="F1468" t="str">
        <v>-</v>
      </c>
      <c r="G1468" t="str">
        <v>-</v>
      </c>
    </row>
    <row r="1469">
      <c r="A1469">
        <v>1468</v>
      </c>
      <c r="B1469">
        <f>HYPERLINK("https://thachthat.hanoi.gov.vn/", "UBND Ủy ban nhân dân xã Thạch Xá  thành phố Hà Nội")</f>
      </c>
      <c r="C1469" t="str">
        <v>https://thachthat.hanoi.gov.vn/</v>
      </c>
      <c r="D1469" t="str">
        <v>-</v>
      </c>
      <c r="E1469" t="str">
        <v>-</v>
      </c>
      <c r="F1469" t="str">
        <v>-</v>
      </c>
      <c r="G1469" t="str">
        <v>-</v>
      </c>
    </row>
    <row r="1470">
      <c r="A1470">
        <v>1469</v>
      </c>
      <c r="B1470">
        <f>HYPERLINK("https://www.facebook.com/p/C%C3%B4ng-an-x%C3%A3-B%C3%ACnh-Ph%C3%BA-huy%E1%BB%87n-C%C3%A0ng-Long-100064608517276/", "Công an xã Bình Phú  thành phố Hà Nội")</f>
      </c>
      <c r="C1470" t="str">
        <v>https://www.facebook.com/p/C%C3%B4ng-an-x%C3%A3-B%C3%ACnh-Ph%C3%BA-huy%E1%BB%87n-C%C3%A0ng-Long-100064608517276/</v>
      </c>
      <c r="D1470" t="str">
        <v>-</v>
      </c>
      <c r="E1470" t="str">
        <v>02943888099</v>
      </c>
      <c r="F1470" t="str">
        <v>-</v>
      </c>
      <c r="G1470" t="str">
        <v>-</v>
      </c>
    </row>
    <row r="1471">
      <c r="A1471">
        <v>1470</v>
      </c>
      <c r="B1471">
        <f>HYPERLINK("https://thachthat.hanoi.gov.vn/", "UBND Ủy ban nhân dân xã Bình Phú  thành phố Hà Nội")</f>
      </c>
      <c r="C1471" t="str">
        <v>https://thachthat.hanoi.gov.vn/</v>
      </c>
      <c r="D1471" t="str">
        <v>-</v>
      </c>
      <c r="E1471" t="str">
        <v>-</v>
      </c>
      <c r="F1471" t="str">
        <v>-</v>
      </c>
      <c r="G1471" t="str">
        <v>-</v>
      </c>
    </row>
    <row r="1472">
      <c r="A1472">
        <v>1471</v>
      </c>
      <c r="B1472">
        <f>HYPERLINK("https://www.facebook.com/doanthanhnien.1956/", "Công an xã Hạ Bằng  thành phố Hà Nội")</f>
      </c>
      <c r="C1472" t="str">
        <v>https://www.facebook.com/doanthanhnien.1956/</v>
      </c>
      <c r="D1472" t="str">
        <v>-</v>
      </c>
      <c r="E1472" t="str">
        <v/>
      </c>
      <c r="F1472" t="str">
        <v>doanthanhniencatphanoi@gmail.com</v>
      </c>
      <c r="G1472" t="str">
        <v>87 phố Trần Hưng Đạo, quận Hoàn Kiếm, TP Hà Nội, Hanoi, Vietnam</v>
      </c>
    </row>
    <row r="1473">
      <c r="A1473">
        <v>1472</v>
      </c>
      <c r="B1473">
        <f>HYPERLINK("https://danphuong.hanoi.gov.vn/", "UBND Ủy ban nhân dân xã Hạ Bằng  thành phố Hà Nội")</f>
      </c>
      <c r="C1473" t="str">
        <v>https://danphuong.hanoi.gov.vn/</v>
      </c>
      <c r="D1473" t="str">
        <v>-</v>
      </c>
      <c r="E1473" t="str">
        <v>-</v>
      </c>
      <c r="F1473" t="str">
        <v>-</v>
      </c>
      <c r="G1473" t="str">
        <v>-</v>
      </c>
    </row>
    <row r="1474">
      <c r="A1474">
        <v>1473</v>
      </c>
      <c r="B1474">
        <f>HYPERLINK("https://www.facebook.com/doanthanhnien.1956/", "Công an xã Đồng Trúc  thành phố Hà Nội")</f>
      </c>
      <c r="C1474" t="str">
        <v>https://www.facebook.com/doanthanhnien.1956/</v>
      </c>
      <c r="D1474" t="str">
        <v>-</v>
      </c>
      <c r="E1474" t="str">
        <v/>
      </c>
      <c r="F1474" t="str">
        <v>doanthanhniencatphanoi@gmail.com</v>
      </c>
      <c r="G1474" t="str">
        <v>87 phố Trần Hưng Đạo, quận Hoàn Kiếm, TP Hà Nội, Hanoi, Vietnam</v>
      </c>
    </row>
    <row r="1475">
      <c r="A1475">
        <v>1474</v>
      </c>
      <c r="B1475">
        <f>HYPERLINK("https://thachthat.hanoi.gov.vn/", "UBND Ủy ban nhân dân xã Đồng Trúc  thành phố Hà Nội")</f>
      </c>
      <c r="C1475" t="str">
        <v>https://thachthat.hanoi.gov.vn/</v>
      </c>
      <c r="D1475" t="str">
        <v>-</v>
      </c>
      <c r="E1475" t="str">
        <v>-</v>
      </c>
      <c r="F1475" t="str">
        <v>-</v>
      </c>
      <c r="G1475" t="str">
        <v>-</v>
      </c>
    </row>
    <row r="1476">
      <c r="A1476">
        <v>1475</v>
      </c>
      <c r="B1476">
        <f>HYPERLINK("https://www.facebook.com/p/Tu%E1%BB%95i-Tr%E1%BA%BB-C%C3%B4ng-An-Huy%E1%BB%87n-Ch%C6%B0%C6%A1ng-M%E1%BB%B9-100028578047777/", "Công an thị trấn Chúc Sơn  thành phố Hà Nội")</f>
      </c>
      <c r="C1476" t="str">
        <v>https://www.facebook.com/p/Tu%E1%BB%95i-Tr%E1%BA%BB-C%C3%B4ng-An-Huy%E1%BB%87n-Ch%C6%B0%C6%A1ng-M%E1%BB%B9-100028578047777/</v>
      </c>
      <c r="D1476" t="str">
        <v>-</v>
      </c>
      <c r="E1476" t="str">
        <v/>
      </c>
      <c r="F1476" t="str">
        <v>doantncahchuongmy@gmail.com</v>
      </c>
      <c r="G1476" t="str">
        <v>Số 29A, Tổ dân phố Ninh Kiều, huyện Chương Mỹ, thành phố Hà Nội, Hanoi, Vietnam</v>
      </c>
    </row>
    <row r="1477">
      <c r="A1477">
        <v>1476</v>
      </c>
      <c r="B1477">
        <f>HYPERLINK("https://chuongmy.hanoi.gov.vn/", "UBND Ủy ban nhân dân thị trấn Chúc Sơn  thành phố Hà Nội")</f>
      </c>
      <c r="C1477" t="str">
        <v>https://chuongmy.hanoi.gov.vn/</v>
      </c>
      <c r="D1477" t="str">
        <v>-</v>
      </c>
      <c r="E1477" t="str">
        <v>-</v>
      </c>
      <c r="F1477" t="str">
        <v>-</v>
      </c>
      <c r="G1477" t="str">
        <v>-</v>
      </c>
    </row>
    <row r="1478">
      <c r="A1478">
        <v>1477</v>
      </c>
      <c r="B1478" t="str">
        <v>Công an thị trấn Xuân Mai  thành phố Hà Nội</v>
      </c>
      <c r="C1478" t="str">
        <v>-</v>
      </c>
      <c r="D1478" t="str">
        <v>-</v>
      </c>
      <c r="E1478" t="str">
        <v/>
      </c>
      <c r="F1478" t="str">
        <v>-</v>
      </c>
      <c r="G1478" t="str">
        <v>-</v>
      </c>
    </row>
    <row r="1479">
      <c r="A1479">
        <v>1478</v>
      </c>
      <c r="B1479">
        <f>HYPERLINK("https://xuanmai.chuongmy.hanoi.gov.vn/", "UBND Ủy ban nhân dân thị trấn Xuân Mai  thành phố Hà Nội")</f>
      </c>
      <c r="C1479" t="str">
        <v>https://xuanmai.chuongmy.hanoi.gov.vn/</v>
      </c>
      <c r="D1479" t="str">
        <v>-</v>
      </c>
      <c r="E1479" t="str">
        <v>-</v>
      </c>
      <c r="F1479" t="str">
        <v>-</v>
      </c>
      <c r="G1479" t="str">
        <v>-</v>
      </c>
    </row>
    <row r="1480">
      <c r="A1480">
        <v>1479</v>
      </c>
      <c r="B1480">
        <f>HYPERLINK("https://www.facebook.com/p/Tu%E1%BB%95i-Tr%E1%BA%BB-C%C3%B4ng-An-Huy%E1%BB%87n-Ch%C6%B0%C6%A1ng-M%E1%BB%B9-100028578047777/", "Công an xã Phụng Châu  thành phố Hà Nội")</f>
      </c>
      <c r="C1480" t="str">
        <v>https://www.facebook.com/p/Tu%E1%BB%95i-Tr%E1%BA%BB-C%C3%B4ng-An-Huy%E1%BB%87n-Ch%C6%B0%C6%A1ng-M%E1%BB%B9-100028578047777/</v>
      </c>
      <c r="D1480" t="str">
        <v>-</v>
      </c>
      <c r="E1480" t="str">
        <v/>
      </c>
      <c r="F1480" t="str">
        <v>doantncahchuongmy@gmail.com</v>
      </c>
      <c r="G1480" t="str">
        <v>Số 29A, Tổ dân phố Ninh Kiều, huyện Chương Mỹ, thành phố Hà Nội, Hanoi, Vietnam</v>
      </c>
    </row>
    <row r="1481">
      <c r="A1481">
        <v>1480</v>
      </c>
      <c r="B1481">
        <f>HYPERLINK("https://chuongmy.hanoi.gov.vn/es/tin-trong-huyen/-/news/pde1maEQe4QT/1/673982.html;jsessionid=d8JBfWgVhLl6PcKY-bLsVsdy.undefined", "UBND Ủy ban nhân dân xã Phụng Châu  thành phố Hà Nội")</f>
      </c>
      <c r="C1481" t="str">
        <v>https://chuongmy.hanoi.gov.vn/es/tin-trong-huyen/-/news/pde1maEQe4QT/1/673982.html;jsessionid=d8JBfWgVhLl6PcKY-bLsVsdy.undefined</v>
      </c>
      <c r="D1481" t="str">
        <v>-</v>
      </c>
      <c r="E1481" t="str">
        <v>-</v>
      </c>
      <c r="F1481" t="str">
        <v>-</v>
      </c>
      <c r="G1481" t="str">
        <v>-</v>
      </c>
    </row>
    <row r="1482">
      <c r="A1482">
        <v>1481</v>
      </c>
      <c r="B1482">
        <f>HYPERLINK("https://www.facebook.com/p/Tu%E1%BB%95i-Tr%E1%BA%BB-C%C3%B4ng-An-Huy%E1%BB%87n-Ch%C6%B0%C6%A1ng-M%E1%BB%B9-100028578047777/?locale=el_GR", "Công an xã Tiên Phương  thành phố Hà Nội")</f>
      </c>
      <c r="C1482" t="str">
        <v>https://www.facebook.com/p/Tu%E1%BB%95i-Tr%E1%BA%BB-C%C3%B4ng-An-Huy%E1%BB%87n-Ch%C6%B0%C6%A1ng-M%E1%BB%B9-100028578047777/?locale=el_GR</v>
      </c>
      <c r="D1482" t="str">
        <v>-</v>
      </c>
      <c r="E1482" t="str">
        <v/>
      </c>
      <c r="F1482" t="str">
        <v>doantncahchuongmy@gmail.com</v>
      </c>
      <c r="G1482" t="str">
        <v>Số 29A, Tổ dân phố Ninh Kiều, huyện Chương Mỹ, thành phố Hà Nội, Hanoi, Vietnam</v>
      </c>
    </row>
    <row r="1483">
      <c r="A1483">
        <v>1482</v>
      </c>
      <c r="B1483">
        <f>HYPERLINK("https://chuongmy.hanoi.gov.vn/", "UBND Ủy ban nhân dân xã Tiên Phương  thành phố Hà Nội")</f>
      </c>
      <c r="C1483" t="str">
        <v>https://chuongmy.hanoi.gov.vn/</v>
      </c>
      <c r="D1483" t="str">
        <v>-</v>
      </c>
      <c r="E1483" t="str">
        <v>-</v>
      </c>
      <c r="F1483" t="str">
        <v>-</v>
      </c>
      <c r="G1483" t="str">
        <v>-</v>
      </c>
    </row>
    <row r="1484">
      <c r="A1484">
        <v>1483</v>
      </c>
      <c r="B1484">
        <f>HYPERLINK("https://www.facebook.com/p/Tu%E1%BB%95i-Tr%E1%BA%BB-C%C3%B4ng-An-Huy%E1%BB%87n-Ch%C6%B0%C6%A1ng-M%E1%BB%B9-100028578047777/?locale=pt_PT", "Công an xã Đông Sơn  thành phố Hà Nội")</f>
      </c>
      <c r="C1484" t="str">
        <v>https://www.facebook.com/p/Tu%E1%BB%95i-Tr%E1%BA%BB-C%C3%B4ng-An-Huy%E1%BB%87n-Ch%C6%B0%C6%A1ng-M%E1%BB%B9-100028578047777/?locale=pt_PT</v>
      </c>
      <c r="D1484" t="str">
        <v>-</v>
      </c>
      <c r="E1484" t="str">
        <v/>
      </c>
      <c r="F1484" t="str">
        <v>doantncahchuongmy@gmail.com</v>
      </c>
      <c r="G1484" t="str">
        <v>Số 29A, Tổ dân phố Ninh Kiều, huyện Chương Mỹ, thành phố Hà Nội, Hanoi, Vietnam</v>
      </c>
    </row>
    <row r="1485">
      <c r="A1485">
        <v>1484</v>
      </c>
      <c r="B1485">
        <f>HYPERLINK("https://chuongmy.hanoi.gov.vn/", "UBND Ủy ban nhân dân xã Đông Sơn  thành phố Hà Nội")</f>
      </c>
      <c r="C1485" t="str">
        <v>https://chuongmy.hanoi.gov.vn/</v>
      </c>
      <c r="D1485" t="str">
        <v>-</v>
      </c>
      <c r="E1485" t="str">
        <v>-</v>
      </c>
      <c r="F1485" t="str">
        <v>-</v>
      </c>
      <c r="G1485" t="str">
        <v>-</v>
      </c>
    </row>
    <row r="1486">
      <c r="A1486">
        <v>1485</v>
      </c>
      <c r="B1486">
        <f>HYPERLINK("https://www.facebook.com/p/Tu%E1%BB%95i-Tr%E1%BA%BB-C%C3%B4ng-An-Huy%E1%BB%87n-Ch%C6%B0%C6%A1ng-M%E1%BB%B9-100028578047777/?locale=pt_PT", "Công an xã Đông Phương Yên  thành phố Hà Nội")</f>
      </c>
      <c r="C1486" t="str">
        <v>https://www.facebook.com/p/Tu%E1%BB%95i-Tr%E1%BA%BB-C%C3%B4ng-An-Huy%E1%BB%87n-Ch%C6%B0%C6%A1ng-M%E1%BB%B9-100028578047777/?locale=pt_PT</v>
      </c>
      <c r="D1486" t="str">
        <v>-</v>
      </c>
      <c r="E1486" t="str">
        <v/>
      </c>
      <c r="F1486" t="str">
        <v>doantncahchuongmy@gmail.com</v>
      </c>
      <c r="G1486" t="str">
        <v>Số 29A, Tổ dân phố Ninh Kiều, huyện Chương Mỹ, thành phố Hà Nội, Hanoi, Vietnam</v>
      </c>
    </row>
    <row r="1487">
      <c r="A1487">
        <v>1486</v>
      </c>
      <c r="B1487">
        <f>HYPERLINK("https://chuongmy.hanoi.gov.vn/", "UBND Ủy ban nhân dân xã Đông Phương Yên  thành phố Hà Nội")</f>
      </c>
      <c r="C1487" t="str">
        <v>https://chuongmy.hanoi.gov.vn/</v>
      </c>
      <c r="D1487" t="str">
        <v>-</v>
      </c>
      <c r="E1487" t="str">
        <v>-</v>
      </c>
      <c r="F1487" t="str">
        <v>-</v>
      </c>
      <c r="G1487" t="str">
        <v>-</v>
      </c>
    </row>
    <row r="1488">
      <c r="A1488">
        <v>1487</v>
      </c>
      <c r="B1488">
        <f>HYPERLINK("https://www.facebook.com/100070689427573", "Công an xã Phú Nghĩa  thành phố Hà Nội")</f>
      </c>
      <c r="C1488" t="str">
        <v>https://www.facebook.com/100070689427573</v>
      </c>
      <c r="D1488" t="str">
        <v>-</v>
      </c>
      <c r="E1488" t="str">
        <v>02433867541</v>
      </c>
      <c r="F1488" t="str">
        <v>conganphunghia@gmail.com</v>
      </c>
      <c r="G1488" t="str">
        <v>Xã Phú Nghĩa, huyện Chương Mỹ, Hanoi, Vietnam</v>
      </c>
    </row>
    <row r="1489">
      <c r="A1489">
        <v>1488</v>
      </c>
      <c r="B1489">
        <f>HYPERLINK("https://chuongmy.hanoi.gov.vn/", "UBND Ủy ban nhân dân xã Phú Nghĩa  thành phố Hà Nội")</f>
      </c>
      <c r="C1489" t="str">
        <v>https://chuongmy.hanoi.gov.vn/</v>
      </c>
      <c r="D1489" t="str">
        <v>-</v>
      </c>
      <c r="E1489" t="str">
        <v>-</v>
      </c>
      <c r="F1489" t="str">
        <v>-</v>
      </c>
      <c r="G1489" t="str">
        <v>-</v>
      </c>
    </row>
    <row r="1490">
      <c r="A1490">
        <v>1489</v>
      </c>
      <c r="B1490">
        <f>HYPERLINK("https://www.facebook.com/p/Tu%E1%BB%95i-tr%E1%BA%BB-C%C3%B4ng-an-Th%C3%A0nh-ph%E1%BB%91-V%C4%A9nh-Y%C3%AAn-100066497717181/?locale=vi_VN", "Công an xã Trường Yên  thành phố Hà Nội")</f>
      </c>
      <c r="C1490" t="str">
        <v>https://www.facebook.com/p/Tu%E1%BB%95i-tr%E1%BA%BB-C%C3%B4ng-an-Th%C3%A0nh-ph%E1%BB%91-V%C4%A9nh-Y%C3%AAn-100066497717181/?locale=vi_VN</v>
      </c>
      <c r="D1490" t="str">
        <v>-</v>
      </c>
      <c r="E1490" t="str">
        <v>02113861204</v>
      </c>
      <c r="F1490" t="str">
        <v>-</v>
      </c>
      <c r="G1490" t="str">
        <v>Lê Xoay - Ngô Quyền - Vĩnh Yên, Yen, Vietnam</v>
      </c>
    </row>
    <row r="1491">
      <c r="A1491">
        <v>1490</v>
      </c>
      <c r="B1491">
        <f>HYPERLINK("https://truongyen.hoalu.ninhbinh.gov.vn/", "UBND Ủy ban nhân dân xã Trường Yên  thành phố Hà Nội")</f>
      </c>
      <c r="C1491" t="str">
        <v>https://truongyen.hoalu.ninhbinh.gov.vn/</v>
      </c>
      <c r="D1491" t="str">
        <v>-</v>
      </c>
      <c r="E1491" t="str">
        <v>-</v>
      </c>
      <c r="F1491" t="str">
        <v>-</v>
      </c>
      <c r="G1491" t="str">
        <v>-</v>
      </c>
    </row>
    <row r="1492">
      <c r="A1492">
        <v>1491</v>
      </c>
      <c r="B1492">
        <f>HYPERLINK("https://www.facebook.com/groups/toi.yeu.xa.ngoc.hoa.huyen.chuong.my/", "Công an xã Ngọc Hòa  thành phố Hà Nội")</f>
      </c>
      <c r="C1492" t="str">
        <v>https://www.facebook.com/groups/toi.yeu.xa.ngoc.hoa.huyen.chuong.my/</v>
      </c>
      <c r="D1492" t="str">
        <v>-</v>
      </c>
      <c r="E1492" t="str">
        <v/>
      </c>
      <c r="F1492" t="str">
        <v>-</v>
      </c>
      <c r="G1492" t="str">
        <v>-</v>
      </c>
    </row>
    <row r="1493">
      <c r="A1493">
        <v>1492</v>
      </c>
      <c r="B1493">
        <f>HYPERLINK("https://chuongmy.hanoi.gov.vn/tin-noi-bat/-/asset_publisher/yy9z8Nun5PC2/content/truong-thcs-ngoc-hoa-to-chuc-le-ky-niem-60-nam-ngay-thanh-lap-truong-va-41-nam-ngay-nha-giao-viet-nam", "UBND Ủy ban nhân dân xã Ngọc Hòa  thành phố Hà Nội")</f>
      </c>
      <c r="C1493" t="str">
        <v>https://chuongmy.hanoi.gov.vn/tin-noi-bat/-/asset_publisher/yy9z8Nun5PC2/content/truong-thcs-ngoc-hoa-to-chuc-le-ky-niem-60-nam-ngay-thanh-lap-truong-va-41-nam-ngay-nha-giao-viet-nam</v>
      </c>
      <c r="D1493" t="str">
        <v>-</v>
      </c>
      <c r="E1493" t="str">
        <v>-</v>
      </c>
      <c r="F1493" t="str">
        <v>-</v>
      </c>
      <c r="G1493" t="str">
        <v>-</v>
      </c>
    </row>
    <row r="1494">
      <c r="A1494">
        <v>1493</v>
      </c>
      <c r="B1494">
        <f>HYPERLINK("https://www.facebook.com/groups/toi.yeu.xa.thuy.xuan.tien.huyen.chuong.my/", "Công an xã Thủy Xuân Tiên  thành phố Hà Nội")</f>
      </c>
      <c r="C1494" t="str">
        <v>https://www.facebook.com/groups/toi.yeu.xa.thuy.xuan.tien.huyen.chuong.my/</v>
      </c>
      <c r="D1494" t="str">
        <v>-</v>
      </c>
      <c r="E1494" t="str">
        <v/>
      </c>
      <c r="F1494" t="str">
        <v>-</v>
      </c>
      <c r="G1494" t="str">
        <v>-</v>
      </c>
    </row>
    <row r="1495">
      <c r="A1495">
        <v>1494</v>
      </c>
      <c r="B1495">
        <f>HYPERLINK("https://thuyxuantien.chuongmy.hanoi.gov.vn/gioi-thieu/co-cau-to-chuc/uy-ban-nhan-dan-thi-tran", "UBND Ủy ban nhân dân xã Thủy Xuân Tiên  thành phố Hà Nội")</f>
      </c>
      <c r="C1495" t="str">
        <v>https://thuyxuantien.chuongmy.hanoi.gov.vn/gioi-thieu/co-cau-to-chuc/uy-ban-nhan-dan-thi-tran</v>
      </c>
      <c r="D1495" t="str">
        <v>-</v>
      </c>
      <c r="E1495" t="str">
        <v>-</v>
      </c>
      <c r="F1495" t="str">
        <v>-</v>
      </c>
      <c r="G1495" t="str">
        <v>-</v>
      </c>
    </row>
    <row r="1496">
      <c r="A1496">
        <v>1495</v>
      </c>
      <c r="B1496">
        <f>HYPERLINK("https://www.facebook.com/p/C%C3%B4ng-an-x%C3%A3-Thanh-B%C3%ACnh-Th%E1%BB%8Bnh-huy%E1%BB%87n-%C4%90%E1%BB%A9c-Th%E1%BB%8D-t%E1%BB%89nh-H%C3%A0-T%C4%A9nh-100064085291262/?locale=vi_VN", "Công an xã Thanh Bình  thành phố Hà Nội")</f>
      </c>
      <c r="C1496" t="str">
        <v>https://www.facebook.com/p/C%C3%B4ng-an-x%C3%A3-Thanh-B%C3%ACnh-Th%E1%BB%8Bnh-huy%E1%BB%87n-%C4%90%E1%BB%A9c-Th%E1%BB%8D-t%E1%BB%89nh-H%C3%A0-T%C4%A9nh-100064085291262/?locale=vi_VN</v>
      </c>
      <c r="D1496" t="str">
        <v>-</v>
      </c>
      <c r="E1496" t="str">
        <v>02396526789</v>
      </c>
      <c r="F1496" t="str">
        <v>-</v>
      </c>
      <c r="G1496" t="str">
        <v>-</v>
      </c>
    </row>
    <row r="1497">
      <c r="A1497">
        <v>1496</v>
      </c>
      <c r="B1497">
        <f>HYPERLINK("https://chuongmy.hanoi.gov.vn/", "UBND Ủy ban nhân dân xã Thanh Bình  thành phố Hà Nội")</f>
      </c>
      <c r="C1497" t="str">
        <v>https://chuongmy.hanoi.gov.vn/</v>
      </c>
      <c r="D1497" t="str">
        <v>-</v>
      </c>
      <c r="E1497" t="str">
        <v>-</v>
      </c>
      <c r="F1497" t="str">
        <v>-</v>
      </c>
      <c r="G1497" t="str">
        <v>-</v>
      </c>
    </row>
    <row r="1498">
      <c r="A1498">
        <v>1497</v>
      </c>
      <c r="B1498">
        <f>HYPERLINK("https://www.facebook.com/p/Tu%E1%BB%95i-Tr%E1%BA%BB-C%C3%B4ng-An-Huy%E1%BB%87n-Ch%C6%B0%C6%A1ng-M%E1%BB%B9-100028578047777/?locale=nl_BE", "Công an xã Trung Hòa  thành phố Hà Nội")</f>
      </c>
      <c r="C1498" t="str">
        <v>https://www.facebook.com/p/Tu%E1%BB%95i-Tr%E1%BA%BB-C%C3%B4ng-An-Huy%E1%BB%87n-Ch%C6%B0%C6%A1ng-M%E1%BB%B9-100028578047777/?locale=nl_BE</v>
      </c>
      <c r="D1498" t="str">
        <v>-</v>
      </c>
      <c r="E1498" t="str">
        <v/>
      </c>
      <c r="F1498" t="str">
        <v>doantncahchuongmy@gmail.com</v>
      </c>
      <c r="G1498" t="str">
        <v>Số 29A, Tổ dân phố Ninh Kiều, huyện Chương Mỹ, thành phố Hà Nội, Hanoi, Vietnam</v>
      </c>
    </row>
    <row r="1499">
      <c r="A1499">
        <v>1498</v>
      </c>
      <c r="B1499">
        <f>HYPERLINK("https://chuongmy.hanoi.gov.vn/", "UBND Ủy ban nhân dân xã Trung Hòa  thành phố Hà Nội")</f>
      </c>
      <c r="C1499" t="str">
        <v>https://chuongmy.hanoi.gov.vn/</v>
      </c>
      <c r="D1499" t="str">
        <v>-</v>
      </c>
      <c r="E1499" t="str">
        <v>-</v>
      </c>
      <c r="F1499" t="str">
        <v>-</v>
      </c>
      <c r="G1499" t="str">
        <v>-</v>
      </c>
    </row>
    <row r="1500">
      <c r="A1500">
        <v>1499</v>
      </c>
      <c r="B1500">
        <f>HYPERLINK("https://www.facebook.com/p/Tu%E1%BB%95i-tr%E1%BA%BB-C%C3%B4ng-an-Th%C3%A0nh-ph%E1%BB%91-V%C4%A9nh-Y%C3%AAn-100066497717181/?locale=vi_VN", "Công an xã Đại Yên  thành phố Hà Nội")</f>
      </c>
      <c r="C1500" t="str">
        <v>https://www.facebook.com/p/Tu%E1%BB%95i-tr%E1%BA%BB-C%C3%B4ng-an-Th%C3%A0nh-ph%E1%BB%91-V%C4%A9nh-Y%C3%AAn-100066497717181/?locale=vi_VN</v>
      </c>
      <c r="D1500" t="str">
        <v>-</v>
      </c>
      <c r="E1500" t="str">
        <v>02113861204</v>
      </c>
      <c r="F1500" t="str">
        <v>-</v>
      </c>
      <c r="G1500" t="str">
        <v>Lê Xoay - Ngô Quyền - Vĩnh Yên, Yen, Vietnam</v>
      </c>
    </row>
    <row r="1501">
      <c r="A1501">
        <v>1500</v>
      </c>
      <c r="B1501">
        <f>HYPERLINK("https://chuongmy.hanoi.gov.vn/", "UBND Ủy ban nhân dân xã Đại Yên  thành phố Hà Nội")</f>
      </c>
      <c r="C1501" t="str">
        <v>https://chuongmy.hanoi.gov.vn/</v>
      </c>
      <c r="D1501" t="str">
        <v>-</v>
      </c>
      <c r="E1501" t="str">
        <v>-</v>
      </c>
      <c r="F1501" t="str">
        <v>-</v>
      </c>
      <c r="G1501" t="str">
        <v>-</v>
      </c>
    </row>
    <row r="1502">
      <c r="A1502">
        <v>1501</v>
      </c>
      <c r="B1502" t="str">
        <v>Công an xã Thụy Hương  thành phố Hà Nội</v>
      </c>
      <c r="C1502" t="str">
        <v>-</v>
      </c>
      <c r="D1502" t="str">
        <v>-</v>
      </c>
      <c r="E1502" t="str">
        <v/>
      </c>
      <c r="F1502" t="str">
        <v>-</v>
      </c>
      <c r="G1502" t="str">
        <v>-</v>
      </c>
    </row>
    <row r="1503">
      <c r="A1503">
        <v>1502</v>
      </c>
      <c r="B1503">
        <f>HYPERLINK("https://chuongmy.hanoi.gov.vn/ca/tin-trong-huyen/-/news/pde1maEQe4QT/1/674503.html;jsessionid=uj-PZSPpK0nYLcSH-9rDVg-o.undefined", "UBND Ủy ban nhân dân xã Thụy Hương  thành phố Hà Nội")</f>
      </c>
      <c r="C1503" t="str">
        <v>https://chuongmy.hanoi.gov.vn/ca/tin-trong-huyen/-/news/pde1maEQe4QT/1/674503.html;jsessionid=uj-PZSPpK0nYLcSH-9rDVg-o.undefined</v>
      </c>
      <c r="D1503" t="str">
        <v>-</v>
      </c>
      <c r="E1503" t="str">
        <v>-</v>
      </c>
      <c r="F1503" t="str">
        <v>-</v>
      </c>
      <c r="G1503" t="str">
        <v>-</v>
      </c>
    </row>
    <row r="1504">
      <c r="A1504">
        <v>1503</v>
      </c>
      <c r="B1504">
        <f>HYPERLINK("https://www.facebook.com/groups/langtotdong/", "Công an xã Tốt Động  thành phố Hà Nội")</f>
      </c>
      <c r="C1504" t="str">
        <v>https://www.facebook.com/groups/langtotdong/</v>
      </c>
      <c r="D1504" t="str">
        <v>-</v>
      </c>
      <c r="E1504" t="str">
        <v/>
      </c>
      <c r="F1504" t="str">
        <v>-</v>
      </c>
      <c r="G1504" t="str">
        <v>-</v>
      </c>
    </row>
    <row r="1505">
      <c r="A1505">
        <v>1504</v>
      </c>
      <c r="B1505">
        <f>HYPERLINK("https://chuongmy.hanoi.gov.vn/", "UBND Ủy ban nhân dân xã Tốt Động  thành phố Hà Nội")</f>
      </c>
      <c r="C1505" t="str">
        <v>https://chuongmy.hanoi.gov.vn/</v>
      </c>
      <c r="D1505" t="str">
        <v>-</v>
      </c>
      <c r="E1505" t="str">
        <v>-</v>
      </c>
      <c r="F1505" t="str">
        <v>-</v>
      </c>
      <c r="G1505" t="str">
        <v>-</v>
      </c>
    </row>
    <row r="1506">
      <c r="A1506">
        <v>1505</v>
      </c>
      <c r="B1506">
        <f>HYPERLINK("https://www.facebook.com/p/X%C3%A3-Lam-%C4%90i%E1%BB%81n-Ch%C6%B0%C6%A1ng-M%E1%BB%B9-100084151094041/", "Công an xã Lam Điền  thành phố Hà Nội")</f>
      </c>
      <c r="C1506" t="str">
        <v>https://www.facebook.com/p/X%C3%A3-Lam-%C4%90i%E1%BB%81n-Ch%C6%B0%C6%A1ng-M%E1%BB%B9-100084151094041/</v>
      </c>
      <c r="D1506" t="str">
        <v>-</v>
      </c>
      <c r="E1506" t="str">
        <v>0988703618</v>
      </c>
      <c r="F1506" t="str">
        <v>xld_chuongmy@hanoi.gov.vn</v>
      </c>
      <c r="G1506" t="str">
        <v>Hanoi, Vietnam</v>
      </c>
    </row>
    <row r="1507">
      <c r="A1507">
        <v>1506</v>
      </c>
      <c r="B1507">
        <f>HYPERLINK("https://chuongmy.hanoi.gov.vn/", "UBND Ủy ban nhân dân xã Lam Điền  thành phố Hà Nội")</f>
      </c>
      <c r="C1507" t="str">
        <v>https://chuongmy.hanoi.gov.vn/</v>
      </c>
      <c r="D1507" t="str">
        <v>-</v>
      </c>
      <c r="E1507" t="str">
        <v>-</v>
      </c>
      <c r="F1507" t="str">
        <v>-</v>
      </c>
      <c r="G1507" t="str">
        <v>-</v>
      </c>
    </row>
    <row r="1508">
      <c r="A1508">
        <v>1507</v>
      </c>
      <c r="B1508" t="str">
        <v>Công an xã Tân Tiến  thành phố Hà Nội</v>
      </c>
      <c r="C1508" t="str">
        <v>-</v>
      </c>
      <c r="D1508" t="str">
        <v>-</v>
      </c>
      <c r="E1508" t="str">
        <v/>
      </c>
      <c r="F1508" t="str">
        <v>-</v>
      </c>
      <c r="G1508" t="str">
        <v>-</v>
      </c>
    </row>
    <row r="1509">
      <c r="A1509">
        <v>1508</v>
      </c>
      <c r="B1509">
        <f>HYPERLINK("https://tantien.tpbacgiang.bacgiang.gov.vn/", "UBND Ủy ban nhân dân xã Tân Tiến  thành phố Hà Nội")</f>
      </c>
      <c r="C1509" t="str">
        <v>https://tantien.tpbacgiang.bacgiang.gov.vn/</v>
      </c>
      <c r="D1509" t="str">
        <v>-</v>
      </c>
      <c r="E1509" t="str">
        <v>-</v>
      </c>
      <c r="F1509" t="str">
        <v>-</v>
      </c>
      <c r="G1509" t="str">
        <v>-</v>
      </c>
    </row>
    <row r="1510">
      <c r="A1510">
        <v>1509</v>
      </c>
      <c r="B1510" t="str">
        <v>Công an xã Nam Phương Tiến  thành phố Hà Nội</v>
      </c>
      <c r="C1510" t="str">
        <v>-</v>
      </c>
      <c r="D1510" t="str">
        <v>-</v>
      </c>
      <c r="E1510" t="str">
        <v/>
      </c>
      <c r="F1510" t="str">
        <v>-</v>
      </c>
      <c r="G1510" t="str">
        <v>-</v>
      </c>
    </row>
    <row r="1511">
      <c r="A1511">
        <v>1510</v>
      </c>
      <c r="B1511">
        <f>HYPERLINK("https://chuongmy.hanoi.gov.vn/", "UBND Ủy ban nhân dân xã Nam Phương Tiến  thành phố Hà Nội")</f>
      </c>
      <c r="C1511" t="str">
        <v>https://chuongmy.hanoi.gov.vn/</v>
      </c>
      <c r="D1511" t="str">
        <v>-</v>
      </c>
      <c r="E1511" t="str">
        <v>-</v>
      </c>
      <c r="F1511" t="str">
        <v>-</v>
      </c>
      <c r="G1511" t="str">
        <v>-</v>
      </c>
    </row>
    <row r="1512">
      <c r="A1512">
        <v>1511</v>
      </c>
      <c r="B1512">
        <f>HYPERLINK("https://www.facebook.com/tuoitreconganquanhadong/", "Công an xã Hợp Đồng  thành phố Hà Nội")</f>
      </c>
      <c r="C1512" t="str">
        <v>https://www.facebook.com/tuoitreconganquanhadong/</v>
      </c>
      <c r="D1512" t="str">
        <v>-</v>
      </c>
      <c r="E1512" t="str">
        <v/>
      </c>
      <c r="F1512" t="str">
        <v>-</v>
      </c>
      <c r="G1512" t="str">
        <v>-</v>
      </c>
    </row>
    <row r="1513">
      <c r="A1513">
        <v>1512</v>
      </c>
      <c r="B1513">
        <f>HYPERLINK("https://chuongmy.hanoi.gov.vn/", "UBND Ủy ban nhân dân xã Hợp Đồng  thành phố Hà Nội")</f>
      </c>
      <c r="C1513" t="str">
        <v>https://chuongmy.hanoi.gov.vn/</v>
      </c>
      <c r="D1513" t="str">
        <v>-</v>
      </c>
      <c r="E1513" t="str">
        <v>-</v>
      </c>
      <c r="F1513" t="str">
        <v>-</v>
      </c>
      <c r="G1513" t="str">
        <v>-</v>
      </c>
    </row>
    <row r="1514">
      <c r="A1514">
        <v>1513</v>
      </c>
      <c r="B1514">
        <f>HYPERLINK("https://www.facebook.com/groups/toi.yeu.xa.hoang.van.thu.huyen.chuong.my/", "Công an xã Hoàng Văn Thụ  thành phố Hà Nội")</f>
      </c>
      <c r="C1514" t="str">
        <v>https://www.facebook.com/groups/toi.yeu.xa.hoang.van.thu.huyen.chuong.my/</v>
      </c>
      <c r="D1514" t="str">
        <v>-</v>
      </c>
      <c r="E1514" t="str">
        <v/>
      </c>
      <c r="F1514" t="str">
        <v>-</v>
      </c>
      <c r="G1514" t="str">
        <v>-</v>
      </c>
    </row>
    <row r="1515">
      <c r="A1515">
        <v>1514</v>
      </c>
      <c r="B1515">
        <f>HYPERLINK("https://chuongmy.hanoi.gov.vn/", "UBND Ủy ban nhân dân xã Hoàng Văn Thụ  thành phố Hà Nội")</f>
      </c>
      <c r="C1515" t="str">
        <v>https://chuongmy.hanoi.gov.vn/</v>
      </c>
      <c r="D1515" t="str">
        <v>-</v>
      </c>
      <c r="E1515" t="str">
        <v>-</v>
      </c>
      <c r="F1515" t="str">
        <v>-</v>
      </c>
      <c r="G1515" t="str">
        <v>-</v>
      </c>
    </row>
    <row r="1516">
      <c r="A1516">
        <v>1515</v>
      </c>
      <c r="B1516">
        <f>HYPERLINK("https://www.facebook.com/UbndXaHoangDieu/?locale=vi_VN", "Công an xã Hoàng Diệu  thành phố Hà Nội")</f>
      </c>
      <c r="C1516" t="str">
        <v>https://www.facebook.com/UbndXaHoangDieu/?locale=vi_VN</v>
      </c>
      <c r="D1516" t="str">
        <v>-</v>
      </c>
      <c r="E1516" t="str">
        <v/>
      </c>
      <c r="F1516" t="str">
        <v>-</v>
      </c>
      <c r="G1516" t="str">
        <v>-</v>
      </c>
    </row>
    <row r="1517">
      <c r="A1517">
        <v>1516</v>
      </c>
      <c r="B1517">
        <f>HYPERLINK("https://hoangdieu.chuongmy.hanoi.gov.vn/tin-chi-tiet/-/chi-tiet/ubnd-xa-hoang-dieu-1777-1181.html", "UBND Ủy ban nhân dân xã Hoàng Diệu  thành phố Hà Nội")</f>
      </c>
      <c r="C1517" t="str">
        <v>https://hoangdieu.chuongmy.hanoi.gov.vn/tin-chi-tiet/-/chi-tiet/ubnd-xa-hoang-dieu-1777-1181.html</v>
      </c>
      <c r="D1517" t="str">
        <v>-</v>
      </c>
      <c r="E1517" t="str">
        <v>-</v>
      </c>
      <c r="F1517" t="str">
        <v>-</v>
      </c>
      <c r="G1517" t="str">
        <v>-</v>
      </c>
    </row>
    <row r="1518">
      <c r="A1518">
        <v>1517</v>
      </c>
      <c r="B1518">
        <f>HYPERLINK("https://www.facebook.com/doanthanhnien.1956/", "Công an xã Hữu Văn  thành phố Hà Nội")</f>
      </c>
      <c r="C1518" t="str">
        <v>https://www.facebook.com/doanthanhnien.1956/</v>
      </c>
      <c r="D1518" t="str">
        <v>-</v>
      </c>
      <c r="E1518" t="str">
        <v/>
      </c>
      <c r="F1518" t="str">
        <v>doanthanhniencatphanoi@gmail.com</v>
      </c>
      <c r="G1518" t="str">
        <v>87 phố Trần Hưng Đạo, quận Hoàn Kiếm, TP Hà Nội, Hanoi, Vietnam</v>
      </c>
    </row>
    <row r="1519">
      <c r="A1519">
        <v>1518</v>
      </c>
      <c r="B1519">
        <f>HYPERLINK("https://chuongmy.hanoi.gov.vn/", "UBND Ủy ban nhân dân xã Hữu Văn  thành phố Hà Nội")</f>
      </c>
      <c r="C1519" t="str">
        <v>https://chuongmy.hanoi.gov.vn/</v>
      </c>
      <c r="D1519" t="str">
        <v>-</v>
      </c>
      <c r="E1519" t="str">
        <v>-</v>
      </c>
      <c r="F1519" t="str">
        <v>-</v>
      </c>
      <c r="G1519" t="str">
        <v>-</v>
      </c>
    </row>
    <row r="1520">
      <c r="A1520">
        <v>1519</v>
      </c>
      <c r="B1520">
        <f>HYPERLINK("https://www.facebook.com/p/Tu%E1%BB%95i-Tr%E1%BA%BB-C%C3%B4ng-An-Huy%E1%BB%87n-Ch%C6%B0%C6%A1ng-M%E1%BB%B9-100028578047777/", "Công an xã Quảng Bị  thành phố Hà Nội")</f>
      </c>
      <c r="C1520" t="str">
        <v>https://www.facebook.com/p/Tu%E1%BB%95i-Tr%E1%BA%BB-C%C3%B4ng-An-Huy%E1%BB%87n-Ch%C6%B0%C6%A1ng-M%E1%BB%B9-100028578047777/</v>
      </c>
      <c r="D1520" t="str">
        <v>-</v>
      </c>
      <c r="E1520" t="str">
        <v/>
      </c>
      <c r="F1520" t="str">
        <v>doantncahchuongmy@gmail.com</v>
      </c>
      <c r="G1520" t="str">
        <v>Số 29A, Tổ dân phố Ninh Kiều, huyện Chương Mỹ, thành phố Hà Nội, Hanoi, Vietnam</v>
      </c>
    </row>
    <row r="1521">
      <c r="A1521">
        <v>1520</v>
      </c>
      <c r="B1521">
        <f>HYPERLINK("https://chuongmy.hanoi.gov.vn/ubnd-cac-xa-thi-tran", "UBND Ủy ban nhân dân xã Quảng Bị  thành phố Hà Nội")</f>
      </c>
      <c r="C1521" t="str">
        <v>https://chuongmy.hanoi.gov.vn/ubnd-cac-xa-thi-tran</v>
      </c>
      <c r="D1521" t="str">
        <v>-</v>
      </c>
      <c r="E1521" t="str">
        <v>-</v>
      </c>
      <c r="F1521" t="str">
        <v>-</v>
      </c>
      <c r="G1521" t="str">
        <v>-</v>
      </c>
    </row>
    <row r="1522">
      <c r="A1522">
        <v>1521</v>
      </c>
      <c r="B1522">
        <f>HYPERLINK("https://www.facebook.com/p/Tu%E1%BB%95i-Tr%E1%BA%BB-C%C3%B4ng-An-Huy%E1%BB%87n-Ch%C6%B0%C6%A1ng-M%E1%BB%B9-100028578047777/", "Công an xã Mỹ Lương  thành phố Hà Nội")</f>
      </c>
      <c r="C1522" t="str">
        <v>https://www.facebook.com/p/Tu%E1%BB%95i-Tr%E1%BA%BB-C%C3%B4ng-An-Huy%E1%BB%87n-Ch%C6%B0%C6%A1ng-M%E1%BB%B9-100028578047777/</v>
      </c>
      <c r="D1522" t="str">
        <v>-</v>
      </c>
      <c r="E1522" t="str">
        <v/>
      </c>
      <c r="F1522" t="str">
        <v>doantncahchuongmy@gmail.com</v>
      </c>
      <c r="G1522" t="str">
        <v>Số 29A, Tổ dân phố Ninh Kiều, huyện Chương Mỹ, thành phố Hà Nội, Hanoi, Vietnam</v>
      </c>
    </row>
    <row r="1523">
      <c r="A1523">
        <v>1522</v>
      </c>
      <c r="B1523">
        <f>HYPERLINK("https://chuongmy.hanoi.gov.vn/", "UBND Ủy ban nhân dân xã Mỹ Lương  thành phố Hà Nội")</f>
      </c>
      <c r="C1523" t="str">
        <v>https://chuongmy.hanoi.gov.vn/</v>
      </c>
      <c r="D1523" t="str">
        <v>-</v>
      </c>
      <c r="E1523" t="str">
        <v>-</v>
      </c>
      <c r="F1523" t="str">
        <v>-</v>
      </c>
      <c r="G1523" t="str">
        <v>-</v>
      </c>
    </row>
    <row r="1524">
      <c r="A1524">
        <v>1523</v>
      </c>
      <c r="B1524" t="str">
        <v>Công an xã Thượng Vực  thành phố Hà Nội</v>
      </c>
      <c r="C1524" t="str">
        <v>-</v>
      </c>
      <c r="D1524" t="str">
        <v>-</v>
      </c>
      <c r="E1524" t="str">
        <v/>
      </c>
      <c r="F1524" t="str">
        <v>-</v>
      </c>
      <c r="G1524" t="str">
        <v>-</v>
      </c>
    </row>
    <row r="1525">
      <c r="A1525">
        <v>1524</v>
      </c>
      <c r="B1525">
        <f>HYPERLINK("https://chuongmy.hanoi.gov.vn/tin-van-hoa-xa-hoi/-/news/pde1maEQe4QT/28859.html;jsessionid=ZuG4C-+TunbmdhlISpXH436a.node66", "UBND Ủy ban nhân dân xã Thượng Vực  thành phố Hà Nội")</f>
      </c>
      <c r="C1525" t="str">
        <v>https://chuongmy.hanoi.gov.vn/tin-van-hoa-xa-hoi/-/news/pde1maEQe4QT/28859.html;jsessionid=ZuG4C-+TunbmdhlISpXH436a.node66</v>
      </c>
      <c r="D1525" t="str">
        <v>-</v>
      </c>
      <c r="E1525" t="str">
        <v>-</v>
      </c>
      <c r="F1525" t="str">
        <v>-</v>
      </c>
      <c r="G1525" t="str">
        <v>-</v>
      </c>
    </row>
    <row r="1526">
      <c r="A1526">
        <v>1525</v>
      </c>
      <c r="B1526">
        <f>HYPERLINK("https://www.facebook.com/p/C%C3%B4ng-An-x%C3%A3-H%E1%BB%93ng-Phong-Huy%E1%BB%87n-An-D%C6%B0%C6%A1ng-TP-H%E1%BA%A3i-Ph%C3%B2ng-100069379315113/", "Công an xã Hồng Phong  thành phố Hà Nội")</f>
      </c>
      <c r="C1526" t="str">
        <v>https://www.facebook.com/p/C%C3%B4ng-An-x%C3%A3-H%E1%BB%93ng-Phong-Huy%E1%BB%87n-An-D%C6%B0%C6%A1ng-TP-H%E1%BA%A3i-Ph%C3%B2ng-100069379315113/</v>
      </c>
      <c r="D1526" t="str">
        <v>-</v>
      </c>
      <c r="E1526" t="str">
        <v>0902010393</v>
      </c>
      <c r="F1526" t="str">
        <v>Duonghp888@gmail.com</v>
      </c>
      <c r="G1526" t="str">
        <v>Hai Phong, Vietnam</v>
      </c>
    </row>
    <row r="1527">
      <c r="A1527">
        <v>1526</v>
      </c>
      <c r="B1527">
        <f>HYPERLINK("https://danphuong.hanoi.gov.vn/", "UBND Ủy ban nhân dân xã Hồng Phong  thành phố Hà Nội")</f>
      </c>
      <c r="C1527" t="str">
        <v>https://danphuong.hanoi.gov.vn/</v>
      </c>
      <c r="D1527" t="str">
        <v>-</v>
      </c>
      <c r="E1527" t="str">
        <v>-</v>
      </c>
      <c r="F1527" t="str">
        <v>-</v>
      </c>
      <c r="G1527" t="str">
        <v>-</v>
      </c>
    </row>
    <row r="1528">
      <c r="A1528">
        <v>1527</v>
      </c>
      <c r="B1528">
        <f>HYPERLINK("https://www.facebook.com/p/Tu%E1%BB%95i-Tr%E1%BA%BB-C%C3%B4ng-An-Huy%E1%BB%87n-Ch%C6%B0%C6%A1ng-M%E1%BB%B9-100028578047777/?locale=pt_PT", "Công an xã Đồng Phú  thành phố Hà Nội")</f>
      </c>
      <c r="C1528" t="str">
        <v>https://www.facebook.com/p/Tu%E1%BB%95i-Tr%E1%BA%BB-C%C3%B4ng-An-Huy%E1%BB%87n-Ch%C6%B0%C6%A1ng-M%E1%BB%B9-100028578047777/?locale=pt_PT</v>
      </c>
      <c r="D1528" t="str">
        <v>-</v>
      </c>
      <c r="E1528" t="str">
        <v/>
      </c>
      <c r="F1528" t="str">
        <v>doantncahchuongmy@gmail.com</v>
      </c>
      <c r="G1528" t="str">
        <v>Số 29A, Tổ dân phố Ninh Kiều, huyện Chương Mỹ, thành phố Hà Nội, Hanoi, Vietnam</v>
      </c>
    </row>
    <row r="1529">
      <c r="A1529">
        <v>1528</v>
      </c>
      <c r="B1529">
        <f>HYPERLINK("https://hanoi.gov.vn/hn-1/-/hn/VWY2FnKi7zTm/2794746/xa-ong-phu-huyen-chuong-my-on-nhan-bang-cong-nhan-xa-at-chuan-nong-thon-moi.html;jsessionid=BXV+2AKrfLlBp0R2Q5T1ZAuq.app2", "UBND Ủy ban nhân dân xã Đồng Phú  thành phố Hà Nội")</f>
      </c>
      <c r="C1529" t="str">
        <v>https://hanoi.gov.vn/hn-1/-/hn/VWY2FnKi7zTm/2794746/xa-ong-phu-huyen-chuong-my-on-nhan-bang-cong-nhan-xa-at-chuan-nong-thon-moi.html;jsessionid=BXV+2AKrfLlBp0R2Q5T1ZAuq.app2</v>
      </c>
      <c r="D1529" t="str">
        <v>-</v>
      </c>
      <c r="E1529" t="str">
        <v>-</v>
      </c>
      <c r="F1529" t="str">
        <v>-</v>
      </c>
      <c r="G1529" t="str">
        <v>-</v>
      </c>
    </row>
    <row r="1530">
      <c r="A1530">
        <v>1529</v>
      </c>
      <c r="B1530">
        <f>HYPERLINK("https://www.facebook.com/p/Tu%E1%BB%95i-Tr%E1%BA%BB-C%C3%B4ng-An-Huy%E1%BB%87n-Ch%C6%B0%C6%A1ng-M%E1%BB%B9-100028578047777/?locale=el_GR", "Công an xã Trần Phú  thành phố Hà Nội")</f>
      </c>
      <c r="C1530" t="str">
        <v>https://www.facebook.com/p/Tu%E1%BB%95i-Tr%E1%BA%BB-C%C3%B4ng-An-Huy%E1%BB%87n-Ch%C6%B0%C6%A1ng-M%E1%BB%B9-100028578047777/?locale=el_GR</v>
      </c>
      <c r="D1530" t="str">
        <v>-</v>
      </c>
      <c r="E1530" t="str">
        <v/>
      </c>
      <c r="F1530" t="str">
        <v>doantncahchuongmy@gmail.com</v>
      </c>
      <c r="G1530" t="str">
        <v>Số 29A, Tổ dân phố Ninh Kiều, huyện Chương Mỹ, thành phố Hà Nội, Hanoi, Vietnam</v>
      </c>
    </row>
    <row r="1531">
      <c r="A1531">
        <v>1530</v>
      </c>
      <c r="B1531">
        <f>HYPERLINK("https://chuongmy.hanoi.gov.vn/", "UBND Ủy ban nhân dân xã Trần Phú  thành phố Hà Nội")</f>
      </c>
      <c r="C1531" t="str">
        <v>https://chuongmy.hanoi.gov.vn/</v>
      </c>
      <c r="D1531" t="str">
        <v>-</v>
      </c>
      <c r="E1531" t="str">
        <v>-</v>
      </c>
      <c r="F1531" t="str">
        <v>-</v>
      </c>
      <c r="G1531" t="str">
        <v>-</v>
      </c>
    </row>
    <row r="1532">
      <c r="A1532">
        <v>1531</v>
      </c>
      <c r="B1532">
        <f>HYPERLINK("https://www.facebook.com/p/Tu%E1%BB%95i-Tr%E1%BA%BB-C%C3%B4ng-An-X%C3%A3-V%C4%83n-V%C3%B5-100065703663197/", "Công an xã Văn Võ  thành phố Hà Nội")</f>
      </c>
      <c r="C1532" t="str">
        <v>https://www.facebook.com/p/Tu%E1%BB%95i-Tr%E1%BA%BB-C%C3%B4ng-An-X%C3%A3-V%C4%83n-V%C3%B5-100065703663197/</v>
      </c>
      <c r="D1532" t="str">
        <v>-</v>
      </c>
      <c r="E1532" t="str">
        <v/>
      </c>
      <c r="F1532" t="str">
        <v>-</v>
      </c>
      <c r="G1532" t="str">
        <v>-</v>
      </c>
    </row>
    <row r="1533">
      <c r="A1533">
        <v>1532</v>
      </c>
      <c r="B1533">
        <f>HYPERLINK("https://chuongmy.hanoi.gov.vn/", "UBND Ủy ban nhân dân xã Văn Võ  thành phố Hà Nội")</f>
      </c>
      <c r="C1533" t="str">
        <v>https://chuongmy.hanoi.gov.vn/</v>
      </c>
      <c r="D1533" t="str">
        <v>-</v>
      </c>
      <c r="E1533" t="str">
        <v>-</v>
      </c>
      <c r="F1533" t="str">
        <v>-</v>
      </c>
      <c r="G1533" t="str">
        <v>-</v>
      </c>
    </row>
    <row r="1534">
      <c r="A1534">
        <v>1533</v>
      </c>
      <c r="B1534" t="str">
        <v>Công an xã Đồng Lạc  thành phố Hà Nội</v>
      </c>
      <c r="C1534" t="str">
        <v>-</v>
      </c>
      <c r="D1534" t="str">
        <v>-</v>
      </c>
      <c r="E1534" t="str">
        <v/>
      </c>
      <c r="F1534" t="str">
        <v>-</v>
      </c>
      <c r="G1534" t="str">
        <v>-</v>
      </c>
    </row>
    <row r="1535">
      <c r="A1535">
        <v>1534</v>
      </c>
      <c r="B1535">
        <f>HYPERLINK("https://chuongmy.hanoi.gov.vn/", "UBND Ủy ban nhân dân xã Đồng Lạc  thành phố Hà Nội")</f>
      </c>
      <c r="C1535" t="str">
        <v>https://chuongmy.hanoi.gov.vn/</v>
      </c>
      <c r="D1535" t="str">
        <v>-</v>
      </c>
      <c r="E1535" t="str">
        <v>-</v>
      </c>
      <c r="F1535" t="str">
        <v>-</v>
      </c>
      <c r="G1535" t="str">
        <v>-</v>
      </c>
    </row>
    <row r="1536">
      <c r="A1536">
        <v>1535</v>
      </c>
      <c r="B1536">
        <f>HYPERLINK("https://www.facebook.com/doanthanhnien.1956/", "Công an xã Hòa Chính  thành phố Hà Nội")</f>
      </c>
      <c r="C1536" t="str">
        <v>https://www.facebook.com/doanthanhnien.1956/</v>
      </c>
      <c r="D1536" t="str">
        <v>-</v>
      </c>
      <c r="E1536" t="str">
        <v/>
      </c>
      <c r="F1536" t="str">
        <v>doanthanhniencatphanoi@gmail.com</v>
      </c>
      <c r="G1536" t="str">
        <v>87 phố Trần Hưng Đạo, quận Hoàn Kiếm, TP Hà Nội, Hanoi, Vietnam</v>
      </c>
    </row>
    <row r="1537">
      <c r="A1537">
        <v>1536</v>
      </c>
      <c r="B1537">
        <f>HYPERLINK("https://chuongmy.hanoi.gov.vn/", "UBND Ủy ban nhân dân xã Hòa Chính  thành phố Hà Nội")</f>
      </c>
      <c r="C1537" t="str">
        <v>https://chuongmy.hanoi.gov.vn/</v>
      </c>
      <c r="D1537" t="str">
        <v>-</v>
      </c>
      <c r="E1537" t="str">
        <v>-</v>
      </c>
      <c r="F1537" t="str">
        <v>-</v>
      </c>
      <c r="G1537" t="str">
        <v>-</v>
      </c>
    </row>
    <row r="1538">
      <c r="A1538">
        <v>1537</v>
      </c>
      <c r="B1538">
        <f>HYPERLINK("https://www.facebook.com/p/Tu%E1%BB%95i-tr%E1%BA%BB-C%C3%B4ng-an-Th%C3%A0nh-ph%E1%BB%91-V%C4%A9nh-Y%C3%AAn-100066497717181/?locale=nl_BE", "Công an xã Phú Nam An  thành phố Hà Nội")</f>
      </c>
      <c r="C1538" t="str">
        <v>https://www.facebook.com/p/Tu%E1%BB%95i-tr%E1%BA%BB-C%C3%B4ng-an-Th%C3%A0nh-ph%E1%BB%91-V%C4%A9nh-Y%C3%AAn-100066497717181/?locale=nl_BE</v>
      </c>
      <c r="D1538" t="str">
        <v>-</v>
      </c>
      <c r="E1538" t="str">
        <v>02113861204</v>
      </c>
      <c r="F1538" t="str">
        <v>-</v>
      </c>
      <c r="G1538" t="str">
        <v>Lê Xoay - Ngô Quyền - Vĩnh Yên, Yen, Vietnam</v>
      </c>
    </row>
    <row r="1539">
      <c r="A1539">
        <v>1538</v>
      </c>
      <c r="B1539">
        <f>HYPERLINK("https://chuongmy.hanoi.gov.vn/", "UBND Ủy ban nhân dân xã Phú Nam An  thành phố Hà Nội")</f>
      </c>
      <c r="C1539" t="str">
        <v>https://chuongmy.hanoi.gov.vn/</v>
      </c>
      <c r="D1539" t="str">
        <v>-</v>
      </c>
      <c r="E1539" t="str">
        <v>-</v>
      </c>
      <c r="F1539" t="str">
        <v>-</v>
      </c>
      <c r="G1539" t="str">
        <v>-</v>
      </c>
    </row>
    <row r="1540">
      <c r="A1540">
        <v>1539</v>
      </c>
      <c r="B1540" t="str">
        <v>Công an thị trấn Kim Bài  thành phố Hà Nội</v>
      </c>
      <c r="C1540" t="str">
        <v>-</v>
      </c>
      <c r="D1540" t="str">
        <v>-</v>
      </c>
      <c r="E1540" t="str">
        <v/>
      </c>
      <c r="F1540" t="str">
        <v>-</v>
      </c>
      <c r="G1540" t="str">
        <v>-</v>
      </c>
    </row>
    <row r="1541">
      <c r="A1541">
        <v>1540</v>
      </c>
      <c r="B1541">
        <f>HYPERLINK("https://kimbai.thanhoai.hanoi.gov.vn/", "UBND Ủy ban nhân dân thị trấn Kim Bài  thành phố Hà Nội")</f>
      </c>
      <c r="C1541" t="str">
        <v>https://kimbai.thanhoai.hanoi.gov.vn/</v>
      </c>
      <c r="D1541" t="str">
        <v>-</v>
      </c>
      <c r="E1541" t="str">
        <v>-</v>
      </c>
      <c r="F1541" t="str">
        <v>-</v>
      </c>
      <c r="G1541" t="str">
        <v>-</v>
      </c>
    </row>
    <row r="1542">
      <c r="A1542">
        <v>1541</v>
      </c>
      <c r="B1542">
        <f>HYPERLINK("https://www.facebook.com/322827476213987", "Công an xã Cự Khê  thành phố Hà Nội")</f>
      </c>
      <c r="C1542" t="str">
        <v>https://www.facebook.com/322827476213987</v>
      </c>
      <c r="D1542" t="str">
        <v>-</v>
      </c>
      <c r="E1542" t="str">
        <v/>
      </c>
      <c r="F1542" t="str">
        <v>-</v>
      </c>
      <c r="G1542" t="str">
        <v>-</v>
      </c>
    </row>
    <row r="1543">
      <c r="A1543">
        <v>1542</v>
      </c>
      <c r="B1543">
        <f>HYPERLINK("https://cukhe.thanhoai.hanoi.gov.vn/ubnd-x%C3%A3", "UBND Ủy ban nhân dân xã Cự Khê  thành phố Hà Nội")</f>
      </c>
      <c r="C1543" t="str">
        <v>https://cukhe.thanhoai.hanoi.gov.vn/ubnd-x%C3%A3</v>
      </c>
      <c r="D1543" t="str">
        <v>-</v>
      </c>
      <c r="E1543" t="str">
        <v>-</v>
      </c>
      <c r="F1543" t="str">
        <v>-</v>
      </c>
      <c r="G1543" t="str">
        <v>-</v>
      </c>
    </row>
    <row r="1544">
      <c r="A1544">
        <v>1543</v>
      </c>
      <c r="B1544">
        <f>HYPERLINK("https://www.facebook.com/groups/toi.yeu.xa.bich.hoa.huyen.thanh.oai/", "Công an xã Bích Hòa  thành phố Hà Nội")</f>
      </c>
      <c r="C1544" t="str">
        <v>https://www.facebook.com/groups/toi.yeu.xa.bich.hoa.huyen.thanh.oai/</v>
      </c>
      <c r="D1544" t="str">
        <v>-</v>
      </c>
      <c r="E1544" t="str">
        <v/>
      </c>
      <c r="F1544" t="str">
        <v>-</v>
      </c>
      <c r="G1544" t="str">
        <v>-</v>
      </c>
    </row>
    <row r="1545">
      <c r="A1545">
        <v>1544</v>
      </c>
      <c r="B1545">
        <f>HYPERLINK("https://bichhoa.thanhoai.hanoi.gov.vn/", "UBND Ủy ban nhân dân xã Bích Hòa  thành phố Hà Nội")</f>
      </c>
      <c r="C1545" t="str">
        <v>https://bichhoa.thanhoai.hanoi.gov.vn/</v>
      </c>
      <c r="D1545" t="str">
        <v>-</v>
      </c>
      <c r="E1545" t="str">
        <v>-</v>
      </c>
      <c r="F1545" t="str">
        <v>-</v>
      </c>
      <c r="G1545" t="str">
        <v>-</v>
      </c>
    </row>
    <row r="1546">
      <c r="A1546">
        <v>1545</v>
      </c>
      <c r="B1546">
        <f>HYPERLINK("https://www.facebook.com/p/Tu%E1%BB%95i-Tr%E1%BA%BB-C%C3%B4ng-An-Huy%E1%BB%87n-Ch%C6%B0%C6%A1ng-M%E1%BB%B9-100028578047777/", "Công an xã Mỹ Hưng  thành phố Hà Nội")</f>
      </c>
      <c r="C1546" t="str">
        <v>https://www.facebook.com/p/Tu%E1%BB%95i-Tr%E1%BA%BB-C%C3%B4ng-An-Huy%E1%BB%87n-Ch%C6%B0%C6%A1ng-M%E1%BB%B9-100028578047777/</v>
      </c>
      <c r="D1546" t="str">
        <v>-</v>
      </c>
      <c r="E1546" t="str">
        <v/>
      </c>
      <c r="F1546" t="str">
        <v>doantncahchuongmy@gmail.com</v>
      </c>
      <c r="G1546" t="str">
        <v>Số 29A, Tổ dân phố Ninh Kiều, huyện Chương Mỹ, thành phố Hà Nội, Hanoi, Vietnam</v>
      </c>
    </row>
    <row r="1547">
      <c r="A1547">
        <v>1546</v>
      </c>
      <c r="B1547">
        <f>HYPERLINK("https://chuongmy.hanoi.gov.vn/", "UBND Ủy ban nhân dân xã Mỹ Hưng  thành phố Hà Nội")</f>
      </c>
      <c r="C1547" t="str">
        <v>https://chuongmy.hanoi.gov.vn/</v>
      </c>
      <c r="D1547" t="str">
        <v>-</v>
      </c>
      <c r="E1547" t="str">
        <v>-</v>
      </c>
      <c r="F1547" t="str">
        <v>-</v>
      </c>
      <c r="G1547" t="str">
        <v>-</v>
      </c>
    </row>
    <row r="1548">
      <c r="A1548">
        <v>1547</v>
      </c>
      <c r="B1548">
        <f>HYPERLINK("https://www.facebook.com/dtncongancaugiay/", "Công an xã Cao Viên  thành phố Hà Nội")</f>
      </c>
      <c r="C1548" t="str">
        <v>https://www.facebook.com/dtncongancaugiay/</v>
      </c>
      <c r="D1548" t="str">
        <v>-</v>
      </c>
      <c r="E1548" t="str">
        <v/>
      </c>
      <c r="F1548" t="str">
        <v>doancacaugiay@gmail.com</v>
      </c>
      <c r="G1548" t="str">
        <v>Số 62 đường Nguyễn Văn Huyên, phường Nghĩa Đô, quận Cầu Giấy, Hanoi, Vietnam</v>
      </c>
    </row>
    <row r="1549">
      <c r="A1549">
        <v>1548</v>
      </c>
      <c r="B1549">
        <f>HYPERLINK("https://caovien.thanhoai.hanoi.gov.vn/ubnd-x%C3%A3", "UBND Ủy ban nhân dân xã Cao Viên  thành phố Hà Nội")</f>
      </c>
      <c r="C1549" t="str">
        <v>https://caovien.thanhoai.hanoi.gov.vn/ubnd-x%C3%A3</v>
      </c>
      <c r="D1549" t="str">
        <v>-</v>
      </c>
      <c r="E1549" t="str">
        <v>-</v>
      </c>
      <c r="F1549" t="str">
        <v>-</v>
      </c>
      <c r="G1549" t="str">
        <v>-</v>
      </c>
    </row>
    <row r="1550">
      <c r="A1550">
        <v>1549</v>
      </c>
      <c r="B1550" t="str">
        <v>Công an xã Bình Minh  thành phố Hà Nội</v>
      </c>
      <c r="C1550" t="str">
        <v>-</v>
      </c>
      <c r="D1550" t="str">
        <v>-</v>
      </c>
      <c r="E1550" t="str">
        <v/>
      </c>
      <c r="F1550" t="str">
        <v>-</v>
      </c>
      <c r="G1550" t="str">
        <v>-</v>
      </c>
    </row>
    <row r="1551">
      <c r="A1551">
        <v>1550</v>
      </c>
      <c r="B1551">
        <f>HYPERLINK("https://binhminh.thanhoai.hanoi.gov.vn/", "UBND Ủy ban nhân dân xã Bình Minh  thành phố Hà Nội")</f>
      </c>
      <c r="C1551" t="str">
        <v>https://binhminh.thanhoai.hanoi.gov.vn/</v>
      </c>
      <c r="D1551" t="str">
        <v>-</v>
      </c>
      <c r="E1551" t="str">
        <v>-</v>
      </c>
      <c r="F1551" t="str">
        <v>-</v>
      </c>
      <c r="G1551" t="str">
        <v>-</v>
      </c>
    </row>
    <row r="1552">
      <c r="A1552">
        <v>1551</v>
      </c>
      <c r="B1552" t="str">
        <v>Công an xã Tam Hưng  thành phố Hà Nội</v>
      </c>
      <c r="C1552" t="str">
        <v>-</v>
      </c>
      <c r="D1552" t="str">
        <v>-</v>
      </c>
      <c r="E1552" t="str">
        <v/>
      </c>
      <c r="F1552" t="str">
        <v>-</v>
      </c>
      <c r="G1552" t="str">
        <v>-</v>
      </c>
    </row>
    <row r="1553">
      <c r="A1553">
        <v>1552</v>
      </c>
      <c r="B1553">
        <f>HYPERLINK("https://tamhung.thanhoai.hanoi.gov.vn/", "UBND Ủy ban nhân dân xã Tam Hưng  thành phố Hà Nội")</f>
      </c>
      <c r="C1553" t="str">
        <v>https://tamhung.thanhoai.hanoi.gov.vn/</v>
      </c>
      <c r="D1553" t="str">
        <v>-</v>
      </c>
      <c r="E1553" t="str">
        <v>-</v>
      </c>
      <c r="F1553" t="str">
        <v>-</v>
      </c>
      <c r="G1553" t="str">
        <v>-</v>
      </c>
    </row>
    <row r="1554">
      <c r="A1554">
        <v>1553</v>
      </c>
      <c r="B1554">
        <f>HYPERLINK("https://www.facebook.com/doanthanhnien.1956/", "Công an xã Thanh Cao  thành phố Hà Nội")</f>
      </c>
      <c r="C1554" t="str">
        <v>https://www.facebook.com/doanthanhnien.1956/</v>
      </c>
      <c r="D1554" t="str">
        <v>-</v>
      </c>
      <c r="E1554" t="str">
        <v/>
      </c>
      <c r="F1554" t="str">
        <v>doanthanhniencatphanoi@gmail.com</v>
      </c>
      <c r="G1554" t="str">
        <v>87 phố Trần Hưng Đạo, quận Hoàn Kiếm, TP Hà Nội, Hanoi, Vietnam</v>
      </c>
    </row>
    <row r="1555">
      <c r="A1555">
        <v>1554</v>
      </c>
      <c r="B1555">
        <f>HYPERLINK("https://chuongmy.hanoi.gov.vn/", "UBND Ủy ban nhân dân xã Thanh Cao  thành phố Hà Nội")</f>
      </c>
      <c r="C1555" t="str">
        <v>https://chuongmy.hanoi.gov.vn/</v>
      </c>
      <c r="D1555" t="str">
        <v>-</v>
      </c>
      <c r="E1555" t="str">
        <v>-</v>
      </c>
      <c r="F1555" t="str">
        <v>-</v>
      </c>
      <c r="G1555" t="str">
        <v>-</v>
      </c>
    </row>
    <row r="1556">
      <c r="A1556">
        <v>1555</v>
      </c>
      <c r="B1556">
        <f>HYPERLINK("https://www.facebook.com/p/Tu%E1%BB%95i-tr%E1%BA%BB-C%C3%B4ng-an-Th%C3%A0nh-ph%E1%BB%91-V%C4%A9nh-Y%C3%AAn-100066497717181/?locale=vi_VN", "Công an xã Thanh Thùy  thành phố Hà Nội")</f>
      </c>
      <c r="C1556" t="str">
        <v>https://www.facebook.com/p/Tu%E1%BB%95i-tr%E1%BA%BB-C%C3%B4ng-an-Th%C3%A0nh-ph%E1%BB%91-V%C4%A9nh-Y%C3%AAn-100066497717181/?locale=vi_VN</v>
      </c>
      <c r="D1556" t="str">
        <v>-</v>
      </c>
      <c r="E1556" t="str">
        <v>02113861204</v>
      </c>
      <c r="F1556" t="str">
        <v>-</v>
      </c>
      <c r="G1556" t="str">
        <v>Lê Xoay - Ngô Quyền - Vĩnh Yên, Yen, Vietnam</v>
      </c>
    </row>
    <row r="1557">
      <c r="A1557">
        <v>1556</v>
      </c>
      <c r="B1557">
        <f>HYPERLINK("https://thanhthuy.thanhoai.hanoi.gov.vn/", "UBND Ủy ban nhân dân xã Thanh Thùy  thành phố Hà Nội")</f>
      </c>
      <c r="C1557" t="str">
        <v>https://thanhthuy.thanhoai.hanoi.gov.vn/</v>
      </c>
      <c r="D1557" t="str">
        <v>-</v>
      </c>
      <c r="E1557" t="str">
        <v>-</v>
      </c>
      <c r="F1557" t="str">
        <v>-</v>
      </c>
      <c r="G1557" t="str">
        <v>-</v>
      </c>
    </row>
    <row r="1558">
      <c r="A1558">
        <v>1557</v>
      </c>
      <c r="B1558">
        <f>HYPERLINK("https://www.facebook.com/groups/915079079070610/", "Công an xã Thanh Mai  thành phố Hà Nội")</f>
      </c>
      <c r="C1558" t="str">
        <v>https://www.facebook.com/groups/915079079070610/</v>
      </c>
      <c r="D1558" t="str">
        <v>-</v>
      </c>
      <c r="E1558" t="str">
        <v/>
      </c>
      <c r="F1558" t="str">
        <v>-</v>
      </c>
      <c r="G1558" t="str">
        <v>-</v>
      </c>
    </row>
    <row r="1559">
      <c r="A1559">
        <v>1558</v>
      </c>
      <c r="B1559">
        <f>HYPERLINK("http://sontay.hanoi.gov.vn/", "UBND Ủy ban nhân dân xã Thanh Mai  thành phố Hà Nội")</f>
      </c>
      <c r="C1559" t="str">
        <v>http://sontay.hanoi.gov.vn/</v>
      </c>
      <c r="D1559" t="str">
        <v>-</v>
      </c>
      <c r="E1559" t="str">
        <v>-</v>
      </c>
      <c r="F1559" t="str">
        <v>-</v>
      </c>
      <c r="G1559" t="str">
        <v>-</v>
      </c>
    </row>
    <row r="1560">
      <c r="A1560">
        <v>1559</v>
      </c>
      <c r="B1560">
        <f>HYPERLINK("https://www.facebook.com/p/Tu%E1%BB%95i-tr%E1%BA%BB-C%C3%B4ng-an-Th%C3%A0nh-ph%E1%BB%91-V%C4%A9nh-Y%C3%AAn-100066497717181/?locale=vi_VN", "Công an xã Thanh Văn  thành phố Hà Nội")</f>
      </c>
      <c r="C1560" t="str">
        <v>https://www.facebook.com/p/Tu%E1%BB%95i-tr%E1%BA%BB-C%C3%B4ng-an-Th%C3%A0nh-ph%E1%BB%91-V%C4%A9nh-Y%C3%AAn-100066497717181/?locale=vi_VN</v>
      </c>
      <c r="D1560" t="str">
        <v>-</v>
      </c>
      <c r="E1560" t="str">
        <v>02113861204</v>
      </c>
      <c r="F1560" t="str">
        <v>-</v>
      </c>
      <c r="G1560" t="str">
        <v>Lê Xoay - Ngô Quyền - Vĩnh Yên, Yen, Vietnam</v>
      </c>
    </row>
    <row r="1561">
      <c r="A1561">
        <v>1560</v>
      </c>
      <c r="B1561">
        <f>HYPERLINK("https://melinh.hanoi.gov.vn/gioi-thieu-xa-thanh-lam-173201111105020120.htm", "UBND Ủy ban nhân dân xã Thanh Văn  thành phố Hà Nội")</f>
      </c>
      <c r="C1561" t="str">
        <v>https://melinh.hanoi.gov.vn/gioi-thieu-xa-thanh-lam-173201111105020120.htm</v>
      </c>
      <c r="D1561" t="str">
        <v>-</v>
      </c>
      <c r="E1561" t="str">
        <v>-</v>
      </c>
      <c r="F1561" t="str">
        <v>-</v>
      </c>
      <c r="G1561" t="str">
        <v>-</v>
      </c>
    </row>
    <row r="1562">
      <c r="A1562">
        <v>1561</v>
      </c>
      <c r="B1562">
        <f>HYPERLINK("https://www.facebook.com/doanthanhnien.1956/", "Công an xã Đỗ Động  thành phố Hà Nội")</f>
      </c>
      <c r="C1562" t="str">
        <v>https://www.facebook.com/doanthanhnien.1956/</v>
      </c>
      <c r="D1562" t="str">
        <v>-</v>
      </c>
      <c r="E1562" t="str">
        <v/>
      </c>
      <c r="F1562" t="str">
        <v>doanthanhniencatphanoi@gmail.com</v>
      </c>
      <c r="G1562" t="str">
        <v>87 phố Trần Hưng Đạo, quận Hoàn Kiếm, TP Hà Nội, Hanoi, Vietnam</v>
      </c>
    </row>
    <row r="1563">
      <c r="A1563">
        <v>1562</v>
      </c>
      <c r="B1563">
        <f>HYPERLINK("https://dodong.thanhoai.hanoi.gov.vn/", "UBND Ủy ban nhân dân xã Đỗ Động  thành phố Hà Nội")</f>
      </c>
      <c r="C1563" t="str">
        <v>https://dodong.thanhoai.hanoi.gov.vn/</v>
      </c>
      <c r="D1563" t="str">
        <v>-</v>
      </c>
      <c r="E1563" t="str">
        <v>-</v>
      </c>
      <c r="F1563" t="str">
        <v>-</v>
      </c>
      <c r="G1563" t="str">
        <v>-</v>
      </c>
    </row>
    <row r="1564">
      <c r="A1564">
        <v>1563</v>
      </c>
      <c r="B1564" t="str">
        <v>Công an xã Kim An  thành phố Hà Nội</v>
      </c>
      <c r="C1564" t="str">
        <v>-</v>
      </c>
      <c r="D1564" t="str">
        <v>-</v>
      </c>
      <c r="E1564" t="str">
        <v/>
      </c>
      <c r="F1564" t="str">
        <v>-</v>
      </c>
      <c r="G1564" t="str">
        <v>-</v>
      </c>
    </row>
    <row r="1565">
      <c r="A1565">
        <v>1564</v>
      </c>
      <c r="B1565">
        <f>HYPERLINK("https://kimbai.thanhoai.hanoi.gov.vn/tin-chi-tiet/-/chi-tiet/ke-hoach-thong-tin-tuyen-truyen-ve-thuc-hien-chu-truong-sap-xep-on-vi-hanh-chinh-xa-kim-thu-xa-kim-an-va-thi-tran-kim-bai-huyen-thanh-oai-1805-24.html", "UBND Ủy ban nhân dân xã Kim An  thành phố Hà Nội")</f>
      </c>
      <c r="C1565" t="str">
        <v>https://kimbai.thanhoai.hanoi.gov.vn/tin-chi-tiet/-/chi-tiet/ke-hoach-thong-tin-tuyen-truyen-ve-thuc-hien-chu-truong-sap-xep-on-vi-hanh-chinh-xa-kim-thu-xa-kim-an-va-thi-tran-kim-bai-huyen-thanh-oai-1805-24.html</v>
      </c>
      <c r="D1565" t="str">
        <v>-</v>
      </c>
      <c r="E1565" t="str">
        <v>-</v>
      </c>
      <c r="F1565" t="str">
        <v>-</v>
      </c>
      <c r="G1565" t="str">
        <v>-</v>
      </c>
    </row>
    <row r="1566">
      <c r="A1566">
        <v>1565</v>
      </c>
      <c r="B1566" t="str">
        <v>Công an xã Kim Thư  thành phố Hà Nội</v>
      </c>
      <c r="C1566" t="str">
        <v>-</v>
      </c>
      <c r="D1566" t="str">
        <v>-</v>
      </c>
      <c r="E1566" t="str">
        <v/>
      </c>
      <c r="F1566" t="str">
        <v>-</v>
      </c>
      <c r="G1566" t="str">
        <v>-</v>
      </c>
    </row>
    <row r="1567">
      <c r="A1567">
        <v>1566</v>
      </c>
      <c r="B1567">
        <f>HYPERLINK("https://kimthu.thanhoai.hanoi.gov.vn/", "UBND Ủy ban nhân dân xã Kim Thư  thành phố Hà Nội")</f>
      </c>
      <c r="C1567" t="str">
        <v>https://kimthu.thanhoai.hanoi.gov.vn/</v>
      </c>
      <c r="D1567" t="str">
        <v>-</v>
      </c>
      <c r="E1567" t="str">
        <v>-</v>
      </c>
      <c r="F1567" t="str">
        <v>-</v>
      </c>
      <c r="G1567" t="str">
        <v>-</v>
      </c>
    </row>
    <row r="1568">
      <c r="A1568">
        <v>1567</v>
      </c>
      <c r="B1568" t="str">
        <v>Công an xã Phương Trung  thành phố Hà Nội</v>
      </c>
      <c r="C1568" t="str">
        <v>-</v>
      </c>
      <c r="D1568" t="str">
        <v>-</v>
      </c>
      <c r="E1568" t="str">
        <v/>
      </c>
      <c r="F1568" t="str">
        <v>-</v>
      </c>
      <c r="G1568" t="str">
        <v>-</v>
      </c>
    </row>
    <row r="1569">
      <c r="A1569">
        <v>1568</v>
      </c>
      <c r="B1569">
        <f>HYPERLINK("https://phuongtrung.thanhoai.hanoi.gov.vn/", "UBND Ủy ban nhân dân xã Phương Trung  thành phố Hà Nội")</f>
      </c>
      <c r="C1569" t="str">
        <v>https://phuongtrung.thanhoai.hanoi.gov.vn/</v>
      </c>
      <c r="D1569" t="str">
        <v>-</v>
      </c>
      <c r="E1569" t="str">
        <v>-</v>
      </c>
      <c r="F1569" t="str">
        <v>-</v>
      </c>
      <c r="G1569" t="str">
        <v>-</v>
      </c>
    </row>
    <row r="1570">
      <c r="A1570">
        <v>1569</v>
      </c>
      <c r="B1570">
        <f>HYPERLINK("https://www.facebook.com/groups/172160158269311/", "Công an xã Tân Ước  thành phố Hà Nội")</f>
      </c>
      <c r="C1570" t="str">
        <v>https://www.facebook.com/groups/172160158269311/</v>
      </c>
      <c r="D1570" t="str">
        <v>-</v>
      </c>
      <c r="E1570" t="str">
        <v/>
      </c>
      <c r="F1570" t="str">
        <v>-</v>
      </c>
      <c r="G1570" t="str">
        <v>-</v>
      </c>
    </row>
    <row r="1571">
      <c r="A1571">
        <v>1570</v>
      </c>
      <c r="B1571">
        <f>HYPERLINK("https://tanuoc.thanhoai.hanoi.gov.vn/", "UBND Ủy ban nhân dân xã Tân Ước  thành phố Hà Nội")</f>
      </c>
      <c r="C1571" t="str">
        <v>https://tanuoc.thanhoai.hanoi.gov.vn/</v>
      </c>
      <c r="D1571" t="str">
        <v>-</v>
      </c>
      <c r="E1571" t="str">
        <v>-</v>
      </c>
      <c r="F1571" t="str">
        <v>-</v>
      </c>
      <c r="G1571" t="str">
        <v>-</v>
      </c>
    </row>
    <row r="1572">
      <c r="A1572">
        <v>1571</v>
      </c>
      <c r="B1572">
        <f>HYPERLINK("https://www.facebook.com/doanthanhnien.1956/", "Công an xã Dân Hòa  thành phố Hà Nội")</f>
      </c>
      <c r="C1572" t="str">
        <v>https://www.facebook.com/doanthanhnien.1956/</v>
      </c>
      <c r="D1572" t="str">
        <v>-</v>
      </c>
      <c r="E1572" t="str">
        <v/>
      </c>
      <c r="F1572" t="str">
        <v>doanthanhniencatphanoi@gmail.com</v>
      </c>
      <c r="G1572" t="str">
        <v>87 phố Trần Hưng Đạo, quận Hoàn Kiếm, TP Hà Nội, Hanoi, Vietnam</v>
      </c>
    </row>
    <row r="1573">
      <c r="A1573">
        <v>1572</v>
      </c>
      <c r="B1573">
        <f>HYPERLINK("https://danphuong.hanoi.gov.vn/", "UBND Ủy ban nhân dân xã Dân Hòa  thành phố Hà Nội")</f>
      </c>
      <c r="C1573" t="str">
        <v>https://danphuong.hanoi.gov.vn/</v>
      </c>
      <c r="D1573" t="str">
        <v>-</v>
      </c>
      <c r="E1573" t="str">
        <v>-</v>
      </c>
      <c r="F1573" t="str">
        <v>-</v>
      </c>
      <c r="G1573" t="str">
        <v>-</v>
      </c>
    </row>
    <row r="1574">
      <c r="A1574">
        <v>1573</v>
      </c>
      <c r="B1574">
        <f>HYPERLINK("https://www.facebook.com/p/Tu%E1%BB%95i-Tr%E1%BA%BB-C%C3%B4ng-An-Huy%E1%BB%87n-Ch%C6%B0%C6%A1ng-M%E1%BB%B9-100028578047777/", "Công an xã Liên Châu  thành phố Hà Nội")</f>
      </c>
      <c r="C1574" t="str">
        <v>https://www.facebook.com/p/Tu%E1%BB%95i-Tr%E1%BA%BB-C%C3%B4ng-An-Huy%E1%BB%87n-Ch%C6%B0%C6%A1ng-M%E1%BB%B9-100028578047777/</v>
      </c>
      <c r="D1574" t="str">
        <v>-</v>
      </c>
      <c r="E1574" t="str">
        <v/>
      </c>
      <c r="F1574" t="str">
        <v>doantncahchuongmy@gmail.com</v>
      </c>
      <c r="G1574" t="str">
        <v>Số 29A, Tổ dân phố Ninh Kiều, huyện Chương Mỹ, thành phố Hà Nội, Hanoi, Vietnam</v>
      </c>
    </row>
    <row r="1575">
      <c r="A1575">
        <v>1574</v>
      </c>
      <c r="B1575">
        <f>HYPERLINK("https://danphuong.hanoi.gov.vn/", "UBND Ủy ban nhân dân xã Liên Châu  thành phố Hà Nội")</f>
      </c>
      <c r="C1575" t="str">
        <v>https://danphuong.hanoi.gov.vn/</v>
      </c>
      <c r="D1575" t="str">
        <v>-</v>
      </c>
      <c r="E1575" t="str">
        <v>-</v>
      </c>
      <c r="F1575" t="str">
        <v>-</v>
      </c>
      <c r="G1575" t="str">
        <v>-</v>
      </c>
    </row>
    <row r="1576">
      <c r="A1576">
        <v>1575</v>
      </c>
      <c r="B1576" t="str">
        <v>Công an xã Cao Dương  thành phố Hà Nội</v>
      </c>
      <c r="C1576" t="str">
        <v>-</v>
      </c>
      <c r="D1576" t="str">
        <v>-</v>
      </c>
      <c r="E1576" t="str">
        <v/>
      </c>
      <c r="F1576" t="str">
        <v>-</v>
      </c>
      <c r="G1576" t="str">
        <v>-</v>
      </c>
    </row>
    <row r="1577">
      <c r="A1577">
        <v>1576</v>
      </c>
      <c r="B1577">
        <f>HYPERLINK("https://caoduong.thanhoai.hanoi.gov.vn/", "UBND Ủy ban nhân dân xã Cao Dương  thành phố Hà Nội")</f>
      </c>
      <c r="C1577" t="str">
        <v>https://caoduong.thanhoai.hanoi.gov.vn/</v>
      </c>
      <c r="D1577" t="str">
        <v>-</v>
      </c>
      <c r="E1577" t="str">
        <v>-</v>
      </c>
      <c r="F1577" t="str">
        <v>-</v>
      </c>
      <c r="G1577" t="str">
        <v>-</v>
      </c>
    </row>
    <row r="1578">
      <c r="A1578">
        <v>1577</v>
      </c>
      <c r="B1578">
        <f>HYPERLINK("https://www.facebook.com/groups/373792126014207/", "Công an xã Xuân Dương  thành phố Hà Nội")</f>
      </c>
      <c r="C1578" t="str">
        <v>https://www.facebook.com/groups/373792126014207/</v>
      </c>
      <c r="D1578" t="str">
        <v>-</v>
      </c>
      <c r="E1578" t="str">
        <v/>
      </c>
      <c r="F1578" t="str">
        <v>-</v>
      </c>
      <c r="G1578" t="str">
        <v>-</v>
      </c>
    </row>
    <row r="1579">
      <c r="A1579">
        <v>1578</v>
      </c>
      <c r="B1579">
        <f>HYPERLINK("https://caoduong.thanhoai.hanoi.gov.vn/", "UBND Ủy ban nhân dân xã Xuân Dương  thành phố Hà Nội")</f>
      </c>
      <c r="C1579" t="str">
        <v>https://caoduong.thanhoai.hanoi.gov.vn/</v>
      </c>
      <c r="D1579" t="str">
        <v>-</v>
      </c>
      <c r="E1579" t="str">
        <v>-</v>
      </c>
      <c r="F1579" t="str">
        <v>-</v>
      </c>
      <c r="G1579" t="str">
        <v>-</v>
      </c>
    </row>
    <row r="1580">
      <c r="A1580">
        <v>1579</v>
      </c>
      <c r="B1580" t="str">
        <v>Công an xã Hồng Dương  thành phố Hà Nội</v>
      </c>
      <c r="C1580" t="str">
        <v>-</v>
      </c>
      <c r="D1580" t="str">
        <v>-</v>
      </c>
      <c r="E1580" t="str">
        <v/>
      </c>
      <c r="F1580" t="str">
        <v>-</v>
      </c>
      <c r="G1580" t="str">
        <v>-</v>
      </c>
    </row>
    <row r="1581">
      <c r="A1581">
        <v>1580</v>
      </c>
      <c r="B1581">
        <f>HYPERLINK("https://hongduong.thanhoai.hanoi.gov.vn/ubnd-x%C3%A3", "UBND Ủy ban nhân dân xã Hồng Dương  thành phố Hà Nội")</f>
      </c>
      <c r="C1581" t="str">
        <v>https://hongduong.thanhoai.hanoi.gov.vn/ubnd-x%C3%A3</v>
      </c>
      <c r="D1581" t="str">
        <v>-</v>
      </c>
      <c r="E1581" t="str">
        <v>-</v>
      </c>
      <c r="F1581" t="str">
        <v>-</v>
      </c>
      <c r="G1581" t="str">
        <v>-</v>
      </c>
    </row>
    <row r="1582">
      <c r="A1582">
        <v>1581</v>
      </c>
      <c r="B1582" t="str">
        <v>Công an thị trấn Thường Tín  thành phố Hà Nội</v>
      </c>
      <c r="C1582" t="str">
        <v>-</v>
      </c>
      <c r="D1582" t="str">
        <v>-</v>
      </c>
      <c r="E1582" t="str">
        <v/>
      </c>
      <c r="F1582" t="str">
        <v>-</v>
      </c>
      <c r="G1582" t="str">
        <v>-</v>
      </c>
    </row>
    <row r="1583">
      <c r="A1583">
        <v>1582</v>
      </c>
      <c r="B1583">
        <f>HYPERLINK("http://thuongtin.hanoi.gov.vn/", "UBND Ủy ban nhân dân thị trấn Thường Tín  thành phố Hà Nội")</f>
      </c>
      <c r="C1583" t="str">
        <v>http://thuongtin.hanoi.gov.vn/</v>
      </c>
      <c r="D1583" t="str">
        <v>-</v>
      </c>
      <c r="E1583" t="str">
        <v>-</v>
      </c>
      <c r="F1583" t="str">
        <v>-</v>
      </c>
      <c r="G1583" t="str">
        <v>-</v>
      </c>
    </row>
    <row r="1584">
      <c r="A1584">
        <v>1583</v>
      </c>
      <c r="B1584">
        <f>HYPERLINK("https://www.facebook.com/groups/324263722688158/", "Công an xã Ninh Sở  thành phố Hà Nội")</f>
      </c>
      <c r="C1584" t="str">
        <v>https://www.facebook.com/groups/324263722688158/</v>
      </c>
      <c r="D1584" t="str">
        <v>-</v>
      </c>
      <c r="E1584" t="str">
        <v/>
      </c>
      <c r="F1584" t="str">
        <v>-</v>
      </c>
      <c r="G1584" t="str">
        <v>-</v>
      </c>
    </row>
    <row r="1585">
      <c r="A1585">
        <v>1584</v>
      </c>
      <c r="B1585">
        <f>HYPERLINK("https://thuongtin.hanoi.gov.vn/sl/tin-tuc-noi-bat/-/view_content/6214142-trao-kinh-phi-ho-tro-xay-nha-dai-doan-ket-cho-2-ho-cong-giao-xa-ninh-so-va-ha-hoi.html", "UBND Ủy ban nhân dân xã Ninh Sở  thành phố Hà Nội")</f>
      </c>
      <c r="C1585" t="str">
        <v>https://thuongtin.hanoi.gov.vn/sl/tin-tuc-noi-bat/-/view_content/6214142-trao-kinh-phi-ho-tro-xay-nha-dai-doan-ket-cho-2-ho-cong-giao-xa-ninh-so-va-ha-hoi.html</v>
      </c>
      <c r="D1585" t="str">
        <v>-</v>
      </c>
      <c r="E1585" t="str">
        <v>-</v>
      </c>
      <c r="F1585" t="str">
        <v>-</v>
      </c>
      <c r="G1585" t="str">
        <v>-</v>
      </c>
    </row>
    <row r="1586">
      <c r="A1586">
        <v>1585</v>
      </c>
      <c r="B1586" t="str">
        <v>Công an xã Nhị Khê  thành phố Hà Nội</v>
      </c>
      <c r="C1586" t="str">
        <v>-</v>
      </c>
      <c r="D1586" t="str">
        <v>-</v>
      </c>
      <c r="E1586" t="str">
        <v/>
      </c>
      <c r="F1586" t="str">
        <v>-</v>
      </c>
      <c r="G1586" t="str">
        <v>-</v>
      </c>
    </row>
    <row r="1587">
      <c r="A1587">
        <v>1586</v>
      </c>
      <c r="B1587">
        <f>HYPERLINK("https://thainguyen.gov.vn/van-hoa-xa-hoi/-/asset_publisher/L0n17VJXU23O/content/khoi-cong-xay-dung-khu-luu-niem-anh-hung-dan-toc-danh-nhan-van-hoa-the-gioi-nguyen-trai?inheritRedirect=true", "UBND Ủy ban nhân dân xã Nhị Khê  thành phố Hà Nội")</f>
      </c>
      <c r="C1587" t="str">
        <v>https://thainguyen.gov.vn/van-hoa-xa-hoi/-/asset_publisher/L0n17VJXU23O/content/khoi-cong-xay-dung-khu-luu-niem-anh-hung-dan-toc-danh-nhan-van-hoa-the-gioi-nguyen-trai?inheritRedirect=true</v>
      </c>
      <c r="D1587" t="str">
        <v>-</v>
      </c>
      <c r="E1587" t="str">
        <v>-</v>
      </c>
      <c r="F1587" t="str">
        <v>-</v>
      </c>
      <c r="G1587" t="str">
        <v>-</v>
      </c>
    </row>
    <row r="1588">
      <c r="A1588">
        <v>1587</v>
      </c>
      <c r="B1588" t="str">
        <v>Công an xã Duyên Thái  thành phố Hà Nội</v>
      </c>
      <c r="C1588" t="str">
        <v>-</v>
      </c>
      <c r="D1588" t="str">
        <v>-</v>
      </c>
      <c r="E1588" t="str">
        <v/>
      </c>
      <c r="F1588" t="str">
        <v>-</v>
      </c>
      <c r="G1588" t="str">
        <v>-</v>
      </c>
    </row>
    <row r="1589">
      <c r="A1589">
        <v>1588</v>
      </c>
      <c r="B1589">
        <f>HYPERLINK("https://thuongtin.hanoi.gov.vn/zh_TW/tin-tuc-su-kien-noi-bat/-/view_content/5825362-xa-duyen-thai-to-chuc-giao-huu-bong-da-thieu-nien-chao-mung-dai-hoi-dang-bo-thanh-pho-ha-noi-lan-thu-xvii.html", "UBND Ủy ban nhân dân xã Duyên Thái  thành phố Hà Nội")</f>
      </c>
      <c r="C1589" t="str">
        <v>https://thuongtin.hanoi.gov.vn/zh_TW/tin-tuc-su-kien-noi-bat/-/view_content/5825362-xa-duyen-thai-to-chuc-giao-huu-bong-da-thieu-nien-chao-mung-dai-hoi-dang-bo-thanh-pho-ha-noi-lan-thu-xvii.html</v>
      </c>
      <c r="D1589" t="str">
        <v>-</v>
      </c>
      <c r="E1589" t="str">
        <v>-</v>
      </c>
      <c r="F1589" t="str">
        <v>-</v>
      </c>
      <c r="G1589" t="str">
        <v>-</v>
      </c>
    </row>
    <row r="1590">
      <c r="A1590">
        <v>1589</v>
      </c>
      <c r="B1590" t="str">
        <v>Công an xã Khánh Hà  thành phố Hà Nội</v>
      </c>
      <c r="C1590" t="str">
        <v>-</v>
      </c>
      <c r="D1590" t="str">
        <v>-</v>
      </c>
      <c r="E1590" t="str">
        <v/>
      </c>
      <c r="F1590" t="str">
        <v>-</v>
      </c>
      <c r="G1590" t="str">
        <v>-</v>
      </c>
    </row>
    <row r="1591">
      <c r="A1591">
        <v>1590</v>
      </c>
      <c r="B1591">
        <f>HYPERLINK("https://bavi.hanoi.gov.vn/xa-khanh-thuong", "UBND Ủy ban nhân dân xã Khánh Hà  thành phố Hà Nội")</f>
      </c>
      <c r="C1591" t="str">
        <v>https://bavi.hanoi.gov.vn/xa-khanh-thuong</v>
      </c>
      <c r="D1591" t="str">
        <v>-</v>
      </c>
      <c r="E1591" t="str">
        <v>-</v>
      </c>
      <c r="F1591" t="str">
        <v>-</v>
      </c>
      <c r="G1591" t="str">
        <v>-</v>
      </c>
    </row>
    <row r="1592">
      <c r="A1592">
        <v>1591</v>
      </c>
      <c r="B1592">
        <f>HYPERLINK("https://www.facebook.com/congantinhhoabinh/", "Công an xã Hòa Bình  thành phố Hà Nội")</f>
      </c>
      <c r="C1592" t="str">
        <v>https://www.facebook.com/congantinhhoabinh/</v>
      </c>
      <c r="D1592" t="str">
        <v>-</v>
      </c>
      <c r="E1592" t="str">
        <v/>
      </c>
      <c r="F1592" t="str">
        <v>banbientap.congantinhhoabinh@gmail.com</v>
      </c>
      <c r="G1592" t="str">
        <v>Đường Chi Lăng, Hòa Bình, Vietnam</v>
      </c>
    </row>
    <row r="1593">
      <c r="A1593">
        <v>1592</v>
      </c>
      <c r="B1593">
        <f>HYPERLINK("https://hoabinh.kontumcity.kontum.gov.vn/", "UBND Ủy ban nhân dân xã Hòa Bình  thành phố Hà Nội")</f>
      </c>
      <c r="C1593" t="str">
        <v>https://hoabinh.kontumcity.kontum.gov.vn/</v>
      </c>
      <c r="D1593" t="str">
        <v>-</v>
      </c>
      <c r="E1593" t="str">
        <v>-</v>
      </c>
      <c r="F1593" t="str">
        <v>-</v>
      </c>
      <c r="G1593" t="str">
        <v>-</v>
      </c>
    </row>
    <row r="1594">
      <c r="A1594">
        <v>1593</v>
      </c>
      <c r="B1594">
        <f>HYPERLINK("https://www.facebook.com/groups/681674109457216/", "Công an xã Văn Bình  thành phố Hà Nội")</f>
      </c>
      <c r="C1594" t="str">
        <v>https://www.facebook.com/groups/681674109457216/</v>
      </c>
      <c r="D1594" t="str">
        <v>-</v>
      </c>
      <c r="E1594" t="str">
        <v/>
      </c>
      <c r="F1594" t="str">
        <v>-</v>
      </c>
      <c r="G1594" t="str">
        <v>-</v>
      </c>
    </row>
    <row r="1595">
      <c r="A1595">
        <v>1594</v>
      </c>
      <c r="B1595">
        <f>HYPERLINK("http://thuongtin.hanoi.gov.vn/", "UBND Ủy ban nhân dân xã Văn Bình  thành phố Hà Nội")</f>
      </c>
      <c r="C1595" t="str">
        <v>http://thuongtin.hanoi.gov.vn/</v>
      </c>
      <c r="D1595" t="str">
        <v>-</v>
      </c>
      <c r="E1595" t="str">
        <v>-</v>
      </c>
      <c r="F1595" t="str">
        <v>-</v>
      </c>
      <c r="G1595" t="str">
        <v>-</v>
      </c>
    </row>
    <row r="1596">
      <c r="A1596">
        <v>1595</v>
      </c>
      <c r="B1596" t="str">
        <v>Công an xã Hiền Giang  thành phố Hà Nội</v>
      </c>
      <c r="C1596" t="str">
        <v>-</v>
      </c>
      <c r="D1596" t="str">
        <v>-</v>
      </c>
      <c r="E1596" t="str">
        <v/>
      </c>
      <c r="F1596" t="str">
        <v>-</v>
      </c>
      <c r="G1596" t="str">
        <v>-</v>
      </c>
    </row>
    <row r="1597">
      <c r="A1597">
        <v>1596</v>
      </c>
      <c r="B1597">
        <f>HYPERLINK("http://thuongtin.hanoi.gov.vn/", "UBND Ủy ban nhân dân xã Hiền Giang  thành phố Hà Nội")</f>
      </c>
      <c r="C1597" t="str">
        <v>http://thuongtin.hanoi.gov.vn/</v>
      </c>
      <c r="D1597" t="str">
        <v>-</v>
      </c>
      <c r="E1597" t="str">
        <v>-</v>
      </c>
      <c r="F1597" t="str">
        <v>-</v>
      </c>
      <c r="G1597" t="str">
        <v>-</v>
      </c>
    </row>
    <row r="1598">
      <c r="A1598">
        <v>1597</v>
      </c>
      <c r="B1598" t="str">
        <v>Công an xã Hồng Vân  thành phố Hà Nội</v>
      </c>
      <c r="C1598" t="str">
        <v>-</v>
      </c>
      <c r="D1598" t="str">
        <v>-</v>
      </c>
      <c r="E1598" t="str">
        <v/>
      </c>
      <c r="F1598" t="str">
        <v>-</v>
      </c>
      <c r="G1598" t="str">
        <v>-</v>
      </c>
    </row>
    <row r="1599">
      <c r="A1599">
        <v>1598</v>
      </c>
      <c r="B1599">
        <f>HYPERLINK("http://thuongtin.hanoi.gov.vn/tin-tuc-su-kien-noi-bat/-/view_content/6417939-ky-hop-thu-nhat-hoi-dong-nhan-dan-xa-hong-van-khoa-xxii-nhiem-ky-2021-2026-thanh-cong-tot-dep.html", "UBND Ủy ban nhân dân xã Hồng Vân  thành phố Hà Nội")</f>
      </c>
      <c r="C1599" t="str">
        <v>http://thuongtin.hanoi.gov.vn/tin-tuc-su-kien-noi-bat/-/view_content/6417939-ky-hop-thu-nhat-hoi-dong-nhan-dan-xa-hong-van-khoa-xxii-nhiem-ky-2021-2026-thanh-cong-tot-dep.html</v>
      </c>
      <c r="D1599" t="str">
        <v>-</v>
      </c>
      <c r="E1599" t="str">
        <v>-</v>
      </c>
      <c r="F1599" t="str">
        <v>-</v>
      </c>
      <c r="G1599" t="str">
        <v>-</v>
      </c>
    </row>
    <row r="1600">
      <c r="A1600">
        <v>1599</v>
      </c>
      <c r="B1600" t="str">
        <v>Công an xã Vân Tảo  thành phố Hà Nội</v>
      </c>
      <c r="C1600" t="str">
        <v>-</v>
      </c>
      <c r="D1600" t="str">
        <v>-</v>
      </c>
      <c r="E1600" t="str">
        <v/>
      </c>
      <c r="F1600" t="str">
        <v>-</v>
      </c>
      <c r="G1600" t="str">
        <v>-</v>
      </c>
    </row>
    <row r="1601">
      <c r="A1601">
        <v>1600</v>
      </c>
      <c r="B1601">
        <f>HYPERLINK("https://thuongtin.hanoi.gov.vn/iw/tin-tuc-su-kien-noi-bat?p_p_id=101&amp;p_p_lifecycle=0&amp;p_p_state=normal&amp;p_p_mode=view&amp;p_p_col_id=column-1&amp;p_p_col_count=1&amp;_101_delta=20&amp;_101_keywords=&amp;_101_advancedSearch=false&amp;_101_andOperator=true&amp;p_r_p_564233524_resetCur=false&amp;_101_cur=164", "UBND Ủy ban nhân dân xã Vân Tảo  thành phố Hà Nội")</f>
      </c>
      <c r="C1601" t="str">
        <v>https://thuongtin.hanoi.gov.vn/iw/tin-tuc-su-kien-noi-bat?p_p_id=101&amp;p_p_lifecycle=0&amp;p_p_state=normal&amp;p_p_mode=view&amp;p_p_col_id=column-1&amp;p_p_col_count=1&amp;_101_delta=20&amp;_101_keywords=&amp;_101_advancedSearch=false&amp;_101_andOperator=true&amp;p_r_p_564233524_resetCur=false&amp;_101_cur=164</v>
      </c>
      <c r="D1601" t="str">
        <v>-</v>
      </c>
      <c r="E1601" t="str">
        <v>-</v>
      </c>
      <c r="F1601" t="str">
        <v>-</v>
      </c>
      <c r="G1601" t="str">
        <v>-</v>
      </c>
    </row>
    <row r="1602">
      <c r="A1602">
        <v>1601</v>
      </c>
      <c r="B1602">
        <f>HYPERLINK("https://www.facebook.com/p/Tu%E1%BB%95i-tr%E1%BA%BB-C%C3%B4ng-an-Th%C3%A0nh-ph%E1%BB%91-V%C4%A9nh-Y%C3%AAn-100066497717181/", "Công an xã Liên Phương  thành phố Hà Nội")</f>
      </c>
      <c r="C1602" t="str">
        <v>https://www.facebook.com/p/Tu%E1%BB%95i-tr%E1%BA%BB-C%C3%B4ng-an-Th%C3%A0nh-ph%E1%BB%91-V%C4%A9nh-Y%C3%AAn-100066497717181/</v>
      </c>
      <c r="D1602" t="str">
        <v>-</v>
      </c>
      <c r="E1602" t="str">
        <v>02113861204</v>
      </c>
      <c r="F1602" t="str">
        <v>-</v>
      </c>
      <c r="G1602" t="str">
        <v>Lê Xoay - Ngô Quyền - Vĩnh Yên, Yen, Vietnam</v>
      </c>
    </row>
    <row r="1603">
      <c r="A1603">
        <v>1602</v>
      </c>
      <c r="B1603">
        <f>HYPERLINK("https://danphuong.hanoi.gov.vn/", "UBND Ủy ban nhân dân xã Liên Phương  thành phố Hà Nội")</f>
      </c>
      <c r="C1603" t="str">
        <v>https://danphuong.hanoi.gov.vn/</v>
      </c>
      <c r="D1603" t="str">
        <v>-</v>
      </c>
      <c r="E1603" t="str">
        <v>-</v>
      </c>
      <c r="F1603" t="str">
        <v>-</v>
      </c>
      <c r="G1603" t="str">
        <v>-</v>
      </c>
    </row>
    <row r="1604">
      <c r="A1604">
        <v>1603</v>
      </c>
      <c r="B1604">
        <f>HYPERLINK("https://www.facebook.com/p/C%C3%B4ng-an-x%C3%A3-V%C4%83n-Ph%C3%BA-TP-Y%C3%AAn-B%C3%A1i-100067045363307/", "Công an xã Văn Phú  thành phố Hà Nội")</f>
      </c>
      <c r="C1604" t="str">
        <v>https://www.facebook.com/p/C%C3%B4ng-an-x%C3%A3-V%C4%83n-Ph%C3%BA-TP-Y%C3%AAn-B%C3%A1i-100067045363307/</v>
      </c>
      <c r="D1604" t="str">
        <v>-</v>
      </c>
      <c r="E1604" t="str">
        <v/>
      </c>
      <c r="F1604" t="str">
        <v>-</v>
      </c>
      <c r="G1604" t="str">
        <v>Thôn Văn Liên, xã Văn Phú, TP Yên Bái, Yên Bái, Vietnam</v>
      </c>
    </row>
    <row r="1605">
      <c r="A1605">
        <v>1604</v>
      </c>
      <c r="B1605">
        <f>HYPERLINK("https://chuongmy.hanoi.gov.vn/", "UBND Ủy ban nhân dân xã Văn Phú  thành phố Hà Nội")</f>
      </c>
      <c r="C1605" t="str">
        <v>https://chuongmy.hanoi.gov.vn/</v>
      </c>
      <c r="D1605" t="str">
        <v>-</v>
      </c>
      <c r="E1605" t="str">
        <v>-</v>
      </c>
      <c r="F1605" t="str">
        <v>-</v>
      </c>
      <c r="G1605" t="str">
        <v>-</v>
      </c>
    </row>
    <row r="1606">
      <c r="A1606">
        <v>1605</v>
      </c>
      <c r="B1606">
        <f>HYPERLINK("https://www.facebook.com/doanthanhnien.1956/?locale=vi_VN", "Công an xã Tự Nhiên  thành phố Hà Nội")</f>
      </c>
      <c r="C1606" t="str">
        <v>https://www.facebook.com/doanthanhnien.1956/?locale=vi_VN</v>
      </c>
      <c r="D1606" t="str">
        <v>-</v>
      </c>
      <c r="E1606" t="str">
        <v/>
      </c>
      <c r="F1606" t="str">
        <v>doanthanhniencatphanoi@gmail.com</v>
      </c>
      <c r="G1606" t="str">
        <v>87 phố Trần Hưng Đạo, quận Hoàn Kiếm, TP Hà Nội, Hanoi, Vietnam</v>
      </c>
    </row>
    <row r="1607">
      <c r="A1607">
        <v>1606</v>
      </c>
      <c r="B1607">
        <f>HYPERLINK("https://melinh.hanoi.gov.vn/xa-tu-lap.htm", "UBND Ủy ban nhân dân xã Tự Nhiên  thành phố Hà Nội")</f>
      </c>
      <c r="C1607" t="str">
        <v>https://melinh.hanoi.gov.vn/xa-tu-lap.htm</v>
      </c>
      <c r="D1607" t="str">
        <v>-</v>
      </c>
      <c r="E1607" t="str">
        <v>-</v>
      </c>
      <c r="F1607" t="str">
        <v>-</v>
      </c>
      <c r="G1607" t="str">
        <v>-</v>
      </c>
    </row>
    <row r="1608">
      <c r="A1608">
        <v>1607</v>
      </c>
      <c r="B1608">
        <f>HYPERLINK("https://www.facebook.com/1625067657681016", "Công an xã Tiền Phong  thành phố Hà Nội")</f>
      </c>
      <c r="C1608" t="str">
        <v>https://www.facebook.com/1625067657681016</v>
      </c>
      <c r="D1608" t="str">
        <v>-</v>
      </c>
      <c r="E1608" t="str">
        <v/>
      </c>
      <c r="F1608" t="str">
        <v>-</v>
      </c>
      <c r="G1608" t="str">
        <v>-</v>
      </c>
    </row>
    <row r="1609">
      <c r="A1609">
        <v>1608</v>
      </c>
      <c r="B1609">
        <f>HYPERLINK("https://melinh.hanoi.gov.vn/xa-tien-phong.htm", "UBND Ủy ban nhân dân xã Tiền Phong  thành phố Hà Nội")</f>
      </c>
      <c r="C1609" t="str">
        <v>https://melinh.hanoi.gov.vn/xa-tien-phong.htm</v>
      </c>
      <c r="D1609" t="str">
        <v>-</v>
      </c>
      <c r="E1609" t="str">
        <v>-</v>
      </c>
      <c r="F1609" t="str">
        <v>-</v>
      </c>
      <c r="G1609" t="str">
        <v>-</v>
      </c>
    </row>
    <row r="1610">
      <c r="A1610">
        <v>1609</v>
      </c>
      <c r="B1610">
        <f>HYPERLINK("https://www.facebook.com/p/Tu%E1%BB%95i-tr%E1%BA%BB-C%C3%B4ng-an-Th%C3%A0nh-ph%E1%BB%91-V%C4%A9nh-Y%C3%AAn-100066497717181/", "Công an xã Hà Hồi  thành phố Hà Nội")</f>
      </c>
      <c r="C1610" t="str">
        <v>https://www.facebook.com/p/Tu%E1%BB%95i-tr%E1%BA%BB-C%C3%B4ng-an-Th%C3%A0nh-ph%E1%BB%91-V%C4%A9nh-Y%C3%AAn-100066497717181/</v>
      </c>
      <c r="D1610" t="str">
        <v>-</v>
      </c>
      <c r="E1610" t="str">
        <v>02113861204</v>
      </c>
      <c r="F1610" t="str">
        <v>-</v>
      </c>
      <c r="G1610" t="str">
        <v>Lê Xoay - Ngô Quyền - Vĩnh Yên, Yen, Vietnam</v>
      </c>
    </row>
    <row r="1611">
      <c r="A1611">
        <v>1610</v>
      </c>
      <c r="B1611">
        <f>HYPERLINK("http://thuongtin.hanoi.gov.vn/", "UBND Ủy ban nhân dân xã Hà Hồi  thành phố Hà Nội")</f>
      </c>
      <c r="C1611" t="str">
        <v>http://thuongtin.hanoi.gov.vn/</v>
      </c>
      <c r="D1611" t="str">
        <v>-</v>
      </c>
      <c r="E1611" t="str">
        <v>-</v>
      </c>
      <c r="F1611" t="str">
        <v>-</v>
      </c>
      <c r="G1611" t="str">
        <v>-</v>
      </c>
    </row>
    <row r="1612">
      <c r="A1612">
        <v>1611</v>
      </c>
      <c r="B1612" t="str">
        <v>Công an xã Thư Phú  thành phố Hà Nội</v>
      </c>
      <c r="C1612" t="str">
        <v>-</v>
      </c>
      <c r="D1612" t="str">
        <v>-</v>
      </c>
      <c r="E1612" t="str">
        <v/>
      </c>
      <c r="F1612" t="str">
        <v>-</v>
      </c>
      <c r="G1612" t="str">
        <v>-</v>
      </c>
    </row>
    <row r="1613">
      <c r="A1613">
        <v>1612</v>
      </c>
      <c r="B1613">
        <f>HYPERLINK("https://chuongmy.hanoi.gov.vn/", "UBND Ủy ban nhân dân xã Thư Phú  thành phố Hà Nội")</f>
      </c>
      <c r="C1613" t="str">
        <v>https://chuongmy.hanoi.gov.vn/</v>
      </c>
      <c r="D1613" t="str">
        <v>-</v>
      </c>
      <c r="E1613" t="str">
        <v>-</v>
      </c>
      <c r="F1613" t="str">
        <v>-</v>
      </c>
      <c r="G1613" t="str">
        <v>-</v>
      </c>
    </row>
    <row r="1614">
      <c r="A1614">
        <v>1613</v>
      </c>
      <c r="B1614">
        <f>HYPERLINK("https://www.facebook.com/265963428377240", "Công an xã Nguyễn Trãi  thành phố Hà Nội")</f>
      </c>
      <c r="C1614" t="str">
        <v>https://www.facebook.com/265963428377240</v>
      </c>
      <c r="D1614" t="str">
        <v>-</v>
      </c>
      <c r="E1614" t="str">
        <v/>
      </c>
      <c r="F1614" t="str">
        <v>-</v>
      </c>
      <c r="G1614" t="str">
        <v>-</v>
      </c>
    </row>
    <row r="1615">
      <c r="A1615">
        <v>1614</v>
      </c>
      <c r="B1615">
        <f>HYPERLINK("https://thanhpho.hagiang.gov.vn/", "UBND Ủy ban nhân dân xã Nguyễn Trãi  thành phố Hà Nội")</f>
      </c>
      <c r="C1615" t="str">
        <v>https://thanhpho.hagiang.gov.vn/</v>
      </c>
      <c r="D1615" t="str">
        <v>-</v>
      </c>
      <c r="E1615" t="str">
        <v>-</v>
      </c>
      <c r="F1615" t="str">
        <v>-</v>
      </c>
      <c r="G1615" t="str">
        <v>-</v>
      </c>
    </row>
    <row r="1616">
      <c r="A1616">
        <v>1615</v>
      </c>
      <c r="B1616" t="str">
        <v>Công an xã Quất Động  thành phố Hà Nội</v>
      </c>
      <c r="C1616" t="str">
        <v>-</v>
      </c>
      <c r="D1616" t="str">
        <v>-</v>
      </c>
      <c r="E1616" t="str">
        <v/>
      </c>
      <c r="F1616" t="str">
        <v>-</v>
      </c>
      <c r="G1616" t="str">
        <v>-</v>
      </c>
    </row>
    <row r="1617">
      <c r="A1617">
        <v>1616</v>
      </c>
      <c r="B1617">
        <f>HYPERLINK("http://quatdong.thuongtin.hanoi.gov.vn/fi/v%C4%83n-h%C3%B3a-x%C3%A3-h%E1%BB%99i?p_p_id=com_web_article_listnews_ListNewByCategoryPortlet_INSTANCE_Q2u4HKfZ4fie&amp;p_p_lifecycle=0&amp;p_p_state=normal&amp;p_p_mode=view&amp;_com_web_article_listnews_ListNewByCategoryPortlet_INSTANCE_Q2u4HKfZ4fie_delta=5&amp;_com_web_article_listnews_ListNewByCategoryPortlet_INSTANCE_Q2u4HKfZ4fie_resetCur=false&amp;_com_web_article_listnews_ListNewByCategoryPortlet_INSTANCE_Q2u4HKfZ4fie_cur=4", "UBND Ủy ban nhân dân xã Quất Động  thành phố Hà Nội")</f>
      </c>
      <c r="C1617" t="str">
        <v>http://quatdong.thuongtin.hanoi.gov.vn/fi/v%C4%83n-h%C3%B3a-x%C3%A3-h%E1%BB%99i?p_p_id=com_web_article_listnews_ListNewByCategoryPortlet_INSTANCE_Q2u4HKfZ4fie&amp;p_p_lifecycle=0&amp;p_p_state=normal&amp;p_p_mode=view&amp;_com_web_article_listnews_ListNewByCategoryPortlet_INSTANCE_Q2u4HKfZ4fie_delta=5&amp;_com_web_article_listnews_ListNewByCategoryPortlet_INSTANCE_Q2u4HKfZ4fie_resetCur=false&amp;_com_web_article_listnews_ListNewByCategoryPortlet_INSTANCE_Q2u4HKfZ4fie_cur=4</v>
      </c>
      <c r="D1617" t="str">
        <v>-</v>
      </c>
      <c r="E1617" t="str">
        <v>-</v>
      </c>
      <c r="F1617" t="str">
        <v>-</v>
      </c>
      <c r="G1617" t="str">
        <v>-</v>
      </c>
    </row>
    <row r="1618">
      <c r="A1618">
        <v>1617</v>
      </c>
      <c r="B1618">
        <f>HYPERLINK("https://www.facebook.com/p/Tu%E1%BB%95i-Tr%E1%BA%BB-C%C3%B4ng-An-Huy%E1%BB%87n-Ch%C6%B0%C6%A1ng-M%E1%BB%B9-100028578047777/", "Công an xã Chương Dương  thành phố Hà Nội")</f>
      </c>
      <c r="C1618" t="str">
        <v>https://www.facebook.com/p/Tu%E1%BB%95i-Tr%E1%BA%BB-C%C3%B4ng-An-Huy%E1%BB%87n-Ch%C6%B0%C6%A1ng-M%E1%BB%B9-100028578047777/</v>
      </c>
      <c r="D1618" t="str">
        <v>-</v>
      </c>
      <c r="E1618" t="str">
        <v/>
      </c>
      <c r="F1618" t="str">
        <v>doantncahchuongmy@gmail.com</v>
      </c>
      <c r="G1618" t="str">
        <v>Số 29A, Tổ dân phố Ninh Kiều, huyện Chương Mỹ, thành phố Hà Nội, Hanoi, Vietnam</v>
      </c>
    </row>
    <row r="1619">
      <c r="A1619">
        <v>1618</v>
      </c>
      <c r="B1619">
        <f>HYPERLINK("https://chuongmy.hanoi.gov.vn/", "UBND Ủy ban nhân dân xã Chương Dương  thành phố Hà Nội")</f>
      </c>
      <c r="C1619" t="str">
        <v>https://chuongmy.hanoi.gov.vn/</v>
      </c>
      <c r="D1619" t="str">
        <v>-</v>
      </c>
      <c r="E1619" t="str">
        <v>-</v>
      </c>
      <c r="F1619" t="str">
        <v>-</v>
      </c>
      <c r="G1619" t="str">
        <v>-</v>
      </c>
    </row>
    <row r="1620">
      <c r="A1620">
        <v>1619</v>
      </c>
      <c r="B1620">
        <f>HYPERLINK("https://www.facebook.com/thanhnientanbinh/", "Công an xã Tân Minh  thành phố Hà Nội")</f>
      </c>
      <c r="C1620" t="str">
        <v>https://www.facebook.com/thanhnientanbinh/</v>
      </c>
      <c r="D1620" t="str">
        <v>-</v>
      </c>
      <c r="E1620" t="str">
        <v>02838642392</v>
      </c>
      <c r="F1620" t="str">
        <v>quandoantanbinh@yahoo.com</v>
      </c>
      <c r="G1620" t="str">
        <v>-</v>
      </c>
    </row>
    <row r="1621">
      <c r="A1621">
        <v>1620</v>
      </c>
      <c r="B1621">
        <f>HYPERLINK("http://thuongtin.hanoi.gov.vn/", "UBND Ủy ban nhân dân xã Tân Minh  thành phố Hà Nội")</f>
      </c>
      <c r="C1621" t="str">
        <v>http://thuongtin.hanoi.gov.vn/</v>
      </c>
      <c r="D1621" t="str">
        <v>-</v>
      </c>
      <c r="E1621" t="str">
        <v>-</v>
      </c>
      <c r="F1621" t="str">
        <v>-</v>
      </c>
      <c r="G1621" t="str">
        <v>-</v>
      </c>
    </row>
    <row r="1622">
      <c r="A1622">
        <v>1621</v>
      </c>
      <c r="B1622" t="str">
        <v>Công an xã Lê Lợi  thành phố Hà Nội</v>
      </c>
      <c r="C1622" t="str">
        <v>-</v>
      </c>
      <c r="D1622" t="str">
        <v>-</v>
      </c>
      <c r="E1622" t="str">
        <v/>
      </c>
      <c r="F1622" t="str">
        <v>-</v>
      </c>
      <c r="G1622" t="str">
        <v>-</v>
      </c>
    </row>
    <row r="1623">
      <c r="A1623">
        <v>1622</v>
      </c>
      <c r="B1623">
        <f>HYPERLINK("http://thuongtin.hanoi.gov.vn/", "UBND Ủy ban nhân dân xã Lê Lợi  thành phố Hà Nội")</f>
      </c>
      <c r="C1623" t="str">
        <v>http://thuongtin.hanoi.gov.vn/</v>
      </c>
      <c r="D1623" t="str">
        <v>-</v>
      </c>
      <c r="E1623" t="str">
        <v>-</v>
      </c>
      <c r="F1623" t="str">
        <v>-</v>
      </c>
      <c r="G1623" t="str">
        <v>-</v>
      </c>
    </row>
    <row r="1624">
      <c r="A1624">
        <v>1623</v>
      </c>
      <c r="B1624">
        <f>HYPERLINK("https://www.facebook.com/ThangLoi.ThuongTin.HaNoi/", "Công an xã Thắng Lợi  thành phố Hà Nội")</f>
      </c>
      <c r="C1624" t="str">
        <v>https://www.facebook.com/ThangLoi.ThuongTin.HaNoi/</v>
      </c>
      <c r="D1624" t="str">
        <v>-</v>
      </c>
      <c r="E1624" t="str">
        <v>02432079974</v>
      </c>
      <c r="F1624" t="str">
        <v>conganxathangloi@gmail.com</v>
      </c>
      <c r="G1624" t="str">
        <v>UBND xã Thắng Lợi, thôn Đống Xung, xã Thắng Lợi, huyện Thường Tín, Hanoi, Vietnam</v>
      </c>
    </row>
    <row r="1625">
      <c r="A1625">
        <v>1624</v>
      </c>
      <c r="B1625">
        <f>HYPERLINK("https://halang.caobang.gov.vn/ubnd-xa-thang-loi", "UBND Ủy ban nhân dân xã Thắng Lợi  thành phố Hà Nội")</f>
      </c>
      <c r="C1625" t="str">
        <v>https://halang.caobang.gov.vn/ubnd-xa-thang-loi</v>
      </c>
      <c r="D1625" t="str">
        <v>-</v>
      </c>
      <c r="E1625" t="str">
        <v>-</v>
      </c>
      <c r="F1625" t="str">
        <v>-</v>
      </c>
      <c r="G1625" t="str">
        <v>-</v>
      </c>
    </row>
    <row r="1626">
      <c r="A1626">
        <v>1625</v>
      </c>
      <c r="B1626">
        <f>HYPERLINK("https://www.facebook.com/ANTTxaDungTien/", "Công an xã Dũng Tiến  thành phố Hà Nội")</f>
      </c>
      <c r="C1626" t="str">
        <v>https://www.facebook.com/ANTTxaDungTien/</v>
      </c>
      <c r="D1626" t="str">
        <v>-</v>
      </c>
      <c r="E1626" t="str">
        <v>02433756113</v>
      </c>
      <c r="F1626" t="str">
        <v>-</v>
      </c>
      <c r="G1626" t="str">
        <v>Ba Lăng, Dũng Tiến, Thường Tín, Hanoi, Vietnam</v>
      </c>
    </row>
    <row r="1627">
      <c r="A1627">
        <v>1626</v>
      </c>
      <c r="B1627">
        <f>HYPERLINK("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", "UBND Ủy ban nhân dân xã Dũng Tiến  thành phố Hà Nội")</f>
      </c>
      <c r="C1627" t="str">
        <v>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</v>
      </c>
      <c r="D1627" t="str">
        <v>-</v>
      </c>
      <c r="E1627" t="str">
        <v>-</v>
      </c>
      <c r="F1627" t="str">
        <v>-</v>
      </c>
      <c r="G1627" t="str">
        <v>-</v>
      </c>
    </row>
    <row r="1628">
      <c r="A1628">
        <v>1627</v>
      </c>
      <c r="B1628">
        <f>HYPERLINK("https://www.facebook.com/doanthanhnien.1956/?locale=vi_VN", "Công an xã Thống Nhất  thành phố Hà Nội")</f>
      </c>
      <c r="C1628" t="str">
        <v>https://www.facebook.com/doanthanhnien.1956/?locale=vi_VN</v>
      </c>
      <c r="D1628" t="str">
        <v>-</v>
      </c>
      <c r="E1628" t="str">
        <v/>
      </c>
      <c r="F1628" t="str">
        <v>doanthanhniencatphanoi@gmail.com</v>
      </c>
      <c r="G1628" t="str">
        <v>87 phố Trần Hưng Đạo, quận Hoàn Kiếm, TP Hà Nội, Hanoi, Vietnam</v>
      </c>
    </row>
    <row r="1629">
      <c r="A1629">
        <v>1628</v>
      </c>
      <c r="B1629">
        <f>HYPERLINK("http://thuongtin.hanoi.gov.vn/", "UBND Ủy ban nhân dân xã Thống Nhất  thành phố Hà Nội")</f>
      </c>
      <c r="C1629" t="str">
        <v>http://thuongtin.hanoi.gov.vn/</v>
      </c>
      <c r="D1629" t="str">
        <v>-</v>
      </c>
      <c r="E1629" t="str">
        <v>-</v>
      </c>
      <c r="F1629" t="str">
        <v>-</v>
      </c>
      <c r="G1629" t="str">
        <v>-</v>
      </c>
    </row>
    <row r="1630">
      <c r="A1630">
        <v>1629</v>
      </c>
      <c r="B1630">
        <f>HYPERLINK("https://www.facebook.com/p/Tu%E1%BB%95i-tr%E1%BA%BB-C%C3%B4ng-an-Th%C3%A0nh-ph%E1%BB%91-V%C4%A9nh-Y%C3%AAn-100066497717181/?locale=vi_VN", "Công an xã Nghiêm Xuyên  thành phố Hà Nội")</f>
      </c>
      <c r="C1630" t="str">
        <v>https://www.facebook.com/p/Tu%E1%BB%95i-tr%E1%BA%BB-C%C3%B4ng-an-Th%C3%A0nh-ph%E1%BB%91-V%C4%A9nh-Y%C3%AAn-100066497717181/?locale=vi_VN</v>
      </c>
      <c r="D1630" t="str">
        <v>-</v>
      </c>
      <c r="E1630" t="str">
        <v>02113861204</v>
      </c>
      <c r="F1630" t="str">
        <v>-</v>
      </c>
      <c r="G1630" t="str">
        <v>Lê Xoay - Ngô Quyền - Vĩnh Yên, Yen, Vietnam</v>
      </c>
    </row>
    <row r="1631">
      <c r="A1631">
        <v>1630</v>
      </c>
      <c r="B1631">
        <f>HYPERLINK("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", "UBND Ủy ban nhân dân xã Nghiêm Xuyên  thành phố Hà Nội")</f>
      </c>
      <c r="C1631" t="str">
        <v>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</v>
      </c>
      <c r="D1631" t="str">
        <v>-</v>
      </c>
      <c r="E1631" t="str">
        <v>-</v>
      </c>
      <c r="F1631" t="str">
        <v>-</v>
      </c>
      <c r="G1631" t="str">
        <v>-</v>
      </c>
    </row>
    <row r="1632">
      <c r="A1632">
        <v>1631</v>
      </c>
      <c r="B1632" t="str">
        <v>Công an xã Tô Hiệu  thành phố Hà Nội</v>
      </c>
      <c r="C1632" t="str">
        <v>-</v>
      </c>
      <c r="D1632" t="str">
        <v>-</v>
      </c>
      <c r="E1632" t="str">
        <v/>
      </c>
      <c r="F1632" t="str">
        <v>-</v>
      </c>
      <c r="G1632" t="str">
        <v>-</v>
      </c>
    </row>
    <row r="1633">
      <c r="A1633">
        <v>1632</v>
      </c>
      <c r="B1633">
        <f>HYPERLINK("https://thuongtin.hanoi.gov.vn/sv/tin-tuc-su-kien-noi-bat/-/view_content/2361275-xa-to-hieu-to-chuc-hoi-nghi-dai-bieu-nhan-dan.html", "UBND Ủy ban nhân dân xã Tô Hiệu  thành phố Hà Nội")</f>
      </c>
      <c r="C1633" t="str">
        <v>https://thuongtin.hanoi.gov.vn/sv/tin-tuc-su-kien-noi-bat/-/view_content/2361275-xa-to-hieu-to-chuc-hoi-nghi-dai-bieu-nhan-dan.html</v>
      </c>
      <c r="D1633" t="str">
        <v>-</v>
      </c>
      <c r="E1633" t="str">
        <v>-</v>
      </c>
      <c r="F1633" t="str">
        <v>-</v>
      </c>
      <c r="G1633" t="str">
        <v>-</v>
      </c>
    </row>
    <row r="1634">
      <c r="A1634">
        <v>1633</v>
      </c>
      <c r="B1634">
        <f>HYPERLINK("https://www.facebook.com/doanthanhnien.1956/", "Công an xã Văn Tự  thành phố Hà Nội")</f>
      </c>
      <c r="C1634" t="str">
        <v>https://www.facebook.com/doanthanhnien.1956/</v>
      </c>
      <c r="D1634" t="str">
        <v>-</v>
      </c>
      <c r="E1634" t="str">
        <v/>
      </c>
      <c r="F1634" t="str">
        <v>doanthanhniencatphanoi@gmail.com</v>
      </c>
      <c r="G1634" t="str">
        <v>87 phố Trần Hưng Đạo, quận Hoàn Kiếm, TP Hà Nội, Hanoi, Vietnam</v>
      </c>
    </row>
    <row r="1635">
      <c r="A1635">
        <v>1634</v>
      </c>
      <c r="B1635">
        <f>HYPERLINK("https://chuongmy.hanoi.gov.vn/", "UBND Ủy ban nhân dân xã Văn Tự  thành phố Hà Nội")</f>
      </c>
      <c r="C1635" t="str">
        <v>https://chuongmy.hanoi.gov.vn/</v>
      </c>
      <c r="D1635" t="str">
        <v>-</v>
      </c>
      <c r="E1635" t="str">
        <v>-</v>
      </c>
      <c r="F1635" t="str">
        <v>-</v>
      </c>
      <c r="G1635" t="str">
        <v>-</v>
      </c>
    </row>
    <row r="1636">
      <c r="A1636">
        <v>1635</v>
      </c>
      <c r="B1636">
        <f>HYPERLINK("https://www.facebook.com/3182986328425797", "Công an xã Vạn Điểm  thành phố Hà Nội")</f>
      </c>
      <c r="C1636" t="str">
        <v>https://www.facebook.com/3182986328425797</v>
      </c>
      <c r="D1636" t="str">
        <v>-</v>
      </c>
      <c r="E1636" t="str">
        <v/>
      </c>
      <c r="F1636" t="str">
        <v>-</v>
      </c>
      <c r="G1636" t="str">
        <v>-</v>
      </c>
    </row>
    <row r="1637">
      <c r="A1637">
        <v>1636</v>
      </c>
      <c r="B1637">
        <f>HYPERLINK("http://thuongtin.hanoi.gov.vn/", "UBND Ủy ban nhân dân xã Vạn Điểm  thành phố Hà Nội")</f>
      </c>
      <c r="C1637" t="str">
        <v>http://thuongtin.hanoi.gov.vn/</v>
      </c>
      <c r="D1637" t="str">
        <v>-</v>
      </c>
      <c r="E1637" t="str">
        <v>-</v>
      </c>
      <c r="F1637" t="str">
        <v>-</v>
      </c>
      <c r="G1637" t="str">
        <v>-</v>
      </c>
    </row>
    <row r="1638">
      <c r="A1638">
        <v>1637</v>
      </c>
      <c r="B1638">
        <f>HYPERLINK("https://www.facebook.com/DongChanhMinhCuong.org.vn/", "Công an xã Minh Cường  thành phố Hà Nội")</f>
      </c>
      <c r="C1638" t="str">
        <v>https://www.facebook.com/DongChanhMinhCuong.org.vn/</v>
      </c>
      <c r="D1638" t="str">
        <v>-</v>
      </c>
      <c r="E1638" t="str">
        <v/>
      </c>
      <c r="F1638" t="str">
        <v>-</v>
      </c>
      <c r="G1638" t="str">
        <v>-</v>
      </c>
    </row>
    <row r="1639">
      <c r="A1639">
        <v>1638</v>
      </c>
      <c r="B1639">
        <f>HYPERLINK("http://thuongtin.hanoi.gov.vn/pt_PT/xa-thi-tran?p_p_id=101&amp;p_p_lifecycle=0&amp;p_p_state=normal&amp;p_p_mode=view&amp;p_p_col_id=column-1&amp;p_p_col_count=1&amp;_101_delta=20&amp;_101_keywords=&amp;_101_advancedSearch=false&amp;_101_andOperator=true&amp;p_r_p_564233524_resetCur=false&amp;_101_cur=41", "UBND Ủy ban nhân dân xã Minh Cường  thành phố Hà Nội")</f>
      </c>
      <c r="C1639" t="str">
        <v>http://thuongtin.hanoi.gov.vn/pt_PT/xa-thi-tran?p_p_id=101&amp;p_p_lifecycle=0&amp;p_p_state=normal&amp;p_p_mode=view&amp;p_p_col_id=column-1&amp;p_p_col_count=1&amp;_101_delta=20&amp;_101_keywords=&amp;_101_advancedSearch=false&amp;_101_andOperator=true&amp;p_r_p_564233524_resetCur=false&amp;_101_cur=41</v>
      </c>
      <c r="D1639" t="str">
        <v>-</v>
      </c>
      <c r="E1639" t="str">
        <v>-</v>
      </c>
      <c r="F1639" t="str">
        <v>-</v>
      </c>
      <c r="G1639" t="str">
        <v>-</v>
      </c>
    </row>
    <row r="1640">
      <c r="A1640">
        <v>1639</v>
      </c>
      <c r="B1640">
        <f>HYPERLINK("https://www.facebook.com/vanhoathongtin.phuminh/", "Công an thị trấn Phú Minh  thành phố Hà Nội")</f>
      </c>
      <c r="C1640" t="str">
        <v>https://www.facebook.com/vanhoathongtin.phuminh/</v>
      </c>
      <c r="D1640" t="str">
        <v>-</v>
      </c>
      <c r="E1640" t="str">
        <v>0969106095</v>
      </c>
      <c r="F1640" t="str">
        <v>vanhoaxahoi.phuminh@gmail.com</v>
      </c>
      <c r="G1640" t="str">
        <v>Quốc lộ 2, Hanoi, Vietnam</v>
      </c>
    </row>
    <row r="1641">
      <c r="A1641">
        <v>1640</v>
      </c>
      <c r="B1641">
        <f>HYPERLINK("http://phuxuyen.hanoi.gov.vn/ubnd-cac-xa-thi-tran/-/view_content/1638408-thi-tran-phu-mi-1.html", "UBND Ủy ban nhân dân thị trấn Phú Minh  thành phố Hà Nội")</f>
      </c>
      <c r="C1641" t="str">
        <v>http://phuxuyen.hanoi.gov.vn/ubnd-cac-xa-thi-tran/-/view_content/1638408-thi-tran-phu-mi-1.html</v>
      </c>
      <c r="D1641" t="str">
        <v>-</v>
      </c>
      <c r="E1641" t="str">
        <v>-</v>
      </c>
      <c r="F1641" t="str">
        <v>-</v>
      </c>
      <c r="G1641" t="str">
        <v>-</v>
      </c>
    </row>
    <row r="1642">
      <c r="A1642">
        <v>1641</v>
      </c>
      <c r="B1642">
        <f>HYPERLINK("https://www.facebook.com/p/Tr%C6%B0%E1%BB%9Dng-Ti%E1%BB%83u-h%E1%BB%8Dc-Th%E1%BB%8B-Tr%E1%BA%A5n-Ph%C3%BA-Xuy%C3%AAn-H%C3%A0-N%E1%BB%99i-100059080412612/", "Công an thị trấn Phú Xuyên  thành phố Hà Nội")</f>
      </c>
      <c r="C1642" t="str">
        <v>https://www.facebook.com/p/Tr%C6%B0%E1%BB%9Dng-Ti%E1%BB%83u-h%E1%BB%8Dc-Th%E1%BB%8B-Tr%E1%BA%A5n-Ph%C3%BA-Xuy%C3%AAn-H%C3%A0-N%E1%BB%99i-100059080412612/</v>
      </c>
      <c r="D1642" t="str">
        <v>-</v>
      </c>
      <c r="E1642" t="str">
        <v/>
      </c>
      <c r="F1642" t="str">
        <v>c1ttphuxuyen-px@gmail.com</v>
      </c>
      <c r="G1642" t="str">
        <v>Tiểu khu Thao Chính - Thị Trấn Phú Xuyên - Huyện Phú Xuyên, Hanoi, Vietnam</v>
      </c>
    </row>
    <row r="1643">
      <c r="A1643">
        <v>1642</v>
      </c>
      <c r="B1643">
        <f>HYPERLINK("http://phuxuyen.hanoi.gov.vn/", "UBND Ủy ban nhân dân thị trấn Phú Xuyên  thành phố Hà Nội")</f>
      </c>
      <c r="C1643" t="str">
        <v>http://phuxuyen.hanoi.gov.vn/</v>
      </c>
      <c r="D1643" t="str">
        <v>-</v>
      </c>
      <c r="E1643" t="str">
        <v>-</v>
      </c>
      <c r="F1643" t="str">
        <v>-</v>
      </c>
      <c r="G1643" t="str">
        <v>-</v>
      </c>
    </row>
    <row r="1644">
      <c r="A1644">
        <v>1643</v>
      </c>
      <c r="B1644" t="str">
        <v>Công an xã Hồng Minh  thành phố Hà Nội</v>
      </c>
      <c r="C1644" t="str">
        <v>-</v>
      </c>
      <c r="D1644" t="str">
        <v>-</v>
      </c>
      <c r="E1644" t="str">
        <v/>
      </c>
      <c r="F1644" t="str">
        <v>-</v>
      </c>
      <c r="G1644" t="str">
        <v>-</v>
      </c>
    </row>
    <row r="1645">
      <c r="A1645">
        <v>1644</v>
      </c>
      <c r="B1645">
        <f>HYPERLINK("http://phuxuyen.hanoi.gov.vn/et/tin-xa-thi-tran?p_p_auth=wnj7lstQ&amp;p_p_id=49&amp;p_p_lifecycle=1&amp;p_p_state=normal&amp;p_p_mode=view&amp;_49_struts_action=%2Fmy_sites%2Fview&amp;_49_groupId=1071288&amp;_49_privateLayout=false", "UBND Ủy ban nhân dân xã Hồng Minh  thành phố Hà Nội")</f>
      </c>
      <c r="C1645" t="str">
        <v>http://phuxuyen.hanoi.gov.vn/et/tin-xa-thi-tran?p_p_auth=wnj7lstQ&amp;p_p_id=49&amp;p_p_lifecycle=1&amp;p_p_state=normal&amp;p_p_mode=view&amp;_49_struts_action=%2Fmy_sites%2Fview&amp;_49_groupId=1071288&amp;_49_privateLayout=false</v>
      </c>
      <c r="D1645" t="str">
        <v>-</v>
      </c>
      <c r="E1645" t="str">
        <v>-</v>
      </c>
      <c r="F1645" t="str">
        <v>-</v>
      </c>
      <c r="G1645" t="str">
        <v>-</v>
      </c>
    </row>
    <row r="1646">
      <c r="A1646">
        <v>1645</v>
      </c>
      <c r="B1646" t="str">
        <v>Công an xã Phượng Dực  thành phố Hà Nội</v>
      </c>
      <c r="C1646" t="str">
        <v>-</v>
      </c>
      <c r="D1646" t="str">
        <v>-</v>
      </c>
      <c r="E1646" t="str">
        <v/>
      </c>
      <c r="F1646" t="str">
        <v>-</v>
      </c>
      <c r="G1646" t="str">
        <v>-</v>
      </c>
    </row>
    <row r="1647">
      <c r="A1647">
        <v>1646</v>
      </c>
      <c r="B1647">
        <f>HYPERLINK("https://danphuong.hanoi.gov.vn/", "UBND Ủy ban nhân dân xã Phượng Dực  thành phố Hà Nội")</f>
      </c>
      <c r="C1647" t="str">
        <v>https://danphuong.hanoi.gov.vn/</v>
      </c>
      <c r="D1647" t="str">
        <v>-</v>
      </c>
      <c r="E1647" t="str">
        <v>-</v>
      </c>
      <c r="F1647" t="str">
        <v>-</v>
      </c>
      <c r="G1647" t="str">
        <v>-</v>
      </c>
    </row>
    <row r="1648">
      <c r="A1648">
        <v>1647</v>
      </c>
      <c r="B1648">
        <f>HYPERLINK("https://www.facebook.com/doanthanhnien.1956/", "Công an xã Văn Nhân  thành phố Hà Nội")</f>
      </c>
      <c r="C1648" t="str">
        <v>https://www.facebook.com/doanthanhnien.1956/</v>
      </c>
      <c r="D1648" t="str">
        <v>-</v>
      </c>
      <c r="E1648" t="str">
        <v/>
      </c>
      <c r="F1648" t="str">
        <v>doanthanhniencatphanoi@gmail.com</v>
      </c>
      <c r="G1648" t="str">
        <v>87 phố Trần Hưng Đạo, quận Hoàn Kiếm, TP Hà Nội, Hanoi, Vietnam</v>
      </c>
    </row>
    <row r="1649">
      <c r="A1649">
        <v>1648</v>
      </c>
      <c r="B1649">
        <f>HYPERLINK("https://chuongmy.hanoi.gov.vn/", "UBND Ủy ban nhân dân xã Văn Nhân  thành phố Hà Nội")</f>
      </c>
      <c r="C1649" t="str">
        <v>https://chuongmy.hanoi.gov.vn/</v>
      </c>
      <c r="D1649" t="str">
        <v>-</v>
      </c>
      <c r="E1649" t="str">
        <v>-</v>
      </c>
      <c r="F1649" t="str">
        <v>-</v>
      </c>
      <c r="G1649" t="str">
        <v>-</v>
      </c>
    </row>
    <row r="1650">
      <c r="A1650">
        <v>1649</v>
      </c>
      <c r="B1650" t="str">
        <v>Công an xã Thụy Phú  thành phố Hà Nội</v>
      </c>
      <c r="C1650" t="str">
        <v>-</v>
      </c>
      <c r="D1650" t="str">
        <v>-</v>
      </c>
      <c r="E1650" t="str">
        <v/>
      </c>
      <c r="F1650" t="str">
        <v>-</v>
      </c>
      <c r="G1650" t="str">
        <v>-</v>
      </c>
    </row>
    <row r="1651">
      <c r="A1651">
        <v>1650</v>
      </c>
      <c r="B1651">
        <f>HYPERLINK("https://bavi.hanoi.gov.vn/uy-ban-nhan-dan-xa-thi-tran/-/asset_publisher/BXvxOA8eYieu/content/xa-thuy-an", "UBND Ủy ban nhân dân xã Thụy Phú  thành phố Hà Nội")</f>
      </c>
      <c r="C1651" t="str">
        <v>https://bavi.hanoi.gov.vn/uy-ban-nhan-dan-xa-thi-tran/-/asset_publisher/BXvxOA8eYieu/content/xa-thuy-an</v>
      </c>
      <c r="D1651" t="str">
        <v>-</v>
      </c>
      <c r="E1651" t="str">
        <v>-</v>
      </c>
      <c r="F1651" t="str">
        <v>-</v>
      </c>
      <c r="G1651" t="str">
        <v>-</v>
      </c>
    </row>
    <row r="1652">
      <c r="A1652">
        <v>1651</v>
      </c>
      <c r="B1652">
        <f>HYPERLINK("https://www.facebook.com/doanthanhnien.1956/", "Công an xã Tri Trung  thành phố Hà Nội")</f>
      </c>
      <c r="C1652" t="str">
        <v>https://www.facebook.com/doanthanhnien.1956/</v>
      </c>
      <c r="D1652" t="str">
        <v>-</v>
      </c>
      <c r="E1652" t="str">
        <v/>
      </c>
      <c r="F1652" t="str">
        <v>doanthanhniencatphanoi@gmail.com</v>
      </c>
      <c r="G1652" t="str">
        <v>87 phố Trần Hưng Đạo, quận Hoàn Kiếm, TP Hà Nội, Hanoi, Vietnam</v>
      </c>
    </row>
    <row r="1653">
      <c r="A1653">
        <v>1652</v>
      </c>
      <c r="B1653">
        <f>HYPERLINK("https://chuongmy.hanoi.gov.vn/", "UBND Ủy ban nhân dân xã Tri Trung  thành phố Hà Nội")</f>
      </c>
      <c r="C1653" t="str">
        <v>https://chuongmy.hanoi.gov.vn/</v>
      </c>
      <c r="D1653" t="str">
        <v>-</v>
      </c>
      <c r="E1653" t="str">
        <v>-</v>
      </c>
      <c r="F1653" t="str">
        <v>-</v>
      </c>
      <c r="G1653" t="str">
        <v>-</v>
      </c>
    </row>
    <row r="1654">
      <c r="A1654">
        <v>1653</v>
      </c>
      <c r="B1654">
        <f>HYPERLINK("https://www.facebook.com/policedaithang/", "Công an xã Đại Thắng  thành phố Hà Nội")</f>
      </c>
      <c r="C1654" t="str">
        <v>https://www.facebook.com/policedaithang/</v>
      </c>
      <c r="D1654" t="str">
        <v>-</v>
      </c>
      <c r="E1654" t="str">
        <v>02353773114</v>
      </c>
      <c r="F1654" t="str">
        <v>congandaithang@gmail.com</v>
      </c>
      <c r="G1654" t="str">
        <v>Thôn Phú An, xã Đại Thắng, huyện Đại Lộc, tỉnh Quảng Nam, Quang Nam, Vietnam</v>
      </c>
    </row>
    <row r="1655">
      <c r="A1655">
        <v>1654</v>
      </c>
      <c r="B1655">
        <f>HYPERLINK("http://phuxuyen.hanoi.gov.vn/nl/tin-tieu-diem?p_p_id=101&amp;p_p_lifecycle=0&amp;p_p_state=normal&amp;p_p_mode=view&amp;p_p_col_id=column-2&amp;p_p_col_count=1&amp;_101_delta=10&amp;_101_keywords=&amp;_101_advancedSearch=false&amp;_101_andOperator=true&amp;p_r_p_564233524_resetCur=false&amp;_101_cur=146", "UBND Ủy ban nhân dân xã Đại Thắng  thành phố Hà Nội")</f>
      </c>
      <c r="C1655" t="str">
        <v>http://phuxuyen.hanoi.gov.vn/nl/tin-tieu-diem?p_p_id=101&amp;p_p_lifecycle=0&amp;p_p_state=normal&amp;p_p_mode=view&amp;p_p_col_id=column-2&amp;p_p_col_count=1&amp;_101_delta=10&amp;_101_keywords=&amp;_101_advancedSearch=false&amp;_101_andOperator=true&amp;p_r_p_564233524_resetCur=false&amp;_101_cur=146</v>
      </c>
      <c r="D1655" t="str">
        <v>-</v>
      </c>
      <c r="E1655" t="str">
        <v>-</v>
      </c>
      <c r="F1655" t="str">
        <v>-</v>
      </c>
      <c r="G1655" t="str">
        <v>-</v>
      </c>
    </row>
    <row r="1656">
      <c r="A1656">
        <v>1655</v>
      </c>
      <c r="B1656">
        <f>HYPERLINK("https://www.facebook.com/p/Tu%E1%BB%95i-tr%E1%BA%BB-C%C3%B4ng-an-Th%C3%A0nh-ph%E1%BB%91-V%C4%A9nh-Y%C3%AAn-100066497717181/?locale=vi_VN", "Công an xã Phú Túc  thành phố Hà Nội")</f>
      </c>
      <c r="C1656" t="str">
        <v>https://www.facebook.com/p/Tu%E1%BB%95i-tr%E1%BA%BB-C%C3%B4ng-an-Th%C3%A0nh-ph%E1%BB%91-V%C4%A9nh-Y%C3%AAn-100066497717181/?locale=vi_VN</v>
      </c>
      <c r="D1656" t="str">
        <v>-</v>
      </c>
      <c r="E1656" t="str">
        <v>02113861204</v>
      </c>
      <c r="F1656" t="str">
        <v>-</v>
      </c>
      <c r="G1656" t="str">
        <v>Lê Xoay - Ngô Quyền - Vĩnh Yên, Yen, Vietnam</v>
      </c>
    </row>
    <row r="1657">
      <c r="A1657">
        <v>1656</v>
      </c>
      <c r="B1657">
        <f>HYPERLINK("https://congbao-hanoi.thudo.gov.vn/chi-tiet-van-ban/ve-viec-cong-nhan-diem-du-lich-lang-nghe-co-te-may-tre-dan-xa-phu-tuc-xa-phu-tuc-huyen-phu-xuyen-217359", "UBND Ủy ban nhân dân xã Phú Túc  thành phố Hà Nội")</f>
      </c>
      <c r="C1657" t="str">
        <v>https://congbao-hanoi.thudo.gov.vn/chi-tiet-van-ban/ve-viec-cong-nhan-diem-du-lich-lang-nghe-co-te-may-tre-dan-xa-phu-tuc-xa-phu-tuc-huyen-phu-xuyen-217359</v>
      </c>
      <c r="D1657" t="str">
        <v>-</v>
      </c>
      <c r="E1657" t="str">
        <v>-</v>
      </c>
      <c r="F1657" t="str">
        <v>-</v>
      </c>
      <c r="G1657" t="str">
        <v>-</v>
      </c>
    </row>
    <row r="1658">
      <c r="A1658">
        <v>1657</v>
      </c>
      <c r="B1658" t="str">
        <v>Công an xã Văn Hoàng  thành phố Hà Nội</v>
      </c>
      <c r="C1658" t="str">
        <v>-</v>
      </c>
      <c r="D1658" t="str">
        <v>-</v>
      </c>
      <c r="E1658" t="str">
        <v/>
      </c>
      <c r="F1658" t="str">
        <v>-</v>
      </c>
      <c r="G1658" t="str">
        <v>-</v>
      </c>
    </row>
    <row r="1659">
      <c r="A1659">
        <v>1658</v>
      </c>
      <c r="B1659">
        <f>HYPERLINK("http://phuxuyen.hanoi.gov.vn/", "UBND Ủy ban nhân dân xã Văn Hoàng  thành phố Hà Nội")</f>
      </c>
      <c r="C1659" t="str">
        <v>http://phuxuyen.hanoi.gov.vn/</v>
      </c>
      <c r="D1659" t="str">
        <v>-</v>
      </c>
      <c r="E1659" t="str">
        <v>-</v>
      </c>
      <c r="F1659" t="str">
        <v>-</v>
      </c>
      <c r="G1659" t="str">
        <v>-</v>
      </c>
    </row>
    <row r="1660">
      <c r="A1660">
        <v>1659</v>
      </c>
      <c r="B1660">
        <f>HYPERLINK("https://www.facebook.com/groups/850821972517048/", "Công an xã Hồng Thái  thành phố Hà Nội")</f>
      </c>
      <c r="C1660" t="str">
        <v>https://www.facebook.com/groups/850821972517048/</v>
      </c>
      <c r="D1660" t="str">
        <v>-</v>
      </c>
      <c r="E1660" t="str">
        <v/>
      </c>
      <c r="F1660" t="str">
        <v>-</v>
      </c>
      <c r="G1660" t="str">
        <v>-</v>
      </c>
    </row>
    <row r="1661">
      <c r="A1661">
        <v>1660</v>
      </c>
      <c r="B1661">
        <f>HYPERLINK("https://dongtrieu.quangninh.gov.vn/Trang/ChiTietBVGioiThieu.aspx?bvid=219", "UBND Ủy ban nhân dân xã Hồng Thái  thành phố Hà Nội")</f>
      </c>
      <c r="C1661" t="str">
        <v>https://dongtrieu.quangninh.gov.vn/Trang/ChiTietBVGioiThieu.aspx?bvid=219</v>
      </c>
      <c r="D1661" t="str">
        <v>-</v>
      </c>
      <c r="E1661" t="str">
        <v>-</v>
      </c>
      <c r="F1661" t="str">
        <v>-</v>
      </c>
      <c r="G1661" t="str">
        <v>-</v>
      </c>
    </row>
    <row r="1662">
      <c r="A1662">
        <v>1661</v>
      </c>
      <c r="B1662">
        <f>HYPERLINK("https://www.facebook.com/xahoanglongpxhn/", "Công an xã Hoàng Long  thành phố Hà Nội")</f>
      </c>
      <c r="C1662" t="str">
        <v>https://www.facebook.com/xahoanglongpxhn/</v>
      </c>
      <c r="D1662" t="str">
        <v>-</v>
      </c>
      <c r="E1662" t="str">
        <v/>
      </c>
      <c r="F1662" t="str">
        <v>-</v>
      </c>
      <c r="G1662" t="str">
        <v>Hoàng Long, Hanoi, Vietnam</v>
      </c>
    </row>
    <row r="1663">
      <c r="A1663">
        <v>1662</v>
      </c>
      <c r="B1663">
        <f>HYPERLINK("https://melinh.hanoi.gov.vn/ngan-hang-csxh-huyen-va-ubnd-xa-hoang-kim-thong-bao-ung-dung-moi-tren-vbsp-smartbanking-173240322154643993.htm", "UBND Ủy ban nhân dân xã Hoàng Long  thành phố Hà Nội")</f>
      </c>
      <c r="C1663" t="str">
        <v>https://melinh.hanoi.gov.vn/ngan-hang-csxh-huyen-va-ubnd-xa-hoang-kim-thong-bao-ung-dung-moi-tren-vbsp-smartbanking-173240322154643993.htm</v>
      </c>
      <c r="D1663" t="str">
        <v>-</v>
      </c>
      <c r="E1663" t="str">
        <v>-</v>
      </c>
      <c r="F1663" t="str">
        <v>-</v>
      </c>
      <c r="G1663" t="str">
        <v>-</v>
      </c>
    </row>
    <row r="1664">
      <c r="A1664">
        <v>1663</v>
      </c>
      <c r="B1664">
        <f>HYPERLINK("https://www.facebook.com/doanthanhnien.1956/", "Công an xã Quang Trung  thành phố Hà Nội")</f>
      </c>
      <c r="C1664" t="str">
        <v>https://www.facebook.com/doanthanhnien.1956/</v>
      </c>
      <c r="D1664" t="str">
        <v>-</v>
      </c>
      <c r="E1664" t="str">
        <v/>
      </c>
      <c r="F1664" t="str">
        <v>doanthanhniencatphanoi@gmail.com</v>
      </c>
      <c r="G1664" t="str">
        <v>87 phố Trần Hưng Đạo, quận Hoàn Kiếm, TP Hà Nội, Hanoi, Vietnam</v>
      </c>
    </row>
    <row r="1665">
      <c r="A1665">
        <v>1664</v>
      </c>
      <c r="B1665">
        <f>HYPERLINK("https://sonoivu.caobang.gov.vn/hoat-dong-nganh/so-noi-vu-phoi-hop-voi-so-y-te-thuc-hien-chuong-trinh-tang-qua-va-kham-benh-cap-phat-thuoc-mien--988705", "UBND Ủy ban nhân dân xã Quang Trung  thành phố Hà Nội")</f>
      </c>
      <c r="C1665" t="str">
        <v>https://sonoivu.caobang.gov.vn/hoat-dong-nganh/so-noi-vu-phoi-hop-voi-so-y-te-thuc-hien-chuong-trinh-tang-qua-va-kham-benh-cap-phat-thuoc-mien--988705</v>
      </c>
      <c r="D1665" t="str">
        <v>-</v>
      </c>
      <c r="E1665" t="str">
        <v>-</v>
      </c>
      <c r="F1665" t="str">
        <v>-</v>
      </c>
      <c r="G1665" t="str">
        <v>-</v>
      </c>
    </row>
    <row r="1666">
      <c r="A1666">
        <v>1665</v>
      </c>
      <c r="B1666">
        <f>HYPERLINK("https://www.facebook.com/doanthanhnien.1956/", "Công an xã Nam Phong  thành phố Hà Nội")</f>
      </c>
      <c r="C1666" t="str">
        <v>https://www.facebook.com/doanthanhnien.1956/</v>
      </c>
      <c r="D1666" t="str">
        <v>-</v>
      </c>
      <c r="E1666" t="str">
        <v/>
      </c>
      <c r="F1666" t="str">
        <v>doanthanhniencatphanoi@gmail.com</v>
      </c>
      <c r="G1666" t="str">
        <v>87 phố Trần Hưng Đạo, quận Hoàn Kiếm, TP Hà Nội, Hanoi, Vietnam</v>
      </c>
    </row>
    <row r="1667">
      <c r="A1667">
        <v>1666</v>
      </c>
      <c r="B1667">
        <f>HYPERLINK("https://chuongmy.hanoi.gov.vn/", "UBND Ủy ban nhân dân xã Nam Phong  thành phố Hà Nội")</f>
      </c>
      <c r="C1667" t="str">
        <v>https://chuongmy.hanoi.gov.vn/</v>
      </c>
      <c r="D1667" t="str">
        <v>-</v>
      </c>
      <c r="E1667" t="str">
        <v>-</v>
      </c>
      <c r="F1667" t="str">
        <v>-</v>
      </c>
      <c r="G1667" t="str">
        <v>-</v>
      </c>
    </row>
    <row r="1668">
      <c r="A1668">
        <v>1667</v>
      </c>
      <c r="B1668" t="str">
        <v>Công an xã Nam Triều  thành phố Hà Nội</v>
      </c>
      <c r="C1668" t="str">
        <v>-</v>
      </c>
      <c r="D1668" t="str">
        <v>-</v>
      </c>
      <c r="E1668" t="str">
        <v/>
      </c>
      <c r="F1668" t="str">
        <v>-</v>
      </c>
      <c r="G1668" t="str">
        <v>-</v>
      </c>
    </row>
    <row r="1669">
      <c r="A1669">
        <v>1668</v>
      </c>
      <c r="B1669">
        <f>HYPERLINK("http://phuxuyen.hanoi.gov.vn/tin-xa-thi-tran/-/view_content/8420182-thuong-truc-huyen-uy-lam-viec-voi-dang-uy-xa-nam-trieu.html", "UBND Ủy ban nhân dân xã Nam Triều  thành phố Hà Nội")</f>
      </c>
      <c r="C1669" t="str">
        <v>http://phuxuyen.hanoi.gov.vn/tin-xa-thi-tran/-/view_content/8420182-thuong-truc-huyen-uy-lam-viec-voi-dang-uy-xa-nam-trieu.html</v>
      </c>
      <c r="D1669" t="str">
        <v>-</v>
      </c>
      <c r="E1669" t="str">
        <v>-</v>
      </c>
      <c r="F1669" t="str">
        <v>-</v>
      </c>
      <c r="G1669" t="str">
        <v>-</v>
      </c>
    </row>
    <row r="1670">
      <c r="A1670">
        <v>1669</v>
      </c>
      <c r="B1670" t="str">
        <v>Công an xã Tân Dân  thành phố Hà Nội</v>
      </c>
      <c r="C1670" t="str">
        <v>-</v>
      </c>
      <c r="D1670" t="str">
        <v>-</v>
      </c>
      <c r="E1670" t="str">
        <v/>
      </c>
      <c r="F1670" t="str">
        <v>-</v>
      </c>
      <c r="G1670" t="str">
        <v>-</v>
      </c>
    </row>
    <row r="1671">
      <c r="A1671">
        <v>1670</v>
      </c>
      <c r="B1671">
        <f>HYPERLINK("http://tandan.socson.hanoi.gov.vn/uy-ban-nhan-dan", "UBND Ủy ban nhân dân xã Tân Dân  thành phố Hà Nội")</f>
      </c>
      <c r="C1671" t="str">
        <v>http://tandan.socson.hanoi.gov.vn/uy-ban-nhan-dan</v>
      </c>
      <c r="D1671" t="str">
        <v>-</v>
      </c>
      <c r="E1671" t="str">
        <v>-</v>
      </c>
      <c r="F1671" t="str">
        <v>-</v>
      </c>
      <c r="G1671" t="str">
        <v>-</v>
      </c>
    </row>
    <row r="1672">
      <c r="A1672">
        <v>1671</v>
      </c>
      <c r="B1672">
        <f>HYPERLINK("https://www.facebook.com/p/Tu%E1%BB%95i-tr%E1%BA%BB-C%C3%B4ng-an-th%E1%BB%8B-x%C3%A3-S%C6%A1n-T%C3%A2y-100040884909606/", "Công an xã Sơn Hà  thành phố Hà Nội")</f>
      </c>
      <c r="C1672" t="str">
        <v>https://www.facebook.com/p/Tu%E1%BB%95i-tr%E1%BA%BB-C%C3%B4ng-an-th%E1%BB%8B-x%C3%A3-S%C6%A1n-T%C3%A2y-100040884909606/</v>
      </c>
      <c r="D1672" t="str">
        <v>-</v>
      </c>
      <c r="E1672" t="str">
        <v/>
      </c>
      <c r="F1672" t="str">
        <v>tuoitrecatxsontay@gmail.com</v>
      </c>
      <c r="G1672" t="str">
        <v>-</v>
      </c>
    </row>
    <row r="1673">
      <c r="A1673">
        <v>1672</v>
      </c>
      <c r="B1673">
        <f>HYPERLINK("https://sonha.quangngai.gov.vn/", "UBND Ủy ban nhân dân xã Sơn Hà  thành phố Hà Nội")</f>
      </c>
      <c r="C1673" t="str">
        <v>https://sonha.quangngai.gov.vn/</v>
      </c>
      <c r="D1673" t="str">
        <v>-</v>
      </c>
      <c r="E1673" t="str">
        <v>-</v>
      </c>
      <c r="F1673" t="str">
        <v>-</v>
      </c>
      <c r="G1673" t="str">
        <v>-</v>
      </c>
    </row>
    <row r="1674">
      <c r="A1674">
        <v>1673</v>
      </c>
      <c r="B1674">
        <f>HYPERLINK("https://www.facebook.com/doanthanhnien.1956/", "Công an xã Chuyên Mỹ  thành phố Hà Nội")</f>
      </c>
      <c r="C1674" t="str">
        <v>https://www.facebook.com/doanthanhnien.1956/</v>
      </c>
      <c r="D1674" t="str">
        <v>-</v>
      </c>
      <c r="E1674" t="str">
        <v/>
      </c>
      <c r="F1674" t="str">
        <v>doanthanhniencatphanoi@gmail.com</v>
      </c>
      <c r="G1674" t="str">
        <v>87 phố Trần Hưng Đạo, quận Hoàn Kiếm, TP Hà Nội, Hanoi, Vietnam</v>
      </c>
    </row>
    <row r="1675">
      <c r="A1675">
        <v>1674</v>
      </c>
      <c r="B1675">
        <f>HYPERLINK("https://chuongmy.hanoi.gov.vn/", "UBND Ủy ban nhân dân xã Chuyên Mỹ  thành phố Hà Nội")</f>
      </c>
      <c r="C1675" t="str">
        <v>https://chuongmy.hanoi.gov.vn/</v>
      </c>
      <c r="D1675" t="str">
        <v>-</v>
      </c>
      <c r="E1675" t="str">
        <v>-</v>
      </c>
      <c r="F1675" t="str">
        <v>-</v>
      </c>
      <c r="G1675" t="str">
        <v>-</v>
      </c>
    </row>
    <row r="1676">
      <c r="A1676">
        <v>1675</v>
      </c>
      <c r="B1676">
        <f>HYPERLINK("https://www.facebook.com/groups/513486586742474/", "Công an xã Khai Thái  thành phố Hà Nội")</f>
      </c>
      <c r="C1676" t="str">
        <v>https://www.facebook.com/groups/513486586742474/</v>
      </c>
      <c r="D1676" t="str">
        <v>-</v>
      </c>
      <c r="E1676" t="str">
        <v/>
      </c>
      <c r="F1676" t="str">
        <v>-</v>
      </c>
      <c r="G1676" t="str">
        <v>-</v>
      </c>
    </row>
    <row r="1677">
      <c r="A1677">
        <v>1676</v>
      </c>
      <c r="B1677">
        <f>HYPERLINK("http://phuxuyen.hanoi.gov.vn/ubnd-cac-xa-thi-tran/-/view_content/1637771-xa-khai-thai.html", "UBND Ủy ban nhân dân xã Khai Thái  thành phố Hà Nội")</f>
      </c>
      <c r="C1677" t="str">
        <v>http://phuxuyen.hanoi.gov.vn/ubnd-cac-xa-thi-tran/-/view_content/1637771-xa-khai-thai.html</v>
      </c>
      <c r="D1677" t="str">
        <v>-</v>
      </c>
      <c r="E1677" t="str">
        <v>-</v>
      </c>
      <c r="F1677" t="str">
        <v>-</v>
      </c>
      <c r="G1677" t="str">
        <v>-</v>
      </c>
    </row>
    <row r="1678">
      <c r="A1678">
        <v>1677</v>
      </c>
      <c r="B1678" t="str">
        <v>Công an xã Phúc Tiến  thành phố Hà Nội</v>
      </c>
      <c r="C1678" t="str">
        <v>-</v>
      </c>
      <c r="D1678" t="str">
        <v>-</v>
      </c>
      <c r="E1678" t="str">
        <v/>
      </c>
      <c r="F1678" t="str">
        <v>-</v>
      </c>
      <c r="G1678" t="str">
        <v>-</v>
      </c>
    </row>
    <row r="1679">
      <c r="A1679">
        <v>1678</v>
      </c>
      <c r="B1679">
        <f>HYPERLINK("http://phuxuyen.hanoi.gov.vn/ubnd-cac-xa-thi-tran", "UBND Ủy ban nhân dân xã Phúc Tiến  thành phố Hà Nội")</f>
      </c>
      <c r="C1679" t="str">
        <v>http://phuxuyen.hanoi.gov.vn/ubnd-cac-xa-thi-tran</v>
      </c>
      <c r="D1679" t="str">
        <v>-</v>
      </c>
      <c r="E1679" t="str">
        <v>-</v>
      </c>
      <c r="F1679" t="str">
        <v>-</v>
      </c>
      <c r="G1679" t="str">
        <v>-</v>
      </c>
    </row>
    <row r="1680">
      <c r="A1680">
        <v>1679</v>
      </c>
      <c r="B1680">
        <f>HYPERLINK("https://www.facebook.com/doanthanhnien.1956/", "Công an xã Vân Từ  thành phố Hà Nội")</f>
      </c>
      <c r="C1680" t="str">
        <v>https://www.facebook.com/doanthanhnien.1956/</v>
      </c>
      <c r="D1680" t="str">
        <v>-</v>
      </c>
      <c r="E1680" t="str">
        <v/>
      </c>
      <c r="F1680" t="str">
        <v>doanthanhniencatphanoi@gmail.com</v>
      </c>
      <c r="G1680" t="str">
        <v>87 phố Trần Hưng Đạo, quận Hoàn Kiếm, TP Hà Nội, Hanoi, Vietnam</v>
      </c>
    </row>
    <row r="1681">
      <c r="A1681">
        <v>1680</v>
      </c>
      <c r="B1681">
        <f>HYPERLINK("https://vietyen.bacgiang.gov.vn/xuat-ban-thong-tin/-/asset_publisher/vYGFBWdWN3jE/content/van-ha", "UBND Ủy ban nhân dân xã Vân Từ  thành phố Hà Nội")</f>
      </c>
      <c r="C1681" t="str">
        <v>https://vietyen.bacgiang.gov.vn/xuat-ban-thong-tin/-/asset_publisher/vYGFBWdWN3jE/content/van-ha</v>
      </c>
      <c r="D1681" t="str">
        <v>-</v>
      </c>
      <c r="E1681" t="str">
        <v>-</v>
      </c>
      <c r="F1681" t="str">
        <v>-</v>
      </c>
      <c r="G1681" t="str">
        <v>-</v>
      </c>
    </row>
    <row r="1682">
      <c r="A1682">
        <v>1681</v>
      </c>
      <c r="B1682">
        <f>HYPERLINK("https://www.facebook.com/doanthanhnien.1956/", "Công an xã Tri Thủy  thành phố Hà Nội")</f>
      </c>
      <c r="C1682" t="str">
        <v>https://www.facebook.com/doanthanhnien.1956/</v>
      </c>
      <c r="D1682" t="str">
        <v>-</v>
      </c>
      <c r="E1682" t="str">
        <v/>
      </c>
      <c r="F1682" t="str">
        <v>doanthanhniencatphanoi@gmail.com</v>
      </c>
      <c r="G1682" t="str">
        <v>87 phố Trần Hưng Đạo, quận Hoàn Kiếm, TP Hà Nội, Hanoi, Vietnam</v>
      </c>
    </row>
    <row r="1683">
      <c r="A1683">
        <v>1682</v>
      </c>
      <c r="B1683">
        <f>HYPERLINK("http://phuxuyen.hanoi.gov.vn/tin-xa-thi-tran/-/view_content/5407986-dai-hoi-dai-bieu-dang-bo-xa-tri-thuy-nhiem-ky-2020-2025.html", "UBND Ủy ban nhân dân xã Tri Thủy  thành phố Hà Nội")</f>
      </c>
      <c r="C1683" t="str">
        <v>http://phuxuyen.hanoi.gov.vn/tin-xa-thi-tran/-/view_content/5407986-dai-hoi-dai-bieu-dang-bo-xa-tri-thuy-nhiem-ky-2020-2025.html</v>
      </c>
      <c r="D1683" t="str">
        <v>-</v>
      </c>
      <c r="E1683" t="str">
        <v>-</v>
      </c>
      <c r="F1683" t="str">
        <v>-</v>
      </c>
      <c r="G1683" t="str">
        <v>-</v>
      </c>
    </row>
    <row r="1684">
      <c r="A1684">
        <v>1683</v>
      </c>
      <c r="B1684">
        <f>HYPERLINK("https://www.facebook.com/p/Tu%E1%BB%95i-tr%E1%BA%BB-C%C3%B4ng-an-Th%C3%A0nh-ph%E1%BB%91-V%C4%A9nh-Y%C3%AAn-100066497717181/", "Công an xã Đại Xuyên  thành phố Hà Nội")</f>
      </c>
      <c r="C1684" t="str">
        <v>https://www.facebook.com/p/Tu%E1%BB%95i-tr%E1%BA%BB-C%C3%B4ng-an-Th%C3%A0nh-ph%E1%BB%91-V%C4%A9nh-Y%C3%AAn-100066497717181/</v>
      </c>
      <c r="D1684" t="str">
        <v>-</v>
      </c>
      <c r="E1684" t="str">
        <v>02113861204</v>
      </c>
      <c r="F1684" t="str">
        <v>-</v>
      </c>
      <c r="G1684" t="str">
        <v>Lê Xoay - Ngô Quyền - Vĩnh Yên, Yen, Vietnam</v>
      </c>
    </row>
    <row r="1685">
      <c r="A1685">
        <v>1684</v>
      </c>
      <c r="B1685">
        <f>HYPERLINK("http://phuxuyen.hanoi.gov.vn/", "UBND Ủy ban nhân dân xã Đại Xuyên  thành phố Hà Nội")</f>
      </c>
      <c r="C1685" t="str">
        <v>http://phuxuyen.hanoi.gov.vn/</v>
      </c>
      <c r="D1685" t="str">
        <v>-</v>
      </c>
      <c r="E1685" t="str">
        <v>-</v>
      </c>
      <c r="F1685" t="str">
        <v>-</v>
      </c>
      <c r="G1685" t="str">
        <v>-</v>
      </c>
    </row>
    <row r="1686">
      <c r="A1686">
        <v>1685</v>
      </c>
      <c r="B1686">
        <f>HYPERLINK("https://www.facebook.com/p/Tu%E1%BB%95i-tr%E1%BA%BB-C%C3%B4ng-an-Th%C3%A0nh-ph%E1%BB%91-V%C4%A9nh-Y%C3%AAn-100066497717181/", "Công an xã Phú Yên  thành phố Hà Nội")</f>
      </c>
      <c r="C1686" t="str">
        <v>https://www.facebook.com/p/Tu%E1%BB%95i-tr%E1%BA%BB-C%C3%B4ng-an-Th%C3%A0nh-ph%E1%BB%91-V%C4%A9nh-Y%C3%AAn-100066497717181/</v>
      </c>
      <c r="D1686" t="str">
        <v>-</v>
      </c>
      <c r="E1686" t="str">
        <v>02113861204</v>
      </c>
      <c r="F1686" t="str">
        <v>-</v>
      </c>
      <c r="G1686" t="str">
        <v>Lê Xoay - Ngô Quyền - Vĩnh Yên, Yen, Vietnam</v>
      </c>
    </row>
    <row r="1687">
      <c r="A1687">
        <v>1686</v>
      </c>
      <c r="B1687">
        <f>HYPERLINK("https://www.phuyen.gov.vn/", "UBND Ủy ban nhân dân xã Phú Yên  thành phố Hà Nội")</f>
      </c>
      <c r="C1687" t="str">
        <v>https://www.phuyen.gov.vn/</v>
      </c>
      <c r="D1687" t="str">
        <v>-</v>
      </c>
      <c r="E1687" t="str">
        <v>-</v>
      </c>
      <c r="F1687" t="str">
        <v>-</v>
      </c>
      <c r="G1687" t="str">
        <v>-</v>
      </c>
    </row>
    <row r="1688">
      <c r="A1688">
        <v>1687</v>
      </c>
      <c r="B1688">
        <f>HYPERLINK("https://www.facebook.com/TuoitreConganVinhPhuc/", "Công an xã Bạch Hạ  thành phố Hà Nội")</f>
      </c>
      <c r="C1688" t="str">
        <v>https://www.facebook.com/TuoitreConganVinhPhuc/</v>
      </c>
      <c r="D1688" t="str">
        <v>-</v>
      </c>
      <c r="E1688" t="str">
        <v/>
      </c>
      <c r="F1688" t="str">
        <v>doanconganvp@gmail.com</v>
      </c>
      <c r="G1688" t="str">
        <v>số 1 đường tôn đức thắng, Vinh Yen, Vietnam</v>
      </c>
    </row>
    <row r="1689">
      <c r="A1689">
        <v>1688</v>
      </c>
      <c r="B1689">
        <f>HYPERLINK("http://phuxuyen.hanoi.gov.vn/danh-ba-dien-thoai", "UBND Ủy ban nhân dân xã Bạch Hạ  thành phố Hà Nội")</f>
      </c>
      <c r="C1689" t="str">
        <v>http://phuxuyen.hanoi.gov.vn/danh-ba-dien-thoai</v>
      </c>
      <c r="D1689" t="str">
        <v>-</v>
      </c>
      <c r="E1689" t="str">
        <v>-</v>
      </c>
      <c r="F1689" t="str">
        <v>-</v>
      </c>
      <c r="G1689" t="str">
        <v>-</v>
      </c>
    </row>
    <row r="1690">
      <c r="A1690">
        <v>1689</v>
      </c>
      <c r="B1690">
        <f>HYPERLINK("https://www.facebook.com/doanthanhnien.1956/", "Công an xã Quang Lãng  thành phố Hà Nội")</f>
      </c>
      <c r="C1690" t="str">
        <v>https://www.facebook.com/doanthanhnien.1956/</v>
      </c>
      <c r="D1690" t="str">
        <v>-</v>
      </c>
      <c r="E1690" t="str">
        <v/>
      </c>
      <c r="F1690" t="str">
        <v>doanthanhniencatphanoi@gmail.com</v>
      </c>
      <c r="G1690" t="str">
        <v>87 phố Trần Hưng Đạo, quận Hoàn Kiếm, TP Hà Nội, Hanoi, Vietnam</v>
      </c>
    </row>
    <row r="1691">
      <c r="A1691">
        <v>1690</v>
      </c>
      <c r="B1691">
        <f>HYPERLINK("https://haiha.quangninh.gov.vn/trang/chitietbvgioithieu.aspx?bvid=129", "UBND Ủy ban nhân dân xã Quang Lãng  thành phố Hà Nội")</f>
      </c>
      <c r="C1691" t="str">
        <v>https://haiha.quangninh.gov.vn/trang/chitietbvgioithieu.aspx?bvid=129</v>
      </c>
      <c r="D1691" t="str">
        <v>-</v>
      </c>
      <c r="E1691" t="str">
        <v>-</v>
      </c>
      <c r="F1691" t="str">
        <v>-</v>
      </c>
      <c r="G1691" t="str">
        <v>-</v>
      </c>
    </row>
    <row r="1692">
      <c r="A1692">
        <v>1691</v>
      </c>
      <c r="B1692">
        <f>HYPERLINK("https://www.facebook.com/p/Tu%E1%BB%95i-Tr%E1%BA%BB-C%C3%B4ng-An-Huy%E1%BB%87n-Ch%C6%B0%C6%A1ng-M%E1%BB%B9-100028578047777/", "Công an xã Châu Can  thành phố Hà Nội")</f>
      </c>
      <c r="C1692" t="str">
        <v>https://www.facebook.com/p/Tu%E1%BB%95i-Tr%E1%BA%BB-C%C3%B4ng-An-Huy%E1%BB%87n-Ch%C6%B0%C6%A1ng-M%E1%BB%B9-100028578047777/</v>
      </c>
      <c r="D1692" t="str">
        <v>-</v>
      </c>
      <c r="E1692" t="str">
        <v/>
      </c>
      <c r="F1692" t="str">
        <v>doantncahchuongmy@gmail.com</v>
      </c>
      <c r="G1692" t="str">
        <v>Số 29A, Tổ dân phố Ninh Kiều, huyện Chương Mỹ, thành phố Hà Nội, Hanoi, Vietnam</v>
      </c>
    </row>
    <row r="1693">
      <c r="A1693">
        <v>1692</v>
      </c>
      <c r="B1693">
        <f>HYPERLINK("https://chaucan-phuxuyen.thudo.gov.vn/van-ban-chi-dao-dieu-hanh/thong-bao-ket-luan-cua-ubnd-quan-tai-buoi-lam-viec-voi-cac-don-vi-ve-tien-do-thuc-hien-cac-du-an-185832", "UBND Ủy ban nhân dân xã Châu Can  thành phố Hà Nội")</f>
      </c>
      <c r="C1693" t="str">
        <v>https://chaucan-phuxuyen.thudo.gov.vn/van-ban-chi-dao-dieu-hanh/thong-bao-ket-luan-cua-ubnd-quan-tai-buoi-lam-viec-voi-cac-don-vi-ve-tien-do-thuc-hien-cac-du-an-185832</v>
      </c>
      <c r="D1693" t="str">
        <v>-</v>
      </c>
      <c r="E1693" t="str">
        <v>-</v>
      </c>
      <c r="F1693" t="str">
        <v>-</v>
      </c>
      <c r="G1693" t="str">
        <v>-</v>
      </c>
    </row>
    <row r="1694">
      <c r="A1694">
        <v>1693</v>
      </c>
      <c r="B1694" t="str">
        <v>Công an xã Minh Tân  thành phố Hà Nội</v>
      </c>
      <c r="C1694" t="str">
        <v>-</v>
      </c>
      <c r="D1694" t="str">
        <v>-</v>
      </c>
      <c r="E1694" t="str">
        <v/>
      </c>
      <c r="F1694" t="str">
        <v>-</v>
      </c>
      <c r="G1694" t="str">
        <v>-</v>
      </c>
    </row>
    <row r="1695">
      <c r="A1695">
        <v>1694</v>
      </c>
      <c r="B1695">
        <f>HYPERLINK("https://kienthuy.haiphong.gov.vn/cac-xa-thi-tran/xa-minh-tan-308392", "UBND Ủy ban nhân dân xã Minh Tân  thành phố Hà Nội")</f>
      </c>
      <c r="C1695" t="str">
        <v>https://kienthuy.haiphong.gov.vn/cac-xa-thi-tran/xa-minh-tan-308392</v>
      </c>
      <c r="D1695" t="str">
        <v>-</v>
      </c>
      <c r="E1695" t="str">
        <v>-</v>
      </c>
      <c r="F1695" t="str">
        <v>-</v>
      </c>
      <c r="G1695" t="str">
        <v>-</v>
      </c>
    </row>
    <row r="1696">
      <c r="A1696">
        <v>1695</v>
      </c>
      <c r="B1696" t="str">
        <v>Công an thị trấn Vân Đình  thành phố Hà Nội</v>
      </c>
      <c r="C1696" t="str">
        <v>-</v>
      </c>
      <c r="D1696" t="str">
        <v>-</v>
      </c>
      <c r="E1696" t="str">
        <v/>
      </c>
      <c r="F1696" t="str">
        <v>-</v>
      </c>
      <c r="G1696" t="str">
        <v>-</v>
      </c>
    </row>
    <row r="1697">
      <c r="A1697">
        <v>1696</v>
      </c>
      <c r="B1697">
        <f>HYPERLINK("https://truongthinh-unghoa.thudo.gov.vn/tin-lien-thong/thi-tran-van-dinh-nhieu-hoat-dong-ky-niem-ngay-thanh-lap-hoi-nong-dan-hoi-lhpn-hoi-lhtn-viet-nam-trong-thang-10-2024-2796241021022027811.htm", "UBND Ủy ban nhân dân thị trấn Vân Đình  thành phố Hà Nội")</f>
      </c>
      <c r="C1697" t="str">
        <v>https://truongthinh-unghoa.thudo.gov.vn/tin-lien-thong/thi-tran-van-dinh-nhieu-hoat-dong-ky-niem-ngay-thanh-lap-hoi-nong-dan-hoi-lhpn-hoi-lhtn-viet-nam-trong-thang-10-2024-2796241021022027811.htm</v>
      </c>
      <c r="D1697" t="str">
        <v>-</v>
      </c>
      <c r="E1697" t="str">
        <v>-</v>
      </c>
      <c r="F1697" t="str">
        <v>-</v>
      </c>
      <c r="G1697" t="str">
        <v>-</v>
      </c>
    </row>
    <row r="1698">
      <c r="A1698">
        <v>1697</v>
      </c>
      <c r="B1698">
        <f>HYPERLINK("https://www.facebook.com/doanthanhnien.1956/", "Công an xã Viên An  thành phố Hà Nội")</f>
      </c>
      <c r="C1698" t="str">
        <v>https://www.facebook.com/doanthanhnien.1956/</v>
      </c>
      <c r="D1698" t="str">
        <v>-</v>
      </c>
      <c r="E1698" t="str">
        <v/>
      </c>
      <c r="F1698" t="str">
        <v>doanthanhniencatphanoi@gmail.com</v>
      </c>
      <c r="G1698" t="str">
        <v>87 phố Trần Hưng Đạo, quận Hoàn Kiếm, TP Hà Nội, Hanoi, Vietnam</v>
      </c>
    </row>
    <row r="1699">
      <c r="A1699">
        <v>1698</v>
      </c>
      <c r="B1699">
        <f>HYPERLINK("https://chuongmy.hanoi.gov.vn/", "UBND Ủy ban nhân dân xã Viên An  thành phố Hà Nội")</f>
      </c>
      <c r="C1699" t="str">
        <v>https://chuongmy.hanoi.gov.vn/</v>
      </c>
      <c r="D1699" t="str">
        <v>-</v>
      </c>
      <c r="E1699" t="str">
        <v>-</v>
      </c>
      <c r="F1699" t="str">
        <v>-</v>
      </c>
      <c r="G1699" t="str">
        <v>-</v>
      </c>
    </row>
    <row r="1700">
      <c r="A1700">
        <v>1699</v>
      </c>
      <c r="B1700">
        <f>HYPERLINK("https://www.facebook.com/doanthanhnien.1956/", "Công an xã Viên Nội  thành phố Hà Nội")</f>
      </c>
      <c r="C1700" t="str">
        <v>https://www.facebook.com/doanthanhnien.1956/</v>
      </c>
      <c r="D1700" t="str">
        <v>-</v>
      </c>
      <c r="E1700" t="str">
        <v/>
      </c>
      <c r="F1700" t="str">
        <v>doanthanhniencatphanoi@gmail.com</v>
      </c>
      <c r="G1700" t="str">
        <v>87 phố Trần Hưng Đạo, quận Hoàn Kiếm, TP Hà Nội, Hanoi, Vietnam</v>
      </c>
    </row>
    <row r="1701">
      <c r="A1701">
        <v>1700</v>
      </c>
      <c r="B1701">
        <f>HYPERLINK("https://chuongmy.hanoi.gov.vn/", "UBND Ủy ban nhân dân xã Viên Nội  thành phố Hà Nội")</f>
      </c>
      <c r="C1701" t="str">
        <v>https://chuongmy.hanoi.gov.vn/</v>
      </c>
      <c r="D1701" t="str">
        <v>-</v>
      </c>
      <c r="E1701" t="str">
        <v>-</v>
      </c>
      <c r="F1701" t="str">
        <v>-</v>
      </c>
      <c r="G1701" t="str">
        <v>-</v>
      </c>
    </row>
    <row r="1702">
      <c r="A1702">
        <v>1701</v>
      </c>
      <c r="B1702">
        <f>HYPERLINK("https://www.facebook.com/p/Tr%C6%B0%E1%BB%9Dng-THCS-Hoa-S%C6%A1n-100068804246304/?locale=lv_LV", "Công an xã Hoa Sơn  thành phố Hà Nội")</f>
      </c>
      <c r="C1702" t="str">
        <v>https://www.facebook.com/p/Tr%C6%B0%E1%BB%9Dng-THCS-Hoa-S%C6%A1n-100068804246304/?locale=lv_LV</v>
      </c>
      <c r="D1702" t="str">
        <v>-</v>
      </c>
      <c r="E1702" t="str">
        <v/>
      </c>
      <c r="F1702" t="str">
        <v>c2hoason-uh@hanoiedu.vn</v>
      </c>
      <c r="G1702" t="str">
        <v>Miêng Thượng-Hoa Sơn</v>
      </c>
    </row>
    <row r="1703">
      <c r="A1703">
        <v>1702</v>
      </c>
      <c r="B1703">
        <f>HYPERLINK("https://luongson.hoabinh.gov.vn/index.php/gi-i-thi-u-chung/14-sample-data-articles/242-giai-thiau-va-ubnd-xa-haa-s-n", "UBND Ủy ban nhân dân xã Hoa Sơn  thành phố Hà Nội")</f>
      </c>
      <c r="C1703" t="str">
        <v>https://luongson.hoabinh.gov.vn/index.php/gi-i-thi-u-chung/14-sample-data-articles/242-giai-thiau-va-ubnd-xa-haa-s-n</v>
      </c>
      <c r="D1703" t="str">
        <v>-</v>
      </c>
      <c r="E1703" t="str">
        <v>-</v>
      </c>
      <c r="F1703" t="str">
        <v>-</v>
      </c>
      <c r="G1703" t="str">
        <v>-</v>
      </c>
    </row>
    <row r="1704">
      <c r="A1704">
        <v>1703</v>
      </c>
      <c r="B1704">
        <f>HYPERLINK("https://www.facebook.com/p/UBND-x%C3%A3-Qu%E1%BA%A3ng-Ph%C3%BA-C%E1%BA%A7u-%E1%BB%A8ng-H%C3%B2a-H%C3%A0-N%E1%BB%99i-100068444869157/", "Công an xã Quảng Phú Cầu  thành phố Hà Nội")</f>
      </c>
      <c r="C1704" t="str">
        <v>https://www.facebook.com/p/UBND-x%C3%A3-Qu%E1%BA%A3ng-Ph%C3%BA-C%E1%BA%A7u-%E1%BB%A8ng-H%C3%B2a-H%C3%A0-N%E1%BB%99i-100068444869157/</v>
      </c>
      <c r="D1704" t="str">
        <v>-</v>
      </c>
      <c r="E1704" t="str">
        <v/>
      </c>
      <c r="F1704" t="str">
        <v>-</v>
      </c>
      <c r="G1704" t="str">
        <v>thôn Phú Lương Thượng, xã Quảng Phú Cầu, huyện Ứng Hòa, TP. Hà Nội</v>
      </c>
    </row>
    <row r="1705">
      <c r="A1705">
        <v>1704</v>
      </c>
      <c r="B1705">
        <f>HYPERLINK("https://vanban.hanoi.gov.vn/ru/danhoiubndtptraloi/-/hn/xLe53OgCrEUu/184983/cau-hoi-e-nghi-thanh-pho-ho-tro-huyen-ung-hoa-trong-viec-xu-ly-rac-thai-lang-nghe-thon-xa-cau-xa-quang-phu-cau/print;jsessionid=MQsyI-E8b6rJGh--wuJxuXpa.undefined", "UBND Ủy ban nhân dân xã Quảng Phú Cầu  thành phố Hà Nội")</f>
      </c>
      <c r="C1705" t="str">
        <v>https://vanban.hanoi.gov.vn/ru/danhoiubndtptraloi/-/hn/xLe53OgCrEUu/184983/cau-hoi-e-nghi-thanh-pho-ho-tro-huyen-ung-hoa-trong-viec-xu-ly-rac-thai-lang-nghe-thon-xa-cau-xa-quang-phu-cau/print;jsessionid=MQsyI-E8b6rJGh--wuJxuXpa.undefined</v>
      </c>
      <c r="D1705" t="str">
        <v>-</v>
      </c>
      <c r="E1705" t="str">
        <v>-</v>
      </c>
      <c r="F1705" t="str">
        <v>-</v>
      </c>
      <c r="G1705" t="str">
        <v>-</v>
      </c>
    </row>
    <row r="1706">
      <c r="A1706">
        <v>1705</v>
      </c>
      <c r="B1706">
        <f>HYPERLINK("https://www.facebook.com/danguytruongthinh/", "Công an xã Trường Thịnh  thành phố Hà Nội")</f>
      </c>
      <c r="C1706" t="str">
        <v>https://www.facebook.com/danguytruongthinh/</v>
      </c>
      <c r="D1706" t="str">
        <v>-</v>
      </c>
      <c r="E1706" t="str">
        <v>0962094671</v>
      </c>
      <c r="F1706" t="str">
        <v>-</v>
      </c>
      <c r="G1706" t="str">
        <v>Trường Thịnh, Ung Hoa, Vietnam</v>
      </c>
    </row>
    <row r="1707">
      <c r="A1707">
        <v>1706</v>
      </c>
      <c r="B1707">
        <f>HYPERLINK("https://truongthinh-unghoa.thudo.gov.vn/tin-tuc-su-kien/cac-truong-hoc-tren-dia-ban-xa-truong-thinh-dong-loat-khai-giang-nam-hoc-moi-2024-2025-2729240906101232536.htm", "UBND Ủy ban nhân dân xã Trường Thịnh  thành phố Hà Nội")</f>
      </c>
      <c r="C1707" t="str">
        <v>https://truongthinh-unghoa.thudo.gov.vn/tin-tuc-su-kien/cac-truong-hoc-tren-dia-ban-xa-truong-thinh-dong-loat-khai-giang-nam-hoc-moi-2024-2025-2729240906101232536.htm</v>
      </c>
      <c r="D1707" t="str">
        <v>-</v>
      </c>
      <c r="E1707" t="str">
        <v>-</v>
      </c>
      <c r="F1707" t="str">
        <v>-</v>
      </c>
      <c r="G1707" t="str">
        <v>-</v>
      </c>
    </row>
    <row r="1708">
      <c r="A1708">
        <v>1707</v>
      </c>
      <c r="B1708">
        <f>HYPERLINK("https://www.facebook.com/doanthanhnien.1956/", "Công an xã Cao Thành  thành phố Hà Nội")</f>
      </c>
      <c r="C1708" t="str">
        <v>https://www.facebook.com/doanthanhnien.1956/</v>
      </c>
      <c r="D1708" t="str">
        <v>-</v>
      </c>
      <c r="E1708" t="str">
        <v/>
      </c>
      <c r="F1708" t="str">
        <v>doanthanhniencatphanoi@gmail.com</v>
      </c>
      <c r="G1708" t="str">
        <v>87 phố Trần Hưng Đạo, quận Hoàn Kiếm, TP Hà Nội, Hanoi, Vietnam</v>
      </c>
    </row>
    <row r="1709">
      <c r="A1709">
        <v>1708</v>
      </c>
      <c r="B1709">
        <f>HYPERLINK("https://caoduong.thanhoai.hanoi.gov.vn/", "UBND Ủy ban nhân dân xã Cao Thành  thành phố Hà Nội")</f>
      </c>
      <c r="C1709" t="str">
        <v>https://caoduong.thanhoai.hanoi.gov.vn/</v>
      </c>
      <c r="D1709" t="str">
        <v>-</v>
      </c>
      <c r="E1709" t="str">
        <v>-</v>
      </c>
      <c r="F1709" t="str">
        <v>-</v>
      </c>
      <c r="G1709" t="str">
        <v>-</v>
      </c>
    </row>
    <row r="1710">
      <c r="A1710">
        <v>1709</v>
      </c>
      <c r="B1710">
        <f>HYPERLINK("https://www.facebook.com/groups/4130474307049481/", "Công an xã Liên Bạt  thành phố Hà Nội")</f>
      </c>
      <c r="C1710" t="str">
        <v>https://www.facebook.com/groups/4130474307049481/</v>
      </c>
      <c r="D1710" t="str">
        <v>-</v>
      </c>
      <c r="E1710" t="str">
        <v/>
      </c>
      <c r="F1710" t="str">
        <v>-</v>
      </c>
      <c r="G1710" t="str">
        <v>-</v>
      </c>
    </row>
    <row r="1711">
      <c r="A1711">
        <v>1710</v>
      </c>
      <c r="B1711">
        <f>HYPERLINK("http://lienbat-unghoa.thudo.gov.vn/tin-tuc-su-kien/thon-dinh-trang-xa-lien-bat-to-chuc-thanh-cong-le-ra-mat-chi-hoi-khuyen-hoc-2719240918100910222.htm", "UBND Ủy ban nhân dân xã Liên Bạt  thành phố Hà Nội")</f>
      </c>
      <c r="C1711" t="str">
        <v>http://lienbat-unghoa.thudo.gov.vn/tin-tuc-su-kien/thon-dinh-trang-xa-lien-bat-to-chuc-thanh-cong-le-ra-mat-chi-hoi-khuyen-hoc-2719240918100910222.htm</v>
      </c>
      <c r="D1711" t="str">
        <v>-</v>
      </c>
      <c r="E1711" t="str">
        <v>-</v>
      </c>
      <c r="F1711" t="str">
        <v>-</v>
      </c>
      <c r="G1711" t="str">
        <v>-</v>
      </c>
    </row>
    <row r="1712">
      <c r="A1712">
        <v>1711</v>
      </c>
      <c r="B1712">
        <f>HYPERLINK("https://www.facebook.com/p/Tu%E1%BB%95i-tr%E1%BA%BB-C%C3%B4ng-an-th%E1%BB%8B-x%C3%A3-S%C6%A1n-T%C3%A2y-100040884909606/", "Công an xã Sơn Công  thành phố Hà Nội")</f>
      </c>
      <c r="C1712" t="str">
        <v>https://www.facebook.com/p/Tu%E1%BB%95i-tr%E1%BA%BB-C%C3%B4ng-an-th%E1%BB%8B-x%C3%A3-S%C6%A1n-T%C3%A2y-100040884909606/</v>
      </c>
      <c r="D1712" t="str">
        <v>-</v>
      </c>
      <c r="E1712" t="str">
        <v/>
      </c>
      <c r="F1712" t="str">
        <v>tuoitrecatxsontay@gmail.com</v>
      </c>
      <c r="G1712" t="str">
        <v>-</v>
      </c>
    </row>
    <row r="1713">
      <c r="A1713">
        <v>1712</v>
      </c>
      <c r="B1713">
        <f>HYPERLINK("http://sontay.hanoi.gov.vn/", "UBND Ủy ban nhân dân xã Sơn Công  thành phố Hà Nội")</f>
      </c>
      <c r="C1713" t="str">
        <v>http://sontay.hanoi.gov.vn/</v>
      </c>
      <c r="D1713" t="str">
        <v>-</v>
      </c>
      <c r="E1713" t="str">
        <v>-</v>
      </c>
      <c r="F1713" t="str">
        <v>-</v>
      </c>
      <c r="G1713" t="str">
        <v>-</v>
      </c>
    </row>
    <row r="1714">
      <c r="A1714">
        <v>1713</v>
      </c>
      <c r="B1714">
        <f>HYPERLINK("https://www.facebook.com/CaxDongTien.TS/", "Công an xã Đồng Tiến  thành phố Hà Nội")</f>
      </c>
      <c r="C1714" t="str">
        <v>https://www.facebook.com/CaxDongTien.TS/</v>
      </c>
      <c r="D1714" t="str">
        <v>-</v>
      </c>
      <c r="E1714" t="str">
        <v>0869549362</v>
      </c>
      <c r="F1714" t="str">
        <v>Caxdongtien.trieuson@gmail.com</v>
      </c>
      <c r="G1714" t="str">
        <v>Thị Tứ, Đồng Tiến, Triệu Sơn, Thanh Hoá</v>
      </c>
    </row>
    <row r="1715">
      <c r="A1715">
        <v>1714</v>
      </c>
      <c r="B1715">
        <f>HYPERLINK("https://chuongmy.hanoi.gov.vn/", "UBND Ủy ban nhân dân xã Đồng Tiến  thành phố Hà Nội")</f>
      </c>
      <c r="C1715" t="str">
        <v>https://chuongmy.hanoi.gov.vn/</v>
      </c>
      <c r="D1715" t="str">
        <v>-</v>
      </c>
      <c r="E1715" t="str">
        <v>-</v>
      </c>
      <c r="F1715" t="str">
        <v>-</v>
      </c>
      <c r="G1715" t="str">
        <v>-</v>
      </c>
    </row>
    <row r="1716">
      <c r="A1716">
        <v>1715</v>
      </c>
      <c r="B1716">
        <f>HYPERLINK("https://www.facebook.com/p/Tu%E1%BB%95i-tr%E1%BA%BB-C%C3%B4ng-an-Th%C3%A0nh-ph%E1%BB%91-V%C4%A9nh-Y%C3%AAn-100066497717181/", "Công an xã Phương Tú  thành phố Hà Nội")</f>
      </c>
      <c r="C1716" t="str">
        <v>https://www.facebook.com/p/Tu%E1%BB%95i-tr%E1%BA%BB-C%C3%B4ng-an-Th%C3%A0nh-ph%E1%BB%91-V%C4%A9nh-Y%C3%AAn-100066497717181/</v>
      </c>
      <c r="D1716" t="str">
        <v>-</v>
      </c>
      <c r="E1716" t="str">
        <v>02113861204</v>
      </c>
      <c r="F1716" t="str">
        <v>-</v>
      </c>
      <c r="G1716" t="str">
        <v>Lê Xoay - Ngô Quyền - Vĩnh Yên, Yen, Vietnam</v>
      </c>
    </row>
    <row r="1717">
      <c r="A1717">
        <v>1716</v>
      </c>
      <c r="B1717">
        <f>HYPERLINK("https://danphuong.hanoi.gov.vn/", "UBND Ủy ban nhân dân xã Phương Tú  thành phố Hà Nội")</f>
      </c>
      <c r="C1717" t="str">
        <v>https://danphuong.hanoi.gov.vn/</v>
      </c>
      <c r="D1717" t="str">
        <v>-</v>
      </c>
      <c r="E1717" t="str">
        <v>-</v>
      </c>
      <c r="F1717" t="str">
        <v>-</v>
      </c>
      <c r="G1717" t="str">
        <v>-</v>
      </c>
    </row>
    <row r="1718">
      <c r="A1718">
        <v>1717</v>
      </c>
      <c r="B1718">
        <f>HYPERLINK("https://www.facebook.com/TrungTuUngHoa/", "Công an xã Trung Tú  thành phố Hà Nội")</f>
      </c>
      <c r="C1718" t="str">
        <v>https://www.facebook.com/TrungTuUngHoa/</v>
      </c>
      <c r="D1718" t="str">
        <v>-</v>
      </c>
      <c r="E1718" t="str">
        <v>0966883901</v>
      </c>
      <c r="F1718" t="str">
        <v>lqc0966883901.hn1992@gmail.com</v>
      </c>
      <c r="G1718" t="str">
        <v>-</v>
      </c>
    </row>
    <row r="1719">
      <c r="A1719">
        <v>1718</v>
      </c>
      <c r="B1719">
        <f>HYPERLINK("https://danphuong.hanoi.gov.vn/", "UBND Ủy ban nhân dân xã Trung Tú  thành phố Hà Nội")</f>
      </c>
      <c r="C1719" t="str">
        <v>https://danphuong.hanoi.gov.vn/</v>
      </c>
      <c r="D1719" t="str">
        <v>-</v>
      </c>
      <c r="E1719" t="str">
        <v>-</v>
      </c>
      <c r="F1719" t="str">
        <v>-</v>
      </c>
      <c r="G1719" t="str">
        <v>-</v>
      </c>
    </row>
    <row r="1720">
      <c r="A1720">
        <v>1719</v>
      </c>
      <c r="B1720">
        <f>HYPERLINK("https://www.facebook.com/tuoitreconganquanhadong/", "Công an xã Đồng Tân  thành phố Hà Nội")</f>
      </c>
      <c r="C1720" t="str">
        <v>https://www.facebook.com/tuoitreconganquanhadong/</v>
      </c>
      <c r="D1720" t="str">
        <v>-</v>
      </c>
      <c r="E1720" t="str">
        <v/>
      </c>
      <c r="F1720" t="str">
        <v>-</v>
      </c>
      <c r="G1720" t="str">
        <v>-</v>
      </c>
    </row>
    <row r="1721">
      <c r="A1721">
        <v>1720</v>
      </c>
      <c r="B1721">
        <f>HYPERLINK("https://thachthat.hanoi.gov.vn/", "UBND Ủy ban nhân dân xã Đồng Tân  thành phố Hà Nội")</f>
      </c>
      <c r="C1721" t="str">
        <v>https://thachthat.hanoi.gov.vn/</v>
      </c>
      <c r="D1721" t="str">
        <v>-</v>
      </c>
      <c r="E1721" t="str">
        <v>-</v>
      </c>
      <c r="F1721" t="str">
        <v>-</v>
      </c>
      <c r="G1721" t="str">
        <v>-</v>
      </c>
    </row>
    <row r="1722">
      <c r="A1722">
        <v>1721</v>
      </c>
      <c r="B1722">
        <f>HYPERLINK("https://www.facebook.com/p/UBND-x%C3%A3-T%E1%BA%A3o-D%C6%B0%C6%A1ng-V%C4%83n-100064566798940/", "Công an xã Tảo Dương Văn  thành phố Hà Nội")</f>
      </c>
      <c r="C1722" t="str">
        <v>https://www.facebook.com/p/UBND-x%C3%A3-T%E1%BA%A3o-D%C6%B0%C6%A1ng-V%C4%83n-100064566798940/</v>
      </c>
      <c r="D1722" t="str">
        <v>-</v>
      </c>
      <c r="E1722" t="str">
        <v/>
      </c>
      <c r="F1722" t="str">
        <v>-</v>
      </c>
      <c r="G1722" t="str">
        <v>-</v>
      </c>
    </row>
    <row r="1723">
      <c r="A1723">
        <v>1722</v>
      </c>
      <c r="B1723">
        <f>HYPERLINK("https://taoduongvan-unghoa.thudo.gov.vn/uy-ban-nhan-dan", "UBND Ủy ban nhân dân xã Tảo Dương Văn  thành phố Hà Nội")</f>
      </c>
      <c r="C1723" t="str">
        <v>https://taoduongvan-unghoa.thudo.gov.vn/uy-ban-nhan-dan</v>
      </c>
      <c r="D1723" t="str">
        <v>-</v>
      </c>
      <c r="E1723" t="str">
        <v>-</v>
      </c>
      <c r="F1723" t="str">
        <v>-</v>
      </c>
      <c r="G1723" t="str">
        <v>-</v>
      </c>
    </row>
    <row r="1724">
      <c r="A1724">
        <v>1723</v>
      </c>
      <c r="B1724">
        <f>HYPERLINK("https://www.facebook.com/thaibinhvanthaiunghoahanoi/", "Công an xã Vạn Thái  thành phố Hà Nội")</f>
      </c>
      <c r="C1724" t="str">
        <v>https://www.facebook.com/thaibinhvanthaiunghoahanoi/</v>
      </c>
      <c r="D1724" t="str">
        <v>-</v>
      </c>
      <c r="E1724" t="str">
        <v/>
      </c>
      <c r="F1724" t="str">
        <v>thaibinhvanthaiunghoahanoi@gmail.com</v>
      </c>
      <c r="G1724" t="str">
        <v>Thôn Thái Bình, Xã Vạn Thái, Huyện Ứng Hoà, TP Hà Nội</v>
      </c>
    </row>
    <row r="1725">
      <c r="A1725">
        <v>1724</v>
      </c>
      <c r="B1725">
        <f>HYPERLINK("https://melinh.hanoi.gov.vn/dang-uy-hdnd-ubnd-xa-van-yen-trao-huy-hieu-45-nam-tuoi-dang-40-nam-tuoi-dang-173241108182606288.htm", "UBND Ủy ban nhân dân xã Vạn Thái  thành phố Hà Nội")</f>
      </c>
      <c r="C1725" t="str">
        <v>https://melinh.hanoi.gov.vn/dang-uy-hdnd-ubnd-xa-van-yen-trao-huy-hieu-45-nam-tuoi-dang-40-nam-tuoi-dang-173241108182606288.htm</v>
      </c>
      <c r="D1725" t="str">
        <v>-</v>
      </c>
      <c r="E1725" t="str">
        <v>-</v>
      </c>
      <c r="F1725" t="str">
        <v>-</v>
      </c>
      <c r="G1725" t="str">
        <v>-</v>
      </c>
    </row>
    <row r="1726">
      <c r="A1726">
        <v>1725</v>
      </c>
      <c r="B1726">
        <f>HYPERLINK("https://www.facebook.com/p/Tu%E1%BB%95i-tr%E1%BA%BB-C%C3%B4ng-an-Th%C3%A0nh-ph%E1%BB%91-V%C4%A9nh-Y%C3%AAn-100066497717181/?locale=cx_PH", "Công an xã Minh Đức  thành phố Hà Nội")</f>
      </c>
      <c r="C1726" t="str">
        <v>https://www.facebook.com/p/Tu%E1%BB%95i-tr%E1%BA%BB-C%C3%B4ng-an-Th%C3%A0nh-ph%E1%BB%91-V%C4%A9nh-Y%C3%AAn-100066497717181/?locale=cx_PH</v>
      </c>
      <c r="D1726" t="str">
        <v>-</v>
      </c>
      <c r="E1726" t="str">
        <v>02113861204</v>
      </c>
      <c r="F1726" t="str">
        <v>-</v>
      </c>
      <c r="G1726" t="str">
        <v>Lê Xoay - Ngô Quyền - Vĩnh Yên, Yen, Vietnam</v>
      </c>
    </row>
    <row r="1727">
      <c r="A1727">
        <v>1726</v>
      </c>
      <c r="B1727">
        <f>HYPERLINK("https://bavi.hanoi.gov.vn/", "UBND Ủy ban nhân dân xã Minh Đức  thành phố Hà Nội")</f>
      </c>
      <c r="C1727" t="str">
        <v>https://bavi.hanoi.gov.vn/</v>
      </c>
      <c r="D1727" t="str">
        <v>-</v>
      </c>
      <c r="E1727" t="str">
        <v>-</v>
      </c>
      <c r="F1727" t="str">
        <v>-</v>
      </c>
      <c r="G1727" t="str">
        <v>-</v>
      </c>
    </row>
    <row r="1728">
      <c r="A1728">
        <v>1727</v>
      </c>
      <c r="B1728">
        <f>HYPERLINK("https://www.facebook.com/doanthanhnien.1956/?locale=vi_VN", "Công an xã Hòa Lâm  thành phố Hà Nội")</f>
      </c>
      <c r="C1728" t="str">
        <v>https://www.facebook.com/doanthanhnien.1956/?locale=vi_VN</v>
      </c>
      <c r="D1728" t="str">
        <v>-</v>
      </c>
      <c r="E1728" t="str">
        <v/>
      </c>
      <c r="F1728" t="str">
        <v>doanthanhniencatphanoi@gmail.com</v>
      </c>
      <c r="G1728" t="str">
        <v>87 phố Trần Hưng Đạo, quận Hoàn Kiếm, TP Hà Nội, Hanoi, Vietnam</v>
      </c>
    </row>
    <row r="1729">
      <c r="A1729">
        <v>1728</v>
      </c>
      <c r="B1729">
        <f>HYPERLINK("https://chuongmy.hanoi.gov.vn/", "UBND Ủy ban nhân dân xã Hòa Lâm  thành phố Hà Nội")</f>
      </c>
      <c r="C1729" t="str">
        <v>https://chuongmy.hanoi.gov.vn/</v>
      </c>
      <c r="D1729" t="str">
        <v>-</v>
      </c>
      <c r="E1729" t="str">
        <v>-</v>
      </c>
      <c r="F1729" t="str">
        <v>-</v>
      </c>
      <c r="G1729" t="str">
        <v>-</v>
      </c>
    </row>
    <row r="1730">
      <c r="A1730">
        <v>1729</v>
      </c>
      <c r="B1730">
        <f>HYPERLINK("https://www.facebook.com/hoaxauh/", "Công an xã Hòa Xá  thành phố Hà Nội")</f>
      </c>
      <c r="C1730" t="str">
        <v>https://www.facebook.com/hoaxauh/</v>
      </c>
      <c r="D1730" t="str">
        <v>-</v>
      </c>
      <c r="E1730" t="str">
        <v>+2433896134</v>
      </c>
      <c r="F1730" t="str">
        <v>danguyhoaxa@gmail.com</v>
      </c>
      <c r="G1730" t="str">
        <v>xã Hòa Xá, huyện Ứng Hòa, Hanoi, Vietnam</v>
      </c>
    </row>
    <row r="1731">
      <c r="A1731">
        <v>1730</v>
      </c>
      <c r="B1731">
        <f>HYPERLINK("https://hanoi.gov.vn/hn-1/-/hn/VWY2FnKi7zTm/2794746/xa-ong-phu-huyen-chuong-my-on-nhan-bang-cong-nhan-xa-at-chuan-nong-thon-moi.html;jsessionid=BXV+2AKrfLlBp0R2Q5T1ZAuq.app2", "UBND Ủy ban nhân dân xã Hòa Xá  thành phố Hà Nội")</f>
      </c>
      <c r="C1731" t="str">
        <v>https://hanoi.gov.vn/hn-1/-/hn/VWY2FnKi7zTm/2794746/xa-ong-phu-huyen-chuong-my-on-nhan-bang-cong-nhan-xa-at-chuan-nong-thon-moi.html;jsessionid=BXV+2AKrfLlBp0R2Q5T1ZAuq.app2</v>
      </c>
      <c r="D1731" t="str">
        <v>-</v>
      </c>
      <c r="E1731" t="str">
        <v>-</v>
      </c>
      <c r="F1731" t="str">
        <v>-</v>
      </c>
      <c r="G1731" t="str">
        <v>-</v>
      </c>
    </row>
    <row r="1732">
      <c r="A1732">
        <v>1731</v>
      </c>
      <c r="B1732">
        <f>HYPERLINK("https://www.facebook.com/danguyxatramlong/", "Công an xã Trầm Lộng  thành phố Hà Nội")</f>
      </c>
      <c r="C1732" t="str">
        <v>https://www.facebook.com/danguyxatramlong/</v>
      </c>
      <c r="D1732" t="str">
        <v>-</v>
      </c>
      <c r="E1732" t="str">
        <v>02433888468</v>
      </c>
      <c r="F1732" t="str">
        <v>lequangcanh_huuh@hanoi.gov.vn</v>
      </c>
      <c r="G1732" t="str">
        <v>Thôn Thu Nội, xã Trầm Lộng, huyện Ứng Hòa, Tp. Hà Nội, Hanoi, Vietnam</v>
      </c>
    </row>
    <row r="1733">
      <c r="A1733">
        <v>1732</v>
      </c>
      <c r="B1733">
        <f>HYPERLINK("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", "UBND Ủy ban nhân dân xã Trầm Lộng  thành phố Hà Nội")</f>
      </c>
      <c r="C1733" t="str">
        <v>https://vanban.hanoi.gov.vn/sk/danhoiubndtptraloi/-/hn/xLe53OgCrEUu/7501/202616/55/cau-hoi-e-nghi-thanh-pho-quan-tam-chi-ao-khan-truong-hoan-thanh-oan-e-song-nhue-tu-thon-tu-chau-lien-chau-en-tan-minh-thuong-tin-va-oan-uong-i-ong-quan-phu-xuyen-dung-tien-thuong-tin.html;jsessionid=b1Kv9xOvzYfxyCVZqTUTPOdV.undefined</v>
      </c>
      <c r="D1733" t="str">
        <v>-</v>
      </c>
      <c r="E1733" t="str">
        <v>-</v>
      </c>
      <c r="F1733" t="str">
        <v>-</v>
      </c>
      <c r="G1733" t="str">
        <v>-</v>
      </c>
    </row>
    <row r="1734">
      <c r="A1734">
        <v>1733</v>
      </c>
      <c r="B1734">
        <f>HYPERLINK("https://www.facebook.com/p/Tu%E1%BB%95i-tr%E1%BA%BB-C%C3%B4ng-an-Th%C3%A0nh-ph%E1%BB%91-V%C4%A9nh-Y%C3%AAn-100066497717181/?locale=nl_BE", "Công an xã Kim Đường  thành phố Hà Nội")</f>
      </c>
      <c r="C1734" t="str">
        <v>https://www.facebook.com/p/Tu%E1%BB%95i-tr%E1%BA%BB-C%C3%B4ng-an-Th%C3%A0nh-ph%E1%BB%91-V%C4%A9nh-Y%C3%AAn-100066497717181/?locale=nl_BE</v>
      </c>
      <c r="D1734" t="str">
        <v>-</v>
      </c>
      <c r="E1734" t="str">
        <v>02113861204</v>
      </c>
      <c r="F1734" t="str">
        <v>-</v>
      </c>
      <c r="G1734" t="str">
        <v>Lê Xoay - Ngô Quyền - Vĩnh Yên, Yen, Vietnam</v>
      </c>
    </row>
    <row r="1735">
      <c r="A1735">
        <v>1734</v>
      </c>
      <c r="B1735">
        <f>HYPERLINK("https://thachthat.hanoi.gov.vn/", "UBND Ủy ban nhân dân xã Kim Đường  thành phố Hà Nội")</f>
      </c>
      <c r="C1735" t="str">
        <v>https://thachthat.hanoi.gov.vn/</v>
      </c>
      <c r="D1735" t="str">
        <v>-</v>
      </c>
      <c r="E1735" t="str">
        <v>-</v>
      </c>
      <c r="F1735" t="str">
        <v>-</v>
      </c>
      <c r="G1735" t="str">
        <v>-</v>
      </c>
    </row>
    <row r="1736">
      <c r="A1736">
        <v>1735</v>
      </c>
      <c r="B1736">
        <f>HYPERLINK("https://www.facebook.com/doanthanhnien.1956/", "Công an xã Hòa Nam  thành phố Hà Nội")</f>
      </c>
      <c r="C1736" t="str">
        <v>https://www.facebook.com/doanthanhnien.1956/</v>
      </c>
      <c r="D1736" t="str">
        <v>-</v>
      </c>
      <c r="E1736" t="str">
        <v/>
      </c>
      <c r="F1736" t="str">
        <v>doanthanhniencatphanoi@gmail.com</v>
      </c>
      <c r="G1736" t="str">
        <v>87 phố Trần Hưng Đạo, quận Hoàn Kiếm, TP Hà Nội, Hanoi, Vietnam</v>
      </c>
    </row>
    <row r="1737">
      <c r="A1737">
        <v>1736</v>
      </c>
      <c r="B1737">
        <f>HYPERLINK("https://chuongmy.hanoi.gov.vn/", "UBND Ủy ban nhân dân xã Hòa Nam  thành phố Hà Nội")</f>
      </c>
      <c r="C1737" t="str">
        <v>https://chuongmy.hanoi.gov.vn/</v>
      </c>
      <c r="D1737" t="str">
        <v>-</v>
      </c>
      <c r="E1737" t="str">
        <v>-</v>
      </c>
      <c r="F1737" t="str">
        <v>-</v>
      </c>
      <c r="G1737" t="str">
        <v>-</v>
      </c>
    </row>
    <row r="1738">
      <c r="A1738">
        <v>1737</v>
      </c>
      <c r="B1738">
        <f>HYPERLINK("https://www.facebook.com/p/Tu%E1%BB%95i-Tr%E1%BA%BB-C%C3%B4ng-An-Huy%E1%BB%87n-Ch%C6%B0%C6%A1ng-M%E1%BB%B9-100028578047777/?locale=el_GR", "Công an xã Hòa Phú  thành phố Hà Nội")</f>
      </c>
      <c r="C1738" t="str">
        <v>https://www.facebook.com/p/Tu%E1%BB%95i-Tr%E1%BA%BB-C%C3%B4ng-An-Huy%E1%BB%87n-Ch%C6%B0%C6%A1ng-M%E1%BB%B9-100028578047777/?locale=el_GR</v>
      </c>
      <c r="D1738" t="str">
        <v>-</v>
      </c>
      <c r="E1738" t="str">
        <v/>
      </c>
      <c r="F1738" t="str">
        <v>doantncahchuongmy@gmail.com</v>
      </c>
      <c r="G1738" t="str">
        <v>Số 29A, Tổ dân phố Ninh Kiều, huyện Chương Mỹ, thành phố Hà Nội, Hanoi, Vietnam</v>
      </c>
    </row>
    <row r="1739">
      <c r="A1739">
        <v>1738</v>
      </c>
      <c r="B1739">
        <f>HYPERLINK("https://chuongmy.hanoi.gov.vn/", "UBND Ủy ban nhân dân xã Hòa Phú  thành phố Hà Nội")</f>
      </c>
      <c r="C1739" t="str">
        <v>https://chuongmy.hanoi.gov.vn/</v>
      </c>
      <c r="D1739" t="str">
        <v>-</v>
      </c>
      <c r="E1739" t="str">
        <v>-</v>
      </c>
      <c r="F1739" t="str">
        <v>-</v>
      </c>
      <c r="G1739" t="str">
        <v>-</v>
      </c>
    </row>
    <row r="1740">
      <c r="A1740">
        <v>1739</v>
      </c>
      <c r="B1740">
        <f>HYPERLINK("https://www.facebook.com/p/Tu%E1%BB%95i-tr%E1%BA%BB-C%C3%B4ng-an-Th%C3%A0nh-ph%E1%BB%91-V%C4%A9nh-Y%C3%AAn-100066497717181/", "Công an xã Đội Bình  thành phố Hà Nội")</f>
      </c>
      <c r="C1740" t="str">
        <v>https://www.facebook.com/p/Tu%E1%BB%95i-tr%E1%BA%BB-C%C3%B4ng-an-Th%C3%A0nh-ph%E1%BB%91-V%C4%A9nh-Y%C3%AAn-100066497717181/</v>
      </c>
      <c r="D1740" t="str">
        <v>-</v>
      </c>
      <c r="E1740" t="str">
        <v>02113861204</v>
      </c>
      <c r="F1740" t="str">
        <v>-</v>
      </c>
      <c r="G1740" t="str">
        <v>Lê Xoay - Ngô Quyền - Vĩnh Yên, Yen, Vietnam</v>
      </c>
    </row>
    <row r="1741">
      <c r="A1741">
        <v>1740</v>
      </c>
      <c r="B1741">
        <f>HYPERLINK("https://chuongmy.hanoi.gov.vn/", "UBND Ủy ban nhân dân xã Đội Bình  thành phố Hà Nội")</f>
      </c>
      <c r="C1741" t="str">
        <v>https://chuongmy.hanoi.gov.vn/</v>
      </c>
      <c r="D1741" t="str">
        <v>-</v>
      </c>
      <c r="E1741" t="str">
        <v>-</v>
      </c>
      <c r="F1741" t="str">
        <v>-</v>
      </c>
      <c r="G1741" t="str">
        <v>-</v>
      </c>
    </row>
    <row r="1742">
      <c r="A1742">
        <v>1741</v>
      </c>
      <c r="B1742">
        <f>HYPERLINK("https://www.facebook.com/conganxadaihung/", "Công an xã Đại Hùng  thành phố Hà Nội")</f>
      </c>
      <c r="C1742" t="str">
        <v>https://www.facebook.com/conganxadaihung/</v>
      </c>
      <c r="D1742" t="str">
        <v>-</v>
      </c>
      <c r="E1742" t="str">
        <v/>
      </c>
      <c r="F1742" t="str">
        <v>-</v>
      </c>
      <c r="G1742" t="str">
        <v>Thôn Quan Tự, xã Đại Hùng, huyện Ứng Hòa, Hanoi, Vietnam</v>
      </c>
    </row>
    <row r="1743">
      <c r="A1743">
        <v>1742</v>
      </c>
      <c r="B1743">
        <f>HYPERLINK("https://daihung.myduc.hanoi.gov.vn/", "UBND Ủy ban nhân dân xã Đại Hùng  thành phố Hà Nội")</f>
      </c>
      <c r="C1743" t="str">
        <v>https://daihung.myduc.hanoi.gov.vn/</v>
      </c>
      <c r="D1743" t="str">
        <v>-</v>
      </c>
      <c r="E1743" t="str">
        <v>-</v>
      </c>
      <c r="F1743" t="str">
        <v>-</v>
      </c>
      <c r="G1743" t="str">
        <v>-</v>
      </c>
    </row>
    <row r="1744">
      <c r="A1744">
        <v>1743</v>
      </c>
      <c r="B1744">
        <f>HYPERLINK("https://www.facebook.com/TuoitreConganVinhPhuc/", "Công an xã Đông Lỗ  thành phố Hà Nội")</f>
      </c>
      <c r="C1744" t="str">
        <v>https://www.facebook.com/TuoitreConganVinhPhuc/</v>
      </c>
      <c r="D1744" t="str">
        <v>-</v>
      </c>
      <c r="E1744" t="str">
        <v/>
      </c>
      <c r="F1744" t="str">
        <v>doanconganvp@gmail.com</v>
      </c>
      <c r="G1744" t="str">
        <v>số 1 đường tôn đức thắng, Vinh Yen, Vietnam</v>
      </c>
    </row>
    <row r="1745">
      <c r="A1745">
        <v>1744</v>
      </c>
      <c r="B1745">
        <f>HYPERLINK("https://donganh.hanoi.gov.vn/", "UBND Ủy ban nhân dân xã Đông Lỗ  thành phố Hà Nội")</f>
      </c>
      <c r="C1745" t="str">
        <v>https://donganh.hanoi.gov.vn/</v>
      </c>
      <c r="D1745" t="str">
        <v>-</v>
      </c>
      <c r="E1745" t="str">
        <v>-</v>
      </c>
      <c r="F1745" t="str">
        <v>-</v>
      </c>
      <c r="G1745" t="str">
        <v>-</v>
      </c>
    </row>
    <row r="1746">
      <c r="A1746">
        <v>1745</v>
      </c>
      <c r="B1746">
        <f>HYPERLINK("https://www.facebook.com/p/Tr%C6%B0%E1%BB%9Dng-THCS-%C4%90%E1%BA%A1i-C%C6%B0%E1%BB%9Dng-Huy%E1%BB%87n-%E1%BB%A8ng-H%C3%B2a-TP-H%C3%A0-N%E1%BB%99i-100069093338876/", "Công an xã Đại Cường  thành phố Hà Nội")</f>
      </c>
      <c r="C1746" t="str">
        <v>https://www.facebook.com/p/Tr%C6%B0%E1%BB%9Dng-THCS-%C4%90%E1%BA%A1i-C%C6%B0%E1%BB%9Dng-Huy%E1%BB%87n-%E1%BB%A8ng-H%C3%B2a-TP-H%C3%A0-N%E1%BB%99i-100069093338876/</v>
      </c>
      <c r="D1746" t="str">
        <v>-</v>
      </c>
      <c r="E1746" t="str">
        <v/>
      </c>
      <c r="F1746" t="str">
        <v>c2daicuong-uh@hanoiedu.vn</v>
      </c>
      <c r="G1746" t="str">
        <v>Kim Giang- Đại Cường- Ứng Hoà, Hanoi, Vietnam</v>
      </c>
    </row>
    <row r="1747">
      <c r="A1747">
        <v>1746</v>
      </c>
      <c r="B1747">
        <f>HYPERLINK("https://melinh.hanoi.gov.vn/hdnd-xa-chu-phan-thuc-hien-bau-chuc-danh-pho-chu-tich-ubnd-xa-nhiem-ky-2021-2026-173241107211832851.htm", "UBND Ủy ban nhân dân xã Đại Cường  thành phố Hà Nội")</f>
      </c>
      <c r="C1747" t="str">
        <v>https://melinh.hanoi.gov.vn/hdnd-xa-chu-phan-thuc-hien-bau-chuc-danh-pho-chu-tich-ubnd-xa-nhiem-ky-2021-2026-173241107211832851.htm</v>
      </c>
      <c r="D1747" t="str">
        <v>-</v>
      </c>
      <c r="E1747" t="str">
        <v>-</v>
      </c>
      <c r="F1747" t="str">
        <v>-</v>
      </c>
      <c r="G1747" t="str">
        <v>-</v>
      </c>
    </row>
    <row r="1748">
      <c r="A1748">
        <v>1747</v>
      </c>
      <c r="B1748">
        <f>HYPERLINK("https://www.facebook.com/thluuhoang123/?locale=hi_IN", "Công an xã Lưu Hoàng  thành phố Hà Nội")</f>
      </c>
      <c r="C1748" t="str">
        <v>https://www.facebook.com/thluuhoang123/?locale=hi_IN</v>
      </c>
      <c r="D1748" t="str">
        <v>-</v>
      </c>
      <c r="E1748" t="str">
        <v/>
      </c>
      <c r="F1748" t="str">
        <v>c1luuhoang-uh@hanoiedu.vn</v>
      </c>
      <c r="G1748" t="str">
        <v>Lưu Hoàng, Ứng Hòa, Hà Nội, Hanoi, Vietnam</v>
      </c>
    </row>
    <row r="1749">
      <c r="A1749">
        <v>1748</v>
      </c>
      <c r="B1749">
        <f>HYPERLINK("https://luuhoang-unghoa.thudo.gov.vn/cac-co-quan-trong-dia-ban", "UBND Ủy ban nhân dân xã Lưu Hoàng  thành phố Hà Nội")</f>
      </c>
      <c r="C1749" t="str">
        <v>https://luuhoang-unghoa.thudo.gov.vn/cac-co-quan-trong-dia-ban</v>
      </c>
      <c r="D1749" t="str">
        <v>-</v>
      </c>
      <c r="E1749" t="str">
        <v>-</v>
      </c>
      <c r="F1749" t="str">
        <v>-</v>
      </c>
      <c r="G1749" t="str">
        <v>-</v>
      </c>
    </row>
    <row r="1750">
      <c r="A1750">
        <v>1749</v>
      </c>
      <c r="B1750">
        <f>HYPERLINK("https://www.facebook.com/TCCTXH/", "Công an xã Hồng Quang  thành phố Hà Nội")</f>
      </c>
      <c r="C1750" t="str">
        <v>https://www.facebook.com/TCCTXH/</v>
      </c>
      <c r="D1750" t="str">
        <v>-</v>
      </c>
      <c r="E1750" t="str">
        <v/>
      </c>
      <c r="F1750" t="str">
        <v>xhq_unghoa@hanoi.gov.vn</v>
      </c>
      <c r="G1750" t="str">
        <v>-</v>
      </c>
    </row>
    <row r="1751">
      <c r="A1751">
        <v>1750</v>
      </c>
      <c r="B1751">
        <f>HYPERLINK("https://dichvucong.namdinh.gov.vn/portaldvc/KenhTin/dich-vu-cong-truc-tuyen.aspx?_dv=4284B5CC-ABA9-377A-83C7-14E8075CC074", "UBND Ủy ban nhân dân xã Hồng Quang  thành phố Hà Nội")</f>
      </c>
      <c r="C1751" t="str">
        <v>https://dichvucong.namdinh.gov.vn/portaldvc/KenhTin/dich-vu-cong-truc-tuyen.aspx?_dv=4284B5CC-ABA9-377A-83C7-14E8075CC074</v>
      </c>
      <c r="D1751" t="str">
        <v>-</v>
      </c>
      <c r="E1751" t="str">
        <v>-</v>
      </c>
      <c r="F1751" t="str">
        <v>-</v>
      </c>
      <c r="G1751" t="str">
        <v>-</v>
      </c>
    </row>
    <row r="1752">
      <c r="A1752">
        <v>1751</v>
      </c>
      <c r="B1752" t="str">
        <v>Công an thị trấn Đại Nghĩa  thành phố Hà Nội</v>
      </c>
      <c r="C1752" t="str">
        <v>-</v>
      </c>
      <c r="D1752" t="str">
        <v>-</v>
      </c>
      <c r="E1752" t="str">
        <v/>
      </c>
      <c r="F1752" t="str">
        <v>-</v>
      </c>
      <c r="G1752" t="str">
        <v>-</v>
      </c>
    </row>
    <row r="1753">
      <c r="A1753">
        <v>1752</v>
      </c>
      <c r="B1753">
        <f>HYPERLINK("https://dainghia.myduc.hanoi.gov.vn/", "UBND Ủy ban nhân dân thị trấn Đại Nghĩa  thành phố Hà Nội")</f>
      </c>
      <c r="C1753" t="str">
        <v>https://dainghia.myduc.hanoi.gov.vn/</v>
      </c>
      <c r="D1753" t="str">
        <v>-</v>
      </c>
      <c r="E1753" t="str">
        <v>-</v>
      </c>
      <c r="F1753" t="str">
        <v>-</v>
      </c>
      <c r="G1753" t="str">
        <v>-</v>
      </c>
    </row>
    <row r="1754">
      <c r="A1754">
        <v>1753</v>
      </c>
      <c r="B1754">
        <f>HYPERLINK("https://www.facebook.com/649502605961726", "Công an xã Đồng Tâm  thành phố Hà Nội")</f>
      </c>
      <c r="C1754" t="str">
        <v>https://www.facebook.com/649502605961726</v>
      </c>
      <c r="D1754" t="str">
        <v>-</v>
      </c>
      <c r="E1754" t="str">
        <v/>
      </c>
      <c r="F1754" t="str">
        <v>-</v>
      </c>
      <c r="G1754" t="str">
        <v>-</v>
      </c>
    </row>
    <row r="1755">
      <c r="A1755">
        <v>1754</v>
      </c>
      <c r="B1755">
        <f>HYPERLINK("https://dongtam.myduc.hanoi.gov.vn/", "UBND Ủy ban nhân dân xã Đồng Tâm  thành phố Hà Nội")</f>
      </c>
      <c r="C1755" t="str">
        <v>https://dongtam.myduc.hanoi.gov.vn/</v>
      </c>
      <c r="D1755" t="str">
        <v>-</v>
      </c>
      <c r="E1755" t="str">
        <v>-</v>
      </c>
      <c r="F1755" t="str">
        <v>-</v>
      </c>
      <c r="G1755" t="str">
        <v>-</v>
      </c>
    </row>
    <row r="1756">
      <c r="A1756">
        <v>1755</v>
      </c>
      <c r="B1756" t="str">
        <v>Công an xã Thượng Lâm  thành phố Hà Nội</v>
      </c>
      <c r="C1756" t="str">
        <v>-</v>
      </c>
      <c r="D1756" t="str">
        <v>-</v>
      </c>
      <c r="E1756" t="str">
        <v/>
      </c>
      <c r="F1756" t="str">
        <v>-</v>
      </c>
      <c r="G1756" t="str">
        <v>-</v>
      </c>
    </row>
    <row r="1757">
      <c r="A1757">
        <v>1756</v>
      </c>
      <c r="B1757">
        <f>HYPERLINK("https://thuonglam.myduc.hanoi.gov.vn/", "UBND Ủy ban nhân dân xã Thượng Lâm  thành phố Hà Nội")</f>
      </c>
      <c r="C1757" t="str">
        <v>https://thuonglam.myduc.hanoi.gov.vn/</v>
      </c>
      <c r="D1757" t="str">
        <v>-</v>
      </c>
      <c r="E1757" t="str">
        <v>-</v>
      </c>
      <c r="F1757" t="str">
        <v>-</v>
      </c>
      <c r="G1757" t="str">
        <v>-</v>
      </c>
    </row>
    <row r="1758">
      <c r="A1758">
        <v>1757</v>
      </c>
      <c r="B1758">
        <f>HYPERLINK("https://www.facebook.com/nguyentraituylai/", "Công an xã Tuy Lai  thành phố Hà Nội")</f>
      </c>
      <c r="C1758" t="str">
        <v>https://www.facebook.com/nguyentraituylai/</v>
      </c>
      <c r="D1758" t="str">
        <v>-</v>
      </c>
      <c r="E1758" t="str">
        <v>0977987883</v>
      </c>
      <c r="F1758" t="str">
        <v>thcstuylai@myduc.edu.vn</v>
      </c>
      <c r="G1758" t="str">
        <v>Tuy Lai - Mỹ Đức</v>
      </c>
    </row>
    <row r="1759">
      <c r="A1759">
        <v>1758</v>
      </c>
      <c r="B1759">
        <f>HYPERLINK("https://tuylai.myduc.hanoi.gov.vn/", "UBND Ủy ban nhân dân xã Tuy Lai  thành phố Hà Nội")</f>
      </c>
      <c r="C1759" t="str">
        <v>https://tuylai.myduc.hanoi.gov.vn/</v>
      </c>
      <c r="D1759" t="str">
        <v>-</v>
      </c>
      <c r="E1759" t="str">
        <v>-</v>
      </c>
      <c r="F1759" t="str">
        <v>-</v>
      </c>
      <c r="G1759" t="str">
        <v>-</v>
      </c>
    </row>
    <row r="1760">
      <c r="A1760">
        <v>1759</v>
      </c>
      <c r="B1760" t="str">
        <v>Công an xã Phúc Lâm  thành phố Hà Nội</v>
      </c>
      <c r="C1760" t="str">
        <v>-</v>
      </c>
      <c r="D1760" t="str">
        <v>-</v>
      </c>
      <c r="E1760" t="str">
        <v/>
      </c>
      <c r="F1760" t="str">
        <v>-</v>
      </c>
      <c r="G1760" t="str">
        <v>-</v>
      </c>
    </row>
    <row r="1761">
      <c r="A1761">
        <v>1760</v>
      </c>
      <c r="B1761">
        <f>HYPERLINK("https://phuclam.myduc.hanoi.gov.vn/", "UBND Ủy ban nhân dân xã Phúc Lâm  thành phố Hà Nội")</f>
      </c>
      <c r="C1761" t="str">
        <v>https://phuclam.myduc.hanoi.gov.vn/</v>
      </c>
      <c r="D1761" t="str">
        <v>-</v>
      </c>
      <c r="E1761" t="str">
        <v>-</v>
      </c>
      <c r="F1761" t="str">
        <v>-</v>
      </c>
      <c r="G1761" t="str">
        <v>-</v>
      </c>
    </row>
    <row r="1762">
      <c r="A1762">
        <v>1761</v>
      </c>
      <c r="B1762">
        <f>HYPERLINK("https://www.facebook.com/p/Tu%E1%BB%95i-Tr%E1%BA%BB-C%C3%B4ng-An-Huy%E1%BB%87n-Ch%C6%B0%C6%A1ng-M%E1%BB%B9-100028578047777/", "Công an xã Mỹ Thành  thành phố Hà Nội")</f>
      </c>
      <c r="C1762" t="str">
        <v>https://www.facebook.com/p/Tu%E1%BB%95i-Tr%E1%BA%BB-C%C3%B4ng-An-Huy%E1%BB%87n-Ch%C6%B0%C6%A1ng-M%E1%BB%B9-100028578047777/</v>
      </c>
      <c r="D1762" t="str">
        <v>-</v>
      </c>
      <c r="E1762" t="str">
        <v/>
      </c>
      <c r="F1762" t="str">
        <v>doantncahchuongmy@gmail.com</v>
      </c>
      <c r="G1762" t="str">
        <v>Số 29A, Tổ dân phố Ninh Kiều, huyện Chương Mỹ, thành phố Hà Nội, Hanoi, Vietnam</v>
      </c>
    </row>
    <row r="1763">
      <c r="A1763">
        <v>1762</v>
      </c>
      <c r="B1763">
        <f>HYPERLINK("https://chuongmy.hanoi.gov.vn/", "UBND Ủy ban nhân dân xã Mỹ Thành  thành phố Hà Nội")</f>
      </c>
      <c r="C1763" t="str">
        <v>https://chuongmy.hanoi.gov.vn/</v>
      </c>
      <c r="D1763" t="str">
        <v>-</v>
      </c>
      <c r="E1763" t="str">
        <v>-</v>
      </c>
      <c r="F1763" t="str">
        <v>-</v>
      </c>
      <c r="G1763" t="str">
        <v>-</v>
      </c>
    </row>
    <row r="1764">
      <c r="A1764">
        <v>1763</v>
      </c>
      <c r="B1764" t="str">
        <v>Công an xã Bột Xuyên  thành phố Hà Nội</v>
      </c>
      <c r="C1764" t="str">
        <v>-</v>
      </c>
      <c r="D1764" t="str">
        <v>-</v>
      </c>
      <c r="E1764" t="str">
        <v/>
      </c>
      <c r="F1764" t="str">
        <v>-</v>
      </c>
      <c r="G1764" t="str">
        <v>-</v>
      </c>
    </row>
    <row r="1765">
      <c r="A1765">
        <v>1764</v>
      </c>
      <c r="B1765">
        <f>HYPERLINK("https://botxuyen.myduc.hanoi.gov.vn/", "UBND Ủy ban nhân dân xã Bột Xuyên  thành phố Hà Nội")</f>
      </c>
      <c r="C1765" t="str">
        <v>https://botxuyen.myduc.hanoi.gov.vn/</v>
      </c>
      <c r="D1765" t="str">
        <v>-</v>
      </c>
      <c r="E1765" t="str">
        <v>-</v>
      </c>
      <c r="F1765" t="str">
        <v>-</v>
      </c>
      <c r="G1765" t="str">
        <v>-</v>
      </c>
    </row>
    <row r="1766">
      <c r="A1766">
        <v>1765</v>
      </c>
      <c r="B1766">
        <f>HYPERLINK("https://www.facebook.com/p/Tu%E1%BB%95i-Tr%E1%BA%BB-C%C3%B4ng-An-Huy%E1%BB%87n-Ch%C6%B0%C6%A1ng-M%E1%BB%B9-100028578047777/", "Công an xã An Mỹ  thành phố Hà Nội")</f>
      </c>
      <c r="C1766" t="str">
        <v>https://www.facebook.com/p/Tu%E1%BB%95i-Tr%E1%BA%BB-C%C3%B4ng-An-Huy%E1%BB%87n-Ch%C6%B0%C6%A1ng-M%E1%BB%B9-100028578047777/</v>
      </c>
      <c r="D1766" t="str">
        <v>-</v>
      </c>
      <c r="E1766" t="str">
        <v/>
      </c>
      <c r="F1766" t="str">
        <v>doantncahchuongmy@gmail.com</v>
      </c>
      <c r="G1766" t="str">
        <v>Số 29A, Tổ dân phố Ninh Kiều, huyện Chương Mỹ, thành phố Hà Nội, Hanoi, Vietnam</v>
      </c>
    </row>
    <row r="1767">
      <c r="A1767">
        <v>1766</v>
      </c>
      <c r="B1767">
        <f>HYPERLINK("https://chuongmy.hanoi.gov.vn/", "UBND Ủy ban nhân dân xã An Mỹ  thành phố Hà Nội")</f>
      </c>
      <c r="C1767" t="str">
        <v>https://chuongmy.hanoi.gov.vn/</v>
      </c>
      <c r="D1767" t="str">
        <v>-</v>
      </c>
      <c r="E1767" t="str">
        <v>-</v>
      </c>
      <c r="F1767" t="str">
        <v>-</v>
      </c>
      <c r="G1767" t="str">
        <v>-</v>
      </c>
    </row>
    <row r="1768">
      <c r="A1768">
        <v>1767</v>
      </c>
      <c r="B1768" t="str">
        <v>Công an xã Hồng Sơn  thành phố Hà Nội</v>
      </c>
      <c r="C1768" t="str">
        <v>-</v>
      </c>
      <c r="D1768" t="str">
        <v>-</v>
      </c>
      <c r="E1768" t="str">
        <v/>
      </c>
      <c r="F1768" t="str">
        <v>-</v>
      </c>
      <c r="G1768" t="str">
        <v>-</v>
      </c>
    </row>
    <row r="1769">
      <c r="A1769">
        <v>1768</v>
      </c>
      <c r="B1769">
        <f>HYPERLINK("https://hongson.myduc.hanoi.gov.vn/gioi-thieu", "UBND Ủy ban nhân dân xã Hồng Sơn  thành phố Hà Nội")</f>
      </c>
      <c r="C1769" t="str">
        <v>https://hongson.myduc.hanoi.gov.vn/gioi-thieu</v>
      </c>
      <c r="D1769" t="str">
        <v>-</v>
      </c>
      <c r="E1769" t="str">
        <v>-</v>
      </c>
      <c r="F1769" t="str">
        <v>-</v>
      </c>
      <c r="G1769" t="str">
        <v>-</v>
      </c>
    </row>
    <row r="1770">
      <c r="A1770">
        <v>1769</v>
      </c>
      <c r="B1770" t="str">
        <v>Công an xã Lê Thanh  thành phố Hà Nội</v>
      </c>
      <c r="C1770" t="str">
        <v>-</v>
      </c>
      <c r="D1770" t="str">
        <v>-</v>
      </c>
      <c r="E1770" t="str">
        <v/>
      </c>
      <c r="F1770" t="str">
        <v>-</v>
      </c>
      <c r="G1770" t="str">
        <v>-</v>
      </c>
    </row>
    <row r="1771">
      <c r="A1771">
        <v>1770</v>
      </c>
      <c r="B1771">
        <f>HYPERLINK("https://lethanh.myduc.hanoi.gov.vn/", "UBND Ủy ban nhân dân xã Lê Thanh  thành phố Hà Nội")</f>
      </c>
      <c r="C1771" t="str">
        <v>https://lethanh.myduc.hanoi.gov.vn/</v>
      </c>
      <c r="D1771" t="str">
        <v>-</v>
      </c>
      <c r="E1771" t="str">
        <v>-</v>
      </c>
      <c r="F1771" t="str">
        <v>-</v>
      </c>
      <c r="G1771" t="str">
        <v>-</v>
      </c>
    </row>
    <row r="1772">
      <c r="A1772">
        <v>1771</v>
      </c>
      <c r="B1772">
        <f>HYPERLINK("https://www.facebook.com/groups/825464661621402/", "Công an xã Xuy Xá  thành phố Hà Nội")</f>
      </c>
      <c r="C1772" t="str">
        <v>https://www.facebook.com/groups/825464661621402/</v>
      </c>
      <c r="D1772" t="str">
        <v>-</v>
      </c>
      <c r="E1772" t="str">
        <v/>
      </c>
      <c r="F1772" t="str">
        <v>-</v>
      </c>
      <c r="G1772" t="str">
        <v>-</v>
      </c>
    </row>
    <row r="1773">
      <c r="A1773">
        <v>1772</v>
      </c>
      <c r="B1773">
        <f>HYPERLINK("https://xuyxa.myduc.hanoi.gov.vn/", "UBND Ủy ban nhân dân xã Xuy Xá  thành phố Hà Nội")</f>
      </c>
      <c r="C1773" t="str">
        <v>https://xuyxa.myduc.hanoi.gov.vn/</v>
      </c>
      <c r="D1773" t="str">
        <v>-</v>
      </c>
      <c r="E1773" t="str">
        <v>-</v>
      </c>
      <c r="F1773" t="str">
        <v>-</v>
      </c>
      <c r="G1773" t="str">
        <v>-</v>
      </c>
    </row>
    <row r="1774">
      <c r="A1774">
        <v>1773</v>
      </c>
      <c r="B1774" t="str">
        <v>Công an xã Phùng Xá  thành phố Hà Nội</v>
      </c>
      <c r="C1774" t="str">
        <v>-</v>
      </c>
      <c r="D1774" t="str">
        <v>-</v>
      </c>
      <c r="E1774" t="str">
        <v/>
      </c>
      <c r="F1774" t="str">
        <v>-</v>
      </c>
      <c r="G1774" t="str">
        <v>-</v>
      </c>
    </row>
    <row r="1775">
      <c r="A1775">
        <v>1774</v>
      </c>
      <c r="B1775">
        <f>HYPERLINK("https://phungxa.myduc.hanoi.gov.vn/", "UBND Ủy ban nhân dân xã Phùng Xá  thành phố Hà Nội")</f>
      </c>
      <c r="C1775" t="str">
        <v>https://phungxa.myduc.hanoi.gov.vn/</v>
      </c>
      <c r="D1775" t="str">
        <v>-</v>
      </c>
      <c r="E1775" t="str">
        <v>-</v>
      </c>
      <c r="F1775" t="str">
        <v>-</v>
      </c>
      <c r="G1775" t="str">
        <v>-</v>
      </c>
    </row>
    <row r="1776">
      <c r="A1776">
        <v>1775</v>
      </c>
      <c r="B1776" t="str">
        <v>Công an xã Phù Lưu Tế  thành phố Hà Nội</v>
      </c>
      <c r="C1776" t="str">
        <v>-</v>
      </c>
      <c r="D1776" t="str">
        <v>-</v>
      </c>
      <c r="E1776" t="str">
        <v/>
      </c>
      <c r="F1776" t="str">
        <v>-</v>
      </c>
      <c r="G1776" t="str">
        <v>-</v>
      </c>
    </row>
    <row r="1777">
      <c r="A1777">
        <v>1776</v>
      </c>
      <c r="B1777">
        <f>HYPERLINK("https://phuluute.myduc.hanoi.gov.vn/", "UBND Ủy ban nhân dân xã Phù Lưu Tế  thành phố Hà Nội")</f>
      </c>
      <c r="C1777" t="str">
        <v>https://phuluute.myduc.hanoi.gov.vn/</v>
      </c>
      <c r="D1777" t="str">
        <v>-</v>
      </c>
      <c r="E1777" t="str">
        <v>-</v>
      </c>
      <c r="F1777" t="str">
        <v>-</v>
      </c>
      <c r="G1777" t="str">
        <v>-</v>
      </c>
    </row>
    <row r="1778">
      <c r="A1778">
        <v>1777</v>
      </c>
      <c r="B1778">
        <f>HYPERLINK("https://www.facebook.com/policedaihung/", "Công an xã Đại Hưng  thành phố Hà Nội")</f>
      </c>
      <c r="C1778" t="str">
        <v>https://www.facebook.com/policedaihung/</v>
      </c>
      <c r="D1778" t="str">
        <v>-</v>
      </c>
      <c r="E1778" t="str">
        <v/>
      </c>
      <c r="F1778" t="str">
        <v>congandhung@gmail.com</v>
      </c>
      <c r="G1778" t="str">
        <v>-</v>
      </c>
    </row>
    <row r="1779">
      <c r="A1779">
        <v>1778</v>
      </c>
      <c r="B1779">
        <f>HYPERLINK("https://daihung.myduc.hanoi.gov.vn/", "UBND Ủy ban nhân dân xã Đại Hưng  thành phố Hà Nội")</f>
      </c>
      <c r="C1779" t="str">
        <v>https://daihung.myduc.hanoi.gov.vn/</v>
      </c>
      <c r="D1779" t="str">
        <v>-</v>
      </c>
      <c r="E1779" t="str">
        <v>-</v>
      </c>
      <c r="F1779" t="str">
        <v>-</v>
      </c>
      <c r="G1779" t="str">
        <v>-</v>
      </c>
    </row>
    <row r="1780">
      <c r="A1780">
        <v>1779</v>
      </c>
      <c r="B1780" t="str">
        <v>Công an xã Vạn Kim  thành phố Hà Nội</v>
      </c>
      <c r="C1780" t="str">
        <v>-</v>
      </c>
      <c r="D1780" t="str">
        <v>-</v>
      </c>
      <c r="E1780" t="str">
        <v/>
      </c>
      <c r="F1780" t="str">
        <v>-</v>
      </c>
      <c r="G1780" t="str">
        <v>-</v>
      </c>
    </row>
    <row r="1781">
      <c r="A1781">
        <v>1780</v>
      </c>
      <c r="B1781">
        <f>HYPERLINK("https://vankim.myduc.hanoi.gov.vn/", "UBND Ủy ban nhân dân xã Vạn Kim  thành phố Hà Nội")</f>
      </c>
      <c r="C1781" t="str">
        <v>https://vankim.myduc.hanoi.gov.vn/</v>
      </c>
      <c r="D1781" t="str">
        <v>-</v>
      </c>
      <c r="E1781" t="str">
        <v>-</v>
      </c>
      <c r="F1781" t="str">
        <v>-</v>
      </c>
      <c r="G1781" t="str">
        <v>-</v>
      </c>
    </row>
    <row r="1782">
      <c r="A1782">
        <v>1781</v>
      </c>
      <c r="B1782">
        <f>HYPERLINK("https://www.facebook.com/doanthanhnien.1956/", "Công an xã Đốc Tín  thành phố Hà Nội")</f>
      </c>
      <c r="C1782" t="str">
        <v>https://www.facebook.com/doanthanhnien.1956/</v>
      </c>
      <c r="D1782" t="str">
        <v>-</v>
      </c>
      <c r="E1782" t="str">
        <v/>
      </c>
      <c r="F1782" t="str">
        <v>doanthanhniencatphanoi@gmail.com</v>
      </c>
      <c r="G1782" t="str">
        <v>87 phố Trần Hưng Đạo, quận Hoàn Kiếm, TP Hà Nội, Hanoi, Vietnam</v>
      </c>
    </row>
    <row r="1783">
      <c r="A1783">
        <v>1782</v>
      </c>
      <c r="B1783">
        <f>HYPERLINK("https://doctin.myduc.hanoi.gov.vn/", "UBND Ủy ban nhân dân xã Đốc Tín  thành phố Hà Nội")</f>
      </c>
      <c r="C1783" t="str">
        <v>https://doctin.myduc.hanoi.gov.vn/</v>
      </c>
      <c r="D1783" t="str">
        <v>-</v>
      </c>
      <c r="E1783" t="str">
        <v>-</v>
      </c>
      <c r="F1783" t="str">
        <v>-</v>
      </c>
      <c r="G1783" t="str">
        <v>-</v>
      </c>
    </row>
    <row r="1784">
      <c r="A1784">
        <v>1783</v>
      </c>
      <c r="B1784" t="str">
        <v>Công an xã Hương Sơn  thành phố Hà Nội</v>
      </c>
      <c r="C1784" t="str">
        <v>-</v>
      </c>
      <c r="D1784" t="str">
        <v>-</v>
      </c>
      <c r="E1784" t="str">
        <v/>
      </c>
      <c r="F1784" t="str">
        <v>-</v>
      </c>
      <c r="G1784" t="str">
        <v>-</v>
      </c>
    </row>
    <row r="1785">
      <c r="A1785">
        <v>1784</v>
      </c>
      <c r="B1785">
        <f>HYPERLINK("https://huongson.myduc.hanoi.gov.vn/", "UBND Ủy ban nhân dân xã Hương Sơn  thành phố Hà Nội")</f>
      </c>
      <c r="C1785" t="str">
        <v>https://huongson.myduc.hanoi.gov.vn/</v>
      </c>
      <c r="D1785" t="str">
        <v>-</v>
      </c>
      <c r="E1785" t="str">
        <v>-</v>
      </c>
      <c r="F1785" t="str">
        <v>-</v>
      </c>
      <c r="G1785" t="str">
        <v>-</v>
      </c>
    </row>
    <row r="1786">
      <c r="A1786">
        <v>1785</v>
      </c>
      <c r="B1786" t="str">
        <v>Công an xã Hùng Tiến  thành phố Hà Nội</v>
      </c>
      <c r="C1786" t="str">
        <v>-</v>
      </c>
      <c r="D1786" t="str">
        <v>-</v>
      </c>
      <c r="E1786" t="str">
        <v/>
      </c>
      <c r="F1786" t="str">
        <v>-</v>
      </c>
      <c r="G1786" t="str">
        <v>-</v>
      </c>
    </row>
    <row r="1787">
      <c r="A1787">
        <v>1786</v>
      </c>
      <c r="B1787">
        <f>HYPERLINK("https://hungtien.myduc.hanoi.gov.vn/", "UBND Ủy ban nhân dân xã Hùng Tiến  thành phố Hà Nội")</f>
      </c>
      <c r="C1787" t="str">
        <v>https://hungtien.myduc.hanoi.gov.vn/</v>
      </c>
      <c r="D1787" t="str">
        <v>-</v>
      </c>
      <c r="E1787" t="str">
        <v>-</v>
      </c>
      <c r="F1787" t="str">
        <v>-</v>
      </c>
      <c r="G1787" t="str">
        <v>-</v>
      </c>
    </row>
    <row r="1788">
      <c r="A1788">
        <v>1787</v>
      </c>
      <c r="B1788">
        <f>HYPERLINK("https://www.facebook.com/doanthanhnien.1956/", "Công an xã An Tiến  thành phố Hà Nội")</f>
      </c>
      <c r="C1788" t="str">
        <v>https://www.facebook.com/doanthanhnien.1956/</v>
      </c>
      <c r="D1788" t="str">
        <v>-</v>
      </c>
      <c r="E1788" t="str">
        <v/>
      </c>
      <c r="F1788" t="str">
        <v>doanthanhniencatphanoi@gmail.com</v>
      </c>
      <c r="G1788" t="str">
        <v>87 phố Trần Hưng Đạo, quận Hoàn Kiếm, TP Hà Nội, Hanoi, Vietnam</v>
      </c>
    </row>
    <row r="1789">
      <c r="A1789">
        <v>1788</v>
      </c>
      <c r="B1789">
        <f>HYPERLINK("https://chuongmy.hanoi.gov.vn/", "UBND Ủy ban nhân dân xã An Tiến  thành phố Hà Nội")</f>
      </c>
      <c r="C1789" t="str">
        <v>https://chuongmy.hanoi.gov.vn/</v>
      </c>
      <c r="D1789" t="str">
        <v>-</v>
      </c>
      <c r="E1789" t="str">
        <v>-</v>
      </c>
      <c r="F1789" t="str">
        <v>-</v>
      </c>
      <c r="G1789" t="str">
        <v>-</v>
      </c>
    </row>
    <row r="1790">
      <c r="A1790">
        <v>1789</v>
      </c>
      <c r="B1790">
        <f>HYPERLINK("https://www.facebook.com/p/Tu%E1%BB%95i-tr%E1%BA%BB-C%C3%B4ng-an-Th%C3%A0nh-ph%E1%BB%91-V%C4%A9nh-Y%C3%AAn-100066497717181/", "Công an xã Hợp Tiến  thành phố Hà Nội")</f>
      </c>
      <c r="C1790" t="str">
        <v>https://www.facebook.com/p/Tu%E1%BB%95i-tr%E1%BA%BB-C%C3%B4ng-an-Th%C3%A0nh-ph%E1%BB%91-V%C4%A9nh-Y%C3%AAn-100066497717181/</v>
      </c>
      <c r="D1790" t="str">
        <v>-</v>
      </c>
      <c r="E1790" t="str">
        <v>02113861204</v>
      </c>
      <c r="F1790" t="str">
        <v>-</v>
      </c>
      <c r="G1790" t="str">
        <v>Lê Xoay - Ngô Quyền - Vĩnh Yên, Yen, Vietnam</v>
      </c>
    </row>
    <row r="1791">
      <c r="A1791">
        <v>1790</v>
      </c>
      <c r="B1791">
        <f>HYPERLINK("https://hoptien.myduc.hanoi.gov.vn/", "UBND Ủy ban nhân dân xã Hợp Tiến  thành phố Hà Nội")</f>
      </c>
      <c r="C1791" t="str">
        <v>https://hoptien.myduc.hanoi.gov.vn/</v>
      </c>
      <c r="D1791" t="str">
        <v>-</v>
      </c>
      <c r="E1791" t="str">
        <v>-</v>
      </c>
      <c r="F1791" t="str">
        <v>-</v>
      </c>
      <c r="G1791" t="str">
        <v>-</v>
      </c>
    </row>
    <row r="1792">
      <c r="A1792">
        <v>1791</v>
      </c>
      <c r="B1792" t="str">
        <v>Công an xã Hợp Thanh  thành phố Hà Nội</v>
      </c>
      <c r="C1792" t="str">
        <v>-</v>
      </c>
      <c r="D1792" t="str">
        <v>-</v>
      </c>
      <c r="E1792" t="str">
        <v/>
      </c>
      <c r="F1792" t="str">
        <v>-</v>
      </c>
      <c r="G1792" t="str">
        <v>-</v>
      </c>
    </row>
    <row r="1793">
      <c r="A1793">
        <v>1792</v>
      </c>
      <c r="B1793">
        <f>HYPERLINK("https://chuongmy.hanoi.gov.vn/", "UBND Ủy ban nhân dân xã Hợp Thanh  thành phố Hà Nội")</f>
      </c>
      <c r="C1793" t="str">
        <v>https://chuongmy.hanoi.gov.vn/</v>
      </c>
      <c r="D1793" t="str">
        <v>-</v>
      </c>
      <c r="E1793" t="str">
        <v>-</v>
      </c>
      <c r="F1793" t="str">
        <v>-</v>
      </c>
      <c r="G1793" t="str">
        <v>-</v>
      </c>
    </row>
    <row r="1794">
      <c r="A1794">
        <v>1793</v>
      </c>
      <c r="B1794">
        <f>HYPERLINK("https://www.facebook.com/p/Tu%E1%BB%95i-Tr%E1%BA%BB-C%C3%B4ng-An-Huy%E1%BB%87n-Ch%C6%B0%C6%A1ng-M%E1%BB%B9-100028578047777/?locale=el_GR", "Công an xã An Phú  thành phố Hà Nội")</f>
      </c>
      <c r="C1794" t="str">
        <v>https://www.facebook.com/p/Tu%E1%BB%95i-Tr%E1%BA%BB-C%C3%B4ng-An-Huy%E1%BB%87n-Ch%C6%B0%C6%A1ng-M%E1%BB%B9-100028578047777/?locale=el_GR</v>
      </c>
      <c r="D1794" t="str">
        <v>-</v>
      </c>
      <c r="E1794" t="str">
        <v/>
      </c>
      <c r="F1794" t="str">
        <v>doantncahchuongmy@gmail.com</v>
      </c>
      <c r="G1794" t="str">
        <v>Số 29A, Tổ dân phố Ninh Kiều, huyện Chương Mỹ, thành phố Hà Nội, Hanoi, Vietnam</v>
      </c>
    </row>
    <row r="1795">
      <c r="A1795">
        <v>1794</v>
      </c>
      <c r="B1795">
        <f>HYPERLINK("https://bavi.hanoi.gov.vn/xa-phu-phuong", "UBND Ủy ban nhân dân xã An Phú  thành phố Hà Nội")</f>
      </c>
      <c r="C1795" t="str">
        <v>https://bavi.hanoi.gov.vn/xa-phu-phuong</v>
      </c>
      <c r="D1795" t="str">
        <v>-</v>
      </c>
      <c r="E1795" t="str">
        <v>-</v>
      </c>
      <c r="F1795" t="str">
        <v>-</v>
      </c>
      <c r="G1795" t="str">
        <v>-</v>
      </c>
    </row>
    <row r="1796">
      <c r="A1796">
        <v>1795</v>
      </c>
      <c r="B1796" t="str">
        <v>Công an phường Quang Trung  tỉnh Hà Giang</v>
      </c>
      <c r="C1796" t="str">
        <v>-</v>
      </c>
      <c r="D1796" t="str">
        <v>-</v>
      </c>
      <c r="E1796" t="str">
        <v/>
      </c>
      <c r="F1796" t="str">
        <v>-</v>
      </c>
      <c r="G1796" t="str">
        <v>-</v>
      </c>
    </row>
    <row r="1797">
      <c r="A1797">
        <v>1796</v>
      </c>
      <c r="B1797">
        <f>HYPERLINK("https://thanhpho.hagiang.gov.vn/tin-tuc-chi-tiet?newsId=230581", "UBND Ủy ban nhân dân phường Quang Trung  tỉnh Hà Giang")</f>
      </c>
      <c r="C1797" t="str">
        <v>https://thanhpho.hagiang.gov.vn/tin-tuc-chi-tiet?newsId=230581</v>
      </c>
      <c r="D1797" t="str">
        <v>-</v>
      </c>
      <c r="E1797" t="str">
        <v>-</v>
      </c>
      <c r="F1797" t="str">
        <v>-</v>
      </c>
      <c r="G1797" t="str">
        <v>-</v>
      </c>
    </row>
    <row r="1798">
      <c r="A1798">
        <v>1797</v>
      </c>
      <c r="B1798">
        <f>HYPERLINK("https://www.facebook.com/TruyenthongphuongTranphu/", "Công an phường Trần Phú  tỉnh Hà Giang")</f>
      </c>
      <c r="C1798" t="str">
        <v>https://www.facebook.com/TruyenthongphuongTranphu/</v>
      </c>
      <c r="D1798" t="str">
        <v>-</v>
      </c>
      <c r="E1798" t="str">
        <v>0914533665</v>
      </c>
      <c r="F1798" t="str">
        <v>-</v>
      </c>
      <c r="G1798" t="str">
        <v>Đường Nguyễn Trung Trực, Hà Giang, Vietnam</v>
      </c>
    </row>
    <row r="1799">
      <c r="A1799">
        <v>1798</v>
      </c>
      <c r="B1799">
        <f>HYPERLINK("https://ptranphu.hagiang.gov.vn/", "UBND Ủy ban nhân dân phường Trần Phú  tỉnh Hà Giang")</f>
      </c>
      <c r="C1799" t="str">
        <v>https://ptranphu.hagiang.gov.vn/</v>
      </c>
      <c r="D1799" t="str">
        <v>-</v>
      </c>
      <c r="E1799" t="str">
        <v>-</v>
      </c>
      <c r="F1799" t="str">
        <v>-</v>
      </c>
      <c r="G1799" t="str">
        <v>-</v>
      </c>
    </row>
    <row r="1800">
      <c r="A1800">
        <v>1799</v>
      </c>
      <c r="B1800">
        <f>HYPERLINK("https://www.facebook.com/tuoitreconganhagiang/", "Công an phường Ngọc Hà  tỉnh Hà Giang")</f>
      </c>
      <c r="C1800" t="str">
        <v>https://www.facebook.com/tuoitreconganhagiang/</v>
      </c>
      <c r="D1800" t="str">
        <v>0339977730</v>
      </c>
      <c r="E1800" t="str">
        <v>-</v>
      </c>
      <c r="F1800" t="str">
        <v>fanpagetuoitreconganhg@gmail.com</v>
      </c>
      <c r="G1800" t="str">
        <v>Số 28, đường Phan Chu Trinh, Hà Giang, Vietnam</v>
      </c>
    </row>
    <row r="1801">
      <c r="A1801">
        <v>1800</v>
      </c>
      <c r="B1801">
        <f>HYPERLINK("https://pngocha.hagiang.gov.vn/", "UBND Ủy ban nhân dân phường Ngọc Hà  tỉnh Hà Giang")</f>
      </c>
      <c r="C1801" t="str">
        <v>https://pngocha.hagiang.gov.vn/</v>
      </c>
      <c r="D1801" t="str">
        <v>-</v>
      </c>
      <c r="E1801" t="str">
        <v>-</v>
      </c>
      <c r="F1801" t="str">
        <v>-</v>
      </c>
      <c r="G1801" t="str">
        <v>-</v>
      </c>
    </row>
    <row r="1802">
      <c r="A1802">
        <v>1801</v>
      </c>
      <c r="B1802" t="str">
        <v>Công an phường Nguyễn Trãi  tỉnh Hà Giang</v>
      </c>
      <c r="C1802" t="str">
        <v>-</v>
      </c>
      <c r="D1802" t="str">
        <v>-</v>
      </c>
      <c r="E1802" t="str">
        <v/>
      </c>
      <c r="F1802" t="str">
        <v>-</v>
      </c>
      <c r="G1802" t="str">
        <v>-</v>
      </c>
    </row>
    <row r="1803">
      <c r="A1803">
        <v>1802</v>
      </c>
      <c r="B1803">
        <f>HYPERLINK("https://thanhpho.hagiang.gov.vn/", "UBND Ủy ban nhân dân phường Nguyễn Trãi  tỉnh Hà Giang")</f>
      </c>
      <c r="C1803" t="str">
        <v>https://thanhpho.hagiang.gov.vn/</v>
      </c>
      <c r="D1803" t="str">
        <v>-</v>
      </c>
      <c r="E1803" t="str">
        <v>-</v>
      </c>
      <c r="F1803" t="str">
        <v>-</v>
      </c>
      <c r="G1803" t="str">
        <v>-</v>
      </c>
    </row>
    <row r="1804">
      <c r="A1804">
        <v>1803</v>
      </c>
      <c r="B1804">
        <f>HYPERLINK("https://www.facebook.com/truyenthongphuongminhkhai/", "Công an phường Minh Khai  tỉnh Hà Giang")</f>
      </c>
      <c r="C1804" t="str">
        <v>https://www.facebook.com/truyenthongphuongminhkhai/</v>
      </c>
      <c r="D1804" t="str">
        <v>-</v>
      </c>
      <c r="E1804" t="str">
        <v/>
      </c>
      <c r="F1804" t="str">
        <v>-</v>
      </c>
      <c r="G1804" t="str">
        <v>116, đường Trần Phú, thành phố Hà Giang, tỉnh Hà Giang, Hà Giang, Vietnam</v>
      </c>
    </row>
    <row r="1805">
      <c r="A1805">
        <v>1804</v>
      </c>
      <c r="B1805">
        <f>HYPERLINK("https://pminhkhai.hagiang.gov.vn/", "UBND Ủy ban nhân dân phường Minh Khai  tỉnh Hà Giang")</f>
      </c>
      <c r="C1805" t="str">
        <v>https://pminhkhai.hagiang.gov.vn/</v>
      </c>
      <c r="D1805" t="str">
        <v>-</v>
      </c>
      <c r="E1805" t="str">
        <v>-</v>
      </c>
      <c r="F1805" t="str">
        <v>-</v>
      </c>
      <c r="G1805" t="str">
        <v>-</v>
      </c>
    </row>
    <row r="1806">
      <c r="A1806">
        <v>1805</v>
      </c>
      <c r="B1806" t="str">
        <v>Công an xã Ngọc Đường  tỉnh Hà Giang</v>
      </c>
      <c r="C1806" t="str">
        <v>-</v>
      </c>
      <c r="D1806" t="str">
        <v>-</v>
      </c>
      <c r="E1806" t="str">
        <v/>
      </c>
      <c r="F1806" t="str">
        <v>-</v>
      </c>
      <c r="G1806" t="str">
        <v>-</v>
      </c>
    </row>
    <row r="1807">
      <c r="A1807">
        <v>1806</v>
      </c>
      <c r="B1807">
        <f>HYPERLINK("https://thanhpho.hagiang.gov.vn/tin-tuc-chi-tiet?newsId=28869", "UBND Ủy ban nhân dân xã Ngọc Đường  tỉnh Hà Giang")</f>
      </c>
      <c r="C1807" t="str">
        <v>https://thanhpho.hagiang.gov.vn/tin-tuc-chi-tiet?newsId=28869</v>
      </c>
      <c r="D1807" t="str">
        <v>-</v>
      </c>
      <c r="E1807" t="str">
        <v>-</v>
      </c>
      <c r="F1807" t="str">
        <v>-</v>
      </c>
      <c r="G1807" t="str">
        <v>-</v>
      </c>
    </row>
    <row r="1808">
      <c r="A1808">
        <v>1807</v>
      </c>
      <c r="B1808" t="str">
        <v>Công an xã Phương Độ  tỉnh Hà Giang</v>
      </c>
      <c r="C1808" t="str">
        <v>-</v>
      </c>
      <c r="D1808" t="str">
        <v>-</v>
      </c>
      <c r="E1808" t="str">
        <v/>
      </c>
      <c r="F1808" t="str">
        <v>-</v>
      </c>
      <c r="G1808" t="str">
        <v>-</v>
      </c>
    </row>
    <row r="1809">
      <c r="A1809">
        <v>1808</v>
      </c>
      <c r="B1809">
        <f>HYPERLINK("https://xphuongdo.hagiang.gov.vn/", "UBND Ủy ban nhân dân xã Phương Độ  tỉnh Hà Giang")</f>
      </c>
      <c r="C1809" t="str">
        <v>https://xphuongdo.hagiang.gov.vn/</v>
      </c>
      <c r="D1809" t="str">
        <v>-</v>
      </c>
      <c r="E1809" t="str">
        <v>-</v>
      </c>
      <c r="F1809" t="str">
        <v>-</v>
      </c>
      <c r="G1809" t="str">
        <v>-</v>
      </c>
    </row>
    <row r="1810">
      <c r="A1810">
        <v>1809</v>
      </c>
      <c r="B1810" t="str">
        <v>Công an xã Phương Thiện  tỉnh Hà Giang</v>
      </c>
      <c r="C1810" t="str">
        <v>-</v>
      </c>
      <c r="D1810" t="str">
        <v>-</v>
      </c>
      <c r="E1810" t="str">
        <v/>
      </c>
      <c r="F1810" t="str">
        <v>-</v>
      </c>
      <c r="G1810" t="str">
        <v>-</v>
      </c>
    </row>
    <row r="1811">
      <c r="A1811">
        <v>1810</v>
      </c>
      <c r="B1811">
        <f>HYPERLINK("https://xphuongthien.hagiang.gov.vn/", "UBND Ủy ban nhân dân xã Phương Thiện  tỉnh Hà Giang")</f>
      </c>
      <c r="C1811" t="str">
        <v>https://xphuongthien.hagiang.gov.vn/</v>
      </c>
      <c r="D1811" t="str">
        <v>-</v>
      </c>
      <c r="E1811" t="str">
        <v>-</v>
      </c>
      <c r="F1811" t="str">
        <v>-</v>
      </c>
      <c r="G1811" t="str">
        <v>-</v>
      </c>
    </row>
    <row r="1812">
      <c r="A1812">
        <v>1811</v>
      </c>
      <c r="B1812" t="str">
        <v>Công an thị trấn Phó Bảng  tỉnh Hà Giang</v>
      </c>
      <c r="C1812" t="str">
        <v>-</v>
      </c>
      <c r="D1812" t="str">
        <v>-</v>
      </c>
      <c r="E1812" t="str">
        <v/>
      </c>
      <c r="F1812" t="str">
        <v>-</v>
      </c>
      <c r="G1812" t="str">
        <v>-</v>
      </c>
    </row>
    <row r="1813">
      <c r="A1813">
        <v>1812</v>
      </c>
      <c r="B1813">
        <f>HYPERLINK("https://dongvan.hagiang.gov.vn/chi-tiet-tin-tuc/-/news/44717/ubnd-th%25E1%25BB%258B-tr%25E1%25BA%25A5n-ph%25E1%25BB%2591-b%25E1%25BA%25A3ng.html", "UBND Ủy ban nhân dân thị trấn Phó Bảng  tỉnh Hà Giang")</f>
      </c>
      <c r="C1813" t="str">
        <v>https://dongvan.hagiang.gov.vn/chi-tiet-tin-tuc/-/news/44717/ubnd-th%25E1%25BB%258B-tr%25E1%25BA%25A5n-ph%25E1%25BB%2591-b%25E1%25BA%25A3ng.html</v>
      </c>
      <c r="D1813" t="str">
        <v>-</v>
      </c>
      <c r="E1813" t="str">
        <v>-</v>
      </c>
      <c r="F1813" t="str">
        <v>-</v>
      </c>
      <c r="G1813" t="str">
        <v>-</v>
      </c>
    </row>
    <row r="1814">
      <c r="A1814">
        <v>1813</v>
      </c>
      <c r="B1814">
        <f>HYPERLINK("https://www.facebook.com/TTCADN/", "Công an xã Lũng Cú  tỉnh Hà Giang")</f>
      </c>
      <c r="C1814" t="str">
        <v>https://www.facebook.com/TTCADN/</v>
      </c>
      <c r="D1814" t="str">
        <v>-</v>
      </c>
      <c r="E1814" t="str">
        <v>02518820111</v>
      </c>
      <c r="F1814" t="str">
        <v>congan@dongnai.gov.vn</v>
      </c>
      <c r="G1814" t="str">
        <v>161 Phạm Văn Thuận, Tân Tiến, Biên Hòa, Vietnam</v>
      </c>
    </row>
    <row r="1815">
      <c r="A1815">
        <v>1814</v>
      </c>
      <c r="B1815">
        <f>HYPERLINK("https://dongvan.hagiang.gov.vn/vi/chi-tiet-tin-tuc/-/news/44717/ubnd-x%25C3%25A3-l%25C5%25A9ng-c%25C3%25BA.html", "UBND Ủy ban nhân dân xã Lũng Cú  tỉnh Hà Giang")</f>
      </c>
      <c r="C1815" t="str">
        <v>https://dongvan.hagiang.gov.vn/vi/chi-tiet-tin-tuc/-/news/44717/ubnd-x%25C3%25A3-l%25C5%25A9ng-c%25C3%25BA.html</v>
      </c>
      <c r="D1815" t="str">
        <v>-</v>
      </c>
      <c r="E1815" t="str">
        <v>-</v>
      </c>
      <c r="F1815" t="str">
        <v>-</v>
      </c>
      <c r="G1815" t="str">
        <v>-</v>
      </c>
    </row>
    <row r="1816">
      <c r="A1816">
        <v>1815</v>
      </c>
      <c r="B1816">
        <f>HYPERLINK("https://www.facebook.com/tuoitreconganhagiang/?locale=te_IN", "Công an xã Má Lé  tỉnh Hà Giang")</f>
      </c>
      <c r="C1816" t="str">
        <v>https://www.facebook.com/tuoitreconganhagiang/?locale=te_IN</v>
      </c>
      <c r="D1816" t="str">
        <v>0339977730</v>
      </c>
      <c r="E1816" t="str">
        <v>-</v>
      </c>
      <c r="F1816" t="str">
        <v>fanpagetuoitreconganhg@gmail.com</v>
      </c>
      <c r="G1816" t="str">
        <v>Số 28, đường Phan Chu Trinh, Hà Giang, Vietnam</v>
      </c>
    </row>
    <row r="1817">
      <c r="A1817">
        <v>1816</v>
      </c>
      <c r="B1817">
        <f>HYPERLINK("https://dongvan.hagiang.gov.vn/chi-tiet-tin-tuc/-/news/44717/ubnd-x%C3%A3-ma-l%C3%A9.html", "UBND Ủy ban nhân dân xã Má Lé  tỉnh Hà Giang")</f>
      </c>
      <c r="C1817" t="str">
        <v>https://dongvan.hagiang.gov.vn/chi-tiet-tin-tuc/-/news/44717/ubnd-x%C3%A3-ma-l%C3%A9.html</v>
      </c>
      <c r="D1817" t="str">
        <v>-</v>
      </c>
      <c r="E1817" t="str">
        <v>-</v>
      </c>
      <c r="F1817" t="str">
        <v>-</v>
      </c>
      <c r="G1817" t="str">
        <v>-</v>
      </c>
    </row>
    <row r="1818">
      <c r="A1818">
        <v>1817</v>
      </c>
      <c r="B1818">
        <f>HYPERLINK("https://www.facebook.com/p/C%C3%B4ng-an-ph%C6%B0%E1%BB%9Dng-%C4%90%E1%BB%93ng-V%C4%83n-100077179269092/", "Công an thị trấn Đồng Văn  tỉnh Hà Giang")</f>
      </c>
      <c r="C1818" t="str">
        <v>https://www.facebook.com/p/C%C3%B4ng-an-ph%C6%B0%E1%BB%9Dng-%C4%90%E1%BB%93ng-V%C4%83n-100077179269092/</v>
      </c>
      <c r="D1818" t="str">
        <v>-</v>
      </c>
      <c r="E1818" t="str">
        <v>02263582568</v>
      </c>
      <c r="F1818" t="str">
        <v>-</v>
      </c>
      <c r="G1818" t="str">
        <v>-</v>
      </c>
    </row>
    <row r="1819">
      <c r="A1819">
        <v>1818</v>
      </c>
      <c r="B1819">
        <f>HYPERLINK("https://dongvan.hagiang.gov.vn/", "UBND Ủy ban nhân dân thị trấn Đồng Văn  tỉnh Hà Giang")</f>
      </c>
      <c r="C1819" t="str">
        <v>https://dongvan.hagiang.gov.vn/</v>
      </c>
      <c r="D1819" t="str">
        <v>-</v>
      </c>
      <c r="E1819" t="str">
        <v>-</v>
      </c>
      <c r="F1819" t="str">
        <v>-</v>
      </c>
      <c r="G1819" t="str">
        <v>-</v>
      </c>
    </row>
    <row r="1820">
      <c r="A1820">
        <v>1819</v>
      </c>
      <c r="B1820" t="str">
        <v>Công an xã Lũng Táo  tỉnh Hà Giang</v>
      </c>
      <c r="C1820" t="str">
        <v>-</v>
      </c>
      <c r="D1820" t="str">
        <v>-</v>
      </c>
      <c r="E1820" t="str">
        <v/>
      </c>
      <c r="F1820" t="str">
        <v>-</v>
      </c>
      <c r="G1820" t="str">
        <v>-</v>
      </c>
    </row>
    <row r="1821">
      <c r="A1821">
        <v>1820</v>
      </c>
      <c r="B1821">
        <f>HYPERLINK("https://dongvan.hagiang.gov.vn/chi-tiet-tin-tuc/-/news/44717/ubnd-x%C3%A3-l%C5%A9ng-t%C3%A1o.html", "UBND Ủy ban nhân dân xã Lũng Táo  tỉnh Hà Giang")</f>
      </c>
      <c r="C1821" t="str">
        <v>https://dongvan.hagiang.gov.vn/chi-tiet-tin-tuc/-/news/44717/ubnd-x%C3%A3-l%C5%A9ng-t%C3%A1o.html</v>
      </c>
      <c r="D1821" t="str">
        <v>-</v>
      </c>
      <c r="E1821" t="str">
        <v>-</v>
      </c>
      <c r="F1821" t="str">
        <v>-</v>
      </c>
      <c r="G1821" t="str">
        <v>-</v>
      </c>
    </row>
    <row r="1822">
      <c r="A1822">
        <v>1821</v>
      </c>
      <c r="B1822">
        <f>HYPERLINK("https://www.facebook.com/tuoitreconganhagiang/", "Công an xã Phố Là  tỉnh Hà Giang")</f>
      </c>
      <c r="C1822" t="str">
        <v>https://www.facebook.com/tuoitreconganhagiang/</v>
      </c>
      <c r="D1822" t="str">
        <v>0339977730</v>
      </c>
      <c r="E1822" t="str">
        <v>-</v>
      </c>
      <c r="F1822" t="str">
        <v>fanpagetuoitreconganhg@gmail.com</v>
      </c>
      <c r="G1822" t="str">
        <v>Số 28, đường Phan Chu Trinh, Hà Giang, Vietnam</v>
      </c>
    </row>
    <row r="1823">
      <c r="A1823">
        <v>1822</v>
      </c>
      <c r="B1823">
        <f>HYPERLINK("https://dongvan.hagiang.gov.vn/chi-tiet-tin-tuc/-/news/44717/%E1%BB%A6y-ban-nh%C3%82n-x%C3%83-ph%E1%BB%90-l%C3%80.html", "UBND Ủy ban nhân dân xã Phố Là  tỉnh Hà Giang")</f>
      </c>
      <c r="C1823" t="str">
        <v>https://dongvan.hagiang.gov.vn/chi-tiet-tin-tuc/-/news/44717/%E1%BB%A6y-ban-nh%C3%82n-x%C3%83-ph%E1%BB%90-l%C3%80.html</v>
      </c>
      <c r="D1823" t="str">
        <v>-</v>
      </c>
      <c r="E1823" t="str">
        <v>-</v>
      </c>
      <c r="F1823" t="str">
        <v>-</v>
      </c>
      <c r="G1823" t="str">
        <v>-</v>
      </c>
    </row>
    <row r="1824">
      <c r="A1824">
        <v>1823</v>
      </c>
      <c r="B1824" t="str">
        <v>Công an xã Thài Phìn Tủng  tỉnh Hà Giang</v>
      </c>
      <c r="C1824" t="str">
        <v>-</v>
      </c>
      <c r="D1824" t="str">
        <v>-</v>
      </c>
      <c r="E1824" t="str">
        <v/>
      </c>
      <c r="F1824" t="str">
        <v>-</v>
      </c>
      <c r="G1824" t="str">
        <v>-</v>
      </c>
    </row>
    <row r="1825">
      <c r="A1825">
        <v>1824</v>
      </c>
      <c r="B1825">
        <f>HYPERLINK("https://dongvan.hagiang.gov.vn/chi-tiet-tin-tuc/-/news/44717/ubnd-x%25C3%25A3-th%25C3%25A0i-ph%25C3%25ACn-t%25E1%25BB%25A7ng.html", "UBND Ủy ban nhân dân xã Thài Phìn Tủng  tỉnh Hà Giang")</f>
      </c>
      <c r="C1825" t="str">
        <v>https://dongvan.hagiang.gov.vn/chi-tiet-tin-tuc/-/news/44717/ubnd-x%25C3%25A3-th%25C3%25A0i-ph%25C3%25ACn-t%25E1%25BB%25A7ng.html</v>
      </c>
      <c r="D1825" t="str">
        <v>-</v>
      </c>
      <c r="E1825" t="str">
        <v>-</v>
      </c>
      <c r="F1825" t="str">
        <v>-</v>
      </c>
      <c r="G1825" t="str">
        <v>-</v>
      </c>
    </row>
    <row r="1826">
      <c r="A1826">
        <v>1825</v>
      </c>
      <c r="B1826" t="str">
        <v>Công an xã Sủng Là  tỉnh Hà Giang</v>
      </c>
      <c r="C1826" t="str">
        <v>-</v>
      </c>
      <c r="D1826" t="str">
        <v>-</v>
      </c>
      <c r="E1826" t="str">
        <v/>
      </c>
      <c r="F1826" t="str">
        <v>-</v>
      </c>
      <c r="G1826" t="str">
        <v>-</v>
      </c>
    </row>
    <row r="1827">
      <c r="A1827">
        <v>1826</v>
      </c>
      <c r="B1827">
        <f>HYPERLINK("https://dongvan.hagiang.gov.vn/chi-tiet-tin-tuc/-/news/44717/%25E1%25BB%25A6y-ban-nh%25C3%2582n-d%25C3%2582n-x%25C3%2583-s%25E1%25BB%25A6ng-l%25C3%2580.html", "UBND Ủy ban nhân dân xã Sủng Là  tỉnh Hà Giang")</f>
      </c>
      <c r="C1827" t="str">
        <v>https://dongvan.hagiang.gov.vn/chi-tiet-tin-tuc/-/news/44717/%25E1%25BB%25A6y-ban-nh%25C3%2582n-d%25C3%2582n-x%25C3%2583-s%25E1%25BB%25A6ng-l%25C3%2580.html</v>
      </c>
      <c r="D1827" t="str">
        <v>-</v>
      </c>
      <c r="E1827" t="str">
        <v>-</v>
      </c>
      <c r="F1827" t="str">
        <v>-</v>
      </c>
      <c r="G1827" t="str">
        <v>-</v>
      </c>
    </row>
    <row r="1828">
      <c r="A1828">
        <v>1827</v>
      </c>
      <c r="B1828" t="str">
        <v>Công an xã Xà Phìn  tỉnh Hà Giang</v>
      </c>
      <c r="C1828" t="str">
        <v>-</v>
      </c>
      <c r="D1828" t="str">
        <v>-</v>
      </c>
      <c r="E1828" t="str">
        <v/>
      </c>
      <c r="F1828" t="str">
        <v>-</v>
      </c>
      <c r="G1828" t="str">
        <v>-</v>
      </c>
    </row>
    <row r="1829">
      <c r="A1829">
        <v>1828</v>
      </c>
      <c r="B1829">
        <f>HYPERLINK("https://dongvan.hagiang.gov.vn/chi-tiet-tin-tuc/-/news/44717/ubnd-x%25C3%25A3-s%25C3%25A0-ph%25C3%25ACn.html", "UBND Ủy ban nhân dân xã Xà Phìn  tỉnh Hà Giang")</f>
      </c>
      <c r="C1829" t="str">
        <v>https://dongvan.hagiang.gov.vn/chi-tiet-tin-tuc/-/news/44717/ubnd-x%25C3%25A3-s%25C3%25A0-ph%25C3%25ACn.html</v>
      </c>
      <c r="D1829" t="str">
        <v>-</v>
      </c>
      <c r="E1829" t="str">
        <v>-</v>
      </c>
      <c r="F1829" t="str">
        <v>-</v>
      </c>
      <c r="G1829" t="str">
        <v>-</v>
      </c>
    </row>
    <row r="1830">
      <c r="A1830">
        <v>1829</v>
      </c>
      <c r="B1830" t="str">
        <v>Công an xã Tả Phìn  tỉnh Hà Giang</v>
      </c>
      <c r="C1830" t="str">
        <v>-</v>
      </c>
      <c r="D1830" t="str">
        <v>-</v>
      </c>
      <c r="E1830" t="str">
        <v/>
      </c>
      <c r="F1830" t="str">
        <v>-</v>
      </c>
      <c r="G1830" t="str">
        <v>-</v>
      </c>
    </row>
    <row r="1831">
      <c r="A1831">
        <v>1830</v>
      </c>
      <c r="B1831">
        <f>HYPERLINK("https://dongvan.hagiang.gov.vn/chi-tiet-tin-tuc/-/news/44717/ubnd-x%25C3%2583-t%25E1%25BA%25A2-ph%25C3%258Cn.html", "UBND Ủy ban nhân dân xã Tả Phìn  tỉnh Hà Giang")</f>
      </c>
      <c r="C1831" t="str">
        <v>https://dongvan.hagiang.gov.vn/chi-tiet-tin-tuc/-/news/44717/ubnd-x%25C3%2583-t%25E1%25BA%25A2-ph%25C3%258Cn.html</v>
      </c>
      <c r="D1831" t="str">
        <v>-</v>
      </c>
      <c r="E1831" t="str">
        <v>-</v>
      </c>
      <c r="F1831" t="str">
        <v>-</v>
      </c>
      <c r="G1831" t="str">
        <v>-</v>
      </c>
    </row>
    <row r="1832">
      <c r="A1832">
        <v>1831</v>
      </c>
      <c r="B1832">
        <f>HYPERLINK("https://www.facebook.com/p/NDTC-Foundation-100081462655313/", "Công an xã Tả Lủng  tỉnh Hà Giang")</f>
      </c>
      <c r="C1832" t="str">
        <v>https://www.facebook.com/p/NDTC-Foundation-100081462655313/</v>
      </c>
      <c r="D1832" t="str">
        <v>-</v>
      </c>
      <c r="E1832" t="str">
        <v>02439388628</v>
      </c>
      <c r="F1832" t="str">
        <v>headoffice@ndtcgroup.com.vn</v>
      </c>
      <c r="G1832" t="str">
        <v>Tầng 12, Tháp Hà Nội, 49 Hai Bà Trưng, Hoàn Kiếm, Hà Nội, Hanoi, Vietnam</v>
      </c>
    </row>
    <row r="1833">
      <c r="A1833">
        <v>1832</v>
      </c>
      <c r="B1833">
        <f>HYPERLINK("https://dongvan.hagiang.gov.vn/chi-tiet-tin-tuc/-/news/44717/c%C6%A1-c%E1%BA%A5u-b%E1%BB%99-m%C3%A1y-x%C3%A3-t%E1%BA%A3-l%E1%BB%A7ng.html", "UBND Ủy ban nhân dân xã Tả Lủng  tỉnh Hà Giang")</f>
      </c>
      <c r="C1833" t="str">
        <v>https://dongvan.hagiang.gov.vn/chi-tiet-tin-tuc/-/news/44717/c%C6%A1-c%E1%BA%A5u-b%E1%BB%99-m%C3%A1y-x%C3%A3-t%E1%BA%A3-l%E1%BB%A7ng.html</v>
      </c>
      <c r="D1833" t="str">
        <v>-</v>
      </c>
      <c r="E1833" t="str">
        <v>-</v>
      </c>
      <c r="F1833" t="str">
        <v>-</v>
      </c>
      <c r="G1833" t="str">
        <v>-</v>
      </c>
    </row>
    <row r="1834">
      <c r="A1834">
        <v>1833</v>
      </c>
      <c r="B1834" t="str">
        <v>Công an xã Phố Cáo  tỉnh Hà Giang</v>
      </c>
      <c r="C1834" t="str">
        <v>-</v>
      </c>
      <c r="D1834" t="str">
        <v>-</v>
      </c>
      <c r="E1834" t="str">
        <v/>
      </c>
      <c r="F1834" t="str">
        <v>-</v>
      </c>
      <c r="G1834" t="str">
        <v>-</v>
      </c>
    </row>
    <row r="1835">
      <c r="A1835">
        <v>1834</v>
      </c>
      <c r="B1835">
        <f>HYPERLINK("https://dongvan.hagiang.gov.vn/chi-tiet-tin-tuc/-/news/44717/hoi-dong-nhan-dan-xa-pho-cao-to-chuc-ky-hop-chuyen-de.html", "UBND Ủy ban nhân dân xã Phố Cáo  tỉnh Hà Giang")</f>
      </c>
      <c r="C1835" t="str">
        <v>https://dongvan.hagiang.gov.vn/chi-tiet-tin-tuc/-/news/44717/hoi-dong-nhan-dan-xa-pho-cao-to-chuc-ky-hop-chuyen-de.html</v>
      </c>
      <c r="D1835" t="str">
        <v>-</v>
      </c>
      <c r="E1835" t="str">
        <v>-</v>
      </c>
      <c r="F1835" t="str">
        <v>-</v>
      </c>
      <c r="G1835" t="str">
        <v>-</v>
      </c>
    </row>
    <row r="1836">
      <c r="A1836">
        <v>1835</v>
      </c>
      <c r="B1836" t="str">
        <v>Công an xã Sính Lủng  tỉnh Hà Giang</v>
      </c>
      <c r="C1836" t="str">
        <v>-</v>
      </c>
      <c r="D1836" t="str">
        <v>-</v>
      </c>
      <c r="E1836" t="str">
        <v/>
      </c>
      <c r="F1836" t="str">
        <v>-</v>
      </c>
      <c r="G1836" t="str">
        <v>-</v>
      </c>
    </row>
    <row r="1837">
      <c r="A1837">
        <v>1836</v>
      </c>
      <c r="B1837">
        <f>HYPERLINK("https://dongvan.hagiang.gov.vn/chi-tiet-tin-tuc/-/news/44717/ubnd-x%25C3%25A3-s%25C3%25ADnh-l%25E1%25BB%25A7ng.html", "UBND Ủy ban nhân dân xã Sính Lủng  tỉnh Hà Giang")</f>
      </c>
      <c r="C1837" t="str">
        <v>https://dongvan.hagiang.gov.vn/chi-tiet-tin-tuc/-/news/44717/ubnd-x%25C3%25A3-s%25C3%25ADnh-l%25E1%25BB%25A7ng.html</v>
      </c>
      <c r="D1837" t="str">
        <v>-</v>
      </c>
      <c r="E1837" t="str">
        <v>-</v>
      </c>
      <c r="F1837" t="str">
        <v>-</v>
      </c>
      <c r="G1837" t="str">
        <v>-</v>
      </c>
    </row>
    <row r="1838">
      <c r="A1838">
        <v>1837</v>
      </c>
      <c r="B1838" t="str">
        <v>Công an xã Sảng Tủng  tỉnh Hà Giang</v>
      </c>
      <c r="C1838" t="str">
        <v>-</v>
      </c>
      <c r="D1838" t="str">
        <v>-</v>
      </c>
      <c r="E1838" t="str">
        <v/>
      </c>
      <c r="F1838" t="str">
        <v>-</v>
      </c>
      <c r="G1838" t="str">
        <v>-</v>
      </c>
    </row>
    <row r="1839">
      <c r="A1839">
        <v>1838</v>
      </c>
      <c r="B1839">
        <f>HYPERLINK("https://dongvan.hagiang.gov.vn/chi-tiet-tin-tuc/-/news/44717/ubnd-x%25C3%25A3-s%25E1%25BA%25A3ng-t%25E1%25BB%25A7ng.html", "UBND Ủy ban nhân dân xã Sảng Tủng  tỉnh Hà Giang")</f>
      </c>
      <c r="C1839" t="str">
        <v>https://dongvan.hagiang.gov.vn/chi-tiet-tin-tuc/-/news/44717/ubnd-x%25C3%25A3-s%25E1%25BA%25A3ng-t%25E1%25BB%25A7ng.html</v>
      </c>
      <c r="D1839" t="str">
        <v>-</v>
      </c>
      <c r="E1839" t="str">
        <v>-</v>
      </c>
      <c r="F1839" t="str">
        <v>-</v>
      </c>
      <c r="G1839" t="str">
        <v>-</v>
      </c>
    </row>
    <row r="1840">
      <c r="A1840">
        <v>1839</v>
      </c>
      <c r="B1840">
        <f>HYPERLINK("https://www.facebook.com/100086380038671", "Công an xã Lũng Thầu  tỉnh Hà Giang")</f>
      </c>
      <c r="C1840" t="str">
        <v>https://www.facebook.com/100086380038671</v>
      </c>
      <c r="D1840" t="str">
        <v>-</v>
      </c>
      <c r="E1840" t="str">
        <v>0981109222</v>
      </c>
      <c r="F1840" t="str">
        <v>hienxu8xtq@gmail.com</v>
      </c>
      <c r="G1840" t="str">
        <v>Dong Van, Vietnam</v>
      </c>
    </row>
    <row r="1841">
      <c r="A1841">
        <v>1840</v>
      </c>
      <c r="B1841">
        <f>HYPERLINK("https://xlungthau.hagiang.gov.vn/vi/chi-tiet-tin-tuc/-/news/1326571/co-cau-to-chuc-cua-xa-lung-thau.html", "UBND Ủy ban nhân dân xã Lũng Thầu  tỉnh Hà Giang")</f>
      </c>
      <c r="C1841" t="str">
        <v>https://xlungthau.hagiang.gov.vn/vi/chi-tiet-tin-tuc/-/news/1326571/co-cau-to-chuc-cua-xa-lung-thau.html</v>
      </c>
      <c r="D1841" t="str">
        <v>-</v>
      </c>
      <c r="E1841" t="str">
        <v>-</v>
      </c>
      <c r="F1841" t="str">
        <v>-</v>
      </c>
      <c r="G1841" t="str">
        <v>-</v>
      </c>
    </row>
    <row r="1842">
      <c r="A1842">
        <v>1841</v>
      </c>
      <c r="B1842" t="str">
        <v>Công an xã Hố Quáng Phìn  tỉnh Hà Giang</v>
      </c>
      <c r="C1842" t="str">
        <v>-</v>
      </c>
      <c r="D1842" t="str">
        <v>-</v>
      </c>
      <c r="E1842" t="str">
        <v/>
      </c>
      <c r="F1842" t="str">
        <v>-</v>
      </c>
      <c r="G1842" t="str">
        <v>-</v>
      </c>
    </row>
    <row r="1843">
      <c r="A1843">
        <v>1842</v>
      </c>
      <c r="B1843">
        <f>HYPERLINK("https://xhoquangphin.hagiang.gov.vn/", "UBND Ủy ban nhân dân xã Hố Quáng Phìn  tỉnh Hà Giang")</f>
      </c>
      <c r="C1843" t="str">
        <v>https://xhoquangphin.hagiang.gov.vn/</v>
      </c>
      <c r="D1843" t="str">
        <v>-</v>
      </c>
      <c r="E1843" t="str">
        <v>-</v>
      </c>
      <c r="F1843" t="str">
        <v>-</v>
      </c>
      <c r="G1843" t="str">
        <v>-</v>
      </c>
    </row>
    <row r="1844">
      <c r="A1844">
        <v>1843</v>
      </c>
      <c r="B1844" t="str">
        <v>Công an xã Vần Chải  tỉnh Hà Giang</v>
      </c>
      <c r="C1844" t="str">
        <v>-</v>
      </c>
      <c r="D1844" t="str">
        <v>-</v>
      </c>
      <c r="E1844" t="str">
        <v/>
      </c>
      <c r="F1844" t="str">
        <v>-</v>
      </c>
      <c r="G1844" t="str">
        <v>-</v>
      </c>
    </row>
    <row r="1845">
      <c r="A1845">
        <v>1844</v>
      </c>
      <c r="B1845">
        <f>HYPERLINK("https://xvanchai.hagiang.gov.vn/chi-tiet-tin-tuc/-/news/1326652/ubnd-xa-van-chai-co-cau-to-chuc-nhu-sau.html", "UBND Ủy ban nhân dân xã Vần Chải  tỉnh Hà Giang")</f>
      </c>
      <c r="C1845" t="str">
        <v>https://xvanchai.hagiang.gov.vn/chi-tiet-tin-tuc/-/news/1326652/ubnd-xa-van-chai-co-cau-to-chuc-nhu-sau.html</v>
      </c>
      <c r="D1845" t="str">
        <v>-</v>
      </c>
      <c r="E1845" t="str">
        <v>-</v>
      </c>
      <c r="F1845" t="str">
        <v>-</v>
      </c>
      <c r="G1845" t="str">
        <v>-</v>
      </c>
    </row>
    <row r="1846">
      <c r="A1846">
        <v>1845</v>
      </c>
      <c r="B1846" t="str">
        <v>Công an xã Lũng Phìn  tỉnh Hà Giang</v>
      </c>
      <c r="C1846" t="str">
        <v>-</v>
      </c>
      <c r="D1846" t="str">
        <v>-</v>
      </c>
      <c r="E1846" t="str">
        <v/>
      </c>
      <c r="F1846" t="str">
        <v>-</v>
      </c>
      <c r="G1846" t="str">
        <v>-</v>
      </c>
    </row>
    <row r="1847">
      <c r="A1847">
        <v>1846</v>
      </c>
      <c r="B1847">
        <f>HYPERLINK("https://dongvan.hagiang.gov.vn/", "UBND Ủy ban nhân dân xã Lũng Phìn  tỉnh Hà Giang")</f>
      </c>
      <c r="C1847" t="str">
        <v>https://dongvan.hagiang.gov.vn/</v>
      </c>
      <c r="D1847" t="str">
        <v>-</v>
      </c>
      <c r="E1847" t="str">
        <v>-</v>
      </c>
      <c r="F1847" t="str">
        <v>-</v>
      </c>
      <c r="G1847" t="str">
        <v>-</v>
      </c>
    </row>
    <row r="1848">
      <c r="A1848">
        <v>1847</v>
      </c>
      <c r="B1848" t="str">
        <v>Công an xã Sủng Trái  tỉnh Hà Giang</v>
      </c>
      <c r="C1848" t="str">
        <v>-</v>
      </c>
      <c r="D1848" t="str">
        <v>-</v>
      </c>
      <c r="E1848" t="str">
        <v/>
      </c>
      <c r="F1848" t="str">
        <v>-</v>
      </c>
      <c r="G1848" t="str">
        <v>-</v>
      </c>
    </row>
    <row r="1849">
      <c r="A1849">
        <v>1848</v>
      </c>
      <c r="B1849">
        <f>HYPERLINK("https://dongvan.hagiang.gov.vn/chi-tiet-tin-tuc/-/news/44717/c%25C6%25A1-c%25E1%25BA%25A5u-t%25E1%25BB%2595-ch%25E1%25BB%25A9c-b%25E1%25BB%2599-m%25C3%25A1y-x%25C3%25A3-s%25E1%25BB%25A7ng-tr%25C3%25A1i.html", "UBND Ủy ban nhân dân xã Sủng Trái  tỉnh Hà Giang")</f>
      </c>
      <c r="C1849" t="str">
        <v>https://dongvan.hagiang.gov.vn/chi-tiet-tin-tuc/-/news/44717/c%25C6%25A1-c%25E1%25BA%25A5u-t%25E1%25BB%2595-ch%25E1%25BB%25A9c-b%25E1%25BB%2599-m%25C3%25A1y-x%25C3%25A3-s%25E1%25BB%25A7ng-tr%25C3%25A1i.html</v>
      </c>
      <c r="D1849" t="str">
        <v>-</v>
      </c>
      <c r="E1849" t="str">
        <v>-</v>
      </c>
      <c r="F1849" t="str">
        <v>-</v>
      </c>
      <c r="G1849" t="str">
        <v>-</v>
      </c>
    </row>
    <row r="1850">
      <c r="A1850">
        <v>1849</v>
      </c>
      <c r="B1850">
        <f>HYPERLINK("https://www.facebook.com/groups/347765592437135/", "Công an thị trấn Mèo Vạc  tỉnh Hà Giang")</f>
      </c>
      <c r="C1850" t="str">
        <v>https://www.facebook.com/groups/347765592437135/</v>
      </c>
      <c r="D1850" t="str">
        <v>-</v>
      </c>
      <c r="E1850" t="str">
        <v/>
      </c>
      <c r="F1850" t="str">
        <v>-</v>
      </c>
      <c r="G1850" t="str">
        <v>-</v>
      </c>
    </row>
    <row r="1851">
      <c r="A1851">
        <v>1850</v>
      </c>
      <c r="B1851">
        <f>HYPERLINK("https://meovac.hagiang.gov.vn/vi/trang-chu", "UBND Ủy ban nhân dân thị trấn Mèo Vạc  tỉnh Hà Giang")</f>
      </c>
      <c r="C1851" t="str">
        <v>https://meovac.hagiang.gov.vn/vi/trang-chu</v>
      </c>
      <c r="D1851" t="str">
        <v>-</v>
      </c>
      <c r="E1851" t="str">
        <v>-</v>
      </c>
      <c r="F1851" t="str">
        <v>-</v>
      </c>
      <c r="G1851" t="str">
        <v>-</v>
      </c>
    </row>
    <row r="1852">
      <c r="A1852">
        <v>1851</v>
      </c>
      <c r="B1852" t="str">
        <v>Công an xã Thượng Phùng  tỉnh Hà Giang</v>
      </c>
      <c r="C1852" t="str">
        <v>-</v>
      </c>
      <c r="D1852" t="str">
        <v>-</v>
      </c>
      <c r="E1852" t="str">
        <v/>
      </c>
      <c r="F1852" t="str">
        <v>-</v>
      </c>
      <c r="G1852" t="str">
        <v>-</v>
      </c>
    </row>
    <row r="1853">
      <c r="A1853">
        <v>1852</v>
      </c>
      <c r="B1853">
        <f>HYPERLINK("https://xthuongphung.hagiang.gov.vn/", "UBND Ủy ban nhân dân xã Thượng Phùng  tỉnh Hà Giang")</f>
      </c>
      <c r="C1853" t="str">
        <v>https://xthuongphung.hagiang.gov.vn/</v>
      </c>
      <c r="D1853" t="str">
        <v>-</v>
      </c>
      <c r="E1853" t="str">
        <v>-</v>
      </c>
      <c r="F1853" t="str">
        <v>-</v>
      </c>
      <c r="G1853" t="str">
        <v>-</v>
      </c>
    </row>
    <row r="1854">
      <c r="A1854">
        <v>1853</v>
      </c>
      <c r="B1854" t="str">
        <v>Công an xã Pải Lủng  tỉnh Hà Giang</v>
      </c>
      <c r="C1854" t="str">
        <v>-</v>
      </c>
      <c r="D1854" t="str">
        <v>-</v>
      </c>
      <c r="E1854" t="str">
        <v/>
      </c>
      <c r="F1854" t="str">
        <v>-</v>
      </c>
      <c r="G1854" t="str">
        <v>-</v>
      </c>
    </row>
    <row r="1855">
      <c r="A1855">
        <v>1854</v>
      </c>
      <c r="B1855">
        <f>HYPERLINK("https://stttt.hagiang.gov.vn/chi-tiet-tin-tuc/-/news/35242/danh-sach-ung-cu-vien-dai-bieu-hdnd-tinh-ha-giang-tai-don-vi-bau-cu-so-01-huyen-meo-vac.html", "UBND Ủy ban nhân dân xã Pải Lủng  tỉnh Hà Giang")</f>
      </c>
      <c r="C1855" t="str">
        <v>https://stttt.hagiang.gov.vn/chi-tiet-tin-tuc/-/news/35242/danh-sach-ung-cu-vien-dai-bieu-hdnd-tinh-ha-giang-tai-don-vi-bau-cu-so-01-huyen-meo-vac.html</v>
      </c>
      <c r="D1855" t="str">
        <v>-</v>
      </c>
      <c r="E1855" t="str">
        <v>-</v>
      </c>
      <c r="F1855" t="str">
        <v>-</v>
      </c>
      <c r="G1855" t="str">
        <v>-</v>
      </c>
    </row>
    <row r="1856">
      <c r="A1856">
        <v>1855</v>
      </c>
      <c r="B1856" t="str">
        <v>Công an xã Xín Cái  tỉnh Hà Giang</v>
      </c>
      <c r="C1856" t="str">
        <v>-</v>
      </c>
      <c r="D1856" t="str">
        <v>-</v>
      </c>
      <c r="E1856" t="str">
        <v/>
      </c>
      <c r="F1856" t="str">
        <v>-</v>
      </c>
      <c r="G1856" t="str">
        <v>-</v>
      </c>
    </row>
    <row r="1857">
      <c r="A1857">
        <v>1856</v>
      </c>
      <c r="B1857">
        <f>HYPERLINK("https://stp.hagiang.gov.vn/tin-tuc-chi-tiet?newsId=230955", "UBND Ủy ban nhân dân xã Xín Cái  tỉnh Hà Giang")</f>
      </c>
      <c r="C1857" t="str">
        <v>https://stp.hagiang.gov.vn/tin-tuc-chi-tiet?newsId=230955</v>
      </c>
      <c r="D1857" t="str">
        <v>-</v>
      </c>
      <c r="E1857" t="str">
        <v>-</v>
      </c>
      <c r="F1857" t="str">
        <v>-</v>
      </c>
      <c r="G1857" t="str">
        <v>-</v>
      </c>
    </row>
    <row r="1858">
      <c r="A1858">
        <v>1857</v>
      </c>
      <c r="B1858">
        <f>HYPERLINK("https://www.facebook.com/300145081803582", "Công an xã Pả Vi  tỉnh Hà Giang")</f>
      </c>
      <c r="C1858" t="str">
        <v>https://www.facebook.com/300145081803582</v>
      </c>
      <c r="D1858" t="str">
        <v>-</v>
      </c>
      <c r="E1858" t="str">
        <v/>
      </c>
      <c r="F1858" t="str">
        <v>-</v>
      </c>
      <c r="G1858" t="str">
        <v>-</v>
      </c>
    </row>
    <row r="1859">
      <c r="A1859">
        <v>1858</v>
      </c>
      <c r="B1859">
        <f>HYPERLINK("https://xpavi.hagiang.gov.vn/", "UBND Ủy ban nhân dân xã Pả Vi  tỉnh Hà Giang")</f>
      </c>
      <c r="C1859" t="str">
        <v>https://xpavi.hagiang.gov.vn/</v>
      </c>
      <c r="D1859" t="str">
        <v>-</v>
      </c>
      <c r="E1859" t="str">
        <v>-</v>
      </c>
      <c r="F1859" t="str">
        <v>-</v>
      </c>
      <c r="G1859" t="str">
        <v>-</v>
      </c>
    </row>
    <row r="1860">
      <c r="A1860">
        <v>1859</v>
      </c>
      <c r="B1860" t="str">
        <v>Công an xã Giàng Chu Phìn  tỉnh Hà Giang</v>
      </c>
      <c r="C1860" t="str">
        <v>-</v>
      </c>
      <c r="D1860" t="str">
        <v>-</v>
      </c>
      <c r="E1860" t="str">
        <v/>
      </c>
      <c r="F1860" t="str">
        <v>-</v>
      </c>
      <c r="G1860" t="str">
        <v>-</v>
      </c>
    </row>
    <row r="1861">
      <c r="A1861">
        <v>1860</v>
      </c>
      <c r="B1861">
        <f>HYPERLINK("https://meovac.hagiang.gov.vn/chi-tiet-tin-tuc/-/news/44733/x%25C3%25A3-gi%25C3%25A0ng-chu-ph%25C3%25ACn.html", "UBND Ủy ban nhân dân xã Giàng Chu Phìn  tỉnh Hà Giang")</f>
      </c>
      <c r="C1861" t="str">
        <v>https://meovac.hagiang.gov.vn/chi-tiet-tin-tuc/-/news/44733/x%25C3%25A3-gi%25C3%25A0ng-chu-ph%25C3%25ACn.html</v>
      </c>
      <c r="D1861" t="str">
        <v>-</v>
      </c>
      <c r="E1861" t="str">
        <v>-</v>
      </c>
      <c r="F1861" t="str">
        <v>-</v>
      </c>
      <c r="G1861" t="str">
        <v>-</v>
      </c>
    </row>
    <row r="1862">
      <c r="A1862">
        <v>1861</v>
      </c>
      <c r="B1862" t="str">
        <v>Công an xã Sủng Trà  tỉnh Hà Giang</v>
      </c>
      <c r="C1862" t="str">
        <v>-</v>
      </c>
      <c r="D1862" t="str">
        <v>-</v>
      </c>
      <c r="E1862" t="str">
        <v/>
      </c>
      <c r="F1862" t="str">
        <v>-</v>
      </c>
      <c r="G1862" t="str">
        <v>-</v>
      </c>
    </row>
    <row r="1863">
      <c r="A1863">
        <v>1862</v>
      </c>
      <c r="B1863">
        <f>HYPERLINK("https://xsungtra.hagiang.gov.vn/", "UBND Ủy ban nhân dân xã Sủng Trà  tỉnh Hà Giang")</f>
      </c>
      <c r="C1863" t="str">
        <v>https://xsungtra.hagiang.gov.vn/</v>
      </c>
      <c r="D1863" t="str">
        <v>-</v>
      </c>
      <c r="E1863" t="str">
        <v>-</v>
      </c>
      <c r="F1863" t="str">
        <v>-</v>
      </c>
      <c r="G1863" t="str">
        <v>-</v>
      </c>
    </row>
    <row r="1864">
      <c r="A1864">
        <v>1863</v>
      </c>
      <c r="B1864" t="str">
        <v>Công an xã Sủng Máng  tỉnh Hà Giang</v>
      </c>
      <c r="C1864" t="str">
        <v>-</v>
      </c>
      <c r="D1864" t="str">
        <v>-</v>
      </c>
      <c r="E1864" t="str">
        <v/>
      </c>
      <c r="F1864" t="str">
        <v>-</v>
      </c>
      <c r="G1864" t="str">
        <v>-</v>
      </c>
    </row>
    <row r="1865">
      <c r="A1865">
        <v>1864</v>
      </c>
      <c r="B1865">
        <f>HYPERLINK("https://xsungtra.hagiang.gov.vn/", "UBND Ủy ban nhân dân xã Sủng Máng  tỉnh Hà Giang")</f>
      </c>
      <c r="C1865" t="str">
        <v>https://xsungtra.hagiang.gov.vn/</v>
      </c>
      <c r="D1865" t="str">
        <v>-</v>
      </c>
      <c r="E1865" t="str">
        <v>-</v>
      </c>
      <c r="F1865" t="str">
        <v>-</v>
      </c>
      <c r="G1865" t="str">
        <v>-</v>
      </c>
    </row>
    <row r="1866">
      <c r="A1866">
        <v>1865</v>
      </c>
      <c r="B1866">
        <f>HYPERLINK("https://www.facebook.com/tuoitrecongansonla/", "Công an xã Sơn Vĩ  tỉnh Hà Giang")</f>
      </c>
      <c r="C1866" t="str">
        <v>https://www.facebook.com/tuoitrecongansonla/</v>
      </c>
      <c r="D1866" t="str">
        <v>-</v>
      </c>
      <c r="E1866" t="str">
        <v/>
      </c>
      <c r="F1866" t="str">
        <v>doanthanhniencasl@gmail.com</v>
      </c>
      <c r="G1866" t="str">
        <v>-</v>
      </c>
    </row>
    <row r="1867">
      <c r="A1867">
        <v>1866</v>
      </c>
      <c r="B1867">
        <f>HYPERLINK("https://xsonvi.hagiang.gov.vn/chi-tiet-tin-tuc/-/news/1326459/v-v-tam-dung-hop-cho-phien-xa-son-vi.html", "UBND Ủy ban nhân dân xã Sơn Vĩ  tỉnh Hà Giang")</f>
      </c>
      <c r="C1867" t="str">
        <v>https://xsonvi.hagiang.gov.vn/chi-tiet-tin-tuc/-/news/1326459/v-v-tam-dung-hop-cho-phien-xa-son-vi.html</v>
      </c>
      <c r="D1867" t="str">
        <v>-</v>
      </c>
      <c r="E1867" t="str">
        <v>-</v>
      </c>
      <c r="F1867" t="str">
        <v>-</v>
      </c>
      <c r="G1867" t="str">
        <v>-</v>
      </c>
    </row>
    <row r="1868">
      <c r="A1868">
        <v>1867</v>
      </c>
      <c r="B1868">
        <f>HYPERLINK("https://www.facebook.com/p/NDTC-Foundation-100081462655313/", "Công an xã Tả Lủng  tỉnh Hà Giang")</f>
      </c>
      <c r="C1868" t="str">
        <v>https://www.facebook.com/p/NDTC-Foundation-100081462655313/</v>
      </c>
      <c r="D1868" t="str">
        <v>-</v>
      </c>
      <c r="E1868" t="str">
        <v>02439388628</v>
      </c>
      <c r="F1868" t="str">
        <v>headoffice@ndtcgroup.com.vn</v>
      </c>
      <c r="G1868" t="str">
        <v>Tầng 12, Tháp Hà Nội, 49 Hai Bà Trưng, Hoàn Kiếm, Hà Nội, Hanoi, Vietnam</v>
      </c>
    </row>
    <row r="1869">
      <c r="A1869">
        <v>1868</v>
      </c>
      <c r="B1869">
        <f>HYPERLINK("https://dongvan.hagiang.gov.vn/chi-tiet-tin-tuc/-/news/44717/c%C6%A1-c%E1%BA%A5u-b%E1%BB%99-m%C3%A1y-x%C3%A3-t%E1%BA%A3-l%E1%BB%A7ng.html", "UBND Ủy ban nhân dân xã Tả Lủng  tỉnh Hà Giang")</f>
      </c>
      <c r="C1869" t="str">
        <v>https://dongvan.hagiang.gov.vn/chi-tiet-tin-tuc/-/news/44717/c%C6%A1-c%E1%BA%A5u-b%E1%BB%99-m%C3%A1y-x%C3%A3-t%E1%BA%A3-l%E1%BB%A7ng.html</v>
      </c>
      <c r="D1869" t="str">
        <v>-</v>
      </c>
      <c r="E1869" t="str">
        <v>-</v>
      </c>
      <c r="F1869" t="str">
        <v>-</v>
      </c>
      <c r="G1869" t="str">
        <v>-</v>
      </c>
    </row>
    <row r="1870">
      <c r="A1870">
        <v>1869</v>
      </c>
      <c r="B1870" t="str">
        <v>Công an xã Cán Chu Phìn  tỉnh Hà Giang</v>
      </c>
      <c r="C1870" t="str">
        <v>-</v>
      </c>
      <c r="D1870" t="str">
        <v>-</v>
      </c>
      <c r="E1870" t="str">
        <v/>
      </c>
      <c r="F1870" t="str">
        <v>-</v>
      </c>
      <c r="G1870" t="str">
        <v>-</v>
      </c>
    </row>
    <row r="1871">
      <c r="A1871">
        <v>1870</v>
      </c>
      <c r="B1871">
        <f>HYPERLINK("https://xcanchuphin.hagiang.gov.vn/vi", "UBND Ủy ban nhân dân xã Cán Chu Phìn  tỉnh Hà Giang")</f>
      </c>
      <c r="C1871" t="str">
        <v>https://xcanchuphin.hagiang.gov.vn/vi</v>
      </c>
      <c r="D1871" t="str">
        <v>-</v>
      </c>
      <c r="E1871" t="str">
        <v>-</v>
      </c>
      <c r="F1871" t="str">
        <v>-</v>
      </c>
      <c r="G1871" t="str">
        <v>-</v>
      </c>
    </row>
    <row r="1872">
      <c r="A1872">
        <v>1871</v>
      </c>
      <c r="B1872" t="str">
        <v>Công an xã Lũng Pù  tỉnh Hà Giang</v>
      </c>
      <c r="C1872" t="str">
        <v>-</v>
      </c>
      <c r="D1872" t="str">
        <v>-</v>
      </c>
      <c r="E1872" t="str">
        <v/>
      </c>
      <c r="F1872" t="str">
        <v>-</v>
      </c>
      <c r="G1872" t="str">
        <v>-</v>
      </c>
    </row>
    <row r="1873">
      <c r="A1873">
        <v>1872</v>
      </c>
      <c r="B1873">
        <f>HYPERLINK("https://xlungpu.hagiang.gov.vn/", "UBND Ủy ban nhân dân xã Lũng Pù  tỉnh Hà Giang")</f>
      </c>
      <c r="C1873" t="str">
        <v>https://xlungpu.hagiang.gov.vn/</v>
      </c>
      <c r="D1873" t="str">
        <v>-</v>
      </c>
      <c r="E1873" t="str">
        <v>-</v>
      </c>
      <c r="F1873" t="str">
        <v>-</v>
      </c>
      <c r="G1873" t="str">
        <v>-</v>
      </c>
    </row>
    <row r="1874">
      <c r="A1874">
        <v>1873</v>
      </c>
      <c r="B1874" t="str">
        <v>Công an xã Lũng Chinh  tỉnh Hà Giang</v>
      </c>
      <c r="C1874" t="str">
        <v>-</v>
      </c>
      <c r="D1874" t="str">
        <v>-</v>
      </c>
      <c r="E1874" t="str">
        <v/>
      </c>
      <c r="F1874" t="str">
        <v>-</v>
      </c>
      <c r="G1874" t="str">
        <v>-</v>
      </c>
    </row>
    <row r="1875">
      <c r="A1875">
        <v>1874</v>
      </c>
      <c r="B1875">
        <f>HYPERLINK("https://dongvan.hagiang.gov.vn/vi/chi-tiet-tin-tuc/-/news/44717/ubnd-x%25C3%25A3-l%25C5%25A9ng-c%25C3%25BA.html", "UBND Ủy ban nhân dân xã Lũng Chinh  tỉnh Hà Giang")</f>
      </c>
      <c r="C1875" t="str">
        <v>https://dongvan.hagiang.gov.vn/vi/chi-tiet-tin-tuc/-/news/44717/ubnd-x%25C3%25A3-l%25C5%25A9ng-c%25C3%25BA.html</v>
      </c>
      <c r="D1875" t="str">
        <v>-</v>
      </c>
      <c r="E1875" t="str">
        <v>-</v>
      </c>
      <c r="F1875" t="str">
        <v>-</v>
      </c>
      <c r="G1875" t="str">
        <v>-</v>
      </c>
    </row>
    <row r="1876">
      <c r="A1876">
        <v>1875</v>
      </c>
      <c r="B1876" t="str">
        <v>Công an xã Tát Ngà  tỉnh Hà Giang</v>
      </c>
      <c r="C1876" t="str">
        <v>-</v>
      </c>
      <c r="D1876" t="str">
        <v>-</v>
      </c>
      <c r="E1876" t="str">
        <v/>
      </c>
      <c r="F1876" t="str">
        <v>-</v>
      </c>
      <c r="G1876" t="str">
        <v>-</v>
      </c>
    </row>
    <row r="1877">
      <c r="A1877">
        <v>1876</v>
      </c>
      <c r="B1877">
        <f>HYPERLINK("https://stttt.hagiang.gov.vn/chi-tiet-tin-tuc/-/news/35242/danh-sach-ung-cu-vien-dai-bieu-hdnd-tinh-ha-giang-tai-don-vi-bau-cu-so-01-huyen-meo-vac.html", "UBND Ủy ban nhân dân xã Tát Ngà  tỉnh Hà Giang")</f>
      </c>
      <c r="C1877" t="str">
        <v>https://stttt.hagiang.gov.vn/chi-tiet-tin-tuc/-/news/35242/danh-sach-ung-cu-vien-dai-bieu-hdnd-tinh-ha-giang-tai-don-vi-bau-cu-so-01-huyen-meo-vac.html</v>
      </c>
      <c r="D1877" t="str">
        <v>-</v>
      </c>
      <c r="E1877" t="str">
        <v>-</v>
      </c>
      <c r="F1877" t="str">
        <v>-</v>
      </c>
      <c r="G1877" t="str">
        <v>-</v>
      </c>
    </row>
    <row r="1878">
      <c r="A1878">
        <v>1877</v>
      </c>
      <c r="B1878" t="str">
        <v>Công an xã Nậm Ban  tỉnh Hà Giang</v>
      </c>
      <c r="C1878" t="str">
        <v>-</v>
      </c>
      <c r="D1878" t="str">
        <v>-</v>
      </c>
      <c r="E1878" t="str">
        <v/>
      </c>
      <c r="F1878" t="str">
        <v>-</v>
      </c>
      <c r="G1878" t="str">
        <v>-</v>
      </c>
    </row>
    <row r="1879">
      <c r="A1879">
        <v>1878</v>
      </c>
      <c r="B1879">
        <f>HYPERLINK("https://xnamban.hagiang.gov.vn/vi", "UBND Ủy ban nhân dân xã Nậm Ban  tỉnh Hà Giang")</f>
      </c>
      <c r="C1879" t="str">
        <v>https://xnamban.hagiang.gov.vn/vi</v>
      </c>
      <c r="D1879" t="str">
        <v>-</v>
      </c>
      <c r="E1879" t="str">
        <v>-</v>
      </c>
      <c r="F1879" t="str">
        <v>-</v>
      </c>
      <c r="G1879" t="str">
        <v>-</v>
      </c>
    </row>
    <row r="1880">
      <c r="A1880">
        <v>1879</v>
      </c>
      <c r="B1880">
        <f>HYPERLINK("https://www.facebook.com/tuoitreconganhagiang/", "Công an xã Khâu Vai  tỉnh Hà Giang")</f>
      </c>
      <c r="C1880" t="str">
        <v>https://www.facebook.com/tuoitreconganhagiang/</v>
      </c>
      <c r="D1880" t="str">
        <v>0339977730</v>
      </c>
      <c r="E1880" t="str">
        <v>-</v>
      </c>
      <c r="F1880" t="str">
        <v>fanpagetuoitreconganhg@gmail.com</v>
      </c>
      <c r="G1880" t="str">
        <v>Số 28, đường Phan Chu Trinh, Hà Giang, Vietnam</v>
      </c>
    </row>
    <row r="1881">
      <c r="A1881">
        <v>1880</v>
      </c>
      <c r="B1881">
        <f>HYPERLINK("https://xkhauvai.hagiang.gov.vn/", "UBND Ủy ban nhân dân xã Khâu Vai  tỉnh Hà Giang")</f>
      </c>
      <c r="C1881" t="str">
        <v>https://xkhauvai.hagiang.gov.vn/</v>
      </c>
      <c r="D1881" t="str">
        <v>-</v>
      </c>
      <c r="E1881" t="str">
        <v>-</v>
      </c>
      <c r="F1881" t="str">
        <v>-</v>
      </c>
      <c r="G1881" t="str">
        <v>-</v>
      </c>
    </row>
    <row r="1882">
      <c r="A1882">
        <v>1881</v>
      </c>
      <c r="B1882" t="str">
        <v>Công an xã Niêm Tòng  tỉnh Hà Giang</v>
      </c>
      <c r="C1882" t="str">
        <v>-</v>
      </c>
      <c r="D1882" t="str">
        <v>-</v>
      </c>
      <c r="E1882" t="str">
        <v/>
      </c>
      <c r="F1882" t="str">
        <v>-</v>
      </c>
      <c r="G1882" t="str">
        <v>-</v>
      </c>
    </row>
    <row r="1883">
      <c r="A1883">
        <v>1882</v>
      </c>
      <c r="B1883">
        <f>HYPERLINK("https://meovac.hagiang.gov.vn/", "UBND Ủy ban nhân dân xã Niêm Tòng  tỉnh Hà Giang")</f>
      </c>
      <c r="C1883" t="str">
        <v>https://meovac.hagiang.gov.vn/</v>
      </c>
      <c r="D1883" t="str">
        <v>-</v>
      </c>
      <c r="E1883" t="str">
        <v>-</v>
      </c>
      <c r="F1883" t="str">
        <v>-</v>
      </c>
      <c r="G1883" t="str">
        <v>-</v>
      </c>
    </row>
    <row r="1884">
      <c r="A1884">
        <v>1883</v>
      </c>
      <c r="B1884" t="str">
        <v>Công an xã Niêm Sơn  tỉnh Hà Giang</v>
      </c>
      <c r="C1884" t="str">
        <v>-</v>
      </c>
      <c r="D1884" t="str">
        <v>-</v>
      </c>
      <c r="E1884" t="str">
        <v/>
      </c>
      <c r="F1884" t="str">
        <v>-</v>
      </c>
      <c r="G1884" t="str">
        <v>-</v>
      </c>
    </row>
    <row r="1885">
      <c r="A1885">
        <v>1884</v>
      </c>
      <c r="B1885">
        <f>HYPERLINK("https://meovac.hagiang.gov.vn/", "UBND Ủy ban nhân dân xã Niêm Sơn  tỉnh Hà Giang")</f>
      </c>
      <c r="C1885" t="str">
        <v>https://meovac.hagiang.gov.vn/</v>
      </c>
      <c r="D1885" t="str">
        <v>-</v>
      </c>
      <c r="E1885" t="str">
        <v>-</v>
      </c>
      <c r="F1885" t="str">
        <v>-</v>
      </c>
      <c r="G1885" t="str">
        <v>-</v>
      </c>
    </row>
    <row r="1886">
      <c r="A1886">
        <v>1885</v>
      </c>
      <c r="B1886" t="str">
        <v>Công an thị trấn Yên Minh  tỉnh Hà Giang</v>
      </c>
      <c r="C1886" t="str">
        <v>-</v>
      </c>
      <c r="D1886" t="str">
        <v>-</v>
      </c>
      <c r="E1886" t="str">
        <v/>
      </c>
      <c r="F1886" t="str">
        <v>-</v>
      </c>
      <c r="G1886" t="str">
        <v>-</v>
      </c>
    </row>
    <row r="1887">
      <c r="A1887">
        <v>1886</v>
      </c>
      <c r="B1887">
        <f>HYPERLINK("https://yenminh.hagiang.gov.vn/", "UBND Ủy ban nhân dân thị trấn Yên Minh  tỉnh Hà Giang")</f>
      </c>
      <c r="C1887" t="str">
        <v>https://yenminh.hagiang.gov.vn/</v>
      </c>
      <c r="D1887" t="str">
        <v>-</v>
      </c>
      <c r="E1887" t="str">
        <v>-</v>
      </c>
      <c r="F1887" t="str">
        <v>-</v>
      </c>
      <c r="G1887" t="str">
        <v>-</v>
      </c>
    </row>
    <row r="1888">
      <c r="A1888">
        <v>1887</v>
      </c>
      <c r="B1888" t="str">
        <v>Công an xã Thắng Mố  tỉnh Hà Giang</v>
      </c>
      <c r="C1888" t="str">
        <v>-</v>
      </c>
      <c r="D1888" t="str">
        <v>-</v>
      </c>
      <c r="E1888" t="str">
        <v/>
      </c>
      <c r="F1888" t="str">
        <v>-</v>
      </c>
      <c r="G1888" t="str">
        <v>-</v>
      </c>
    </row>
    <row r="1889">
      <c r="A1889">
        <v>1888</v>
      </c>
      <c r="B1889">
        <f>HYPERLINK("https://yenminh.hagiang.gov.vn/chi-tiet-tin-tuc/-/news/44773/danh-s%25C3%2581ch-l%25C3%2583nh-%25C4%2590%25E1%25BA%25A0o-x%25C3%2583-th%25E1%25BA%25AEng-m%25E1%25BB%2590.html", "UBND Ủy ban nhân dân xã Thắng Mố  tỉnh Hà Giang")</f>
      </c>
      <c r="C1889" t="str">
        <v>https://yenminh.hagiang.gov.vn/chi-tiet-tin-tuc/-/news/44773/danh-s%25C3%2581ch-l%25C3%2583nh-%25C4%2590%25E1%25BA%25A0o-x%25C3%2583-th%25E1%25BA%25AEng-m%25E1%25BB%2590.html</v>
      </c>
      <c r="D1889" t="str">
        <v>-</v>
      </c>
      <c r="E1889" t="str">
        <v>-</v>
      </c>
      <c r="F1889" t="str">
        <v>-</v>
      </c>
      <c r="G1889" t="str">
        <v>-</v>
      </c>
    </row>
    <row r="1890">
      <c r="A1890">
        <v>1889</v>
      </c>
      <c r="B1890" t="str">
        <v>Công an xã Phú Lũng  tỉnh Hà Giang</v>
      </c>
      <c r="C1890" t="str">
        <v>-</v>
      </c>
      <c r="D1890" t="str">
        <v>-</v>
      </c>
      <c r="E1890" t="str">
        <v/>
      </c>
      <c r="F1890" t="str">
        <v>-</v>
      </c>
      <c r="G1890" t="str">
        <v>-</v>
      </c>
    </row>
    <row r="1891">
      <c r="A1891">
        <v>1890</v>
      </c>
      <c r="B1891">
        <f>HYPERLINK("https://yenminh.hagiang.gov.vn/chi-tiet-tin-tuc/-/news/44773/danh-s%25C3%2581ch-l%25C3%2583nh-%25C4%2590%25E1%25BA%25A0o-x%25C3%2583-ph%25C3%259A-l%25C5%25A8ng.html", "UBND Ủy ban nhân dân xã Phú Lũng  tỉnh Hà Giang")</f>
      </c>
      <c r="C1891" t="str">
        <v>https://yenminh.hagiang.gov.vn/chi-tiet-tin-tuc/-/news/44773/danh-s%25C3%2581ch-l%25C3%2583nh-%25C4%2590%25E1%25BA%25A0o-x%25C3%2583-ph%25C3%259A-l%25C5%25A8ng.html</v>
      </c>
      <c r="D1891" t="str">
        <v>-</v>
      </c>
      <c r="E1891" t="str">
        <v>-</v>
      </c>
      <c r="F1891" t="str">
        <v>-</v>
      </c>
      <c r="G1891" t="str">
        <v>-</v>
      </c>
    </row>
    <row r="1892">
      <c r="A1892">
        <v>1891</v>
      </c>
      <c r="B1892">
        <f>HYPERLINK("https://www.facebook.com/congantinhhagiang/", "Công an xã Sủng Tráng  tỉnh Hà Giang")</f>
      </c>
      <c r="C1892" t="str">
        <v>https://www.facebook.com/congantinhhagiang/</v>
      </c>
      <c r="D1892" t="str">
        <v>-</v>
      </c>
      <c r="E1892" t="str">
        <v/>
      </c>
      <c r="F1892" t="str">
        <v>banbientap.ca@hagiang.gov.vn</v>
      </c>
      <c r="G1892" t="str">
        <v>Đường Phan Huy Chú, Tổ 10 Phường Minh Khai, Hà Giang, Vietnam</v>
      </c>
    </row>
    <row r="1893">
      <c r="A1893">
        <v>1892</v>
      </c>
      <c r="B1893">
        <f>HYPERLINK("https://dongvan.hagiang.gov.vn/", "UBND Ủy ban nhân dân xã Sủng Tráng  tỉnh Hà Giang")</f>
      </c>
      <c r="C1893" t="str">
        <v>https://dongvan.hagiang.gov.vn/</v>
      </c>
      <c r="D1893" t="str">
        <v>-</v>
      </c>
      <c r="E1893" t="str">
        <v>-</v>
      </c>
      <c r="F1893" t="str">
        <v>-</v>
      </c>
      <c r="G1893" t="str">
        <v>-</v>
      </c>
    </row>
    <row r="1894">
      <c r="A1894">
        <v>1893</v>
      </c>
      <c r="B1894" t="str">
        <v>Công an xã Bạch Đích  tỉnh Hà Giang</v>
      </c>
      <c r="C1894" t="str">
        <v>-</v>
      </c>
      <c r="D1894" t="str">
        <v>-</v>
      </c>
      <c r="E1894" t="str">
        <v/>
      </c>
      <c r="F1894" t="str">
        <v>-</v>
      </c>
      <c r="G1894" t="str">
        <v>-</v>
      </c>
    </row>
    <row r="1895">
      <c r="A1895">
        <v>1894</v>
      </c>
      <c r="B1895">
        <f>HYPERLINK("https://yenminh.hagiang.gov.vn/chi-tiet-tin-tuc/-/news/44773/hdnd-huyen-giam-sat-tai-xa-bach-dich-va-thang-mo.html", "UBND Ủy ban nhân dân xã Bạch Đích  tỉnh Hà Giang")</f>
      </c>
      <c r="C1895" t="str">
        <v>https://yenminh.hagiang.gov.vn/chi-tiet-tin-tuc/-/news/44773/hdnd-huyen-giam-sat-tai-xa-bach-dich-va-thang-mo.html</v>
      </c>
      <c r="D1895" t="str">
        <v>-</v>
      </c>
      <c r="E1895" t="str">
        <v>-</v>
      </c>
      <c r="F1895" t="str">
        <v>-</v>
      </c>
      <c r="G1895" t="str">
        <v>-</v>
      </c>
    </row>
    <row r="1896">
      <c r="A1896">
        <v>1895</v>
      </c>
      <c r="B1896">
        <f>HYPERLINK("https://www.facebook.com/doanxanakhe/", "Công an xã Na Khê  tỉnh Hà Giang")</f>
      </c>
      <c r="C1896" t="str">
        <v>https://www.facebook.com/doanxanakhe/</v>
      </c>
      <c r="D1896" t="str">
        <v>-</v>
      </c>
      <c r="E1896" t="str">
        <v>0963961919</v>
      </c>
      <c r="F1896" t="str">
        <v>Kiensoc@gmail.com</v>
      </c>
      <c r="G1896" t="str">
        <v>Yên Minh, Vietnam</v>
      </c>
    </row>
    <row r="1897">
      <c r="A1897">
        <v>1896</v>
      </c>
      <c r="B1897">
        <f>HYPERLINK("https://yenminh.hagiang.gov.vn/chi-tiet-tin-tuc/-/news/44773/danh-s%C3%81ch-l%C3%83nh-%C4%90%E1%BA%A0o-x%C3%83-na-kh%C3%8A.html", "UBND Ủy ban nhân dân xã Na Khê  tỉnh Hà Giang")</f>
      </c>
      <c r="C1897" t="str">
        <v>https://yenminh.hagiang.gov.vn/chi-tiet-tin-tuc/-/news/44773/danh-s%C3%81ch-l%C3%83nh-%C4%90%E1%BA%A0o-x%C3%83-na-kh%C3%8A.html</v>
      </c>
      <c r="D1897" t="str">
        <v>-</v>
      </c>
      <c r="E1897" t="str">
        <v>-</v>
      </c>
      <c r="F1897" t="str">
        <v>-</v>
      </c>
      <c r="G1897" t="str">
        <v>-</v>
      </c>
    </row>
    <row r="1898">
      <c r="A1898">
        <v>1897</v>
      </c>
      <c r="B1898" t="str">
        <v>Công an xã Sủng Thài  tỉnh Hà Giang</v>
      </c>
      <c r="C1898" t="str">
        <v>-</v>
      </c>
      <c r="D1898" t="str">
        <v>-</v>
      </c>
      <c r="E1898" t="str">
        <v/>
      </c>
      <c r="F1898" t="str">
        <v>-</v>
      </c>
      <c r="G1898" t="str">
        <v>-</v>
      </c>
    </row>
    <row r="1899">
      <c r="A1899">
        <v>1898</v>
      </c>
      <c r="B1899">
        <f>HYPERLINK("https://yenminh.hagiang.gov.vn/chi-tiet-tin-tuc/-/news/44773/danh-s%25C3%2581ch-l%25C3%2583nh-%25C4%2590%25E1%25BA%25A0o-x%25C3%2583-s%25E1%25BB%25A6ng-th%25C3%2580i.html", "UBND Ủy ban nhân dân xã Sủng Thài  tỉnh Hà Giang")</f>
      </c>
      <c r="C1899" t="str">
        <v>https://yenminh.hagiang.gov.vn/chi-tiet-tin-tuc/-/news/44773/danh-s%25C3%2581ch-l%25C3%2583nh-%25C4%2590%25E1%25BA%25A0o-x%25C3%2583-s%25E1%25BB%25A6ng-th%25C3%2580i.html</v>
      </c>
      <c r="D1899" t="str">
        <v>-</v>
      </c>
      <c r="E1899" t="str">
        <v>-</v>
      </c>
      <c r="F1899" t="str">
        <v>-</v>
      </c>
      <c r="G1899" t="str">
        <v>-</v>
      </c>
    </row>
    <row r="1900">
      <c r="A1900">
        <v>1899</v>
      </c>
      <c r="B1900">
        <f>HYPERLINK("https://www.facebook.com/congantinhhagiang/", "Công an xã Hữu Vinh  tỉnh Hà Giang")</f>
      </c>
      <c r="C1900" t="str">
        <v>https://www.facebook.com/congantinhhagiang/</v>
      </c>
      <c r="D1900" t="str">
        <v>-</v>
      </c>
      <c r="E1900" t="str">
        <v/>
      </c>
      <c r="F1900" t="str">
        <v>banbientap.ca@hagiang.gov.vn</v>
      </c>
      <c r="G1900" t="str">
        <v>Đường Phan Huy Chú, Tổ 10 Phường Minh Khai, Hà Giang, Vietnam</v>
      </c>
    </row>
    <row r="1901">
      <c r="A1901">
        <v>1900</v>
      </c>
      <c r="B1901">
        <f>HYPERLINK("https://yenminh.hagiang.gov.vn/chi-tiet-tin-tuc/-/news/44773/chu-tich-ubnd-huyen-doi-thoai-voi-nhan-dan-xa-huu-vinh.html", "UBND Ủy ban nhân dân xã Hữu Vinh  tỉnh Hà Giang")</f>
      </c>
      <c r="C1901" t="str">
        <v>https://yenminh.hagiang.gov.vn/chi-tiet-tin-tuc/-/news/44773/chu-tich-ubnd-huyen-doi-thoai-voi-nhan-dan-xa-huu-vinh.html</v>
      </c>
      <c r="D1901" t="str">
        <v>-</v>
      </c>
      <c r="E1901" t="str">
        <v>-</v>
      </c>
      <c r="F1901" t="str">
        <v>-</v>
      </c>
      <c r="G1901" t="str">
        <v>-</v>
      </c>
    </row>
    <row r="1902">
      <c r="A1902">
        <v>1901</v>
      </c>
      <c r="B1902">
        <f>HYPERLINK("https://www.facebook.com/p/NDTC-Foundation-100081462655313/", "Công an xã Lao Và Chải  tỉnh Hà Giang")</f>
      </c>
      <c r="C1902" t="str">
        <v>https://www.facebook.com/p/NDTC-Foundation-100081462655313/</v>
      </c>
      <c r="D1902" t="str">
        <v>-</v>
      </c>
      <c r="E1902" t="str">
        <v>02439388628</v>
      </c>
      <c r="F1902" t="str">
        <v>headoffice@ndtcgroup.com.vn</v>
      </c>
      <c r="G1902" t="str">
        <v>Tầng 12, Tháp Hà Nội, 49 Hai Bà Trưng, Hoàn Kiếm, Hà Nội, Hanoi, Vietnam</v>
      </c>
    </row>
    <row r="1903">
      <c r="A1903">
        <v>1902</v>
      </c>
      <c r="B1903">
        <f>HYPERLINK("https://xlaovachai.hagiang.gov.vn/", "UBND Ủy ban nhân dân xã Lao Và Chải  tỉnh Hà Giang")</f>
      </c>
      <c r="C1903" t="str">
        <v>https://xlaovachai.hagiang.gov.vn/</v>
      </c>
      <c r="D1903" t="str">
        <v>-</v>
      </c>
      <c r="E1903" t="str">
        <v>-</v>
      </c>
      <c r="F1903" t="str">
        <v>-</v>
      </c>
      <c r="G1903" t="str">
        <v>-</v>
      </c>
    </row>
    <row r="1904">
      <c r="A1904">
        <v>1903</v>
      </c>
      <c r="B1904">
        <f>HYPERLINK("https://www.facebook.com/299611058523651", "Công an xã Mậu Duệ  tỉnh Hà Giang")</f>
      </c>
      <c r="C1904" t="str">
        <v>https://www.facebook.com/299611058523651</v>
      </c>
      <c r="D1904" t="str">
        <v>-</v>
      </c>
      <c r="E1904" t="str">
        <v/>
      </c>
      <c r="F1904" t="str">
        <v>-</v>
      </c>
      <c r="G1904" t="str">
        <v>-</v>
      </c>
    </row>
    <row r="1905">
      <c r="A1905">
        <v>1904</v>
      </c>
      <c r="B1905">
        <f>HYPERLINK("https://yenminh.hagiang.gov.vn/chi-tiet-tin-tuc/-/news/44773/dong-chi-bi-thu-huyen-uy-tiep-xuc-doi-thoai-voi-nhan-dan-xa-mau-due.html", "UBND Ủy ban nhân dân xã Mậu Duệ  tỉnh Hà Giang")</f>
      </c>
      <c r="C1905" t="str">
        <v>https://yenminh.hagiang.gov.vn/chi-tiet-tin-tuc/-/news/44773/dong-chi-bi-thu-huyen-uy-tiep-xuc-doi-thoai-voi-nhan-dan-xa-mau-due.html</v>
      </c>
      <c r="D1905" t="str">
        <v>-</v>
      </c>
      <c r="E1905" t="str">
        <v>-</v>
      </c>
      <c r="F1905" t="str">
        <v>-</v>
      </c>
      <c r="G1905" t="str">
        <v>-</v>
      </c>
    </row>
    <row r="1906">
      <c r="A1906">
        <v>1905</v>
      </c>
      <c r="B1906">
        <f>HYPERLINK("https://www.facebook.com/tuoitreconganquanhadong/", "Công an xã Đông Minh  tỉnh Hà Giang")</f>
      </c>
      <c r="C1906" t="str">
        <v>https://www.facebook.com/tuoitreconganquanhadong/</v>
      </c>
      <c r="D1906" t="str">
        <v>-</v>
      </c>
      <c r="E1906" t="str">
        <v/>
      </c>
      <c r="F1906" t="str">
        <v>-</v>
      </c>
      <c r="G1906" t="str">
        <v>-</v>
      </c>
    </row>
    <row r="1907">
      <c r="A1907">
        <v>1906</v>
      </c>
      <c r="B1907">
        <f>HYPERLINK("https://yenminh.hagiang.gov.vn/", "UBND Ủy ban nhân dân xã Đông Minh  tỉnh Hà Giang")</f>
      </c>
      <c r="C1907" t="str">
        <v>https://yenminh.hagiang.gov.vn/</v>
      </c>
      <c r="D1907" t="str">
        <v>-</v>
      </c>
      <c r="E1907" t="str">
        <v>-</v>
      </c>
      <c r="F1907" t="str">
        <v>-</v>
      </c>
      <c r="G1907" t="str">
        <v>-</v>
      </c>
    </row>
    <row r="1908">
      <c r="A1908">
        <v>1907</v>
      </c>
      <c r="B1908" t="str">
        <v>Công an xã Mậu Long  tỉnh Hà Giang</v>
      </c>
      <c r="C1908" t="str">
        <v>-</v>
      </c>
      <c r="D1908" t="str">
        <v>-</v>
      </c>
      <c r="E1908" t="str">
        <v/>
      </c>
      <c r="F1908" t="str">
        <v>-</v>
      </c>
      <c r="G1908" t="str">
        <v>-</v>
      </c>
    </row>
    <row r="1909">
      <c r="A1909">
        <v>1908</v>
      </c>
      <c r="B1909">
        <f>HYPERLINK("https://yenminh.hagiang.gov.vn/chi-tiet-tin-tuc/-/news/44773/danh-sa%CC%81ch-la%CC%83nh-%C4%90a%CC%A3o-xa%CC%83-m%C3%82%CC%A3u-long.html", "UBND Ủy ban nhân dân xã Mậu Long  tỉnh Hà Giang")</f>
      </c>
      <c r="C1909" t="str">
        <v>https://yenminh.hagiang.gov.vn/chi-tiet-tin-tuc/-/news/44773/danh-sa%CC%81ch-la%CC%83nh-%C4%90a%CC%A3o-xa%CC%83-m%C3%82%CC%A3u-long.html</v>
      </c>
      <c r="D1909" t="str">
        <v>-</v>
      </c>
      <c r="E1909" t="str">
        <v>-</v>
      </c>
      <c r="F1909" t="str">
        <v>-</v>
      </c>
      <c r="G1909" t="str">
        <v>-</v>
      </c>
    </row>
    <row r="1910">
      <c r="A1910">
        <v>1909</v>
      </c>
      <c r="B1910" t="str">
        <v>Công an xã Ngam La  tỉnh Hà Giang</v>
      </c>
      <c r="C1910" t="str">
        <v>-</v>
      </c>
      <c r="D1910" t="str">
        <v>-</v>
      </c>
      <c r="E1910" t="str">
        <v/>
      </c>
      <c r="F1910" t="str">
        <v>-</v>
      </c>
      <c r="G1910" t="str">
        <v>-</v>
      </c>
    </row>
    <row r="1911">
      <c r="A1911">
        <v>1910</v>
      </c>
      <c r="B1911">
        <f>HYPERLINK("https://yenminh.hagiang.gov.vn/", "UBND Ủy ban nhân dân xã Ngam La  tỉnh Hà Giang")</f>
      </c>
      <c r="C1911" t="str">
        <v>https://yenminh.hagiang.gov.vn/</v>
      </c>
      <c r="D1911" t="str">
        <v>-</v>
      </c>
      <c r="E1911" t="str">
        <v>-</v>
      </c>
      <c r="F1911" t="str">
        <v>-</v>
      </c>
      <c r="G1911" t="str">
        <v>-</v>
      </c>
    </row>
    <row r="1912">
      <c r="A1912">
        <v>1911</v>
      </c>
      <c r="B1912">
        <f>HYPERLINK("https://www.facebook.com/tuoitreconganvinhlong/", "Công an xã Ngọc Long  tỉnh Hà Giang")</f>
      </c>
      <c r="C1912" t="str">
        <v>https://www.facebook.com/tuoitreconganvinhlong/</v>
      </c>
      <c r="D1912" t="str">
        <v>-</v>
      </c>
      <c r="E1912" t="str">
        <v/>
      </c>
      <c r="F1912" t="str">
        <v>doanthanhniencavl2022.2027@gmail.com</v>
      </c>
      <c r="G1912" t="str">
        <v>-</v>
      </c>
    </row>
    <row r="1913">
      <c r="A1913">
        <v>1912</v>
      </c>
      <c r="B1913">
        <f>HYPERLINK("https://yenminh.hagiang.gov.vn/chi-tiet-tin-tuc/-/news/44773/danh-s%25C3%2581ch-l%25C3%2583nh-%25C4%2590%25E1%25BA%25A0o-x%25C3%2583-ng%25E1%25BB%258Cc-long.html", "UBND Ủy ban nhân dân xã Ngọc Long  tỉnh Hà Giang")</f>
      </c>
      <c r="C1913" t="str">
        <v>https://yenminh.hagiang.gov.vn/chi-tiet-tin-tuc/-/news/44773/danh-s%25C3%2581ch-l%25C3%2583nh-%25C4%2590%25E1%25BA%25A0o-x%25C3%2583-ng%25E1%25BB%258Cc-long.html</v>
      </c>
      <c r="D1913" t="str">
        <v>-</v>
      </c>
      <c r="E1913" t="str">
        <v>-</v>
      </c>
      <c r="F1913" t="str">
        <v>-</v>
      </c>
      <c r="G1913" t="str">
        <v>-</v>
      </c>
    </row>
    <row r="1914">
      <c r="A1914">
        <v>1913</v>
      </c>
      <c r="B1914">
        <f>HYPERLINK("https://www.facebook.com/tuoitreconganhagiang/", "Công an xã Đường Thượng  tỉnh Hà Giang")</f>
      </c>
      <c r="C1914" t="str">
        <v>https://www.facebook.com/tuoitreconganhagiang/</v>
      </c>
      <c r="D1914" t="str">
        <v>0339977730</v>
      </c>
      <c r="E1914" t="str">
        <v>-</v>
      </c>
      <c r="F1914" t="str">
        <v>fanpagetuoitreconganhg@gmail.com</v>
      </c>
      <c r="G1914" t="str">
        <v>Số 28, đường Phan Chu Trinh, Hà Giang, Vietnam</v>
      </c>
    </row>
    <row r="1915">
      <c r="A1915">
        <v>1914</v>
      </c>
      <c r="B1915">
        <f>HYPERLINK("https://yenminh.hagiang.gov.vn/chi-tiet-tin-tuc/-/news/44773/danh-s%C3%81ch-l%C3%83nh-%C4%90%E1%BA%A0o-x%C3%83-%C4%90%C6%AF%E1%BB%9Cng-th%C6%AF%E1%BB%A2ng.html", "UBND Ủy ban nhân dân xã Đường Thượng  tỉnh Hà Giang")</f>
      </c>
      <c r="C1915" t="str">
        <v>https://yenminh.hagiang.gov.vn/chi-tiet-tin-tuc/-/news/44773/danh-s%C3%81ch-l%C3%83nh-%C4%90%E1%BA%A0o-x%C3%83-%C4%90%C6%AF%E1%BB%9Cng-th%C6%AF%E1%BB%A2ng.html</v>
      </c>
      <c r="D1915" t="str">
        <v>-</v>
      </c>
      <c r="E1915" t="str">
        <v>-</v>
      </c>
      <c r="F1915" t="str">
        <v>-</v>
      </c>
      <c r="G1915" t="str">
        <v>-</v>
      </c>
    </row>
    <row r="1916">
      <c r="A1916">
        <v>1915</v>
      </c>
      <c r="B1916" t="str">
        <v>Công an xã Lũng Hồ  tỉnh Hà Giang</v>
      </c>
      <c r="C1916" t="str">
        <v>-</v>
      </c>
      <c r="D1916" t="str">
        <v>-</v>
      </c>
      <c r="E1916" t="str">
        <v/>
      </c>
      <c r="F1916" t="str">
        <v>-</v>
      </c>
      <c r="G1916" t="str">
        <v>-</v>
      </c>
    </row>
    <row r="1917">
      <c r="A1917">
        <v>1916</v>
      </c>
      <c r="B1917">
        <f>HYPERLINK("https://dongvan.hagiang.gov.vn/vi/chi-tiet-tin-tuc/-/news/44717/ubnd-x%25C3%25A3-l%25C5%25A9ng-c%25C3%25BA.html", "UBND Ủy ban nhân dân xã Lũng Hồ  tỉnh Hà Giang")</f>
      </c>
      <c r="C1917" t="str">
        <v>https://dongvan.hagiang.gov.vn/vi/chi-tiet-tin-tuc/-/news/44717/ubnd-x%25C3%25A3-l%25C5%25A9ng-c%25C3%25BA.html</v>
      </c>
      <c r="D1917" t="str">
        <v>-</v>
      </c>
      <c r="E1917" t="str">
        <v>-</v>
      </c>
      <c r="F1917" t="str">
        <v>-</v>
      </c>
      <c r="G1917" t="str">
        <v>-</v>
      </c>
    </row>
    <row r="1918">
      <c r="A1918">
        <v>1917</v>
      </c>
      <c r="B1918">
        <f>HYPERLINK("https://www.facebook.com/tuoitreconganhagiang/", "Công an xã Du Tiến  tỉnh Hà Giang")</f>
      </c>
      <c r="C1918" t="str">
        <v>https://www.facebook.com/tuoitreconganhagiang/</v>
      </c>
      <c r="D1918" t="str">
        <v>0339977730</v>
      </c>
      <c r="E1918" t="str">
        <v>-</v>
      </c>
      <c r="F1918" t="str">
        <v>fanpagetuoitreconganhg@gmail.com</v>
      </c>
      <c r="G1918" t="str">
        <v>Số 28, đường Phan Chu Trinh, Hà Giang, Vietnam</v>
      </c>
    </row>
    <row r="1919">
      <c r="A1919">
        <v>1918</v>
      </c>
      <c r="B1919">
        <f>HYPERLINK("https://yenminh.hagiang.gov.vn/", "UBND Ủy ban nhân dân xã Du Tiến  tỉnh Hà Giang")</f>
      </c>
      <c r="C1919" t="str">
        <v>https://yenminh.hagiang.gov.vn/</v>
      </c>
      <c r="D1919" t="str">
        <v>-</v>
      </c>
      <c r="E1919" t="str">
        <v>-</v>
      </c>
      <c r="F1919" t="str">
        <v>-</v>
      </c>
      <c r="G1919" t="str">
        <v>-</v>
      </c>
    </row>
    <row r="1920">
      <c r="A1920">
        <v>1919</v>
      </c>
      <c r="B1920">
        <f>HYPERLINK("https://www.facebook.com/tuoitrecongansonla/", "Công an xã Du Già  tỉnh Hà Giang")</f>
      </c>
      <c r="C1920" t="str">
        <v>https://www.facebook.com/tuoitrecongansonla/</v>
      </c>
      <c r="D1920" t="str">
        <v>-</v>
      </c>
      <c r="E1920" t="str">
        <v/>
      </c>
      <c r="F1920" t="str">
        <v>doanthanhniencasl@gmail.com</v>
      </c>
      <c r="G1920" t="str">
        <v>-</v>
      </c>
    </row>
    <row r="1921">
      <c r="A1921">
        <v>1920</v>
      </c>
      <c r="B1921">
        <f>HYPERLINK("https://xdugia.hagiang.gov.vn/", "UBND Ủy ban nhân dân xã Du Già  tỉnh Hà Giang")</f>
      </c>
      <c r="C1921" t="str">
        <v>https://xdugia.hagiang.gov.vn/</v>
      </c>
      <c r="D1921" t="str">
        <v>-</v>
      </c>
      <c r="E1921" t="str">
        <v>-</v>
      </c>
      <c r="F1921" t="str">
        <v>-</v>
      </c>
      <c r="G1921" t="str">
        <v>-</v>
      </c>
    </row>
    <row r="1922">
      <c r="A1922">
        <v>1921</v>
      </c>
      <c r="B1922">
        <f>HYPERLINK("https://www.facebook.com/tuoitreconganhagiang/?locale=te_IN", "Công an thị trấn Tam Sơn  tỉnh Hà Giang")</f>
      </c>
      <c r="C1922" t="str">
        <v>https://www.facebook.com/tuoitreconganhagiang/?locale=te_IN</v>
      </c>
      <c r="D1922" t="str">
        <v>0339977730</v>
      </c>
      <c r="E1922" t="str">
        <v>-</v>
      </c>
      <c r="F1922" t="str">
        <v>fanpagetuoitreconganhg@gmail.com</v>
      </c>
      <c r="G1922" t="str">
        <v>Số 28, đường Phan Chu Trinh, Hà Giang, Vietnam</v>
      </c>
    </row>
    <row r="1923">
      <c r="A1923">
        <v>1922</v>
      </c>
      <c r="B1923">
        <f>HYPERLINK("https://tttamson.hagiang.gov.vn/vi", "UBND Ủy ban nhân dân thị trấn Tam Sơn  tỉnh Hà Giang")</f>
      </c>
      <c r="C1923" t="str">
        <v>https://tttamson.hagiang.gov.vn/vi</v>
      </c>
      <c r="D1923" t="str">
        <v>-</v>
      </c>
      <c r="E1923" t="str">
        <v>-</v>
      </c>
      <c r="F1923" t="str">
        <v>-</v>
      </c>
      <c r="G1923" t="str">
        <v>-</v>
      </c>
    </row>
    <row r="1924">
      <c r="A1924">
        <v>1923</v>
      </c>
      <c r="B1924">
        <f>HYPERLINK("https://www.facebook.com/tuoitrecongansonla/", "Công an xã Bát Đại Sơn  tỉnh Hà Giang")</f>
      </c>
      <c r="C1924" t="str">
        <v>https://www.facebook.com/tuoitrecongansonla/</v>
      </c>
      <c r="D1924" t="str">
        <v>-</v>
      </c>
      <c r="E1924" t="str">
        <v/>
      </c>
      <c r="F1924" t="str">
        <v>doanthanhniencasl@gmail.com</v>
      </c>
      <c r="G1924" t="str">
        <v>-</v>
      </c>
    </row>
    <row r="1925">
      <c r="A1925">
        <v>1924</v>
      </c>
      <c r="B1925">
        <f>HYPERLINK("https://xbatdaison.hagiang.gov.vn/vi/trang-chu", "UBND Ủy ban nhân dân xã Bát Đại Sơn  tỉnh Hà Giang")</f>
      </c>
      <c r="C1925" t="str">
        <v>https://xbatdaison.hagiang.gov.vn/vi/trang-chu</v>
      </c>
      <c r="D1925" t="str">
        <v>-</v>
      </c>
      <c r="E1925" t="str">
        <v>-</v>
      </c>
      <c r="F1925" t="str">
        <v>-</v>
      </c>
      <c r="G1925" t="str">
        <v>-</v>
      </c>
    </row>
    <row r="1926">
      <c r="A1926">
        <v>1925</v>
      </c>
      <c r="B1926" t="str">
        <v>Công an xã Nghĩa Thuận  tỉnh Hà Giang</v>
      </c>
      <c r="C1926" t="str">
        <v>-</v>
      </c>
      <c r="D1926" t="str">
        <v>-</v>
      </c>
      <c r="E1926" t="str">
        <v/>
      </c>
      <c r="F1926" t="str">
        <v>-</v>
      </c>
      <c r="G1926" t="str">
        <v>-</v>
      </c>
    </row>
    <row r="1927">
      <c r="A1927">
        <v>1926</v>
      </c>
      <c r="B1927">
        <f>HYPERLINK("https://quanba.hagiang.gov.vn/chi-tiet-tin-tuc/-/news/44741/ngay-hoi-dai-doan-ket-o-thon-xin-cai-xa-nghia-thuan.html", "UBND Ủy ban nhân dân xã Nghĩa Thuận  tỉnh Hà Giang")</f>
      </c>
      <c r="C1927" t="str">
        <v>https://quanba.hagiang.gov.vn/chi-tiet-tin-tuc/-/news/44741/ngay-hoi-dai-doan-ket-o-thon-xin-cai-xa-nghia-thuan.html</v>
      </c>
      <c r="D1927" t="str">
        <v>-</v>
      </c>
      <c r="E1927" t="str">
        <v>-</v>
      </c>
      <c r="F1927" t="str">
        <v>-</v>
      </c>
      <c r="G1927" t="str">
        <v>-</v>
      </c>
    </row>
    <row r="1928">
      <c r="A1928">
        <v>1927</v>
      </c>
      <c r="B1928" t="str">
        <v>Công an xã Cán Tỷ  tỉnh Hà Giang</v>
      </c>
      <c r="C1928" t="str">
        <v>-</v>
      </c>
      <c r="D1928" t="str">
        <v>-</v>
      </c>
      <c r="E1928" t="str">
        <v/>
      </c>
      <c r="F1928" t="str">
        <v>-</v>
      </c>
      <c r="G1928" t="str">
        <v>-</v>
      </c>
    </row>
    <row r="1929">
      <c r="A1929">
        <v>1928</v>
      </c>
      <c r="B1929">
        <f>HYPERLINK("https://quanba.hagiang.gov.vn/chi-tiet-tin-tuc/-/news/44741/x%C3%A3-c%C3%A1n-t%E1%BB%B7.html", "UBND Ủy ban nhân dân xã Cán Tỷ  tỉnh Hà Giang")</f>
      </c>
      <c r="C1929" t="str">
        <v>https://quanba.hagiang.gov.vn/chi-tiet-tin-tuc/-/news/44741/x%C3%A3-c%C3%A1n-t%E1%BB%B7.html</v>
      </c>
      <c r="D1929" t="str">
        <v>-</v>
      </c>
      <c r="E1929" t="str">
        <v>-</v>
      </c>
      <c r="F1929" t="str">
        <v>-</v>
      </c>
      <c r="G1929" t="str">
        <v>-</v>
      </c>
    </row>
    <row r="1930">
      <c r="A1930">
        <v>1929</v>
      </c>
      <c r="B1930" t="str">
        <v>Công an xã Cao Mã Pờ  tỉnh Hà Giang</v>
      </c>
      <c r="C1930" t="str">
        <v>-</v>
      </c>
      <c r="D1930" t="str">
        <v>-</v>
      </c>
      <c r="E1930" t="str">
        <v/>
      </c>
      <c r="F1930" t="str">
        <v>-</v>
      </c>
      <c r="G1930" t="str">
        <v>-</v>
      </c>
    </row>
    <row r="1931">
      <c r="A1931">
        <v>1930</v>
      </c>
      <c r="B1931">
        <f>HYPERLINK("https://xcaomapo.hagiang.gov.vn/", "UBND Ủy ban nhân dân xã Cao Mã Pờ  tỉnh Hà Giang")</f>
      </c>
      <c r="C1931" t="str">
        <v>https://xcaomapo.hagiang.gov.vn/</v>
      </c>
      <c r="D1931" t="str">
        <v>-</v>
      </c>
      <c r="E1931" t="str">
        <v>-</v>
      </c>
      <c r="F1931" t="str">
        <v>-</v>
      </c>
      <c r="G1931" t="str">
        <v>-</v>
      </c>
    </row>
    <row r="1932">
      <c r="A1932">
        <v>1931</v>
      </c>
      <c r="B1932" t="str">
        <v>Công an xã Thanh Vân  tỉnh Hà Giang</v>
      </c>
      <c r="C1932" t="str">
        <v>-</v>
      </c>
      <c r="D1932" t="str">
        <v>-</v>
      </c>
      <c r="E1932" t="str">
        <v/>
      </c>
      <c r="F1932" t="str">
        <v>-</v>
      </c>
      <c r="G1932" t="str">
        <v>-</v>
      </c>
    </row>
    <row r="1933">
      <c r="A1933">
        <v>1932</v>
      </c>
      <c r="B1933">
        <f>HYPERLINK("https://xthanhvan.hagiang.gov.vn/", "UBND Ủy ban nhân dân xã Thanh Vân  tỉnh Hà Giang")</f>
      </c>
      <c r="C1933" t="str">
        <v>https://xthanhvan.hagiang.gov.vn/</v>
      </c>
      <c r="D1933" t="str">
        <v>-</v>
      </c>
      <c r="E1933" t="str">
        <v>-</v>
      </c>
      <c r="F1933" t="str">
        <v>-</v>
      </c>
      <c r="G1933" t="str">
        <v>-</v>
      </c>
    </row>
    <row r="1934">
      <c r="A1934">
        <v>1933</v>
      </c>
      <c r="B1934" t="str">
        <v>Công an xã Tùng Vài  tỉnh Hà Giang</v>
      </c>
      <c r="C1934" t="str">
        <v>-</v>
      </c>
      <c r="D1934" t="str">
        <v>-</v>
      </c>
      <c r="E1934" t="str">
        <v/>
      </c>
      <c r="F1934" t="str">
        <v>-</v>
      </c>
      <c r="G1934" t="str">
        <v>-</v>
      </c>
    </row>
    <row r="1935">
      <c r="A1935">
        <v>1934</v>
      </c>
      <c r="B1935">
        <f>HYPERLINK("https://quanba.hagiang.gov.vn/chi-tiet-tin-tuc/-/news/44741/quan-ba-xa-tung-vai-so-ket-1-nam-thuc-hien-de-an-so-16-cua-btv-huyen-uy.html", "UBND Ủy ban nhân dân xã Tùng Vài  tỉnh Hà Giang")</f>
      </c>
      <c r="C1935" t="str">
        <v>https://quanba.hagiang.gov.vn/chi-tiet-tin-tuc/-/news/44741/quan-ba-xa-tung-vai-so-ket-1-nam-thuc-hien-de-an-so-16-cua-btv-huyen-uy.html</v>
      </c>
      <c r="D1935" t="str">
        <v>-</v>
      </c>
      <c r="E1935" t="str">
        <v>-</v>
      </c>
      <c r="F1935" t="str">
        <v>-</v>
      </c>
      <c r="G1935" t="str">
        <v>-</v>
      </c>
    </row>
    <row r="1936">
      <c r="A1936">
        <v>1935</v>
      </c>
      <c r="B1936">
        <f>HYPERLINK("https://www.facebook.com/tuoitreconganquanhadong/", "Công an xã Đông Hà  tỉnh Hà Giang")</f>
      </c>
      <c r="C1936" t="str">
        <v>https://www.facebook.com/tuoitreconganquanhadong/</v>
      </c>
      <c r="D1936" t="str">
        <v>-</v>
      </c>
      <c r="E1936" t="str">
        <v/>
      </c>
      <c r="F1936" t="str">
        <v>-</v>
      </c>
      <c r="G1936" t="str">
        <v>-</v>
      </c>
    </row>
    <row r="1937">
      <c r="A1937">
        <v>1936</v>
      </c>
      <c r="B1937">
        <f>HYPERLINK("https://dongvan.hagiang.gov.vn/", "UBND Ủy ban nhân dân xã Đông Hà  tỉnh Hà Giang")</f>
      </c>
      <c r="C1937" t="str">
        <v>https://dongvan.hagiang.gov.vn/</v>
      </c>
      <c r="D1937" t="str">
        <v>-</v>
      </c>
      <c r="E1937" t="str">
        <v>-</v>
      </c>
      <c r="F1937" t="str">
        <v>-</v>
      </c>
      <c r="G1937" t="str">
        <v>-</v>
      </c>
    </row>
    <row r="1938">
      <c r="A1938">
        <v>1937</v>
      </c>
      <c r="B1938" t="str">
        <v>Công an xã Quản Bạ  tỉnh Hà Giang</v>
      </c>
      <c r="C1938" t="str">
        <v>-</v>
      </c>
      <c r="D1938" t="str">
        <v>-</v>
      </c>
      <c r="E1938" t="str">
        <v/>
      </c>
      <c r="F1938" t="str">
        <v>-</v>
      </c>
      <c r="G1938" t="str">
        <v>-</v>
      </c>
    </row>
    <row r="1939">
      <c r="A1939">
        <v>1938</v>
      </c>
      <c r="B1939">
        <f>HYPERLINK("https://quanba.hagiang.gov.vn/vi/trang-chu", "UBND Ủy ban nhân dân xã Quản Bạ  tỉnh Hà Giang")</f>
      </c>
      <c r="C1939" t="str">
        <v>https://quanba.hagiang.gov.vn/vi/trang-chu</v>
      </c>
      <c r="D1939" t="str">
        <v>-</v>
      </c>
      <c r="E1939" t="str">
        <v>-</v>
      </c>
      <c r="F1939" t="str">
        <v>-</v>
      </c>
      <c r="G1939" t="str">
        <v>-</v>
      </c>
    </row>
    <row r="1940">
      <c r="A1940">
        <v>1939</v>
      </c>
      <c r="B1940" t="str">
        <v>Công an xã Lùng Tám  tỉnh Hà Giang</v>
      </c>
      <c r="C1940" t="str">
        <v>-</v>
      </c>
      <c r="D1940" t="str">
        <v>-</v>
      </c>
      <c r="E1940" t="str">
        <v/>
      </c>
      <c r="F1940" t="str">
        <v>-</v>
      </c>
      <c r="G1940" t="str">
        <v>-</v>
      </c>
    </row>
    <row r="1941">
      <c r="A1941">
        <v>1940</v>
      </c>
      <c r="B1941">
        <f>HYPERLINK("https://xlungtam.hagiang.gov.vn/vi", "UBND Ủy ban nhân dân xã Lùng Tám  tỉnh Hà Giang")</f>
      </c>
      <c r="C1941" t="str">
        <v>https://xlungtam.hagiang.gov.vn/vi</v>
      </c>
      <c r="D1941" t="str">
        <v>-</v>
      </c>
      <c r="E1941" t="str">
        <v>-</v>
      </c>
      <c r="F1941" t="str">
        <v>-</v>
      </c>
      <c r="G1941" t="str">
        <v>-</v>
      </c>
    </row>
    <row r="1942">
      <c r="A1942">
        <v>1941</v>
      </c>
      <c r="B1942">
        <f>HYPERLINK("https://www.facebook.com/tuoitreconganhagiang/", "Công an xã Quyết Tiến  tỉnh Hà Giang")</f>
      </c>
      <c r="C1942" t="str">
        <v>https://www.facebook.com/tuoitreconganhagiang/</v>
      </c>
      <c r="D1942" t="str">
        <v>0339977730</v>
      </c>
      <c r="E1942" t="str">
        <v>-</v>
      </c>
      <c r="F1942" t="str">
        <v>fanpagetuoitreconganhg@gmail.com</v>
      </c>
      <c r="G1942" t="str">
        <v>Số 28, đường Phan Chu Trinh, Hà Giang, Vietnam</v>
      </c>
    </row>
    <row r="1943">
      <c r="A1943">
        <v>1942</v>
      </c>
      <c r="B1943">
        <f>HYPERLINK("https://xquyettien.hagiang.gov.vn/vi/", "UBND Ủy ban nhân dân xã Quyết Tiến  tỉnh Hà Giang")</f>
      </c>
      <c r="C1943" t="str">
        <v>https://xquyettien.hagiang.gov.vn/vi/</v>
      </c>
      <c r="D1943" t="str">
        <v>-</v>
      </c>
      <c r="E1943" t="str">
        <v>-</v>
      </c>
      <c r="F1943" t="str">
        <v>-</v>
      </c>
      <c r="G1943" t="str">
        <v>-</v>
      </c>
    </row>
    <row r="1944">
      <c r="A1944">
        <v>1943</v>
      </c>
      <c r="B1944">
        <f>HYPERLINK("https://www.facebook.com/tuoitrecongansonla/", "Công an xã Tả Ván  tỉnh Hà Giang")</f>
      </c>
      <c r="C1944" t="str">
        <v>https://www.facebook.com/tuoitrecongansonla/</v>
      </c>
      <c r="D1944" t="str">
        <v>-</v>
      </c>
      <c r="E1944" t="str">
        <v/>
      </c>
      <c r="F1944" t="str">
        <v>doanthanhniencasl@gmail.com</v>
      </c>
      <c r="G1944" t="str">
        <v>-</v>
      </c>
    </row>
    <row r="1945">
      <c r="A1945">
        <v>1944</v>
      </c>
      <c r="B1945">
        <f>HYPERLINK("https://dongvan.hagiang.gov.vn/chi-tiet-tin-tuc/-/news/44717/ubnd-x%25C3%2583-t%25E1%25BA%25A2-ph%25C3%258Cn.html", "UBND Ủy ban nhân dân xã Tả Ván  tỉnh Hà Giang")</f>
      </c>
      <c r="C1945" t="str">
        <v>https://dongvan.hagiang.gov.vn/chi-tiet-tin-tuc/-/news/44717/ubnd-x%25C3%2583-t%25E1%25BA%25A2-ph%25C3%258Cn.html</v>
      </c>
      <c r="D1945" t="str">
        <v>-</v>
      </c>
      <c r="E1945" t="str">
        <v>-</v>
      </c>
      <c r="F1945" t="str">
        <v>-</v>
      </c>
      <c r="G1945" t="str">
        <v>-</v>
      </c>
    </row>
    <row r="1946">
      <c r="A1946">
        <v>1945</v>
      </c>
      <c r="B1946" t="str">
        <v>Công an xã Thái An  tỉnh Hà Giang</v>
      </c>
      <c r="C1946" t="str">
        <v>-</v>
      </c>
      <c r="D1946" t="str">
        <v>-</v>
      </c>
      <c r="E1946" t="str">
        <v/>
      </c>
      <c r="F1946" t="str">
        <v>-</v>
      </c>
      <c r="G1946" t="str">
        <v>-</v>
      </c>
    </row>
    <row r="1947">
      <c r="A1947">
        <v>1946</v>
      </c>
      <c r="B1947">
        <f>HYPERLINK("https://dongvan.hagiang.gov.vn/chi-tiet-tin-tuc/-/news/44717/ubnd-x%25C3%25A3-th%25C3%25A0i-ph%25C3%25ACn-t%25E1%25BB%25A7ng.html", "UBND Ủy ban nhân dân xã Thái An  tỉnh Hà Giang")</f>
      </c>
      <c r="C1947" t="str">
        <v>https://dongvan.hagiang.gov.vn/chi-tiet-tin-tuc/-/news/44717/ubnd-x%25C3%25A3-th%25C3%25A0i-ph%25C3%25ACn-t%25E1%25BB%25A7ng.html</v>
      </c>
      <c r="D1947" t="str">
        <v>-</v>
      </c>
      <c r="E1947" t="str">
        <v>-</v>
      </c>
      <c r="F1947" t="str">
        <v>-</v>
      </c>
      <c r="G1947" t="str">
        <v>-</v>
      </c>
    </row>
    <row r="1948">
      <c r="A1948">
        <v>1947</v>
      </c>
      <c r="B1948" t="str">
        <v>Công an xã Kim Thạch  tỉnh Hà Giang</v>
      </c>
      <c r="C1948" t="str">
        <v>-</v>
      </c>
      <c r="D1948" t="str">
        <v>-</v>
      </c>
      <c r="E1948" t="str">
        <v/>
      </c>
      <c r="F1948" t="str">
        <v>-</v>
      </c>
      <c r="G1948" t="str">
        <v>-</v>
      </c>
    </row>
    <row r="1949">
      <c r="A1949">
        <v>1948</v>
      </c>
      <c r="B1949">
        <f>HYPERLINK("https://bacquang.hagiang.gov.vn/tin-trong-nuoc/Le-cong-bo-xa-Kim-Thach-dat-chuan-nong-thon-moi-859.html", "UBND Ủy ban nhân dân xã Kim Thạch  tỉnh Hà Giang")</f>
      </c>
      <c r="C1949" t="str">
        <v>https://bacquang.hagiang.gov.vn/tin-trong-nuoc/Le-cong-bo-xa-Kim-Thach-dat-chuan-nong-thon-moi-859.html</v>
      </c>
      <c r="D1949" t="str">
        <v>-</v>
      </c>
      <c r="E1949" t="str">
        <v>-</v>
      </c>
      <c r="F1949" t="str">
        <v>-</v>
      </c>
      <c r="G1949" t="str">
        <v>-</v>
      </c>
    </row>
    <row r="1950">
      <c r="A1950">
        <v>1949</v>
      </c>
      <c r="B1950" t="str">
        <v>Công an xã Phú Linh  tỉnh Hà Giang</v>
      </c>
      <c r="C1950" t="str">
        <v>-</v>
      </c>
      <c r="D1950" t="str">
        <v>-</v>
      </c>
      <c r="E1950" t="str">
        <v/>
      </c>
      <c r="F1950" t="str">
        <v>-</v>
      </c>
      <c r="G1950" t="str">
        <v>-</v>
      </c>
    </row>
    <row r="1951">
      <c r="A1951">
        <v>1950</v>
      </c>
      <c r="B1951">
        <f>HYPERLINK("https://vixuyen.hagiang.gov.vn/chi-tiet-tin-tuc/-/news/44757/tiem-nang-phat-trien-du-lich-cua-xa-phu-linh.html", "UBND Ủy ban nhân dân xã Phú Linh  tỉnh Hà Giang")</f>
      </c>
      <c r="C1951" t="str">
        <v>https://vixuyen.hagiang.gov.vn/chi-tiet-tin-tuc/-/news/44757/tiem-nang-phat-trien-du-lich-cua-xa-phu-linh.html</v>
      </c>
      <c r="D1951" t="str">
        <v>-</v>
      </c>
      <c r="E1951" t="str">
        <v>-</v>
      </c>
      <c r="F1951" t="str">
        <v>-</v>
      </c>
      <c r="G1951" t="str">
        <v>-</v>
      </c>
    </row>
    <row r="1952">
      <c r="A1952">
        <v>1951</v>
      </c>
      <c r="B1952">
        <f>HYPERLINK("https://www.facebook.com/Doanxakimlinh/", "Công an xã Kim Linh  tỉnh Hà Giang")</f>
      </c>
      <c r="C1952" t="str">
        <v>https://www.facebook.com/Doanxakimlinh/</v>
      </c>
      <c r="D1952" t="str">
        <v>-</v>
      </c>
      <c r="E1952" t="str">
        <v>01666238743</v>
      </c>
      <c r="F1952" t="str">
        <v>-</v>
      </c>
      <c r="G1952" t="str">
        <v>Kim Linh, Vị Xuyên, Hà Giang, Vietnam</v>
      </c>
    </row>
    <row r="1953">
      <c r="A1953">
        <v>1952</v>
      </c>
      <c r="B1953">
        <f>HYPERLINK("https://vixuyen.hagiang.gov.vn/", "UBND Ủy ban nhân dân xã Kim Linh  tỉnh Hà Giang")</f>
      </c>
      <c r="C1953" t="str">
        <v>https://vixuyen.hagiang.gov.vn/</v>
      </c>
      <c r="D1953" t="str">
        <v>-</v>
      </c>
      <c r="E1953" t="str">
        <v>-</v>
      </c>
      <c r="F1953" t="str">
        <v>-</v>
      </c>
      <c r="G1953" t="str">
        <v>-</v>
      </c>
    </row>
    <row r="1954">
      <c r="A1954">
        <v>1953</v>
      </c>
      <c r="B1954" t="str">
        <v>Công an thị trấn Vị Xuyên  tỉnh Hà Giang</v>
      </c>
      <c r="C1954" t="str">
        <v>-</v>
      </c>
      <c r="D1954" t="str">
        <v>-</v>
      </c>
      <c r="E1954" t="str">
        <v/>
      </c>
      <c r="F1954" t="str">
        <v>-</v>
      </c>
      <c r="G1954" t="str">
        <v>-</v>
      </c>
    </row>
    <row r="1955">
      <c r="A1955">
        <v>1954</v>
      </c>
      <c r="B1955">
        <f>HYPERLINK("https://vixuyen.hagiang.gov.vn/", "UBND Ủy ban nhân dân thị trấn Vị Xuyên  tỉnh Hà Giang")</f>
      </c>
      <c r="C1955" t="str">
        <v>https://vixuyen.hagiang.gov.vn/</v>
      </c>
      <c r="D1955" t="str">
        <v>-</v>
      </c>
      <c r="E1955" t="str">
        <v>-</v>
      </c>
      <c r="F1955" t="str">
        <v>-</v>
      </c>
      <c r="G1955" t="str">
        <v>-</v>
      </c>
    </row>
    <row r="1956">
      <c r="A1956">
        <v>1955</v>
      </c>
      <c r="B1956">
        <f>HYPERLINK("https://www.facebook.com/UBND.TtntVL/", "Công an thị trấn Nông Trường Việt Lâm  tỉnh Hà Giang")</f>
      </c>
      <c r="C1956" t="str">
        <v>https://www.facebook.com/UBND.TtntVL/</v>
      </c>
      <c r="D1956" t="str">
        <v>-</v>
      </c>
      <c r="E1956" t="str">
        <v/>
      </c>
      <c r="F1956" t="str">
        <v>-</v>
      </c>
      <c r="G1956" t="str">
        <v>Tại Km 27  thị trấn NT Việt Lâm</v>
      </c>
    </row>
    <row r="1957">
      <c r="A1957">
        <v>1956</v>
      </c>
      <c r="B1957">
        <f>HYPERLINK("https://ttvietlam.hagiang.gov.vn/vi/chi-tiet-tin-tuc/-/news/1325954/le-cong-bo-thi-tran-nong-truong-viet-lam-la-do-thi-loai-v.html", "UBND Ủy ban nhân dân thị trấn Nông Trường Việt Lâm  tỉnh Hà Giang")</f>
      </c>
      <c r="C1957" t="str">
        <v>https://ttvietlam.hagiang.gov.vn/vi/chi-tiet-tin-tuc/-/news/1325954/le-cong-bo-thi-tran-nong-truong-viet-lam-la-do-thi-loai-v.html</v>
      </c>
      <c r="D1957" t="str">
        <v>-</v>
      </c>
      <c r="E1957" t="str">
        <v>-</v>
      </c>
      <c r="F1957" t="str">
        <v>-</v>
      </c>
      <c r="G1957" t="str">
        <v>-</v>
      </c>
    </row>
    <row r="1958">
      <c r="A1958">
        <v>1957</v>
      </c>
      <c r="B1958" t="str">
        <v>Công an xã Minh Tân  tỉnh Hà Giang</v>
      </c>
      <c r="C1958" t="str">
        <v>-</v>
      </c>
      <c r="D1958" t="str">
        <v>-</v>
      </c>
      <c r="E1958" t="str">
        <v/>
      </c>
      <c r="F1958" t="str">
        <v>-</v>
      </c>
      <c r="G1958" t="str">
        <v>-</v>
      </c>
    </row>
    <row r="1959">
      <c r="A1959">
        <v>1958</v>
      </c>
      <c r="B1959">
        <f>HYPERLINK("https://vixuyen.hagiang.gov.vn/chi-tiet-tin-tuc/-/news/44757/thon-ban-hinh-xa-minh-tan-to-chuc-ngay-hoi-dai-doan-ket-dan-toc.html", "UBND Ủy ban nhân dân xã Minh Tân  tỉnh Hà Giang")</f>
      </c>
      <c r="C1959" t="str">
        <v>https://vixuyen.hagiang.gov.vn/chi-tiet-tin-tuc/-/news/44757/thon-ban-hinh-xa-minh-tan-to-chuc-ngay-hoi-dai-doan-ket-dan-toc.html</v>
      </c>
      <c r="D1959" t="str">
        <v>-</v>
      </c>
      <c r="E1959" t="str">
        <v>-</v>
      </c>
      <c r="F1959" t="str">
        <v>-</v>
      </c>
      <c r="G1959" t="str">
        <v>-</v>
      </c>
    </row>
    <row r="1960">
      <c r="A1960">
        <v>1959</v>
      </c>
      <c r="B1960">
        <f>HYPERLINK("https://www.facebook.com/reel/447420241115537/", "Công an xã Thuận Hoà  tỉnh Hà Giang")</f>
      </c>
      <c r="C1960" t="str">
        <v>https://www.facebook.com/reel/447420241115537/</v>
      </c>
      <c r="D1960" t="str">
        <v>-</v>
      </c>
      <c r="E1960" t="str">
        <v/>
      </c>
      <c r="F1960" t="str">
        <v>-</v>
      </c>
      <c r="G1960" t="str">
        <v>-</v>
      </c>
    </row>
    <row r="1961">
      <c r="A1961">
        <v>1960</v>
      </c>
      <c r="B1961">
        <f>HYPERLINK("https://vixuyen.hagiang.gov.vn/chi-tiet-tin-tuc/-/news/44757/tiem-nang-phat-trien-du-lich-o-xa-thuan-hoa.html", "UBND Ủy ban nhân dân xã Thuận Hoà  tỉnh Hà Giang")</f>
      </c>
      <c r="C1961" t="str">
        <v>https://vixuyen.hagiang.gov.vn/chi-tiet-tin-tuc/-/news/44757/tiem-nang-phat-trien-du-lich-o-xa-thuan-hoa.html</v>
      </c>
      <c r="D1961" t="str">
        <v>-</v>
      </c>
      <c r="E1961" t="str">
        <v>-</v>
      </c>
      <c r="F1961" t="str">
        <v>-</v>
      </c>
      <c r="G1961" t="str">
        <v>-</v>
      </c>
    </row>
    <row r="1962">
      <c r="A1962">
        <v>1961</v>
      </c>
      <c r="B1962" t="str">
        <v>Công an xã Tùng Bá  tỉnh Hà Giang</v>
      </c>
      <c r="C1962" t="str">
        <v>-</v>
      </c>
      <c r="D1962" t="str">
        <v>-</v>
      </c>
      <c r="E1962" t="str">
        <v/>
      </c>
      <c r="F1962" t="str">
        <v>-</v>
      </c>
      <c r="G1962" t="str">
        <v>-</v>
      </c>
    </row>
    <row r="1963">
      <c r="A1963">
        <v>1962</v>
      </c>
      <c r="B1963">
        <f>HYPERLINK("https://xtungba.hagiang.gov.vn/", "UBND Ủy ban nhân dân xã Tùng Bá  tỉnh Hà Giang")</f>
      </c>
      <c r="C1963" t="str">
        <v>https://xtungba.hagiang.gov.vn/</v>
      </c>
      <c r="D1963" t="str">
        <v>-</v>
      </c>
      <c r="E1963" t="str">
        <v>-</v>
      </c>
      <c r="F1963" t="str">
        <v>-</v>
      </c>
      <c r="G1963" t="str">
        <v>-</v>
      </c>
    </row>
    <row r="1964">
      <c r="A1964">
        <v>1963</v>
      </c>
      <c r="B1964" t="str">
        <v>Công an xã Thanh Thủy  tỉnh Hà Giang</v>
      </c>
      <c r="C1964" t="str">
        <v>-</v>
      </c>
      <c r="D1964" t="str">
        <v>-</v>
      </c>
      <c r="E1964" t="str">
        <v/>
      </c>
      <c r="F1964" t="str">
        <v>-</v>
      </c>
      <c r="G1964" t="str">
        <v>-</v>
      </c>
    </row>
    <row r="1965">
      <c r="A1965">
        <v>1964</v>
      </c>
      <c r="B1965">
        <f>HYPERLINK("https://xthanhthuy.hagiang.gov.vn/", "UBND Ủy ban nhân dân xã Thanh Thủy  tỉnh Hà Giang")</f>
      </c>
      <c r="C1965" t="str">
        <v>https://xthanhthuy.hagiang.gov.vn/</v>
      </c>
      <c r="D1965" t="str">
        <v>-</v>
      </c>
      <c r="E1965" t="str">
        <v>-</v>
      </c>
      <c r="F1965" t="str">
        <v>-</v>
      </c>
      <c r="G1965" t="str">
        <v>-</v>
      </c>
    </row>
    <row r="1966">
      <c r="A1966">
        <v>1965</v>
      </c>
      <c r="B1966">
        <f>HYPERLINK("https://www.facebook.com/tuoitreconganhagiang/", "Công an xã Thanh Đức  tỉnh Hà Giang")</f>
      </c>
      <c r="C1966" t="str">
        <v>https://www.facebook.com/tuoitreconganhagiang/</v>
      </c>
      <c r="D1966" t="str">
        <v>0339977730</v>
      </c>
      <c r="E1966" t="str">
        <v>-</v>
      </c>
      <c r="F1966" t="str">
        <v>fanpagetuoitreconganhg@gmail.com</v>
      </c>
      <c r="G1966" t="str">
        <v>Số 28, đường Phan Chu Trinh, Hà Giang, Vietnam</v>
      </c>
    </row>
    <row r="1967">
      <c r="A1967">
        <v>1966</v>
      </c>
      <c r="B1967">
        <f>HYPERLINK("https://xthanhduc.hagiang.gov.vn/", "UBND Ủy ban nhân dân xã Thanh Đức  tỉnh Hà Giang")</f>
      </c>
      <c r="C1967" t="str">
        <v>https://xthanhduc.hagiang.gov.vn/</v>
      </c>
      <c r="D1967" t="str">
        <v>-</v>
      </c>
      <c r="E1967" t="str">
        <v>-</v>
      </c>
      <c r="F1967" t="str">
        <v>-</v>
      </c>
      <c r="G1967" t="str">
        <v>-</v>
      </c>
    </row>
    <row r="1968">
      <c r="A1968">
        <v>1967</v>
      </c>
      <c r="B1968">
        <f>HYPERLINK("https://www.facebook.com/tuoitreconganhagiang/", "Công an xã Phong Quang  tỉnh Hà Giang")</f>
      </c>
      <c r="C1968" t="str">
        <v>https://www.facebook.com/tuoitreconganhagiang/</v>
      </c>
      <c r="D1968" t="str">
        <v>0339977730</v>
      </c>
      <c r="E1968" t="str">
        <v>-</v>
      </c>
      <c r="F1968" t="str">
        <v>fanpagetuoitreconganhg@gmail.com</v>
      </c>
      <c r="G1968" t="str">
        <v>Số 28, đường Phan Chu Trinh, Hà Giang, Vietnam</v>
      </c>
    </row>
    <row r="1969">
      <c r="A1969">
        <v>1968</v>
      </c>
      <c r="B1969">
        <f>HYPERLINK("https://xphongquang.hagiang.gov.vn/", "UBND Ủy ban nhân dân xã Phong Quang  tỉnh Hà Giang")</f>
      </c>
      <c r="C1969" t="str">
        <v>https://xphongquang.hagiang.gov.vn/</v>
      </c>
      <c r="D1969" t="str">
        <v>-</v>
      </c>
      <c r="E1969" t="str">
        <v>-</v>
      </c>
      <c r="F1969" t="str">
        <v>-</v>
      </c>
      <c r="G1969" t="str">
        <v>-</v>
      </c>
    </row>
    <row r="1970">
      <c r="A1970">
        <v>1969</v>
      </c>
      <c r="B1970" t="str">
        <v>Công an xã Xín Chải  tỉnh Hà Giang</v>
      </c>
      <c r="C1970" t="str">
        <v>-</v>
      </c>
      <c r="D1970" t="str">
        <v>-</v>
      </c>
      <c r="E1970" t="str">
        <v/>
      </c>
      <c r="F1970" t="str">
        <v>-</v>
      </c>
      <c r="G1970" t="str">
        <v>-</v>
      </c>
    </row>
    <row r="1971">
      <c r="A1971">
        <v>1970</v>
      </c>
      <c r="B1971">
        <f>HYPERLINK("https://vixuyen.hagiang.gov.vn/chi-tiet-tin-tuc/-/news/44757/x%C3%A3-x%C3%ADn-ch%E1%BA%A3i.html", "UBND Ủy ban nhân dân xã Xín Chải  tỉnh Hà Giang")</f>
      </c>
      <c r="C1971" t="str">
        <v>https://vixuyen.hagiang.gov.vn/chi-tiet-tin-tuc/-/news/44757/x%C3%A3-x%C3%ADn-ch%E1%BA%A3i.html</v>
      </c>
      <c r="D1971" t="str">
        <v>-</v>
      </c>
      <c r="E1971" t="str">
        <v>-</v>
      </c>
      <c r="F1971" t="str">
        <v>-</v>
      </c>
      <c r="G1971" t="str">
        <v>-</v>
      </c>
    </row>
    <row r="1972">
      <c r="A1972">
        <v>1971</v>
      </c>
      <c r="B1972" t="str">
        <v>Công an xã Phương Tiến  tỉnh Hà Giang</v>
      </c>
      <c r="C1972" t="str">
        <v>-</v>
      </c>
      <c r="D1972" t="str">
        <v>-</v>
      </c>
      <c r="E1972" t="str">
        <v/>
      </c>
      <c r="F1972" t="str">
        <v>-</v>
      </c>
      <c r="G1972" t="str">
        <v>-</v>
      </c>
    </row>
    <row r="1973">
      <c r="A1973">
        <v>1972</v>
      </c>
      <c r="B1973">
        <f>HYPERLINK("https://xphuongtien.hagiang.gov.vn/", "UBND Ủy ban nhân dân xã Phương Tiến  tỉnh Hà Giang")</f>
      </c>
      <c r="C1973" t="str">
        <v>https://xphuongtien.hagiang.gov.vn/</v>
      </c>
      <c r="D1973" t="str">
        <v>-</v>
      </c>
      <c r="E1973" t="str">
        <v>-</v>
      </c>
      <c r="F1973" t="str">
        <v>-</v>
      </c>
      <c r="G1973" t="str">
        <v>-</v>
      </c>
    </row>
    <row r="1974">
      <c r="A1974">
        <v>1973</v>
      </c>
      <c r="B1974" t="str">
        <v>Công an xã Lao Chải  tỉnh Hà Giang</v>
      </c>
      <c r="C1974" t="str">
        <v>-</v>
      </c>
      <c r="D1974" t="str">
        <v>-</v>
      </c>
      <c r="E1974" t="str">
        <v/>
      </c>
      <c r="F1974" t="str">
        <v>-</v>
      </c>
      <c r="G1974" t="str">
        <v>-</v>
      </c>
    </row>
    <row r="1975">
      <c r="A1975">
        <v>1974</v>
      </c>
      <c r="B1975">
        <f>HYPERLINK("https://vixuyen.hagiang.gov.vn/chi-tiet-tin-tuc/-/news/44757/x%C3%A3-lao-ch%E1%BA%A3i.html", "UBND Ủy ban nhân dân xã Lao Chải  tỉnh Hà Giang")</f>
      </c>
      <c r="C1975" t="str">
        <v>https://vixuyen.hagiang.gov.vn/chi-tiet-tin-tuc/-/news/44757/x%C3%A3-lao-ch%E1%BA%A3i.html</v>
      </c>
      <c r="D1975" t="str">
        <v>-</v>
      </c>
      <c r="E1975" t="str">
        <v>-</v>
      </c>
      <c r="F1975" t="str">
        <v>-</v>
      </c>
      <c r="G1975" t="str">
        <v>-</v>
      </c>
    </row>
    <row r="1976">
      <c r="A1976">
        <v>1975</v>
      </c>
      <c r="B1976">
        <f>HYPERLINK("https://www.facebook.com/congantinhhagiang/", "Công an xã Cao Bồ  tỉnh Hà Giang")</f>
      </c>
      <c r="C1976" t="str">
        <v>https://www.facebook.com/congantinhhagiang/</v>
      </c>
      <c r="D1976" t="str">
        <v>-</v>
      </c>
      <c r="E1976" t="str">
        <v/>
      </c>
      <c r="F1976" t="str">
        <v>banbientap.ca@hagiang.gov.vn</v>
      </c>
      <c r="G1976" t="str">
        <v>Đường Phan Huy Chú, Tổ 10 Phường Minh Khai, Hà Giang, Vietnam</v>
      </c>
    </row>
    <row r="1977">
      <c r="A1977">
        <v>1976</v>
      </c>
      <c r="B1977">
        <f>HYPERLINK("https://vixuyen.hagiang.gov.vn/chi-tiet-tin-tuc/-/news/44757/x%C3%A3-cao-b%E1%BB%93.html", "UBND Ủy ban nhân dân xã Cao Bồ  tỉnh Hà Giang")</f>
      </c>
      <c r="C1977" t="str">
        <v>https://vixuyen.hagiang.gov.vn/chi-tiet-tin-tuc/-/news/44757/x%C3%A3-cao-b%E1%BB%93.html</v>
      </c>
      <c r="D1977" t="str">
        <v>-</v>
      </c>
      <c r="E1977" t="str">
        <v>-</v>
      </c>
      <c r="F1977" t="str">
        <v>-</v>
      </c>
      <c r="G1977" t="str">
        <v>-</v>
      </c>
    </row>
    <row r="1978">
      <c r="A1978">
        <v>1977</v>
      </c>
      <c r="B1978">
        <f>HYPERLINK("https://www.facebook.com/tuoitreconganhagiang/", "Công an xã Đạo Đức  tỉnh Hà Giang")</f>
      </c>
      <c r="C1978" t="str">
        <v>https://www.facebook.com/tuoitreconganhagiang/</v>
      </c>
      <c r="D1978" t="str">
        <v>0339977730</v>
      </c>
      <c r="E1978" t="str">
        <v>-</v>
      </c>
      <c r="F1978" t="str">
        <v>fanpagetuoitreconganhg@gmail.com</v>
      </c>
      <c r="G1978" t="str">
        <v>Số 28, đường Phan Chu Trinh, Hà Giang, Vietnam</v>
      </c>
    </row>
    <row r="1979">
      <c r="A1979">
        <v>1978</v>
      </c>
      <c r="B1979">
        <f>HYPERLINK("https://vixuyen.hagiang.gov.vn/vi/chi-tiet-tin-tuc/-/news/44757/x%25C3%25A3-%25C4%2590%25E1%25BA%25A1o-%25C4%2590%25E1%25BB%25A9c.html", "UBND Ủy ban nhân dân xã Đạo Đức  tỉnh Hà Giang")</f>
      </c>
      <c r="C1979" t="str">
        <v>https://vixuyen.hagiang.gov.vn/vi/chi-tiet-tin-tuc/-/news/44757/x%25C3%25A3-%25C4%2590%25E1%25BA%25A1o-%25C4%2590%25E1%25BB%25A9c.html</v>
      </c>
      <c r="D1979" t="str">
        <v>-</v>
      </c>
      <c r="E1979" t="str">
        <v>-</v>
      </c>
      <c r="F1979" t="str">
        <v>-</v>
      </c>
      <c r="G1979" t="str">
        <v>-</v>
      </c>
    </row>
    <row r="1980">
      <c r="A1980">
        <v>1979</v>
      </c>
      <c r="B1980">
        <f>HYPERLINK("https://www.facebook.com/tuoitrecongansonla/?locale=hu_HU", "Công an xã Thượng Sơn  tỉnh Hà Giang")</f>
      </c>
      <c r="C1980" t="str">
        <v>https://www.facebook.com/tuoitrecongansonla/?locale=hu_HU</v>
      </c>
      <c r="D1980" t="str">
        <v>-</v>
      </c>
      <c r="E1980" t="str">
        <v/>
      </c>
      <c r="F1980" t="str">
        <v>doanthanhniencasl@gmail.com</v>
      </c>
      <c r="G1980" t="str">
        <v>-</v>
      </c>
    </row>
    <row r="1981">
      <c r="A1981">
        <v>1980</v>
      </c>
      <c r="B1981">
        <f>HYPERLINK("https://vixuyen.hagiang.gov.vn/chi-tiet-tin-tuc/-/news/44757/xa-thuong-son-co-tren-100-diem-duong-bi-sat-lo-do-mua-lu.html", "UBND Ủy ban nhân dân xã Thượng Sơn  tỉnh Hà Giang")</f>
      </c>
      <c r="C1981" t="str">
        <v>https://vixuyen.hagiang.gov.vn/chi-tiet-tin-tuc/-/news/44757/xa-thuong-son-co-tren-100-diem-duong-bi-sat-lo-do-mua-lu.html</v>
      </c>
      <c r="D1981" t="str">
        <v>-</v>
      </c>
      <c r="E1981" t="str">
        <v>-</v>
      </c>
      <c r="F1981" t="str">
        <v>-</v>
      </c>
      <c r="G1981" t="str">
        <v>-</v>
      </c>
    </row>
    <row r="1982">
      <c r="A1982">
        <v>1981</v>
      </c>
      <c r="B1982">
        <f>HYPERLINK("https://www.facebook.com/230130195471738", "Công an xã Linh Hồ  tỉnh Hà Giang")</f>
      </c>
      <c r="C1982" t="str">
        <v>https://www.facebook.com/230130195471738</v>
      </c>
      <c r="D1982" t="str">
        <v>-</v>
      </c>
      <c r="E1982" t="str">
        <v/>
      </c>
      <c r="F1982" t="str">
        <v>-</v>
      </c>
      <c r="G1982" t="str">
        <v>-</v>
      </c>
    </row>
    <row r="1983">
      <c r="A1983">
        <v>1982</v>
      </c>
      <c r="B1983">
        <f>HYPERLINK("https://vixuyen.hagiang.gov.vn/chi-tiet-tin-tuc/-/news/44757/x%C3%A3-linh-h%E1%BB%93.html", "UBND Ủy ban nhân dân xã Linh Hồ  tỉnh Hà Giang")</f>
      </c>
      <c r="C1983" t="str">
        <v>https://vixuyen.hagiang.gov.vn/chi-tiet-tin-tuc/-/news/44757/x%C3%A3-linh-h%E1%BB%93.html</v>
      </c>
      <c r="D1983" t="str">
        <v>-</v>
      </c>
      <c r="E1983" t="str">
        <v>-</v>
      </c>
      <c r="F1983" t="str">
        <v>-</v>
      </c>
      <c r="G1983" t="str">
        <v>-</v>
      </c>
    </row>
    <row r="1984">
      <c r="A1984">
        <v>1983</v>
      </c>
      <c r="B1984" t="str">
        <v>Công an xã Quảng Ngần  tỉnh Hà Giang</v>
      </c>
      <c r="C1984" t="str">
        <v>-</v>
      </c>
      <c r="D1984" t="str">
        <v>-</v>
      </c>
      <c r="E1984" t="str">
        <v/>
      </c>
      <c r="F1984" t="str">
        <v>-</v>
      </c>
      <c r="G1984" t="str">
        <v>-</v>
      </c>
    </row>
    <row r="1985">
      <c r="A1985">
        <v>1984</v>
      </c>
      <c r="B1985">
        <f>HYPERLINK("https://vixuyen.hagiang.gov.vn/chi-tiet-tin-tuc/-/news/44757/le-khoi-cong-cau-duyen-thon-khuoi-hop-xa-quang-ngan-huyen-vi-xuyen.html", "UBND Ủy ban nhân dân xã Quảng Ngần  tỉnh Hà Giang")</f>
      </c>
      <c r="C1985" t="str">
        <v>https://vixuyen.hagiang.gov.vn/chi-tiet-tin-tuc/-/news/44757/le-khoi-cong-cau-duyen-thon-khuoi-hop-xa-quang-ngan-huyen-vi-xuyen.html</v>
      </c>
      <c r="D1985" t="str">
        <v>-</v>
      </c>
      <c r="E1985" t="str">
        <v>-</v>
      </c>
      <c r="F1985" t="str">
        <v>-</v>
      </c>
      <c r="G1985" t="str">
        <v>-</v>
      </c>
    </row>
    <row r="1986">
      <c r="A1986">
        <v>1985</v>
      </c>
      <c r="B1986" t="str">
        <v>Công an xã Việt Lâm  tỉnh Hà Giang</v>
      </c>
      <c r="C1986" t="str">
        <v>-</v>
      </c>
      <c r="D1986" t="str">
        <v>-</v>
      </c>
      <c r="E1986" t="str">
        <v/>
      </c>
      <c r="F1986" t="str">
        <v>-</v>
      </c>
      <c r="G1986" t="str">
        <v>-</v>
      </c>
    </row>
    <row r="1987">
      <c r="A1987">
        <v>1986</v>
      </c>
      <c r="B1987">
        <f>HYPERLINK("https://vixuyen.hagiang.gov.vn/", "UBND Ủy ban nhân dân xã Việt Lâm  tỉnh Hà Giang")</f>
      </c>
      <c r="C1987" t="str">
        <v>https://vixuyen.hagiang.gov.vn/</v>
      </c>
      <c r="D1987" t="str">
        <v>-</v>
      </c>
      <c r="E1987" t="str">
        <v>-</v>
      </c>
      <c r="F1987" t="str">
        <v>-</v>
      </c>
      <c r="G1987" t="str">
        <v>-</v>
      </c>
    </row>
    <row r="1988">
      <c r="A1988">
        <v>1987</v>
      </c>
      <c r="B1988" t="str">
        <v>Công an xã Ngọc Linh  tỉnh Hà Giang</v>
      </c>
      <c r="C1988" t="str">
        <v>-</v>
      </c>
      <c r="D1988" t="str">
        <v>-</v>
      </c>
      <c r="E1988" t="str">
        <v/>
      </c>
      <c r="F1988" t="str">
        <v>-</v>
      </c>
      <c r="G1988" t="str">
        <v>-</v>
      </c>
    </row>
    <row r="1989">
      <c r="A1989">
        <v>1988</v>
      </c>
      <c r="B1989">
        <f>HYPERLINK("https://vixuyen.hagiang.gov.vn/chi-tiet-tin-tuc/-/news/44757/x%C3%A3-ng%E1%BB%8Dc-linh.html", "UBND Ủy ban nhân dân xã Ngọc Linh  tỉnh Hà Giang")</f>
      </c>
      <c r="C1989" t="str">
        <v>https://vixuyen.hagiang.gov.vn/chi-tiet-tin-tuc/-/news/44757/x%C3%A3-ng%E1%BB%8Dc-linh.html</v>
      </c>
      <c r="D1989" t="str">
        <v>-</v>
      </c>
      <c r="E1989" t="str">
        <v>-</v>
      </c>
      <c r="F1989" t="str">
        <v>-</v>
      </c>
      <c r="G1989" t="str">
        <v>-</v>
      </c>
    </row>
    <row r="1990">
      <c r="A1990">
        <v>1989</v>
      </c>
      <c r="B1990" t="str">
        <v>Công an xã Ngọc Minh  tỉnh Hà Giang</v>
      </c>
      <c r="C1990" t="str">
        <v>-</v>
      </c>
      <c r="D1990" t="str">
        <v>-</v>
      </c>
      <c r="E1990" t="str">
        <v/>
      </c>
      <c r="F1990" t="str">
        <v>-</v>
      </c>
      <c r="G1990" t="str">
        <v>-</v>
      </c>
    </row>
    <row r="1991">
      <c r="A1991">
        <v>1990</v>
      </c>
      <c r="B1991">
        <f>HYPERLINK("https://vixuyen.hagiang.gov.vn/chi-tiet-tin-tuc/-/news/44757/x%C3%A3-ng%E1%BB%8Dc-minh.html", "UBND Ủy ban nhân dân xã Ngọc Minh  tỉnh Hà Giang")</f>
      </c>
      <c r="C1991" t="str">
        <v>https://vixuyen.hagiang.gov.vn/chi-tiet-tin-tuc/-/news/44757/x%C3%A3-ng%E1%BB%8Dc-minh.html</v>
      </c>
      <c r="D1991" t="str">
        <v>-</v>
      </c>
      <c r="E1991" t="str">
        <v>-</v>
      </c>
      <c r="F1991" t="str">
        <v>-</v>
      </c>
      <c r="G1991" t="str">
        <v>-</v>
      </c>
    </row>
    <row r="1992">
      <c r="A1992">
        <v>1991</v>
      </c>
      <c r="B1992">
        <f>HYPERLINK("https://www.facebook.com/p/%C4%90o%C3%A0n-x%C3%A3-B%E1%BA%A1ch-Ng%E1%BB%8Dc-100063584644520/", "Công an xã Bạch Ngọc  tỉnh Hà Giang")</f>
      </c>
      <c r="C1992" t="str">
        <v>https://www.facebook.com/p/%C4%90o%C3%A0n-x%C3%A3-B%E1%BA%A1ch-Ng%E1%BB%8Dc-100063584644520/</v>
      </c>
      <c r="D1992" t="str">
        <v>0327833456</v>
      </c>
      <c r="E1992" t="str">
        <v>-</v>
      </c>
      <c r="F1992" t="str">
        <v>Vuonglinhbn95@gmail.com</v>
      </c>
      <c r="G1992" t="str">
        <v>-</v>
      </c>
    </row>
    <row r="1993">
      <c r="A1993">
        <v>1992</v>
      </c>
      <c r="B1993">
        <f>HYPERLINK("https://vixuyen.hagiang.gov.vn/chi-tiet-tin-tuc/-/news/44757/x%25C3%25A3-b%25E1%25BA%25A1ch-ng%25E1%25BB%258Dc.html", "UBND Ủy ban nhân dân xã Bạch Ngọc  tỉnh Hà Giang")</f>
      </c>
      <c r="C1993" t="str">
        <v>https://vixuyen.hagiang.gov.vn/chi-tiet-tin-tuc/-/news/44757/x%25C3%25A3-b%25E1%25BA%25A1ch-ng%25E1%25BB%258Dc.html</v>
      </c>
      <c r="D1993" t="str">
        <v>-</v>
      </c>
      <c r="E1993" t="str">
        <v>-</v>
      </c>
      <c r="F1993" t="str">
        <v>-</v>
      </c>
      <c r="G1993" t="str">
        <v>-</v>
      </c>
    </row>
    <row r="1994">
      <c r="A1994">
        <v>1993</v>
      </c>
      <c r="B1994">
        <f>HYPERLINK("https://www.facebook.com/p/Tu%E1%BB%95i-tr%E1%BA%BB-C%C3%B4ng-an-Th%C3%A0nh-ph%E1%BB%91-V%C4%A9nh-Y%C3%AAn-100066497717181/?locale=nl_BE", "Công an xã Trung Thành  tỉnh Hà Giang")</f>
      </c>
      <c r="C1994" t="str">
        <v>https://www.facebook.com/p/Tu%E1%BB%95i-tr%E1%BA%BB-C%C3%B4ng-an-Th%C3%A0nh-ph%E1%BB%91-V%C4%A9nh-Y%C3%AAn-100066497717181/?locale=nl_BE</v>
      </c>
      <c r="D1994" t="str">
        <v>-</v>
      </c>
      <c r="E1994" t="str">
        <v>02113861204</v>
      </c>
      <c r="F1994" t="str">
        <v>-</v>
      </c>
      <c r="G1994" t="str">
        <v>Lê Xoay - Ngô Quyền - Vĩnh Yên, Yen, Vietnam</v>
      </c>
    </row>
    <row r="1995">
      <c r="A1995">
        <v>1994</v>
      </c>
      <c r="B1995">
        <f>HYPERLINK("https://vixuyen.hagiang.gov.vn/", "UBND Ủy ban nhân dân xã Trung Thành  tỉnh Hà Giang")</f>
      </c>
      <c r="C1995" t="str">
        <v>https://vixuyen.hagiang.gov.vn/</v>
      </c>
      <c r="D1995" t="str">
        <v>-</v>
      </c>
      <c r="E1995" t="str">
        <v>-</v>
      </c>
      <c r="F1995" t="str">
        <v>-</v>
      </c>
      <c r="G1995" t="str">
        <v>-</v>
      </c>
    </row>
    <row r="1996">
      <c r="A1996">
        <v>1995</v>
      </c>
      <c r="B1996">
        <f>HYPERLINK("https://www.facebook.com/tuoitrecongansonla/", "Công an xã Minh Sơn  tỉnh Hà Giang")</f>
      </c>
      <c r="C1996" t="str">
        <v>https://www.facebook.com/tuoitrecongansonla/</v>
      </c>
      <c r="D1996" t="str">
        <v>-</v>
      </c>
      <c r="E1996" t="str">
        <v/>
      </c>
      <c r="F1996" t="str">
        <v>doanthanhniencasl@gmail.com</v>
      </c>
      <c r="G1996" t="str">
        <v>-</v>
      </c>
    </row>
    <row r="1997">
      <c r="A1997">
        <v>1996</v>
      </c>
      <c r="B1997">
        <f>HYPERLINK("https://xminhson.hagiang.gov.vn/", "UBND Ủy ban nhân dân xã Minh Sơn  tỉnh Hà Giang")</f>
      </c>
      <c r="C1997" t="str">
        <v>https://xminhson.hagiang.gov.vn/</v>
      </c>
      <c r="D1997" t="str">
        <v>-</v>
      </c>
      <c r="E1997" t="str">
        <v>-</v>
      </c>
      <c r="F1997" t="str">
        <v>-</v>
      </c>
      <c r="G1997" t="str">
        <v>-</v>
      </c>
    </row>
    <row r="1998">
      <c r="A1998">
        <v>1997</v>
      </c>
      <c r="B1998" t="str">
        <v>Công an xã Giáp Trung  tỉnh Hà Giang</v>
      </c>
      <c r="C1998" t="str">
        <v>-</v>
      </c>
      <c r="D1998" t="str">
        <v>-</v>
      </c>
      <c r="E1998" t="str">
        <v/>
      </c>
      <c r="F1998" t="str">
        <v>-</v>
      </c>
      <c r="G1998" t="str">
        <v>-</v>
      </c>
    </row>
    <row r="1999">
      <c r="A1999">
        <v>1998</v>
      </c>
      <c r="B1999">
        <f>HYPERLINK("http://bacquang.hagiang.gov.vn/page/cac-xa-thi-tran.html", "UBND Ủy ban nhân dân xã Giáp Trung  tỉnh Hà Giang")</f>
      </c>
      <c r="C1999" t="str">
        <v>http://bacquang.hagiang.gov.vn/page/cac-xa-thi-tran.html</v>
      </c>
      <c r="D1999" t="str">
        <v>-</v>
      </c>
      <c r="E1999" t="str">
        <v>-</v>
      </c>
      <c r="F1999" t="str">
        <v>-</v>
      </c>
      <c r="G1999" t="str">
        <v>-</v>
      </c>
    </row>
    <row r="2000">
      <c r="A2000">
        <v>1999</v>
      </c>
      <c r="B2000" t="str">
        <v>Công an xã Yên Định  tỉnh Hà Giang</v>
      </c>
      <c r="C2000" t="str">
        <v>-</v>
      </c>
      <c r="D2000" t="str">
        <v>-</v>
      </c>
      <c r="E2000" t="str">
        <v/>
      </c>
      <c r="F2000" t="str">
        <v>-</v>
      </c>
      <c r="G2000" t="str">
        <v>-</v>
      </c>
    </row>
    <row r="2001">
      <c r="A2001">
        <v>2000</v>
      </c>
      <c r="B2001">
        <f>HYPERLINK("https://xyendinh.hagiang.gov.vn/", "UBND Ủy ban nhân dân xã Yên Định  tỉnh Hà Giang")</f>
      </c>
      <c r="C2001" t="str">
        <v>https://xyendinh.hagiang.gov.vn/</v>
      </c>
      <c r="D2001" t="str">
        <v>-</v>
      </c>
      <c r="E2001" t="str">
        <v>-</v>
      </c>
      <c r="F2001" t="str">
        <v>-</v>
      </c>
      <c r="G2001" t="str">
        <v>-</v>
      </c>
    </row>
    <row r="2002">
      <c r="A2002">
        <v>2001</v>
      </c>
      <c r="B2002">
        <f>HYPERLINK("https://www.facebook.com/p/Tu%E1%BB%95i-tr%E1%BA%BB-C%C3%B4ng-an-Th%C3%A0nh-ph%E1%BB%91-V%C4%A9nh-Y%C3%AAn-100066497717181/?locale=nl_BE", "Công an thị trấn Yên Phú  tỉnh Hà Giang")</f>
      </c>
      <c r="C2002" t="str">
        <v>https://www.facebook.com/p/Tu%E1%BB%95i-tr%E1%BA%BB-C%C3%B4ng-an-Th%C3%A0nh-ph%E1%BB%91-V%C4%A9nh-Y%C3%AAn-100066497717181/?locale=nl_BE</v>
      </c>
      <c r="D2002" t="str">
        <v>-</v>
      </c>
      <c r="E2002" t="str">
        <v>02113861204</v>
      </c>
      <c r="F2002" t="str">
        <v>-</v>
      </c>
      <c r="G2002" t="str">
        <v>Lê Xoay - Ngô Quyền - Vĩnh Yên, Yen, Vietnam</v>
      </c>
    </row>
    <row r="2003">
      <c r="A2003">
        <v>2002</v>
      </c>
      <c r="B2003">
        <f>HYPERLINK("https://bacme.hagiang.gov.vn/chi-tiet-tin-tuc/-/news/44693/th%E1%BB%8B-tr%E1%BA%A5n-y%C3%AAn-ph%C3%BA-huy%E1%BB%87n-b%E1%BA%AFc-m%C3%AA-10-n%C4%83m-x%C3%A2y-d%E1%BB%B1ng-v%C3%A0-ph%C3%A1t-tri%E1%BB%83n.html", "UBND Ủy ban nhân dân thị trấn Yên Phú  tỉnh Hà Giang")</f>
      </c>
      <c r="C2003" t="str">
        <v>https://bacme.hagiang.gov.vn/chi-tiet-tin-tuc/-/news/44693/th%E1%BB%8B-tr%E1%BA%A5n-y%C3%AAn-ph%C3%BA-huy%E1%BB%87n-b%E1%BA%AFc-m%C3%AA-10-n%C4%83m-x%C3%A2y-d%E1%BB%B1ng-v%C3%A0-ph%C3%A1t-tri%E1%BB%83n.html</v>
      </c>
      <c r="D2003" t="str">
        <v>-</v>
      </c>
      <c r="E2003" t="str">
        <v>-</v>
      </c>
      <c r="F2003" t="str">
        <v>-</v>
      </c>
      <c r="G2003" t="str">
        <v>-</v>
      </c>
    </row>
    <row r="2004">
      <c r="A2004">
        <v>2003</v>
      </c>
      <c r="B2004" t="str">
        <v>Công an xã Minh Ngọc  tỉnh Hà Giang</v>
      </c>
      <c r="C2004" t="str">
        <v>-</v>
      </c>
      <c r="D2004" t="str">
        <v>-</v>
      </c>
      <c r="E2004" t="str">
        <v/>
      </c>
      <c r="F2004" t="str">
        <v>-</v>
      </c>
      <c r="G2004" t="str">
        <v>-</v>
      </c>
    </row>
    <row r="2005">
      <c r="A2005">
        <v>2004</v>
      </c>
      <c r="B2005">
        <f>HYPERLINK("https://xminhngoc.hagiang.gov.vn/vi/trang-chu", "UBND Ủy ban nhân dân xã Minh Ngọc  tỉnh Hà Giang")</f>
      </c>
      <c r="C2005" t="str">
        <v>https://xminhngoc.hagiang.gov.vn/vi/trang-chu</v>
      </c>
      <c r="D2005" t="str">
        <v>-</v>
      </c>
      <c r="E2005" t="str">
        <v>-</v>
      </c>
      <c r="F2005" t="str">
        <v>-</v>
      </c>
      <c r="G2005" t="str">
        <v>-</v>
      </c>
    </row>
    <row r="2006">
      <c r="A2006">
        <v>2005</v>
      </c>
      <c r="B2006">
        <f>HYPERLINK("https://www.facebook.com/p/Tu%E1%BB%95i-tr%E1%BA%BB-C%C3%B4ng-an-Th%C3%A0nh-ph%E1%BB%91-V%C4%A9nh-Y%C3%AAn-100066497717181/", "Công an xã Yên Phong  tỉnh Hà Giang")</f>
      </c>
      <c r="C2006" t="str">
        <v>https://www.facebook.com/p/Tu%E1%BB%95i-tr%E1%BA%BB-C%C3%B4ng-an-Th%C3%A0nh-ph%E1%BB%91-V%C4%A9nh-Y%C3%AAn-100066497717181/</v>
      </c>
      <c r="D2006" t="str">
        <v>-</v>
      </c>
      <c r="E2006" t="str">
        <v>02113861204</v>
      </c>
      <c r="F2006" t="str">
        <v>-</v>
      </c>
      <c r="G2006" t="str">
        <v>Lê Xoay - Ngô Quyền - Vĩnh Yên, Yen, Vietnam</v>
      </c>
    </row>
    <row r="2007">
      <c r="A2007">
        <v>2006</v>
      </c>
      <c r="B2007">
        <f>HYPERLINK("https://xyenphong.hagiang.gov.vn/vi", "UBND Ủy ban nhân dân xã Yên Phong  tỉnh Hà Giang")</f>
      </c>
      <c r="C2007" t="str">
        <v>https://xyenphong.hagiang.gov.vn/vi</v>
      </c>
      <c r="D2007" t="str">
        <v>-</v>
      </c>
      <c r="E2007" t="str">
        <v>-</v>
      </c>
      <c r="F2007" t="str">
        <v>-</v>
      </c>
      <c r="G2007" t="str">
        <v>-</v>
      </c>
    </row>
    <row r="2008">
      <c r="A2008">
        <v>2007</v>
      </c>
      <c r="B2008" t="str">
        <v>Công an xã Lạc Nông  tỉnh Hà Giang</v>
      </c>
      <c r="C2008" t="str">
        <v>-</v>
      </c>
      <c r="D2008" t="str">
        <v>-</v>
      </c>
      <c r="E2008" t="str">
        <v/>
      </c>
      <c r="F2008" t="str">
        <v>-</v>
      </c>
      <c r="G2008" t="str">
        <v>-</v>
      </c>
    </row>
    <row r="2009">
      <c r="A2009">
        <v>2008</v>
      </c>
      <c r="B2009">
        <f>HYPERLINK("https://xlacnong.hagiang.gov.vn/", "UBND Ủy ban nhân dân xã Lạc Nông  tỉnh Hà Giang")</f>
      </c>
      <c r="C2009" t="str">
        <v>https://xlacnong.hagiang.gov.vn/</v>
      </c>
      <c r="D2009" t="str">
        <v>-</v>
      </c>
      <c r="E2009" t="str">
        <v>-</v>
      </c>
      <c r="F2009" t="str">
        <v>-</v>
      </c>
      <c r="G2009" t="str">
        <v>-</v>
      </c>
    </row>
    <row r="2010">
      <c r="A2010">
        <v>2009</v>
      </c>
      <c r="B2010" t="str">
        <v>Công an xã Phú Nam  tỉnh Hà Giang</v>
      </c>
      <c r="C2010" t="str">
        <v>-</v>
      </c>
      <c r="D2010" t="str">
        <v>-</v>
      </c>
      <c r="E2010" t="str">
        <v/>
      </c>
      <c r="F2010" t="str">
        <v>-</v>
      </c>
      <c r="G2010" t="str">
        <v>-</v>
      </c>
    </row>
    <row r="2011">
      <c r="A2011">
        <v>2010</v>
      </c>
      <c r="B2011">
        <f>HYPERLINK("https://xphunam.hagiang.gov.vn/", "UBND Ủy ban nhân dân xã Phú Nam  tỉnh Hà Giang")</f>
      </c>
      <c r="C2011" t="str">
        <v>https://xphunam.hagiang.gov.vn/</v>
      </c>
      <c r="D2011" t="str">
        <v>-</v>
      </c>
      <c r="E2011" t="str">
        <v>-</v>
      </c>
      <c r="F2011" t="str">
        <v>-</v>
      </c>
      <c r="G2011" t="str">
        <v>-</v>
      </c>
    </row>
    <row r="2012">
      <c r="A2012">
        <v>2011</v>
      </c>
      <c r="B2012">
        <f>HYPERLINK("https://www.facebook.com/p/Tu%E1%BB%95i-tr%E1%BA%BB-C%C3%B4ng-an-Th%C3%A0nh-ph%E1%BB%91-V%C4%A9nh-Y%C3%AAn-100066497717181/", "Công an xã Yên Cường  tỉnh Hà Giang")</f>
      </c>
      <c r="C2012" t="str">
        <v>https://www.facebook.com/p/Tu%E1%BB%95i-tr%E1%BA%BB-C%C3%B4ng-an-Th%C3%A0nh-ph%E1%BB%91-V%C4%A9nh-Y%C3%AAn-100066497717181/</v>
      </c>
      <c r="D2012" t="str">
        <v>-</v>
      </c>
      <c r="E2012" t="str">
        <v>02113861204</v>
      </c>
      <c r="F2012" t="str">
        <v>-</v>
      </c>
      <c r="G2012" t="str">
        <v>Lê Xoay - Ngô Quyền - Vĩnh Yên, Yen, Vietnam</v>
      </c>
    </row>
    <row r="2013">
      <c r="A2013">
        <v>2012</v>
      </c>
      <c r="B2013">
        <f>HYPERLINK("https://xyencuong.hagiang.gov.vn/vi/trang-chu", "UBND Ủy ban nhân dân xã Yên Cường  tỉnh Hà Giang")</f>
      </c>
      <c r="C2013" t="str">
        <v>https://xyencuong.hagiang.gov.vn/vi/trang-chu</v>
      </c>
      <c r="D2013" t="str">
        <v>-</v>
      </c>
      <c r="E2013" t="str">
        <v>-</v>
      </c>
      <c r="F2013" t="str">
        <v>-</v>
      </c>
      <c r="G2013" t="str">
        <v>-</v>
      </c>
    </row>
    <row r="2014">
      <c r="A2014">
        <v>2013</v>
      </c>
      <c r="B2014">
        <f>HYPERLINK("https://www.facebook.com/tuoitreconganhagiang/", "Công an xã Thượng Tân  tỉnh Hà Giang")</f>
      </c>
      <c r="C2014" t="str">
        <v>https://www.facebook.com/tuoitreconganhagiang/</v>
      </c>
      <c r="D2014" t="str">
        <v>0339977730</v>
      </c>
      <c r="E2014" t="str">
        <v>-</v>
      </c>
      <c r="F2014" t="str">
        <v>fanpagetuoitreconganhg@gmail.com</v>
      </c>
      <c r="G2014" t="str">
        <v>Số 28, đường Phan Chu Trinh, Hà Giang, Vietnam</v>
      </c>
    </row>
    <row r="2015">
      <c r="A2015">
        <v>2014</v>
      </c>
      <c r="B2015">
        <f>HYPERLINK("https://xthuongtan.hagiang.gov.vn/chi-tiet-tin-tuc/-/news/1325682/thong-bao-cong-khai-le-phi-giai-quyet-cac-tthc-tai-bo-phan-tiep-nhan-va-tra-ket-qua-tai-ubnd-xa-thuong-tan.html", "UBND Ủy ban nhân dân xã Thượng Tân  tỉnh Hà Giang")</f>
      </c>
      <c r="C2015" t="str">
        <v>https://xthuongtan.hagiang.gov.vn/chi-tiet-tin-tuc/-/news/1325682/thong-bao-cong-khai-le-phi-giai-quyet-cac-tthc-tai-bo-phan-tiep-nhan-va-tra-ket-qua-tai-ubnd-xa-thuong-tan.html</v>
      </c>
      <c r="D2015" t="str">
        <v>-</v>
      </c>
      <c r="E2015" t="str">
        <v>-</v>
      </c>
      <c r="F2015" t="str">
        <v>-</v>
      </c>
      <c r="G2015" t="str">
        <v>-</v>
      </c>
    </row>
    <row r="2016">
      <c r="A2016">
        <v>2015</v>
      </c>
      <c r="B2016" t="str">
        <v>Công an xã Đường Âm  tỉnh Hà Giang</v>
      </c>
      <c r="C2016" t="str">
        <v>-</v>
      </c>
      <c r="D2016" t="str">
        <v>-</v>
      </c>
      <c r="E2016" t="str">
        <v/>
      </c>
      <c r="F2016" t="str">
        <v>-</v>
      </c>
      <c r="G2016" t="str">
        <v>-</v>
      </c>
    </row>
    <row r="2017">
      <c r="A2017">
        <v>2016</v>
      </c>
      <c r="B2017">
        <f>HYPERLINK("https://xduongam.hagiang.gov.vn/vi/trang-chu", "UBND Ủy ban nhân dân xã Đường Âm  tỉnh Hà Giang")</f>
      </c>
      <c r="C2017" t="str">
        <v>https://xduongam.hagiang.gov.vn/vi/trang-chu</v>
      </c>
      <c r="D2017" t="str">
        <v>-</v>
      </c>
      <c r="E2017" t="str">
        <v>-</v>
      </c>
      <c r="F2017" t="str">
        <v>-</v>
      </c>
      <c r="G2017" t="str">
        <v>-</v>
      </c>
    </row>
    <row r="2018">
      <c r="A2018">
        <v>2017</v>
      </c>
      <c r="B2018" t="str">
        <v>Công an xã Đường Hồng  tỉnh Hà Giang</v>
      </c>
      <c r="C2018" t="str">
        <v>-</v>
      </c>
      <c r="D2018" t="str">
        <v>-</v>
      </c>
      <c r="E2018" t="str">
        <v/>
      </c>
      <c r="F2018" t="str">
        <v>-</v>
      </c>
      <c r="G2018" t="str">
        <v>-</v>
      </c>
    </row>
    <row r="2019">
      <c r="A2019">
        <v>2018</v>
      </c>
      <c r="B2019">
        <f>HYPERLINK("https://bacme.hagiang.gov.vn/chi-tiet-tin-tuc/-/news/44693/danh-s%C3%A1ch-%C4%91%E1%BA%A1i-bi%E1%BB%83u-h%E1%BB%99i-%C4%91%E1%BB%93ng-nh%C3%A2n-d%C3%A2n-huy%E1%BB%87n-b%E1%BA%AFc-m%C3%AA-kho%C3%A1-viii-nhi%E1%BB%87m-k%E1%BB%B3-2016-2021.html", "UBND Ủy ban nhân dân xã Đường Hồng  tỉnh Hà Giang")</f>
      </c>
      <c r="C2019" t="str">
        <v>https://bacme.hagiang.gov.vn/chi-tiet-tin-tuc/-/news/44693/danh-s%C3%A1ch-%C4%91%E1%BA%A1i-bi%E1%BB%83u-h%E1%BB%99i-%C4%91%E1%BB%93ng-nh%C3%A2n-d%C3%A2n-huy%E1%BB%87n-b%E1%BA%AFc-m%C3%AA-kho%C3%A1-viii-nhi%E1%BB%87m-k%E1%BB%B3-2016-2021.html</v>
      </c>
      <c r="D2019" t="str">
        <v>-</v>
      </c>
      <c r="E2019" t="str">
        <v>-</v>
      </c>
      <c r="F2019" t="str">
        <v>-</v>
      </c>
      <c r="G2019" t="str">
        <v>-</v>
      </c>
    </row>
    <row r="2020">
      <c r="A2020">
        <v>2019</v>
      </c>
      <c r="B2020" t="str">
        <v>Công an xã Phiêng Luông  tỉnh Hà Giang</v>
      </c>
      <c r="C2020" t="str">
        <v>-</v>
      </c>
      <c r="D2020" t="str">
        <v>-</v>
      </c>
      <c r="E2020" t="str">
        <v/>
      </c>
      <c r="F2020" t="str">
        <v>-</v>
      </c>
      <c r="G2020" t="str">
        <v>-</v>
      </c>
    </row>
    <row r="2021">
      <c r="A2021">
        <v>2020</v>
      </c>
      <c r="B2021">
        <f>HYPERLINK("https://xphiengluong.hagiang.gov.vn/chi-tiet-tin-tuc/-/news/1325746/danh-b%E1%BA%A1-ng%C6%B0%E1%BB%9Di-%C4%91%E1%BB%A9ng-%C4%91%E1%BA%A7u-c%C3%A1c-ban-ng%C3%A0nh-c%C3%A1n-b%E1%BB%99-c%C3%B4ng-ch%E1%BB%A9c-x%C3%A3-phi%C3%AAng-lu%C3%B4ng.html", "UBND Ủy ban nhân dân xã Phiêng Luông  tỉnh Hà Giang")</f>
      </c>
      <c r="C2021" t="str">
        <v>https://xphiengluong.hagiang.gov.vn/chi-tiet-tin-tuc/-/news/1325746/danh-b%E1%BA%A1-ng%C6%B0%E1%BB%9Di-%C4%91%E1%BB%A9ng-%C4%91%E1%BA%A7u-c%C3%A1c-ban-ng%C3%A0nh-c%C3%A1n-b%E1%BB%99-c%C3%B4ng-ch%E1%BB%A9c-x%C3%A3-phi%C3%AAng-lu%C3%B4ng.html</v>
      </c>
      <c r="D2021" t="str">
        <v>-</v>
      </c>
      <c r="E2021" t="str">
        <v>-</v>
      </c>
      <c r="F2021" t="str">
        <v>-</v>
      </c>
      <c r="G2021" t="str">
        <v>-</v>
      </c>
    </row>
    <row r="2022">
      <c r="A2022">
        <v>2021</v>
      </c>
      <c r="B2022">
        <f>HYPERLINK("https://www.facebook.com/p/Tu%E1%BB%95i-tr%E1%BA%BB-C%C3%B4ng-an-Th%C3%A0nh-ph%E1%BB%91-V%C4%A9nh-Y%C3%AAn-100066497717181/?locale=nl_BE", "Công an thị trấn Vinh Quang  tỉnh Hà Giang")</f>
      </c>
      <c r="C2022" t="str">
        <v>https://www.facebook.com/p/Tu%E1%BB%95i-tr%E1%BA%BB-C%C3%B4ng-an-Th%C3%A0nh-ph%E1%BB%91-V%C4%A9nh-Y%C3%AAn-100066497717181/?locale=nl_BE</v>
      </c>
      <c r="D2022" t="str">
        <v>-</v>
      </c>
      <c r="E2022" t="str">
        <v>02113861204</v>
      </c>
      <c r="F2022" t="str">
        <v>-</v>
      </c>
      <c r="G2022" t="str">
        <v>Lê Xoay - Ngô Quyền - Vĩnh Yên, Yen, Vietnam</v>
      </c>
    </row>
    <row r="2023">
      <c r="A2023">
        <v>2022</v>
      </c>
      <c r="B2023">
        <f>HYPERLINK("https://hoangsuphi.hagiang.gov.vn/chi-tiet-tin-tuc/-/news/44725/th%C3%B4ng-tin-gi%E1%BB%9Bi-thi%E1%BB%87u-th%E1%BB%8B-tr%E1%BA%A5n-vinh-quang-huy%E1%BB%87n-ho%C3%A0ng-su-ph%C3%AC.html", "UBND Ủy ban nhân dân thị trấn Vinh Quang  tỉnh Hà Giang")</f>
      </c>
      <c r="C2023" t="str">
        <v>https://hoangsuphi.hagiang.gov.vn/chi-tiet-tin-tuc/-/news/44725/th%C3%B4ng-tin-gi%E1%BB%9Bi-thi%E1%BB%87u-th%E1%BB%8B-tr%E1%BA%A5n-vinh-quang-huy%E1%BB%87n-ho%C3%A0ng-su-ph%C3%AC.html</v>
      </c>
      <c r="D2023" t="str">
        <v>-</v>
      </c>
      <c r="E2023" t="str">
        <v>-</v>
      </c>
      <c r="F2023" t="str">
        <v>-</v>
      </c>
      <c r="G2023" t="str">
        <v>-</v>
      </c>
    </row>
    <row r="2024">
      <c r="A2024">
        <v>2023</v>
      </c>
      <c r="B2024">
        <f>HYPERLINK("https://www.facebook.com/tuoitrecongansonla/", "Công an xã Bản Máy  tỉnh Hà Giang")</f>
      </c>
      <c r="C2024" t="str">
        <v>https://www.facebook.com/tuoitrecongansonla/</v>
      </c>
      <c r="D2024" t="str">
        <v>-</v>
      </c>
      <c r="E2024" t="str">
        <v/>
      </c>
      <c r="F2024" t="str">
        <v>doanthanhniencasl@gmail.com</v>
      </c>
      <c r="G2024" t="str">
        <v>-</v>
      </c>
    </row>
    <row r="2025">
      <c r="A2025">
        <v>2024</v>
      </c>
      <c r="B2025">
        <f>HYPERLINK("https://hoangsuphi.hagiang.gov.vn/", "UBND Ủy ban nhân dân xã Bản Máy  tỉnh Hà Giang")</f>
      </c>
      <c r="C2025" t="str">
        <v>https://hoangsuphi.hagiang.gov.vn/</v>
      </c>
      <c r="D2025" t="str">
        <v>-</v>
      </c>
      <c r="E2025" t="str">
        <v>-</v>
      </c>
      <c r="F2025" t="str">
        <v>-</v>
      </c>
      <c r="G2025" t="str">
        <v>-</v>
      </c>
    </row>
    <row r="2026">
      <c r="A2026">
        <v>2025</v>
      </c>
      <c r="B2026">
        <f>HYPERLINK("https://www.facebook.com/tuoitreconganhagiang/", "Công an xã Thàng Tín  tỉnh Hà Giang")</f>
      </c>
      <c r="C2026" t="str">
        <v>https://www.facebook.com/tuoitreconganhagiang/</v>
      </c>
      <c r="D2026" t="str">
        <v>0339977730</v>
      </c>
      <c r="E2026" t="str">
        <v>-</v>
      </c>
      <c r="F2026" t="str">
        <v>fanpagetuoitreconganhg@gmail.com</v>
      </c>
      <c r="G2026" t="str">
        <v>Số 28, đường Phan Chu Trinh, Hà Giang, Vietnam</v>
      </c>
    </row>
    <row r="2027">
      <c r="A2027">
        <v>2026</v>
      </c>
      <c r="B2027">
        <f>HYPERLINK("https://thanhpho.hagiang.gov.vn/", "UBND Ủy ban nhân dân xã Thàng Tín  tỉnh Hà Giang")</f>
      </c>
      <c r="C2027" t="str">
        <v>https://thanhpho.hagiang.gov.vn/</v>
      </c>
      <c r="D2027" t="str">
        <v>-</v>
      </c>
      <c r="E2027" t="str">
        <v>-</v>
      </c>
      <c r="F2027" t="str">
        <v>-</v>
      </c>
      <c r="G2027" t="str">
        <v>-</v>
      </c>
    </row>
    <row r="2028">
      <c r="A2028">
        <v>2027</v>
      </c>
      <c r="B2028" t="str">
        <v>Công an xã Thèn Chu Phìn  tỉnh Hà Giang</v>
      </c>
      <c r="C2028" t="str">
        <v>-</v>
      </c>
      <c r="D2028" t="str">
        <v>-</v>
      </c>
      <c r="E2028" t="str">
        <v/>
      </c>
      <c r="F2028" t="str">
        <v>-</v>
      </c>
      <c r="G2028" t="str">
        <v>-</v>
      </c>
    </row>
    <row r="2029">
      <c r="A2029">
        <v>2028</v>
      </c>
      <c r="B2029">
        <f>HYPERLINK("https://hoangsuphi.hagiang.gov.vn/chi-tiet-tin-tuc/-/news/44725/x%25C3%25A3-th%25C3%25A8n-chu-ph%25C3%25ACn-huy%25E1%25BB%2587n-ho%25C3%25A0ng-su-ph%25C3%25AC-t%25E1%25BB%2589nh-h%25C3%25A0-giang.html", "UBND Ủy ban nhân dân xã Thèn Chu Phìn  tỉnh Hà Giang")</f>
      </c>
      <c r="C2029" t="str">
        <v>https://hoangsuphi.hagiang.gov.vn/chi-tiet-tin-tuc/-/news/44725/x%25C3%25A3-th%25C3%25A8n-chu-ph%25C3%25ACn-huy%25E1%25BB%2587n-ho%25C3%25A0ng-su-ph%25C3%25AC-t%25E1%25BB%2589nh-h%25C3%25A0-giang.html</v>
      </c>
      <c r="D2029" t="str">
        <v>-</v>
      </c>
      <c r="E2029" t="str">
        <v>-</v>
      </c>
      <c r="F2029" t="str">
        <v>-</v>
      </c>
      <c r="G2029" t="str">
        <v>-</v>
      </c>
    </row>
    <row r="2030">
      <c r="A2030">
        <v>2029</v>
      </c>
      <c r="B2030">
        <f>HYPERLINK("https://www.facebook.com/p/Tu%E1%BB%95i-tr%E1%BA%BB-C%C3%B4ng-an-Th%C3%A0nh-ph%E1%BB%91-V%C4%A9nh-Y%C3%AAn-100066497717181/?locale=nl_BE", "Công an xã Pố Lồ  tỉnh Hà Giang")</f>
      </c>
      <c r="C2030" t="str">
        <v>https://www.facebook.com/p/Tu%E1%BB%95i-tr%E1%BA%BB-C%C3%B4ng-an-Th%C3%A0nh-ph%E1%BB%91-V%C4%A9nh-Y%C3%AAn-100066497717181/?locale=nl_BE</v>
      </c>
      <c r="D2030" t="str">
        <v>-</v>
      </c>
      <c r="E2030" t="str">
        <v>02113861204</v>
      </c>
      <c r="F2030" t="str">
        <v>-</v>
      </c>
      <c r="G2030" t="str">
        <v>Lê Xoay - Ngô Quyền - Vĩnh Yên, Yen, Vietnam</v>
      </c>
    </row>
    <row r="2031">
      <c r="A2031">
        <v>2030</v>
      </c>
      <c r="B2031">
        <f>HYPERLINK("https://hoangsuphi.hagiang.gov.vn/chi-tiet-tin-tuc/-/news/44725/x%C3%A3-p%E1%BB%91-l%E1%BB%93-huy%E1%BB%87n-ho%C3%A0ng-su-ph%C3%AC.html", "UBND Ủy ban nhân dân xã Pố Lồ  tỉnh Hà Giang")</f>
      </c>
      <c r="C2031" t="str">
        <v>https://hoangsuphi.hagiang.gov.vn/chi-tiet-tin-tuc/-/news/44725/x%C3%A3-p%E1%BB%91-l%E1%BB%93-huy%E1%BB%87n-ho%C3%A0ng-su-ph%C3%AC.html</v>
      </c>
      <c r="D2031" t="str">
        <v>-</v>
      </c>
      <c r="E2031" t="str">
        <v>-</v>
      </c>
      <c r="F2031" t="str">
        <v>-</v>
      </c>
      <c r="G2031" t="str">
        <v>-</v>
      </c>
    </row>
    <row r="2032">
      <c r="A2032">
        <v>2031</v>
      </c>
      <c r="B2032" t="str">
        <v>Công an xã Bản Phùng  tỉnh Hà Giang</v>
      </c>
      <c r="C2032" t="str">
        <v>-</v>
      </c>
      <c r="D2032" t="str">
        <v>-</v>
      </c>
      <c r="E2032" t="str">
        <v/>
      </c>
      <c r="F2032" t="str">
        <v>-</v>
      </c>
      <c r="G2032" t="str">
        <v>-</v>
      </c>
    </row>
    <row r="2033">
      <c r="A2033">
        <v>2032</v>
      </c>
      <c r="B2033">
        <f>HYPERLINK("https://hoangsuphi.hagiang.gov.vn/chi-tiet-tin-tuc/-/news/44725/th%25C3%25B4ng-tin-gi%25E1%25BB%259Bi-thi%25E1%25BB%2587u-%25E1%25BB%25A6y-ban-nh%25C3%25A2n-d%25C3%25A2n-x%25C3%25A3-b%25E1%25BA%25A3n-ph%25C3%25B9ng.html", "UBND Ủy ban nhân dân xã Bản Phùng  tỉnh Hà Giang")</f>
      </c>
      <c r="C2033" t="str">
        <v>https://hoangsuphi.hagiang.gov.vn/chi-tiet-tin-tuc/-/news/44725/th%25C3%25B4ng-tin-gi%25E1%25BB%259Bi-thi%25E1%25BB%2587u-%25E1%25BB%25A6y-ban-nh%25C3%25A2n-d%25C3%25A2n-x%25C3%25A3-b%25E1%25BA%25A3n-ph%25C3%25B9ng.html</v>
      </c>
      <c r="D2033" t="str">
        <v>-</v>
      </c>
      <c r="E2033" t="str">
        <v>-</v>
      </c>
      <c r="F2033" t="str">
        <v>-</v>
      </c>
      <c r="G2033" t="str">
        <v>-</v>
      </c>
    </row>
    <row r="2034">
      <c r="A2034">
        <v>2033</v>
      </c>
      <c r="B2034" t="str">
        <v>Công an xã Túng Sán  tỉnh Hà Giang</v>
      </c>
      <c r="C2034" t="str">
        <v>-</v>
      </c>
      <c r="D2034" t="str">
        <v>-</v>
      </c>
      <c r="E2034" t="str">
        <v/>
      </c>
      <c r="F2034" t="str">
        <v>-</v>
      </c>
      <c r="G2034" t="str">
        <v>-</v>
      </c>
    </row>
    <row r="2035">
      <c r="A2035">
        <v>2034</v>
      </c>
      <c r="B2035">
        <f>HYPERLINK("https://hoangsuphi.hagiang.gov.vn/", "UBND Ủy ban nhân dân xã Túng Sán  tỉnh Hà Giang")</f>
      </c>
      <c r="C2035" t="str">
        <v>https://hoangsuphi.hagiang.gov.vn/</v>
      </c>
      <c r="D2035" t="str">
        <v>-</v>
      </c>
      <c r="E2035" t="str">
        <v>-</v>
      </c>
      <c r="F2035" t="str">
        <v>-</v>
      </c>
      <c r="G2035" t="str">
        <v>-</v>
      </c>
    </row>
    <row r="2036">
      <c r="A2036">
        <v>2035</v>
      </c>
      <c r="B2036" t="str">
        <v>Công an xã Chiến Phố  tỉnh Hà Giang</v>
      </c>
      <c r="C2036" t="str">
        <v>-</v>
      </c>
      <c r="D2036" t="str">
        <v>-</v>
      </c>
      <c r="E2036" t="str">
        <v/>
      </c>
      <c r="F2036" t="str">
        <v>-</v>
      </c>
      <c r="G2036" t="str">
        <v>-</v>
      </c>
    </row>
    <row r="2037">
      <c r="A2037">
        <v>2036</v>
      </c>
      <c r="B2037">
        <f>HYPERLINK("https://hoangsuphi.hagiang.gov.vn/", "UBND Ủy ban nhân dân xã Chiến Phố  tỉnh Hà Giang")</f>
      </c>
      <c r="C2037" t="str">
        <v>https://hoangsuphi.hagiang.gov.vn/</v>
      </c>
      <c r="D2037" t="str">
        <v>-</v>
      </c>
      <c r="E2037" t="str">
        <v>-</v>
      </c>
      <c r="F2037" t="str">
        <v>-</v>
      </c>
      <c r="G2037" t="str">
        <v>-</v>
      </c>
    </row>
    <row r="2038">
      <c r="A2038">
        <v>2037</v>
      </c>
      <c r="B2038" t="str">
        <v>Công an xã Đản Ván  tỉnh Hà Giang</v>
      </c>
      <c r="C2038" t="str">
        <v>-</v>
      </c>
      <c r="D2038" t="str">
        <v>-</v>
      </c>
      <c r="E2038" t="str">
        <v/>
      </c>
      <c r="F2038" t="str">
        <v>-</v>
      </c>
      <c r="G2038" t="str">
        <v>-</v>
      </c>
    </row>
    <row r="2039">
      <c r="A2039">
        <v>2038</v>
      </c>
      <c r="B2039">
        <f>HYPERLINK("https://hoangsuphi.hagiang.gov.vn/chi-tiet-tin-tuc/-/news/44725/th%C3%B4ng-tin-gi%E1%BB%9Bi-thi%E1%BB%87u-x%C3%A3-%C4%90%E1%BA%A3n-v%C3%A1n-huy%E1%BB%87n-ho%C3%A0ng-su-ph%C3%AC.html", "UBND Ủy ban nhân dân xã Đản Ván  tỉnh Hà Giang")</f>
      </c>
      <c r="C2039" t="str">
        <v>https://hoangsuphi.hagiang.gov.vn/chi-tiet-tin-tuc/-/news/44725/th%C3%B4ng-tin-gi%E1%BB%9Bi-thi%E1%BB%87u-x%C3%A3-%C4%90%E1%BA%A3n-v%C3%A1n-huy%E1%BB%87n-ho%C3%A0ng-su-ph%C3%AC.html</v>
      </c>
      <c r="D2039" t="str">
        <v>-</v>
      </c>
      <c r="E2039" t="str">
        <v>-</v>
      </c>
      <c r="F2039" t="str">
        <v>-</v>
      </c>
      <c r="G2039" t="str">
        <v>-</v>
      </c>
    </row>
    <row r="2040">
      <c r="A2040">
        <v>2039</v>
      </c>
      <c r="B2040">
        <f>HYPERLINK("https://www.facebook.com/tuoitreconganhagiang/", "Công an xã Tụ Nhân  tỉnh Hà Giang")</f>
      </c>
      <c r="C2040" t="str">
        <v>https://www.facebook.com/tuoitreconganhagiang/</v>
      </c>
      <c r="D2040" t="str">
        <v>0339977730</v>
      </c>
      <c r="E2040" t="str">
        <v>-</v>
      </c>
      <c r="F2040" t="str">
        <v>fanpagetuoitreconganhg@gmail.com</v>
      </c>
      <c r="G2040" t="str">
        <v>Số 28, đường Phan Chu Trinh, Hà Giang, Vietnam</v>
      </c>
    </row>
    <row r="2041">
      <c r="A2041">
        <v>2040</v>
      </c>
      <c r="B2041">
        <f>HYPERLINK("https://dongvan.hagiang.gov.vn/", "UBND Ủy ban nhân dân xã Tụ Nhân  tỉnh Hà Giang")</f>
      </c>
      <c r="C2041" t="str">
        <v>https://dongvan.hagiang.gov.vn/</v>
      </c>
      <c r="D2041" t="str">
        <v>-</v>
      </c>
      <c r="E2041" t="str">
        <v>-</v>
      </c>
      <c r="F2041" t="str">
        <v>-</v>
      </c>
      <c r="G2041" t="str">
        <v>-</v>
      </c>
    </row>
    <row r="2042">
      <c r="A2042">
        <v>2041</v>
      </c>
      <c r="B2042">
        <f>HYPERLINK("https://www.facebook.com/tuoitreconganhagiang/", "Công an xã Tân Tiến  tỉnh Hà Giang")</f>
      </c>
      <c r="C2042" t="str">
        <v>https://www.facebook.com/tuoitreconganhagiang/</v>
      </c>
      <c r="D2042" t="str">
        <v>0339977730</v>
      </c>
      <c r="E2042" t="str">
        <v>-</v>
      </c>
      <c r="F2042" t="str">
        <v>fanpagetuoitreconganhg@gmail.com</v>
      </c>
      <c r="G2042" t="str">
        <v>Số 28, đường Phan Chu Trinh, Hà Giang, Vietnam</v>
      </c>
    </row>
    <row r="2043">
      <c r="A2043">
        <v>2042</v>
      </c>
      <c r="B2043">
        <f>HYPERLINK("https://tantien.tpbacgiang.bacgiang.gov.vn/", "UBND Ủy ban nhân dân xã Tân Tiến  tỉnh Hà Giang")</f>
      </c>
      <c r="C2043" t="str">
        <v>https://tantien.tpbacgiang.bacgiang.gov.vn/</v>
      </c>
      <c r="D2043" t="str">
        <v>-</v>
      </c>
      <c r="E2043" t="str">
        <v>-</v>
      </c>
      <c r="F2043" t="str">
        <v>-</v>
      </c>
      <c r="G2043" t="str">
        <v>-</v>
      </c>
    </row>
    <row r="2044">
      <c r="A2044">
        <v>2043</v>
      </c>
      <c r="B2044">
        <f>HYPERLINK("https://www.facebook.com/tuoitreconganquanhadong/", "Công an xã Nàng Đôn  tỉnh Hà Giang")</f>
      </c>
      <c r="C2044" t="str">
        <v>https://www.facebook.com/tuoitreconganquanhadong/</v>
      </c>
      <c r="D2044" t="str">
        <v>-</v>
      </c>
      <c r="E2044" t="str">
        <v/>
      </c>
      <c r="F2044" t="str">
        <v>-</v>
      </c>
      <c r="G2044" t="str">
        <v>-</v>
      </c>
    </row>
    <row r="2045">
      <c r="A2045">
        <v>2044</v>
      </c>
      <c r="B2045">
        <f>HYPERLINK("https://hoangsuphi.hagiang.gov.vn/chi-tiet-tin-tuc/-/news/44725/th%C3%B4ng-tin-gi%E1%BB%9Bi-thi%E1%BB%87u-%E1%BB%A6y-ban-nh%C3%A2n-d%C3%A2n-x%C3%A3-n%C3%A0ng-%C4%90%C3%B4n-huy%E1%BB%87n-ho%C3%A0ng-su-ph%C3%AC.html", "UBND Ủy ban nhân dân xã Nàng Đôn  tỉnh Hà Giang")</f>
      </c>
      <c r="C2045" t="str">
        <v>https://hoangsuphi.hagiang.gov.vn/chi-tiet-tin-tuc/-/news/44725/th%C3%B4ng-tin-gi%E1%BB%9Bi-thi%E1%BB%87u-%E1%BB%A6y-ban-nh%C3%A2n-d%C3%A2n-x%C3%A3-n%C3%A0ng-%C4%90%C3%B4n-huy%E1%BB%87n-ho%C3%A0ng-su-ph%C3%AC.html</v>
      </c>
      <c r="D2045" t="str">
        <v>-</v>
      </c>
      <c r="E2045" t="str">
        <v>-</v>
      </c>
      <c r="F2045" t="str">
        <v>-</v>
      </c>
      <c r="G2045" t="str">
        <v>-</v>
      </c>
    </row>
    <row r="2046">
      <c r="A2046">
        <v>2045</v>
      </c>
      <c r="B2046" t="str">
        <v>Công an xã Pờ Ly Ngài  tỉnh Hà Giang</v>
      </c>
      <c r="C2046" t="str">
        <v>-</v>
      </c>
      <c r="D2046" t="str">
        <v>-</v>
      </c>
      <c r="E2046" t="str">
        <v/>
      </c>
      <c r="F2046" t="str">
        <v>-</v>
      </c>
      <c r="G2046" t="str">
        <v>-</v>
      </c>
    </row>
    <row r="2047">
      <c r="A2047">
        <v>2046</v>
      </c>
      <c r="B2047">
        <f>HYPERLINK("https://hoangsuphi.hagiang.gov.vn/chi-tiet-tin-tuc/-/news/44725/gi%25E1%25BB%259Bi-thi%25E1%25BB%2587u-chung-v%25E1%25BB%2581-x%25C3%25A3-p%25E1%25BB%259D-ly-ng%25C3%25A0i.html", "UBND Ủy ban nhân dân xã Pờ Ly Ngài  tỉnh Hà Giang")</f>
      </c>
      <c r="C2047" t="str">
        <v>https://hoangsuphi.hagiang.gov.vn/chi-tiet-tin-tuc/-/news/44725/gi%25E1%25BB%259Bi-thi%25E1%25BB%2587u-chung-v%25E1%25BB%2581-x%25C3%25A3-p%25E1%25BB%259D-ly-ng%25C3%25A0i.html</v>
      </c>
      <c r="D2047" t="str">
        <v>-</v>
      </c>
      <c r="E2047" t="str">
        <v>-</v>
      </c>
      <c r="F2047" t="str">
        <v>-</v>
      </c>
      <c r="G2047" t="str">
        <v>-</v>
      </c>
    </row>
    <row r="2048">
      <c r="A2048">
        <v>2047</v>
      </c>
      <c r="B2048" t="str">
        <v>Công an xã Sán Xả Hồ  tỉnh Hà Giang</v>
      </c>
      <c r="C2048" t="str">
        <v>-</v>
      </c>
      <c r="D2048" t="str">
        <v>-</v>
      </c>
      <c r="E2048" t="str">
        <v/>
      </c>
      <c r="F2048" t="str">
        <v>-</v>
      </c>
      <c r="G2048" t="str">
        <v>-</v>
      </c>
    </row>
    <row r="2049">
      <c r="A2049">
        <v>2048</v>
      </c>
      <c r="B2049">
        <f>HYPERLINK("https://hoangsuphi.hagiang.gov.vn/", "UBND Ủy ban nhân dân xã Sán Xả Hồ  tỉnh Hà Giang")</f>
      </c>
      <c r="C2049" t="str">
        <v>https://hoangsuphi.hagiang.gov.vn/</v>
      </c>
      <c r="D2049" t="str">
        <v>-</v>
      </c>
      <c r="E2049" t="str">
        <v>-</v>
      </c>
      <c r="F2049" t="str">
        <v>-</v>
      </c>
      <c r="G2049" t="str">
        <v>-</v>
      </c>
    </row>
    <row r="2050">
      <c r="A2050">
        <v>2049</v>
      </c>
      <c r="B2050">
        <f>HYPERLINK("https://www.facebook.com/p/%C4%90O%C3%80N-X%C3%83-B%E1%BA%A2N-LU%E1%BB%90C-100075958778433/?locale=hi_IN", "Công an xã Bản Luốc  tỉnh Hà Giang")</f>
      </c>
      <c r="C2050" t="str">
        <v>https://www.facebook.com/p/%C4%90O%C3%80N-X%C3%83-B%E1%BA%A2N-LU%E1%BB%90C-100075958778433/?locale=hi_IN</v>
      </c>
      <c r="D2050" t="str">
        <v>-</v>
      </c>
      <c r="E2050" t="str">
        <v/>
      </c>
      <c r="F2050" t="str">
        <v>-</v>
      </c>
      <c r="G2050" t="str">
        <v>-</v>
      </c>
    </row>
    <row r="2051">
      <c r="A2051">
        <v>2050</v>
      </c>
      <c r="B2051">
        <f>HYPERLINK("https://hoangsuphi.hagiang.gov.vn/chi-tiet-tin-tuc/-/news/44725/th%C3%B4ng-tin-gi%E1%BB%9Bi-thi%E1%BB%87u-x%C3%A3-b%E1%BA%A3n-lu%E1%BB%91c-huy%E1%BB%87n-ho%C3%A0ng-su-ph%C3%AC.html", "UBND Ủy ban nhân dân xã Bản Luốc  tỉnh Hà Giang")</f>
      </c>
      <c r="C2051" t="str">
        <v>https://hoangsuphi.hagiang.gov.vn/chi-tiet-tin-tuc/-/news/44725/th%C3%B4ng-tin-gi%E1%BB%9Bi-thi%E1%BB%87u-x%C3%A3-b%E1%BA%A3n-lu%E1%BB%91c-huy%E1%BB%87n-ho%C3%A0ng-su-ph%C3%AC.html</v>
      </c>
      <c r="D2051" t="str">
        <v>-</v>
      </c>
      <c r="E2051" t="str">
        <v>-</v>
      </c>
      <c r="F2051" t="str">
        <v>-</v>
      </c>
      <c r="G2051" t="str">
        <v>-</v>
      </c>
    </row>
    <row r="2052">
      <c r="A2052">
        <v>2051</v>
      </c>
      <c r="B2052" t="str">
        <v>Công an xã Ngàm Đăng Vài  tỉnh Hà Giang</v>
      </c>
      <c r="C2052" t="str">
        <v>-</v>
      </c>
      <c r="D2052" t="str">
        <v>-</v>
      </c>
      <c r="E2052" t="str">
        <v/>
      </c>
      <c r="F2052" t="str">
        <v>-</v>
      </c>
      <c r="G2052" t="str">
        <v>-</v>
      </c>
    </row>
    <row r="2053">
      <c r="A2053">
        <v>2052</v>
      </c>
      <c r="B2053">
        <f>HYPERLINK("https://xngamdangvai.hagiang.gov.vn/", "UBND Ủy ban nhân dân xã Ngàm Đăng Vài  tỉnh Hà Giang")</f>
      </c>
      <c r="C2053" t="str">
        <v>https://xngamdangvai.hagiang.gov.vn/</v>
      </c>
      <c r="D2053" t="str">
        <v>-</v>
      </c>
      <c r="E2053" t="str">
        <v>-</v>
      </c>
      <c r="F2053" t="str">
        <v>-</v>
      </c>
      <c r="G2053" t="str">
        <v>-</v>
      </c>
    </row>
    <row r="2054">
      <c r="A2054">
        <v>2053</v>
      </c>
      <c r="B2054">
        <f>HYPERLINK("https://www.facebook.com/tuoitrecongansonla/", "Công an xã Bản Nhùng  tỉnh Hà Giang")</f>
      </c>
      <c r="C2054" t="str">
        <v>https://www.facebook.com/tuoitrecongansonla/</v>
      </c>
      <c r="D2054" t="str">
        <v>-</v>
      </c>
      <c r="E2054" t="str">
        <v/>
      </c>
      <c r="F2054" t="str">
        <v>doanthanhniencasl@gmail.com</v>
      </c>
      <c r="G2054" t="str">
        <v>-</v>
      </c>
    </row>
    <row r="2055">
      <c r="A2055">
        <v>2054</v>
      </c>
      <c r="B2055">
        <f>HYPERLINK("https://hoangsuphi.hagiang.gov.vn/vi/chi-tiet-tin-tuc/-/news/44725/th%C3%B4ng-tin-gi%E1%BB%9Bi-thi%E1%BB%87u-%E1%BB%A6y-ban-nh%C3%A2n-d%C3%A2n-x%C3%A3-b%E1%BA%A3n-p%C3%A9o-huy%E1%BB%87n-ho%C3%A0ng-su-ph%C3%AC.html", "UBND Ủy ban nhân dân xã Bản Nhùng  tỉnh Hà Giang")</f>
      </c>
      <c r="C2055" t="str">
        <v>https://hoangsuphi.hagiang.gov.vn/vi/chi-tiet-tin-tuc/-/news/44725/th%C3%B4ng-tin-gi%E1%BB%9Bi-thi%E1%BB%87u-%E1%BB%A6y-ban-nh%C3%A2n-d%C3%A2n-x%C3%A3-b%E1%BA%A3n-p%C3%A9o-huy%E1%BB%87n-ho%C3%A0ng-su-ph%C3%AC.html</v>
      </c>
      <c r="D2055" t="str">
        <v>-</v>
      </c>
      <c r="E2055" t="str">
        <v>-</v>
      </c>
      <c r="F2055" t="str">
        <v>-</v>
      </c>
      <c r="G2055" t="str">
        <v>-</v>
      </c>
    </row>
    <row r="2056">
      <c r="A2056">
        <v>2055</v>
      </c>
      <c r="B2056">
        <f>HYPERLINK("https://www.facebook.com/groups/820868724939277/", "Công an xã Tả Sử Choóng  tỉnh Hà Giang")</f>
      </c>
      <c r="C2056" t="str">
        <v>https://www.facebook.com/groups/820868724939277/</v>
      </c>
      <c r="D2056" t="str">
        <v>-</v>
      </c>
      <c r="E2056" t="str">
        <v/>
      </c>
      <c r="F2056" t="str">
        <v>-</v>
      </c>
      <c r="G2056" t="str">
        <v>-</v>
      </c>
    </row>
    <row r="2057">
      <c r="A2057">
        <v>2056</v>
      </c>
      <c r="B2057">
        <f>HYPERLINK("https://hoangsuphi.hagiang.gov.vn/chi-tiet-tin-tuc/-/news/44725/th%25C3%25B4ng-tin-gi%25E1%25BB%259Bi-thi%25E1%25BB%2587u-x%25C3%25A3-t%25E1%25BA%25A3-s%25E1%25BB%25AD-cho%25C3%25B3ng.html", "UBND Ủy ban nhân dân xã Tả Sử Choóng  tỉnh Hà Giang")</f>
      </c>
      <c r="C2057" t="str">
        <v>https://hoangsuphi.hagiang.gov.vn/chi-tiet-tin-tuc/-/news/44725/th%25C3%25B4ng-tin-gi%25E1%25BB%259Bi-thi%25E1%25BB%2587u-x%25C3%25A3-t%25E1%25BA%25A3-s%25E1%25BB%25AD-cho%25C3%25B3ng.html</v>
      </c>
      <c r="D2057" t="str">
        <v>-</v>
      </c>
      <c r="E2057" t="str">
        <v>-</v>
      </c>
      <c r="F2057" t="str">
        <v>-</v>
      </c>
      <c r="G2057" t="str">
        <v>-</v>
      </c>
    </row>
    <row r="2058">
      <c r="A2058">
        <v>2057</v>
      </c>
      <c r="B2058" t="str">
        <v>Công an xã Nậm Dịch  tỉnh Hà Giang</v>
      </c>
      <c r="C2058" t="str">
        <v>-</v>
      </c>
      <c r="D2058" t="str">
        <v>-</v>
      </c>
      <c r="E2058" t="str">
        <v/>
      </c>
      <c r="F2058" t="str">
        <v>-</v>
      </c>
      <c r="G2058" t="str">
        <v>-</v>
      </c>
    </row>
    <row r="2059">
      <c r="A2059">
        <v>2058</v>
      </c>
      <c r="B2059">
        <f>HYPERLINK("https://hoangsuphi.hagiang.gov.vn/chi-tiet-tin-tuc/-/news/44725/cong-bo-quyet-dinh-cong-nhan-thon-10-xa-nam-dich-dat-chuan-nong-thon-moi.html", "UBND Ủy ban nhân dân xã Nậm Dịch  tỉnh Hà Giang")</f>
      </c>
      <c r="C2059" t="str">
        <v>https://hoangsuphi.hagiang.gov.vn/chi-tiet-tin-tuc/-/news/44725/cong-bo-quyet-dinh-cong-nhan-thon-10-xa-nam-dich-dat-chuan-nong-thon-moi.html</v>
      </c>
      <c r="D2059" t="str">
        <v>-</v>
      </c>
      <c r="E2059" t="str">
        <v>-</v>
      </c>
      <c r="F2059" t="str">
        <v>-</v>
      </c>
      <c r="G2059" t="str">
        <v>-</v>
      </c>
    </row>
    <row r="2060">
      <c r="A2060">
        <v>2059</v>
      </c>
      <c r="B2060" t="str">
        <v>Công an xã Bản Péo  tỉnh Hà Giang</v>
      </c>
      <c r="C2060" t="str">
        <v>-</v>
      </c>
      <c r="D2060" t="str">
        <v>-</v>
      </c>
      <c r="E2060" t="str">
        <v/>
      </c>
      <c r="F2060" t="str">
        <v>-</v>
      </c>
      <c r="G2060" t="str">
        <v>-</v>
      </c>
    </row>
    <row r="2061">
      <c r="A2061">
        <v>2060</v>
      </c>
      <c r="B2061">
        <f>HYPERLINK("https://hoangsuphi.hagiang.gov.vn/vi/chi-tiet-tin-tuc/-/news/44725/th%C3%B4ng-tin-gi%E1%BB%9Bi-thi%E1%BB%87u-%E1%BB%A6y-ban-nh%C3%A2n-d%C3%A2n-x%C3%A3-b%E1%BA%A3n-p%C3%A9o-huy%E1%BB%87n-ho%C3%A0ng-su-ph%C3%AC.html", "UBND Ủy ban nhân dân xã Bản Péo  tỉnh Hà Giang")</f>
      </c>
      <c r="C2061" t="str">
        <v>https://hoangsuphi.hagiang.gov.vn/vi/chi-tiet-tin-tuc/-/news/44725/th%C3%B4ng-tin-gi%E1%BB%9Bi-thi%E1%BB%87u-%E1%BB%A6y-ban-nh%C3%A2n-d%C3%A2n-x%C3%A3-b%E1%BA%A3n-p%C3%A9o-huy%E1%BB%87n-ho%C3%A0ng-su-ph%C3%AC.html</v>
      </c>
      <c r="D2061" t="str">
        <v>-</v>
      </c>
      <c r="E2061" t="str">
        <v>-</v>
      </c>
      <c r="F2061" t="str">
        <v>-</v>
      </c>
      <c r="G2061" t="str">
        <v>-</v>
      </c>
    </row>
    <row r="2062">
      <c r="A2062">
        <v>2061</v>
      </c>
      <c r="B2062">
        <f>HYPERLINK("https://www.facebook.com/100083054333059", "Công an xã Hồ Thầu  tỉnh Hà Giang")</f>
      </c>
      <c r="C2062" t="str">
        <v>https://www.facebook.com/100083054333059</v>
      </c>
      <c r="D2062" t="str">
        <v>-</v>
      </c>
      <c r="E2062" t="str">
        <v/>
      </c>
      <c r="F2062" t="str">
        <v>-</v>
      </c>
      <c r="G2062" t="str">
        <v>-</v>
      </c>
    </row>
    <row r="2063">
      <c r="A2063">
        <v>2062</v>
      </c>
      <c r="B2063">
        <f>HYPERLINK("https://hoangsuphi.hagiang.gov.vn/chi-tiet-tin-tuc/-/news/44725/x%25C3%25A3-h%25E1%25BB%2593-th%25E1%25BA%25A7u-huy%25E1%25BB%2587n-ho%25C3%25A0ng-su-ph%25C3%25AC.html", "UBND Ủy ban nhân dân xã Hồ Thầu  tỉnh Hà Giang")</f>
      </c>
      <c r="C2063" t="str">
        <v>https://hoangsuphi.hagiang.gov.vn/chi-tiet-tin-tuc/-/news/44725/x%25C3%25A3-h%25E1%25BB%2593-th%25E1%25BA%25A7u-huy%25E1%25BB%2587n-ho%25C3%25A0ng-su-ph%25C3%25AC.html</v>
      </c>
      <c r="D2063" t="str">
        <v>-</v>
      </c>
      <c r="E2063" t="str">
        <v>-</v>
      </c>
      <c r="F2063" t="str">
        <v>-</v>
      </c>
      <c r="G2063" t="str">
        <v>-</v>
      </c>
    </row>
    <row r="2064">
      <c r="A2064">
        <v>2063</v>
      </c>
      <c r="B2064">
        <f>HYPERLINK("https://www.facebook.com/tuoitrecongansonla/", "Công an xã Nam Sơn  tỉnh Hà Giang")</f>
      </c>
      <c r="C2064" t="str">
        <v>https://www.facebook.com/tuoitrecongansonla/</v>
      </c>
      <c r="D2064" t="str">
        <v>-</v>
      </c>
      <c r="E2064" t="str">
        <v/>
      </c>
      <c r="F2064" t="str">
        <v>doanthanhniencasl@gmail.com</v>
      </c>
      <c r="G2064" t="str">
        <v>-</v>
      </c>
    </row>
    <row r="2065">
      <c r="A2065">
        <v>2064</v>
      </c>
      <c r="B2065">
        <f>HYPERLINK("https://xnamson.hagiang.gov.vn/", "UBND Ủy ban nhân dân xã Nam Sơn  tỉnh Hà Giang")</f>
      </c>
      <c r="C2065" t="str">
        <v>https://xnamson.hagiang.gov.vn/</v>
      </c>
      <c r="D2065" t="str">
        <v>-</v>
      </c>
      <c r="E2065" t="str">
        <v>-</v>
      </c>
      <c r="F2065" t="str">
        <v>-</v>
      </c>
      <c r="G2065" t="str">
        <v>-</v>
      </c>
    </row>
    <row r="2066">
      <c r="A2066">
        <v>2065</v>
      </c>
      <c r="B2066" t="str">
        <v>Công an xã Nậm Tỵ  tỉnh Hà Giang</v>
      </c>
      <c r="C2066" t="str">
        <v>-</v>
      </c>
      <c r="D2066" t="str">
        <v>-</v>
      </c>
      <c r="E2066" t="str">
        <v/>
      </c>
      <c r="F2066" t="str">
        <v>-</v>
      </c>
      <c r="G2066" t="str">
        <v>-</v>
      </c>
    </row>
    <row r="2067">
      <c r="A2067">
        <v>2066</v>
      </c>
      <c r="B2067">
        <f>HYPERLINK("https://hoangsuphi.hagiang.gov.vn/chi-tiet-tin-tuc/-/news/44725/th%C3%B4ng-tin-gi%E1%BB%9Bi-thi%E1%BB%87u-%E1%BB%A6y-ban-nh%C3%A2n-d%C3%A2n-x%C3%A3-n%C3%A0ng-%C4%90%C3%B4n-huy%E1%BB%87n-ho%C3%A0ng-su-ph%C3%AC.html", "UBND Ủy ban nhân dân xã Nậm Tỵ  tỉnh Hà Giang")</f>
      </c>
      <c r="C2067" t="str">
        <v>https://hoangsuphi.hagiang.gov.vn/chi-tiet-tin-tuc/-/news/44725/th%C3%B4ng-tin-gi%E1%BB%9Bi-thi%E1%BB%87u-%E1%BB%A6y-ban-nh%C3%A2n-d%C3%A2n-x%C3%A3-n%C3%A0ng-%C4%90%C3%B4n-huy%E1%BB%87n-ho%C3%A0ng-su-ph%C3%AC.html</v>
      </c>
      <c r="D2067" t="str">
        <v>-</v>
      </c>
      <c r="E2067" t="str">
        <v>-</v>
      </c>
      <c r="F2067" t="str">
        <v>-</v>
      </c>
      <c r="G2067" t="str">
        <v>-</v>
      </c>
    </row>
    <row r="2068">
      <c r="A2068">
        <v>2067</v>
      </c>
      <c r="B2068">
        <f>HYPERLINK("https://www.facebook.com/congantinhhagiang/", "Công an xã Thông Nguyên  tỉnh Hà Giang")</f>
      </c>
      <c r="C2068" t="str">
        <v>https://www.facebook.com/congantinhhagiang/</v>
      </c>
      <c r="D2068" t="str">
        <v>-</v>
      </c>
      <c r="E2068" t="str">
        <v/>
      </c>
      <c r="F2068" t="str">
        <v>banbientap.ca@hagiang.gov.vn</v>
      </c>
      <c r="G2068" t="str">
        <v>Đường Phan Huy Chú, Tổ 10 Phường Minh Khai, Hà Giang, Vietnam</v>
      </c>
    </row>
    <row r="2069">
      <c r="A2069">
        <v>2068</v>
      </c>
      <c r="B2069">
        <f>HYPERLINK("https://thanhpho.hagiang.gov.vn/", "UBND Ủy ban nhân dân xã Thông Nguyên  tỉnh Hà Giang")</f>
      </c>
      <c r="C2069" t="str">
        <v>https://thanhpho.hagiang.gov.vn/</v>
      </c>
      <c r="D2069" t="str">
        <v>-</v>
      </c>
      <c r="E2069" t="str">
        <v>-</v>
      </c>
      <c r="F2069" t="str">
        <v>-</v>
      </c>
      <c r="G2069" t="str">
        <v>-</v>
      </c>
    </row>
    <row r="2070">
      <c r="A2070">
        <v>2069</v>
      </c>
      <c r="B2070">
        <f>HYPERLINK("https://www.facebook.com/tuoitreconganhagiang/", "Công an xã Nậm Khòa  tỉnh Hà Giang")</f>
      </c>
      <c r="C2070" t="str">
        <v>https://www.facebook.com/tuoitreconganhagiang/</v>
      </c>
      <c r="D2070" t="str">
        <v>0339977730</v>
      </c>
      <c r="E2070" t="str">
        <v>-</v>
      </c>
      <c r="F2070" t="str">
        <v>fanpagetuoitreconganhg@gmail.com</v>
      </c>
      <c r="G2070" t="str">
        <v>Số 28, đường Phan Chu Trinh, Hà Giang, Vietnam</v>
      </c>
    </row>
    <row r="2071">
      <c r="A2071">
        <v>2070</v>
      </c>
      <c r="B2071">
        <f>HYPERLINK("https://xnamkhoa.hagiang.gov.vn/vi", "UBND Ủy ban nhân dân xã Nậm Khòa  tỉnh Hà Giang")</f>
      </c>
      <c r="C2071" t="str">
        <v>https://xnamkhoa.hagiang.gov.vn/vi</v>
      </c>
      <c r="D2071" t="str">
        <v>-</v>
      </c>
      <c r="E2071" t="str">
        <v>-</v>
      </c>
      <c r="F2071" t="str">
        <v>-</v>
      </c>
      <c r="G2071" t="str">
        <v>-</v>
      </c>
    </row>
    <row r="2072">
      <c r="A2072">
        <v>2071</v>
      </c>
      <c r="B2072">
        <f>HYPERLINK("https://www.facebook.com/congantinhhagiang/", "Công an thị trấn Cốc Pài  tỉnh Hà Giang")</f>
      </c>
      <c r="C2072" t="str">
        <v>https://www.facebook.com/congantinhhagiang/</v>
      </c>
      <c r="D2072" t="str">
        <v>-</v>
      </c>
      <c r="E2072" t="str">
        <v/>
      </c>
      <c r="F2072" t="str">
        <v>banbientap.ca@hagiang.gov.vn</v>
      </c>
      <c r="G2072" t="str">
        <v>Đường Phan Huy Chú, Tổ 10 Phường Minh Khai, Hà Giang, Vietnam</v>
      </c>
    </row>
    <row r="2073">
      <c r="A2073">
        <v>2072</v>
      </c>
      <c r="B2073">
        <f>HYPERLINK("https://xinman.hagiang.gov.vn/", "UBND Ủy ban nhân dân thị trấn Cốc Pài  tỉnh Hà Giang")</f>
      </c>
      <c r="C2073" t="str">
        <v>https://xinman.hagiang.gov.vn/</v>
      </c>
      <c r="D2073" t="str">
        <v>-</v>
      </c>
      <c r="E2073" t="str">
        <v>-</v>
      </c>
      <c r="F2073" t="str">
        <v>-</v>
      </c>
      <c r="G2073" t="str">
        <v>-</v>
      </c>
    </row>
    <row r="2074">
      <c r="A2074">
        <v>2073</v>
      </c>
      <c r="B2074" t="str">
        <v>Công an xã Nàn Xỉn  tỉnh Hà Giang</v>
      </c>
      <c r="C2074" t="str">
        <v>-</v>
      </c>
      <c r="D2074" t="str">
        <v>-</v>
      </c>
      <c r="E2074" t="str">
        <v/>
      </c>
      <c r="F2074" t="str">
        <v>-</v>
      </c>
      <c r="G2074" t="str">
        <v>-</v>
      </c>
    </row>
    <row r="2075">
      <c r="A2075">
        <v>2074</v>
      </c>
      <c r="B2075">
        <f>HYPERLINK("https://xinman.hagiang.gov.vn/", "UBND Ủy ban nhân dân xã Nàn Xỉn  tỉnh Hà Giang")</f>
      </c>
      <c r="C2075" t="str">
        <v>https://xinman.hagiang.gov.vn/</v>
      </c>
      <c r="D2075" t="str">
        <v>-</v>
      </c>
      <c r="E2075" t="str">
        <v>-</v>
      </c>
      <c r="F2075" t="str">
        <v>-</v>
      </c>
      <c r="G2075" t="str">
        <v>-</v>
      </c>
    </row>
    <row r="2076">
      <c r="A2076">
        <v>2075</v>
      </c>
      <c r="B2076">
        <f>HYPERLINK("https://www.facebook.com/tuoitrecongansonla/", "Công an xã Bản Díu  tỉnh Hà Giang")</f>
      </c>
      <c r="C2076" t="str">
        <v>https://www.facebook.com/tuoitrecongansonla/</v>
      </c>
      <c r="D2076" t="str">
        <v>-</v>
      </c>
      <c r="E2076" t="str">
        <v/>
      </c>
      <c r="F2076" t="str">
        <v>doanthanhniencasl@gmail.com</v>
      </c>
      <c r="G2076" t="str">
        <v>-</v>
      </c>
    </row>
    <row r="2077">
      <c r="A2077">
        <v>2076</v>
      </c>
      <c r="B2077">
        <f>HYPERLINK("https://xinman.hagiang.gov.vn/chi-tiet-tin-tuc/-/news/44765/cong-bo-quyet-dinh-ve-cong-tac-can-bo-tai-xa-ban-diu.html", "UBND Ủy ban nhân dân xã Bản Díu  tỉnh Hà Giang")</f>
      </c>
      <c r="C2077" t="str">
        <v>https://xinman.hagiang.gov.vn/chi-tiet-tin-tuc/-/news/44765/cong-bo-quyet-dinh-ve-cong-tac-can-bo-tai-xa-ban-diu.html</v>
      </c>
      <c r="D2077" t="str">
        <v>-</v>
      </c>
      <c r="E2077" t="str">
        <v>-</v>
      </c>
      <c r="F2077" t="str">
        <v>-</v>
      </c>
      <c r="G2077" t="str">
        <v>-</v>
      </c>
    </row>
    <row r="2078">
      <c r="A2078">
        <v>2077</v>
      </c>
      <c r="B2078">
        <f>HYPERLINK("https://www.facebook.com/tuoitrecongansonla/?locale=hu_HU", "Công an xã Chí Cà  tỉnh Hà Giang")</f>
      </c>
      <c r="C2078" t="str">
        <v>https://www.facebook.com/tuoitrecongansonla/?locale=hu_HU</v>
      </c>
      <c r="D2078" t="str">
        <v>-</v>
      </c>
      <c r="E2078" t="str">
        <v/>
      </c>
      <c r="F2078" t="str">
        <v>doanthanhniencasl@gmail.com</v>
      </c>
      <c r="G2078" t="str">
        <v>-</v>
      </c>
    </row>
    <row r="2079">
      <c r="A2079">
        <v>2078</v>
      </c>
      <c r="B2079">
        <f>HYPERLINK("https://xinman.hagiang.gov.vn/chi-tiet-tin-tuc/-/news/44765/hong-khong-hat-xa-chi-ca-vao-mua-thu-hoach.html", "UBND Ủy ban nhân dân xã Chí Cà  tỉnh Hà Giang")</f>
      </c>
      <c r="C2079" t="str">
        <v>https://xinman.hagiang.gov.vn/chi-tiet-tin-tuc/-/news/44765/hong-khong-hat-xa-chi-ca-vao-mua-thu-hoach.html</v>
      </c>
      <c r="D2079" t="str">
        <v>-</v>
      </c>
      <c r="E2079" t="str">
        <v>-</v>
      </c>
      <c r="F2079" t="str">
        <v>-</v>
      </c>
      <c r="G2079" t="str">
        <v>-</v>
      </c>
    </row>
    <row r="2080">
      <c r="A2080">
        <v>2079</v>
      </c>
      <c r="B2080">
        <f>HYPERLINK("https://www.facebook.com/p/Tu%E1%BB%95i-tr%E1%BA%BB-C%C3%B4ng-an-Th%C3%A0nh-ph%E1%BB%91-V%C4%A9nh-Y%C3%AAn-100066497717181/?locale=nl_BE", "Công an xã Xín Mần  tỉnh Hà Giang")</f>
      </c>
      <c r="C2080" t="str">
        <v>https://www.facebook.com/p/Tu%E1%BB%95i-tr%E1%BA%BB-C%C3%B4ng-an-Th%C3%A0nh-ph%E1%BB%91-V%C4%A9nh-Y%C3%AAn-100066497717181/?locale=nl_BE</v>
      </c>
      <c r="D2080" t="str">
        <v>-</v>
      </c>
      <c r="E2080" t="str">
        <v>02113861204</v>
      </c>
      <c r="F2080" t="str">
        <v>-</v>
      </c>
      <c r="G2080" t="str">
        <v>Lê Xoay - Ngô Quyền - Vĩnh Yên, Yen, Vietnam</v>
      </c>
    </row>
    <row r="2081">
      <c r="A2081">
        <v>2080</v>
      </c>
      <c r="B2081">
        <f>HYPERLINK("https://xinman.hagiang.gov.vn/", "UBND Ủy ban nhân dân xã Xín Mần  tỉnh Hà Giang")</f>
      </c>
      <c r="C2081" t="str">
        <v>https://xinman.hagiang.gov.vn/</v>
      </c>
      <c r="D2081" t="str">
        <v>-</v>
      </c>
      <c r="E2081" t="str">
        <v>-</v>
      </c>
      <c r="F2081" t="str">
        <v>-</v>
      </c>
      <c r="G2081" t="str">
        <v>-</v>
      </c>
    </row>
    <row r="2082">
      <c r="A2082">
        <v>2081</v>
      </c>
      <c r="B2082" t="str">
        <v>Công an xã Trung Thịnh  tỉnh Hà Giang</v>
      </c>
      <c r="C2082" t="str">
        <v>-</v>
      </c>
      <c r="D2082" t="str">
        <v>-</v>
      </c>
      <c r="E2082" t="str">
        <v/>
      </c>
      <c r="F2082" t="str">
        <v>-</v>
      </c>
      <c r="G2082" t="str">
        <v>-</v>
      </c>
    </row>
    <row r="2083">
      <c r="A2083">
        <v>2082</v>
      </c>
      <c r="B2083">
        <f>HYPERLINK("https://xtrungthinh.hagiang.gov.vn/", "UBND Ủy ban nhân dân xã Trung Thịnh  tỉnh Hà Giang")</f>
      </c>
      <c r="C2083" t="str">
        <v>https://xtrungthinh.hagiang.gov.vn/</v>
      </c>
      <c r="D2083" t="str">
        <v>-</v>
      </c>
      <c r="E2083" t="str">
        <v>-</v>
      </c>
      <c r="F2083" t="str">
        <v>-</v>
      </c>
      <c r="G2083" t="str">
        <v>-</v>
      </c>
    </row>
    <row r="2084">
      <c r="A2084">
        <v>2083</v>
      </c>
      <c r="B2084" t="str">
        <v>Công an xã Thèn Phàng  tỉnh Hà Giang</v>
      </c>
      <c r="C2084" t="str">
        <v>-</v>
      </c>
      <c r="D2084" t="str">
        <v>-</v>
      </c>
      <c r="E2084" t="str">
        <v/>
      </c>
      <c r="F2084" t="str">
        <v>-</v>
      </c>
      <c r="G2084" t="str">
        <v>-</v>
      </c>
    </row>
    <row r="2085">
      <c r="A2085">
        <v>2084</v>
      </c>
      <c r="B2085">
        <f>HYPERLINK("https://xthenphang.hagiang.gov.vn/", "UBND Ủy ban nhân dân xã Thèn Phàng  tỉnh Hà Giang")</f>
      </c>
      <c r="C2085" t="str">
        <v>https://xthenphang.hagiang.gov.vn/</v>
      </c>
      <c r="D2085" t="str">
        <v>-</v>
      </c>
      <c r="E2085" t="str">
        <v>-</v>
      </c>
      <c r="F2085" t="str">
        <v>-</v>
      </c>
      <c r="G2085" t="str">
        <v>-</v>
      </c>
    </row>
    <row r="2086">
      <c r="A2086">
        <v>2085</v>
      </c>
      <c r="B2086" t="str">
        <v>Công an xã Ngán Chiên  tỉnh Hà Giang</v>
      </c>
      <c r="C2086" t="str">
        <v>-</v>
      </c>
      <c r="D2086" t="str">
        <v>-</v>
      </c>
      <c r="E2086" t="str">
        <v/>
      </c>
      <c r="F2086" t="str">
        <v>-</v>
      </c>
      <c r="G2086" t="str">
        <v>-</v>
      </c>
    </row>
    <row r="2087">
      <c r="A2087">
        <v>2086</v>
      </c>
      <c r="B2087">
        <f>HYPERLINK("https://xinman.hagiang.gov.vn/chi-tiet-tin-tuc/-/news/44765/l%E1%BB%85-c%C3%B4ng-b%E1%BB%91-s%C3%A1p-nh%E1%BA%ADp-x%C3%A3-ng%C3%A1n-chi%C3%AAn-v%C3%A0o-x%C3%A3-trung-th%E1%BB%8Bnh.html", "UBND Ủy ban nhân dân xã Ngán Chiên  tỉnh Hà Giang")</f>
      </c>
      <c r="C2087" t="str">
        <v>https://xinman.hagiang.gov.vn/chi-tiet-tin-tuc/-/news/44765/l%E1%BB%85-c%C3%B4ng-b%E1%BB%91-s%C3%A1p-nh%E1%BA%ADp-x%C3%A3-ng%C3%A1n-chi%C3%AAn-v%C3%A0o-x%C3%A3-trung-th%E1%BB%8Bnh.html</v>
      </c>
      <c r="D2087" t="str">
        <v>-</v>
      </c>
      <c r="E2087" t="str">
        <v>-</v>
      </c>
      <c r="F2087" t="str">
        <v>-</v>
      </c>
      <c r="G2087" t="str">
        <v>-</v>
      </c>
    </row>
    <row r="2088">
      <c r="A2088">
        <v>2087</v>
      </c>
      <c r="B2088" t="str">
        <v>Công an xã Pà Vầy Sủ  tỉnh Hà Giang</v>
      </c>
      <c r="C2088" t="str">
        <v>-</v>
      </c>
      <c r="D2088" t="str">
        <v>-</v>
      </c>
      <c r="E2088" t="str">
        <v/>
      </c>
      <c r="F2088" t="str">
        <v>-</v>
      </c>
      <c r="G2088" t="str">
        <v>-</v>
      </c>
    </row>
    <row r="2089">
      <c r="A2089">
        <v>2088</v>
      </c>
      <c r="B2089">
        <f>HYPERLINK("https://xinman.hagiang.gov.vn/chi-tiet-tin-tuc/-/news/44765/th%C3%A0nh-l%E1%BA%ADp-tr%E1%BA%A1m-ki%E1%BB%83m-so%C3%A1t-bi%C3%AAn-ph%C3%B2ng-p%C3%A0-v%E1%BA%A7y-s%E1%BB%A7-huy%E1%BB%87n-x%C3%ADn-m%E1%BA%A7n.html", "UBND Ủy ban nhân dân xã Pà Vầy Sủ  tỉnh Hà Giang")</f>
      </c>
      <c r="C2089" t="str">
        <v>https://xinman.hagiang.gov.vn/chi-tiet-tin-tuc/-/news/44765/th%C3%A0nh-l%E1%BA%ADp-tr%E1%BA%A1m-ki%E1%BB%83m-so%C3%A1t-bi%C3%AAn-ph%C3%B2ng-p%C3%A0-v%E1%BA%A7y-s%E1%BB%A7-huy%E1%BB%87n-x%C3%ADn-m%E1%BA%A7n.html</v>
      </c>
      <c r="D2089" t="str">
        <v>-</v>
      </c>
      <c r="E2089" t="str">
        <v>-</v>
      </c>
      <c r="F2089" t="str">
        <v>-</v>
      </c>
      <c r="G2089" t="str">
        <v>-</v>
      </c>
    </row>
    <row r="2090">
      <c r="A2090">
        <v>2089</v>
      </c>
      <c r="B2090" t="str">
        <v>Công an xã Cốc Rế  tỉnh Hà Giang</v>
      </c>
      <c r="C2090" t="str">
        <v>-</v>
      </c>
      <c r="D2090" t="str">
        <v>-</v>
      </c>
      <c r="E2090" t="str">
        <v/>
      </c>
      <c r="F2090" t="str">
        <v>-</v>
      </c>
      <c r="G2090" t="str">
        <v>-</v>
      </c>
    </row>
    <row r="2091">
      <c r="A2091">
        <v>2090</v>
      </c>
      <c r="B2091">
        <f>HYPERLINK("https://xinman.hagiang.gov.vn/chi-tiet-tin-tuc/-/news/44765/xa-coc-re-huyen-xin-man-ra-quan-lam-duong-xay-dung-nong-thon-moi.html", "UBND Ủy ban nhân dân xã Cốc Rế  tỉnh Hà Giang")</f>
      </c>
      <c r="C2091" t="str">
        <v>https://xinman.hagiang.gov.vn/chi-tiet-tin-tuc/-/news/44765/xa-coc-re-huyen-xin-man-ra-quan-lam-duong-xay-dung-nong-thon-moi.html</v>
      </c>
      <c r="D2091" t="str">
        <v>-</v>
      </c>
      <c r="E2091" t="str">
        <v>-</v>
      </c>
      <c r="F2091" t="str">
        <v>-</v>
      </c>
      <c r="G2091" t="str">
        <v>-</v>
      </c>
    </row>
    <row r="2092">
      <c r="A2092">
        <v>2091</v>
      </c>
      <c r="B2092" t="str">
        <v>Công an xã Thu Tà  tỉnh Hà Giang</v>
      </c>
      <c r="C2092" t="str">
        <v>-</v>
      </c>
      <c r="D2092" t="str">
        <v>-</v>
      </c>
      <c r="E2092" t="str">
        <v/>
      </c>
      <c r="F2092" t="str">
        <v>-</v>
      </c>
      <c r="G2092" t="str">
        <v>-</v>
      </c>
    </row>
    <row r="2093">
      <c r="A2093">
        <v>2092</v>
      </c>
      <c r="B2093">
        <f>HYPERLINK("https://xinman.hagiang.gov.vn/", "UBND Ủy ban nhân dân xã Thu Tà  tỉnh Hà Giang")</f>
      </c>
      <c r="C2093" t="str">
        <v>https://xinman.hagiang.gov.vn/</v>
      </c>
      <c r="D2093" t="str">
        <v>-</v>
      </c>
      <c r="E2093" t="str">
        <v>-</v>
      </c>
      <c r="F2093" t="str">
        <v>-</v>
      </c>
      <c r="G2093" t="str">
        <v>-</v>
      </c>
    </row>
    <row r="2094">
      <c r="A2094">
        <v>2093</v>
      </c>
      <c r="B2094">
        <f>HYPERLINK("https://www.facebook.com/tuoitreconganhagiang/?locale=te_IN", "Công an xã Nàn Ma  tỉnh Hà Giang")</f>
      </c>
      <c r="C2094" t="str">
        <v>https://www.facebook.com/tuoitreconganhagiang/?locale=te_IN</v>
      </c>
      <c r="D2094" t="str">
        <v>0339977730</v>
      </c>
      <c r="E2094" t="str">
        <v>-</v>
      </c>
      <c r="F2094" t="str">
        <v>fanpagetuoitreconganhg@gmail.com</v>
      </c>
      <c r="G2094" t="str">
        <v>Số 28, đường Phan Chu Trinh, Hà Giang, Vietnam</v>
      </c>
    </row>
    <row r="2095">
      <c r="A2095">
        <v>2094</v>
      </c>
      <c r="B2095">
        <f>HYPERLINK("https://xnanma.hagiang.gov.vn/", "UBND Ủy ban nhân dân xã Nàn Ma  tỉnh Hà Giang")</f>
      </c>
      <c r="C2095" t="str">
        <v>https://xnanma.hagiang.gov.vn/</v>
      </c>
      <c r="D2095" t="str">
        <v>-</v>
      </c>
      <c r="E2095" t="str">
        <v>-</v>
      </c>
      <c r="F2095" t="str">
        <v>-</v>
      </c>
      <c r="G2095" t="str">
        <v>-</v>
      </c>
    </row>
    <row r="2096">
      <c r="A2096">
        <v>2095</v>
      </c>
      <c r="B2096" t="str">
        <v>Công an xã Tả Nhìu  tỉnh Hà Giang</v>
      </c>
      <c r="C2096" t="str">
        <v>-</v>
      </c>
      <c r="D2096" t="str">
        <v>-</v>
      </c>
      <c r="E2096" t="str">
        <v/>
      </c>
      <c r="F2096" t="str">
        <v>-</v>
      </c>
      <c r="G2096" t="str">
        <v>-</v>
      </c>
    </row>
    <row r="2097">
      <c r="A2097">
        <v>2096</v>
      </c>
      <c r="B2097">
        <f>HYPERLINK("https://xinman.hagiang.gov.vn/chi-tiet-tin-tuc/-/news/44765/thuong-truc-ubnd-huyen-den-kiem-tra-tai-xa-ta-nhiu.html", "UBND Ủy ban nhân dân xã Tả Nhìu  tỉnh Hà Giang")</f>
      </c>
      <c r="C2097" t="str">
        <v>https://xinman.hagiang.gov.vn/chi-tiet-tin-tuc/-/news/44765/thuong-truc-ubnd-huyen-den-kiem-tra-tai-xa-ta-nhiu.html</v>
      </c>
      <c r="D2097" t="str">
        <v>-</v>
      </c>
      <c r="E2097" t="str">
        <v>-</v>
      </c>
      <c r="F2097" t="str">
        <v>-</v>
      </c>
      <c r="G2097" t="str">
        <v>-</v>
      </c>
    </row>
    <row r="2098">
      <c r="A2098">
        <v>2097</v>
      </c>
      <c r="B2098" t="str">
        <v>Công an xã Bản Ngò  tỉnh Hà Giang</v>
      </c>
      <c r="C2098" t="str">
        <v>-</v>
      </c>
      <c r="D2098" t="str">
        <v>-</v>
      </c>
      <c r="E2098" t="str">
        <v/>
      </c>
      <c r="F2098" t="str">
        <v>-</v>
      </c>
      <c r="G2098" t="str">
        <v>-</v>
      </c>
    </row>
    <row r="2099">
      <c r="A2099">
        <v>2098</v>
      </c>
      <c r="B2099">
        <f>HYPERLINK("https://xbanngo.hagiang.gov.vn/", "UBND Ủy ban nhân dân xã Bản Ngò  tỉnh Hà Giang")</f>
      </c>
      <c r="C2099" t="str">
        <v>https://xbanngo.hagiang.gov.vn/</v>
      </c>
      <c r="D2099" t="str">
        <v>-</v>
      </c>
      <c r="E2099" t="str">
        <v>-</v>
      </c>
      <c r="F2099" t="str">
        <v>-</v>
      </c>
      <c r="G2099" t="str">
        <v>-</v>
      </c>
    </row>
    <row r="2100">
      <c r="A2100">
        <v>2099</v>
      </c>
      <c r="B2100">
        <f>HYPERLINK("https://www.facebook.com/p/Tu%E1%BB%95i-tr%E1%BA%BB-C%C3%B4ng-an-Th%C3%A0nh-ph%E1%BB%91-V%C4%A9nh-Y%C3%AAn-100066497717181/?locale=nl_BE", "Công an xã Chế Là  tỉnh Hà Giang")</f>
      </c>
      <c r="C2100" t="str">
        <v>https://www.facebook.com/p/Tu%E1%BB%95i-tr%E1%BA%BB-C%C3%B4ng-an-Th%C3%A0nh-ph%E1%BB%91-V%C4%A9nh-Y%C3%AAn-100066497717181/?locale=nl_BE</v>
      </c>
      <c r="D2100" t="str">
        <v>-</v>
      </c>
      <c r="E2100" t="str">
        <v>02113861204</v>
      </c>
      <c r="F2100" t="str">
        <v>-</v>
      </c>
      <c r="G2100" t="str">
        <v>Lê Xoay - Ngô Quyền - Vĩnh Yên, Yen, Vietnam</v>
      </c>
    </row>
    <row r="2101">
      <c r="A2101">
        <v>2100</v>
      </c>
      <c r="B2101">
        <f>HYPERLINK("https://xinman.hagiang.gov.vn/", "UBND Ủy ban nhân dân xã Chế Là  tỉnh Hà Giang")</f>
      </c>
      <c r="C2101" t="str">
        <v>https://xinman.hagiang.gov.vn/</v>
      </c>
      <c r="D2101" t="str">
        <v>-</v>
      </c>
      <c r="E2101" t="str">
        <v>-</v>
      </c>
      <c r="F2101" t="str">
        <v>-</v>
      </c>
      <c r="G2101" t="str">
        <v>-</v>
      </c>
    </row>
    <row r="2102">
      <c r="A2102">
        <v>2101</v>
      </c>
      <c r="B2102" t="str">
        <v>Công an xã Nấm Dẩn  tỉnh Hà Giang</v>
      </c>
      <c r="C2102" t="str">
        <v>-</v>
      </c>
      <c r="D2102" t="str">
        <v>-</v>
      </c>
      <c r="E2102" t="str">
        <v/>
      </c>
      <c r="F2102" t="str">
        <v>-</v>
      </c>
      <c r="G2102" t="str">
        <v>-</v>
      </c>
    </row>
    <row r="2103">
      <c r="A2103">
        <v>2102</v>
      </c>
      <c r="B2103">
        <f>HYPERLINK("https://xinman.hagiang.gov.vn/", "UBND Ủy ban nhân dân xã Nấm Dẩn  tỉnh Hà Giang")</f>
      </c>
      <c r="C2103" t="str">
        <v>https://xinman.hagiang.gov.vn/</v>
      </c>
      <c r="D2103" t="str">
        <v>-</v>
      </c>
      <c r="E2103" t="str">
        <v>-</v>
      </c>
      <c r="F2103" t="str">
        <v>-</v>
      </c>
      <c r="G2103" t="str">
        <v>-</v>
      </c>
    </row>
    <row r="2104">
      <c r="A2104">
        <v>2103</v>
      </c>
      <c r="B2104">
        <f>HYPERLINK("https://www.facebook.com/p/Tu%E1%BB%95i-tr%E1%BA%BB-C%C3%B4ng-an-Th%C3%A0nh-ph%E1%BB%91-V%C4%A9nh-Y%C3%AAn-100066497717181/?locale=nl_BE", "Công an xã Quảng Nguyên  tỉnh Hà Giang")</f>
      </c>
      <c r="C2104" t="str">
        <v>https://www.facebook.com/p/Tu%E1%BB%95i-tr%E1%BA%BB-C%C3%B4ng-an-Th%C3%A0nh-ph%E1%BB%91-V%C4%A9nh-Y%C3%AAn-100066497717181/?locale=nl_BE</v>
      </c>
      <c r="D2104" t="str">
        <v>-</v>
      </c>
      <c r="E2104" t="str">
        <v>02113861204</v>
      </c>
      <c r="F2104" t="str">
        <v>-</v>
      </c>
      <c r="G2104" t="str">
        <v>Lê Xoay - Ngô Quyền - Vĩnh Yên, Yen, Vietnam</v>
      </c>
    </row>
    <row r="2105">
      <c r="A2105">
        <v>2104</v>
      </c>
      <c r="B2105">
        <f>HYPERLINK("https://xquangnguyen.hagiang.gov.vn/", "UBND Ủy ban nhân dân xã Quảng Nguyên  tỉnh Hà Giang")</f>
      </c>
      <c r="C2105" t="str">
        <v>https://xquangnguyen.hagiang.gov.vn/</v>
      </c>
      <c r="D2105" t="str">
        <v>-</v>
      </c>
      <c r="E2105" t="str">
        <v>-</v>
      </c>
      <c r="F2105" t="str">
        <v>-</v>
      </c>
      <c r="G2105" t="str">
        <v>-</v>
      </c>
    </row>
    <row r="2106">
      <c r="A2106">
        <v>2105</v>
      </c>
      <c r="B2106" t="str">
        <v>Công an xã Nà Chì  tỉnh Hà Giang</v>
      </c>
      <c r="C2106" t="str">
        <v>-</v>
      </c>
      <c r="D2106" t="str">
        <v>-</v>
      </c>
      <c r="E2106" t="str">
        <v/>
      </c>
      <c r="F2106" t="str">
        <v>-</v>
      </c>
      <c r="G2106" t="str">
        <v>-</v>
      </c>
    </row>
    <row r="2107">
      <c r="A2107">
        <v>2106</v>
      </c>
      <c r="B2107">
        <f>HYPERLINK("https://xinman.hagiang.gov.vn/chi-tiet-tin-tuc/-/news/44765/xa-na-chi-ky-niem-60-nam-ngay-thanh-lap-xa-15-12-1962-15-12-2022.html", "UBND Ủy ban nhân dân xã Nà Chì  tỉnh Hà Giang")</f>
      </c>
      <c r="C2107" t="str">
        <v>https://xinman.hagiang.gov.vn/chi-tiet-tin-tuc/-/news/44765/xa-na-chi-ky-niem-60-nam-ngay-thanh-lap-xa-15-12-1962-15-12-2022.html</v>
      </c>
      <c r="D2107" t="str">
        <v>-</v>
      </c>
      <c r="E2107" t="str">
        <v>-</v>
      </c>
      <c r="F2107" t="str">
        <v>-</v>
      </c>
      <c r="G2107" t="str">
        <v>-</v>
      </c>
    </row>
    <row r="2108">
      <c r="A2108">
        <v>2107</v>
      </c>
      <c r="B2108" t="str">
        <v>Công an xã Khuôn Lùng  tỉnh Hà Giang</v>
      </c>
      <c r="C2108" t="str">
        <v>-</v>
      </c>
      <c r="D2108" t="str">
        <v>-</v>
      </c>
      <c r="E2108" t="str">
        <v/>
      </c>
      <c r="F2108" t="str">
        <v>-</v>
      </c>
      <c r="G2108" t="str">
        <v>-</v>
      </c>
    </row>
    <row r="2109">
      <c r="A2109">
        <v>2108</v>
      </c>
      <c r="B2109">
        <f>HYPERLINK("https://xkhuonlung.hagiang.gov.vn/", "UBND Ủy ban nhân dân xã Khuôn Lùng  tỉnh Hà Giang")</f>
      </c>
      <c r="C2109" t="str">
        <v>https://xkhuonlung.hagiang.gov.vn/</v>
      </c>
      <c r="D2109" t="str">
        <v>-</v>
      </c>
      <c r="E2109" t="str">
        <v>-</v>
      </c>
      <c r="F2109" t="str">
        <v>-</v>
      </c>
      <c r="G2109" t="str">
        <v>-</v>
      </c>
    </row>
    <row r="2110">
      <c r="A2110">
        <v>2109</v>
      </c>
      <c r="B2110">
        <f>HYPERLINK("https://www.facebook.com/congantinhhagiang/", "Công an thị trấn Việt Quang  tỉnh Hà Giang")</f>
      </c>
      <c r="C2110" t="str">
        <v>https://www.facebook.com/congantinhhagiang/</v>
      </c>
      <c r="D2110" t="str">
        <v>-</v>
      </c>
      <c r="E2110" t="str">
        <v/>
      </c>
      <c r="F2110" t="str">
        <v>banbientap.ca@hagiang.gov.vn</v>
      </c>
      <c r="G2110" t="str">
        <v>Đường Phan Huy Chú, Tổ 10 Phường Minh Khai, Hà Giang, Vietnam</v>
      </c>
    </row>
    <row r="2111">
      <c r="A2111">
        <v>2110</v>
      </c>
      <c r="B2111">
        <f>HYPERLINK("https://ttvietquang.hagiang.gov.vn/trang-chu", "UBND Ủy ban nhân dân thị trấn Việt Quang  tỉnh Hà Giang")</f>
      </c>
      <c r="C2111" t="str">
        <v>https://ttvietquang.hagiang.gov.vn/trang-chu</v>
      </c>
      <c r="D2111" t="str">
        <v>-</v>
      </c>
      <c r="E2111" t="str">
        <v>-</v>
      </c>
      <c r="F2111" t="str">
        <v>-</v>
      </c>
      <c r="G2111" t="str">
        <v>-</v>
      </c>
    </row>
    <row r="2112">
      <c r="A2112">
        <v>2111</v>
      </c>
      <c r="B2112">
        <f>HYPERLINK("https://www.facebook.com/p/Tu%E1%BB%95i-tr%E1%BA%BB-C%C3%B4ng-an-Th%C3%A0nh-ph%E1%BB%91-V%C4%A9nh-Y%C3%AAn-100066497717181/?locale=nl_BE", "Công an thị trấn Vĩnh Tuy  tỉnh Hà Giang")</f>
      </c>
      <c r="C2112" t="str">
        <v>https://www.facebook.com/p/Tu%E1%BB%95i-tr%E1%BA%BB-C%C3%B4ng-an-Th%C3%A0nh-ph%E1%BB%91-V%C4%A9nh-Y%C3%AAn-100066497717181/?locale=nl_BE</v>
      </c>
      <c r="D2112" t="str">
        <v>-</v>
      </c>
      <c r="E2112" t="str">
        <v>02113861204</v>
      </c>
      <c r="F2112" t="str">
        <v>-</v>
      </c>
      <c r="G2112" t="str">
        <v>Lê Xoay - Ngô Quyền - Vĩnh Yên, Yen, Vietnam</v>
      </c>
    </row>
    <row r="2113">
      <c r="A2113">
        <v>2112</v>
      </c>
      <c r="B2113">
        <f>HYPERLINK("https://ttvinhtuy.hagiang.gov.vn/", "UBND Ủy ban nhân dân thị trấn Vĩnh Tuy  tỉnh Hà Giang")</f>
      </c>
      <c r="C2113" t="str">
        <v>https://ttvinhtuy.hagiang.gov.vn/</v>
      </c>
      <c r="D2113" t="str">
        <v>-</v>
      </c>
      <c r="E2113" t="str">
        <v>-</v>
      </c>
      <c r="F2113" t="str">
        <v>-</v>
      </c>
      <c r="G2113" t="str">
        <v>-</v>
      </c>
    </row>
    <row r="2114">
      <c r="A2114">
        <v>2113</v>
      </c>
      <c r="B2114" t="str">
        <v>Công an xã Tân Lập  tỉnh Hà Giang</v>
      </c>
      <c r="C2114" t="str">
        <v>-</v>
      </c>
      <c r="D2114" t="str">
        <v>-</v>
      </c>
      <c r="E2114" t="str">
        <v/>
      </c>
      <c r="F2114" t="str">
        <v>-</v>
      </c>
      <c r="G2114" t="str">
        <v>-</v>
      </c>
    </row>
    <row r="2115">
      <c r="A2115">
        <v>2114</v>
      </c>
      <c r="B2115">
        <f>HYPERLINK("https://tanlap.tinhbien.angiang.gov.vn/danh-ba-0", "UBND Ủy ban nhân dân xã Tân Lập  tỉnh Hà Giang")</f>
      </c>
      <c r="C2115" t="str">
        <v>https://tanlap.tinhbien.angiang.gov.vn/danh-ba-0</v>
      </c>
      <c r="D2115" t="str">
        <v>-</v>
      </c>
      <c r="E2115" t="str">
        <v>-</v>
      </c>
      <c r="F2115" t="str">
        <v>-</v>
      </c>
      <c r="G2115" t="str">
        <v>-</v>
      </c>
    </row>
    <row r="2116">
      <c r="A2116">
        <v>2115</v>
      </c>
      <c r="B2116">
        <f>HYPERLINK("https://www.facebook.com/tuoitreconganhagiang/", "Công an xã Tân Thành  tỉnh Hà Giang")</f>
      </c>
      <c r="C2116" t="str">
        <v>https://www.facebook.com/tuoitreconganhagiang/</v>
      </c>
      <c r="D2116" t="str">
        <v>0339977730</v>
      </c>
      <c r="E2116" t="str">
        <v>-</v>
      </c>
      <c r="F2116" t="str">
        <v>fanpagetuoitreconganhg@gmail.com</v>
      </c>
      <c r="G2116" t="str">
        <v>Số 28, đường Phan Chu Trinh, Hà Giang, Vietnam</v>
      </c>
    </row>
    <row r="2117">
      <c r="A2117">
        <v>2116</v>
      </c>
      <c r="B2117">
        <f>HYPERLINK("https://tanchau.tayninh.gov.vn/vi/page/Uy-ban-nhan-dan-xa-Tan-Thanh.html", "UBND Ủy ban nhân dân xã Tân Thành  tỉnh Hà Giang")</f>
      </c>
      <c r="C2117" t="str">
        <v>https://tanchau.tayninh.gov.vn/vi/page/Uy-ban-nhan-dan-xa-Tan-Thanh.html</v>
      </c>
      <c r="D2117" t="str">
        <v>-</v>
      </c>
      <c r="E2117" t="str">
        <v>-</v>
      </c>
      <c r="F2117" t="str">
        <v>-</v>
      </c>
      <c r="G2117" t="str">
        <v>-</v>
      </c>
    </row>
    <row r="2118">
      <c r="A2118">
        <v>2117</v>
      </c>
      <c r="B2118">
        <f>HYPERLINK("https://www.facebook.com/tuoitreconganquanhadong/", "Công an xã Đồng Tiến  tỉnh Hà Giang")</f>
      </c>
      <c r="C2118" t="str">
        <v>https://www.facebook.com/tuoitreconganquanhadong/</v>
      </c>
      <c r="D2118" t="str">
        <v>-</v>
      </c>
      <c r="E2118" t="str">
        <v/>
      </c>
      <c r="F2118" t="str">
        <v>-</v>
      </c>
      <c r="G2118" t="str">
        <v>-</v>
      </c>
    </row>
    <row r="2119">
      <c r="A2119">
        <v>2118</v>
      </c>
      <c r="B2119">
        <f>HYPERLINK("http://bacquang.hagiang.gov.vn/page/cac-xa-thi-tran.html", "UBND Ủy ban nhân dân xã Đồng Tiến  tỉnh Hà Giang")</f>
      </c>
      <c r="C2119" t="str">
        <v>http://bacquang.hagiang.gov.vn/page/cac-xa-thi-tran.html</v>
      </c>
      <c r="D2119" t="str">
        <v>-</v>
      </c>
      <c r="E2119" t="str">
        <v>-</v>
      </c>
      <c r="F2119" t="str">
        <v>-</v>
      </c>
      <c r="G2119" t="str">
        <v>-</v>
      </c>
    </row>
    <row r="2120">
      <c r="A2120">
        <v>2119</v>
      </c>
      <c r="B2120">
        <f>HYPERLINK("https://www.facebook.com/tuoitreconganhagiang/", "Công an xã Đồng Tâm  tỉnh Hà Giang")</f>
      </c>
      <c r="C2120" t="str">
        <v>https://www.facebook.com/tuoitreconganhagiang/</v>
      </c>
      <c r="D2120" t="str">
        <v>0339977730</v>
      </c>
      <c r="E2120" t="str">
        <v>-</v>
      </c>
      <c r="F2120" t="str">
        <v>fanpagetuoitreconganhg@gmail.com</v>
      </c>
      <c r="G2120" t="str">
        <v>Số 28, đường Phan Chu Trinh, Hà Giang, Vietnam</v>
      </c>
    </row>
    <row r="2121">
      <c r="A2121">
        <v>2120</v>
      </c>
      <c r="B2121">
        <f>HYPERLINK("https://dongtam.yenthe.bacgiang.gov.vn/", "UBND Ủy ban nhân dân xã Đồng Tâm  tỉnh Hà Giang")</f>
      </c>
      <c r="C2121" t="str">
        <v>https://dongtam.yenthe.bacgiang.gov.vn/</v>
      </c>
      <c r="D2121" t="str">
        <v>-</v>
      </c>
      <c r="E2121" t="str">
        <v>-</v>
      </c>
      <c r="F2121" t="str">
        <v>-</v>
      </c>
      <c r="G2121" t="str">
        <v>-</v>
      </c>
    </row>
    <row r="2122">
      <c r="A2122">
        <v>2121</v>
      </c>
      <c r="B2122" t="str">
        <v>Công an xã Tân Quang  tỉnh Hà Giang</v>
      </c>
      <c r="C2122" t="str">
        <v>-</v>
      </c>
      <c r="D2122" t="str">
        <v>-</v>
      </c>
      <c r="E2122" t="str">
        <v/>
      </c>
      <c r="F2122" t="str">
        <v>-</v>
      </c>
      <c r="G2122" t="str">
        <v>-</v>
      </c>
    </row>
    <row r="2123">
      <c r="A2123">
        <v>2122</v>
      </c>
      <c r="B2123">
        <f>HYPERLINK("https://xtanquang.hagiang.gov.vn/", "UBND Ủy ban nhân dân xã Tân Quang  tỉnh Hà Giang")</f>
      </c>
      <c r="C2123" t="str">
        <v>https://xtanquang.hagiang.gov.vn/</v>
      </c>
      <c r="D2123" t="str">
        <v>-</v>
      </c>
      <c r="E2123" t="str">
        <v>-</v>
      </c>
      <c r="F2123" t="str">
        <v>-</v>
      </c>
      <c r="G2123" t="str">
        <v>-</v>
      </c>
    </row>
    <row r="2124">
      <c r="A2124">
        <v>2123</v>
      </c>
      <c r="B2124" t="str">
        <v>Công an xã Thượng Bình  tỉnh Hà Giang</v>
      </c>
      <c r="C2124" t="str">
        <v>-</v>
      </c>
      <c r="D2124" t="str">
        <v>-</v>
      </c>
      <c r="E2124" t="str">
        <v/>
      </c>
      <c r="F2124" t="str">
        <v>-</v>
      </c>
      <c r="G2124" t="str">
        <v>-</v>
      </c>
    </row>
    <row r="2125">
      <c r="A2125">
        <v>2124</v>
      </c>
      <c r="B2125">
        <f>HYPERLINK("http://bacquang.hagiang.gov.vn/cat-116/xa-thuong-binh-huyen-bac-quang-khoi-cong-cau-dan-sinh-tai-thon-khuoi-en-2047.html", "UBND Ủy ban nhân dân xã Thượng Bình  tỉnh Hà Giang")</f>
      </c>
      <c r="C2125" t="str">
        <v>http://bacquang.hagiang.gov.vn/cat-116/xa-thuong-binh-huyen-bac-quang-khoi-cong-cau-dan-sinh-tai-thon-khuoi-en-2047.html</v>
      </c>
      <c r="D2125" t="str">
        <v>-</v>
      </c>
      <c r="E2125" t="str">
        <v>-</v>
      </c>
      <c r="F2125" t="str">
        <v>-</v>
      </c>
      <c r="G2125" t="str">
        <v>-</v>
      </c>
    </row>
    <row r="2126">
      <c r="A2126">
        <v>2125</v>
      </c>
      <c r="B2126" t="str">
        <v>Công an xã Hữu Sản  tỉnh Hà Giang</v>
      </c>
      <c r="C2126" t="str">
        <v>-</v>
      </c>
      <c r="D2126" t="str">
        <v>-</v>
      </c>
      <c r="E2126" t="str">
        <v/>
      </c>
      <c r="F2126" t="str">
        <v>-</v>
      </c>
      <c r="G2126" t="str">
        <v>-</v>
      </c>
    </row>
    <row r="2127">
      <c r="A2127">
        <v>2126</v>
      </c>
      <c r="B2127">
        <f>HYPERLINK("https://xhuusan.hagiang.gov.vn/", "UBND Ủy ban nhân dân xã Hữu Sản  tỉnh Hà Giang")</f>
      </c>
      <c r="C2127" t="str">
        <v>https://xhuusan.hagiang.gov.vn/</v>
      </c>
      <c r="D2127" t="str">
        <v>-</v>
      </c>
      <c r="E2127" t="str">
        <v>-</v>
      </c>
      <c r="F2127" t="str">
        <v>-</v>
      </c>
      <c r="G2127" t="str">
        <v>-</v>
      </c>
    </row>
    <row r="2128">
      <c r="A2128">
        <v>2127</v>
      </c>
      <c r="B2128" t="str">
        <v>Công an xã Kim Ngọc  tỉnh Hà Giang</v>
      </c>
      <c r="C2128" t="str">
        <v>-</v>
      </c>
      <c r="D2128" t="str">
        <v>-</v>
      </c>
      <c r="E2128" t="str">
        <v/>
      </c>
      <c r="F2128" t="str">
        <v>-</v>
      </c>
      <c r="G2128" t="str">
        <v>-</v>
      </c>
    </row>
    <row r="2129">
      <c r="A2129">
        <v>2128</v>
      </c>
      <c r="B2129">
        <f>HYPERLINK("http://bacquang.hagiang.gov.vn/", "UBND Ủy ban nhân dân xã Kim Ngọc  tỉnh Hà Giang")</f>
      </c>
      <c r="C2129" t="str">
        <v>http://bacquang.hagiang.gov.vn/</v>
      </c>
      <c r="D2129" t="str">
        <v>-</v>
      </c>
      <c r="E2129" t="str">
        <v>-</v>
      </c>
      <c r="F2129" t="str">
        <v>-</v>
      </c>
      <c r="G2129" t="str">
        <v>-</v>
      </c>
    </row>
    <row r="2130">
      <c r="A2130">
        <v>2129</v>
      </c>
      <c r="B2130" t="str">
        <v>Công an xã Việt Vinh  tỉnh Hà Giang</v>
      </c>
      <c r="C2130" t="str">
        <v>-</v>
      </c>
      <c r="D2130" t="str">
        <v>-</v>
      </c>
      <c r="E2130" t="str">
        <v/>
      </c>
      <c r="F2130" t="str">
        <v>-</v>
      </c>
      <c r="G2130" t="str">
        <v>-</v>
      </c>
    </row>
    <row r="2131">
      <c r="A2131">
        <v>2130</v>
      </c>
      <c r="B2131">
        <f>HYPERLINK("https://xvietvinh.hagiang.gov.vn/", "UBND Ủy ban nhân dân xã Việt Vinh  tỉnh Hà Giang")</f>
      </c>
      <c r="C2131" t="str">
        <v>https://xvietvinh.hagiang.gov.vn/</v>
      </c>
      <c r="D2131" t="str">
        <v>-</v>
      </c>
      <c r="E2131" t="str">
        <v>-</v>
      </c>
      <c r="F2131" t="str">
        <v>-</v>
      </c>
      <c r="G2131" t="str">
        <v>-</v>
      </c>
    </row>
    <row r="2132">
      <c r="A2132">
        <v>2131</v>
      </c>
      <c r="B2132">
        <f>HYPERLINK("https://www.facebook.com/tuoitreconganhagiang/", "Công an xã Bằng Hành  tỉnh Hà Giang")</f>
      </c>
      <c r="C2132" t="str">
        <v>https://www.facebook.com/tuoitreconganhagiang/</v>
      </c>
      <c r="D2132" t="str">
        <v>0339977730</v>
      </c>
      <c r="E2132" t="str">
        <v>-</v>
      </c>
      <c r="F2132" t="str">
        <v>fanpagetuoitreconganhg@gmail.com</v>
      </c>
      <c r="G2132" t="str">
        <v>Số 28, đường Phan Chu Trinh, Hà Giang, Vietnam</v>
      </c>
    </row>
    <row r="2133">
      <c r="A2133">
        <v>2132</v>
      </c>
      <c r="B2133">
        <f>HYPERLINK("https://quangbinh.hagiang.gov.vn/chi-tiet-tin-tuc/-/news/44749/x%25C3%25A3-b%25E1%25BA%25B1ng-lang.html", "UBND Ủy ban nhân dân xã Bằng Hành  tỉnh Hà Giang")</f>
      </c>
      <c r="C2133" t="str">
        <v>https://quangbinh.hagiang.gov.vn/chi-tiet-tin-tuc/-/news/44749/x%25C3%25A3-b%25E1%25BA%25B1ng-lang.html</v>
      </c>
      <c r="D2133" t="str">
        <v>-</v>
      </c>
      <c r="E2133" t="str">
        <v>-</v>
      </c>
      <c r="F2133" t="str">
        <v>-</v>
      </c>
      <c r="G2133" t="str">
        <v>-</v>
      </c>
    </row>
    <row r="2134">
      <c r="A2134">
        <v>2133</v>
      </c>
      <c r="B2134">
        <f>HYPERLINK("https://www.facebook.com/tuoitreconganquangbinh/", "Công an xã Quang Minh  tỉnh Hà Giang")</f>
      </c>
      <c r="C2134" t="str">
        <v>https://www.facebook.com/tuoitreconganquangbinh/</v>
      </c>
      <c r="D2134" t="str">
        <v>-</v>
      </c>
      <c r="E2134" t="str">
        <v/>
      </c>
      <c r="F2134" t="str">
        <v>doanthanhniencaqb@gmail.com</v>
      </c>
      <c r="G2134" t="str">
        <v>-</v>
      </c>
    </row>
    <row r="2135">
      <c r="A2135">
        <v>2134</v>
      </c>
      <c r="B2135">
        <f>HYPERLINK("https://www.quangninh.gov.vn/", "UBND Ủy ban nhân dân xã Quang Minh  tỉnh Hà Giang")</f>
      </c>
      <c r="C2135" t="str">
        <v>https://www.quangninh.gov.vn/</v>
      </c>
      <c r="D2135" t="str">
        <v>-</v>
      </c>
      <c r="E2135" t="str">
        <v>-</v>
      </c>
      <c r="F2135" t="str">
        <v>-</v>
      </c>
      <c r="G2135" t="str">
        <v>-</v>
      </c>
    </row>
    <row r="2136">
      <c r="A2136">
        <v>2135</v>
      </c>
      <c r="B2136" t="str">
        <v>Công an xã Liên Hiệp  tỉnh Hà Giang</v>
      </c>
      <c r="C2136" t="str">
        <v>-</v>
      </c>
      <c r="D2136" t="str">
        <v>-</v>
      </c>
      <c r="E2136" t="str">
        <v/>
      </c>
      <c r="F2136" t="str">
        <v>-</v>
      </c>
      <c r="G2136" t="str">
        <v>-</v>
      </c>
    </row>
    <row r="2137">
      <c r="A2137">
        <v>2136</v>
      </c>
      <c r="B2137">
        <f>HYPERLINK("https://thaibinh.gov.vn/van-ban-phap-luat/van-ban-dieu-hanh/ve-viec-cho-phep-uy-ban-nhan-dan-xa-lien-hiep-huyen-hung-ha-.html", "UBND Ủy ban nhân dân xã Liên Hiệp  tỉnh Hà Giang")</f>
      </c>
      <c r="C2137" t="str">
        <v>https://thaibinh.gov.vn/van-ban-phap-luat/van-ban-dieu-hanh/ve-viec-cho-phep-uy-ban-nhan-dan-xa-lien-hiep-huyen-hung-ha-.html</v>
      </c>
      <c r="D2137" t="str">
        <v>-</v>
      </c>
      <c r="E2137" t="str">
        <v>-</v>
      </c>
      <c r="F2137" t="str">
        <v>-</v>
      </c>
      <c r="G2137" t="str">
        <v>-</v>
      </c>
    </row>
    <row r="2138">
      <c r="A2138">
        <v>2137</v>
      </c>
      <c r="B2138" t="str">
        <v>Công an xã Vô Điếm  tỉnh Hà Giang</v>
      </c>
      <c r="C2138" t="str">
        <v>-</v>
      </c>
      <c r="D2138" t="str">
        <v>-</v>
      </c>
      <c r="E2138" t="str">
        <v/>
      </c>
      <c r="F2138" t="str">
        <v>-</v>
      </c>
      <c r="G2138" t="str">
        <v>-</v>
      </c>
    </row>
    <row r="2139">
      <c r="A2139">
        <v>2138</v>
      </c>
      <c r="B2139">
        <f>HYPERLINK("https://xvodiem.hagiang.gov.vn/", "UBND Ủy ban nhân dân xã Vô Điếm  tỉnh Hà Giang")</f>
      </c>
      <c r="C2139" t="str">
        <v>https://xvodiem.hagiang.gov.vn/</v>
      </c>
      <c r="D2139" t="str">
        <v>-</v>
      </c>
      <c r="E2139" t="str">
        <v>-</v>
      </c>
      <c r="F2139" t="str">
        <v>-</v>
      </c>
      <c r="G2139" t="str">
        <v>-</v>
      </c>
    </row>
    <row r="2140">
      <c r="A2140">
        <v>2139</v>
      </c>
      <c r="B2140" t="str">
        <v>Công an xã Việt Hồng  tỉnh Hà Giang</v>
      </c>
      <c r="C2140" t="str">
        <v>-</v>
      </c>
      <c r="D2140" t="str">
        <v>-</v>
      </c>
      <c r="E2140" t="str">
        <v/>
      </c>
      <c r="F2140" t="str">
        <v>-</v>
      </c>
      <c r="G2140" t="str">
        <v>-</v>
      </c>
    </row>
    <row r="2141">
      <c r="A2141">
        <v>2140</v>
      </c>
      <c r="B2141">
        <f>HYPERLINK("http://bacquang.hagiang.gov.vn/page/cac-xa-thi-tran.html", "UBND Ủy ban nhân dân xã Việt Hồng  tỉnh Hà Giang")</f>
      </c>
      <c r="C2141" t="str">
        <v>http://bacquang.hagiang.gov.vn/page/cac-xa-thi-tran.html</v>
      </c>
      <c r="D2141" t="str">
        <v>-</v>
      </c>
      <c r="E2141" t="str">
        <v>-</v>
      </c>
      <c r="F2141" t="str">
        <v>-</v>
      </c>
      <c r="G2141" t="str">
        <v>-</v>
      </c>
    </row>
    <row r="2142">
      <c r="A2142">
        <v>2141</v>
      </c>
      <c r="B2142">
        <f>HYPERLINK("https://www.facebook.com/congantinhhagiang/", "Công an xã Hùng An  tỉnh Hà Giang")</f>
      </c>
      <c r="C2142" t="str">
        <v>https://www.facebook.com/congantinhhagiang/</v>
      </c>
      <c r="D2142" t="str">
        <v>-</v>
      </c>
      <c r="E2142" t="str">
        <v/>
      </c>
      <c r="F2142" t="str">
        <v>banbientap.ca@hagiang.gov.vn</v>
      </c>
      <c r="G2142" t="str">
        <v>Đường Phan Huy Chú, Tổ 10 Phường Minh Khai, Hà Giang, Vietnam</v>
      </c>
    </row>
    <row r="2143">
      <c r="A2143">
        <v>2142</v>
      </c>
      <c r="B2143">
        <f>HYPERLINK("http://bacquang.hagiang.gov.vn/page/cac-xa-thi-tran.html", "UBND Ủy ban nhân dân xã Hùng An  tỉnh Hà Giang")</f>
      </c>
      <c r="C2143" t="str">
        <v>http://bacquang.hagiang.gov.vn/page/cac-xa-thi-tran.html</v>
      </c>
      <c r="D2143" t="str">
        <v>-</v>
      </c>
      <c r="E2143" t="str">
        <v>-</v>
      </c>
      <c r="F2143" t="str">
        <v>-</v>
      </c>
      <c r="G2143" t="str">
        <v>-</v>
      </c>
    </row>
    <row r="2144">
      <c r="A2144">
        <v>2143</v>
      </c>
      <c r="B2144">
        <f>HYPERLINK("https://www.facebook.com/TuoitreConganCaoBang/", "Công an xã Đức Xuân  tỉnh Hà Giang")</f>
      </c>
      <c r="C2144" t="str">
        <v>https://www.facebook.com/TuoitreConganCaoBang/</v>
      </c>
      <c r="D2144" t="str">
        <v>0812668468</v>
      </c>
      <c r="E2144" t="str">
        <v>-</v>
      </c>
      <c r="F2144" t="str">
        <v>bchdoantncacb@gmail.com</v>
      </c>
      <c r="G2144" t="str">
        <v>-</v>
      </c>
    </row>
    <row r="2145">
      <c r="A2145">
        <v>2144</v>
      </c>
      <c r="B2145">
        <f>HYPERLINK("https://xducxuan.hagiang.gov.vn/", "UBND Ủy ban nhân dân xã Đức Xuân  tỉnh Hà Giang")</f>
      </c>
      <c r="C2145" t="str">
        <v>https://xducxuan.hagiang.gov.vn/</v>
      </c>
      <c r="D2145" t="str">
        <v>-</v>
      </c>
      <c r="E2145" t="str">
        <v>-</v>
      </c>
      <c r="F2145" t="str">
        <v>-</v>
      </c>
      <c r="G2145" t="str">
        <v>-</v>
      </c>
    </row>
    <row r="2146">
      <c r="A2146">
        <v>2145</v>
      </c>
      <c r="B2146" t="str">
        <v>Công an xã Tiên Kiều  tỉnh Hà Giang</v>
      </c>
      <c r="C2146" t="str">
        <v>-</v>
      </c>
      <c r="D2146" t="str">
        <v>-</v>
      </c>
      <c r="E2146" t="str">
        <v/>
      </c>
      <c r="F2146" t="str">
        <v>-</v>
      </c>
      <c r="G2146" t="str">
        <v>-</v>
      </c>
    </row>
    <row r="2147">
      <c r="A2147">
        <v>2146</v>
      </c>
      <c r="B2147">
        <f>HYPERLINK("http://bacquang.hagiang.gov.vn/page/cac-xa-thi-tran.html", "UBND Ủy ban nhân dân xã Tiên Kiều  tỉnh Hà Giang")</f>
      </c>
      <c r="C2147" t="str">
        <v>http://bacquang.hagiang.gov.vn/page/cac-xa-thi-tran.html</v>
      </c>
      <c r="D2147" t="str">
        <v>-</v>
      </c>
      <c r="E2147" t="str">
        <v>-</v>
      </c>
      <c r="F2147" t="str">
        <v>-</v>
      </c>
      <c r="G2147" t="str">
        <v>-</v>
      </c>
    </row>
    <row r="2148">
      <c r="A2148">
        <v>2147</v>
      </c>
      <c r="B2148" t="str">
        <v>Công an xã Vĩnh Hảo  tỉnh Hà Giang</v>
      </c>
      <c r="C2148" t="str">
        <v>-</v>
      </c>
      <c r="D2148" t="str">
        <v>-</v>
      </c>
      <c r="E2148" t="str">
        <v/>
      </c>
      <c r="F2148" t="str">
        <v>-</v>
      </c>
      <c r="G2148" t="str">
        <v>-</v>
      </c>
    </row>
    <row r="2149">
      <c r="A2149">
        <v>2148</v>
      </c>
      <c r="B2149">
        <f>HYPERLINK("https://xvinhhao.hagiang.gov.vn/", "UBND Ủy ban nhân dân xã Vĩnh Hảo  tỉnh Hà Giang")</f>
      </c>
      <c r="C2149" t="str">
        <v>https://xvinhhao.hagiang.gov.vn/</v>
      </c>
      <c r="D2149" t="str">
        <v>-</v>
      </c>
      <c r="E2149" t="str">
        <v>-</v>
      </c>
      <c r="F2149" t="str">
        <v>-</v>
      </c>
      <c r="G2149" t="str">
        <v>-</v>
      </c>
    </row>
    <row r="2150">
      <c r="A2150">
        <v>2149</v>
      </c>
      <c r="B2150">
        <f>HYPERLINK("https://www.facebook.com/p/Tu%E1%BB%95i-tr%E1%BA%BB-C%C3%B4ng-an-Th%C3%A0nh-ph%E1%BB%91-V%C4%A9nh-Y%C3%AAn-100066497717181/", "Công an xã Vĩnh Phúc  tỉnh Hà Giang")</f>
      </c>
      <c r="C2150" t="str">
        <v>https://www.facebook.com/p/Tu%E1%BB%95i-tr%E1%BA%BB-C%C3%B4ng-an-Th%C3%A0nh-ph%E1%BB%91-V%C4%A9nh-Y%C3%AAn-100066497717181/</v>
      </c>
      <c r="D2150" t="str">
        <v>-</v>
      </c>
      <c r="E2150" t="str">
        <v>02113861204</v>
      </c>
      <c r="F2150" t="str">
        <v>-</v>
      </c>
      <c r="G2150" t="str">
        <v>Lê Xoay - Ngô Quyền - Vĩnh Yên, Yen, Vietnam</v>
      </c>
    </row>
    <row r="2151">
      <c r="A2151">
        <v>2150</v>
      </c>
      <c r="B2151">
        <f>HYPERLINK("http://bacquang.hagiang.gov.vn/page/cac-xa-thi-tran.html", "UBND Ủy ban nhân dân xã Vĩnh Phúc  tỉnh Hà Giang")</f>
      </c>
      <c r="C2151" t="str">
        <v>http://bacquang.hagiang.gov.vn/page/cac-xa-thi-tran.html</v>
      </c>
      <c r="D2151" t="str">
        <v>-</v>
      </c>
      <c r="E2151" t="str">
        <v>-</v>
      </c>
      <c r="F2151" t="str">
        <v>-</v>
      </c>
      <c r="G2151" t="str">
        <v>-</v>
      </c>
    </row>
    <row r="2152">
      <c r="A2152">
        <v>2151</v>
      </c>
      <c r="B2152">
        <f>HYPERLINK("https://www.facebook.com/tuoitreconganquanhadong/", "Công an xã Đồng Yên  tỉnh Hà Giang")</f>
      </c>
      <c r="C2152" t="str">
        <v>https://www.facebook.com/tuoitreconganquanhadong/</v>
      </c>
      <c r="D2152" t="str">
        <v>-</v>
      </c>
      <c r="E2152" t="str">
        <v/>
      </c>
      <c r="F2152" t="str">
        <v>-</v>
      </c>
      <c r="G2152" t="str">
        <v>-</v>
      </c>
    </row>
    <row r="2153">
      <c r="A2153">
        <v>2152</v>
      </c>
      <c r="B2153">
        <f>HYPERLINK("http://bacquang.hagiang.gov.vn/page/cac-xa-thi-tran.html", "UBND Ủy ban nhân dân xã Đồng Yên  tỉnh Hà Giang")</f>
      </c>
      <c r="C2153" t="str">
        <v>http://bacquang.hagiang.gov.vn/page/cac-xa-thi-tran.html</v>
      </c>
      <c r="D2153" t="str">
        <v>-</v>
      </c>
      <c r="E2153" t="str">
        <v>-</v>
      </c>
      <c r="F2153" t="str">
        <v>-</v>
      </c>
      <c r="G2153" t="str">
        <v>-</v>
      </c>
    </row>
    <row r="2154">
      <c r="A2154">
        <v>2153</v>
      </c>
      <c r="B2154">
        <f>HYPERLINK("https://www.facebook.com/tuoitreconganhagiang/", "Công an xã Đông Thành  tỉnh Hà Giang")</f>
      </c>
      <c r="C2154" t="str">
        <v>https://www.facebook.com/tuoitreconganhagiang/</v>
      </c>
      <c r="D2154" t="str">
        <v>0339977730</v>
      </c>
      <c r="E2154" t="str">
        <v>-</v>
      </c>
      <c r="F2154" t="str">
        <v>fanpagetuoitreconganhg@gmail.com</v>
      </c>
      <c r="G2154" t="str">
        <v>Số 28, đường Phan Chu Trinh, Hà Giang, Vietnam</v>
      </c>
    </row>
    <row r="2155">
      <c r="A2155">
        <v>2154</v>
      </c>
      <c r="B2155">
        <f>HYPERLINK("https://dbnd.hagiang.gov.vn/HDND-XA/Ky-hop-thu-10-HDND-xa-Dong-Thanh-khoa-IV--nhiem-ky-2021-2026-2953", "UBND Ủy ban nhân dân xã Đông Thành  tỉnh Hà Giang")</f>
      </c>
      <c r="C2155" t="str">
        <v>https://dbnd.hagiang.gov.vn/HDND-XA/Ky-hop-thu-10-HDND-xa-Dong-Thanh-khoa-IV--nhiem-ky-2021-2026-2953</v>
      </c>
      <c r="D2155" t="str">
        <v>-</v>
      </c>
      <c r="E2155" t="str">
        <v>-</v>
      </c>
      <c r="F2155" t="str">
        <v>-</v>
      </c>
      <c r="G2155" t="str">
        <v>-</v>
      </c>
    </row>
    <row r="2156">
      <c r="A2156">
        <v>2155</v>
      </c>
      <c r="B2156" t="str">
        <v>Công an xã Xuân Minh  tỉnh Hà Giang</v>
      </c>
      <c r="C2156" t="str">
        <v>-</v>
      </c>
      <c r="D2156" t="str">
        <v>-</v>
      </c>
      <c r="E2156" t="str">
        <v/>
      </c>
      <c r="F2156" t="str">
        <v>-</v>
      </c>
      <c r="G2156" t="str">
        <v>-</v>
      </c>
    </row>
    <row r="2157">
      <c r="A2157">
        <v>2156</v>
      </c>
      <c r="B2157">
        <f>HYPERLINK("https://quangbinh.hagiang.gov.vn/vi/chi-tiet-tin-tuc/-/news/44749/x%C3%A3-xu%C3%A2n-minh.html", "UBND Ủy ban nhân dân xã Xuân Minh  tỉnh Hà Giang")</f>
      </c>
      <c r="C2157" t="str">
        <v>https://quangbinh.hagiang.gov.vn/vi/chi-tiet-tin-tuc/-/news/44749/x%C3%A3-xu%C3%A2n-minh.html</v>
      </c>
      <c r="D2157" t="str">
        <v>-</v>
      </c>
      <c r="E2157" t="str">
        <v>-</v>
      </c>
      <c r="F2157" t="str">
        <v>-</v>
      </c>
      <c r="G2157" t="str">
        <v>-</v>
      </c>
    </row>
    <row r="2158">
      <c r="A2158">
        <v>2157</v>
      </c>
      <c r="B2158" t="str">
        <v>Công an xã Tiên Nguyên  tỉnh Hà Giang</v>
      </c>
      <c r="C2158" t="str">
        <v>-</v>
      </c>
      <c r="D2158" t="str">
        <v>-</v>
      </c>
      <c r="E2158" t="str">
        <v/>
      </c>
      <c r="F2158" t="str">
        <v>-</v>
      </c>
      <c r="G2158" t="str">
        <v>-</v>
      </c>
    </row>
    <row r="2159">
      <c r="A2159">
        <v>2158</v>
      </c>
      <c r="B2159">
        <f>HYPERLINK("https://quangbinh.hagiang.gov.vn/tin-tuc/-/asset_publisher/7qSAmH2lB0Cx/content/x%25C3%25A3-ti%25C3%25AAn-nguy%25C3%25AAn?_com_liferay_asset_publisher_web_portlet_AssetPublisherPortlet_INSTANCE_7qSAmH2lB0Cx_assetEntryId=1120017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1120017", "UBND Ủy ban nhân dân xã Tiên Nguyên  tỉnh Hà Giang")</f>
      </c>
      <c r="C2159" t="str">
        <v>https://quangbinh.hagiang.gov.vn/tin-tuc/-/asset_publisher/7qSAmH2lB0Cx/content/x%25C3%25A3-ti%25C3%25AAn-nguy%25C3%25AAn?_com_liferay_asset_publisher_web_portlet_AssetPublisherPortlet_INSTANCE_7qSAmH2lB0Cx_assetEntryId=1120017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1120017</v>
      </c>
      <c r="D2159" t="str">
        <v>-</v>
      </c>
      <c r="E2159" t="str">
        <v>-</v>
      </c>
      <c r="F2159" t="str">
        <v>-</v>
      </c>
      <c r="G2159" t="str">
        <v>-</v>
      </c>
    </row>
    <row r="2160">
      <c r="A2160">
        <v>2159</v>
      </c>
      <c r="B2160">
        <f>HYPERLINK("https://www.facebook.com/tuoitreconganhagiang/", "Công an xã Tân Nam  tỉnh Hà Giang")</f>
      </c>
      <c r="C2160" t="str">
        <v>https://www.facebook.com/tuoitreconganhagiang/</v>
      </c>
      <c r="D2160" t="str">
        <v>0339977730</v>
      </c>
      <c r="E2160" t="str">
        <v>-</v>
      </c>
      <c r="F2160" t="str">
        <v>fanpagetuoitreconganhg@gmail.com</v>
      </c>
      <c r="G2160" t="str">
        <v>Số 28, đường Phan Chu Trinh, Hà Giang, Vietnam</v>
      </c>
    </row>
    <row r="2161">
      <c r="A2161">
        <v>2160</v>
      </c>
      <c r="B2161">
        <f>HYPERLINK("https://quangbinh.hagiang.gov.vn/vi/chi-tiet-tin-tuc/-/news/44749/x%C3%A3-t%C3%A2n-nam.html", "UBND Ủy ban nhân dân xã Tân Nam  tỉnh Hà Giang")</f>
      </c>
      <c r="C2161" t="str">
        <v>https://quangbinh.hagiang.gov.vn/vi/chi-tiet-tin-tuc/-/news/44749/x%C3%A3-t%C3%A2n-nam.html</v>
      </c>
      <c r="D2161" t="str">
        <v>-</v>
      </c>
      <c r="E2161" t="str">
        <v>-</v>
      </c>
      <c r="F2161" t="str">
        <v>-</v>
      </c>
      <c r="G2161" t="str">
        <v>-</v>
      </c>
    </row>
    <row r="2162">
      <c r="A2162">
        <v>2161</v>
      </c>
      <c r="B2162" t="str">
        <v>Công an xã Bản Rịa  tỉnh Hà Giang</v>
      </c>
      <c r="C2162" t="str">
        <v>-</v>
      </c>
      <c r="D2162" t="str">
        <v>-</v>
      </c>
      <c r="E2162" t="str">
        <v/>
      </c>
      <c r="F2162" t="str">
        <v>-</v>
      </c>
      <c r="G2162" t="str">
        <v>-</v>
      </c>
    </row>
    <row r="2163">
      <c r="A2163">
        <v>2162</v>
      </c>
      <c r="B2163">
        <f>HYPERLINK("https://quangbinh.hagiang.gov.vn/chi-tiet-tin-tuc/-/news/44749/x%25C3%25A3-b%25E1%25BA%25A3n-r%25E1%25BB%258Ba.html", "UBND Ủy ban nhân dân xã Bản Rịa  tỉnh Hà Giang")</f>
      </c>
      <c r="C2163" t="str">
        <v>https://quangbinh.hagiang.gov.vn/chi-tiet-tin-tuc/-/news/44749/x%25C3%25A3-b%25E1%25BA%25A3n-r%25E1%25BB%258Ba.html</v>
      </c>
      <c r="D2163" t="str">
        <v>-</v>
      </c>
      <c r="E2163" t="str">
        <v>-</v>
      </c>
      <c r="F2163" t="str">
        <v>-</v>
      </c>
      <c r="G2163" t="str">
        <v>-</v>
      </c>
    </row>
    <row r="2164">
      <c r="A2164">
        <v>2163</v>
      </c>
      <c r="B2164">
        <f>HYPERLINK("https://www.facebook.com/p/Tu%E1%BB%95i-tr%E1%BA%BB-C%C3%B4ng-an-Th%C3%A0nh-ph%E1%BB%91-V%C4%A9nh-Y%C3%AAn-100066497717181/?locale=nl_BE", "Công an xã Yên Thành  tỉnh Hà Giang")</f>
      </c>
      <c r="C2164" t="str">
        <v>https://www.facebook.com/p/Tu%E1%BB%95i-tr%E1%BA%BB-C%C3%B4ng-an-Th%C3%A0nh-ph%E1%BB%91-V%C4%A9nh-Y%C3%AAn-100066497717181/?locale=nl_BE</v>
      </c>
      <c r="D2164" t="str">
        <v>-</v>
      </c>
      <c r="E2164" t="str">
        <v>02113861204</v>
      </c>
      <c r="F2164" t="str">
        <v>-</v>
      </c>
      <c r="G2164" t="str">
        <v>Lê Xoay - Ngô Quyền - Vĩnh Yên, Yen, Vietnam</v>
      </c>
    </row>
    <row r="2165">
      <c r="A2165">
        <v>2164</v>
      </c>
      <c r="B2165">
        <f>HYPERLINK("https://quangbinh.hagiang.gov.vn/tin-tuc/-/asset_publisher/7qSAmH2lB0Cx/content/x%25C3%25A3-y%25C3%25AAn-th%25C3%25A0nh?_com_liferay_asset_publisher_web_portlet_AssetPublisherPortlet_INSTANCE_7qSAmH2lB0Cx_assetEntryId=1119887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1119887", "UBND Ủy ban nhân dân xã Yên Thành  tỉnh Hà Giang")</f>
      </c>
      <c r="C2165" t="str">
        <v>https://quangbinh.hagiang.gov.vn/tin-tuc/-/asset_publisher/7qSAmH2lB0Cx/content/x%25C3%25A3-y%25C3%25AAn-th%25C3%25A0nh?_com_liferay_asset_publisher_web_portlet_AssetPublisherPortlet_INSTANCE_7qSAmH2lB0Cx_assetEntryId=1119887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1119887</v>
      </c>
      <c r="D2165" t="str">
        <v>-</v>
      </c>
      <c r="E2165" t="str">
        <v>-</v>
      </c>
      <c r="F2165" t="str">
        <v>-</v>
      </c>
      <c r="G2165" t="str">
        <v>-</v>
      </c>
    </row>
    <row r="2166">
      <c r="A2166">
        <v>2165</v>
      </c>
      <c r="B2166">
        <f>HYPERLINK("https://www.facebook.com/p/C%C3%B4ng-an-th%E1%BB%8B-tr%E1%BA%A5n-Y%C3%AAn-B%C3%ACnh-100066717932065/", "Công an thị trấn Yên Bình  tỉnh Hà Giang")</f>
      </c>
      <c r="C2166" t="str">
        <v>https://www.facebook.com/p/C%C3%B4ng-an-th%E1%BB%8B-tr%E1%BA%A5n-Y%C3%AAn-B%C3%ACnh-100066717932065/</v>
      </c>
      <c r="D2166" t="str">
        <v>-</v>
      </c>
      <c r="E2166" t="str">
        <v>0915399776</v>
      </c>
      <c r="F2166" t="str">
        <v>cattyb2021@gmail.com</v>
      </c>
      <c r="G2166" t="str">
        <v>-</v>
      </c>
    </row>
    <row r="2167">
      <c r="A2167">
        <v>2166</v>
      </c>
      <c r="B2167">
        <f>HYPERLINK("https://yenbinh.yenbai.gov.vn/Articles/one/Thong-tin-thi-tran-Yen-Binh", "UBND Ủy ban nhân dân thị trấn Yên Bình  tỉnh Hà Giang")</f>
      </c>
      <c r="C2167" t="str">
        <v>https://yenbinh.yenbai.gov.vn/Articles/one/Thong-tin-thi-tran-Yen-Binh</v>
      </c>
      <c r="D2167" t="str">
        <v>-</v>
      </c>
      <c r="E2167" t="str">
        <v>-</v>
      </c>
      <c r="F2167" t="str">
        <v>-</v>
      </c>
      <c r="G2167" t="str">
        <v>-</v>
      </c>
    </row>
    <row r="2168">
      <c r="A2168">
        <v>2167</v>
      </c>
      <c r="B2168" t="str">
        <v>Công an xã Tân Trịnh  tỉnh Hà Giang</v>
      </c>
      <c r="C2168" t="str">
        <v>-</v>
      </c>
      <c r="D2168" t="str">
        <v>-</v>
      </c>
      <c r="E2168" t="str">
        <v/>
      </c>
      <c r="F2168" t="str">
        <v>-</v>
      </c>
      <c r="G2168" t="str">
        <v>-</v>
      </c>
    </row>
    <row r="2169">
      <c r="A2169">
        <v>2168</v>
      </c>
      <c r="B2169">
        <f>HYPERLINK("https://quangbinh.hagiang.gov.vn/tin-tuc/-/asset_publisher/7qSAmH2lB0Cx/content/x%25C3%25A3-t%25C3%25A2n-tr%25E1%25BB%258Bnh?_com_liferay_asset_publisher_web_portlet_AssetPublisherPortlet_INSTANCE_7qSAmH2lB0Cx_assetEntryId=1119952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1119952", "UBND Ủy ban nhân dân xã Tân Trịnh  tỉnh Hà Giang")</f>
      </c>
      <c r="C2169" t="str">
        <v>https://quangbinh.hagiang.gov.vn/tin-tuc/-/asset_publisher/7qSAmH2lB0Cx/content/x%25C3%25A3-t%25C3%25A2n-tr%25E1%25BB%258Bnh?_com_liferay_asset_publisher_web_portlet_AssetPublisherPortlet_INSTANCE_7qSAmH2lB0Cx_assetEntryId=1119952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1119952</v>
      </c>
      <c r="D2169" t="str">
        <v>-</v>
      </c>
      <c r="E2169" t="str">
        <v>-</v>
      </c>
      <c r="F2169" t="str">
        <v>-</v>
      </c>
      <c r="G2169" t="str">
        <v>-</v>
      </c>
    </row>
    <row r="2170">
      <c r="A2170">
        <v>2169</v>
      </c>
      <c r="B2170">
        <f>HYPERLINK("https://www.facebook.com/tuoitreconganhagiang/", "Công an xã Tân Bắc  tỉnh Hà Giang")</f>
      </c>
      <c r="C2170" t="str">
        <v>https://www.facebook.com/tuoitreconganhagiang/</v>
      </c>
      <c r="D2170" t="str">
        <v>0339977730</v>
      </c>
      <c r="E2170" t="str">
        <v>-</v>
      </c>
      <c r="F2170" t="str">
        <v>fanpagetuoitreconganhg@gmail.com</v>
      </c>
      <c r="G2170" t="str">
        <v>Số 28, đường Phan Chu Trinh, Hà Giang, Vietnam</v>
      </c>
    </row>
    <row r="2171">
      <c r="A2171">
        <v>2170</v>
      </c>
      <c r="B2171">
        <f>HYPERLINK("https://xtanbac.hagiang.gov.vn/", "UBND Ủy ban nhân dân xã Tân Bắc  tỉnh Hà Giang")</f>
      </c>
      <c r="C2171" t="str">
        <v>https://xtanbac.hagiang.gov.vn/</v>
      </c>
      <c r="D2171" t="str">
        <v>-</v>
      </c>
      <c r="E2171" t="str">
        <v>-</v>
      </c>
      <c r="F2171" t="str">
        <v>-</v>
      </c>
      <c r="G2171" t="str">
        <v>-</v>
      </c>
    </row>
    <row r="2172">
      <c r="A2172">
        <v>2171</v>
      </c>
      <c r="B2172" t="str">
        <v>Công an xã Bằng Lang  tỉnh Hà Giang</v>
      </c>
      <c r="C2172" t="str">
        <v>-</v>
      </c>
      <c r="D2172" t="str">
        <v>-</v>
      </c>
      <c r="E2172" t="str">
        <v/>
      </c>
      <c r="F2172" t="str">
        <v>-</v>
      </c>
      <c r="G2172" t="str">
        <v>-</v>
      </c>
    </row>
    <row r="2173">
      <c r="A2173">
        <v>2172</v>
      </c>
      <c r="B2173">
        <f>HYPERLINK("https://quangbinh.hagiang.gov.vn/chi-tiet-tin-tuc/-/news/44749/x%25C3%25A3-b%25E1%25BA%25B1ng-lang.html", "UBND Ủy ban nhân dân xã Bằng Lang  tỉnh Hà Giang")</f>
      </c>
      <c r="C2173" t="str">
        <v>https://quangbinh.hagiang.gov.vn/chi-tiet-tin-tuc/-/news/44749/x%25C3%25A3-b%25E1%25BA%25B1ng-lang.html</v>
      </c>
      <c r="D2173" t="str">
        <v>-</v>
      </c>
      <c r="E2173" t="str">
        <v>-</v>
      </c>
      <c r="F2173" t="str">
        <v>-</v>
      </c>
      <c r="G2173" t="str">
        <v>-</v>
      </c>
    </row>
    <row r="2174">
      <c r="A2174">
        <v>2173</v>
      </c>
      <c r="B2174">
        <f>HYPERLINK("https://www.facebook.com/congantinhhagiang/", "Công an xã Yên Hà  tỉnh Hà Giang")</f>
      </c>
      <c r="C2174" t="str">
        <v>https://www.facebook.com/congantinhhagiang/</v>
      </c>
      <c r="D2174" t="str">
        <v>-</v>
      </c>
      <c r="E2174" t="str">
        <v/>
      </c>
      <c r="F2174" t="str">
        <v>banbientap.ca@hagiang.gov.vn</v>
      </c>
      <c r="G2174" t="str">
        <v>Đường Phan Huy Chú, Tổ 10 Phường Minh Khai, Hà Giang, Vietnam</v>
      </c>
    </row>
    <row r="2175">
      <c r="A2175">
        <v>2174</v>
      </c>
      <c r="B2175">
        <f>HYPERLINK("https://quangbinh.hagiang.gov.vn/tin-tuc/-/asset_publisher/7qSAmH2lB0Cx/content/x%25C3%25A3-y%25C3%25AAn-h%25C3%25A0?_com_liferay_asset_publisher_web_portlet_AssetPublisherPortlet_INSTANCE_7qSAmH2lB0Cx_assetEntryId=1119874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1119874", "UBND Ủy ban nhân dân xã Yên Hà  tỉnh Hà Giang")</f>
      </c>
      <c r="C2175" t="str">
        <v>https://quangbinh.hagiang.gov.vn/tin-tuc/-/asset_publisher/7qSAmH2lB0Cx/content/x%25C3%25A3-y%25C3%25AAn-h%25C3%25A0?_com_liferay_asset_publisher_web_portlet_AssetPublisherPortlet_INSTANCE_7qSAmH2lB0Cx_assetEntryId=1119874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1119874</v>
      </c>
      <c r="D2175" t="str">
        <v>-</v>
      </c>
      <c r="E2175" t="str">
        <v>-</v>
      </c>
      <c r="F2175" t="str">
        <v>-</v>
      </c>
      <c r="G2175" t="str">
        <v>-</v>
      </c>
    </row>
    <row r="2176">
      <c r="A2176">
        <v>2175</v>
      </c>
      <c r="B2176" t="str">
        <v>Công an xã Hương Sơn  tỉnh Hà Giang</v>
      </c>
      <c r="C2176" t="str">
        <v>-</v>
      </c>
      <c r="D2176" t="str">
        <v>-</v>
      </c>
      <c r="E2176" t="str">
        <v/>
      </c>
      <c r="F2176" t="str">
        <v>-</v>
      </c>
      <c r="G2176" t="str">
        <v>-</v>
      </c>
    </row>
    <row r="2177">
      <c r="A2177">
        <v>2176</v>
      </c>
      <c r="B2177">
        <f>HYPERLINK("https://huongson.hatinh.gov.vn/", "UBND Ủy ban nhân dân xã Hương Sơn  tỉnh Hà Giang")</f>
      </c>
      <c r="C2177" t="str">
        <v>https://huongson.hatinh.gov.vn/</v>
      </c>
      <c r="D2177" t="str">
        <v>-</v>
      </c>
      <c r="E2177" t="str">
        <v>-</v>
      </c>
      <c r="F2177" t="str">
        <v>-</v>
      </c>
      <c r="G2177" t="str">
        <v>-</v>
      </c>
    </row>
    <row r="2178">
      <c r="A2178">
        <v>2177</v>
      </c>
      <c r="B2178">
        <f>HYPERLINK("https://www.facebook.com/p/C%C3%B4ng-an-x%C3%A3-Xu%C3%A2n-Giang-100069958610694/", "Công an xã Xuân Giang  tỉnh Hà Giang")</f>
      </c>
      <c r="C2178" t="str">
        <v>https://www.facebook.com/p/C%C3%B4ng-an-x%C3%A3-Xu%C3%A2n-Giang-100069958610694/</v>
      </c>
      <c r="D2178" t="str">
        <v>0856025588</v>
      </c>
      <c r="E2178" t="str">
        <v>-</v>
      </c>
      <c r="F2178" t="str">
        <v>-</v>
      </c>
      <c r="G2178" t="str">
        <v>-</v>
      </c>
    </row>
    <row r="2179">
      <c r="A2179">
        <v>2178</v>
      </c>
      <c r="B2179">
        <f>HYPERLINK("http://xuangiang.nghixuan.hatinh.gov.vn/", "UBND Ủy ban nhân dân xã Xuân Giang  tỉnh Hà Giang")</f>
      </c>
      <c r="C2179" t="str">
        <v>http://xuangiang.nghixuan.hatinh.gov.vn/</v>
      </c>
      <c r="D2179" t="str">
        <v>-</v>
      </c>
      <c r="E2179" t="str">
        <v>-</v>
      </c>
      <c r="F2179" t="str">
        <v>-</v>
      </c>
      <c r="G2179" t="str">
        <v>-</v>
      </c>
    </row>
    <row r="2180">
      <c r="A2180">
        <v>2179</v>
      </c>
      <c r="B2180" t="str">
        <v>Công an xã Nà Khương  tỉnh Hà Giang</v>
      </c>
      <c r="C2180" t="str">
        <v>-</v>
      </c>
      <c r="D2180" t="str">
        <v>-</v>
      </c>
      <c r="E2180" t="str">
        <v/>
      </c>
      <c r="F2180" t="str">
        <v>-</v>
      </c>
      <c r="G2180" t="str">
        <v>-</v>
      </c>
    </row>
    <row r="2181">
      <c r="A2181">
        <v>2180</v>
      </c>
      <c r="B2181">
        <f>HYPERLINK("https://quangbinh.hagiang.gov.vn/tin-tuc/-/asset_publisher/7qSAmH2lB0Cx/content/x%25C3%25A3-n%25C3%25A0-kh%25C6%25B0%25C6%25A1ng?_com_liferay_asset_publisher_web_portlet_AssetPublisherPortlet_INSTANCE_7qSAmH2lB0Cx_assetEntryId=1119900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1119900", "UBND Ủy ban nhân dân xã Nà Khương  tỉnh Hà Giang")</f>
      </c>
      <c r="C2181" t="str">
        <v>https://quangbinh.hagiang.gov.vn/tin-tuc/-/asset_publisher/7qSAmH2lB0Cx/content/x%25C3%25A3-n%25C3%25A0-kh%25C6%25B0%25C6%25A1ng?_com_liferay_asset_publisher_web_portlet_AssetPublisherPortlet_INSTANCE_7qSAmH2lB0Cx_assetEntryId=1119900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1119900</v>
      </c>
      <c r="D2181" t="str">
        <v>-</v>
      </c>
      <c r="E2181" t="str">
        <v>-</v>
      </c>
      <c r="F2181" t="str">
        <v>-</v>
      </c>
      <c r="G2181" t="str">
        <v>-</v>
      </c>
    </row>
    <row r="2182">
      <c r="A2182">
        <v>2181</v>
      </c>
      <c r="B2182">
        <f>HYPERLINK("https://www.facebook.com/p/Tu%E1%BB%95i-tr%E1%BA%BB-C%C3%B4ng-an-Th%C3%A0nh-ph%E1%BB%91-V%C4%A9nh-Y%C3%AAn-100066497717181/", "Công an xã Tiên Yên  tỉnh Hà Giang")</f>
      </c>
      <c r="C2182" t="str">
        <v>https://www.facebook.com/p/Tu%E1%BB%95i-tr%E1%BA%BB-C%C3%B4ng-an-Th%C3%A0nh-ph%E1%BB%91-V%C4%A9nh-Y%C3%AAn-100066497717181/</v>
      </c>
      <c r="D2182" t="str">
        <v>-</v>
      </c>
      <c r="E2182" t="str">
        <v>02113861204</v>
      </c>
      <c r="F2182" t="str">
        <v>-</v>
      </c>
      <c r="G2182" t="str">
        <v>Lê Xoay - Ngô Quyền - Vĩnh Yên, Yen, Vietnam</v>
      </c>
    </row>
    <row r="2183">
      <c r="A2183">
        <v>2182</v>
      </c>
      <c r="B2183">
        <f>HYPERLINK("https://quangbinh.hagiang.gov.vn/tin-tuc/-/asset_publisher/7qSAmH2lB0Cx/content/x%25C3%25A3-ti%25C3%25AAn-y%25C3%25AAn?_com_liferay_asset_publisher_web_portlet_AssetPublisherPortlet_INSTANCE_7qSAmH2lB0Cx_assetEntryId=1119835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1119835", "UBND Ủy ban nhân dân xã Tiên Yên  tỉnh Hà Giang")</f>
      </c>
      <c r="C2183" t="str">
        <v>https://quangbinh.hagiang.gov.vn/tin-tuc/-/asset_publisher/7qSAmH2lB0Cx/content/x%25C3%25A3-ti%25C3%25AAn-y%25C3%25AAn?_com_liferay_asset_publisher_web_portlet_AssetPublisherPortlet_INSTANCE_7qSAmH2lB0Cx_assetEntryId=1119835&amp;_com_liferay_asset_publisher_web_portlet_AssetPublisherPortlet_INSTANCE_7qSAmH2lB0Cx_redirect=https%3A%2F%2Fquangbinh.hagiang.gov.vn%2Ftin-tuc%3Fp_p_id%3Dcom_liferay_asset_publisher_web_portlet_AssetPublisherPortlet_INSTANCE_7qSAmH2lB0Cx%26p_p_lifecycle%3D0%26p_p_state%3Dnormal%26p_p_mode%3Dview%26_com_liferay_asset_publisher_web_portlet_AssetPublisherPortlet_INSTANCE_7qSAmH2lB0Cx_cur%3D0%26p_r_p_resetCur%3Dtrue%26_com_liferay_asset_publisher_web_portlet_AssetPublisherPortlet_INSTANCE_7qSAmH2lB0Cx_assetEntryId%3D1119835</v>
      </c>
      <c r="D2183" t="str">
        <v>-</v>
      </c>
      <c r="E2183" t="str">
        <v>-</v>
      </c>
      <c r="F2183" t="str">
        <v>-</v>
      </c>
      <c r="G2183" t="str">
        <v>-</v>
      </c>
    </row>
    <row r="2184">
      <c r="A2184">
        <v>2183</v>
      </c>
      <c r="B2184">
        <f>HYPERLINK("https://www.facebook.com/tuoitreconganhagiang/", "Công an xã Vĩ Thượng  tỉnh Hà Giang")</f>
      </c>
      <c r="C2184" t="str">
        <v>https://www.facebook.com/tuoitreconganhagiang/</v>
      </c>
      <c r="D2184" t="str">
        <v>0339977730</v>
      </c>
      <c r="E2184" t="str">
        <v>-</v>
      </c>
      <c r="F2184" t="str">
        <v>fanpagetuoitreconganhg@gmail.com</v>
      </c>
      <c r="G2184" t="str">
        <v>Số 28, đường Phan Chu Trinh, Hà Giang, Vietnam</v>
      </c>
    </row>
    <row r="2185">
      <c r="A2185">
        <v>2184</v>
      </c>
      <c r="B2185">
        <f>HYPERLINK("https://quangbinh.hagiang.gov.vn/chi-tiet-tin-tuc/-/news/44749/x%25C3%25A3-v%25C4%25A9-th%25C6%25B0%25E1%25BB%25A3ng.html", "UBND Ủy ban nhân dân xã Vĩ Thượng  tỉnh Hà Giang")</f>
      </c>
      <c r="C2185" t="str">
        <v>https://quangbinh.hagiang.gov.vn/chi-tiet-tin-tuc/-/news/44749/x%25C3%25A3-v%25C4%25A9-th%25C6%25B0%25E1%25BB%25A3ng.html</v>
      </c>
      <c r="D2185" t="str">
        <v>-</v>
      </c>
      <c r="E2185" t="str">
        <v>-</v>
      </c>
      <c r="F2185" t="str">
        <v>-</v>
      </c>
      <c r="G2185" t="str">
        <v>-</v>
      </c>
    </row>
    <row r="2186">
      <c r="A2186">
        <v>2185</v>
      </c>
      <c r="B2186" t="str">
        <v>Công an phường Sông Hiến  tỉnh Cao Bằng</v>
      </c>
      <c r="C2186" t="str">
        <v>-</v>
      </c>
      <c r="D2186" t="str">
        <v>-</v>
      </c>
      <c r="E2186" t="str">
        <v/>
      </c>
      <c r="F2186" t="str">
        <v>-</v>
      </c>
      <c r="G2186" t="str">
        <v>-</v>
      </c>
    </row>
    <row r="2187">
      <c r="A2187">
        <v>2186</v>
      </c>
      <c r="B2187">
        <f>HYPERLINK("https://ubndtp.caobang.gov.vn/ubnd-phuong-song-hien", "UBND Ủy ban nhân dân phường Sông Hiến  tỉnh Cao Bằng")</f>
      </c>
      <c r="C2187" t="str">
        <v>https://ubndtp.caobang.gov.vn/ubnd-phuong-song-hien</v>
      </c>
      <c r="D2187" t="str">
        <v>-</v>
      </c>
      <c r="E2187" t="str">
        <v>-</v>
      </c>
      <c r="F2187" t="str">
        <v>-</v>
      </c>
      <c r="G2187" t="str">
        <v>-</v>
      </c>
    </row>
    <row r="2188">
      <c r="A2188">
        <v>2187</v>
      </c>
      <c r="B2188" t="str">
        <v>Công an phường Sông Bằng  tỉnh Cao Bằng</v>
      </c>
      <c r="C2188" t="str">
        <v>-</v>
      </c>
      <c r="D2188" t="str">
        <v>-</v>
      </c>
      <c r="E2188" t="str">
        <v/>
      </c>
      <c r="F2188" t="str">
        <v>-</v>
      </c>
      <c r="G2188" t="str">
        <v>-</v>
      </c>
    </row>
    <row r="2189">
      <c r="A2189">
        <v>2188</v>
      </c>
      <c r="B2189">
        <f>HYPERLINK("https://ubndtp.caobang.gov.vn/ubnd-phuong-song-bang", "UBND Ủy ban nhân dân phường Sông Bằng  tỉnh Cao Bằng")</f>
      </c>
      <c r="C2189" t="str">
        <v>https://ubndtp.caobang.gov.vn/ubnd-phuong-song-bang</v>
      </c>
      <c r="D2189" t="str">
        <v>-</v>
      </c>
      <c r="E2189" t="str">
        <v>-</v>
      </c>
      <c r="F2189" t="str">
        <v>-</v>
      </c>
      <c r="G2189" t="str">
        <v>-</v>
      </c>
    </row>
    <row r="2190">
      <c r="A2190">
        <v>2189</v>
      </c>
      <c r="B2190">
        <f>HYPERLINK("https://www.facebook.com/p/C%C3%B4ng-an-ph%C6%B0%E1%BB%9Dng-H%E1%BB%A3p-Giang-C%C3%B4ng-an-Th%C3%A0nh-ph%E1%BB%91-100069348633766/", "Công an phường Hợp Giang  tỉnh Cao Bằng")</f>
      </c>
      <c r="C2190" t="str">
        <v>https://www.facebook.com/p/C%C3%B4ng-an-ph%C6%B0%E1%BB%9Dng-H%E1%BB%A3p-Giang-C%C3%B4ng-an-Th%C3%A0nh-ph%E1%BB%91-100069348633766/</v>
      </c>
      <c r="D2190" t="str">
        <v>-</v>
      </c>
      <c r="E2190" t="str">
        <v>02063852821</v>
      </c>
      <c r="F2190" t="str">
        <v>-</v>
      </c>
      <c r="G2190" t="str">
        <v>Phố cũ, Cao Bang, Vietnam</v>
      </c>
    </row>
    <row r="2191">
      <c r="A2191">
        <v>2190</v>
      </c>
      <c r="B2191">
        <f>HYPERLINK("https://ubndtp.caobang.gov.vn/ubnd-phuong-hop-giang", "UBND Ủy ban nhân dân phường Hợp Giang  tỉnh Cao Bằng")</f>
      </c>
      <c r="C2191" t="str">
        <v>https://ubndtp.caobang.gov.vn/ubnd-phuong-hop-giang</v>
      </c>
      <c r="D2191" t="str">
        <v>-</v>
      </c>
      <c r="E2191" t="str">
        <v>-</v>
      </c>
      <c r="F2191" t="str">
        <v>-</v>
      </c>
      <c r="G2191" t="str">
        <v>-</v>
      </c>
    </row>
    <row r="2192">
      <c r="A2192">
        <v>2191</v>
      </c>
      <c r="B2192">
        <f>HYPERLINK("https://www.facebook.com/100077361154813/", "Công an phường Tân Giang  tỉnh Cao Bằng")</f>
      </c>
      <c r="C2192" t="str">
        <v>https://www.facebook.com/100077361154813/</v>
      </c>
      <c r="D2192" t="str">
        <v>-</v>
      </c>
      <c r="E2192" t="str">
        <v/>
      </c>
      <c r="F2192" t="str">
        <v>-</v>
      </c>
      <c r="G2192" t="str">
        <v>-</v>
      </c>
    </row>
    <row r="2193">
      <c r="A2193">
        <v>2192</v>
      </c>
      <c r="B2193">
        <f>HYPERLINK("https://ubndtp.caobang.gov.vn/ubnd-phuong-tan-giang", "UBND Ủy ban nhân dân phường Tân Giang  tỉnh Cao Bằng")</f>
      </c>
      <c r="C2193" t="str">
        <v>https://ubndtp.caobang.gov.vn/ubnd-phuong-tan-giang</v>
      </c>
      <c r="D2193" t="str">
        <v>-</v>
      </c>
      <c r="E2193" t="str">
        <v>-</v>
      </c>
      <c r="F2193" t="str">
        <v>-</v>
      </c>
      <c r="G2193" t="str">
        <v>-</v>
      </c>
    </row>
    <row r="2194">
      <c r="A2194">
        <v>2193</v>
      </c>
      <c r="B2194">
        <f>HYPERLINK("https://www.facebook.com/capngocxuan/?locale=vi_VN", "Công an phường Ngọc Xuân  tỉnh Cao Bằng")</f>
      </c>
      <c r="C2194" t="str">
        <v>https://www.facebook.com/capngocxuan/?locale=vi_VN</v>
      </c>
      <c r="D2194" t="str">
        <v>-</v>
      </c>
      <c r="E2194" t="str">
        <v>02063956936</v>
      </c>
      <c r="F2194" t="str">
        <v>-</v>
      </c>
      <c r="G2194" t="str">
        <v>Tổ 5, Phường Ngọc Xuân, Cao Bang, Vietnam</v>
      </c>
    </row>
    <row r="2195">
      <c r="A2195">
        <v>2194</v>
      </c>
      <c r="B2195">
        <f>HYPERLINK("https://ubndtp.caobang.gov.vn/ubnd-phuong-ngoc-xuan", "UBND Ủy ban nhân dân phường Ngọc Xuân  tỉnh Cao Bằng")</f>
      </c>
      <c r="C2195" t="str">
        <v>https://ubndtp.caobang.gov.vn/ubnd-phuong-ngoc-xuan</v>
      </c>
      <c r="D2195" t="str">
        <v>-</v>
      </c>
      <c r="E2195" t="str">
        <v>-</v>
      </c>
      <c r="F2195" t="str">
        <v>-</v>
      </c>
      <c r="G2195" t="str">
        <v>-</v>
      </c>
    </row>
    <row r="2196">
      <c r="A2196">
        <v>2195</v>
      </c>
      <c r="B2196">
        <f>HYPERLINK("https://www.facebook.com/p/UBND-Ph%C6%B0%E1%BB%9Dng-%C4%90%E1%BB%81-Th%C3%A1m-TP-Cao-B%E1%BA%B1ng-100063632947189/", "Công an phường Đề Thám  tỉnh Cao Bằng")</f>
      </c>
      <c r="C2196" t="str">
        <v>https://www.facebook.com/p/UBND-Ph%C6%B0%E1%BB%9Dng-%C4%90%E1%BB%81-Th%C3%A1m-TP-Cao-B%E1%BA%B1ng-100063632947189/</v>
      </c>
      <c r="D2196" t="str">
        <v>-</v>
      </c>
      <c r="E2196" t="str">
        <v>02063750383</v>
      </c>
      <c r="F2196" t="str">
        <v>ubnddetham@caobang.gov.vn</v>
      </c>
      <c r="G2196" t="str">
        <v>-</v>
      </c>
    </row>
    <row r="2197">
      <c r="A2197">
        <v>2196</v>
      </c>
      <c r="B2197">
        <f>HYPERLINK("https://ubndtp.caobang.gov.vn/ubnd-phuong-de-tham", "UBND Ủy ban nhân dân phường Đề Thám  tỉnh Cao Bằng")</f>
      </c>
      <c r="C2197" t="str">
        <v>https://ubndtp.caobang.gov.vn/ubnd-phuong-de-tham</v>
      </c>
      <c r="D2197" t="str">
        <v>-</v>
      </c>
      <c r="E2197" t="str">
        <v>-</v>
      </c>
      <c r="F2197" t="str">
        <v>-</v>
      </c>
      <c r="G2197" t="str">
        <v>-</v>
      </c>
    </row>
    <row r="2198">
      <c r="A2198">
        <v>2197</v>
      </c>
      <c r="B2198">
        <f>HYPERLINK("https://www.facebook.com/p/C%C3%B4ng-an-ph%C6%B0%E1%BB%9Dng-Ho%C3%A0-Chung-TPCB-100069346173924/", "Công an phường Hoà Chung  tỉnh Cao Bằng")</f>
      </c>
      <c r="C2198" t="str">
        <v>https://www.facebook.com/p/C%C3%B4ng-an-ph%C6%B0%E1%BB%9Dng-Ho%C3%A0-Chung-TPCB-100069346173924/</v>
      </c>
      <c r="D2198" t="str">
        <v>-</v>
      </c>
      <c r="E2198" t="str">
        <v/>
      </c>
      <c r="F2198" t="str">
        <v>-</v>
      </c>
      <c r="G2198" t="str">
        <v>Cao Bang, Vietnam</v>
      </c>
    </row>
    <row r="2199">
      <c r="A2199">
        <v>2198</v>
      </c>
      <c r="B2199">
        <f>HYPERLINK("https://ubndtp.caobang.gov.vn/ubnd-phuong-hoa-chung", "UBND Ủy ban nhân dân phường Hoà Chung  tỉnh Cao Bằng")</f>
      </c>
      <c r="C2199" t="str">
        <v>https://ubndtp.caobang.gov.vn/ubnd-phuong-hoa-chung</v>
      </c>
      <c r="D2199" t="str">
        <v>-</v>
      </c>
      <c r="E2199" t="str">
        <v>-</v>
      </c>
      <c r="F2199" t="str">
        <v>-</v>
      </c>
      <c r="G2199" t="str">
        <v>-</v>
      </c>
    </row>
    <row r="2200">
      <c r="A2200">
        <v>2199</v>
      </c>
      <c r="B2200" t="str">
        <v>Công an phường Duyệt Trung  tỉnh Cao Bằng</v>
      </c>
      <c r="C2200" t="str">
        <v>-</v>
      </c>
      <c r="D2200" t="str">
        <v>-</v>
      </c>
      <c r="E2200" t="str">
        <v/>
      </c>
      <c r="F2200" t="str">
        <v>-</v>
      </c>
      <c r="G2200" t="str">
        <v>-</v>
      </c>
    </row>
    <row r="2201">
      <c r="A2201">
        <v>2200</v>
      </c>
      <c r="B2201">
        <f>HYPERLINK("https://ubndtp.caobang.gov.vn/ubnd-phuong-duyet-trung", "UBND Ủy ban nhân dân phường Duyệt Trung  tỉnh Cao Bằng")</f>
      </c>
      <c r="C2201" t="str">
        <v>https://ubndtp.caobang.gov.vn/ubnd-phuong-duyet-trung</v>
      </c>
      <c r="D2201" t="str">
        <v>-</v>
      </c>
      <c r="E2201" t="str">
        <v>-</v>
      </c>
      <c r="F2201" t="str">
        <v>-</v>
      </c>
      <c r="G2201" t="str">
        <v>-</v>
      </c>
    </row>
    <row r="2202">
      <c r="A2202">
        <v>2201</v>
      </c>
      <c r="B2202">
        <f>HYPERLINK("https://www.facebook.com/p/C%C3%B4ng-an-x%C3%A3-V%C4%A9nh-Quang-TP-Cao-B%E1%BA%B1ng-100068969147419/", "Công an xã Vĩnh Quang  tỉnh Cao Bằng")</f>
      </c>
      <c r="C2202" t="str">
        <v>https://www.facebook.com/p/C%C3%B4ng-an-x%C3%A3-V%C4%A9nh-Quang-TP-Cao-B%E1%BA%B1ng-100068969147419/</v>
      </c>
      <c r="D2202" t="str">
        <v>-</v>
      </c>
      <c r="E2202" t="str">
        <v/>
      </c>
      <c r="F2202" t="str">
        <v>-</v>
      </c>
      <c r="G2202" t="str">
        <v>-</v>
      </c>
    </row>
    <row r="2203">
      <c r="A2203">
        <v>2202</v>
      </c>
      <c r="B2203">
        <f>HYPERLINK("https://ubndtp.caobang.gov.vn/ubnd-xa-vinh-quang", "UBND Ủy ban nhân dân xã Vĩnh Quang  tỉnh Cao Bằng")</f>
      </c>
      <c r="C2203" t="str">
        <v>https://ubndtp.caobang.gov.vn/ubnd-xa-vinh-quang</v>
      </c>
      <c r="D2203" t="str">
        <v>-</v>
      </c>
      <c r="E2203" t="str">
        <v>-</v>
      </c>
      <c r="F2203" t="str">
        <v>-</v>
      </c>
      <c r="G2203" t="str">
        <v>-</v>
      </c>
    </row>
    <row r="2204">
      <c r="A2204">
        <v>2203</v>
      </c>
      <c r="B2204">
        <f>HYPERLINK("https://www.facebook.com/caxahungdao/", "Công an xã Hưng Đạo  tỉnh Cao Bằng")</f>
      </c>
      <c r="C2204" t="str">
        <v>https://www.facebook.com/caxahungdao/</v>
      </c>
      <c r="D2204" t="str">
        <v>-</v>
      </c>
      <c r="E2204" t="str">
        <v/>
      </c>
      <c r="F2204" t="str">
        <v>-</v>
      </c>
      <c r="G2204" t="str">
        <v>-</v>
      </c>
    </row>
    <row r="2205">
      <c r="A2205">
        <v>2204</v>
      </c>
      <c r="B2205">
        <f>HYPERLINK("https://ubndtp.caobang.gov.vn/ubnd-xa-hung-dao", "UBND Ủy ban nhân dân xã Hưng Đạo  tỉnh Cao Bằng")</f>
      </c>
      <c r="C2205" t="str">
        <v>https://ubndtp.caobang.gov.vn/ubnd-xa-hung-dao</v>
      </c>
      <c r="D2205" t="str">
        <v>-</v>
      </c>
      <c r="E2205" t="str">
        <v>-</v>
      </c>
      <c r="F2205" t="str">
        <v>-</v>
      </c>
      <c r="G2205" t="str">
        <v>-</v>
      </c>
    </row>
    <row r="2206">
      <c r="A2206">
        <v>2205</v>
      </c>
      <c r="B2206">
        <f>HYPERLINK("https://www.facebook.com/TuoitreConganCaoBang/", "Công an xã Chu Trinh  tỉnh Cao Bằng")</f>
      </c>
      <c r="C2206" t="str">
        <v>https://www.facebook.com/TuoitreConganCaoBang/</v>
      </c>
      <c r="D2206" t="str">
        <v>-</v>
      </c>
      <c r="E2206" t="str">
        <v/>
      </c>
      <c r="F2206" t="str">
        <v>-</v>
      </c>
      <c r="G2206" t="str">
        <v>-</v>
      </c>
    </row>
    <row r="2207">
      <c r="A2207">
        <v>2206</v>
      </c>
      <c r="B2207">
        <f>HYPERLINK("https://ubndtp.caobang.gov.vn/ubnd-xa-chu-trinh", "UBND Ủy ban nhân dân xã Chu Trinh  tỉnh Cao Bằng")</f>
      </c>
      <c r="C2207" t="str">
        <v>https://ubndtp.caobang.gov.vn/ubnd-xa-chu-trinh</v>
      </c>
      <c r="D2207" t="str">
        <v>-</v>
      </c>
      <c r="E2207" t="str">
        <v>-</v>
      </c>
      <c r="F2207" t="str">
        <v>-</v>
      </c>
      <c r="G2207" t="str">
        <v>-</v>
      </c>
    </row>
    <row r="2208">
      <c r="A2208">
        <v>2207</v>
      </c>
      <c r="B2208" t="str">
        <v>Công an thị trấn Pác Miầu  tỉnh Cao Bằng</v>
      </c>
      <c r="C2208" t="str">
        <v>-</v>
      </c>
      <c r="D2208" t="str">
        <v>-</v>
      </c>
      <c r="E2208" t="str">
        <v/>
      </c>
      <c r="F2208" t="str">
        <v>-</v>
      </c>
      <c r="G2208" t="str">
        <v>-</v>
      </c>
    </row>
    <row r="2209">
      <c r="A2209">
        <v>2208</v>
      </c>
      <c r="B2209">
        <f>HYPERLINK("http://pacmiau.baolam.caobang.gov.vn/uy-ban-nhan-dan", "UBND Ủy ban nhân dân thị trấn Pác Miầu  tỉnh Cao Bằng")</f>
      </c>
      <c r="C2209" t="str">
        <v>http://pacmiau.baolam.caobang.gov.vn/uy-ban-nhan-dan</v>
      </c>
      <c r="D2209" t="str">
        <v>-</v>
      </c>
      <c r="E2209" t="str">
        <v>-</v>
      </c>
      <c r="F2209" t="str">
        <v>-</v>
      </c>
      <c r="G2209" t="str">
        <v>-</v>
      </c>
    </row>
    <row r="2210">
      <c r="A2210">
        <v>2209</v>
      </c>
      <c r="B2210">
        <f>HYPERLINK("https://www.facebook.com/TuoitreConganCaoBang/", "Công an xã Đức Hạnh  tỉnh Cao Bằng")</f>
      </c>
      <c r="C2210" t="str">
        <v>https://www.facebook.com/TuoitreConganCaoBang/</v>
      </c>
      <c r="D2210" t="str">
        <v>-</v>
      </c>
      <c r="E2210" t="str">
        <v/>
      </c>
      <c r="F2210" t="str">
        <v>-</v>
      </c>
      <c r="G2210" t="str">
        <v>-</v>
      </c>
    </row>
    <row r="2211">
      <c r="A2211">
        <v>2210</v>
      </c>
      <c r="B2211">
        <f>HYPERLINK("http://duchanh.baolam.caobang.gov.vn/", "UBND Ủy ban nhân dân xã Đức Hạnh  tỉnh Cao Bằng")</f>
      </c>
      <c r="C2211" t="str">
        <v>http://duchanh.baolam.caobang.gov.vn/</v>
      </c>
      <c r="D2211" t="str">
        <v>-</v>
      </c>
      <c r="E2211" t="str">
        <v>-</v>
      </c>
      <c r="F2211" t="str">
        <v>-</v>
      </c>
      <c r="G2211" t="str">
        <v>-</v>
      </c>
    </row>
    <row r="2212">
      <c r="A2212">
        <v>2211</v>
      </c>
      <c r="B2212">
        <f>HYPERLINK("https://www.facebook.com/cax.lybon.01294/", "Công an xã Lý Bôn  tỉnh Cao Bằng")</f>
      </c>
      <c r="C2212" t="str">
        <v>https://www.facebook.com/cax.lybon.01294/</v>
      </c>
      <c r="D2212" t="str">
        <v>-</v>
      </c>
      <c r="E2212" t="str">
        <v/>
      </c>
      <c r="F2212" t="str">
        <v>-</v>
      </c>
      <c r="G2212" t="str">
        <v>-</v>
      </c>
    </row>
    <row r="2213">
      <c r="A2213">
        <v>2212</v>
      </c>
      <c r="B2213">
        <f>HYPERLINK("https://lybon.baolam.caobang.gov.vn/cai-cach-hanh-chinh", "UBND Ủy ban nhân dân xã Lý Bôn  tỉnh Cao Bằng")</f>
      </c>
      <c r="C2213" t="str">
        <v>https://lybon.baolam.caobang.gov.vn/cai-cach-hanh-chinh</v>
      </c>
      <c r="D2213" t="str">
        <v>-</v>
      </c>
      <c r="E2213" t="str">
        <v>-</v>
      </c>
      <c r="F2213" t="str">
        <v>-</v>
      </c>
      <c r="G2213" t="str">
        <v>-</v>
      </c>
    </row>
    <row r="2214">
      <c r="A2214">
        <v>2213</v>
      </c>
      <c r="B2214">
        <f>HYPERLINK("https://www.facebook.com/TuoitreConganCaoBang/", "Công an xã Nam Cao  tỉnh Cao Bằng")</f>
      </c>
      <c r="C2214" t="str">
        <v>https://www.facebook.com/TuoitreConganCaoBang/</v>
      </c>
      <c r="D2214" t="str">
        <v>-</v>
      </c>
      <c r="E2214" t="str">
        <v/>
      </c>
      <c r="F2214" t="str">
        <v>-</v>
      </c>
      <c r="G2214" t="str">
        <v>-</v>
      </c>
    </row>
    <row r="2215">
      <c r="A2215">
        <v>2214</v>
      </c>
      <c r="B2215">
        <f>HYPERLINK("https://baolam.caobang.gov.vn/", "UBND Ủy ban nhân dân xã Nam Cao  tỉnh Cao Bằng")</f>
      </c>
      <c r="C2215" t="str">
        <v>https://baolam.caobang.gov.vn/</v>
      </c>
      <c r="D2215" t="str">
        <v>-</v>
      </c>
      <c r="E2215" t="str">
        <v>-</v>
      </c>
      <c r="F2215" t="str">
        <v>-</v>
      </c>
      <c r="G2215" t="str">
        <v>-</v>
      </c>
    </row>
    <row r="2216">
      <c r="A2216">
        <v>2215</v>
      </c>
      <c r="B2216">
        <f>HYPERLINK("https://www.facebook.com/TuoitreConganCaoBang/", "Công an xã Nam Quang  tỉnh Cao Bằng")</f>
      </c>
      <c r="C2216" t="str">
        <v>https://www.facebook.com/TuoitreConganCaoBang/</v>
      </c>
      <c r="D2216" t="str">
        <v>-</v>
      </c>
      <c r="E2216" t="str">
        <v/>
      </c>
      <c r="F2216" t="str">
        <v>-</v>
      </c>
      <c r="G2216" t="str">
        <v>-</v>
      </c>
    </row>
    <row r="2217">
      <c r="A2217">
        <v>2216</v>
      </c>
      <c r="B2217">
        <f>HYPERLINK("http://namquang.baolam.caobang.gov.vn/", "UBND Ủy ban nhân dân xã Nam Quang  tỉnh Cao Bằng")</f>
      </c>
      <c r="C2217" t="str">
        <v>http://namquang.baolam.caobang.gov.vn/</v>
      </c>
      <c r="D2217" t="str">
        <v>-</v>
      </c>
      <c r="E2217" t="str">
        <v>-</v>
      </c>
      <c r="F2217" t="str">
        <v>-</v>
      </c>
      <c r="G2217" t="str">
        <v>-</v>
      </c>
    </row>
    <row r="2218">
      <c r="A2218">
        <v>2217</v>
      </c>
      <c r="B2218">
        <f>HYPERLINK("https://www.facebook.com/p/C%C3%B4ng-an-x%C3%A3-V%C4%A9nh-Quang-TP-Cao-B%E1%BA%B1ng-100068969147419/", "Công an xã Vĩnh Quang  tỉnh Cao Bằng")</f>
      </c>
      <c r="C2218" t="str">
        <v>https://www.facebook.com/p/C%C3%B4ng-an-x%C3%A3-V%C4%A9nh-Quang-TP-Cao-B%E1%BA%B1ng-100068969147419/</v>
      </c>
      <c r="D2218" t="str">
        <v>-</v>
      </c>
      <c r="E2218" t="str">
        <v/>
      </c>
      <c r="F2218" t="str">
        <v>-</v>
      </c>
      <c r="G2218" t="str">
        <v>-</v>
      </c>
    </row>
    <row r="2219">
      <c r="A2219">
        <v>2218</v>
      </c>
      <c r="B2219">
        <f>HYPERLINK("https://ubndtp.caobang.gov.vn/ubnd-xa-vinh-quang", "UBND Ủy ban nhân dân xã Vĩnh Quang  tỉnh Cao Bằng")</f>
      </c>
      <c r="C2219" t="str">
        <v>https://ubndtp.caobang.gov.vn/ubnd-xa-vinh-quang</v>
      </c>
      <c r="D2219" t="str">
        <v>-</v>
      </c>
      <c r="E2219" t="str">
        <v>-</v>
      </c>
      <c r="F2219" t="str">
        <v>-</v>
      </c>
      <c r="G2219" t="str">
        <v>-</v>
      </c>
    </row>
    <row r="2220">
      <c r="A2220">
        <v>2219</v>
      </c>
      <c r="B2220" t="str">
        <v>Công an xã Quảng Lâm  tỉnh Cao Bằng</v>
      </c>
      <c r="C2220" t="str">
        <v>-</v>
      </c>
      <c r="D2220" t="str">
        <v>-</v>
      </c>
      <c r="E2220" t="str">
        <v/>
      </c>
      <c r="F2220" t="str">
        <v>-</v>
      </c>
      <c r="G2220" t="str">
        <v>-</v>
      </c>
    </row>
    <row r="2221">
      <c r="A2221">
        <v>2220</v>
      </c>
      <c r="B2221">
        <f>HYPERLINK("https://quanglam.baolam.caobang.gov.vn/", "UBND Ủy ban nhân dân xã Quảng Lâm  tỉnh Cao Bằng")</f>
      </c>
      <c r="C2221" t="str">
        <v>https://quanglam.baolam.caobang.gov.vn/</v>
      </c>
      <c r="D2221" t="str">
        <v>-</v>
      </c>
      <c r="E2221" t="str">
        <v>-</v>
      </c>
      <c r="F2221" t="str">
        <v>-</v>
      </c>
      <c r="G2221" t="str">
        <v>-</v>
      </c>
    </row>
    <row r="2222">
      <c r="A2222">
        <v>2221</v>
      </c>
      <c r="B2222" t="str">
        <v>Công an xã Thạch Lâm  tỉnh Cao Bằng</v>
      </c>
      <c r="C2222" t="str">
        <v>-</v>
      </c>
      <c r="D2222" t="str">
        <v>-</v>
      </c>
      <c r="E2222" t="str">
        <v/>
      </c>
      <c r="F2222" t="str">
        <v>-</v>
      </c>
      <c r="G2222" t="str">
        <v>-</v>
      </c>
    </row>
    <row r="2223">
      <c r="A2223">
        <v>2222</v>
      </c>
      <c r="B2223">
        <f>HYPERLINK("https://thachlam.baolam.caobang.gov.vn/", "UBND Ủy ban nhân dân xã Thạch Lâm  tỉnh Cao Bằng")</f>
      </c>
      <c r="C2223" t="str">
        <v>https://thachlam.baolam.caobang.gov.vn/</v>
      </c>
      <c r="D2223" t="str">
        <v>-</v>
      </c>
      <c r="E2223" t="str">
        <v>-</v>
      </c>
      <c r="F2223" t="str">
        <v>-</v>
      </c>
      <c r="G2223" t="str">
        <v>-</v>
      </c>
    </row>
    <row r="2224">
      <c r="A2224">
        <v>2223</v>
      </c>
      <c r="B2224">
        <f>HYPERLINK("https://www.facebook.com/247538643589647", "Công an xã Tân Việt  tỉnh Cao Bằng")</f>
      </c>
      <c r="C2224" t="str">
        <v>https://www.facebook.com/247538643589647</v>
      </c>
      <c r="D2224" t="str">
        <v>-</v>
      </c>
      <c r="E2224" t="str">
        <v/>
      </c>
      <c r="F2224" t="str">
        <v>-</v>
      </c>
      <c r="G2224" t="str">
        <v>-</v>
      </c>
    </row>
    <row r="2225">
      <c r="A2225">
        <v>2224</v>
      </c>
      <c r="B2225">
        <f>HYPERLINK("https://baolam.caobang.gov.vn/ubnd-cac-xa-thi-tran", "UBND Ủy ban nhân dân xã Tân Việt  tỉnh Cao Bằng")</f>
      </c>
      <c r="C2225" t="str">
        <v>https://baolam.caobang.gov.vn/ubnd-cac-xa-thi-tran</v>
      </c>
      <c r="D2225" t="str">
        <v>-</v>
      </c>
      <c r="E2225" t="str">
        <v>-</v>
      </c>
      <c r="F2225" t="str">
        <v>-</v>
      </c>
      <c r="G2225" t="str">
        <v>-</v>
      </c>
    </row>
    <row r="2226">
      <c r="A2226">
        <v>2225</v>
      </c>
      <c r="B2226">
        <f>HYPERLINK("https://www.facebook.com/ConganxaVinhPhong/", "Công an xã Vĩnh Phong  tỉnh Cao Bằng")</f>
      </c>
      <c r="C2226" t="str">
        <v>https://www.facebook.com/ConganxaVinhPhong/</v>
      </c>
      <c r="D2226" t="str">
        <v>-</v>
      </c>
      <c r="E2226" t="str">
        <v/>
      </c>
      <c r="F2226" t="str">
        <v>-</v>
      </c>
      <c r="G2226" t="str">
        <v>-</v>
      </c>
    </row>
    <row r="2227">
      <c r="A2227">
        <v>2226</v>
      </c>
      <c r="B2227">
        <f>HYPERLINK("http://vinhphong.baolam.caobang.gov.vn/", "UBND Ủy ban nhân dân xã Vĩnh Phong  tỉnh Cao Bằng")</f>
      </c>
      <c r="C2227" t="str">
        <v>http://vinhphong.baolam.caobang.gov.vn/</v>
      </c>
      <c r="D2227" t="str">
        <v>-</v>
      </c>
      <c r="E2227" t="str">
        <v>-</v>
      </c>
      <c r="F2227" t="str">
        <v>-</v>
      </c>
      <c r="G2227" t="str">
        <v>-</v>
      </c>
    </row>
    <row r="2228">
      <c r="A2228">
        <v>2227</v>
      </c>
      <c r="B2228">
        <f>HYPERLINK("https://www.facebook.com/CAXMONGANBL/", "Công an xã Mông Ân  tỉnh Cao Bằng")</f>
      </c>
      <c r="C2228" t="str">
        <v>https://www.facebook.com/CAXMONGANBL/</v>
      </c>
      <c r="D2228" t="str">
        <v>-</v>
      </c>
      <c r="E2228" t="str">
        <v/>
      </c>
      <c r="F2228" t="str">
        <v>-</v>
      </c>
      <c r="G2228" t="str">
        <v>-</v>
      </c>
    </row>
    <row r="2229">
      <c r="A2229">
        <v>2228</v>
      </c>
      <c r="B2229">
        <f>HYPERLINK("http://mongan.baolam.caobang.gov.vn/", "UBND Ủy ban nhân dân xã Mông Ân  tỉnh Cao Bằng")</f>
      </c>
      <c r="C2229" t="str">
        <v>http://mongan.baolam.caobang.gov.vn/</v>
      </c>
      <c r="D2229" t="str">
        <v>-</v>
      </c>
      <c r="E2229" t="str">
        <v>-</v>
      </c>
      <c r="F2229" t="str">
        <v>-</v>
      </c>
      <c r="G2229" t="str">
        <v>-</v>
      </c>
    </row>
    <row r="2230">
      <c r="A2230">
        <v>2229</v>
      </c>
      <c r="B2230">
        <f>HYPERLINK("https://www.facebook.com/p/C%C3%B4ng-an-x%C3%A3-Th%C3%A1i-H%E1%BB%8Dc-B%E1%BA%A3o-L%C3%A2m-Cao-B%E1%BA%B1ng-100069695572389/", "Công an xã Thái Học  tỉnh Cao Bằng")</f>
      </c>
      <c r="C2230" t="str">
        <v>https://www.facebook.com/p/C%C3%B4ng-an-x%C3%A3-Th%C3%A1i-H%E1%BB%8Dc-B%E1%BA%A3o-L%C3%A2m-Cao-B%E1%BA%B1ng-100069695572389/</v>
      </c>
      <c r="D2230" t="str">
        <v>-</v>
      </c>
      <c r="E2230" t="str">
        <v/>
      </c>
      <c r="F2230" t="str">
        <v>-</v>
      </c>
      <c r="G2230" t="str">
        <v>-</v>
      </c>
    </row>
    <row r="2231">
      <c r="A2231">
        <v>2230</v>
      </c>
      <c r="B2231">
        <f>HYPERLINK("https://thaihoc.baolam.caobang.gov.vn/kinh-te-xa-hoi/uy-ban-nhan-dan-xa-thai-hoc-935029", "UBND Ủy ban nhân dân xã Thái Học  tỉnh Cao Bằng")</f>
      </c>
      <c r="C2231" t="str">
        <v>https://thaihoc.baolam.caobang.gov.vn/kinh-te-xa-hoi/uy-ban-nhan-dan-xa-thai-hoc-935029</v>
      </c>
      <c r="D2231" t="str">
        <v>-</v>
      </c>
      <c r="E2231" t="str">
        <v>-</v>
      </c>
      <c r="F2231" t="str">
        <v>-</v>
      </c>
      <c r="G2231" t="str">
        <v>-</v>
      </c>
    </row>
    <row r="2232">
      <c r="A2232">
        <v>2231</v>
      </c>
      <c r="B2232">
        <f>HYPERLINK("https://www.facebook.com/p/C%C3%B4ng-an-x%C3%A3-Th%C3%A1i-S%C6%A1n-B%E1%BA%A3o-L%C3%A2m-Cao-B%E1%BA%B1ng-100071219475619/", "Công an xã Thái Sơn  tỉnh Cao Bằng")</f>
      </c>
      <c r="C2232" t="str">
        <v>https://www.facebook.com/p/C%C3%B4ng-an-x%C3%A3-Th%C3%A1i-S%C6%A1n-B%E1%BA%A3o-L%C3%A2m-Cao-B%E1%BA%B1ng-100071219475619/</v>
      </c>
      <c r="D2232" t="str">
        <v>-</v>
      </c>
      <c r="E2232" t="str">
        <v/>
      </c>
      <c r="F2232" t="str">
        <v>-</v>
      </c>
      <c r="G2232" t="str">
        <v>-</v>
      </c>
    </row>
    <row r="2233">
      <c r="A2233">
        <v>2232</v>
      </c>
      <c r="B2233">
        <f>HYPERLINK("http://thaison.baolam.caobang.gov.vn/", "UBND Ủy ban nhân dân xã Thái Sơn  tỉnh Cao Bằng")</f>
      </c>
      <c r="C2233" t="str">
        <v>http://thaison.baolam.caobang.gov.vn/</v>
      </c>
      <c r="D2233" t="str">
        <v>-</v>
      </c>
      <c r="E2233" t="str">
        <v>-</v>
      </c>
      <c r="F2233" t="str">
        <v>-</v>
      </c>
      <c r="G2233" t="str">
        <v>-</v>
      </c>
    </row>
    <row r="2234">
      <c r="A2234">
        <v>2233</v>
      </c>
      <c r="B2234">
        <f>HYPERLINK("https://www.facebook.com/p/C%C3%B4ng-an-x%C3%A3-Y%C3%AAn-Th%E1%BB%95-B%E1%BA%A3o-L%C3%A2m-Cao-B%E1%BA%B1ng-100069790130438/", "Công an xã Yên Thổ  tỉnh Cao Bằng")</f>
      </c>
      <c r="C2234" t="str">
        <v>https://www.facebook.com/p/C%C3%B4ng-an-x%C3%A3-Y%C3%AAn-Th%E1%BB%95-B%E1%BA%A3o-L%C3%A2m-Cao-B%E1%BA%B1ng-100069790130438/</v>
      </c>
      <c r="D2234" t="str">
        <v>-</v>
      </c>
      <c r="E2234" t="str">
        <v/>
      </c>
      <c r="F2234" t="str">
        <v>-</v>
      </c>
      <c r="G2234" t="str">
        <v>-</v>
      </c>
    </row>
    <row r="2235">
      <c r="A2235">
        <v>2234</v>
      </c>
      <c r="B2235">
        <f>HYPERLINK("http://yentho.baolam.caobang.gov.vn/", "UBND Ủy ban nhân dân xã Yên Thổ  tỉnh Cao Bằng")</f>
      </c>
      <c r="C2235" t="str">
        <v>http://yentho.baolam.caobang.gov.vn/</v>
      </c>
      <c r="D2235" t="str">
        <v>-</v>
      </c>
      <c r="E2235" t="str">
        <v>-</v>
      </c>
      <c r="F2235" t="str">
        <v>-</v>
      </c>
      <c r="G2235" t="str">
        <v>-</v>
      </c>
    </row>
    <row r="2236">
      <c r="A2236">
        <v>2235</v>
      </c>
      <c r="B2236">
        <f>HYPERLINK("https://www.facebook.com/p/C%C3%B4ng-an-huy%E1%BB%87n-B%E1%BA%A3o-L%E1%BA%A1c-100070790086759/", "Công an thị trấn Bảo Lạc  tỉnh Cao Bằng")</f>
      </c>
      <c r="C2236" t="str">
        <v>https://www.facebook.com/p/C%C3%B4ng-an-huy%E1%BB%87n-B%E1%BA%A3o-L%E1%BA%A1c-100070790086759/</v>
      </c>
      <c r="D2236" t="str">
        <v>-</v>
      </c>
      <c r="E2236" t="str">
        <v/>
      </c>
      <c r="F2236" t="str">
        <v>-</v>
      </c>
      <c r="G2236" t="str">
        <v>-</v>
      </c>
    </row>
    <row r="2237">
      <c r="A2237">
        <v>2236</v>
      </c>
      <c r="B2237">
        <f>HYPERLINK("https://baolac.caobang.gov.vn/", "UBND Ủy ban nhân dân thị trấn Bảo Lạc  tỉnh Cao Bằng")</f>
      </c>
      <c r="C2237" t="str">
        <v>https://baolac.caobang.gov.vn/</v>
      </c>
      <c r="D2237" t="str">
        <v>-</v>
      </c>
      <c r="E2237" t="str">
        <v>-</v>
      </c>
      <c r="F2237" t="str">
        <v>-</v>
      </c>
      <c r="G2237" t="str">
        <v>-</v>
      </c>
    </row>
    <row r="2238">
      <c r="A2238">
        <v>2237</v>
      </c>
      <c r="B2238">
        <f>HYPERLINK("https://www.facebook.com/nguyentrungthongcocpang/", "Công an xã Cốc Pàng  tỉnh Cao Bằng")</f>
      </c>
      <c r="C2238" t="str">
        <v>https://www.facebook.com/nguyentrungthongcocpang/</v>
      </c>
      <c r="D2238" t="str">
        <v>-</v>
      </c>
      <c r="E2238" t="str">
        <v/>
      </c>
      <c r="F2238" t="str">
        <v>-</v>
      </c>
      <c r="G2238" t="str">
        <v>-</v>
      </c>
    </row>
    <row r="2239">
      <c r="A2239">
        <v>2238</v>
      </c>
      <c r="B2239">
        <f>HYPERLINK("https://cocpang.baolac.caobang.gov.vn/", "UBND Ủy ban nhân dân xã Cốc Pàng  tỉnh Cao Bằng")</f>
      </c>
      <c r="C2239" t="str">
        <v>https://cocpang.baolac.caobang.gov.vn/</v>
      </c>
      <c r="D2239" t="str">
        <v>-</v>
      </c>
      <c r="E2239" t="str">
        <v>-</v>
      </c>
      <c r="F2239" t="str">
        <v>-</v>
      </c>
      <c r="G2239" t="str">
        <v>-</v>
      </c>
    </row>
    <row r="2240">
      <c r="A2240">
        <v>2239</v>
      </c>
      <c r="B2240">
        <f>HYPERLINK("https://www.facebook.com/TuoitreConganCaoBang/", "Công an xã Thượng Hà  tỉnh Cao Bằng")</f>
      </c>
      <c r="C2240" t="str">
        <v>https://www.facebook.com/TuoitreConganCaoBang/</v>
      </c>
      <c r="D2240" t="str">
        <v>-</v>
      </c>
      <c r="E2240" t="str">
        <v/>
      </c>
      <c r="F2240" t="str">
        <v>-</v>
      </c>
      <c r="G2240" t="str">
        <v>-</v>
      </c>
    </row>
    <row r="2241">
      <c r="A2241">
        <v>2240</v>
      </c>
      <c r="B2241">
        <f>HYPERLINK("https://baolac.caobang.gov.vn/ubnd-xa-thuong-ha", "UBND Ủy ban nhân dân xã Thượng Hà  tỉnh Cao Bằng")</f>
      </c>
      <c r="C2241" t="str">
        <v>https://baolac.caobang.gov.vn/ubnd-xa-thuong-ha</v>
      </c>
      <c r="D2241" t="str">
        <v>-</v>
      </c>
      <c r="E2241" t="str">
        <v>-</v>
      </c>
      <c r="F2241" t="str">
        <v>-</v>
      </c>
      <c r="G2241" t="str">
        <v>-</v>
      </c>
    </row>
    <row r="2242">
      <c r="A2242">
        <v>2241</v>
      </c>
      <c r="B2242">
        <f>HYPERLINK("https://www.facebook.com/TuoitreConganCaoBang/", "Công an xã Cô Ba  tỉnh Cao Bằng")</f>
      </c>
      <c r="C2242" t="str">
        <v>https://www.facebook.com/TuoitreConganCaoBang/</v>
      </c>
      <c r="D2242" t="str">
        <v>-</v>
      </c>
      <c r="E2242" t="str">
        <v/>
      </c>
      <c r="F2242" t="str">
        <v>-</v>
      </c>
      <c r="G2242" t="str">
        <v>-</v>
      </c>
    </row>
    <row r="2243">
      <c r="A2243">
        <v>2242</v>
      </c>
      <c r="B2243">
        <f>HYPERLINK("http://coba.baolac.caobang.gov.vn/", "UBND Ủy ban nhân dân xã Cô Ba  tỉnh Cao Bằng")</f>
      </c>
      <c r="C2243" t="str">
        <v>http://coba.baolac.caobang.gov.vn/</v>
      </c>
      <c r="D2243" t="str">
        <v>-</v>
      </c>
      <c r="E2243" t="str">
        <v>-</v>
      </c>
      <c r="F2243" t="str">
        <v>-</v>
      </c>
      <c r="G2243" t="str">
        <v>-</v>
      </c>
    </row>
    <row r="2244">
      <c r="A2244">
        <v>2243</v>
      </c>
      <c r="B2244">
        <f>HYPERLINK("https://www.facebook.com/TuoitreConganCaoBang/", "Công an xã Bảo Toàn  tỉnh Cao Bằng")</f>
      </c>
      <c r="C2244" t="str">
        <v>https://www.facebook.com/TuoitreConganCaoBang/</v>
      </c>
      <c r="D2244" t="str">
        <v>-</v>
      </c>
      <c r="E2244" t="str">
        <v/>
      </c>
      <c r="F2244" t="str">
        <v>-</v>
      </c>
      <c r="G2244" t="str">
        <v>-</v>
      </c>
    </row>
    <row r="2245">
      <c r="A2245">
        <v>2244</v>
      </c>
      <c r="B2245">
        <f>HYPERLINK("https://baotoan.baolac.caobang.gov.vn/", "UBND Ủy ban nhân dân xã Bảo Toàn  tỉnh Cao Bằng")</f>
      </c>
      <c r="C2245" t="str">
        <v>https://baotoan.baolac.caobang.gov.vn/</v>
      </c>
      <c r="D2245" t="str">
        <v>-</v>
      </c>
      <c r="E2245" t="str">
        <v>-</v>
      </c>
      <c r="F2245" t="str">
        <v>-</v>
      </c>
      <c r="G2245" t="str">
        <v>-</v>
      </c>
    </row>
    <row r="2246">
      <c r="A2246">
        <v>2245</v>
      </c>
      <c r="B2246">
        <f>HYPERLINK("https://www.facebook.com/CAXKhanhXuan/", "Công an xã Khánh Xuân  tỉnh Cao Bằng")</f>
      </c>
      <c r="C2246" t="str">
        <v>https://www.facebook.com/CAXKhanhXuan/</v>
      </c>
      <c r="D2246" t="str">
        <v>-</v>
      </c>
      <c r="E2246" t="str">
        <v/>
      </c>
      <c r="F2246" t="str">
        <v>-</v>
      </c>
      <c r="G2246" t="str">
        <v>-</v>
      </c>
    </row>
    <row r="2247">
      <c r="A2247">
        <v>2246</v>
      </c>
      <c r="B2247">
        <f>HYPERLINK("https://baolac.caobang.gov.vn/ubnd-xa-khanh-xuan", "UBND Ủy ban nhân dân xã Khánh Xuân  tỉnh Cao Bằng")</f>
      </c>
      <c r="C2247" t="str">
        <v>https://baolac.caobang.gov.vn/ubnd-xa-khanh-xuan</v>
      </c>
      <c r="D2247" t="str">
        <v>-</v>
      </c>
      <c r="E2247" t="str">
        <v>-</v>
      </c>
      <c r="F2247" t="str">
        <v>-</v>
      </c>
      <c r="G2247" t="str">
        <v>-</v>
      </c>
    </row>
    <row r="2248">
      <c r="A2248">
        <v>2247</v>
      </c>
      <c r="B2248">
        <f>HYPERLINK("https://www.facebook.com/TuoitreConganCaoBang/", "Công an xã Xuân Trường  tỉnh Cao Bằng")</f>
      </c>
      <c r="C2248" t="str">
        <v>https://www.facebook.com/TuoitreConganCaoBang/</v>
      </c>
      <c r="D2248" t="str">
        <v>-</v>
      </c>
      <c r="E2248" t="str">
        <v/>
      </c>
      <c r="F2248" t="str">
        <v>-</v>
      </c>
      <c r="G2248" t="str">
        <v>-</v>
      </c>
    </row>
    <row r="2249">
      <c r="A2249">
        <v>2248</v>
      </c>
      <c r="B2249">
        <f>HYPERLINK("https://baolac.caobang.gov.vn/1348/33978/83015/ubnd-xa-xuan-truong", "UBND Ủy ban nhân dân xã Xuân Trường  tỉnh Cao Bằng")</f>
      </c>
      <c r="C2249" t="str">
        <v>https://baolac.caobang.gov.vn/1348/33978/83015/ubnd-xa-xuan-truong</v>
      </c>
      <c r="D2249" t="str">
        <v>-</v>
      </c>
      <c r="E2249" t="str">
        <v>-</v>
      </c>
      <c r="F2249" t="str">
        <v>-</v>
      </c>
      <c r="G2249" t="str">
        <v>-</v>
      </c>
    </row>
    <row r="2250">
      <c r="A2250">
        <v>2249</v>
      </c>
      <c r="B2250">
        <f>HYPERLINK("https://www.facebook.com/TuoitreConganCaoBang/", "Công an xã Hồng Trị  tỉnh Cao Bằng")</f>
      </c>
      <c r="C2250" t="str">
        <v>https://www.facebook.com/TuoitreConganCaoBang/</v>
      </c>
      <c r="D2250" t="str">
        <v>-</v>
      </c>
      <c r="E2250" t="str">
        <v/>
      </c>
      <c r="F2250" t="str">
        <v>-</v>
      </c>
      <c r="G2250" t="str">
        <v>-</v>
      </c>
    </row>
    <row r="2251">
      <c r="A2251">
        <v>2250</v>
      </c>
      <c r="B2251">
        <f>HYPERLINK("https://hongtri.baolac.caobang.gov.vn/", "UBND Ủy ban nhân dân xã Hồng Trị  tỉnh Cao Bằng")</f>
      </c>
      <c r="C2251" t="str">
        <v>https://hongtri.baolac.caobang.gov.vn/</v>
      </c>
      <c r="D2251" t="str">
        <v>-</v>
      </c>
      <c r="E2251" t="str">
        <v>-</v>
      </c>
      <c r="F2251" t="str">
        <v>-</v>
      </c>
      <c r="G2251" t="str">
        <v>-</v>
      </c>
    </row>
    <row r="2252">
      <c r="A2252">
        <v>2251</v>
      </c>
      <c r="B2252">
        <f>HYPERLINK("https://www.facebook.com/Conganxakimcuc/", "Công an xã Kim Cúc  tỉnh Cao Bằng")</f>
      </c>
      <c r="C2252" t="str">
        <v>https://www.facebook.com/Conganxakimcuc/</v>
      </c>
      <c r="D2252" t="str">
        <v>-</v>
      </c>
      <c r="E2252" t="str">
        <v/>
      </c>
      <c r="F2252" t="str">
        <v>-</v>
      </c>
      <c r="G2252" t="str">
        <v>-</v>
      </c>
    </row>
    <row r="2253">
      <c r="A2253">
        <v>2252</v>
      </c>
      <c r="B2253">
        <f>HYPERLINK("http://kimcuc.baolac.caobang.gov.vn/", "UBND Ủy ban nhân dân xã Kim Cúc  tỉnh Cao Bằng")</f>
      </c>
      <c r="C2253" t="str">
        <v>http://kimcuc.baolac.caobang.gov.vn/</v>
      </c>
      <c r="D2253" t="str">
        <v>-</v>
      </c>
      <c r="E2253" t="str">
        <v>-</v>
      </c>
      <c r="F2253" t="str">
        <v>-</v>
      </c>
      <c r="G2253" t="str">
        <v>-</v>
      </c>
    </row>
    <row r="2254">
      <c r="A2254">
        <v>2253</v>
      </c>
      <c r="B2254">
        <f>HYPERLINK("https://www.facebook.com/TuoitreConganCaoBang/", "Công an xã Phan Thanh  tỉnh Cao Bằng")</f>
      </c>
      <c r="C2254" t="str">
        <v>https://www.facebook.com/TuoitreConganCaoBang/</v>
      </c>
      <c r="D2254" t="str">
        <v>-</v>
      </c>
      <c r="E2254" t="str">
        <v/>
      </c>
      <c r="F2254" t="str">
        <v>-</v>
      </c>
      <c r="G2254" t="str">
        <v>-</v>
      </c>
    </row>
    <row r="2255">
      <c r="A2255">
        <v>2254</v>
      </c>
      <c r="B2255">
        <f>HYPERLINK("https://nguyenbinh.caobang.gov.vn/xa-phan-thanh", "UBND Ủy ban nhân dân xã Phan Thanh  tỉnh Cao Bằng")</f>
      </c>
      <c r="C2255" t="str">
        <v>https://nguyenbinh.caobang.gov.vn/xa-phan-thanh</v>
      </c>
      <c r="D2255" t="str">
        <v>-</v>
      </c>
      <c r="E2255" t="str">
        <v>-</v>
      </c>
      <c r="F2255" t="str">
        <v>-</v>
      </c>
      <c r="G2255" t="str">
        <v>-</v>
      </c>
    </row>
    <row r="2256">
      <c r="A2256">
        <v>2255</v>
      </c>
      <c r="B2256">
        <f>HYPERLINK("https://www.facebook.com/TuoitreConganCaoBang/", "Công an xã Hồng An  tỉnh Cao Bằng")</f>
      </c>
      <c r="C2256" t="str">
        <v>https://www.facebook.com/TuoitreConganCaoBang/</v>
      </c>
      <c r="D2256" t="str">
        <v>-</v>
      </c>
      <c r="E2256" t="str">
        <v/>
      </c>
      <c r="F2256" t="str">
        <v>-</v>
      </c>
      <c r="G2256" t="str">
        <v>-</v>
      </c>
    </row>
    <row r="2257">
      <c r="A2257">
        <v>2256</v>
      </c>
      <c r="B2257">
        <f>HYPERLINK("https://baolac.caobang.gov.vn/", "UBND Ủy ban nhân dân xã Hồng An  tỉnh Cao Bằng")</f>
      </c>
      <c r="C2257" t="str">
        <v>https://baolac.caobang.gov.vn/</v>
      </c>
      <c r="D2257" t="str">
        <v>-</v>
      </c>
      <c r="E2257" t="str">
        <v>-</v>
      </c>
      <c r="F2257" t="str">
        <v>-</v>
      </c>
      <c r="G2257" t="str">
        <v>-</v>
      </c>
    </row>
    <row r="2258">
      <c r="A2258">
        <v>2257</v>
      </c>
      <c r="B2258">
        <f>HYPERLINK("https://www.facebook.com/caxahungdao/", "Công an xã Hưng Đạo  tỉnh Cao Bằng")</f>
      </c>
      <c r="C2258" t="str">
        <v>https://www.facebook.com/caxahungdao/</v>
      </c>
      <c r="D2258" t="str">
        <v>-</v>
      </c>
      <c r="E2258" t="str">
        <v/>
      </c>
      <c r="F2258" t="str">
        <v>-</v>
      </c>
      <c r="G2258" t="str">
        <v>-</v>
      </c>
    </row>
    <row r="2259">
      <c r="A2259">
        <v>2258</v>
      </c>
      <c r="B2259">
        <f>HYPERLINK("https://ubndtp.caobang.gov.vn/ubnd-xa-hung-dao", "UBND Ủy ban nhân dân xã Hưng Đạo  tỉnh Cao Bằng")</f>
      </c>
      <c r="C2259" t="str">
        <v>https://ubndtp.caobang.gov.vn/ubnd-xa-hung-dao</v>
      </c>
      <c r="D2259" t="str">
        <v>-</v>
      </c>
      <c r="E2259" t="str">
        <v>-</v>
      </c>
      <c r="F2259" t="str">
        <v>-</v>
      </c>
      <c r="G2259" t="str">
        <v>-</v>
      </c>
    </row>
    <row r="2260">
      <c r="A2260">
        <v>2259</v>
      </c>
      <c r="B2260" t="str">
        <v>Công an xã Hưng Thịnh  tỉnh Cao Bằng</v>
      </c>
      <c r="C2260" t="str">
        <v>-</v>
      </c>
      <c r="D2260" t="str">
        <v>-</v>
      </c>
      <c r="E2260" t="str">
        <v/>
      </c>
      <c r="F2260" t="str">
        <v>-</v>
      </c>
      <c r="G2260" t="str">
        <v>-</v>
      </c>
    </row>
    <row r="2261">
      <c r="A2261">
        <v>2260</v>
      </c>
      <c r="B2261">
        <f>HYPERLINK("https://hungthinh.baolac.caobang.gov.vn/", "UBND Ủy ban nhân dân xã Hưng Thịnh  tỉnh Cao Bằng")</f>
      </c>
      <c r="C2261" t="str">
        <v>https://hungthinh.baolac.caobang.gov.vn/</v>
      </c>
      <c r="D2261" t="str">
        <v>-</v>
      </c>
      <c r="E2261" t="str">
        <v>-</v>
      </c>
      <c r="F2261" t="str">
        <v>-</v>
      </c>
      <c r="G2261" t="str">
        <v>-</v>
      </c>
    </row>
    <row r="2262">
      <c r="A2262">
        <v>2261</v>
      </c>
      <c r="B2262">
        <f>HYPERLINK("https://www.facebook.com/TuoitreConganCaoBang/?locale=sk_SK", "Công an xã Huy Giáp  tỉnh Cao Bằng")</f>
      </c>
      <c r="C2262" t="str">
        <v>https://www.facebook.com/TuoitreConganCaoBang/?locale=sk_SK</v>
      </c>
      <c r="D2262" t="str">
        <v>-</v>
      </c>
      <c r="E2262" t="str">
        <v/>
      </c>
      <c r="F2262" t="str">
        <v>-</v>
      </c>
      <c r="G2262" t="str">
        <v>-</v>
      </c>
    </row>
    <row r="2263">
      <c r="A2263">
        <v>2262</v>
      </c>
      <c r="B2263">
        <f>HYPERLINK("https://huygiap.baolac.caobang.gov.vn/", "UBND Ủy ban nhân dân xã Huy Giáp  tỉnh Cao Bằng")</f>
      </c>
      <c r="C2263" t="str">
        <v>https://huygiap.baolac.caobang.gov.vn/</v>
      </c>
      <c r="D2263" t="str">
        <v>-</v>
      </c>
      <c r="E2263" t="str">
        <v>-</v>
      </c>
      <c r="F2263" t="str">
        <v>-</v>
      </c>
      <c r="G2263" t="str">
        <v>-</v>
      </c>
    </row>
    <row r="2264">
      <c r="A2264">
        <v>2263</v>
      </c>
      <c r="B2264">
        <f>HYPERLINK("https://www.facebook.com/p/C%C3%B4ng-an-x%C3%A3-%C4%90%C3%ACnh-Ph%C3%B9ng-huy%E1%BB%87n-B%E1%BA%A3o-L%E1%BA%A1c-t%E1%BB%89nh-Cao-B%E1%BA%B1ng-100080278058147/", "Công an xã Đình Phùng  tỉnh Cao Bằng")</f>
      </c>
      <c r="C2264" t="str">
        <v>https://www.facebook.com/p/C%C3%B4ng-an-x%C3%A3-%C4%90%C3%ACnh-Ph%C3%B9ng-huy%E1%BB%87n-B%E1%BA%A3o-L%E1%BA%A1c-t%E1%BB%89nh-Cao-B%E1%BA%B1ng-100080278058147/</v>
      </c>
      <c r="D2264" t="str">
        <v>-</v>
      </c>
      <c r="E2264" t="str">
        <v/>
      </c>
      <c r="F2264" t="str">
        <v>-</v>
      </c>
      <c r="G2264" t="str">
        <v>-</v>
      </c>
    </row>
    <row r="2265">
      <c r="A2265">
        <v>2264</v>
      </c>
      <c r="B2265">
        <f>HYPERLINK("https://baolac.caobang.gov.vn/", "UBND Ủy ban nhân dân xã Đình Phùng  tỉnh Cao Bằng")</f>
      </c>
      <c r="C2265" t="str">
        <v>https://baolac.caobang.gov.vn/</v>
      </c>
      <c r="D2265" t="str">
        <v>-</v>
      </c>
      <c r="E2265" t="str">
        <v>-</v>
      </c>
      <c r="F2265" t="str">
        <v>-</v>
      </c>
      <c r="G2265" t="str">
        <v>-</v>
      </c>
    </row>
    <row r="2266">
      <c r="A2266">
        <v>2265</v>
      </c>
      <c r="B2266">
        <f>HYPERLINK("https://www.facebook.com/p/Tu%E1%BB%95i-tr%E1%BA%BB-C%C3%B4ng-an-th%E1%BB%8B-x%C3%A3-S%C6%A1n-T%C3%A2y-100040884909606/", "Công an xã Sơn Lập  tỉnh Cao Bằng")</f>
      </c>
      <c r="C2266" t="str">
        <v>https://www.facebook.com/p/Tu%E1%BB%95i-tr%E1%BA%BB-C%C3%B4ng-an-th%E1%BB%8B-x%C3%A3-S%C6%A1n-T%C3%A2y-100040884909606/</v>
      </c>
      <c r="D2266" t="str">
        <v>-</v>
      </c>
      <c r="E2266" t="str">
        <v/>
      </c>
      <c r="F2266" t="str">
        <v>-</v>
      </c>
      <c r="G2266" t="str">
        <v>-</v>
      </c>
    </row>
    <row r="2267">
      <c r="A2267">
        <v>2266</v>
      </c>
      <c r="B2267">
        <f>HYPERLINK("http://sonlap.baolac.caobang.gov.vn/", "UBND Ủy ban nhân dân xã Sơn Lập  tỉnh Cao Bằng")</f>
      </c>
      <c r="C2267" t="str">
        <v>http://sonlap.baolac.caobang.gov.vn/</v>
      </c>
      <c r="D2267" t="str">
        <v>-</v>
      </c>
      <c r="E2267" t="str">
        <v>-</v>
      </c>
      <c r="F2267" t="str">
        <v>-</v>
      </c>
      <c r="G2267" t="str">
        <v>-</v>
      </c>
    </row>
    <row r="2268">
      <c r="A2268">
        <v>2267</v>
      </c>
      <c r="B2268" t="str">
        <v>Công an xã Sơn Lộ  tỉnh Cao Bằng</v>
      </c>
      <c r="C2268" t="str">
        <v>-</v>
      </c>
      <c r="D2268" t="str">
        <v>-</v>
      </c>
      <c r="E2268" t="str">
        <v/>
      </c>
      <c r="F2268" t="str">
        <v>-</v>
      </c>
      <c r="G2268" t="str">
        <v>-</v>
      </c>
    </row>
    <row r="2269">
      <c r="A2269">
        <v>2268</v>
      </c>
      <c r="B2269">
        <f>HYPERLINK("http://sonlo.baolac.caobang.gov.vn/", "UBND Ủy ban nhân dân xã Sơn Lộ  tỉnh Cao Bằng")</f>
      </c>
      <c r="C2269" t="str">
        <v>http://sonlo.baolac.caobang.gov.vn/</v>
      </c>
      <c r="D2269" t="str">
        <v>-</v>
      </c>
      <c r="E2269" t="str">
        <v>-</v>
      </c>
      <c r="F2269" t="str">
        <v>-</v>
      </c>
      <c r="G2269" t="str">
        <v>-</v>
      </c>
    </row>
    <row r="2270">
      <c r="A2270">
        <v>2269</v>
      </c>
      <c r="B2270" t="str">
        <v>Công an thị trấn Thông Nông  tỉnh Cao Bằng</v>
      </c>
      <c r="C2270" t="str">
        <v>-</v>
      </c>
      <c r="D2270" t="str">
        <v>-</v>
      </c>
      <c r="E2270" t="str">
        <v/>
      </c>
      <c r="F2270" t="str">
        <v>-</v>
      </c>
      <c r="G2270" t="str">
        <v>-</v>
      </c>
    </row>
    <row r="2271">
      <c r="A2271">
        <v>2270</v>
      </c>
      <c r="B2271">
        <f>HYPERLINK("https://thongnong.haquang.caobang.gov.vn/", "UBND Ủy ban nhân dân thị trấn Thông Nông  tỉnh Cao Bằng")</f>
      </c>
      <c r="C2271" t="str">
        <v>https://thongnong.haquang.caobang.gov.vn/</v>
      </c>
      <c r="D2271" t="str">
        <v>-</v>
      </c>
      <c r="E2271" t="str">
        <v>-</v>
      </c>
      <c r="F2271" t="str">
        <v>-</v>
      </c>
      <c r="G2271" t="str">
        <v>-</v>
      </c>
    </row>
    <row r="2272">
      <c r="A2272">
        <v>2271</v>
      </c>
      <c r="B2272">
        <f>HYPERLINK("https://www.facebook.com/p/Tu%E1%BB%95i-tr%E1%BA%BB-C%C3%B4ng-an-Th%C3%A0nh-ph%E1%BB%91-V%C4%A9nh-Y%C3%AAn-100066497717181/", "Công an xã Cần Yên  tỉnh Cao Bằng")</f>
      </c>
      <c r="C2272" t="str">
        <v>https://www.facebook.com/p/Tu%E1%BB%95i-tr%E1%BA%BB-C%C3%B4ng-an-Th%C3%A0nh-ph%E1%BB%91-V%C4%A9nh-Y%C3%AAn-100066497717181/</v>
      </c>
      <c r="D2272" t="str">
        <v>-</v>
      </c>
      <c r="E2272" t="str">
        <v/>
      </c>
      <c r="F2272" t="str">
        <v>-</v>
      </c>
      <c r="G2272" t="str">
        <v>-</v>
      </c>
    </row>
    <row r="2273">
      <c r="A2273">
        <v>2272</v>
      </c>
      <c r="B2273">
        <f>HYPERLINK("https://haquang.caobang.gov.vn/ubnd-cac-xa-thi-tran/ubnd-xa-can-yen-667050", "UBND Ủy ban nhân dân xã Cần Yên  tỉnh Cao Bằng")</f>
      </c>
      <c r="C2273" t="str">
        <v>https://haquang.caobang.gov.vn/ubnd-cac-xa-thi-tran/ubnd-xa-can-yen-667050</v>
      </c>
      <c r="D2273" t="str">
        <v>-</v>
      </c>
      <c r="E2273" t="str">
        <v>-</v>
      </c>
      <c r="F2273" t="str">
        <v>-</v>
      </c>
      <c r="G2273" t="str">
        <v>-</v>
      </c>
    </row>
    <row r="2274">
      <c r="A2274">
        <v>2273</v>
      </c>
      <c r="B2274">
        <f>HYPERLINK("https://www.facebook.com/TuoitreConganCaoBang/", "Công an xã Cần Nông  tỉnh Cao Bằng")</f>
      </c>
      <c r="C2274" t="str">
        <v>https://www.facebook.com/TuoitreConganCaoBang/</v>
      </c>
      <c r="D2274" t="str">
        <v>-</v>
      </c>
      <c r="E2274" t="str">
        <v/>
      </c>
      <c r="F2274" t="str">
        <v>-</v>
      </c>
      <c r="G2274" t="str">
        <v>-</v>
      </c>
    </row>
    <row r="2275">
      <c r="A2275">
        <v>2274</v>
      </c>
      <c r="B2275">
        <f>HYPERLINK("https://haquang.caobang.gov.vn/", "UBND Ủy ban nhân dân xã Cần Nông  tỉnh Cao Bằng")</f>
      </c>
      <c r="C2275" t="str">
        <v>https://haquang.caobang.gov.vn/</v>
      </c>
      <c r="D2275" t="str">
        <v>-</v>
      </c>
      <c r="E2275" t="str">
        <v>-</v>
      </c>
      <c r="F2275" t="str">
        <v>-</v>
      </c>
      <c r="G2275" t="str">
        <v>-</v>
      </c>
    </row>
    <row r="2276">
      <c r="A2276">
        <v>2275</v>
      </c>
      <c r="B2276">
        <f>HYPERLINK("https://www.facebook.com/TuoitreConganCaoBang/", "Công an xã Vị Quang  tỉnh Cao Bằng")</f>
      </c>
      <c r="C2276" t="str">
        <v>https://www.facebook.com/TuoitreConganCaoBang/</v>
      </c>
      <c r="D2276" t="str">
        <v>-</v>
      </c>
      <c r="E2276" t="str">
        <v/>
      </c>
      <c r="F2276" t="str">
        <v>-</v>
      </c>
      <c r="G2276" t="str">
        <v>-</v>
      </c>
    </row>
    <row r="2277">
      <c r="A2277">
        <v>2276</v>
      </c>
      <c r="B2277">
        <f>HYPERLINK("https://ubndtp.caobang.gov.vn/ubnd-xa-vinh-quang", "UBND Ủy ban nhân dân xã Vị Quang  tỉnh Cao Bằng")</f>
      </c>
      <c r="C2277" t="str">
        <v>https://ubndtp.caobang.gov.vn/ubnd-xa-vinh-quang</v>
      </c>
      <c r="D2277" t="str">
        <v>-</v>
      </c>
      <c r="E2277" t="str">
        <v>-</v>
      </c>
      <c r="F2277" t="str">
        <v>-</v>
      </c>
      <c r="G2277" t="str">
        <v>-</v>
      </c>
    </row>
    <row r="2278">
      <c r="A2278">
        <v>2277</v>
      </c>
      <c r="B2278">
        <f>HYPERLINK("https://www.facebook.com/TuoitreConganCaoBang/", "Công an xã Lương Thông  tỉnh Cao Bằng")</f>
      </c>
      <c r="C2278" t="str">
        <v>https://www.facebook.com/TuoitreConganCaoBang/</v>
      </c>
      <c r="D2278" t="str">
        <v>-</v>
      </c>
      <c r="E2278" t="str">
        <v/>
      </c>
      <c r="F2278" t="str">
        <v>-</v>
      </c>
      <c r="G2278" t="str">
        <v>-</v>
      </c>
    </row>
    <row r="2279">
      <c r="A2279">
        <v>2278</v>
      </c>
      <c r="B2279">
        <f>HYPERLINK("https://luongthong.haquang.caobang.gov.vn/", "UBND Ủy ban nhân dân xã Lương Thông  tỉnh Cao Bằng")</f>
      </c>
      <c r="C2279" t="str">
        <v>https://luongthong.haquang.caobang.gov.vn/</v>
      </c>
      <c r="D2279" t="str">
        <v>-</v>
      </c>
      <c r="E2279" t="str">
        <v>-</v>
      </c>
      <c r="F2279" t="str">
        <v>-</v>
      </c>
      <c r="G2279" t="str">
        <v>-</v>
      </c>
    </row>
    <row r="2280">
      <c r="A2280">
        <v>2279</v>
      </c>
      <c r="B2280">
        <f>HYPERLINK("https://www.facebook.com/TuoitreConganCaoBang/", "Công an xã Đa Thông  tỉnh Cao Bằng")</f>
      </c>
      <c r="C2280" t="str">
        <v>https://www.facebook.com/TuoitreConganCaoBang/</v>
      </c>
      <c r="D2280" t="str">
        <v>-</v>
      </c>
      <c r="E2280" t="str">
        <v/>
      </c>
      <c r="F2280" t="str">
        <v>-</v>
      </c>
      <c r="G2280" t="str">
        <v>-</v>
      </c>
    </row>
    <row r="2281">
      <c r="A2281">
        <v>2280</v>
      </c>
      <c r="B2281">
        <f>HYPERLINK("https://dathong.haquang.caobang.gov.vn/", "UBND Ủy ban nhân dân xã Đa Thông  tỉnh Cao Bằng")</f>
      </c>
      <c r="C2281" t="str">
        <v>https://dathong.haquang.caobang.gov.vn/</v>
      </c>
      <c r="D2281" t="str">
        <v>-</v>
      </c>
      <c r="E2281" t="str">
        <v>-</v>
      </c>
      <c r="F2281" t="str">
        <v>-</v>
      </c>
      <c r="G2281" t="str">
        <v>-</v>
      </c>
    </row>
    <row r="2282">
      <c r="A2282">
        <v>2281</v>
      </c>
      <c r="B2282">
        <f>HYPERLINK("https://www.facebook.com/TuoitreConganCaoBang/", "Công an xã Ngọc Động  tỉnh Cao Bằng")</f>
      </c>
      <c r="C2282" t="str">
        <v>https://www.facebook.com/TuoitreConganCaoBang/</v>
      </c>
      <c r="D2282" t="str">
        <v>-</v>
      </c>
      <c r="E2282" t="str">
        <v/>
      </c>
      <c r="F2282" t="str">
        <v>-</v>
      </c>
      <c r="G2282" t="str">
        <v>-</v>
      </c>
    </row>
    <row r="2283">
      <c r="A2283">
        <v>2282</v>
      </c>
      <c r="B2283">
        <f>HYPERLINK("http://ngocdong.haquang.caobang.gov.vn/", "UBND Ủy ban nhân dân xã Ngọc Động  tỉnh Cao Bằng")</f>
      </c>
      <c r="C2283" t="str">
        <v>http://ngocdong.haquang.caobang.gov.vn/</v>
      </c>
      <c r="D2283" t="str">
        <v>-</v>
      </c>
      <c r="E2283" t="str">
        <v>-</v>
      </c>
      <c r="F2283" t="str">
        <v>-</v>
      </c>
      <c r="G2283" t="str">
        <v>-</v>
      </c>
    </row>
    <row r="2284">
      <c r="A2284">
        <v>2283</v>
      </c>
      <c r="B2284">
        <f>HYPERLINK("https://www.facebook.com/p/Tu%E1%BB%95i-tr%E1%BA%BB-C%C3%B4ng-an-Th%C3%A0nh-ph%E1%BB%91-V%C4%A9nh-Y%C3%AAn-100066497717181/?locale=nl_BE", "Công an xã Yên Sơn  tỉnh Cao Bằng")</f>
      </c>
      <c r="C2284" t="str">
        <v>https://www.facebook.com/p/Tu%E1%BB%95i-tr%E1%BA%BB-C%C3%B4ng-an-Th%C3%A0nh-ph%E1%BB%91-V%C4%A9nh-Y%C3%AAn-100066497717181/?locale=nl_BE</v>
      </c>
      <c r="D2284" t="str">
        <v>-</v>
      </c>
      <c r="E2284" t="str">
        <v/>
      </c>
      <c r="F2284" t="str">
        <v>-</v>
      </c>
      <c r="G2284" t="str">
        <v>-</v>
      </c>
    </row>
    <row r="2285">
      <c r="A2285">
        <v>2284</v>
      </c>
      <c r="B2285">
        <f>HYPERLINK("https://bacgiang.gov.vn/web/ubnd-xa-yen-son", "UBND Ủy ban nhân dân xã Yên Sơn  tỉnh Cao Bằng")</f>
      </c>
      <c r="C2285" t="str">
        <v>https://bacgiang.gov.vn/web/ubnd-xa-yen-son</v>
      </c>
      <c r="D2285" t="str">
        <v>-</v>
      </c>
      <c r="E2285" t="str">
        <v>-</v>
      </c>
      <c r="F2285" t="str">
        <v>-</v>
      </c>
      <c r="G2285" t="str">
        <v>-</v>
      </c>
    </row>
    <row r="2286">
      <c r="A2286">
        <v>2285</v>
      </c>
      <c r="B2286">
        <f>HYPERLINK("https://www.facebook.com/TuoitreConganCaoBang/", "Công an xã Lương Can  tỉnh Cao Bằng")</f>
      </c>
      <c r="C2286" t="str">
        <v>https://www.facebook.com/TuoitreConganCaoBang/</v>
      </c>
      <c r="D2286" t="str">
        <v>-</v>
      </c>
      <c r="E2286" t="str">
        <v/>
      </c>
      <c r="F2286" t="str">
        <v>-</v>
      </c>
      <c r="G2286" t="str">
        <v>-</v>
      </c>
    </row>
    <row r="2287">
      <c r="A2287">
        <v>2286</v>
      </c>
      <c r="B2287">
        <f>HYPERLINK("https://haquang.caobang.gov.vn/ubnd-cac-xa-thi-tran/ubnd-xa-luong-can-667056", "UBND Ủy ban nhân dân xã Lương Can  tỉnh Cao Bằng")</f>
      </c>
      <c r="C2287" t="str">
        <v>https://haquang.caobang.gov.vn/ubnd-cac-xa-thi-tran/ubnd-xa-luong-can-667056</v>
      </c>
      <c r="D2287" t="str">
        <v>-</v>
      </c>
      <c r="E2287" t="str">
        <v>-</v>
      </c>
      <c r="F2287" t="str">
        <v>-</v>
      </c>
      <c r="G2287" t="str">
        <v>-</v>
      </c>
    </row>
    <row r="2288">
      <c r="A2288">
        <v>2287</v>
      </c>
      <c r="B2288">
        <f>HYPERLINK("https://www.facebook.com/TuoitreConganCaoBang/", "Công an xã Thanh Long  tỉnh Cao Bằng")</f>
      </c>
      <c r="C2288" t="str">
        <v>https://www.facebook.com/TuoitreConganCaoBang/</v>
      </c>
      <c r="D2288" t="str">
        <v>-</v>
      </c>
      <c r="E2288" t="str">
        <v/>
      </c>
      <c r="F2288" t="str">
        <v>-</v>
      </c>
      <c r="G2288" t="str">
        <v>-</v>
      </c>
    </row>
    <row r="2289">
      <c r="A2289">
        <v>2288</v>
      </c>
      <c r="B2289">
        <f>HYPERLINK("http://thanhlong.haquang.caobang.gov.vn/", "UBND Ủy ban nhân dân xã Thanh Long  tỉnh Cao Bằng")</f>
      </c>
      <c r="C2289" t="str">
        <v>http://thanhlong.haquang.caobang.gov.vn/</v>
      </c>
      <c r="D2289" t="str">
        <v>-</v>
      </c>
      <c r="E2289" t="str">
        <v>-</v>
      </c>
      <c r="F2289" t="str">
        <v>-</v>
      </c>
      <c r="G2289" t="str">
        <v>-</v>
      </c>
    </row>
    <row r="2290">
      <c r="A2290">
        <v>2289</v>
      </c>
      <c r="B2290">
        <f>HYPERLINK("https://www.facebook.com/TuoitreConganCaoBang/", "Công an xã Bình Lãng  tỉnh Cao Bằng")</f>
      </c>
      <c r="C2290" t="str">
        <v>https://www.facebook.com/TuoitreConganCaoBang/</v>
      </c>
      <c r="D2290" t="str">
        <v>-</v>
      </c>
      <c r="E2290" t="str">
        <v/>
      </c>
      <c r="F2290" t="str">
        <v>-</v>
      </c>
      <c r="G2290" t="str">
        <v>-</v>
      </c>
    </row>
    <row r="2291">
      <c r="A2291">
        <v>2290</v>
      </c>
      <c r="B2291">
        <f>HYPERLINK("http://binhlang.tuky.haiduong.gov.vn/", "UBND Ủy ban nhân dân xã Bình Lãng  tỉnh Cao Bằng")</f>
      </c>
      <c r="C2291" t="str">
        <v>http://binhlang.tuky.haiduong.gov.vn/</v>
      </c>
      <c r="D2291" t="str">
        <v>-</v>
      </c>
      <c r="E2291" t="str">
        <v>-</v>
      </c>
      <c r="F2291" t="str">
        <v>-</v>
      </c>
      <c r="G2291" t="str">
        <v>-</v>
      </c>
    </row>
    <row r="2292">
      <c r="A2292">
        <v>2291</v>
      </c>
      <c r="B2292" t="str">
        <v>Công an thị trấn Xuân Hòa  tỉnh Cao Bằng</v>
      </c>
      <c r="C2292" t="str">
        <v>-</v>
      </c>
      <c r="D2292" t="str">
        <v>-</v>
      </c>
      <c r="E2292" t="str">
        <v/>
      </c>
      <c r="F2292" t="str">
        <v>-</v>
      </c>
      <c r="G2292" t="str">
        <v>-</v>
      </c>
    </row>
    <row r="2293">
      <c r="A2293">
        <v>2292</v>
      </c>
      <c r="B2293">
        <f>HYPERLINK("http://xuanhoa.haquang.caobang.gov.vn/", "UBND Ủy ban nhân dân thị trấn Xuân Hòa  tỉnh Cao Bằng")</f>
      </c>
      <c r="C2293" t="str">
        <v>http://xuanhoa.haquang.caobang.gov.vn/</v>
      </c>
      <c r="D2293" t="str">
        <v>-</v>
      </c>
      <c r="E2293" t="str">
        <v>-</v>
      </c>
      <c r="F2293" t="str">
        <v>-</v>
      </c>
      <c r="G2293" t="str">
        <v>-</v>
      </c>
    </row>
    <row r="2294">
      <c r="A2294">
        <v>2293</v>
      </c>
      <c r="B2294" t="str">
        <v>Công an xã Lũng Nặm  tỉnh Cao Bằng</v>
      </c>
      <c r="C2294" t="str">
        <v>-</v>
      </c>
      <c r="D2294" t="str">
        <v>-</v>
      </c>
      <c r="E2294" t="str">
        <v/>
      </c>
      <c r="F2294" t="str">
        <v>-</v>
      </c>
      <c r="G2294" t="str">
        <v>-</v>
      </c>
    </row>
    <row r="2295">
      <c r="A2295">
        <v>2294</v>
      </c>
      <c r="B2295">
        <f>HYPERLINK("https://haquang.caobang.gov.vn/ubnd-cac-xa-thi-tran", "UBND Ủy ban nhân dân xã Lũng Nặm  tỉnh Cao Bằng")</f>
      </c>
      <c r="C2295" t="str">
        <v>https://haquang.caobang.gov.vn/ubnd-cac-xa-thi-tran</v>
      </c>
      <c r="D2295" t="str">
        <v>-</v>
      </c>
      <c r="E2295" t="str">
        <v>-</v>
      </c>
      <c r="F2295" t="str">
        <v>-</v>
      </c>
      <c r="G2295" t="str">
        <v>-</v>
      </c>
    </row>
    <row r="2296">
      <c r="A2296">
        <v>2295</v>
      </c>
      <c r="B2296">
        <f>HYPERLINK("https://www.facebook.com/TuoitreConganCaoBang/", "Công an xã Kéo Yên  tỉnh Cao Bằng")</f>
      </c>
      <c r="C2296" t="str">
        <v>https://www.facebook.com/TuoitreConganCaoBang/</v>
      </c>
      <c r="D2296" t="str">
        <v>-</v>
      </c>
      <c r="E2296" t="str">
        <v/>
      </c>
      <c r="F2296" t="str">
        <v>-</v>
      </c>
      <c r="G2296" t="str">
        <v>-</v>
      </c>
    </row>
    <row r="2297">
      <c r="A2297">
        <v>2296</v>
      </c>
      <c r="B2297">
        <f>HYPERLINK("https://nguyenbinh.caobang.gov.vn/xa-ca-thanh", "UBND Ủy ban nhân dân xã Kéo Yên  tỉnh Cao Bằng")</f>
      </c>
      <c r="C2297" t="str">
        <v>https://nguyenbinh.caobang.gov.vn/xa-ca-thanh</v>
      </c>
      <c r="D2297" t="str">
        <v>-</v>
      </c>
      <c r="E2297" t="str">
        <v>-</v>
      </c>
      <c r="F2297" t="str">
        <v>-</v>
      </c>
      <c r="G2297" t="str">
        <v>-</v>
      </c>
    </row>
    <row r="2298">
      <c r="A2298">
        <v>2297</v>
      </c>
      <c r="B2298">
        <f>HYPERLINK("https://www.facebook.com/TuoitreConganCaoBang/", "Công an xã Trường Hà  tỉnh Cao Bằng")</f>
      </c>
      <c r="C2298" t="str">
        <v>https://www.facebook.com/TuoitreConganCaoBang/</v>
      </c>
      <c r="D2298" t="str">
        <v>-</v>
      </c>
      <c r="E2298" t="str">
        <v/>
      </c>
      <c r="F2298" t="str">
        <v>-</v>
      </c>
      <c r="G2298" t="str">
        <v>-</v>
      </c>
    </row>
    <row r="2299">
      <c r="A2299">
        <v>2298</v>
      </c>
      <c r="B2299">
        <f>HYPERLINK("https://truongha.haquang.caobang.gov.vn/", "UBND Ủy ban nhân dân xã Trường Hà  tỉnh Cao Bằng")</f>
      </c>
      <c r="C2299" t="str">
        <v>https://truongha.haquang.caobang.gov.vn/</v>
      </c>
      <c r="D2299" t="str">
        <v>-</v>
      </c>
      <c r="E2299" t="str">
        <v>-</v>
      </c>
      <c r="F2299" t="str">
        <v>-</v>
      </c>
      <c r="G2299" t="str">
        <v>-</v>
      </c>
    </row>
    <row r="2300">
      <c r="A2300">
        <v>2299</v>
      </c>
      <c r="B2300">
        <f>HYPERLINK("https://www.facebook.com/TuoitreConganCaoBang/", "Công an xã Vân An  tỉnh Cao Bằng")</f>
      </c>
      <c r="C2300" t="str">
        <v>https://www.facebook.com/TuoitreConganCaoBang/</v>
      </c>
      <c r="D2300" t="str">
        <v>-</v>
      </c>
      <c r="E2300" t="str">
        <v/>
      </c>
      <c r="F2300" t="str">
        <v>-</v>
      </c>
      <c r="G2300" t="str">
        <v>-</v>
      </c>
    </row>
    <row r="2301">
      <c r="A2301">
        <v>2300</v>
      </c>
      <c r="B2301">
        <f>HYPERLINK("https://thachan.caobang.gov.vn/", "UBND Ủy ban nhân dân xã Vân An  tỉnh Cao Bằng")</f>
      </c>
      <c r="C2301" t="str">
        <v>https://thachan.caobang.gov.vn/</v>
      </c>
      <c r="D2301" t="str">
        <v>-</v>
      </c>
      <c r="E2301" t="str">
        <v>-</v>
      </c>
      <c r="F2301" t="str">
        <v>-</v>
      </c>
      <c r="G2301" t="str">
        <v>-</v>
      </c>
    </row>
    <row r="2302">
      <c r="A2302">
        <v>2301</v>
      </c>
      <c r="B2302">
        <f>HYPERLINK("https://www.facebook.com/TinhdoanCaoBang/", "Công an xã Cải Viên  tỉnh Cao Bằng")</f>
      </c>
      <c r="C2302" t="str">
        <v>https://www.facebook.com/TinhdoanCaoBang/</v>
      </c>
      <c r="D2302" t="str">
        <v>-</v>
      </c>
      <c r="E2302" t="str">
        <v/>
      </c>
      <c r="F2302" t="str">
        <v>-</v>
      </c>
      <c r="G2302" t="str">
        <v>-</v>
      </c>
    </row>
    <row r="2303">
      <c r="A2303">
        <v>2302</v>
      </c>
      <c r="B2303">
        <f>HYPERLINK("https://caobang.gov.vn/cac-uy-vien-ubnd-tinh-cao-bang", "UBND Ủy ban nhân dân xã Cải Viên  tỉnh Cao Bằng")</f>
      </c>
      <c r="C2303" t="str">
        <v>https://caobang.gov.vn/cac-uy-vien-ubnd-tinh-cao-bang</v>
      </c>
      <c r="D2303" t="str">
        <v>-</v>
      </c>
      <c r="E2303" t="str">
        <v>-</v>
      </c>
      <c r="F2303" t="str">
        <v>-</v>
      </c>
      <c r="G2303" t="str">
        <v>-</v>
      </c>
    </row>
    <row r="2304">
      <c r="A2304">
        <v>2303</v>
      </c>
      <c r="B2304">
        <f>HYPERLINK("https://www.facebook.com/TuoitreConganCaoBang/", "Công an xã Nà Sác  tỉnh Cao Bằng")</f>
      </c>
      <c r="C2304" t="str">
        <v>https://www.facebook.com/TuoitreConganCaoBang/</v>
      </c>
      <c r="D2304" t="str">
        <v>-</v>
      </c>
      <c r="E2304" t="str">
        <v/>
      </c>
      <c r="F2304" t="str">
        <v>-</v>
      </c>
      <c r="G2304" t="str">
        <v>-</v>
      </c>
    </row>
    <row r="2305">
      <c r="A2305">
        <v>2304</v>
      </c>
      <c r="B2305">
        <f>HYPERLINK("https://haquang.caobang.gov.vn/qua-trinh-phat-trien", "UBND Ủy ban nhân dân xã Nà Sác  tỉnh Cao Bằng")</f>
      </c>
      <c r="C2305" t="str">
        <v>https://haquang.caobang.gov.vn/qua-trinh-phat-trien</v>
      </c>
      <c r="D2305" t="str">
        <v>-</v>
      </c>
      <c r="E2305" t="str">
        <v>-</v>
      </c>
      <c r="F2305" t="str">
        <v>-</v>
      </c>
      <c r="G2305" t="str">
        <v>-</v>
      </c>
    </row>
    <row r="2306">
      <c r="A2306">
        <v>2305</v>
      </c>
      <c r="B2306">
        <f>HYPERLINK("https://www.facebook.com/TuoitreConganCaoBang/?locale=vi_VN", "Công an xã Nội Thôn  tỉnh Cao Bằng")</f>
      </c>
      <c r="C2306" t="str">
        <v>https://www.facebook.com/TuoitreConganCaoBang/?locale=vi_VN</v>
      </c>
      <c r="D2306" t="str">
        <v>-</v>
      </c>
      <c r="E2306" t="str">
        <v/>
      </c>
      <c r="F2306" t="str">
        <v>-</v>
      </c>
      <c r="G2306" t="str">
        <v>-</v>
      </c>
    </row>
    <row r="2307">
      <c r="A2307">
        <v>2306</v>
      </c>
      <c r="B2307">
        <f>HYPERLINK("https://noithon.haquang.caobang.gov.vn/uy-ban-nhan-dan/uy-ban-nhan-dan-xa-noi-thon-969661", "UBND Ủy ban nhân dân xã Nội Thôn  tỉnh Cao Bằng")</f>
      </c>
      <c r="C2307" t="str">
        <v>https://noithon.haquang.caobang.gov.vn/uy-ban-nhan-dan/uy-ban-nhan-dan-xa-noi-thon-969661</v>
      </c>
      <c r="D2307" t="str">
        <v>-</v>
      </c>
      <c r="E2307" t="str">
        <v>-</v>
      </c>
      <c r="F2307" t="str">
        <v>-</v>
      </c>
      <c r="G2307" t="str">
        <v>-</v>
      </c>
    </row>
    <row r="2308">
      <c r="A2308">
        <v>2307</v>
      </c>
      <c r="B2308" t="str">
        <v>Công an xã Tổng Cọt  tỉnh Cao Bằng</v>
      </c>
      <c r="C2308" t="str">
        <v>-</v>
      </c>
      <c r="D2308" t="str">
        <v>-</v>
      </c>
      <c r="E2308" t="str">
        <v/>
      </c>
      <c r="F2308" t="str">
        <v>-</v>
      </c>
      <c r="G2308" t="str">
        <v>-</v>
      </c>
    </row>
    <row r="2309">
      <c r="A2309">
        <v>2308</v>
      </c>
      <c r="B2309">
        <f>HYPERLINK("http://tongcot.haquang.caobang.gov.vn/", "UBND Ủy ban nhân dân xã Tổng Cọt  tỉnh Cao Bằng")</f>
      </c>
      <c r="C2309" t="str">
        <v>http://tongcot.haquang.caobang.gov.vn/</v>
      </c>
      <c r="D2309" t="str">
        <v>-</v>
      </c>
      <c r="E2309" t="str">
        <v>-</v>
      </c>
      <c r="F2309" t="str">
        <v>-</v>
      </c>
      <c r="G2309" t="str">
        <v>-</v>
      </c>
    </row>
    <row r="2310">
      <c r="A2310">
        <v>2309</v>
      </c>
      <c r="B2310" t="str">
        <v>Công an xã Sóc Hà  tỉnh Cao Bằng</v>
      </c>
      <c r="C2310" t="str">
        <v>-</v>
      </c>
      <c r="D2310" t="str">
        <v>-</v>
      </c>
      <c r="E2310" t="str">
        <v/>
      </c>
      <c r="F2310" t="str">
        <v>-</v>
      </c>
      <c r="G2310" t="str">
        <v>-</v>
      </c>
    </row>
    <row r="2311">
      <c r="A2311">
        <v>2310</v>
      </c>
      <c r="B2311">
        <f>HYPERLINK("https://socha.haquang.caobang.gov.vn/", "UBND Ủy ban nhân dân xã Sóc Hà  tỉnh Cao Bằng")</f>
      </c>
      <c r="C2311" t="str">
        <v>https://socha.haquang.caobang.gov.vn/</v>
      </c>
      <c r="D2311" t="str">
        <v>-</v>
      </c>
      <c r="E2311" t="str">
        <v>-</v>
      </c>
      <c r="F2311" t="str">
        <v>-</v>
      </c>
      <c r="G2311" t="str">
        <v>-</v>
      </c>
    </row>
    <row r="2312">
      <c r="A2312">
        <v>2311</v>
      </c>
      <c r="B2312" t="str">
        <v>Công an xã Thượng Thôn  tỉnh Cao Bằng</v>
      </c>
      <c r="C2312" t="str">
        <v>-</v>
      </c>
      <c r="D2312" t="str">
        <v>-</v>
      </c>
      <c r="E2312" t="str">
        <v/>
      </c>
      <c r="F2312" t="str">
        <v>-</v>
      </c>
      <c r="G2312" t="str">
        <v>-</v>
      </c>
    </row>
    <row r="2313">
      <c r="A2313">
        <v>2312</v>
      </c>
      <c r="B2313">
        <f>HYPERLINK("https://haquang.caobang.gov.vn/ubnd-cac-xa-thi-tran/ubnd-xa-thuong-thon-667042", "UBND Ủy ban nhân dân xã Thượng Thôn  tỉnh Cao Bằng")</f>
      </c>
      <c r="C2313" t="str">
        <v>https://haquang.caobang.gov.vn/ubnd-cac-xa-thi-tran/ubnd-xa-thuong-thon-667042</v>
      </c>
      <c r="D2313" t="str">
        <v>-</v>
      </c>
      <c r="E2313" t="str">
        <v>-</v>
      </c>
      <c r="F2313" t="str">
        <v>-</v>
      </c>
      <c r="G2313" t="str">
        <v>-</v>
      </c>
    </row>
    <row r="2314">
      <c r="A2314">
        <v>2313</v>
      </c>
      <c r="B2314">
        <f>HYPERLINK("https://www.facebook.com/TuoitreConganCaoBang/?locale=bn_IN", "Công an xã Vần Dính  tỉnh Cao Bằng")</f>
      </c>
      <c r="C2314" t="str">
        <v>https://www.facebook.com/TuoitreConganCaoBang/?locale=bn_IN</v>
      </c>
      <c r="D2314" t="str">
        <v>-</v>
      </c>
      <c r="E2314" t="str">
        <v/>
      </c>
      <c r="F2314" t="str">
        <v>-</v>
      </c>
      <c r="G2314" t="str">
        <v>-</v>
      </c>
    </row>
    <row r="2315">
      <c r="A2315">
        <v>2314</v>
      </c>
      <c r="B2315">
        <f>HYPERLINK("https://haquang.caobang.gov.vn/qua-trinh-phat-trien", "UBND Ủy ban nhân dân xã Vần Dính  tỉnh Cao Bằng")</f>
      </c>
      <c r="C2315" t="str">
        <v>https://haquang.caobang.gov.vn/qua-trinh-phat-trien</v>
      </c>
      <c r="D2315" t="str">
        <v>-</v>
      </c>
      <c r="E2315" t="str">
        <v>-</v>
      </c>
      <c r="F2315" t="str">
        <v>-</v>
      </c>
      <c r="G2315" t="str">
        <v>-</v>
      </c>
    </row>
    <row r="2316">
      <c r="A2316">
        <v>2315</v>
      </c>
      <c r="B2316">
        <f>HYPERLINK("https://www.facebook.com/TuoitreConganCaoBang/", "Công an xã Hồng Sĩ  tỉnh Cao Bằng")</f>
      </c>
      <c r="C2316" t="str">
        <v>https://www.facebook.com/TuoitreConganCaoBang/</v>
      </c>
      <c r="D2316" t="str">
        <v>-</v>
      </c>
      <c r="E2316" t="str">
        <v/>
      </c>
      <c r="F2316" t="str">
        <v>-</v>
      </c>
      <c r="G2316" t="str">
        <v>-</v>
      </c>
    </row>
    <row r="2317">
      <c r="A2317">
        <v>2316</v>
      </c>
      <c r="B2317">
        <f>HYPERLINK("https://caobang.gov.vn/cac-uy-vien-ubnd-tinh-cao-bang", "UBND Ủy ban nhân dân xã Hồng Sĩ  tỉnh Cao Bằng")</f>
      </c>
      <c r="C2317" t="str">
        <v>https://caobang.gov.vn/cac-uy-vien-ubnd-tinh-cao-bang</v>
      </c>
      <c r="D2317" t="str">
        <v>-</v>
      </c>
      <c r="E2317" t="str">
        <v>-</v>
      </c>
      <c r="F2317" t="str">
        <v>-</v>
      </c>
      <c r="G2317" t="str">
        <v>-</v>
      </c>
    </row>
    <row r="2318">
      <c r="A2318">
        <v>2317</v>
      </c>
      <c r="B2318">
        <f>HYPERLINK("https://www.facebook.com/TuoitreConganCaoBang/", "Công an xã Sĩ Hai  tỉnh Cao Bằng")</f>
      </c>
      <c r="C2318" t="str">
        <v>https://www.facebook.com/TuoitreConganCaoBang/</v>
      </c>
      <c r="D2318" t="str">
        <v>-</v>
      </c>
      <c r="E2318" t="str">
        <v/>
      </c>
      <c r="F2318" t="str">
        <v>-</v>
      </c>
      <c r="G2318" t="str">
        <v>-</v>
      </c>
    </row>
    <row r="2319">
      <c r="A2319">
        <v>2318</v>
      </c>
      <c r="B2319">
        <f>HYPERLINK("https://caobang.gov.vn/so-ban-nganh-pa/van-phong-ubnd-tinh-941948", "UBND Ủy ban nhân dân xã Sĩ Hai  tỉnh Cao Bằng")</f>
      </c>
      <c r="C2319" t="str">
        <v>https://caobang.gov.vn/so-ban-nganh-pa/van-phong-ubnd-tinh-941948</v>
      </c>
      <c r="D2319" t="str">
        <v>-</v>
      </c>
      <c r="E2319" t="str">
        <v>-</v>
      </c>
      <c r="F2319" t="str">
        <v>-</v>
      </c>
      <c r="G2319" t="str">
        <v>-</v>
      </c>
    </row>
    <row r="2320">
      <c r="A2320">
        <v>2319</v>
      </c>
      <c r="B2320">
        <f>HYPERLINK("https://www.facebook.com/TuoitreConganCaoBang/", "Công an xã Quý Quân  tỉnh Cao Bằng")</f>
      </c>
      <c r="C2320" t="str">
        <v>https://www.facebook.com/TuoitreConganCaoBang/</v>
      </c>
      <c r="D2320" t="str">
        <v>-</v>
      </c>
      <c r="E2320" t="str">
        <v/>
      </c>
      <c r="F2320" t="str">
        <v>-</v>
      </c>
      <c r="G2320" t="str">
        <v>-</v>
      </c>
    </row>
    <row r="2321">
      <c r="A2321">
        <v>2320</v>
      </c>
      <c r="B2321">
        <f>HYPERLINK("http://quyquan.haquang.caobang.gov.vn/", "UBND Ủy ban nhân dân xã Quý Quân  tỉnh Cao Bằng")</f>
      </c>
      <c r="C2321" t="str">
        <v>http://quyquan.haquang.caobang.gov.vn/</v>
      </c>
      <c r="D2321" t="str">
        <v>-</v>
      </c>
      <c r="E2321" t="str">
        <v>-</v>
      </c>
      <c r="F2321" t="str">
        <v>-</v>
      </c>
      <c r="G2321" t="str">
        <v>-</v>
      </c>
    </row>
    <row r="2322">
      <c r="A2322">
        <v>2321</v>
      </c>
      <c r="B2322">
        <f>HYPERLINK("https://www.facebook.com/TuoitreConganCaoBang/", "Công an xã Mã Ba  tỉnh Cao Bằng")</f>
      </c>
      <c r="C2322" t="str">
        <v>https://www.facebook.com/TuoitreConganCaoBang/</v>
      </c>
      <c r="D2322" t="str">
        <v>-</v>
      </c>
      <c r="E2322" t="str">
        <v/>
      </c>
      <c r="F2322" t="str">
        <v>-</v>
      </c>
      <c r="G2322" t="str">
        <v>-</v>
      </c>
    </row>
    <row r="2323">
      <c r="A2323">
        <v>2322</v>
      </c>
      <c r="B2323">
        <f>HYPERLINK("http://maba.haquang.caobang.gov.vn/", "UBND Ủy ban nhân dân xã Mã Ba  tỉnh Cao Bằng")</f>
      </c>
      <c r="C2323" t="str">
        <v>http://maba.haquang.caobang.gov.vn/</v>
      </c>
      <c r="D2323" t="str">
        <v>-</v>
      </c>
      <c r="E2323" t="str">
        <v>-</v>
      </c>
      <c r="F2323" t="str">
        <v>-</v>
      </c>
      <c r="G2323" t="str">
        <v>-</v>
      </c>
    </row>
    <row r="2324">
      <c r="A2324">
        <v>2323</v>
      </c>
      <c r="B2324">
        <f>HYPERLINK("https://www.facebook.com/TuoitreConganCaoBang/", "Công an xã Phù Ngọc  tỉnh Cao Bằng")</f>
      </c>
      <c r="C2324" t="str">
        <v>https://www.facebook.com/TuoitreConganCaoBang/</v>
      </c>
      <c r="D2324" t="str">
        <v>-</v>
      </c>
      <c r="E2324" t="str">
        <v/>
      </c>
      <c r="F2324" t="str">
        <v>-</v>
      </c>
      <c r="G2324" t="str">
        <v>-</v>
      </c>
    </row>
    <row r="2325">
      <c r="A2325">
        <v>2324</v>
      </c>
      <c r="B2325">
        <f>HYPERLINK("https://sotnmt.caobang.gov.vn/ho-so-cap-gcnqsdd-cac-to-chuc-tren-dia-ban-tinh-cao-bang-tu-nam-2010-den-2015/9e9f49dd5efa23d0e0e2b5566dc7b803-777621", "UBND Ủy ban nhân dân xã Phù Ngọc  tỉnh Cao Bằng")</f>
      </c>
      <c r="C2325" t="str">
        <v>https://sotnmt.caobang.gov.vn/ho-so-cap-gcnqsdd-cac-to-chuc-tren-dia-ban-tinh-cao-bang-tu-nam-2010-den-2015/9e9f49dd5efa23d0e0e2b5566dc7b803-777621</v>
      </c>
      <c r="D2325" t="str">
        <v>-</v>
      </c>
      <c r="E2325" t="str">
        <v>-</v>
      </c>
      <c r="F2325" t="str">
        <v>-</v>
      </c>
      <c r="G2325" t="str">
        <v>-</v>
      </c>
    </row>
    <row r="2326">
      <c r="A2326">
        <v>2325</v>
      </c>
      <c r="B2326" t="str">
        <v>Công an xã Đào Ngạn  tỉnh Cao Bằng</v>
      </c>
      <c r="C2326" t="str">
        <v>-</v>
      </c>
      <c r="D2326" t="str">
        <v>-</v>
      </c>
      <c r="E2326" t="str">
        <v/>
      </c>
      <c r="F2326" t="str">
        <v>-</v>
      </c>
      <c r="G2326" t="str">
        <v>-</v>
      </c>
    </row>
    <row r="2327">
      <c r="A2327">
        <v>2326</v>
      </c>
      <c r="B2327">
        <f>HYPERLINK("https://sotnmt.caobang.gov.vn/ho-so-cap-gcnqsdd-cac-to-chuc-tren-dia-ban-tinh-cao-bang-tu-nam-2010-den-2015/9e9f49dd5efa23d0e0e2b5566dc7b803-777621", "UBND Ủy ban nhân dân xã Đào Ngạn  tỉnh Cao Bằng")</f>
      </c>
      <c r="C2327" t="str">
        <v>https://sotnmt.caobang.gov.vn/ho-so-cap-gcnqsdd-cac-to-chuc-tren-dia-ban-tinh-cao-bang-tu-nam-2010-den-2015/9e9f49dd5efa23d0e0e2b5566dc7b803-777621</v>
      </c>
      <c r="D2327" t="str">
        <v>-</v>
      </c>
      <c r="E2327" t="str">
        <v>-</v>
      </c>
      <c r="F2327" t="str">
        <v>-</v>
      </c>
      <c r="G2327" t="str">
        <v>-</v>
      </c>
    </row>
    <row r="2328">
      <c r="A2328">
        <v>2327</v>
      </c>
      <c r="B2328">
        <f>HYPERLINK("https://www.facebook.com/p/C%C3%B4ng-an-huy%E1%BB%87n-H%C3%A0-Qu%E1%BA%A3ng-100066390109350/", "Công an xã Hạ Thôn  tỉnh Cao Bằng")</f>
      </c>
      <c r="C2328" t="str">
        <v>https://www.facebook.com/p/C%C3%B4ng-an-huy%E1%BB%87n-H%C3%A0-Qu%E1%BA%A3ng-100066390109350/</v>
      </c>
      <c r="D2328" t="str">
        <v>-</v>
      </c>
      <c r="E2328" t="str">
        <v/>
      </c>
      <c r="F2328" t="str">
        <v>-</v>
      </c>
      <c r="G2328" t="str">
        <v>-</v>
      </c>
    </row>
    <row r="2329">
      <c r="A2329">
        <v>2328</v>
      </c>
      <c r="B2329">
        <f>HYPERLINK("https://haquang.caobang.gov.vn/", "UBND Ủy ban nhân dân xã Hạ Thôn  tỉnh Cao Bằng")</f>
      </c>
      <c r="C2329" t="str">
        <v>https://haquang.caobang.gov.vn/</v>
      </c>
      <c r="D2329" t="str">
        <v>-</v>
      </c>
      <c r="E2329" t="str">
        <v>-</v>
      </c>
      <c r="F2329" t="str">
        <v>-</v>
      </c>
      <c r="G2329" t="str">
        <v>-</v>
      </c>
    </row>
    <row r="2330">
      <c r="A2330">
        <v>2329</v>
      </c>
      <c r="B2330" t="str">
        <v>Công an thị trấn Hùng Quốc  tỉnh Cao Bằng</v>
      </c>
      <c r="C2330" t="str">
        <v>-</v>
      </c>
      <c r="D2330" t="str">
        <v>-</v>
      </c>
      <c r="E2330" t="str">
        <v/>
      </c>
      <c r="F2330" t="str">
        <v>-</v>
      </c>
      <c r="G2330" t="str">
        <v>-</v>
      </c>
    </row>
    <row r="2331">
      <c r="A2331">
        <v>2330</v>
      </c>
      <c r="B2331">
        <f>HYPERLINK("https://trungkhanh.caobang.gov.vn/thi-tran-tra-linh/thi-tran-tra-linh-622203", "UBND Ủy ban nhân dân thị trấn Hùng Quốc  tỉnh Cao Bằng")</f>
      </c>
      <c r="C2331" t="str">
        <v>https://trungkhanh.caobang.gov.vn/thi-tran-tra-linh/thi-tran-tra-linh-622203</v>
      </c>
      <c r="D2331" t="str">
        <v>-</v>
      </c>
      <c r="E2331" t="str">
        <v>-</v>
      </c>
      <c r="F2331" t="str">
        <v>-</v>
      </c>
      <c r="G2331" t="str">
        <v>-</v>
      </c>
    </row>
    <row r="2332">
      <c r="A2332">
        <v>2331</v>
      </c>
      <c r="B2332">
        <f>HYPERLINK("https://www.facebook.com/TuoitreConganCaoBang/", "Công an xã Cô Mười  tỉnh Cao Bằng")</f>
      </c>
      <c r="C2332" t="str">
        <v>https://www.facebook.com/TuoitreConganCaoBang/</v>
      </c>
      <c r="D2332" t="str">
        <v>-</v>
      </c>
      <c r="E2332" t="str">
        <v/>
      </c>
      <c r="F2332" t="str">
        <v>-</v>
      </c>
      <c r="G2332" t="str">
        <v>-</v>
      </c>
    </row>
    <row r="2333">
      <c r="A2333">
        <v>2332</v>
      </c>
      <c r="B2333">
        <f>HYPERLINK("https://caobang.gov.vn/thong-tin-chi-dao-dieu-hanh-cua-tinh/tiep-nhan-khoan-vien-tro-quoc-te-khan-cap-de-cuu-tro-cho-cac-ho-gia-dinh-tai-xa-co-ba-va-xa-phan-993224", "UBND Ủy ban nhân dân xã Cô Mười  tỉnh Cao Bằng")</f>
      </c>
      <c r="C2333" t="str">
        <v>https://caobang.gov.vn/thong-tin-chi-dao-dieu-hanh-cua-tinh/tiep-nhan-khoan-vien-tro-quoc-te-khan-cap-de-cuu-tro-cho-cac-ho-gia-dinh-tai-xa-co-ba-va-xa-phan-993224</v>
      </c>
      <c r="D2333" t="str">
        <v>-</v>
      </c>
      <c r="E2333" t="str">
        <v>-</v>
      </c>
      <c r="F2333" t="str">
        <v>-</v>
      </c>
      <c r="G2333" t="str">
        <v>-</v>
      </c>
    </row>
    <row r="2334">
      <c r="A2334">
        <v>2333</v>
      </c>
      <c r="B2334">
        <f>HYPERLINK("https://www.facebook.com/p/C%C3%B4ng-an-x%C3%A3-Tri-Ph%C6%B0%C6%A1ng-Ti%C3%AAn-Du-B%E1%BA%AFc-Ninh-100083233423887/", "Công an xã Tri Phương  tỉnh Cao Bằng")</f>
      </c>
      <c r="C2334" t="str">
        <v>https://www.facebook.com/p/C%C3%B4ng-an-x%C3%A3-Tri-Ph%C6%B0%C6%A1ng-Ti%C3%AAn-Du-B%E1%BA%AFc-Ninh-100083233423887/</v>
      </c>
      <c r="D2334" t="str">
        <v>-</v>
      </c>
      <c r="E2334" t="str">
        <v/>
      </c>
      <c r="F2334" t="str">
        <v>-</v>
      </c>
      <c r="G2334" t="str">
        <v>-</v>
      </c>
    </row>
    <row r="2335">
      <c r="A2335">
        <v>2334</v>
      </c>
      <c r="B2335">
        <f>HYPERLINK("http://triphuong.trungkhanh.caobang.gov.vn/", "UBND Ủy ban nhân dân xã Tri Phương  tỉnh Cao Bằng")</f>
      </c>
      <c r="C2335" t="str">
        <v>http://triphuong.trungkhanh.caobang.gov.vn/</v>
      </c>
      <c r="D2335" t="str">
        <v>-</v>
      </c>
      <c r="E2335" t="str">
        <v>-</v>
      </c>
      <c r="F2335" t="str">
        <v>-</v>
      </c>
      <c r="G2335" t="str">
        <v>-</v>
      </c>
    </row>
    <row r="2336">
      <c r="A2336">
        <v>2335</v>
      </c>
      <c r="B2336" t="str">
        <v>Công an xã Quang Hán  tỉnh Cao Bằng</v>
      </c>
      <c r="C2336" t="str">
        <v>-</v>
      </c>
      <c r="D2336" t="str">
        <v>-</v>
      </c>
      <c r="E2336" t="str">
        <v/>
      </c>
      <c r="F2336" t="str">
        <v>-</v>
      </c>
      <c r="G2336" t="str">
        <v>-</v>
      </c>
    </row>
    <row r="2337">
      <c r="A2337">
        <v>2336</v>
      </c>
      <c r="B2337">
        <f>HYPERLINK("https://trungkhanh.caobang.gov.vn/", "UBND Ủy ban nhân dân xã Quang Hán  tỉnh Cao Bằng")</f>
      </c>
      <c r="C2337" t="str">
        <v>https://trungkhanh.caobang.gov.vn/</v>
      </c>
      <c r="D2337" t="str">
        <v>-</v>
      </c>
      <c r="E2337" t="str">
        <v>-</v>
      </c>
      <c r="F2337" t="str">
        <v>-</v>
      </c>
      <c r="G2337" t="str">
        <v>-</v>
      </c>
    </row>
    <row r="2338">
      <c r="A2338">
        <v>2337</v>
      </c>
      <c r="B2338" t="str">
        <v>Công an xã Quang Vinh  tỉnh Cao Bằng</v>
      </c>
      <c r="C2338" t="str">
        <v>-</v>
      </c>
      <c r="D2338" t="str">
        <v>-</v>
      </c>
      <c r="E2338" t="str">
        <v/>
      </c>
      <c r="F2338" t="str">
        <v>-</v>
      </c>
      <c r="G2338" t="str">
        <v>-</v>
      </c>
    </row>
    <row r="2339">
      <c r="A2339">
        <v>2338</v>
      </c>
      <c r="B2339">
        <f>HYPERLINK("https://trungkhanh.caobang.gov.vn/1352/34154/83364/xa-quang-vinh", "UBND Ủy ban nhân dân xã Quang Vinh  tỉnh Cao Bằng")</f>
      </c>
      <c r="C2339" t="str">
        <v>https://trungkhanh.caobang.gov.vn/1352/34154/83364/xa-quang-vinh</v>
      </c>
      <c r="D2339" t="str">
        <v>-</v>
      </c>
      <c r="E2339" t="str">
        <v>-</v>
      </c>
      <c r="F2339" t="str">
        <v>-</v>
      </c>
      <c r="G2339" t="str">
        <v>-</v>
      </c>
    </row>
    <row r="2340">
      <c r="A2340">
        <v>2339</v>
      </c>
      <c r="B2340">
        <f>HYPERLINK("https://www.facebook.com/TuoitreConganCaoBang/", "Công an xã Xuân Nội  tỉnh Cao Bằng")</f>
      </c>
      <c r="C2340" t="str">
        <v>https://www.facebook.com/TuoitreConganCaoBang/</v>
      </c>
      <c r="D2340" t="str">
        <v>-</v>
      </c>
      <c r="E2340" t="str">
        <v/>
      </c>
      <c r="F2340" t="str">
        <v>-</v>
      </c>
      <c r="G2340" t="str">
        <v>-</v>
      </c>
    </row>
    <row r="2341">
      <c r="A2341">
        <v>2340</v>
      </c>
      <c r="B2341">
        <f>HYPERLINK("https://trungkhanh.caobang.gov.vn/xa-xuan-noi/xa-xuan-noi-622667", "UBND Ủy ban nhân dân xã Xuân Nội  tỉnh Cao Bằng")</f>
      </c>
      <c r="C2341" t="str">
        <v>https://trungkhanh.caobang.gov.vn/xa-xuan-noi/xa-xuan-noi-622667</v>
      </c>
      <c r="D2341" t="str">
        <v>-</v>
      </c>
      <c r="E2341" t="str">
        <v>-</v>
      </c>
      <c r="F2341" t="str">
        <v>-</v>
      </c>
      <c r="G2341" t="str">
        <v>-</v>
      </c>
    </row>
    <row r="2342">
      <c r="A2342">
        <v>2341</v>
      </c>
      <c r="B2342">
        <f>HYPERLINK("https://www.facebook.com/conganxaquangtrunghuyenthongnhat/", "Công an xã Quang Trung  tỉnh Cao Bằng")</f>
      </c>
      <c r="C2342" t="str">
        <v>https://www.facebook.com/conganxaquangtrunghuyenthongnhat/</v>
      </c>
      <c r="D2342" t="str">
        <v>-</v>
      </c>
      <c r="E2342" t="str">
        <v/>
      </c>
      <c r="F2342" t="str">
        <v>-</v>
      </c>
      <c r="G2342" t="str">
        <v>-</v>
      </c>
    </row>
    <row r="2343">
      <c r="A2343">
        <v>2342</v>
      </c>
      <c r="B2343">
        <f>HYPERLINK("http://quangtrung.trungkhanh.caobang.gov.vn/", "UBND Ủy ban nhân dân xã Quang Trung  tỉnh Cao Bằng")</f>
      </c>
      <c r="C2343" t="str">
        <v>http://quangtrung.trungkhanh.caobang.gov.vn/</v>
      </c>
      <c r="D2343" t="str">
        <v>-</v>
      </c>
      <c r="E2343" t="str">
        <v>-</v>
      </c>
      <c r="F2343" t="str">
        <v>-</v>
      </c>
      <c r="G2343" t="str">
        <v>-</v>
      </c>
    </row>
    <row r="2344">
      <c r="A2344">
        <v>2343</v>
      </c>
      <c r="B2344">
        <f>HYPERLINK("https://www.facebook.com/TuoitreConganCaoBang/", "Công an xã Lưu Ngọc  tỉnh Cao Bằng")</f>
      </c>
      <c r="C2344" t="str">
        <v>https://www.facebook.com/TuoitreConganCaoBang/</v>
      </c>
      <c r="D2344" t="str">
        <v>-</v>
      </c>
      <c r="E2344" t="str">
        <v/>
      </c>
      <c r="F2344" t="str">
        <v>-</v>
      </c>
      <c r="G2344" t="str">
        <v>-</v>
      </c>
    </row>
    <row r="2345">
      <c r="A2345">
        <v>2344</v>
      </c>
      <c r="B2345">
        <f>HYPERLINK("https://trungkhanh.caobang.gov.vn/1352/34154/83364/xa-quang-vinh", "UBND Ủy ban nhân dân xã Lưu Ngọc  tỉnh Cao Bằng")</f>
      </c>
      <c r="C2345" t="str">
        <v>https://trungkhanh.caobang.gov.vn/1352/34154/83364/xa-quang-vinh</v>
      </c>
      <c r="D2345" t="str">
        <v>-</v>
      </c>
      <c r="E2345" t="str">
        <v>-</v>
      </c>
      <c r="F2345" t="str">
        <v>-</v>
      </c>
      <c r="G2345" t="str">
        <v>-</v>
      </c>
    </row>
    <row r="2346">
      <c r="A2346">
        <v>2345</v>
      </c>
      <c r="B2346">
        <f>HYPERLINK("https://www.facebook.com/p/C%C3%B4ng-an-x%C3%A3-Cao-Ch%C6%B0%C6%A1ng-huy%E1%BB%87n-Tr%C3%B9ng-Kh%C3%A1nh-t%E1%BB%89nh-Cao-B%E1%BA%B1ng-100072120556456/", "Công an xã Cao Chương  tỉnh Cao Bằng")</f>
      </c>
      <c r="C2346" t="str">
        <v>https://www.facebook.com/p/C%C3%B4ng-an-x%C3%A3-Cao-Ch%C6%B0%C6%A1ng-huy%E1%BB%87n-Tr%C3%B9ng-Kh%C3%A1nh-t%E1%BB%89nh-Cao-B%E1%BA%B1ng-100072120556456/</v>
      </c>
      <c r="D2346" t="str">
        <v>-</v>
      </c>
      <c r="E2346" t="str">
        <v/>
      </c>
      <c r="F2346" t="str">
        <v>-</v>
      </c>
      <c r="G2346" t="str">
        <v>-</v>
      </c>
    </row>
    <row r="2347">
      <c r="A2347">
        <v>2346</v>
      </c>
      <c r="B2347">
        <f>HYPERLINK("http://caochuong.trungkhanh.caobang.gov.vn/", "UBND Ủy ban nhân dân xã Cao Chương  tỉnh Cao Bằng")</f>
      </c>
      <c r="C2347" t="str">
        <v>http://caochuong.trungkhanh.caobang.gov.vn/</v>
      </c>
      <c r="D2347" t="str">
        <v>-</v>
      </c>
      <c r="E2347" t="str">
        <v>-</v>
      </c>
      <c r="F2347" t="str">
        <v>-</v>
      </c>
      <c r="G2347" t="str">
        <v>-</v>
      </c>
    </row>
    <row r="2348">
      <c r="A2348">
        <v>2347</v>
      </c>
      <c r="B2348">
        <f>HYPERLINK("https://www.facebook.com/TuoitreConganCaoBang/", "Công an xã Quốc Toản  tỉnh Cao Bằng")</f>
      </c>
      <c r="C2348" t="str">
        <v>https://www.facebook.com/TuoitreConganCaoBang/</v>
      </c>
      <c r="D2348" t="str">
        <v>-</v>
      </c>
      <c r="E2348" t="str">
        <v/>
      </c>
      <c r="F2348" t="str">
        <v>-</v>
      </c>
      <c r="G2348" t="str">
        <v>-</v>
      </c>
    </row>
    <row r="2349">
      <c r="A2349">
        <v>2348</v>
      </c>
      <c r="B2349">
        <f>HYPERLINK("https://quoctoan.quanghoa.caobang.gov.vn/", "UBND Ủy ban nhân dân xã Quốc Toản  tỉnh Cao Bằng")</f>
      </c>
      <c r="C2349" t="str">
        <v>https://quoctoan.quanghoa.caobang.gov.vn/</v>
      </c>
      <c r="D2349" t="str">
        <v>-</v>
      </c>
      <c r="E2349" t="str">
        <v>-</v>
      </c>
      <c r="F2349" t="str">
        <v>-</v>
      </c>
      <c r="G2349" t="str">
        <v>-</v>
      </c>
    </row>
    <row r="2350">
      <c r="A2350">
        <v>2349</v>
      </c>
      <c r="B2350">
        <f>HYPERLINK("https://www.facebook.com/p/C%C3%B4ng-an-huy%E1%BB%87n-Tr%C3%B9ng-Kh%C3%A1nh-Cao-B%E1%BA%B1ng-100067421203974/", "Công an thị trấn Trùng Khánh  tỉnh Cao Bằng")</f>
      </c>
      <c r="C2350" t="str">
        <v>https://www.facebook.com/p/C%C3%B4ng-an-huy%E1%BB%87n-Tr%C3%B9ng-Kh%C3%A1nh-Cao-B%E1%BA%B1ng-100067421203974/</v>
      </c>
      <c r="D2350" t="str">
        <v>-</v>
      </c>
      <c r="E2350" t="str">
        <v/>
      </c>
      <c r="F2350" t="str">
        <v>-</v>
      </c>
      <c r="G2350" t="str">
        <v>-</v>
      </c>
    </row>
    <row r="2351">
      <c r="A2351">
        <v>2350</v>
      </c>
      <c r="B2351">
        <f>HYPERLINK("https://trungkhanh.caobang.gov.vn/", "UBND Ủy ban nhân dân thị trấn Trùng Khánh  tỉnh Cao Bằng")</f>
      </c>
      <c r="C2351" t="str">
        <v>https://trungkhanh.caobang.gov.vn/</v>
      </c>
      <c r="D2351" t="str">
        <v>-</v>
      </c>
      <c r="E2351" t="str">
        <v>-</v>
      </c>
      <c r="F2351" t="str">
        <v>-</v>
      </c>
      <c r="G2351" t="str">
        <v>-</v>
      </c>
    </row>
    <row r="2352">
      <c r="A2352">
        <v>2351</v>
      </c>
      <c r="B2352" t="str">
        <v>Công an xã Ngọc Khê  tỉnh Cao Bằng</v>
      </c>
      <c r="C2352" t="str">
        <v>-</v>
      </c>
      <c r="D2352" t="str">
        <v>-</v>
      </c>
      <c r="E2352" t="str">
        <v/>
      </c>
      <c r="F2352" t="str">
        <v>-</v>
      </c>
      <c r="G2352" t="str">
        <v>-</v>
      </c>
    </row>
    <row r="2353">
      <c r="A2353">
        <v>2352</v>
      </c>
      <c r="B2353">
        <f>HYPERLINK("https://trungkhanh.caobang.gov.vn/1352/34154/94766/xa-ngoc-khe", "UBND Ủy ban nhân dân xã Ngọc Khê  tỉnh Cao Bằng")</f>
      </c>
      <c r="C2353" t="str">
        <v>https://trungkhanh.caobang.gov.vn/1352/34154/94766/xa-ngoc-khe</v>
      </c>
      <c r="D2353" t="str">
        <v>-</v>
      </c>
      <c r="E2353" t="str">
        <v>-</v>
      </c>
      <c r="F2353" t="str">
        <v>-</v>
      </c>
      <c r="G2353" t="str">
        <v>-</v>
      </c>
    </row>
    <row r="2354">
      <c r="A2354">
        <v>2353</v>
      </c>
      <c r="B2354">
        <f>HYPERLINK("https://www.facebook.com/TuoitreConganCaoBang/", "Công an xã Ngọc Côn  tỉnh Cao Bằng")</f>
      </c>
      <c r="C2354" t="str">
        <v>https://www.facebook.com/TuoitreConganCaoBang/</v>
      </c>
      <c r="D2354" t="str">
        <v>-</v>
      </c>
      <c r="E2354" t="str">
        <v/>
      </c>
      <c r="F2354" t="str">
        <v>-</v>
      </c>
      <c r="G2354" t="str">
        <v>-</v>
      </c>
    </row>
    <row r="2355">
      <c r="A2355">
        <v>2354</v>
      </c>
      <c r="B2355">
        <f>HYPERLINK("https://ngoccon.trungkhanh.caobang.gov.vn/", "UBND Ủy ban nhân dân xã Ngọc Côn  tỉnh Cao Bằng")</f>
      </c>
      <c r="C2355" t="str">
        <v>https://ngoccon.trungkhanh.caobang.gov.vn/</v>
      </c>
      <c r="D2355" t="str">
        <v>-</v>
      </c>
      <c r="E2355" t="str">
        <v>-</v>
      </c>
      <c r="F2355" t="str">
        <v>-</v>
      </c>
      <c r="G2355" t="str">
        <v>-</v>
      </c>
    </row>
    <row r="2356">
      <c r="A2356">
        <v>2355</v>
      </c>
      <c r="B2356">
        <f>HYPERLINK("https://www.facebook.com/TuoitreConganCaoBang/", "Công an xã Phong Nậm  tỉnh Cao Bằng")</f>
      </c>
      <c r="C2356" t="str">
        <v>https://www.facebook.com/TuoitreConganCaoBang/</v>
      </c>
      <c r="D2356" t="str">
        <v>-</v>
      </c>
      <c r="E2356" t="str">
        <v/>
      </c>
      <c r="F2356" t="str">
        <v>-</v>
      </c>
      <c r="G2356" t="str">
        <v>-</v>
      </c>
    </row>
    <row r="2357">
      <c r="A2357">
        <v>2356</v>
      </c>
      <c r="B2357">
        <f>HYPERLINK("https://phongnam.trungkhanh.caobang.gov.vn/", "UBND Ủy ban nhân dân xã Phong Nậm  tỉnh Cao Bằng")</f>
      </c>
      <c r="C2357" t="str">
        <v>https://phongnam.trungkhanh.caobang.gov.vn/</v>
      </c>
      <c r="D2357" t="str">
        <v>-</v>
      </c>
      <c r="E2357" t="str">
        <v>-</v>
      </c>
      <c r="F2357" t="str">
        <v>-</v>
      </c>
      <c r="G2357" t="str">
        <v>-</v>
      </c>
    </row>
    <row r="2358">
      <c r="A2358">
        <v>2357</v>
      </c>
      <c r="B2358">
        <f>HYPERLINK("https://www.facebook.com/TuoitreConganCaoBang/", "Công an xã Ngọc Chung  tỉnh Cao Bằng")</f>
      </c>
      <c r="C2358" t="str">
        <v>https://www.facebook.com/TuoitreConganCaoBang/</v>
      </c>
      <c r="D2358" t="str">
        <v>-</v>
      </c>
      <c r="E2358" t="str">
        <v/>
      </c>
      <c r="F2358" t="str">
        <v>-</v>
      </c>
      <c r="G2358" t="str">
        <v>-</v>
      </c>
    </row>
    <row r="2359">
      <c r="A2359">
        <v>2358</v>
      </c>
      <c r="B2359">
        <f>HYPERLINK("http://ngocdong.haquang.caobang.gov.vn/", "UBND Ủy ban nhân dân xã Ngọc Chung  tỉnh Cao Bằng")</f>
      </c>
      <c r="C2359" t="str">
        <v>http://ngocdong.haquang.caobang.gov.vn/</v>
      </c>
      <c r="D2359" t="str">
        <v>-</v>
      </c>
      <c r="E2359" t="str">
        <v>-</v>
      </c>
      <c r="F2359" t="str">
        <v>-</v>
      </c>
      <c r="G2359" t="str">
        <v>-</v>
      </c>
    </row>
    <row r="2360">
      <c r="A2360">
        <v>2359</v>
      </c>
      <c r="B2360">
        <f>HYPERLINK("https://www.facebook.com/p/C%C3%B4ng-an-x%C3%A3-%C4%90%C3%ACnh-Phong-huy%E1%BB%87n-Tr%C3%B9ng-Kh%C3%A1nh-t%E1%BB%89nh-Cao-B%E1%BA%B1ng-100067626975897/", "Công an xã Đình Phong  tỉnh Cao Bằng")</f>
      </c>
      <c r="C2360" t="str">
        <v>https://www.facebook.com/p/C%C3%B4ng-an-x%C3%A3-%C4%90%C3%ACnh-Phong-huy%E1%BB%87n-Tr%C3%B9ng-Kh%C3%A1nh-t%E1%BB%89nh-Cao-B%E1%BA%B1ng-100067626975897/</v>
      </c>
      <c r="D2360" t="str">
        <v>-</v>
      </c>
      <c r="E2360" t="str">
        <v/>
      </c>
      <c r="F2360" t="str">
        <v>-</v>
      </c>
      <c r="G2360" t="str">
        <v>-</v>
      </c>
    </row>
    <row r="2361">
      <c r="A2361">
        <v>2360</v>
      </c>
      <c r="B2361">
        <f>HYPERLINK("https://trungkhanh.caobang.gov.vn/xa-dinh-phong", "UBND Ủy ban nhân dân xã Đình Phong  tỉnh Cao Bằng")</f>
      </c>
      <c r="C2361" t="str">
        <v>https://trungkhanh.caobang.gov.vn/xa-dinh-phong</v>
      </c>
      <c r="D2361" t="str">
        <v>-</v>
      </c>
      <c r="E2361" t="str">
        <v>-</v>
      </c>
      <c r="F2361" t="str">
        <v>-</v>
      </c>
      <c r="G2361" t="str">
        <v>-</v>
      </c>
    </row>
    <row r="2362">
      <c r="A2362">
        <v>2361</v>
      </c>
      <c r="B2362">
        <f>HYPERLINK("https://www.facebook.com/TuoitreConganCaoBang/?locale=vi_VN", "Công an xã Lăng Yên  tỉnh Cao Bằng")</f>
      </c>
      <c r="C2362" t="str">
        <v>https://www.facebook.com/TuoitreConganCaoBang/?locale=vi_VN</v>
      </c>
      <c r="D2362" t="str">
        <v>-</v>
      </c>
      <c r="E2362" t="str">
        <v/>
      </c>
      <c r="F2362" t="str">
        <v>-</v>
      </c>
      <c r="G2362" t="str">
        <v>-</v>
      </c>
    </row>
    <row r="2363">
      <c r="A2363">
        <v>2362</v>
      </c>
      <c r="B2363">
        <f>HYPERLINK("https://trungkhanh.caobang.gov.vn/xa-lang-hieu", "UBND Ủy ban nhân dân xã Lăng Yên  tỉnh Cao Bằng")</f>
      </c>
      <c r="C2363" t="str">
        <v>https://trungkhanh.caobang.gov.vn/xa-lang-hieu</v>
      </c>
      <c r="D2363" t="str">
        <v>-</v>
      </c>
      <c r="E2363" t="str">
        <v>-</v>
      </c>
      <c r="F2363" t="str">
        <v>-</v>
      </c>
      <c r="G2363" t="str">
        <v>-</v>
      </c>
    </row>
    <row r="2364">
      <c r="A2364">
        <v>2363</v>
      </c>
      <c r="B2364">
        <f>HYPERLINK("https://www.facebook.com/TuoitreConganCaoBang/", "Công an xã Đàm Thuỷ  tỉnh Cao Bằng")</f>
      </c>
      <c r="C2364" t="str">
        <v>https://www.facebook.com/TuoitreConganCaoBang/</v>
      </c>
      <c r="D2364" t="str">
        <v>-</v>
      </c>
      <c r="E2364" t="str">
        <v/>
      </c>
      <c r="F2364" t="str">
        <v>-</v>
      </c>
      <c r="G2364" t="str">
        <v>-</v>
      </c>
    </row>
    <row r="2365">
      <c r="A2365">
        <v>2364</v>
      </c>
      <c r="B2365">
        <f>HYPERLINK("https://damthuy.trungkhanh.caobang.gov.vn/", "UBND Ủy ban nhân dân xã Đàm Thuỷ  tỉnh Cao Bằng")</f>
      </c>
      <c r="C2365" t="str">
        <v>https://damthuy.trungkhanh.caobang.gov.vn/</v>
      </c>
      <c r="D2365" t="str">
        <v>-</v>
      </c>
      <c r="E2365" t="str">
        <v>-</v>
      </c>
      <c r="F2365" t="str">
        <v>-</v>
      </c>
      <c r="G2365" t="str">
        <v>-</v>
      </c>
    </row>
    <row r="2366">
      <c r="A2366">
        <v>2365</v>
      </c>
      <c r="B2366" t="str">
        <v>Công an xã Khâm Thành  tỉnh Cao Bằng</v>
      </c>
      <c r="C2366" t="str">
        <v>-</v>
      </c>
      <c r="D2366" t="str">
        <v>-</v>
      </c>
      <c r="E2366" t="str">
        <v/>
      </c>
      <c r="F2366" t="str">
        <v>-</v>
      </c>
      <c r="G2366" t="str">
        <v>-</v>
      </c>
    </row>
    <row r="2367">
      <c r="A2367">
        <v>2366</v>
      </c>
      <c r="B2367">
        <f>HYPERLINK("https://trungkhanh.caobang.gov.vn/xa-kham-thanh", "UBND Ủy ban nhân dân xã Khâm Thành  tỉnh Cao Bằng")</f>
      </c>
      <c r="C2367" t="str">
        <v>https://trungkhanh.caobang.gov.vn/xa-kham-thanh</v>
      </c>
      <c r="D2367" t="str">
        <v>-</v>
      </c>
      <c r="E2367" t="str">
        <v>-</v>
      </c>
      <c r="F2367" t="str">
        <v>-</v>
      </c>
      <c r="G2367" t="str">
        <v>-</v>
      </c>
    </row>
    <row r="2368">
      <c r="A2368">
        <v>2367</v>
      </c>
      <c r="B2368">
        <f>HYPERLINK("https://www.facebook.com/TuoitreConganCaoBang/", "Công an xã Chí Viễn  tỉnh Cao Bằng")</f>
      </c>
      <c r="C2368" t="str">
        <v>https://www.facebook.com/TuoitreConganCaoBang/</v>
      </c>
      <c r="D2368" t="str">
        <v>-</v>
      </c>
      <c r="E2368" t="str">
        <v/>
      </c>
      <c r="F2368" t="str">
        <v>-</v>
      </c>
      <c r="G2368" t="str">
        <v>-</v>
      </c>
    </row>
    <row r="2369">
      <c r="A2369">
        <v>2368</v>
      </c>
      <c r="B2369">
        <f>HYPERLINK("https://chivien.trungkhanh.caobang.gov.vn/", "UBND Ủy ban nhân dân xã Chí Viễn  tỉnh Cao Bằng")</f>
      </c>
      <c r="C2369" t="str">
        <v>https://chivien.trungkhanh.caobang.gov.vn/</v>
      </c>
      <c r="D2369" t="str">
        <v>-</v>
      </c>
      <c r="E2369" t="str">
        <v>-</v>
      </c>
      <c r="F2369" t="str">
        <v>-</v>
      </c>
      <c r="G2369" t="str">
        <v>-</v>
      </c>
    </row>
    <row r="2370">
      <c r="A2370">
        <v>2369</v>
      </c>
      <c r="B2370">
        <f>HYPERLINK("https://www.facebook.com/p/C%C3%B4ng-an-x%C3%A3-L%C4%83ng-Hi%E1%BA%BFu-huy%E1%BB%87n-Tr%C3%B9ng-Kh%C3%A1nh-t%E1%BB%89nh-Cao-B%E1%BA%B1ng-100083399404318/", "Công an xã Lăng Hiếu  tỉnh Cao Bằng")</f>
      </c>
      <c r="C2370" t="str">
        <v>https://www.facebook.com/p/C%C3%B4ng-an-x%C3%A3-L%C4%83ng-Hi%E1%BA%BFu-huy%E1%BB%87n-Tr%C3%B9ng-Kh%C3%A1nh-t%E1%BB%89nh-Cao-B%E1%BA%B1ng-100083399404318/</v>
      </c>
      <c r="D2370" t="str">
        <v>-</v>
      </c>
      <c r="E2370" t="str">
        <v/>
      </c>
      <c r="F2370" t="str">
        <v>-</v>
      </c>
      <c r="G2370" t="str">
        <v>-</v>
      </c>
    </row>
    <row r="2371">
      <c r="A2371">
        <v>2370</v>
      </c>
      <c r="B2371">
        <f>HYPERLINK("https://trungkhanh.caobang.gov.vn/xa-lang-hieu", "UBND Ủy ban nhân dân xã Lăng Hiếu  tỉnh Cao Bằng")</f>
      </c>
      <c r="C2371" t="str">
        <v>https://trungkhanh.caobang.gov.vn/xa-lang-hieu</v>
      </c>
      <c r="D2371" t="str">
        <v>-</v>
      </c>
      <c r="E2371" t="str">
        <v>-</v>
      </c>
      <c r="F2371" t="str">
        <v>-</v>
      </c>
      <c r="G2371" t="str">
        <v>-</v>
      </c>
    </row>
    <row r="2372">
      <c r="A2372">
        <v>2371</v>
      </c>
      <c r="B2372" t="str">
        <v>Công an xã Phong Châu  tỉnh Cao Bằng</v>
      </c>
      <c r="C2372" t="str">
        <v>-</v>
      </c>
      <c r="D2372" t="str">
        <v>-</v>
      </c>
      <c r="E2372" t="str">
        <v/>
      </c>
      <c r="F2372" t="str">
        <v>-</v>
      </c>
      <c r="G2372" t="str">
        <v>-</v>
      </c>
    </row>
    <row r="2373">
      <c r="A2373">
        <v>2372</v>
      </c>
      <c r="B2373">
        <f>HYPERLINK("https://phongchau.trungkhanh.caobang.gov.vn/", "UBND Ủy ban nhân dân xã Phong Châu  tỉnh Cao Bằng")</f>
      </c>
      <c r="C2373" t="str">
        <v>https://phongchau.trungkhanh.caobang.gov.vn/</v>
      </c>
      <c r="D2373" t="str">
        <v>-</v>
      </c>
      <c r="E2373" t="str">
        <v>-</v>
      </c>
      <c r="F2373" t="str">
        <v>-</v>
      </c>
      <c r="G2373" t="str">
        <v>-</v>
      </c>
    </row>
    <row r="2374">
      <c r="A2374">
        <v>2373</v>
      </c>
      <c r="B2374">
        <f>HYPERLINK("https://www.facebook.com/TuoitreConganCaoBang/", "Công an xã Đình Minh  tỉnh Cao Bằng")</f>
      </c>
      <c r="C2374" t="str">
        <v>https://www.facebook.com/TuoitreConganCaoBang/</v>
      </c>
      <c r="D2374" t="str">
        <v>-</v>
      </c>
      <c r="E2374" t="str">
        <v/>
      </c>
      <c r="F2374" t="str">
        <v>-</v>
      </c>
      <c r="G2374" t="str">
        <v>-</v>
      </c>
    </row>
    <row r="2375">
      <c r="A2375">
        <v>2374</v>
      </c>
      <c r="B2375">
        <f>HYPERLINK("https://baolac.caobang.gov.vn/", "UBND Ủy ban nhân dân xã Đình Minh  tỉnh Cao Bằng")</f>
      </c>
      <c r="C2375" t="str">
        <v>https://baolac.caobang.gov.vn/</v>
      </c>
      <c r="D2375" t="str">
        <v>-</v>
      </c>
      <c r="E2375" t="str">
        <v>-</v>
      </c>
      <c r="F2375" t="str">
        <v>-</v>
      </c>
      <c r="G2375" t="str">
        <v>-</v>
      </c>
    </row>
    <row r="2376">
      <c r="A2376">
        <v>2375</v>
      </c>
      <c r="B2376">
        <f>HYPERLINK("https://www.facebook.com/TuoitreConganCaoBang/", "Công an xã Cảnh Tiên  tỉnh Cao Bằng")</f>
      </c>
      <c r="C2376" t="str">
        <v>https://www.facebook.com/TuoitreConganCaoBang/</v>
      </c>
      <c r="D2376" t="str">
        <v>-</v>
      </c>
      <c r="E2376" t="str">
        <v/>
      </c>
      <c r="F2376" t="str">
        <v>-</v>
      </c>
      <c r="G2376" t="str">
        <v>-</v>
      </c>
    </row>
    <row r="2377">
      <c r="A2377">
        <v>2376</v>
      </c>
      <c r="B2377">
        <f>HYPERLINK("https://thachan.caobang.gov.vn/", "UBND Ủy ban nhân dân xã Cảnh Tiên  tỉnh Cao Bằng")</f>
      </c>
      <c r="C2377" t="str">
        <v>https://thachan.caobang.gov.vn/</v>
      </c>
      <c r="D2377" t="str">
        <v>-</v>
      </c>
      <c r="E2377" t="str">
        <v>-</v>
      </c>
      <c r="F2377" t="str">
        <v>-</v>
      </c>
      <c r="G2377" t="str">
        <v>-</v>
      </c>
    </row>
    <row r="2378">
      <c r="A2378">
        <v>2377</v>
      </c>
      <c r="B2378" t="str">
        <v>Công an xã Trung Phúc  tỉnh Cao Bằng</v>
      </c>
      <c r="C2378" t="str">
        <v>-</v>
      </c>
      <c r="D2378" t="str">
        <v>-</v>
      </c>
      <c r="E2378" t="str">
        <v/>
      </c>
      <c r="F2378" t="str">
        <v>-</v>
      </c>
      <c r="G2378" t="str">
        <v>-</v>
      </c>
    </row>
    <row r="2379">
      <c r="A2379">
        <v>2378</v>
      </c>
      <c r="B2379">
        <f>HYPERLINK("https://trungkhanh.caobang.gov.vn/xa-trung-phuc", "UBND Ủy ban nhân dân xã Trung Phúc  tỉnh Cao Bằng")</f>
      </c>
      <c r="C2379" t="str">
        <v>https://trungkhanh.caobang.gov.vn/xa-trung-phuc</v>
      </c>
      <c r="D2379" t="str">
        <v>-</v>
      </c>
      <c r="E2379" t="str">
        <v>-</v>
      </c>
      <c r="F2379" t="str">
        <v>-</v>
      </c>
      <c r="G2379" t="str">
        <v>-</v>
      </c>
    </row>
    <row r="2380">
      <c r="A2380">
        <v>2379</v>
      </c>
      <c r="B2380">
        <f>HYPERLINK("https://www.facebook.com/TuoitreConganCaoBang/", "Công an xã Cao Thăng  tỉnh Cao Bằng")</f>
      </c>
      <c r="C2380" t="str">
        <v>https://www.facebook.com/TuoitreConganCaoBang/</v>
      </c>
      <c r="D2380" t="str">
        <v>-</v>
      </c>
      <c r="E2380" t="str">
        <v/>
      </c>
      <c r="F2380" t="str">
        <v>-</v>
      </c>
      <c r="G2380" t="str">
        <v>-</v>
      </c>
    </row>
    <row r="2381">
      <c r="A2381">
        <v>2380</v>
      </c>
      <c r="B2381">
        <f>HYPERLINK("https://trungkhanh.caobang.gov.vn/1352/34154/94757/xa-cao-thang", "UBND Ủy ban nhân dân xã Cao Thăng  tỉnh Cao Bằng")</f>
      </c>
      <c r="C2381" t="str">
        <v>https://trungkhanh.caobang.gov.vn/1352/34154/94757/xa-cao-thang</v>
      </c>
      <c r="D2381" t="str">
        <v>-</v>
      </c>
      <c r="E2381" t="str">
        <v>-</v>
      </c>
      <c r="F2381" t="str">
        <v>-</v>
      </c>
      <c r="G2381" t="str">
        <v>-</v>
      </c>
    </row>
    <row r="2382">
      <c r="A2382">
        <v>2381</v>
      </c>
      <c r="B2382">
        <f>HYPERLINK("https://www.facebook.com/TuoitreConganCaoBang/", "Công an xã Đức Hồng  tỉnh Cao Bằng")</f>
      </c>
      <c r="C2382" t="str">
        <v>https://www.facebook.com/TuoitreConganCaoBang/</v>
      </c>
      <c r="D2382" t="str">
        <v>-</v>
      </c>
      <c r="E2382" t="str">
        <v/>
      </c>
      <c r="F2382" t="str">
        <v>-</v>
      </c>
      <c r="G2382" t="str">
        <v>-</v>
      </c>
    </row>
    <row r="2383">
      <c r="A2383">
        <v>2382</v>
      </c>
      <c r="B2383">
        <f>HYPERLINK("https://trungkhanh.caobang.gov.vn/xa-duc-hong", "UBND Ủy ban nhân dân xã Đức Hồng  tỉnh Cao Bằng")</f>
      </c>
      <c r="C2383" t="str">
        <v>https://trungkhanh.caobang.gov.vn/xa-duc-hong</v>
      </c>
      <c r="D2383" t="str">
        <v>-</v>
      </c>
      <c r="E2383" t="str">
        <v>-</v>
      </c>
      <c r="F2383" t="str">
        <v>-</v>
      </c>
      <c r="G2383" t="str">
        <v>-</v>
      </c>
    </row>
    <row r="2384">
      <c r="A2384">
        <v>2383</v>
      </c>
      <c r="B2384">
        <f>HYPERLINK("https://www.facebook.com/TuoitreConganCaoBang/", "Công an xã Thông Hoè  tỉnh Cao Bằng")</f>
      </c>
      <c r="C2384" t="str">
        <v>https://www.facebook.com/TuoitreConganCaoBang/</v>
      </c>
      <c r="D2384" t="str">
        <v>-</v>
      </c>
      <c r="E2384" t="str">
        <v/>
      </c>
      <c r="F2384" t="str">
        <v>-</v>
      </c>
      <c r="G2384" t="str">
        <v>-</v>
      </c>
    </row>
    <row r="2385">
      <c r="A2385">
        <v>2384</v>
      </c>
      <c r="B2385">
        <f>HYPERLINK("https://vpubnd.caobang.gov.vn/", "UBND Ủy ban nhân dân xã Thông Hoè  tỉnh Cao Bằng")</f>
      </c>
      <c r="C2385" t="str">
        <v>https://vpubnd.caobang.gov.vn/</v>
      </c>
      <c r="D2385" t="str">
        <v>-</v>
      </c>
      <c r="E2385" t="str">
        <v>-</v>
      </c>
      <c r="F2385" t="str">
        <v>-</v>
      </c>
      <c r="G2385" t="str">
        <v>-</v>
      </c>
    </row>
    <row r="2386">
      <c r="A2386">
        <v>2385</v>
      </c>
      <c r="B2386">
        <f>HYPERLINK("https://www.facebook.com/TuoitreConganCaoBang/?locale=vi_VN", "Công an xã Thân Giáp  tỉnh Cao Bằng")</f>
      </c>
      <c r="C2386" t="str">
        <v>https://www.facebook.com/TuoitreConganCaoBang/?locale=vi_VN</v>
      </c>
      <c r="D2386" t="str">
        <v>-</v>
      </c>
      <c r="E2386" t="str">
        <v/>
      </c>
      <c r="F2386" t="str">
        <v>-</v>
      </c>
      <c r="G2386" t="str">
        <v>-</v>
      </c>
    </row>
    <row r="2387">
      <c r="A2387">
        <v>2386</v>
      </c>
      <c r="B2387">
        <f>HYPERLINK("https://trungkhanh.caobang.gov.vn/danh-ba-thu-dien-tu", "UBND Ủy ban nhân dân xã Thân Giáp  tỉnh Cao Bằng")</f>
      </c>
      <c r="C2387" t="str">
        <v>https://trungkhanh.caobang.gov.vn/danh-ba-thu-dien-tu</v>
      </c>
      <c r="D2387" t="str">
        <v>-</v>
      </c>
      <c r="E2387" t="str">
        <v>-</v>
      </c>
      <c r="F2387" t="str">
        <v>-</v>
      </c>
      <c r="G2387" t="str">
        <v>-</v>
      </c>
    </row>
    <row r="2388">
      <c r="A2388">
        <v>2387</v>
      </c>
      <c r="B2388" t="str">
        <v>Công an xã Đoài Côn  tỉnh Cao Bằng</v>
      </c>
      <c r="C2388" t="str">
        <v>-</v>
      </c>
      <c r="D2388" t="str">
        <v>-</v>
      </c>
      <c r="E2388" t="str">
        <v/>
      </c>
      <c r="F2388" t="str">
        <v>-</v>
      </c>
      <c r="G2388" t="str">
        <v>-</v>
      </c>
    </row>
    <row r="2389">
      <c r="A2389">
        <v>2388</v>
      </c>
      <c r="B2389">
        <f>HYPERLINK("https://doaiduong.trungkhanh.caobang.gov.vn/uy-ban-nhan-dan", "UBND Ủy ban nhân dân xã Đoài Côn  tỉnh Cao Bằng")</f>
      </c>
      <c r="C2389" t="str">
        <v>https://doaiduong.trungkhanh.caobang.gov.vn/uy-ban-nhan-dan</v>
      </c>
      <c r="D2389" t="str">
        <v>-</v>
      </c>
      <c r="E2389" t="str">
        <v>-</v>
      </c>
      <c r="F2389" t="str">
        <v>-</v>
      </c>
      <c r="G2389" t="str">
        <v>-</v>
      </c>
    </row>
    <row r="2390">
      <c r="A2390">
        <v>2389</v>
      </c>
      <c r="B2390">
        <f>HYPERLINK("https://www.facebook.com/p/C%C3%B4ng-an-x%C3%A3-Minh-Long-H%E1%BA%A1-Lang-Cao-B%E1%BA%B1ng-100068952858204/", "Công an xã Minh Long  tỉnh Cao Bằng")</f>
      </c>
      <c r="C2390" t="str">
        <v>https://www.facebook.com/p/C%C3%B4ng-an-x%C3%A3-Minh-Long-H%E1%BA%A1-Lang-Cao-B%E1%BA%B1ng-100068952858204/</v>
      </c>
      <c r="D2390" t="str">
        <v>-</v>
      </c>
      <c r="E2390" t="str">
        <v/>
      </c>
      <c r="F2390" t="str">
        <v>-</v>
      </c>
      <c r="G2390" t="str">
        <v>-</v>
      </c>
    </row>
    <row r="2391">
      <c r="A2391">
        <v>2390</v>
      </c>
      <c r="B2391">
        <f>HYPERLINK("http://minhlong.halang.caobang.gov.vn/", "UBND Ủy ban nhân dân xã Minh Long  tỉnh Cao Bằng")</f>
      </c>
      <c r="C2391" t="str">
        <v>http://minhlong.halang.caobang.gov.vn/</v>
      </c>
      <c r="D2391" t="str">
        <v>-</v>
      </c>
      <c r="E2391" t="str">
        <v>-</v>
      </c>
      <c r="F2391" t="str">
        <v>-</v>
      </c>
      <c r="G2391" t="str">
        <v>-</v>
      </c>
    </row>
    <row r="2392">
      <c r="A2392">
        <v>2391</v>
      </c>
      <c r="B2392">
        <f>HYPERLINK("https://www.facebook.com/TuoitreConganCaoBang/", "Công an xã Lý Quốc  tỉnh Cao Bằng")</f>
      </c>
      <c r="C2392" t="str">
        <v>https://www.facebook.com/TuoitreConganCaoBang/</v>
      </c>
      <c r="D2392" t="str">
        <v>-</v>
      </c>
      <c r="E2392" t="str">
        <v/>
      </c>
      <c r="F2392" t="str">
        <v>-</v>
      </c>
      <c r="G2392" t="str">
        <v>-</v>
      </c>
    </row>
    <row r="2393">
      <c r="A2393">
        <v>2392</v>
      </c>
      <c r="B2393">
        <f>HYPERLINK("https://lyquoc.halang.caobang.gov.vn/", "UBND Ủy ban nhân dân xã Lý Quốc  tỉnh Cao Bằng")</f>
      </c>
      <c r="C2393" t="str">
        <v>https://lyquoc.halang.caobang.gov.vn/</v>
      </c>
      <c r="D2393" t="str">
        <v>-</v>
      </c>
      <c r="E2393" t="str">
        <v>-</v>
      </c>
      <c r="F2393" t="str">
        <v>-</v>
      </c>
      <c r="G2393" t="str">
        <v>-</v>
      </c>
    </row>
    <row r="2394">
      <c r="A2394">
        <v>2393</v>
      </c>
      <c r="B2394" t="str">
        <v>Công an xã Thắng Lợi  tỉnh Cao Bằng</v>
      </c>
      <c r="C2394" t="str">
        <v>-</v>
      </c>
      <c r="D2394" t="str">
        <v>-</v>
      </c>
      <c r="E2394" t="str">
        <v/>
      </c>
      <c r="F2394" t="str">
        <v>-</v>
      </c>
      <c r="G2394" t="str">
        <v>-</v>
      </c>
    </row>
    <row r="2395">
      <c r="A2395">
        <v>2394</v>
      </c>
      <c r="B2395">
        <f>HYPERLINK("https://halang.caobang.gov.vn/ubnd-xa-thang-loi", "UBND Ủy ban nhân dân xã Thắng Lợi  tỉnh Cao Bằng")</f>
      </c>
      <c r="C2395" t="str">
        <v>https://halang.caobang.gov.vn/ubnd-xa-thang-loi</v>
      </c>
      <c r="D2395" t="str">
        <v>-</v>
      </c>
      <c r="E2395" t="str">
        <v>-</v>
      </c>
      <c r="F2395" t="str">
        <v>-</v>
      </c>
      <c r="G2395" t="str">
        <v>-</v>
      </c>
    </row>
    <row r="2396">
      <c r="A2396">
        <v>2395</v>
      </c>
      <c r="B2396" t="str">
        <v>Công an xã Đồng Loan  tỉnh Cao Bằng</v>
      </c>
      <c r="C2396" t="str">
        <v>-</v>
      </c>
      <c r="D2396" t="str">
        <v>-</v>
      </c>
      <c r="E2396" t="str">
        <v/>
      </c>
      <c r="F2396" t="str">
        <v>-</v>
      </c>
      <c r="G2396" t="str">
        <v>-</v>
      </c>
    </row>
    <row r="2397">
      <c r="A2397">
        <v>2396</v>
      </c>
      <c r="B2397">
        <f>HYPERLINK("https://halang.caobang.gov.vn/ubnd-xa-dong-loan", "UBND Ủy ban nhân dân xã Đồng Loan  tỉnh Cao Bằng")</f>
      </c>
      <c r="C2397" t="str">
        <v>https://halang.caobang.gov.vn/ubnd-xa-dong-loan</v>
      </c>
      <c r="D2397" t="str">
        <v>-</v>
      </c>
      <c r="E2397" t="str">
        <v>-</v>
      </c>
      <c r="F2397" t="str">
        <v>-</v>
      </c>
      <c r="G2397" t="str">
        <v>-</v>
      </c>
    </row>
    <row r="2398">
      <c r="A2398">
        <v>2397</v>
      </c>
      <c r="B2398">
        <f>HYPERLINK("https://www.facebook.com/TuoitreConganCaoBang/", "Công an xã Đức Quang  tỉnh Cao Bằng")</f>
      </c>
      <c r="C2398" t="str">
        <v>https://www.facebook.com/TuoitreConganCaoBang/</v>
      </c>
      <c r="D2398" t="str">
        <v>-</v>
      </c>
      <c r="E2398" t="str">
        <v/>
      </c>
      <c r="F2398" t="str">
        <v>-</v>
      </c>
      <c r="G2398" t="str">
        <v>-</v>
      </c>
    </row>
    <row r="2399">
      <c r="A2399">
        <v>2398</v>
      </c>
      <c r="B2399">
        <f>HYPERLINK("https://ducquang.halang.caobang.gov.vn/uy-ban-nhan-dan", "UBND Ủy ban nhân dân xã Đức Quang  tỉnh Cao Bằng")</f>
      </c>
      <c r="C2399" t="str">
        <v>https://ducquang.halang.caobang.gov.vn/uy-ban-nhan-dan</v>
      </c>
      <c r="D2399" t="str">
        <v>-</v>
      </c>
      <c r="E2399" t="str">
        <v>-</v>
      </c>
      <c r="F2399" t="str">
        <v>-</v>
      </c>
      <c r="G2399" t="str">
        <v>-</v>
      </c>
    </row>
    <row r="2400">
      <c r="A2400">
        <v>2399</v>
      </c>
      <c r="B2400" t="str">
        <v>Công an xã Kim Loan  tỉnh Cao Bằng</v>
      </c>
      <c r="C2400" t="str">
        <v>-</v>
      </c>
      <c r="D2400" t="str">
        <v>-</v>
      </c>
      <c r="E2400" t="str">
        <v/>
      </c>
      <c r="F2400" t="str">
        <v>-</v>
      </c>
      <c r="G2400" t="str">
        <v>-</v>
      </c>
    </row>
    <row r="2401">
      <c r="A2401">
        <v>2400</v>
      </c>
      <c r="B2401">
        <f>HYPERLINK("https://kimloan.halang.caobang.gov.vn/", "UBND Ủy ban nhân dân xã Kim Loan  tỉnh Cao Bằng")</f>
      </c>
      <c r="C2401" t="str">
        <v>https://kimloan.halang.caobang.gov.vn/</v>
      </c>
      <c r="D2401" t="str">
        <v>-</v>
      </c>
      <c r="E2401" t="str">
        <v>-</v>
      </c>
      <c r="F2401" t="str">
        <v>-</v>
      </c>
      <c r="G2401" t="str">
        <v>-</v>
      </c>
    </row>
    <row r="2402">
      <c r="A2402">
        <v>2401</v>
      </c>
      <c r="B2402">
        <f>HYPERLINK("https://www.facebook.com/TuoitreConganCaoBang/", "Công an xã Quang Long  tỉnh Cao Bằng")</f>
      </c>
      <c r="C2402" t="str">
        <v>https://www.facebook.com/TuoitreConganCaoBang/</v>
      </c>
      <c r="D2402" t="str">
        <v>-</v>
      </c>
      <c r="E2402" t="str">
        <v/>
      </c>
      <c r="F2402" t="str">
        <v>-</v>
      </c>
      <c r="G2402" t="str">
        <v>-</v>
      </c>
    </row>
    <row r="2403">
      <c r="A2403">
        <v>2402</v>
      </c>
      <c r="B2403">
        <f>HYPERLINK("https://halang.caobang.gov.vn/ubnd-xa-quang-long", "UBND Ủy ban nhân dân xã Quang Long  tỉnh Cao Bằng")</f>
      </c>
      <c r="C2403" t="str">
        <v>https://halang.caobang.gov.vn/ubnd-xa-quang-long</v>
      </c>
      <c r="D2403" t="str">
        <v>-</v>
      </c>
      <c r="E2403" t="str">
        <v>-</v>
      </c>
      <c r="F2403" t="str">
        <v>-</v>
      </c>
      <c r="G2403" t="str">
        <v>-</v>
      </c>
    </row>
    <row r="2404">
      <c r="A2404">
        <v>2403</v>
      </c>
      <c r="B2404">
        <f>HYPERLINK("https://www.facebook.com/TuoitreConganCaoBang/", "Công an xã An Lạc  tỉnh Cao Bằng")</f>
      </c>
      <c r="C2404" t="str">
        <v>https://www.facebook.com/TuoitreConganCaoBang/</v>
      </c>
      <c r="D2404" t="str">
        <v>-</v>
      </c>
      <c r="E2404" t="str">
        <v/>
      </c>
      <c r="F2404" t="str">
        <v>-</v>
      </c>
      <c r="G2404" t="str">
        <v>-</v>
      </c>
    </row>
    <row r="2405">
      <c r="A2405">
        <v>2404</v>
      </c>
      <c r="B2405">
        <f>HYPERLINK("https://baolac.caobang.gov.vn/", "UBND Ủy ban nhân dân xã An Lạc  tỉnh Cao Bằng")</f>
      </c>
      <c r="C2405" t="str">
        <v>https://baolac.caobang.gov.vn/</v>
      </c>
      <c r="D2405" t="str">
        <v>-</v>
      </c>
      <c r="E2405" t="str">
        <v>-</v>
      </c>
      <c r="F2405" t="str">
        <v>-</v>
      </c>
      <c r="G2405" t="str">
        <v>-</v>
      </c>
    </row>
    <row r="2406">
      <c r="A2406">
        <v>2405</v>
      </c>
      <c r="B2406">
        <f>HYPERLINK("https://www.facebook.com/p/C%C3%B4ng-an-th%E1%BB%8B-tr%E1%BA%A5n-Thanh-Nh%E1%BA%ADt-100064602802538/", "Công an thị trấn Thanh Nhật  tỉnh Cao Bằng")</f>
      </c>
      <c r="C2406" t="str">
        <v>https://www.facebook.com/p/C%C3%B4ng-an-th%E1%BB%8B-tr%E1%BA%A5n-Thanh-Nh%E1%BA%ADt-100064602802538/</v>
      </c>
      <c r="D2406" t="str">
        <v>-</v>
      </c>
      <c r="E2406" t="str">
        <v/>
      </c>
      <c r="F2406" t="str">
        <v>-</v>
      </c>
      <c r="G2406" t="str">
        <v>-</v>
      </c>
    </row>
    <row r="2407">
      <c r="A2407">
        <v>2406</v>
      </c>
      <c r="B2407">
        <f>HYPERLINK("https://thanhnhat.halang.caobang.gov.vn/", "UBND Ủy ban nhân dân thị trấn Thanh Nhật  tỉnh Cao Bằng")</f>
      </c>
      <c r="C2407" t="str">
        <v>https://thanhnhat.halang.caobang.gov.vn/</v>
      </c>
      <c r="D2407" t="str">
        <v>-</v>
      </c>
      <c r="E2407" t="str">
        <v>-</v>
      </c>
      <c r="F2407" t="str">
        <v>-</v>
      </c>
      <c r="G2407" t="str">
        <v>-</v>
      </c>
    </row>
    <row r="2408">
      <c r="A2408">
        <v>2407</v>
      </c>
      <c r="B2408" t="str">
        <v>Công an xã Vinh Quý  tỉnh Cao Bằng</v>
      </c>
      <c r="C2408" t="str">
        <v>-</v>
      </c>
      <c r="D2408" t="str">
        <v>-</v>
      </c>
      <c r="E2408" t="str">
        <v/>
      </c>
      <c r="F2408" t="str">
        <v>-</v>
      </c>
      <c r="G2408" t="str">
        <v>-</v>
      </c>
    </row>
    <row r="2409">
      <c r="A2409">
        <v>2408</v>
      </c>
      <c r="B2409">
        <f>HYPERLINK("http://vinhquy.halang.caobang.gov.vn/", "UBND Ủy ban nhân dân xã Vinh Quý  tỉnh Cao Bằng")</f>
      </c>
      <c r="C2409" t="str">
        <v>http://vinhquy.halang.caobang.gov.vn/</v>
      </c>
      <c r="D2409" t="str">
        <v>-</v>
      </c>
      <c r="E2409" t="str">
        <v>-</v>
      </c>
      <c r="F2409" t="str">
        <v>-</v>
      </c>
      <c r="G2409" t="str">
        <v>-</v>
      </c>
    </row>
    <row r="2410">
      <c r="A2410">
        <v>2409</v>
      </c>
      <c r="B2410">
        <f>HYPERLINK("https://www.facebook.com/TuoitreConganCaoBang/", "Công an xã Việt Chu  tỉnh Cao Bằng")</f>
      </c>
      <c r="C2410" t="str">
        <v>https://www.facebook.com/TuoitreConganCaoBang/</v>
      </c>
      <c r="D2410" t="str">
        <v>-</v>
      </c>
      <c r="E2410" t="str">
        <v/>
      </c>
      <c r="F2410" t="str">
        <v>-</v>
      </c>
      <c r="G2410" t="str">
        <v>-</v>
      </c>
    </row>
    <row r="2411">
      <c r="A2411">
        <v>2410</v>
      </c>
      <c r="B2411">
        <f>HYPERLINK("https://ubndtp.caobang.gov.vn/ubnd-xa-chu-trinh", "UBND Ủy ban nhân dân xã Việt Chu  tỉnh Cao Bằng")</f>
      </c>
      <c r="C2411" t="str">
        <v>https://ubndtp.caobang.gov.vn/ubnd-xa-chu-trinh</v>
      </c>
      <c r="D2411" t="str">
        <v>-</v>
      </c>
      <c r="E2411" t="str">
        <v>-</v>
      </c>
      <c r="F2411" t="str">
        <v>-</v>
      </c>
      <c r="G2411" t="str">
        <v>-</v>
      </c>
    </row>
    <row r="2412">
      <c r="A2412">
        <v>2411</v>
      </c>
      <c r="B2412">
        <f>HYPERLINK("https://www.facebook.com/TuoitreConganCaoBang/", "Công an xã Cô Ngân  tỉnh Cao Bằng")</f>
      </c>
      <c r="C2412" t="str">
        <v>https://www.facebook.com/TuoitreConganCaoBang/</v>
      </c>
      <c r="D2412" t="str">
        <v>-</v>
      </c>
      <c r="E2412" t="str">
        <v/>
      </c>
      <c r="F2412" t="str">
        <v>-</v>
      </c>
      <c r="G2412" t="str">
        <v>-</v>
      </c>
    </row>
    <row r="2413">
      <c r="A2413">
        <v>2412</v>
      </c>
      <c r="B2413">
        <f>HYPERLINK("https://halang.caobang.gov.vn/1349/34022/69179/ubnd-xa-co-ngan", "UBND Ủy ban nhân dân xã Cô Ngân  tỉnh Cao Bằng")</f>
      </c>
      <c r="C2413" t="str">
        <v>https://halang.caobang.gov.vn/1349/34022/69179/ubnd-xa-co-ngan</v>
      </c>
      <c r="D2413" t="str">
        <v>-</v>
      </c>
      <c r="E2413" t="str">
        <v>-</v>
      </c>
      <c r="F2413" t="str">
        <v>-</v>
      </c>
      <c r="G2413" t="str">
        <v>-</v>
      </c>
    </row>
    <row r="2414">
      <c r="A2414">
        <v>2413</v>
      </c>
      <c r="B2414">
        <f>HYPERLINK("https://www.facebook.com/TuoitreConganCaoBang/", "Công an xã Thái Đức  tỉnh Cao Bằng")</f>
      </c>
      <c r="C2414" t="str">
        <v>https://www.facebook.com/TuoitreConganCaoBang/</v>
      </c>
      <c r="D2414" t="str">
        <v>-</v>
      </c>
      <c r="E2414" t="str">
        <v/>
      </c>
      <c r="F2414" t="str">
        <v>-</v>
      </c>
      <c r="G2414" t="str">
        <v>-</v>
      </c>
    </row>
    <row r="2415">
      <c r="A2415">
        <v>2414</v>
      </c>
      <c r="B2415">
        <f>HYPERLINK("https://baolam.caobang.gov.vn/", "UBND Ủy ban nhân dân xã Thái Đức  tỉnh Cao Bằng")</f>
      </c>
      <c r="C2415" t="str">
        <v>https://baolam.caobang.gov.vn/</v>
      </c>
      <c r="D2415" t="str">
        <v>-</v>
      </c>
      <c r="E2415" t="str">
        <v>-</v>
      </c>
      <c r="F2415" t="str">
        <v>-</v>
      </c>
      <c r="G2415" t="str">
        <v>-</v>
      </c>
    </row>
    <row r="2416">
      <c r="A2416">
        <v>2415</v>
      </c>
      <c r="B2416">
        <f>HYPERLINK("https://www.facebook.com/TuoitreConganCaoBang/", "Công an xã Thị Hoa  tỉnh Cao Bằng")</f>
      </c>
      <c r="C2416" t="str">
        <v>https://www.facebook.com/TuoitreConganCaoBang/</v>
      </c>
      <c r="D2416" t="str">
        <v>-</v>
      </c>
      <c r="E2416" t="str">
        <v/>
      </c>
      <c r="F2416" t="str">
        <v>-</v>
      </c>
      <c r="G2416" t="str">
        <v>-</v>
      </c>
    </row>
    <row r="2417">
      <c r="A2417">
        <v>2416</v>
      </c>
      <c r="B2417">
        <f>HYPERLINK("http://thihoa.halang.caobang.gov.vn/", "UBND Ủy ban nhân dân xã Thị Hoa  tỉnh Cao Bằng")</f>
      </c>
      <c r="C2417" t="str">
        <v>http://thihoa.halang.caobang.gov.vn/</v>
      </c>
      <c r="D2417" t="str">
        <v>-</v>
      </c>
      <c r="E2417" t="str">
        <v>-</v>
      </c>
      <c r="F2417" t="str">
        <v>-</v>
      </c>
      <c r="G2417" t="str">
        <v>-</v>
      </c>
    </row>
    <row r="2418">
      <c r="A2418">
        <v>2417</v>
      </c>
      <c r="B2418">
        <f>HYPERLINK("https://www.facebook.com/p/C%C3%B4ng-an-Huy%E1%BB%87n-Qu%E1%BA%A3ng-Ho%C3%A0-100066298073486/", "Công an thị trấn Quảng Uyên  tỉnh Cao Bằng")</f>
      </c>
      <c r="C2418" t="str">
        <v>https://www.facebook.com/p/C%C3%B4ng-an-Huy%E1%BB%87n-Qu%E1%BA%A3ng-Ho%C3%A0-100066298073486/</v>
      </c>
      <c r="D2418" t="str">
        <v>-</v>
      </c>
      <c r="E2418" t="str">
        <v/>
      </c>
      <c r="F2418" t="str">
        <v>-</v>
      </c>
      <c r="G2418" t="str">
        <v>-</v>
      </c>
    </row>
    <row r="2419">
      <c r="A2419">
        <v>2418</v>
      </c>
      <c r="B2419">
        <f>HYPERLINK("https://quanguyen.quanghoa.caobang.gov.vn/", "UBND Ủy ban nhân dân thị trấn Quảng Uyên  tỉnh Cao Bằng")</f>
      </c>
      <c r="C2419" t="str">
        <v>https://quanguyen.quanghoa.caobang.gov.vn/</v>
      </c>
      <c r="D2419" t="str">
        <v>-</v>
      </c>
      <c r="E2419" t="str">
        <v>-</v>
      </c>
      <c r="F2419" t="str">
        <v>-</v>
      </c>
      <c r="G2419" t="str">
        <v>-</v>
      </c>
    </row>
    <row r="2420">
      <c r="A2420">
        <v>2419</v>
      </c>
      <c r="B2420">
        <f>HYPERLINK("https://www.facebook.com/conganxaphihai/", "Công an xã Phi Hải  tỉnh Cao Bằng")</f>
      </c>
      <c r="C2420" t="str">
        <v>https://www.facebook.com/conganxaphihai/</v>
      </c>
      <c r="D2420" t="str">
        <v>-</v>
      </c>
      <c r="E2420" t="str">
        <v/>
      </c>
      <c r="F2420" t="str">
        <v>-</v>
      </c>
      <c r="G2420" t="str">
        <v>-</v>
      </c>
    </row>
    <row r="2421">
      <c r="A2421">
        <v>2420</v>
      </c>
      <c r="B2421">
        <f>HYPERLINK("https://phihai.quanghoa.caobang.gov.vn/", "UBND Ủy ban nhân dân xã Phi Hải  tỉnh Cao Bằng")</f>
      </c>
      <c r="C2421" t="str">
        <v>https://phihai.quanghoa.caobang.gov.vn/</v>
      </c>
      <c r="D2421" t="str">
        <v>-</v>
      </c>
      <c r="E2421" t="str">
        <v>-</v>
      </c>
      <c r="F2421" t="str">
        <v>-</v>
      </c>
      <c r="G2421" t="str">
        <v>-</v>
      </c>
    </row>
    <row r="2422">
      <c r="A2422">
        <v>2421</v>
      </c>
      <c r="B2422">
        <f>HYPERLINK("https://www.facebook.com/p/C%C3%B4ng-an-x%C3%A3-Qu%E1%BA%A3ng-H%C6%B0ng-100079918016944/", "Công an xã Quảng Hưng  tỉnh Cao Bằng")</f>
      </c>
      <c r="C2422" t="str">
        <v>https://www.facebook.com/p/C%C3%B4ng-an-x%C3%A3-Qu%E1%BA%A3ng-H%C6%B0ng-100079918016944/</v>
      </c>
      <c r="D2422" t="str">
        <v>-</v>
      </c>
      <c r="E2422" t="str">
        <v/>
      </c>
      <c r="F2422" t="str">
        <v>-</v>
      </c>
      <c r="G2422" t="str">
        <v>-</v>
      </c>
    </row>
    <row r="2423">
      <c r="A2423">
        <v>2422</v>
      </c>
      <c r="B2423">
        <f>HYPERLINK("https://quanghung.quanghoa.caobang.gov.vn/", "UBND Ủy ban nhân dân xã Quảng Hưng  tỉnh Cao Bằng")</f>
      </c>
      <c r="C2423" t="str">
        <v>https://quanghung.quanghoa.caobang.gov.vn/</v>
      </c>
      <c r="D2423" t="str">
        <v>-</v>
      </c>
      <c r="E2423" t="str">
        <v>-</v>
      </c>
      <c r="F2423" t="str">
        <v>-</v>
      </c>
      <c r="G2423" t="str">
        <v>-</v>
      </c>
    </row>
    <row r="2424">
      <c r="A2424">
        <v>2423</v>
      </c>
      <c r="B2424">
        <f>HYPERLINK("https://www.facebook.com/TuoitreConganCaoBang/", "Công an xã Bình Lăng  tỉnh Cao Bằng")</f>
      </c>
      <c r="C2424" t="str">
        <v>https://www.facebook.com/TuoitreConganCaoBang/</v>
      </c>
      <c r="D2424" t="str">
        <v>-</v>
      </c>
      <c r="E2424" t="str">
        <v/>
      </c>
      <c r="F2424" t="str">
        <v>-</v>
      </c>
      <c r="G2424" t="str">
        <v>-</v>
      </c>
    </row>
    <row r="2425">
      <c r="A2425">
        <v>2424</v>
      </c>
      <c r="B2425">
        <f>HYPERLINK("https://langson.gov.vn/", "UBND Ủy ban nhân dân xã Bình Lăng  tỉnh Cao Bằng")</f>
      </c>
      <c r="C2425" t="str">
        <v>https://langson.gov.vn/</v>
      </c>
      <c r="D2425" t="str">
        <v>-</v>
      </c>
      <c r="E2425" t="str">
        <v>-</v>
      </c>
      <c r="F2425" t="str">
        <v>-</v>
      </c>
      <c r="G2425" t="str">
        <v>-</v>
      </c>
    </row>
    <row r="2426">
      <c r="A2426">
        <v>2425</v>
      </c>
      <c r="B2426">
        <f>HYPERLINK("https://www.facebook.com/TuoitreConganCaoBang/", "Công an xã Quốc Dân  tỉnh Cao Bằng")</f>
      </c>
      <c r="C2426" t="str">
        <v>https://www.facebook.com/TuoitreConganCaoBang/</v>
      </c>
      <c r="D2426" t="str">
        <v>-</v>
      </c>
      <c r="E2426" t="str">
        <v/>
      </c>
      <c r="F2426" t="str">
        <v>-</v>
      </c>
      <c r="G2426" t="str">
        <v>-</v>
      </c>
    </row>
    <row r="2427">
      <c r="A2427">
        <v>2426</v>
      </c>
      <c r="B2427">
        <f>HYPERLINK("https://quoctoan.quanghoa.caobang.gov.vn/", "UBND Ủy ban nhân dân xã Quốc Dân  tỉnh Cao Bằng")</f>
      </c>
      <c r="C2427" t="str">
        <v>https://quoctoan.quanghoa.caobang.gov.vn/</v>
      </c>
      <c r="D2427" t="str">
        <v>-</v>
      </c>
      <c r="E2427" t="str">
        <v>-</v>
      </c>
      <c r="F2427" t="str">
        <v>-</v>
      </c>
      <c r="G2427" t="str">
        <v>-</v>
      </c>
    </row>
    <row r="2428">
      <c r="A2428">
        <v>2427</v>
      </c>
      <c r="B2428">
        <f>HYPERLINK("https://www.facebook.com/TuoitreConganCaoBang/", "Công an xã Quốc Phong  tỉnh Cao Bằng")</f>
      </c>
      <c r="C2428" t="str">
        <v>https://www.facebook.com/TuoitreConganCaoBang/</v>
      </c>
      <c r="D2428" t="str">
        <v>-</v>
      </c>
      <c r="E2428" t="str">
        <v/>
      </c>
      <c r="F2428" t="str">
        <v>-</v>
      </c>
      <c r="G2428" t="str">
        <v>-</v>
      </c>
    </row>
    <row r="2429">
      <c r="A2429">
        <v>2428</v>
      </c>
      <c r="B2429">
        <f>HYPERLINK("https://caobang.gov.vn/uy-ban-nhan-dan-tinh", "UBND Ủy ban nhân dân xã Quốc Phong  tỉnh Cao Bằng")</f>
      </c>
      <c r="C2429" t="str">
        <v>https://caobang.gov.vn/uy-ban-nhan-dan-tinh</v>
      </c>
      <c r="D2429" t="str">
        <v>-</v>
      </c>
      <c r="E2429" t="str">
        <v>-</v>
      </c>
      <c r="F2429" t="str">
        <v>-</v>
      </c>
      <c r="G2429" t="str">
        <v>-</v>
      </c>
    </row>
    <row r="2430">
      <c r="A2430">
        <v>2429</v>
      </c>
      <c r="B2430">
        <f>HYPERLINK("https://www.facebook.com/p/C%C3%B4ng-an-x%C3%A3-%C4%90%E1%BB%99c-L%E1%BA%ADp-Qu%E1%BA%A3ng-H%C3%B2a-Cao-B%E1%BA%B1ng-100068735590270/", "Công an xã Độc Lập  tỉnh Cao Bằng")</f>
      </c>
      <c r="C2430" t="str">
        <v>https://www.facebook.com/p/C%C3%B4ng-an-x%C3%A3-%C4%90%E1%BB%99c-L%E1%BA%ADp-Qu%E1%BA%A3ng-H%C3%B2a-Cao-B%E1%BA%B1ng-100068735590270/</v>
      </c>
      <c r="D2430" t="str">
        <v>-</v>
      </c>
      <c r="E2430" t="str">
        <v/>
      </c>
      <c r="F2430" t="str">
        <v>-</v>
      </c>
      <c r="G2430" t="str">
        <v>-</v>
      </c>
    </row>
    <row r="2431">
      <c r="A2431">
        <v>2430</v>
      </c>
      <c r="B2431">
        <f>HYPERLINK("https://doclap.quanghoa.caobang.gov.vn/", "UBND Ủy ban nhân dân xã Độc Lập  tỉnh Cao Bằng")</f>
      </c>
      <c r="C2431" t="str">
        <v>https://doclap.quanghoa.caobang.gov.vn/</v>
      </c>
      <c r="D2431" t="str">
        <v>-</v>
      </c>
      <c r="E2431" t="str">
        <v>-</v>
      </c>
      <c r="F2431" t="str">
        <v>-</v>
      </c>
      <c r="G2431" t="str">
        <v>-</v>
      </c>
    </row>
    <row r="2432">
      <c r="A2432">
        <v>2431</v>
      </c>
      <c r="B2432">
        <f>HYPERLINK("https://www.facebook.com/TuoitreConganCaoBang/", "Công an xã Cai Bộ  tỉnh Cao Bằng")</f>
      </c>
      <c r="C2432" t="str">
        <v>https://www.facebook.com/TuoitreConganCaoBang/</v>
      </c>
      <c r="D2432" t="str">
        <v>-</v>
      </c>
      <c r="E2432" t="str">
        <v/>
      </c>
      <c r="F2432" t="str">
        <v>-</v>
      </c>
      <c r="G2432" t="str">
        <v>-</v>
      </c>
    </row>
    <row r="2433">
      <c r="A2433">
        <v>2432</v>
      </c>
      <c r="B2433">
        <f>HYPERLINK("https://caibo.quanghoa.caobang.gov.vn/", "UBND Ủy ban nhân dân xã Cai Bộ  tỉnh Cao Bằng")</f>
      </c>
      <c r="C2433" t="str">
        <v>https://caibo.quanghoa.caobang.gov.vn/</v>
      </c>
      <c r="D2433" t="str">
        <v>-</v>
      </c>
      <c r="E2433" t="str">
        <v>-</v>
      </c>
      <c r="F2433" t="str">
        <v>-</v>
      </c>
      <c r="G2433" t="str">
        <v>-</v>
      </c>
    </row>
    <row r="2434">
      <c r="A2434">
        <v>2433</v>
      </c>
      <c r="B2434" t="str">
        <v>Công an xã Đoài Khôn  tỉnh Cao Bằng</v>
      </c>
      <c r="C2434" t="str">
        <v>-</v>
      </c>
      <c r="D2434" t="str">
        <v>-</v>
      </c>
      <c r="E2434" t="str">
        <v/>
      </c>
      <c r="F2434" t="str">
        <v>-</v>
      </c>
      <c r="G2434" t="str">
        <v>-</v>
      </c>
    </row>
    <row r="2435">
      <c r="A2435">
        <v>2434</v>
      </c>
      <c r="B2435">
        <f>HYPERLINK("https://doaiduong.trungkhanh.caobang.gov.vn/uy-ban-nhan-dan", "UBND Ủy ban nhân dân xã Đoài Khôn  tỉnh Cao Bằng")</f>
      </c>
      <c r="C2435" t="str">
        <v>https://doaiduong.trungkhanh.caobang.gov.vn/uy-ban-nhan-dan</v>
      </c>
      <c r="D2435" t="str">
        <v>-</v>
      </c>
      <c r="E2435" t="str">
        <v>-</v>
      </c>
      <c r="F2435" t="str">
        <v>-</v>
      </c>
      <c r="G2435" t="str">
        <v>-</v>
      </c>
    </row>
    <row r="2436">
      <c r="A2436">
        <v>2435</v>
      </c>
      <c r="B2436" t="str">
        <v>Công an xã Phúc Sen  tỉnh Cao Bằng</v>
      </c>
      <c r="C2436" t="str">
        <v>-</v>
      </c>
      <c r="D2436" t="str">
        <v>-</v>
      </c>
      <c r="E2436" t="str">
        <v/>
      </c>
      <c r="F2436" t="str">
        <v>-</v>
      </c>
      <c r="G2436" t="str">
        <v>-</v>
      </c>
    </row>
    <row r="2437">
      <c r="A2437">
        <v>2436</v>
      </c>
      <c r="B2437">
        <f>HYPERLINK("https://phucsen.quanghoa.caobang.gov.vn/", "UBND Ủy ban nhân dân xã Phúc Sen  tỉnh Cao Bằng")</f>
      </c>
      <c r="C2437" t="str">
        <v>https://phucsen.quanghoa.caobang.gov.vn/</v>
      </c>
      <c r="D2437" t="str">
        <v>-</v>
      </c>
      <c r="E2437" t="str">
        <v>-</v>
      </c>
      <c r="F2437" t="str">
        <v>-</v>
      </c>
      <c r="G2437" t="str">
        <v>-</v>
      </c>
    </row>
    <row r="2438">
      <c r="A2438">
        <v>2437</v>
      </c>
      <c r="B2438">
        <f>HYPERLINK("https://www.facebook.com/p/C%C3%B4ng-an-x%C3%A3-Ch%C3%AD-Th%E1%BA%A3o-huy%E1%BB%87n-Qu%E1%BA%A3ng-Ho%C3%A0-t%E1%BB%89nh-Cao-B%E1%BA%B1ng-100093707996574/", "Công an xã Chí Thảo  tỉnh Cao Bằng")</f>
      </c>
      <c r="C2438" t="str">
        <v>https://www.facebook.com/p/C%C3%B4ng-an-x%C3%A3-Ch%C3%AD-Th%E1%BA%A3o-huy%E1%BB%87n-Qu%E1%BA%A3ng-Ho%C3%A0-t%E1%BB%89nh-Cao-B%E1%BA%B1ng-100093707996574/</v>
      </c>
      <c r="D2438" t="str">
        <v>-</v>
      </c>
      <c r="E2438" t="str">
        <v/>
      </c>
      <c r="F2438" t="str">
        <v>-</v>
      </c>
      <c r="G2438" t="str">
        <v>-</v>
      </c>
    </row>
    <row r="2439">
      <c r="A2439">
        <v>2438</v>
      </c>
      <c r="B2439">
        <f>HYPERLINK("https://chithao.quanghoa.caobang.gov.vn/", "UBND Ủy ban nhân dân xã Chí Thảo  tỉnh Cao Bằng")</f>
      </c>
      <c r="C2439" t="str">
        <v>https://chithao.quanghoa.caobang.gov.vn/</v>
      </c>
      <c r="D2439" t="str">
        <v>-</v>
      </c>
      <c r="E2439" t="str">
        <v>-</v>
      </c>
      <c r="F2439" t="str">
        <v>-</v>
      </c>
      <c r="G2439" t="str">
        <v>-</v>
      </c>
    </row>
    <row r="2440">
      <c r="A2440">
        <v>2439</v>
      </c>
      <c r="B2440">
        <f>HYPERLINK("https://www.facebook.com/p/C%C3%B4ng-an-x%C3%A3-T%E1%BB%B1-Do-Huy%E1%BB%87n-Qu%E1%BA%A3ng-Ho%C3%A0-T%E1%BB%89nh-Cao-B%E1%BA%B1ng-100067970618157/", "Công an xã Tự Do  tỉnh Cao Bằng")</f>
      </c>
      <c r="C2440" t="str">
        <v>https://www.facebook.com/p/C%C3%B4ng-an-x%C3%A3-T%E1%BB%B1-Do-Huy%E1%BB%87n-Qu%E1%BA%A3ng-Ho%C3%A0-T%E1%BB%89nh-Cao-B%E1%BA%B1ng-100067970618157/</v>
      </c>
      <c r="D2440" t="str">
        <v>-</v>
      </c>
      <c r="E2440" t="str">
        <v/>
      </c>
      <c r="F2440" t="str">
        <v>-</v>
      </c>
      <c r="G2440" t="str">
        <v>-</v>
      </c>
    </row>
    <row r="2441">
      <c r="A2441">
        <v>2440</v>
      </c>
      <c r="B2441">
        <f>HYPERLINK("https://tudo.quanghoa.caobang.gov.vn/", "UBND Ủy ban nhân dân xã Tự Do  tỉnh Cao Bằng")</f>
      </c>
      <c r="C2441" t="str">
        <v>https://tudo.quanghoa.caobang.gov.vn/</v>
      </c>
      <c r="D2441" t="str">
        <v>-</v>
      </c>
      <c r="E2441" t="str">
        <v>-</v>
      </c>
      <c r="F2441" t="str">
        <v>-</v>
      </c>
      <c r="G2441" t="str">
        <v>-</v>
      </c>
    </row>
    <row r="2442">
      <c r="A2442">
        <v>2441</v>
      </c>
      <c r="B2442">
        <f>HYPERLINK("https://www.facebook.com/TuoitreConganCaoBang/", "Công an xã Hồng Định  tỉnh Cao Bằng")</f>
      </c>
      <c r="C2442" t="str">
        <v>https://www.facebook.com/TuoitreConganCaoBang/</v>
      </c>
      <c r="D2442" t="str">
        <v>-</v>
      </c>
      <c r="E2442" t="str">
        <v/>
      </c>
      <c r="F2442" t="str">
        <v>-</v>
      </c>
      <c r="G2442" t="str">
        <v>-</v>
      </c>
    </row>
    <row r="2443">
      <c r="A2443">
        <v>2442</v>
      </c>
      <c r="B2443">
        <f>HYPERLINK("https://baolac.caobang.gov.vn/", "UBND Ủy ban nhân dân xã Hồng Định  tỉnh Cao Bằng")</f>
      </c>
      <c r="C2443" t="str">
        <v>https://baolac.caobang.gov.vn/</v>
      </c>
      <c r="D2443" t="str">
        <v>-</v>
      </c>
      <c r="E2443" t="str">
        <v>-</v>
      </c>
      <c r="F2443" t="str">
        <v>-</v>
      </c>
      <c r="G2443" t="str">
        <v>-</v>
      </c>
    </row>
    <row r="2444">
      <c r="A2444">
        <v>2443</v>
      </c>
      <c r="B2444">
        <f>HYPERLINK("https://www.facebook.com/TuoitreConganCaoBang/", "Công an xã Hồng Quang  tỉnh Cao Bằng")</f>
      </c>
      <c r="C2444" t="str">
        <v>https://www.facebook.com/TuoitreConganCaoBang/</v>
      </c>
      <c r="D2444" t="str">
        <v>-</v>
      </c>
      <c r="E2444" t="str">
        <v/>
      </c>
      <c r="F2444" t="str">
        <v>-</v>
      </c>
      <c r="G2444" t="str">
        <v>-</v>
      </c>
    </row>
    <row r="2445">
      <c r="A2445">
        <v>2444</v>
      </c>
      <c r="B2445">
        <f>HYPERLINK("http://hongquang.quanghoa.caobang.gov.vn/", "UBND Ủy ban nhân dân xã Hồng Quang  tỉnh Cao Bằng")</f>
      </c>
      <c r="C2445" t="str">
        <v>http://hongquang.quanghoa.caobang.gov.vn/</v>
      </c>
      <c r="D2445" t="str">
        <v>-</v>
      </c>
      <c r="E2445" t="str">
        <v>-</v>
      </c>
      <c r="F2445" t="str">
        <v>-</v>
      </c>
      <c r="G2445" t="str">
        <v>-</v>
      </c>
    </row>
    <row r="2446">
      <c r="A2446">
        <v>2445</v>
      </c>
      <c r="B2446">
        <f>HYPERLINK("https://www.facebook.com/TuoitreConganCaoBang/", "Công an xã Ngọc Động  tỉnh Cao Bằng")</f>
      </c>
      <c r="C2446" t="str">
        <v>https://www.facebook.com/TuoitreConganCaoBang/</v>
      </c>
      <c r="D2446" t="str">
        <v>-</v>
      </c>
      <c r="E2446" t="str">
        <v/>
      </c>
      <c r="F2446" t="str">
        <v>-</v>
      </c>
      <c r="G2446" t="str">
        <v>-</v>
      </c>
    </row>
    <row r="2447">
      <c r="A2447">
        <v>2446</v>
      </c>
      <c r="B2447">
        <f>HYPERLINK("http://ngocdong.haquang.caobang.gov.vn/", "UBND Ủy ban nhân dân xã Ngọc Động  tỉnh Cao Bằng")</f>
      </c>
      <c r="C2447" t="str">
        <v>http://ngocdong.haquang.caobang.gov.vn/</v>
      </c>
      <c r="D2447" t="str">
        <v>-</v>
      </c>
      <c r="E2447" t="str">
        <v>-</v>
      </c>
      <c r="F2447" t="str">
        <v>-</v>
      </c>
      <c r="G2447" t="str">
        <v>-</v>
      </c>
    </row>
    <row r="2448">
      <c r="A2448">
        <v>2447</v>
      </c>
      <c r="B2448">
        <f>HYPERLINK("https://www.facebook.com/TuoitreConganCaoBang/", "Công an xã Hoàng Hải  tỉnh Cao Bằng")</f>
      </c>
      <c r="C2448" t="str">
        <v>https://www.facebook.com/TuoitreConganCaoBang/</v>
      </c>
      <c r="D2448" t="str">
        <v>-</v>
      </c>
      <c r="E2448" t="str">
        <v/>
      </c>
      <c r="F2448" t="str">
        <v>-</v>
      </c>
      <c r="G2448" t="str">
        <v>-</v>
      </c>
    </row>
    <row r="2449">
      <c r="A2449">
        <v>2448</v>
      </c>
      <c r="B2449">
        <f>HYPERLINK("https://caobang.gov.vn/so-ban-nganh-pa/van-phong-ubnd-tinh-941948", "UBND Ủy ban nhân dân xã Hoàng Hải  tỉnh Cao Bằng")</f>
      </c>
      <c r="C2449" t="str">
        <v>https://caobang.gov.vn/so-ban-nganh-pa/van-phong-ubnd-tinh-941948</v>
      </c>
      <c r="D2449" t="str">
        <v>-</v>
      </c>
      <c r="E2449" t="str">
        <v>-</v>
      </c>
      <c r="F2449" t="str">
        <v>-</v>
      </c>
      <c r="G2449" t="str">
        <v>-</v>
      </c>
    </row>
    <row r="2450">
      <c r="A2450">
        <v>2449</v>
      </c>
      <c r="B2450">
        <f>HYPERLINK("https://www.facebook.com/TuoitreConganCaoBang/", "Công an xã Hạnh Phúc  tỉnh Cao Bằng")</f>
      </c>
      <c r="C2450" t="str">
        <v>https://www.facebook.com/TuoitreConganCaoBang/</v>
      </c>
      <c r="D2450" t="str">
        <v>-</v>
      </c>
      <c r="E2450" t="str">
        <v/>
      </c>
      <c r="F2450" t="str">
        <v>-</v>
      </c>
      <c r="G2450" t="str">
        <v>-</v>
      </c>
    </row>
    <row r="2451">
      <c r="A2451">
        <v>2450</v>
      </c>
      <c r="B2451">
        <f>HYPERLINK("https://hanhphuc.quanghoa.caobang.gov.vn/", "UBND Ủy ban nhân dân xã Hạnh Phúc  tỉnh Cao Bằng")</f>
      </c>
      <c r="C2451" t="str">
        <v>https://hanhphuc.quanghoa.caobang.gov.vn/</v>
      </c>
      <c r="D2451" t="str">
        <v>-</v>
      </c>
      <c r="E2451" t="str">
        <v>-</v>
      </c>
      <c r="F2451" t="str">
        <v>-</v>
      </c>
      <c r="G2451" t="str">
        <v>-</v>
      </c>
    </row>
    <row r="2452">
      <c r="A2452">
        <v>2451</v>
      </c>
      <c r="B2452">
        <f>HYPERLINK("https://www.facebook.com/p/C%C3%B4ng-an-th%E1%BB%8B-tr%E1%BA%A5n-T%C3%A0-L%C3%B9ng-100067627942996/", "Công an thị trấn Tà Lùng  tỉnh Cao Bằng")</f>
      </c>
      <c r="C2452" t="str">
        <v>https://www.facebook.com/p/C%C3%B4ng-an-th%E1%BB%8B-tr%E1%BA%A5n-T%C3%A0-L%C3%B9ng-100067627942996/</v>
      </c>
      <c r="D2452" t="str">
        <v>-</v>
      </c>
      <c r="E2452" t="str">
        <v/>
      </c>
      <c r="F2452" t="str">
        <v>-</v>
      </c>
      <c r="G2452" t="str">
        <v>-</v>
      </c>
    </row>
    <row r="2453">
      <c r="A2453">
        <v>2452</v>
      </c>
      <c r="B2453">
        <f>HYPERLINK("https://talung.quanghoa.caobang.gov.vn/", "UBND Ủy ban nhân dân thị trấn Tà Lùng  tỉnh Cao Bằng")</f>
      </c>
      <c r="C2453" t="str">
        <v>https://talung.quanghoa.caobang.gov.vn/</v>
      </c>
      <c r="D2453" t="str">
        <v>-</v>
      </c>
      <c r="E2453" t="str">
        <v>-</v>
      </c>
      <c r="F2453" t="str">
        <v>-</v>
      </c>
      <c r="G2453" t="str">
        <v>-</v>
      </c>
    </row>
    <row r="2454">
      <c r="A2454">
        <v>2453</v>
      </c>
      <c r="B2454">
        <f>HYPERLINK("https://www.facebook.com/510695576958104", "Công an xã Triệu ẩu  tỉnh Cao Bằng")</f>
      </c>
      <c r="C2454" t="str">
        <v>https://www.facebook.com/510695576958104</v>
      </c>
      <c r="D2454" t="str">
        <v>-</v>
      </c>
      <c r="E2454" t="str">
        <v/>
      </c>
      <c r="F2454" t="str">
        <v>-</v>
      </c>
      <c r="G2454" t="str">
        <v>-</v>
      </c>
    </row>
    <row r="2455">
      <c r="A2455">
        <v>2454</v>
      </c>
      <c r="B2455">
        <f>HYPERLINK("http://ttythalang.soytecaobang.gov.vn/kham-chua-benh/so-y-te-trao-qua-ho-tro-xay-dung-nong-thon-moi-tai-xa-trieu-au-640216", "UBND Ủy ban nhân dân xã Triệu ẩu  tỉnh Cao Bằng")</f>
      </c>
      <c r="C2455" t="str">
        <v>http://ttythalang.soytecaobang.gov.vn/kham-chua-benh/so-y-te-trao-qua-ho-tro-xay-dung-nong-thon-moi-tai-xa-trieu-au-640216</v>
      </c>
      <c r="D2455" t="str">
        <v>-</v>
      </c>
      <c r="E2455" t="str">
        <v>-</v>
      </c>
      <c r="F2455" t="str">
        <v>-</v>
      </c>
      <c r="G2455" t="str">
        <v>-</v>
      </c>
    </row>
    <row r="2456">
      <c r="A2456">
        <v>2455</v>
      </c>
      <c r="B2456">
        <f>HYPERLINK("https://www.facebook.com/TuoitreConganCaoBang/", "Công an xã Hồng Đại  tỉnh Cao Bằng")</f>
      </c>
      <c r="C2456" t="str">
        <v>https://www.facebook.com/TuoitreConganCaoBang/</v>
      </c>
      <c r="D2456" t="str">
        <v>-</v>
      </c>
      <c r="E2456" t="str">
        <v/>
      </c>
      <c r="F2456" t="str">
        <v>-</v>
      </c>
      <c r="G2456" t="str">
        <v>-</v>
      </c>
    </row>
    <row r="2457">
      <c r="A2457">
        <v>2456</v>
      </c>
      <c r="B2457">
        <f>HYPERLINK("https://baolac.caobang.gov.vn/", "UBND Ủy ban nhân dân xã Hồng Đại  tỉnh Cao Bằng")</f>
      </c>
      <c r="C2457" t="str">
        <v>https://baolac.caobang.gov.vn/</v>
      </c>
      <c r="D2457" t="str">
        <v>-</v>
      </c>
      <c r="E2457" t="str">
        <v>-</v>
      </c>
      <c r="F2457" t="str">
        <v>-</v>
      </c>
      <c r="G2457" t="str">
        <v>-</v>
      </c>
    </row>
    <row r="2458">
      <c r="A2458">
        <v>2457</v>
      </c>
      <c r="B2458">
        <f>HYPERLINK("https://www.facebook.com/p/C%C3%B4ng-an-x%C3%A3-C%C3%A1ch-Linh-Qu%E1%BA%A3ng-Ho%C3%A0-Cao-B%E1%BA%B1ng-100070154328754/", "Công an xã Cách Linh  tỉnh Cao Bằng")</f>
      </c>
      <c r="C2458" t="str">
        <v>https://www.facebook.com/p/C%C3%B4ng-an-x%C3%A3-C%C3%A1ch-Linh-Qu%E1%BA%A3ng-Ho%C3%A0-Cao-B%E1%BA%B1ng-100070154328754/</v>
      </c>
      <c r="D2458" t="str">
        <v>-</v>
      </c>
      <c r="E2458" t="str">
        <v/>
      </c>
      <c r="F2458" t="str">
        <v>-</v>
      </c>
      <c r="G2458" t="str">
        <v>-</v>
      </c>
    </row>
    <row r="2459">
      <c r="A2459">
        <v>2458</v>
      </c>
      <c r="B2459">
        <f>HYPERLINK("http://cachlinh.quanghoa.caobang.gov.vn/", "UBND Ủy ban nhân dân xã Cách Linh  tỉnh Cao Bằng")</f>
      </c>
      <c r="C2459" t="str">
        <v>http://cachlinh.quanghoa.caobang.gov.vn/</v>
      </c>
      <c r="D2459" t="str">
        <v>-</v>
      </c>
      <c r="E2459" t="str">
        <v>-</v>
      </c>
      <c r="F2459" t="str">
        <v>-</v>
      </c>
      <c r="G2459" t="str">
        <v>-</v>
      </c>
    </row>
    <row r="2460">
      <c r="A2460">
        <v>2459</v>
      </c>
      <c r="B2460">
        <f>HYPERLINK("https://www.facebook.com/Conganxadaison/", "Công an xã Đại Sơn  tỉnh Cao Bằng")</f>
      </c>
      <c r="C2460" t="str">
        <v>https://www.facebook.com/Conganxadaison/</v>
      </c>
      <c r="D2460" t="str">
        <v>-</v>
      </c>
      <c r="E2460" t="str">
        <v/>
      </c>
      <c r="F2460" t="str">
        <v>-</v>
      </c>
      <c r="G2460" t="str">
        <v>-</v>
      </c>
    </row>
    <row r="2461">
      <c r="A2461">
        <v>2460</v>
      </c>
      <c r="B2461">
        <f>HYPERLINK("https://daison.quanghoa.caobang.gov.vn/", "UBND Ủy ban nhân dân xã Đại Sơn  tỉnh Cao Bằng")</f>
      </c>
      <c r="C2461" t="str">
        <v>https://daison.quanghoa.caobang.gov.vn/</v>
      </c>
      <c r="D2461" t="str">
        <v>-</v>
      </c>
      <c r="E2461" t="str">
        <v>-</v>
      </c>
      <c r="F2461" t="str">
        <v>-</v>
      </c>
      <c r="G2461" t="str">
        <v>-</v>
      </c>
    </row>
    <row r="2462">
      <c r="A2462">
        <v>2461</v>
      </c>
      <c r="B2462">
        <f>HYPERLINK("https://www.facebook.com/TuoitreConganCaoBang/", "Công an xã Lương Thiện  tỉnh Cao Bằng")</f>
      </c>
      <c r="C2462" t="str">
        <v>https://www.facebook.com/TuoitreConganCaoBang/</v>
      </c>
      <c r="D2462" t="str">
        <v>-</v>
      </c>
      <c r="E2462" t="str">
        <v/>
      </c>
      <c r="F2462" t="str">
        <v>-</v>
      </c>
      <c r="G2462" t="str">
        <v>-</v>
      </c>
    </row>
    <row r="2463">
      <c r="A2463">
        <v>2462</v>
      </c>
      <c r="B2463">
        <f>HYPERLINK("https://sotnmt.caobang.gov.vn/ho-so-cap-gcnqsdd-cac-to-chuc-tren-dia-ban-tinh-cao-bang-nam-2016/ho-so-cap-gcnqsdd-cac-to-chuc-tren-dia-ban-tinh-cao-bang-nam-2016-780918", "UBND Ủy ban nhân dân xã Lương Thiện  tỉnh Cao Bằng")</f>
      </c>
      <c r="C2463" t="str">
        <v>https://sotnmt.caobang.gov.vn/ho-so-cap-gcnqsdd-cac-to-chuc-tren-dia-ban-tinh-cao-bang-nam-2016/ho-so-cap-gcnqsdd-cac-to-chuc-tren-dia-ban-tinh-cao-bang-nam-2016-780918</v>
      </c>
      <c r="D2463" t="str">
        <v>-</v>
      </c>
      <c r="E2463" t="str">
        <v>-</v>
      </c>
      <c r="F2463" t="str">
        <v>-</v>
      </c>
      <c r="G2463" t="str">
        <v>-</v>
      </c>
    </row>
    <row r="2464">
      <c r="A2464">
        <v>2463</v>
      </c>
      <c r="B2464">
        <f>HYPERLINK("https://www.facebook.com/TuoitreConganCaoBang/", "Công an xã Tiên Thành  tỉnh Cao Bằng")</f>
      </c>
      <c r="C2464" t="str">
        <v>https://www.facebook.com/TuoitreConganCaoBang/</v>
      </c>
      <c r="D2464" t="str">
        <v>-</v>
      </c>
      <c r="E2464" t="str">
        <v/>
      </c>
      <c r="F2464" t="str">
        <v>-</v>
      </c>
      <c r="G2464" t="str">
        <v>-</v>
      </c>
    </row>
    <row r="2465">
      <c r="A2465">
        <v>2464</v>
      </c>
      <c r="B2465">
        <f>HYPERLINK("https://tienthanh.quanghoa.caobang.gov.vn/", "UBND Ủy ban nhân dân xã Tiên Thành  tỉnh Cao Bằng")</f>
      </c>
      <c r="C2465" t="str">
        <v>https://tienthanh.quanghoa.caobang.gov.vn/</v>
      </c>
      <c r="D2465" t="str">
        <v>-</v>
      </c>
      <c r="E2465" t="str">
        <v>-</v>
      </c>
      <c r="F2465" t="str">
        <v>-</v>
      </c>
      <c r="G2465" t="str">
        <v>-</v>
      </c>
    </row>
    <row r="2466">
      <c r="A2466">
        <v>2465</v>
      </c>
      <c r="B2466" t="str">
        <v>Công an thị trấn Hoà Thuận  tỉnh Cao Bằng</v>
      </c>
      <c r="C2466" t="str">
        <v>-</v>
      </c>
      <c r="D2466" t="str">
        <v>-</v>
      </c>
      <c r="E2466" t="str">
        <v/>
      </c>
      <c r="F2466" t="str">
        <v>-</v>
      </c>
      <c r="G2466" t="str">
        <v>-</v>
      </c>
    </row>
    <row r="2467">
      <c r="A2467">
        <v>2466</v>
      </c>
      <c r="B2467">
        <f>HYPERLINK("http://tthoathuan.quanghoa.caobang.gov.vn/Default.aspx?sname=tthoathuan&amp;sid=1521&amp;pageid=45609", "UBND Ủy ban nhân dân thị trấn Hoà Thuận  tỉnh Cao Bằng")</f>
      </c>
      <c r="C2467" t="str">
        <v>http://tthoathuan.quanghoa.caobang.gov.vn/Default.aspx?sname=tthoathuan&amp;sid=1521&amp;pageid=45609</v>
      </c>
      <c r="D2467" t="str">
        <v>-</v>
      </c>
      <c r="E2467" t="str">
        <v>-</v>
      </c>
      <c r="F2467" t="str">
        <v>-</v>
      </c>
      <c r="G2467" t="str">
        <v>-</v>
      </c>
    </row>
    <row r="2468">
      <c r="A2468">
        <v>2467</v>
      </c>
      <c r="B2468">
        <f>HYPERLINK("https://www.facebook.com/p/C%C3%B4ng-an-x%C3%A3-M%E1%BB%B9-H%C6%B0ng-huy%E1%BB%87n-Th%E1%BA%A1nh-Ph%C3%BA-t%E1%BB%89nh-B%E1%BA%BFn-Tre-100068865918155/", "Công an xã Mỹ Hưng  tỉnh Cao Bằng")</f>
      </c>
      <c r="C2468" t="str">
        <v>https://www.facebook.com/p/C%C3%B4ng-an-x%C3%A3-M%E1%BB%B9-H%C6%B0ng-huy%E1%BB%87n-Th%E1%BA%A1nh-Ph%C3%BA-t%E1%BB%89nh-B%E1%BA%BFn-Tre-100068865918155/</v>
      </c>
      <c r="D2468" t="str">
        <v>-</v>
      </c>
      <c r="E2468" t="str">
        <v/>
      </c>
      <c r="F2468" t="str">
        <v>-</v>
      </c>
      <c r="G2468" t="str">
        <v>-</v>
      </c>
    </row>
    <row r="2469">
      <c r="A2469">
        <v>2468</v>
      </c>
      <c r="B2469">
        <f>HYPERLINK("http://myhung.quanghoa.caobang.gov.vn/", "UBND Ủy ban nhân dân xã Mỹ Hưng  tỉnh Cao Bằng")</f>
      </c>
      <c r="C2469" t="str">
        <v>http://myhung.quanghoa.caobang.gov.vn/</v>
      </c>
      <c r="D2469" t="str">
        <v>-</v>
      </c>
      <c r="E2469" t="str">
        <v>-</v>
      </c>
      <c r="F2469" t="str">
        <v>-</v>
      </c>
      <c r="G2469" t="str">
        <v>-</v>
      </c>
    </row>
    <row r="2470">
      <c r="A2470">
        <v>2469</v>
      </c>
      <c r="B2470">
        <f>HYPERLINK("https://www.facebook.com/p/C%C3%B4ng-an-th%E1%BB%8B-tr%E1%BA%A5n-N%C6%B0%E1%BB%9Bc-Hai-100070540420107/", "Công an thị trấn Nước Hai  tỉnh Cao Bằng")</f>
      </c>
      <c r="C2470" t="str">
        <v>https://www.facebook.com/p/C%C3%B4ng-an-th%E1%BB%8B-tr%E1%BA%A5n-N%C6%B0%E1%BB%9Bc-Hai-100070540420107/</v>
      </c>
      <c r="D2470" t="str">
        <v>-</v>
      </c>
      <c r="E2470" t="str">
        <v/>
      </c>
      <c r="F2470" t="str">
        <v>-</v>
      </c>
      <c r="G2470" t="str">
        <v>-</v>
      </c>
    </row>
    <row r="2471">
      <c r="A2471">
        <v>2470</v>
      </c>
      <c r="B2471">
        <f>HYPERLINK("http://nuochai.hoaan.caobang.gov.vn/", "UBND Ủy ban nhân dân thị trấn Nước Hai  tỉnh Cao Bằng")</f>
      </c>
      <c r="C2471" t="str">
        <v>http://nuochai.hoaan.caobang.gov.vn/</v>
      </c>
      <c r="D2471" t="str">
        <v>-</v>
      </c>
      <c r="E2471" t="str">
        <v>-</v>
      </c>
      <c r="F2471" t="str">
        <v>-</v>
      </c>
      <c r="G2471" t="str">
        <v>-</v>
      </c>
    </row>
    <row r="2472">
      <c r="A2472">
        <v>2471</v>
      </c>
      <c r="B2472">
        <f>HYPERLINK("https://www.facebook.com/TuoitreConganCaoBang/", "Công an xã Dân Chủ  tỉnh Cao Bằng")</f>
      </c>
      <c r="C2472" t="str">
        <v>https://www.facebook.com/TuoitreConganCaoBang/</v>
      </c>
      <c r="D2472" t="str">
        <v>-</v>
      </c>
      <c r="E2472" t="str">
        <v/>
      </c>
      <c r="F2472" t="str">
        <v>-</v>
      </c>
      <c r="G2472" t="str">
        <v>-</v>
      </c>
    </row>
    <row r="2473">
      <c r="A2473">
        <v>2472</v>
      </c>
      <c r="B2473">
        <f>HYPERLINK("https://danchu.hoaan.caobang.gov.vn/uy-ban-nhan-dan", "UBND Ủy ban nhân dân xã Dân Chủ  tỉnh Cao Bằng")</f>
      </c>
      <c r="C2473" t="str">
        <v>https://danchu.hoaan.caobang.gov.vn/uy-ban-nhan-dan</v>
      </c>
      <c r="D2473" t="str">
        <v>-</v>
      </c>
      <c r="E2473" t="str">
        <v>-</v>
      </c>
      <c r="F2473" t="str">
        <v>-</v>
      </c>
      <c r="G2473" t="str">
        <v>-</v>
      </c>
    </row>
    <row r="2474">
      <c r="A2474">
        <v>2473</v>
      </c>
      <c r="B2474">
        <f>HYPERLINK("https://www.facebook.com/TuoitreConganCaoBang/", "Công an xã Nam Tuấn  tỉnh Cao Bằng")</f>
      </c>
      <c r="C2474" t="str">
        <v>https://www.facebook.com/TuoitreConganCaoBang/</v>
      </c>
      <c r="D2474" t="str">
        <v>-</v>
      </c>
      <c r="E2474" t="str">
        <v/>
      </c>
      <c r="F2474" t="str">
        <v>-</v>
      </c>
      <c r="G2474" t="str">
        <v>-</v>
      </c>
    </row>
    <row r="2475">
      <c r="A2475">
        <v>2474</v>
      </c>
      <c r="B2475">
        <f>HYPERLINK("https://namtuan.hoaan.caobang.gov.vn/", "UBND Ủy ban nhân dân xã Nam Tuấn  tỉnh Cao Bằng")</f>
      </c>
      <c r="C2475" t="str">
        <v>https://namtuan.hoaan.caobang.gov.vn/</v>
      </c>
      <c r="D2475" t="str">
        <v>-</v>
      </c>
      <c r="E2475" t="str">
        <v>-</v>
      </c>
      <c r="F2475" t="str">
        <v>-</v>
      </c>
      <c r="G2475" t="str">
        <v>-</v>
      </c>
    </row>
    <row r="2476">
      <c r="A2476">
        <v>2475</v>
      </c>
      <c r="B2476">
        <f>HYPERLINK("https://www.facebook.com/p/C%C3%B4ng-an-x%C3%A3-%C4%90%E1%BB%A9c-Xu%C3%A2n-Th%E1%BA%A1ch-An-Cao-B%E1%BA%B1ng-100066798127521/", "Công an xã Đức Xuân  tỉnh Cao Bằng")</f>
      </c>
      <c r="C2476" t="str">
        <v>https://www.facebook.com/p/C%C3%B4ng-an-x%C3%A3-%C4%90%E1%BB%A9c-Xu%C3%A2n-Th%E1%BA%A1ch-An-Cao-B%E1%BA%B1ng-100066798127521/</v>
      </c>
      <c r="D2476" t="str">
        <v>-</v>
      </c>
      <c r="E2476" t="str">
        <v/>
      </c>
      <c r="F2476" t="str">
        <v>-</v>
      </c>
      <c r="G2476" t="str">
        <v>-</v>
      </c>
    </row>
    <row r="2477">
      <c r="A2477">
        <v>2476</v>
      </c>
      <c r="B2477">
        <f>HYPERLINK("http://ducxuan.thachan.caobang.gov.vn/", "UBND Ủy ban nhân dân xã Đức Xuân  tỉnh Cao Bằng")</f>
      </c>
      <c r="C2477" t="str">
        <v>http://ducxuan.thachan.caobang.gov.vn/</v>
      </c>
      <c r="D2477" t="str">
        <v>-</v>
      </c>
      <c r="E2477" t="str">
        <v>-</v>
      </c>
      <c r="F2477" t="str">
        <v>-</v>
      </c>
      <c r="G2477" t="str">
        <v>-</v>
      </c>
    </row>
    <row r="2478">
      <c r="A2478">
        <v>2477</v>
      </c>
      <c r="B2478">
        <f>HYPERLINK("https://www.facebook.com/TuoitreConganCaoBang/", "Công an xã Đại Tiến  tỉnh Cao Bằng")</f>
      </c>
      <c r="C2478" t="str">
        <v>https://www.facebook.com/TuoitreConganCaoBang/</v>
      </c>
      <c r="D2478" t="str">
        <v>-</v>
      </c>
      <c r="E2478" t="str">
        <v/>
      </c>
      <c r="F2478" t="str">
        <v>-</v>
      </c>
      <c r="G2478" t="str">
        <v>-</v>
      </c>
    </row>
    <row r="2479">
      <c r="A2479">
        <v>2478</v>
      </c>
      <c r="B2479">
        <f>HYPERLINK("https://hoaan.caobang.gov.vn/dai-tien", "UBND Ủy ban nhân dân xã Đại Tiến  tỉnh Cao Bằng")</f>
      </c>
      <c r="C2479" t="str">
        <v>https://hoaan.caobang.gov.vn/dai-tien</v>
      </c>
      <c r="D2479" t="str">
        <v>-</v>
      </c>
      <c r="E2479" t="str">
        <v>-</v>
      </c>
      <c r="F2479" t="str">
        <v>-</v>
      </c>
      <c r="G2479" t="str">
        <v>-</v>
      </c>
    </row>
    <row r="2480">
      <c r="A2480">
        <v>2479</v>
      </c>
      <c r="B2480" t="str">
        <v>Công an xã Đức Long  tỉnh Cao Bằng</v>
      </c>
      <c r="C2480" t="str">
        <v>-</v>
      </c>
      <c r="D2480" t="str">
        <v>-</v>
      </c>
      <c r="E2480" t="str">
        <v/>
      </c>
      <c r="F2480" t="str">
        <v>-</v>
      </c>
      <c r="G2480" t="str">
        <v>-</v>
      </c>
    </row>
    <row r="2481">
      <c r="A2481">
        <v>2480</v>
      </c>
      <c r="B2481">
        <f>HYPERLINK("https://duclong.thachan.caobang.gov.vn/", "UBND Ủy ban nhân dân xã Đức Long  tỉnh Cao Bằng")</f>
      </c>
      <c r="C2481" t="str">
        <v>https://duclong.thachan.caobang.gov.vn/</v>
      </c>
      <c r="D2481" t="str">
        <v>-</v>
      </c>
      <c r="E2481" t="str">
        <v>-</v>
      </c>
      <c r="F2481" t="str">
        <v>-</v>
      </c>
      <c r="G2481" t="str">
        <v>-</v>
      </c>
    </row>
    <row r="2482">
      <c r="A2482">
        <v>2481</v>
      </c>
      <c r="B2482">
        <f>HYPERLINK("https://www.facebook.com/p/C%C3%B4ng-an-x%C3%A3-Ng%C5%A9-L%C3%A3o-Ho%C3%A0-An-Cao-B%E1%BA%B1ng-100066745700042/", "Công an xã Ngũ Lão  tỉnh Cao Bằng")</f>
      </c>
      <c r="C2482" t="str">
        <v>https://www.facebook.com/p/C%C3%B4ng-an-x%C3%A3-Ng%C5%A9-L%C3%A3o-Ho%C3%A0-An-Cao-B%E1%BA%B1ng-100066745700042/</v>
      </c>
      <c r="D2482" t="str">
        <v>-</v>
      </c>
      <c r="E2482" t="str">
        <v/>
      </c>
      <c r="F2482" t="str">
        <v>-</v>
      </c>
      <c r="G2482" t="str">
        <v>-</v>
      </c>
    </row>
    <row r="2483">
      <c r="A2483">
        <v>2482</v>
      </c>
      <c r="B2483">
        <f>HYPERLINK("https://ngulao.hoaan.caobang.gov.vn/", "UBND Ủy ban nhân dân xã Ngũ Lão  tỉnh Cao Bằng")</f>
      </c>
      <c r="C2483" t="str">
        <v>https://ngulao.hoaan.caobang.gov.vn/</v>
      </c>
      <c r="D2483" t="str">
        <v>-</v>
      </c>
      <c r="E2483" t="str">
        <v>-</v>
      </c>
      <c r="F2483" t="str">
        <v>-</v>
      </c>
      <c r="G2483" t="str">
        <v>-</v>
      </c>
    </row>
    <row r="2484">
      <c r="A2484">
        <v>2483</v>
      </c>
      <c r="B2484">
        <f>HYPERLINK("https://www.facebook.com/TuoitreConganCaoBang/", "Công an xã Trương Lương  tỉnh Cao Bằng")</f>
      </c>
      <c r="C2484" t="str">
        <v>https://www.facebook.com/TuoitreConganCaoBang/</v>
      </c>
      <c r="D2484" t="str">
        <v>-</v>
      </c>
      <c r="E2484" t="str">
        <v/>
      </c>
      <c r="F2484" t="str">
        <v>-</v>
      </c>
      <c r="G2484" t="str">
        <v>-</v>
      </c>
    </row>
    <row r="2485">
      <c r="A2485">
        <v>2484</v>
      </c>
      <c r="B2485">
        <f>HYPERLINK("https://hoaan.caobang.gov.vn/truong-luong", "UBND Ủy ban nhân dân xã Trương Lương  tỉnh Cao Bằng")</f>
      </c>
      <c r="C2485" t="str">
        <v>https://hoaan.caobang.gov.vn/truong-luong</v>
      </c>
      <c r="D2485" t="str">
        <v>-</v>
      </c>
      <c r="E2485" t="str">
        <v>-</v>
      </c>
      <c r="F2485" t="str">
        <v>-</v>
      </c>
      <c r="G2485" t="str">
        <v>-</v>
      </c>
    </row>
    <row r="2486">
      <c r="A2486">
        <v>2485</v>
      </c>
      <c r="B2486">
        <f>HYPERLINK("https://www.facebook.com/CATXBinhLong/", "Công an xã Bình Long  tỉnh Cao Bằng")</f>
      </c>
      <c r="C2486" t="str">
        <v>https://www.facebook.com/CATXBinhLong/</v>
      </c>
      <c r="D2486" t="str">
        <v>-</v>
      </c>
      <c r="E2486" t="str">
        <v/>
      </c>
      <c r="F2486" t="str">
        <v>-</v>
      </c>
      <c r="G2486" t="str">
        <v>-</v>
      </c>
    </row>
    <row r="2487">
      <c r="A2487">
        <v>2486</v>
      </c>
      <c r="B2487">
        <f>HYPERLINK("https://hoaan.caobang.gov.vn/van-ban", "UBND Ủy ban nhân dân xã Bình Long  tỉnh Cao Bằng")</f>
      </c>
      <c r="C2487" t="str">
        <v>https://hoaan.caobang.gov.vn/van-ban</v>
      </c>
      <c r="D2487" t="str">
        <v>-</v>
      </c>
      <c r="E2487" t="str">
        <v>-</v>
      </c>
      <c r="F2487" t="str">
        <v>-</v>
      </c>
      <c r="G2487" t="str">
        <v>-</v>
      </c>
    </row>
    <row r="2488">
      <c r="A2488">
        <v>2487</v>
      </c>
      <c r="B2488" t="str">
        <v>Công an xã Nguyễn Huệ  tỉnh Cao Bằng</v>
      </c>
      <c r="C2488" t="str">
        <v>-</v>
      </c>
      <c r="D2488" t="str">
        <v>-</v>
      </c>
      <c r="E2488" t="str">
        <v/>
      </c>
      <c r="F2488" t="str">
        <v>-</v>
      </c>
      <c r="G2488" t="str">
        <v>-</v>
      </c>
    </row>
    <row r="2489">
      <c r="A2489">
        <v>2488</v>
      </c>
      <c r="B2489">
        <f>HYPERLINK("http://nguyenhue.hoaan.caobang.gov.vn/", "UBND Ủy ban nhân dân xã Nguyễn Huệ  tỉnh Cao Bằng")</f>
      </c>
      <c r="C2489" t="str">
        <v>http://nguyenhue.hoaan.caobang.gov.vn/</v>
      </c>
      <c r="D2489" t="str">
        <v>-</v>
      </c>
      <c r="E2489" t="str">
        <v>-</v>
      </c>
      <c r="F2489" t="str">
        <v>-</v>
      </c>
      <c r="G2489" t="str">
        <v>-</v>
      </c>
    </row>
    <row r="2490">
      <c r="A2490">
        <v>2489</v>
      </c>
      <c r="B2490">
        <f>HYPERLINK("https://www.facebook.com/TuoitreConganCaoBang/", "Công an xã Công Trừng  tỉnh Cao Bằng")</f>
      </c>
      <c r="C2490" t="str">
        <v>https://www.facebook.com/TuoitreConganCaoBang/</v>
      </c>
      <c r="D2490" t="str">
        <v>-</v>
      </c>
      <c r="E2490" t="str">
        <v/>
      </c>
      <c r="F2490" t="str">
        <v>-</v>
      </c>
      <c r="G2490" t="str">
        <v>-</v>
      </c>
    </row>
    <row r="2491">
      <c r="A2491">
        <v>2490</v>
      </c>
      <c r="B2491">
        <f>HYPERLINK("https://trungkhanh.caobang.gov.vn/", "UBND Ủy ban nhân dân xã Công Trừng  tỉnh Cao Bằng")</f>
      </c>
      <c r="C2491" t="str">
        <v>https://trungkhanh.caobang.gov.vn/</v>
      </c>
      <c r="D2491" t="str">
        <v>-</v>
      </c>
      <c r="E2491" t="str">
        <v>-</v>
      </c>
      <c r="F2491" t="str">
        <v>-</v>
      </c>
      <c r="G2491" t="str">
        <v>-</v>
      </c>
    </row>
    <row r="2492">
      <c r="A2492">
        <v>2491</v>
      </c>
      <c r="B2492">
        <f>HYPERLINK("https://www.facebook.com/TuoitreConganCaoBang/", "Công an xã Hồng Việt  tỉnh Cao Bằng")</f>
      </c>
      <c r="C2492" t="str">
        <v>https://www.facebook.com/TuoitreConganCaoBang/</v>
      </c>
      <c r="D2492" t="str">
        <v>-</v>
      </c>
      <c r="E2492" t="str">
        <v/>
      </c>
      <c r="F2492" t="str">
        <v>-</v>
      </c>
      <c r="G2492" t="str">
        <v>-</v>
      </c>
    </row>
    <row r="2493">
      <c r="A2493">
        <v>2492</v>
      </c>
      <c r="B2493">
        <f>HYPERLINK("http://hongviet.hoaan.caobang.gov.vn/", "UBND Ủy ban nhân dân xã Hồng Việt  tỉnh Cao Bằng")</f>
      </c>
      <c r="C2493" t="str">
        <v>http://hongviet.hoaan.caobang.gov.vn/</v>
      </c>
      <c r="D2493" t="str">
        <v>-</v>
      </c>
      <c r="E2493" t="str">
        <v>-</v>
      </c>
      <c r="F2493" t="str">
        <v>-</v>
      </c>
      <c r="G2493" t="str">
        <v>-</v>
      </c>
    </row>
    <row r="2494">
      <c r="A2494">
        <v>2493</v>
      </c>
      <c r="B2494" t="str">
        <v>Công an xã Bế Triều  tỉnh Cao Bằng</v>
      </c>
      <c r="C2494" t="str">
        <v>-</v>
      </c>
      <c r="D2494" t="str">
        <v>-</v>
      </c>
      <c r="E2494" t="str">
        <v/>
      </c>
      <c r="F2494" t="str">
        <v>-</v>
      </c>
      <c r="G2494" t="str">
        <v>-</v>
      </c>
    </row>
    <row r="2495">
      <c r="A2495">
        <v>2494</v>
      </c>
      <c r="B2495">
        <f>HYPERLINK("https://caobang.gov.vn/cac-uy-vien-ubnd-tinh-cao-bang", "UBND Ủy ban nhân dân xã Bế Triều  tỉnh Cao Bằng")</f>
      </c>
      <c r="C2495" t="str">
        <v>https://caobang.gov.vn/cac-uy-vien-ubnd-tinh-cao-bang</v>
      </c>
      <c r="D2495" t="str">
        <v>-</v>
      </c>
      <c r="E2495" t="str">
        <v>-</v>
      </c>
      <c r="F2495" t="str">
        <v>-</v>
      </c>
      <c r="G2495" t="str">
        <v>-</v>
      </c>
    </row>
    <row r="2496">
      <c r="A2496">
        <v>2495</v>
      </c>
      <c r="B2496">
        <f>HYPERLINK("https://www.facebook.com/p/C%C3%B4ng-an-x%C3%A3-Ho%C3%A0ng-Tung-Ho%C3%A0-An-Cao-B%E1%BA%B1ng-100065415702514/", "Công an xã Hoàng Tung  tỉnh Cao Bằng")</f>
      </c>
      <c r="C2496" t="str">
        <v>https://www.facebook.com/p/C%C3%B4ng-an-x%C3%A3-Ho%C3%A0ng-Tung-Ho%C3%A0-An-Cao-B%E1%BA%B1ng-100065415702514/</v>
      </c>
      <c r="D2496" t="str">
        <v>-</v>
      </c>
      <c r="E2496" t="str">
        <v/>
      </c>
      <c r="F2496" t="str">
        <v>-</v>
      </c>
      <c r="G2496" t="str">
        <v>-</v>
      </c>
    </row>
    <row r="2497">
      <c r="A2497">
        <v>2496</v>
      </c>
      <c r="B2497">
        <f>HYPERLINK("https://hoaan.caobang.gov.vn/hoang-tung", "UBND Ủy ban nhân dân xã Hoàng Tung  tỉnh Cao Bằng")</f>
      </c>
      <c r="C2497" t="str">
        <v>https://hoaan.caobang.gov.vn/hoang-tung</v>
      </c>
      <c r="D2497" t="str">
        <v>-</v>
      </c>
      <c r="E2497" t="str">
        <v>-</v>
      </c>
      <c r="F2497" t="str">
        <v>-</v>
      </c>
      <c r="G2497" t="str">
        <v>-</v>
      </c>
    </row>
    <row r="2498">
      <c r="A2498">
        <v>2497</v>
      </c>
      <c r="B2498">
        <f>HYPERLINK("https://www.facebook.com/TuoitreConganCaoBang/", "Công an xã Trương Vương  tỉnh Cao Bằng")</f>
      </c>
      <c r="C2498" t="str">
        <v>https://www.facebook.com/TuoitreConganCaoBang/</v>
      </c>
      <c r="D2498" t="str">
        <v>-</v>
      </c>
      <c r="E2498" t="str">
        <v/>
      </c>
      <c r="F2498" t="str">
        <v>-</v>
      </c>
      <c r="G2498" t="str">
        <v>-</v>
      </c>
    </row>
    <row r="2499">
      <c r="A2499">
        <v>2498</v>
      </c>
      <c r="B2499">
        <f>HYPERLINK("https://trungvuong.viettri.phutho.gov.vn/", "UBND Ủy ban nhân dân xã Trương Vương  tỉnh Cao Bằng")</f>
      </c>
      <c r="C2499" t="str">
        <v>https://trungvuong.viettri.phutho.gov.vn/</v>
      </c>
      <c r="D2499" t="str">
        <v>-</v>
      </c>
      <c r="E2499" t="str">
        <v>-</v>
      </c>
      <c r="F2499" t="str">
        <v>-</v>
      </c>
      <c r="G2499" t="str">
        <v>-</v>
      </c>
    </row>
    <row r="2500">
      <c r="A2500">
        <v>2499</v>
      </c>
      <c r="B2500">
        <f>HYPERLINK("https://www.facebook.com/conganxaquangtrunghuyenthongnhat/", "Công an xã Quang Trung  tỉnh Cao Bằng")</f>
      </c>
      <c r="C2500" t="str">
        <v>https://www.facebook.com/conganxaquangtrunghuyenthongnhat/</v>
      </c>
      <c r="D2500" t="str">
        <v>-</v>
      </c>
      <c r="E2500" t="str">
        <v/>
      </c>
      <c r="F2500" t="str">
        <v>-</v>
      </c>
      <c r="G2500" t="str">
        <v>-</v>
      </c>
    </row>
    <row r="2501">
      <c r="A2501">
        <v>2500</v>
      </c>
      <c r="B2501">
        <f>HYPERLINK("http://quangtrung.trungkhanh.caobang.gov.vn/", "UBND Ủy ban nhân dân xã Quang Trung  tỉnh Cao Bằng")</f>
      </c>
      <c r="C2501" t="str">
        <v>http://quangtrung.trungkhanh.caobang.gov.vn/</v>
      </c>
      <c r="D2501" t="str">
        <v>-</v>
      </c>
      <c r="E2501" t="str">
        <v>-</v>
      </c>
      <c r="F2501" t="str">
        <v>-</v>
      </c>
      <c r="G2501" t="str">
        <v>-</v>
      </c>
    </row>
    <row r="2502">
      <c r="A2502">
        <v>2501</v>
      </c>
      <c r="B2502">
        <f>HYPERLINK("https://www.facebook.com/p/C%C3%B4ng-an-x%C3%A3-B%E1%BA%A1ch-%C4%90%E1%BA%B1ng-Ho%C3%A0-An-Cao-B%E1%BA%B1ng-100066895833964/", "Công an xã Bạch Đằng  tỉnh Cao Bằng")</f>
      </c>
      <c r="C2502" t="str">
        <v>https://www.facebook.com/p/C%C3%B4ng-an-x%C3%A3-B%E1%BA%A1ch-%C4%90%E1%BA%B1ng-Ho%C3%A0-An-Cao-B%E1%BA%B1ng-100066895833964/</v>
      </c>
      <c r="D2502" t="str">
        <v>-</v>
      </c>
      <c r="E2502" t="str">
        <v/>
      </c>
      <c r="F2502" t="str">
        <v>-</v>
      </c>
      <c r="G2502" t="str">
        <v>-</v>
      </c>
    </row>
    <row r="2503">
      <c r="A2503">
        <v>2502</v>
      </c>
      <c r="B2503">
        <f>HYPERLINK("http://bachdang.hoaan.caobang.gov.vn/", "UBND Ủy ban nhân dân xã Bạch Đằng  tỉnh Cao Bằng")</f>
      </c>
      <c r="C2503" t="str">
        <v>http://bachdang.hoaan.caobang.gov.vn/</v>
      </c>
      <c r="D2503" t="str">
        <v>-</v>
      </c>
      <c r="E2503" t="str">
        <v>-</v>
      </c>
      <c r="F2503" t="str">
        <v>-</v>
      </c>
      <c r="G2503" t="str">
        <v>-</v>
      </c>
    </row>
    <row r="2504">
      <c r="A2504">
        <v>2503</v>
      </c>
      <c r="B2504">
        <f>HYPERLINK("https://www.facebook.com/TuoitreConganCaoBang/", "Công an xã Bình Dương  tỉnh Cao Bằng")</f>
      </c>
      <c r="C2504" t="str">
        <v>https://www.facebook.com/TuoitreConganCaoBang/</v>
      </c>
      <c r="D2504" t="str">
        <v>-</v>
      </c>
      <c r="E2504" t="str">
        <v/>
      </c>
      <c r="F2504" t="str">
        <v>-</v>
      </c>
      <c r="G2504" t="str">
        <v>-</v>
      </c>
    </row>
    <row r="2505">
      <c r="A2505">
        <v>2504</v>
      </c>
      <c r="B2505">
        <f>HYPERLINK("https://binhduong.hoaan.caobang.gov.vn/", "UBND Ủy ban nhân dân xã Bình Dương  tỉnh Cao Bằng")</f>
      </c>
      <c r="C2505" t="str">
        <v>https://binhduong.hoaan.caobang.gov.vn/</v>
      </c>
      <c r="D2505" t="str">
        <v>-</v>
      </c>
      <c r="E2505" t="str">
        <v>-</v>
      </c>
      <c r="F2505" t="str">
        <v>-</v>
      </c>
      <c r="G2505" t="str">
        <v>-</v>
      </c>
    </row>
    <row r="2506">
      <c r="A2506">
        <v>2505</v>
      </c>
      <c r="B2506">
        <f>HYPERLINK("https://www.facebook.com/TuoitreConganCaoBang/", "Công an xã Lê Chung  tỉnh Cao Bằng")</f>
      </c>
      <c r="C2506" t="str">
        <v>https://www.facebook.com/TuoitreConganCaoBang/</v>
      </c>
      <c r="D2506" t="str">
        <v>-</v>
      </c>
      <c r="E2506" t="str">
        <v/>
      </c>
      <c r="F2506" t="str">
        <v>-</v>
      </c>
      <c r="G2506" t="str">
        <v>-</v>
      </c>
    </row>
    <row r="2507">
      <c r="A2507">
        <v>2506</v>
      </c>
      <c r="B2507">
        <f>HYPERLINK("https://lechung.hoaan.caobang.gov.vn/", "UBND Ủy ban nhân dân xã Lê Chung  tỉnh Cao Bằng")</f>
      </c>
      <c r="C2507" t="str">
        <v>https://lechung.hoaan.caobang.gov.vn/</v>
      </c>
      <c r="D2507" t="str">
        <v>-</v>
      </c>
      <c r="E2507" t="str">
        <v>-</v>
      </c>
      <c r="F2507" t="str">
        <v>-</v>
      </c>
      <c r="G2507" t="str">
        <v>-</v>
      </c>
    </row>
    <row r="2508">
      <c r="A2508">
        <v>2507</v>
      </c>
      <c r="B2508">
        <f>HYPERLINK("https://www.facebook.com/TuoitreConganCaoBang/", "Công an xã Hà Trì  tỉnh Cao Bằng")</f>
      </c>
      <c r="C2508" t="str">
        <v>https://www.facebook.com/TuoitreConganCaoBang/</v>
      </c>
      <c r="D2508" t="str">
        <v>-</v>
      </c>
      <c r="E2508" t="str">
        <v/>
      </c>
      <c r="F2508" t="str">
        <v>-</v>
      </c>
      <c r="G2508" t="str">
        <v>-</v>
      </c>
    </row>
    <row r="2509">
      <c r="A2509">
        <v>2508</v>
      </c>
      <c r="B2509">
        <f>HYPERLINK("https://hoaan.caobang.gov.vn/qua-trinh-phat-trien", "UBND Ủy ban nhân dân xã Hà Trì  tỉnh Cao Bằng")</f>
      </c>
      <c r="C2509" t="str">
        <v>https://hoaan.caobang.gov.vn/qua-trinh-phat-trien</v>
      </c>
      <c r="D2509" t="str">
        <v>-</v>
      </c>
      <c r="E2509" t="str">
        <v>-</v>
      </c>
      <c r="F2509" t="str">
        <v>-</v>
      </c>
      <c r="G2509" t="str">
        <v>-</v>
      </c>
    </row>
    <row r="2510">
      <c r="A2510">
        <v>2509</v>
      </c>
      <c r="B2510">
        <f>HYPERLINK("https://www.facebook.com/100065677472004", "Công an xã Hồng Nam  tỉnh Cao Bằng")</f>
      </c>
      <c r="C2510" t="str">
        <v>https://www.facebook.com/100065677472004</v>
      </c>
      <c r="D2510" t="str">
        <v>-</v>
      </c>
      <c r="E2510" t="str">
        <v>0914811443</v>
      </c>
      <c r="F2510" t="str">
        <v>-</v>
      </c>
      <c r="G2510" t="str">
        <v>-</v>
      </c>
    </row>
    <row r="2511">
      <c r="A2511">
        <v>2510</v>
      </c>
      <c r="B2511">
        <f>HYPERLINK("https://hoaan.caobang.gov.vn/hong-nam", "UBND Ủy ban nhân dân xã Hồng Nam  tỉnh Cao Bằng")</f>
      </c>
      <c r="C2511" t="str">
        <v>https://hoaan.caobang.gov.vn/hong-nam</v>
      </c>
      <c r="D2511" t="str">
        <v>-</v>
      </c>
      <c r="E2511" t="str">
        <v>-</v>
      </c>
      <c r="F2511" t="str">
        <v>-</v>
      </c>
      <c r="G2511" t="str">
        <v>-</v>
      </c>
    </row>
    <row r="2512">
      <c r="A2512">
        <v>2511</v>
      </c>
      <c r="B2512">
        <f>HYPERLINK("https://www.facebook.com/p/C%C3%B4ng-an-huy%E1%BB%87n-Nguy%C3%AAn-B%C3%ACnh-Cao-B%E1%BA%B1ng-100082142734672/", "Công an thị trấn Nguyên Bình  tỉnh Cao Bằng")</f>
      </c>
      <c r="C2512" t="str">
        <v>https://www.facebook.com/p/C%C3%B4ng-an-huy%E1%BB%87n-Nguy%C3%AAn-B%C3%ACnh-Cao-B%E1%BA%B1ng-100082142734672/</v>
      </c>
      <c r="D2512" t="str">
        <v>-</v>
      </c>
      <c r="E2512" t="str">
        <v/>
      </c>
      <c r="F2512" t="str">
        <v>-</v>
      </c>
      <c r="G2512" t="str">
        <v>-</v>
      </c>
    </row>
    <row r="2513">
      <c r="A2513">
        <v>2512</v>
      </c>
      <c r="B2513">
        <f>HYPERLINK("https://nguyenbinh.caobang.gov.vn/", "UBND Ủy ban nhân dân thị trấn Nguyên Bình  tỉnh Cao Bằng")</f>
      </c>
      <c r="C2513" t="str">
        <v>https://nguyenbinh.caobang.gov.vn/</v>
      </c>
      <c r="D2513" t="str">
        <v>-</v>
      </c>
      <c r="E2513" t="str">
        <v>-</v>
      </c>
      <c r="F2513" t="str">
        <v>-</v>
      </c>
      <c r="G2513" t="str">
        <v>-</v>
      </c>
    </row>
    <row r="2514">
      <c r="A2514">
        <v>2513</v>
      </c>
      <c r="B2514">
        <f>HYPERLINK("https://www.facebook.com/p/C%C3%B4ng-an-th%E1%BB%8B-tr%E1%BA%A5n-T%C4%A9nh-T%C3%BAc-huy%E1%BB%87n-Nguy%C3%AAn-B%C3%ACnh-100075817578133/", "Công an thị trấn Tĩnh Túc  tỉnh Cao Bằng")</f>
      </c>
      <c r="C2514" t="str">
        <v>https://www.facebook.com/p/C%C3%B4ng-an-th%E1%BB%8B-tr%E1%BA%A5n-T%C4%A9nh-T%C3%BAc-huy%E1%BB%87n-Nguy%C3%AAn-B%C3%ACnh-100075817578133/</v>
      </c>
      <c r="D2514" t="str">
        <v>-</v>
      </c>
      <c r="E2514" t="str">
        <v/>
      </c>
      <c r="F2514" t="str">
        <v>-</v>
      </c>
      <c r="G2514" t="str">
        <v>-</v>
      </c>
    </row>
    <row r="2515">
      <c r="A2515">
        <v>2514</v>
      </c>
      <c r="B2515">
        <f>HYPERLINK("https://nguyenbinh.caobang.gov.vn/thi-tran-tinh-tuc", "UBND Ủy ban nhân dân thị trấn Tĩnh Túc  tỉnh Cao Bằng")</f>
      </c>
      <c r="C2515" t="str">
        <v>https://nguyenbinh.caobang.gov.vn/thi-tran-tinh-tuc</v>
      </c>
      <c r="D2515" t="str">
        <v>-</v>
      </c>
      <c r="E2515" t="str">
        <v>-</v>
      </c>
      <c r="F2515" t="str">
        <v>-</v>
      </c>
      <c r="G2515" t="str">
        <v>-</v>
      </c>
    </row>
    <row r="2516">
      <c r="A2516">
        <v>2515</v>
      </c>
      <c r="B2516">
        <f>HYPERLINK("https://www.facebook.com/reel/8151320854917602/", "Công an xã Yên Lạc  tỉnh Cao Bằng")</f>
      </c>
      <c r="C2516" t="str">
        <v>https://www.facebook.com/reel/8151320854917602/</v>
      </c>
      <c r="D2516" t="str">
        <v>-</v>
      </c>
      <c r="E2516" t="str">
        <v/>
      </c>
      <c r="F2516" t="str">
        <v>-</v>
      </c>
      <c r="G2516" t="str">
        <v>-</v>
      </c>
    </row>
    <row r="2517">
      <c r="A2517">
        <v>2516</v>
      </c>
      <c r="B2517">
        <f>HYPERLINK("http://yenlac.nguyenbinh.caobang.gov.vn/", "UBND Ủy ban nhân dân xã Yên Lạc  tỉnh Cao Bằng")</f>
      </c>
      <c r="C2517" t="str">
        <v>http://yenlac.nguyenbinh.caobang.gov.vn/</v>
      </c>
      <c r="D2517" t="str">
        <v>-</v>
      </c>
      <c r="E2517" t="str">
        <v>-</v>
      </c>
      <c r="F2517" t="str">
        <v>-</v>
      </c>
      <c r="G2517" t="str">
        <v>-</v>
      </c>
    </row>
    <row r="2518">
      <c r="A2518">
        <v>2517</v>
      </c>
      <c r="B2518">
        <f>HYPERLINK("https://www.facebook.com/TuoitreConganCaoBang/", "Công an xã Triệu Nguyên  tỉnh Cao Bằng")</f>
      </c>
      <c r="C2518" t="str">
        <v>https://www.facebook.com/TuoitreConganCaoBang/</v>
      </c>
      <c r="D2518" t="str">
        <v>-</v>
      </c>
      <c r="E2518" t="str">
        <v/>
      </c>
      <c r="F2518" t="str">
        <v>-</v>
      </c>
      <c r="G2518" t="str">
        <v>-</v>
      </c>
    </row>
    <row r="2519">
      <c r="A2519">
        <v>2518</v>
      </c>
      <c r="B2519">
        <f>HYPERLINK("https://nguyenbinh.caobang.gov.vn/xa-trieu-nguyen", "UBND Ủy ban nhân dân xã Triệu Nguyên  tỉnh Cao Bằng")</f>
      </c>
      <c r="C2519" t="str">
        <v>https://nguyenbinh.caobang.gov.vn/xa-trieu-nguyen</v>
      </c>
      <c r="D2519" t="str">
        <v>-</v>
      </c>
      <c r="E2519" t="str">
        <v>-</v>
      </c>
      <c r="F2519" t="str">
        <v>-</v>
      </c>
      <c r="G2519" t="str">
        <v>-</v>
      </c>
    </row>
    <row r="2520">
      <c r="A2520">
        <v>2519</v>
      </c>
      <c r="B2520">
        <f>HYPERLINK("https://www.facebook.com/TuoitreConganCaoBang/", "Công an xã Ca Thành  tỉnh Cao Bằng")</f>
      </c>
      <c r="C2520" t="str">
        <v>https://www.facebook.com/TuoitreConganCaoBang/</v>
      </c>
      <c r="D2520" t="str">
        <v>-</v>
      </c>
      <c r="E2520" t="str">
        <v/>
      </c>
      <c r="F2520" t="str">
        <v>-</v>
      </c>
      <c r="G2520" t="str">
        <v>-</v>
      </c>
    </row>
    <row r="2521">
      <c r="A2521">
        <v>2520</v>
      </c>
      <c r="B2521">
        <f>HYPERLINK("https://nguyenbinh.caobang.gov.vn/xa-ca-thanh", "UBND Ủy ban nhân dân xã Ca Thành  tỉnh Cao Bằng")</f>
      </c>
      <c r="C2521" t="str">
        <v>https://nguyenbinh.caobang.gov.vn/xa-ca-thanh</v>
      </c>
      <c r="D2521" t="str">
        <v>-</v>
      </c>
      <c r="E2521" t="str">
        <v>-</v>
      </c>
      <c r="F2521" t="str">
        <v>-</v>
      </c>
      <c r="G2521" t="str">
        <v>-</v>
      </c>
    </row>
    <row r="2522">
      <c r="A2522">
        <v>2521</v>
      </c>
      <c r="B2522">
        <f>HYPERLINK("https://www.facebook.com/p/C%C3%B4ng-an-x%C3%A3-Th%C3%A1i-H%E1%BB%8Dc-B%E1%BA%A3o-L%C3%A2m-Cao-B%E1%BA%B1ng-100069695572389/", "Công an xã Thái Học  tỉnh Cao Bằng")</f>
      </c>
      <c r="C2522" t="str">
        <v>https://www.facebook.com/p/C%C3%B4ng-an-x%C3%A3-Th%C3%A1i-H%E1%BB%8Dc-B%E1%BA%A3o-L%C3%A2m-Cao-B%E1%BA%B1ng-100069695572389/</v>
      </c>
      <c r="D2522" t="str">
        <v>-</v>
      </c>
      <c r="E2522" t="str">
        <v/>
      </c>
      <c r="F2522" t="str">
        <v>-</v>
      </c>
      <c r="G2522" t="str">
        <v>-</v>
      </c>
    </row>
    <row r="2523">
      <c r="A2523">
        <v>2522</v>
      </c>
      <c r="B2523">
        <f>HYPERLINK("https://thaihoc.baolam.caobang.gov.vn/kinh-te-xa-hoi/uy-ban-nhan-dan-xa-thai-hoc-935029", "UBND Ủy ban nhân dân xã Thái Học  tỉnh Cao Bằng")</f>
      </c>
      <c r="C2523" t="str">
        <v>https://thaihoc.baolam.caobang.gov.vn/kinh-te-xa-hoi/uy-ban-nhan-dan-xa-thai-hoc-935029</v>
      </c>
      <c r="D2523" t="str">
        <v>-</v>
      </c>
      <c r="E2523" t="str">
        <v>-</v>
      </c>
      <c r="F2523" t="str">
        <v>-</v>
      </c>
      <c r="G2523" t="str">
        <v>-</v>
      </c>
    </row>
    <row r="2524">
      <c r="A2524">
        <v>2523</v>
      </c>
      <c r="B2524">
        <f>HYPERLINK("https://www.facebook.com/TuoitreConganCaoBang/", "Công an xã Vũ Nông  tỉnh Cao Bằng")</f>
      </c>
      <c r="C2524" t="str">
        <v>https://www.facebook.com/TuoitreConganCaoBang/</v>
      </c>
      <c r="D2524" t="str">
        <v>-</v>
      </c>
      <c r="E2524" t="str">
        <v/>
      </c>
      <c r="F2524" t="str">
        <v>-</v>
      </c>
      <c r="G2524" t="str">
        <v>-</v>
      </c>
    </row>
    <row r="2525">
      <c r="A2525">
        <v>2524</v>
      </c>
      <c r="B2525">
        <f>HYPERLINK("https://nguyenbinh.caobang.gov.vn/1350/34066/69782/xa-vu-nong", "UBND Ủy ban nhân dân xã Vũ Nông  tỉnh Cao Bằng")</f>
      </c>
      <c r="C2525" t="str">
        <v>https://nguyenbinh.caobang.gov.vn/1350/34066/69782/xa-vu-nong</v>
      </c>
      <c r="D2525" t="str">
        <v>-</v>
      </c>
      <c r="E2525" t="str">
        <v>-</v>
      </c>
      <c r="F2525" t="str">
        <v>-</v>
      </c>
      <c r="G2525" t="str">
        <v>-</v>
      </c>
    </row>
    <row r="2526">
      <c r="A2526">
        <v>2525</v>
      </c>
      <c r="B2526">
        <f>HYPERLINK("https://www.facebook.com/TuoitreConganCaoBang/", "Công an xã Minh Tâm  tỉnh Cao Bằng")</f>
      </c>
      <c r="C2526" t="str">
        <v>https://www.facebook.com/TuoitreConganCaoBang/</v>
      </c>
      <c r="D2526" t="str">
        <v>-</v>
      </c>
      <c r="E2526" t="str">
        <v/>
      </c>
      <c r="F2526" t="str">
        <v>-</v>
      </c>
      <c r="G2526" t="str">
        <v>-</v>
      </c>
    </row>
    <row r="2527">
      <c r="A2527">
        <v>2526</v>
      </c>
      <c r="B2527">
        <f>HYPERLINK("http://minhtam.nguyenbinh.caobang.gov.vn/uy-ban-nhan-dan", "UBND Ủy ban nhân dân xã Minh Tâm  tỉnh Cao Bằng")</f>
      </c>
      <c r="C2527" t="str">
        <v>http://minhtam.nguyenbinh.caobang.gov.vn/uy-ban-nhan-dan</v>
      </c>
      <c r="D2527" t="str">
        <v>-</v>
      </c>
      <c r="E2527" t="str">
        <v>-</v>
      </c>
      <c r="F2527" t="str">
        <v>-</v>
      </c>
      <c r="G2527" t="str">
        <v>-</v>
      </c>
    </row>
    <row r="2528">
      <c r="A2528">
        <v>2527</v>
      </c>
      <c r="B2528">
        <f>HYPERLINK("https://www.facebook.com/p/C%C3%B4ng-an-huy%E1%BB%87n-Nguy%C3%AAn-B%C3%ACnh-Cao-B%E1%BA%B1ng-100082142734672/", "Công an xã Thể Dục  tỉnh Cao Bằng")</f>
      </c>
      <c r="C2528" t="str">
        <v>https://www.facebook.com/p/C%C3%B4ng-an-huy%E1%BB%87n-Nguy%C3%AAn-B%C3%ACnh-Cao-B%E1%BA%B1ng-100082142734672/</v>
      </c>
      <c r="D2528" t="str">
        <v>-</v>
      </c>
      <c r="E2528" t="str">
        <v/>
      </c>
      <c r="F2528" t="str">
        <v>-</v>
      </c>
      <c r="G2528" t="str">
        <v>-</v>
      </c>
    </row>
    <row r="2529">
      <c r="A2529">
        <v>2528</v>
      </c>
      <c r="B2529">
        <f>HYPERLINK("https://nguyenbinh.caobang.gov.vn/xa-the-duc", "UBND Ủy ban nhân dân xã Thể Dục  tỉnh Cao Bằng")</f>
      </c>
      <c r="C2529" t="str">
        <v>https://nguyenbinh.caobang.gov.vn/xa-the-duc</v>
      </c>
      <c r="D2529" t="str">
        <v>-</v>
      </c>
      <c r="E2529" t="str">
        <v>-</v>
      </c>
      <c r="F2529" t="str">
        <v>-</v>
      </c>
      <c r="G2529" t="str">
        <v>-</v>
      </c>
    </row>
    <row r="2530">
      <c r="A2530">
        <v>2529</v>
      </c>
      <c r="B2530">
        <f>HYPERLINK("https://www.facebook.com/TuoitreConganCaoBang/", "Công an xã Bắc Hợp  tỉnh Cao Bằng")</f>
      </c>
      <c r="C2530" t="str">
        <v>https://www.facebook.com/TuoitreConganCaoBang/</v>
      </c>
      <c r="D2530" t="str">
        <v>-</v>
      </c>
      <c r="E2530" t="str">
        <v/>
      </c>
      <c r="F2530" t="str">
        <v>-</v>
      </c>
      <c r="G2530" t="str">
        <v>-</v>
      </c>
    </row>
    <row r="2531">
      <c r="A2531">
        <v>2530</v>
      </c>
      <c r="B2531">
        <f>HYPERLINK("https://baolac.caobang.gov.vn/", "UBND Ủy ban nhân dân xã Bắc Hợp  tỉnh Cao Bằng")</f>
      </c>
      <c r="C2531" t="str">
        <v>https://baolac.caobang.gov.vn/</v>
      </c>
      <c r="D2531" t="str">
        <v>-</v>
      </c>
      <c r="E2531" t="str">
        <v>-</v>
      </c>
      <c r="F2531" t="str">
        <v>-</v>
      </c>
      <c r="G2531" t="str">
        <v>-</v>
      </c>
    </row>
    <row r="2532">
      <c r="A2532">
        <v>2531</v>
      </c>
      <c r="B2532">
        <f>HYPERLINK("https://www.facebook.com/TuoitreConganCaoBang/", "Công an xã Mai Long  tỉnh Cao Bằng")</f>
      </c>
      <c r="C2532" t="str">
        <v>https://www.facebook.com/TuoitreConganCaoBang/</v>
      </c>
      <c r="D2532" t="str">
        <v>-</v>
      </c>
      <c r="E2532" t="str">
        <v/>
      </c>
      <c r="F2532" t="str">
        <v>-</v>
      </c>
      <c r="G2532" t="str">
        <v>-</v>
      </c>
    </row>
    <row r="2533">
      <c r="A2533">
        <v>2532</v>
      </c>
      <c r="B2533">
        <f>HYPERLINK("https://nguyenbinh.caobang.gov.vn/xa-mai-long", "UBND Ủy ban nhân dân xã Mai Long  tỉnh Cao Bằng")</f>
      </c>
      <c r="C2533" t="str">
        <v>https://nguyenbinh.caobang.gov.vn/xa-mai-long</v>
      </c>
      <c r="D2533" t="str">
        <v>-</v>
      </c>
      <c r="E2533" t="str">
        <v>-</v>
      </c>
      <c r="F2533" t="str">
        <v>-</v>
      </c>
      <c r="G2533" t="str">
        <v>-</v>
      </c>
    </row>
    <row r="2534">
      <c r="A2534">
        <v>2533</v>
      </c>
      <c r="B2534">
        <f>HYPERLINK("https://www.facebook.com/TuoitreConganCaoBang/?locale=vi_VN", "Công an xã Lang Môn  tỉnh Cao Bằng")</f>
      </c>
      <c r="C2534" t="str">
        <v>https://www.facebook.com/TuoitreConganCaoBang/?locale=vi_VN</v>
      </c>
      <c r="D2534" t="str">
        <v>-</v>
      </c>
      <c r="E2534" t="str">
        <v/>
      </c>
      <c r="F2534" t="str">
        <v>-</v>
      </c>
      <c r="G2534" t="str">
        <v>-</v>
      </c>
    </row>
    <row r="2535">
      <c r="A2535">
        <v>2534</v>
      </c>
      <c r="B2535">
        <f>HYPERLINK("https://nguyenbinh.caobang.gov.vn/", "UBND Ủy ban nhân dân xã Lang Môn  tỉnh Cao Bằng")</f>
      </c>
      <c r="C2535" t="str">
        <v>https://nguyenbinh.caobang.gov.vn/</v>
      </c>
      <c r="D2535" t="str">
        <v>-</v>
      </c>
      <c r="E2535" t="str">
        <v>-</v>
      </c>
      <c r="F2535" t="str">
        <v>-</v>
      </c>
      <c r="G2535" t="str">
        <v>-</v>
      </c>
    </row>
    <row r="2536">
      <c r="A2536">
        <v>2535</v>
      </c>
      <c r="B2536">
        <f>HYPERLINK("https://www.facebook.com/TuoitreConganCaoBang/", "Công an xã Minh Thanh  tỉnh Cao Bằng")</f>
      </c>
      <c r="C2536" t="str">
        <v>https://www.facebook.com/TuoitreConganCaoBang/</v>
      </c>
      <c r="D2536" t="str">
        <v>-</v>
      </c>
      <c r="E2536" t="str">
        <v/>
      </c>
      <c r="F2536" t="str">
        <v>-</v>
      </c>
      <c r="G2536" t="str">
        <v>-</v>
      </c>
    </row>
    <row r="2537">
      <c r="A2537">
        <v>2536</v>
      </c>
      <c r="B2537">
        <f>HYPERLINK("https://nguyenbinh.caobang.gov.vn/", "UBND Ủy ban nhân dân xã Minh Thanh  tỉnh Cao Bằng")</f>
      </c>
      <c r="C2537" t="str">
        <v>https://nguyenbinh.caobang.gov.vn/</v>
      </c>
      <c r="D2537" t="str">
        <v>-</v>
      </c>
      <c r="E2537" t="str">
        <v>-</v>
      </c>
      <c r="F2537" t="str">
        <v>-</v>
      </c>
      <c r="G2537" t="str">
        <v>-</v>
      </c>
    </row>
    <row r="2538">
      <c r="A2538">
        <v>2537</v>
      </c>
      <c r="B2538">
        <f>HYPERLINK("https://www.facebook.com/p/C%C3%B4ng-an-x%C3%A3-Hoa-Th%C3%A1m-Nguy%C3%AAn-B%C3%ACnh-Cao-B%E1%BA%B1ng-100072152491391/", "Công an xã Hoa Thám  tỉnh Cao Bằng")</f>
      </c>
      <c r="C2538" t="str">
        <v>https://www.facebook.com/p/C%C3%B4ng-an-x%C3%A3-Hoa-Th%C3%A1m-Nguy%C3%AAn-B%C3%ACnh-Cao-B%E1%BA%B1ng-100072152491391/</v>
      </c>
      <c r="D2538" t="str">
        <v>-</v>
      </c>
      <c r="E2538" t="str">
        <v/>
      </c>
      <c r="F2538" t="str">
        <v>-</v>
      </c>
      <c r="G2538" t="str">
        <v>-</v>
      </c>
    </row>
    <row r="2539">
      <c r="A2539">
        <v>2538</v>
      </c>
      <c r="B2539">
        <f>HYPERLINK("https://nguyenbinh.caobang.gov.vn/xa-hoa-tham", "UBND Ủy ban nhân dân xã Hoa Thám  tỉnh Cao Bằng")</f>
      </c>
      <c r="C2539" t="str">
        <v>https://nguyenbinh.caobang.gov.vn/xa-hoa-tham</v>
      </c>
      <c r="D2539" t="str">
        <v>-</v>
      </c>
      <c r="E2539" t="str">
        <v>-</v>
      </c>
      <c r="F2539" t="str">
        <v>-</v>
      </c>
      <c r="G2539" t="str">
        <v>-</v>
      </c>
    </row>
    <row r="2540">
      <c r="A2540">
        <v>2539</v>
      </c>
      <c r="B2540">
        <f>HYPERLINK("https://www.facebook.com/TuoitreConganCaoBang/", "Công an xã Phan Thanh  tỉnh Cao Bằng")</f>
      </c>
      <c r="C2540" t="str">
        <v>https://www.facebook.com/TuoitreConganCaoBang/</v>
      </c>
      <c r="D2540" t="str">
        <v>-</v>
      </c>
      <c r="E2540" t="str">
        <v/>
      </c>
      <c r="F2540" t="str">
        <v>-</v>
      </c>
      <c r="G2540" t="str">
        <v>-</v>
      </c>
    </row>
    <row r="2541">
      <c r="A2541">
        <v>2540</v>
      </c>
      <c r="B2541">
        <f>HYPERLINK("https://nguyenbinh.caobang.gov.vn/xa-phan-thanh", "UBND Ủy ban nhân dân xã Phan Thanh  tỉnh Cao Bằng")</f>
      </c>
      <c r="C2541" t="str">
        <v>https://nguyenbinh.caobang.gov.vn/xa-phan-thanh</v>
      </c>
      <c r="D2541" t="str">
        <v>-</v>
      </c>
      <c r="E2541" t="str">
        <v>-</v>
      </c>
      <c r="F2541" t="str">
        <v>-</v>
      </c>
      <c r="G2541" t="str">
        <v>-</v>
      </c>
    </row>
    <row r="2542">
      <c r="A2542">
        <v>2541</v>
      </c>
      <c r="B2542">
        <f>HYPERLINK("https://www.facebook.com/TuoitreConganCaoBang/", "Công an xã Quang Thành  tỉnh Cao Bằng")</f>
      </c>
      <c r="C2542" t="str">
        <v>https://www.facebook.com/TuoitreConganCaoBang/</v>
      </c>
      <c r="D2542" t="str">
        <v>-</v>
      </c>
      <c r="E2542" t="str">
        <v/>
      </c>
      <c r="F2542" t="str">
        <v>-</v>
      </c>
      <c r="G2542" t="str">
        <v>-</v>
      </c>
    </row>
    <row r="2543">
      <c r="A2543">
        <v>2542</v>
      </c>
      <c r="B2543">
        <f>HYPERLINK("https://nguyenbinh.caobang.gov.vn/xa-quang-thanh", "UBND Ủy ban nhân dân xã Quang Thành  tỉnh Cao Bằng")</f>
      </c>
      <c r="C2543" t="str">
        <v>https://nguyenbinh.caobang.gov.vn/xa-quang-thanh</v>
      </c>
      <c r="D2543" t="str">
        <v>-</v>
      </c>
      <c r="E2543" t="str">
        <v>-</v>
      </c>
      <c r="F2543" t="str">
        <v>-</v>
      </c>
      <c r="G2543" t="str">
        <v>-</v>
      </c>
    </row>
    <row r="2544">
      <c r="A2544">
        <v>2543</v>
      </c>
      <c r="B2544" t="str">
        <v>Công an xã Tam Kim  tỉnh Cao Bằng</v>
      </c>
      <c r="C2544" t="str">
        <v>-</v>
      </c>
      <c r="D2544" t="str">
        <v>-</v>
      </c>
      <c r="E2544" t="str">
        <v/>
      </c>
      <c r="F2544" t="str">
        <v>-</v>
      </c>
      <c r="G2544" t="str">
        <v>-</v>
      </c>
    </row>
    <row r="2545">
      <c r="A2545">
        <v>2544</v>
      </c>
      <c r="B2545">
        <f>HYPERLINK("https://nguyenbinh.caobang.gov.vn/xa-tam-kim", "UBND Ủy ban nhân dân xã Tam Kim  tỉnh Cao Bằng")</f>
      </c>
      <c r="C2545" t="str">
        <v>https://nguyenbinh.caobang.gov.vn/xa-tam-kim</v>
      </c>
      <c r="D2545" t="str">
        <v>-</v>
      </c>
      <c r="E2545" t="str">
        <v>-</v>
      </c>
      <c r="F2545" t="str">
        <v>-</v>
      </c>
      <c r="G2545" t="str">
        <v>-</v>
      </c>
    </row>
    <row r="2546">
      <c r="A2546">
        <v>2545</v>
      </c>
      <c r="B2546">
        <f>HYPERLINK("https://www.facebook.com/TuoitreConganCaoBang/", "Công an xã Thành Công  tỉnh Cao Bằng")</f>
      </c>
      <c r="C2546" t="str">
        <v>https://www.facebook.com/TuoitreConganCaoBang/</v>
      </c>
      <c r="D2546" t="str">
        <v>-</v>
      </c>
      <c r="E2546" t="str">
        <v/>
      </c>
      <c r="F2546" t="str">
        <v>-</v>
      </c>
      <c r="G2546" t="str">
        <v>-</v>
      </c>
    </row>
    <row r="2547">
      <c r="A2547">
        <v>2546</v>
      </c>
      <c r="B2547">
        <f>HYPERLINK("https://thanhcong.nguyenbinh.caobang.gov.vn/", "UBND Ủy ban nhân dân xã Thành Công  tỉnh Cao Bằng")</f>
      </c>
      <c r="C2547" t="str">
        <v>https://thanhcong.nguyenbinh.caobang.gov.vn/</v>
      </c>
      <c r="D2547" t="str">
        <v>-</v>
      </c>
      <c r="E2547" t="str">
        <v>-</v>
      </c>
      <c r="F2547" t="str">
        <v>-</v>
      </c>
      <c r="G2547" t="str">
        <v>-</v>
      </c>
    </row>
    <row r="2548">
      <c r="A2548">
        <v>2547</v>
      </c>
      <c r="B2548">
        <f>HYPERLINK("https://www.facebook.com/p/C%C3%B4ng-an-huy%E1%BB%87n-Nguy%C3%AAn-B%C3%ACnh-Cao-B%E1%BA%B1ng-100082142734672/?locale=vi_VN", "Công an xã Thịnh Vượng  tỉnh Cao Bằng")</f>
      </c>
      <c r="C2548" t="str">
        <v>https://www.facebook.com/p/C%C3%B4ng-an-huy%E1%BB%87n-Nguy%C3%AAn-B%C3%ACnh-Cao-B%E1%BA%B1ng-100082142734672/?locale=vi_VN</v>
      </c>
      <c r="D2548" t="str">
        <v>-</v>
      </c>
      <c r="E2548" t="str">
        <v/>
      </c>
      <c r="F2548" t="str">
        <v>-</v>
      </c>
      <c r="G2548" t="str">
        <v>-</v>
      </c>
    </row>
    <row r="2549">
      <c r="A2549">
        <v>2548</v>
      </c>
      <c r="B2549">
        <f>HYPERLINK("https://nguyenbinh.caobang.gov.vn/xa-thinh-vuong", "UBND Ủy ban nhân dân xã Thịnh Vượng  tỉnh Cao Bằng")</f>
      </c>
      <c r="C2549" t="str">
        <v>https://nguyenbinh.caobang.gov.vn/xa-thinh-vuong</v>
      </c>
      <c r="D2549" t="str">
        <v>-</v>
      </c>
      <c r="E2549" t="str">
        <v>-</v>
      </c>
      <c r="F2549" t="str">
        <v>-</v>
      </c>
      <c r="G2549" t="str">
        <v>-</v>
      </c>
    </row>
    <row r="2550">
      <c r="A2550">
        <v>2549</v>
      </c>
      <c r="B2550">
        <f>HYPERLINK("https://www.facebook.com/caxahungdao/", "Công an xã Hưng Đạo  tỉnh Cao Bằng")</f>
      </c>
      <c r="C2550" t="str">
        <v>https://www.facebook.com/caxahungdao/</v>
      </c>
      <c r="D2550" t="str">
        <v>-</v>
      </c>
      <c r="E2550" t="str">
        <v/>
      </c>
      <c r="F2550" t="str">
        <v>-</v>
      </c>
      <c r="G2550" t="str">
        <v>-</v>
      </c>
    </row>
    <row r="2551">
      <c r="A2551">
        <v>2550</v>
      </c>
      <c r="B2551">
        <f>HYPERLINK("https://ubndtp.caobang.gov.vn/ubnd-xa-hung-dao", "UBND Ủy ban nhân dân xã Hưng Đạo  tỉnh Cao Bằng")</f>
      </c>
      <c r="C2551" t="str">
        <v>https://ubndtp.caobang.gov.vn/ubnd-xa-hung-dao</v>
      </c>
      <c r="D2551" t="str">
        <v>-</v>
      </c>
      <c r="E2551" t="str">
        <v>-</v>
      </c>
      <c r="F2551" t="str">
        <v>-</v>
      </c>
      <c r="G2551" t="str">
        <v>-</v>
      </c>
    </row>
    <row r="2552">
      <c r="A2552">
        <v>2551</v>
      </c>
      <c r="B2552">
        <f>HYPERLINK("https://www.facebook.com/p/C%C3%B4ng-an-Th%E1%BB%8B-Tr%E1%BA%A5n-%C4%90%C3%B4ng-Kh%C3%AA-100079492961310/", "Công an thị trấn Đông Khê  tỉnh Cao Bằng")</f>
      </c>
      <c r="C2552" t="str">
        <v>https://www.facebook.com/p/C%C3%B4ng-an-Th%E1%BB%8B-Tr%E1%BA%A5n-%C4%90%C3%B4ng-Kh%C3%AA-100079492961310/</v>
      </c>
      <c r="D2552" t="str">
        <v>-</v>
      </c>
      <c r="E2552" t="str">
        <v/>
      </c>
      <c r="F2552" t="str">
        <v>-</v>
      </c>
      <c r="G2552" t="str">
        <v>-</v>
      </c>
    </row>
    <row r="2553">
      <c r="A2553">
        <v>2552</v>
      </c>
      <c r="B2553">
        <f>HYPERLINK("http://dongkhe.thachan.caobang.gov.vn/", "UBND Ủy ban nhân dân thị trấn Đông Khê  tỉnh Cao Bằng")</f>
      </c>
      <c r="C2553" t="str">
        <v>http://dongkhe.thachan.caobang.gov.vn/</v>
      </c>
      <c r="D2553" t="str">
        <v>-</v>
      </c>
      <c r="E2553" t="str">
        <v>-</v>
      </c>
      <c r="F2553" t="str">
        <v>-</v>
      </c>
      <c r="G2553" t="str">
        <v>-</v>
      </c>
    </row>
    <row r="2554">
      <c r="A2554">
        <v>2553</v>
      </c>
      <c r="B2554">
        <f>HYPERLINK("https://www.facebook.com/p/C%C3%B4ng-an-x%C3%A3-Canh-T%C3%A2n-Th%E1%BA%A1ch-An-100066700664062/", "Công an xã Canh Tân  tỉnh Cao Bằng")</f>
      </c>
      <c r="C2554" t="str">
        <v>https://www.facebook.com/p/C%C3%B4ng-an-x%C3%A3-Canh-T%C3%A2n-Th%E1%BA%A1ch-An-100066700664062/</v>
      </c>
      <c r="D2554" t="str">
        <v>-</v>
      </c>
      <c r="E2554" t="str">
        <v/>
      </c>
      <c r="F2554" t="str">
        <v>-</v>
      </c>
      <c r="G2554" t="str">
        <v>-</v>
      </c>
    </row>
    <row r="2555">
      <c r="A2555">
        <v>2554</v>
      </c>
      <c r="B2555">
        <f>HYPERLINK("https://canhtan.thachan.caobang.gov.vn/", "UBND Ủy ban nhân dân xã Canh Tân  tỉnh Cao Bằng")</f>
      </c>
      <c r="C2555" t="str">
        <v>https://canhtan.thachan.caobang.gov.vn/</v>
      </c>
      <c r="D2555" t="str">
        <v>-</v>
      </c>
      <c r="E2555" t="str">
        <v>-</v>
      </c>
      <c r="F2555" t="str">
        <v>-</v>
      </c>
      <c r="G2555" t="str">
        <v>-</v>
      </c>
    </row>
    <row r="2556">
      <c r="A2556">
        <v>2555</v>
      </c>
      <c r="B2556">
        <f>HYPERLINK("https://www.facebook.com/p/C%C3%B4ng-an-x%C3%A3-Kim-%C4%90%E1%BB%93ng-Th%E1%BA%A1ch-an-100079589457187/", "Công an xã Kim Đồng  tỉnh Cao Bằng")</f>
      </c>
      <c r="C2556" t="str">
        <v>https://www.facebook.com/p/C%C3%B4ng-an-x%C3%A3-Kim-%C4%90%E1%BB%93ng-Th%E1%BA%A1ch-an-100079589457187/</v>
      </c>
      <c r="D2556" t="str">
        <v>-</v>
      </c>
      <c r="E2556" t="str">
        <v/>
      </c>
      <c r="F2556" t="str">
        <v>-</v>
      </c>
      <c r="G2556" t="str">
        <v>-</v>
      </c>
    </row>
    <row r="2557">
      <c r="A2557">
        <v>2556</v>
      </c>
      <c r="B2557">
        <f>HYPERLINK("https://kimdong.thachan.caobang.gov.vn/", "UBND Ủy ban nhân dân xã Kim Đồng  tỉnh Cao Bằng")</f>
      </c>
      <c r="C2557" t="str">
        <v>https://kimdong.thachan.caobang.gov.vn/</v>
      </c>
      <c r="D2557" t="str">
        <v>-</v>
      </c>
      <c r="E2557" t="str">
        <v>-</v>
      </c>
      <c r="F2557" t="str">
        <v>-</v>
      </c>
      <c r="G2557" t="str">
        <v>-</v>
      </c>
    </row>
    <row r="2558">
      <c r="A2558">
        <v>2557</v>
      </c>
      <c r="B2558">
        <f>HYPERLINK("https://www.facebook.com/conganxaminhkhai/", "Công an xã Minh Khai  tỉnh Cao Bằng")</f>
      </c>
      <c r="C2558" t="str">
        <v>https://www.facebook.com/conganxaminhkhai/</v>
      </c>
      <c r="D2558" t="str">
        <v>-</v>
      </c>
      <c r="E2558" t="str">
        <v/>
      </c>
      <c r="F2558" t="str">
        <v>-</v>
      </c>
      <c r="G2558" t="str">
        <v>-</v>
      </c>
    </row>
    <row r="2559">
      <c r="A2559">
        <v>2558</v>
      </c>
      <c r="B2559">
        <f>HYPERLINK("http://minhkhai.thachan.caobang.gov.vn/", "UBND Ủy ban nhân dân xã Minh Khai  tỉnh Cao Bằng")</f>
      </c>
      <c r="C2559" t="str">
        <v>http://minhkhai.thachan.caobang.gov.vn/</v>
      </c>
      <c r="D2559" t="str">
        <v>-</v>
      </c>
      <c r="E2559" t="str">
        <v>-</v>
      </c>
      <c r="F2559" t="str">
        <v>-</v>
      </c>
      <c r="G2559" t="str">
        <v>-</v>
      </c>
    </row>
    <row r="2560">
      <c r="A2560">
        <v>2559</v>
      </c>
      <c r="B2560">
        <f>HYPERLINK("https://www.facebook.com/TuoitreConganCaoBang/", "Công an xã Thị Ngân  tỉnh Cao Bằng")</f>
      </c>
      <c r="C2560" t="str">
        <v>https://www.facebook.com/TuoitreConganCaoBang/</v>
      </c>
      <c r="D2560" t="str">
        <v>-</v>
      </c>
      <c r="E2560" t="str">
        <v/>
      </c>
      <c r="F2560" t="str">
        <v>-</v>
      </c>
      <c r="G2560" t="str">
        <v>-</v>
      </c>
    </row>
    <row r="2561">
      <c r="A2561">
        <v>2560</v>
      </c>
      <c r="B2561">
        <f>HYPERLINK("https://halang.caobang.gov.vn/", "UBND Ủy ban nhân dân xã Thị Ngân  tỉnh Cao Bằng")</f>
      </c>
      <c r="C2561" t="str">
        <v>https://halang.caobang.gov.vn/</v>
      </c>
      <c r="D2561" t="str">
        <v>-</v>
      </c>
      <c r="E2561" t="str">
        <v>-</v>
      </c>
      <c r="F2561" t="str">
        <v>-</v>
      </c>
      <c r="G2561" t="str">
        <v>-</v>
      </c>
    </row>
    <row r="2562">
      <c r="A2562">
        <v>2561</v>
      </c>
      <c r="B2562">
        <f>HYPERLINK("https://www.facebook.com/TuoitreConganCaoBang/?locale=vi_VN", "Công an xã Đức Thông  tỉnh Cao Bằng")</f>
      </c>
      <c r="C2562" t="str">
        <v>https://www.facebook.com/TuoitreConganCaoBang/?locale=vi_VN</v>
      </c>
      <c r="D2562" t="str">
        <v>-</v>
      </c>
      <c r="E2562" t="str">
        <v/>
      </c>
      <c r="F2562" t="str">
        <v>-</v>
      </c>
      <c r="G2562" t="str">
        <v>-</v>
      </c>
    </row>
    <row r="2563">
      <c r="A2563">
        <v>2562</v>
      </c>
      <c r="B2563">
        <f>HYPERLINK("http://ducxuan.thachan.caobang.gov.vn/", "UBND Ủy ban nhân dân xã Đức Thông  tỉnh Cao Bằng")</f>
      </c>
      <c r="C2563" t="str">
        <v>http://ducxuan.thachan.caobang.gov.vn/</v>
      </c>
      <c r="D2563" t="str">
        <v>-</v>
      </c>
      <c r="E2563" t="str">
        <v>-</v>
      </c>
      <c r="F2563" t="str">
        <v>-</v>
      </c>
      <c r="G2563" t="str">
        <v>-</v>
      </c>
    </row>
    <row r="2564">
      <c r="A2564">
        <v>2563</v>
      </c>
      <c r="B2564">
        <f>HYPERLINK("https://www.facebook.com/tuoitrethaicuong/", "Công an xã Thái Cường  tỉnh Cao Bằng")</f>
      </c>
      <c r="C2564" t="str">
        <v>https://www.facebook.com/tuoitrethaicuong/</v>
      </c>
      <c r="D2564" t="str">
        <v>-</v>
      </c>
      <c r="E2564" t="str">
        <v/>
      </c>
      <c r="F2564" t="str">
        <v>-</v>
      </c>
      <c r="G2564" t="str">
        <v>-</v>
      </c>
    </row>
    <row r="2565">
      <c r="A2565">
        <v>2564</v>
      </c>
      <c r="B2565">
        <f>HYPERLINK("https://thaicuong.thachan.caobang.gov.vn/", "UBND Ủy ban nhân dân xã Thái Cường  tỉnh Cao Bằng")</f>
      </c>
      <c r="C2565" t="str">
        <v>https://thaicuong.thachan.caobang.gov.vn/</v>
      </c>
      <c r="D2565" t="str">
        <v>-</v>
      </c>
      <c r="E2565" t="str">
        <v>-</v>
      </c>
      <c r="F2565" t="str">
        <v>-</v>
      </c>
      <c r="G2565" t="str">
        <v>-</v>
      </c>
    </row>
    <row r="2566">
      <c r="A2566">
        <v>2565</v>
      </c>
      <c r="B2566">
        <f>HYPERLINK("https://www.facebook.com/TuoitreConganCaoBang/", "Công an xã Vân Trình  tỉnh Cao Bằng")</f>
      </c>
      <c r="C2566" t="str">
        <v>https://www.facebook.com/TuoitreConganCaoBang/</v>
      </c>
      <c r="D2566" t="str">
        <v>-</v>
      </c>
      <c r="E2566" t="str">
        <v/>
      </c>
      <c r="F2566" t="str">
        <v>-</v>
      </c>
      <c r="G2566" t="str">
        <v>-</v>
      </c>
    </row>
    <row r="2567">
      <c r="A2567">
        <v>2566</v>
      </c>
      <c r="B2567">
        <f>HYPERLINK("https://vantrinh.thachan.caobang.gov.vn/", "UBND Ủy ban nhân dân xã Vân Trình  tỉnh Cao Bằng")</f>
      </c>
      <c r="C2567" t="str">
        <v>https://vantrinh.thachan.caobang.gov.vn/</v>
      </c>
      <c r="D2567" t="str">
        <v>-</v>
      </c>
      <c r="E2567" t="str">
        <v>-</v>
      </c>
      <c r="F2567" t="str">
        <v>-</v>
      </c>
      <c r="G2567" t="str">
        <v>-</v>
      </c>
    </row>
    <row r="2568">
      <c r="A2568">
        <v>2567</v>
      </c>
      <c r="B2568">
        <f>HYPERLINK("https://www.facebook.com/conganxathuyhung/", "Công an xã Thụy Hùng  tỉnh Cao Bằng")</f>
      </c>
      <c r="C2568" t="str">
        <v>https://www.facebook.com/conganxathuyhung/</v>
      </c>
      <c r="D2568" t="str">
        <v>-</v>
      </c>
      <c r="E2568" t="str">
        <v/>
      </c>
      <c r="F2568" t="str">
        <v>-</v>
      </c>
      <c r="G2568" t="str">
        <v>-</v>
      </c>
    </row>
    <row r="2569">
      <c r="A2569">
        <v>2568</v>
      </c>
      <c r="B2569">
        <f>HYPERLINK("https://thuyhung.thachan.caobang.gov.vn/", "UBND Ủy ban nhân dân xã Thụy Hùng  tỉnh Cao Bằng")</f>
      </c>
      <c r="C2569" t="str">
        <v>https://thuyhung.thachan.caobang.gov.vn/</v>
      </c>
      <c r="D2569" t="str">
        <v>-</v>
      </c>
      <c r="E2569" t="str">
        <v>-</v>
      </c>
      <c r="F2569" t="str">
        <v>-</v>
      </c>
      <c r="G2569" t="str">
        <v>-</v>
      </c>
    </row>
    <row r="2570">
      <c r="A2570">
        <v>2569</v>
      </c>
      <c r="B2570">
        <f>HYPERLINK("https://www.facebook.com/conganxaquangtrongthachancaobang/", "Công an xã Quang Trọng  tỉnh Cao Bằng")</f>
      </c>
      <c r="C2570" t="str">
        <v>https://www.facebook.com/conganxaquangtrongthachancaobang/</v>
      </c>
      <c r="D2570" t="str">
        <v>-</v>
      </c>
      <c r="E2570" t="str">
        <v/>
      </c>
      <c r="F2570" t="str">
        <v>-</v>
      </c>
      <c r="G2570" t="str">
        <v>-</v>
      </c>
    </row>
    <row r="2571">
      <c r="A2571">
        <v>2570</v>
      </c>
      <c r="B2571">
        <f>HYPERLINK("https://quangtrong.thachan.caobang.gov.vn/", "UBND Ủy ban nhân dân xã Quang Trọng  tỉnh Cao Bằng")</f>
      </c>
      <c r="C2571" t="str">
        <v>https://quangtrong.thachan.caobang.gov.vn/</v>
      </c>
      <c r="D2571" t="str">
        <v>-</v>
      </c>
      <c r="E2571" t="str">
        <v>-</v>
      </c>
      <c r="F2571" t="str">
        <v>-</v>
      </c>
      <c r="G2571" t="str">
        <v>-</v>
      </c>
    </row>
    <row r="2572">
      <c r="A2572">
        <v>2571</v>
      </c>
      <c r="B2572">
        <f>HYPERLINK("https://www.facebook.com/TuoitreConganCaoBang/", "Công an xã Trọng Con  tỉnh Cao Bằng")</f>
      </c>
      <c r="C2572" t="str">
        <v>https://www.facebook.com/TuoitreConganCaoBang/</v>
      </c>
      <c r="D2572" t="str">
        <v>-</v>
      </c>
      <c r="E2572" t="str">
        <v/>
      </c>
      <c r="F2572" t="str">
        <v>-</v>
      </c>
      <c r="G2572" t="str">
        <v>-</v>
      </c>
    </row>
    <row r="2573">
      <c r="A2573">
        <v>2572</v>
      </c>
      <c r="B2573">
        <f>HYPERLINK("https://thachan.caobang.gov.vn/", "UBND Ủy ban nhân dân xã Trọng Con  tỉnh Cao Bằng")</f>
      </c>
      <c r="C2573" t="str">
        <v>https://thachan.caobang.gov.vn/</v>
      </c>
      <c r="D2573" t="str">
        <v>-</v>
      </c>
      <c r="E2573" t="str">
        <v>-</v>
      </c>
      <c r="F2573" t="str">
        <v>-</v>
      </c>
      <c r="G2573" t="str">
        <v>-</v>
      </c>
    </row>
    <row r="2574">
      <c r="A2574">
        <v>2573</v>
      </c>
      <c r="B2574">
        <f>HYPERLINK("https://www.facebook.com/conganxalelai/", "Công an xã Lê Lai  tỉnh Cao Bằng")</f>
      </c>
      <c r="C2574" t="str">
        <v>https://www.facebook.com/conganxalelai/</v>
      </c>
      <c r="D2574" t="str">
        <v>-</v>
      </c>
      <c r="E2574" t="str">
        <v/>
      </c>
      <c r="F2574" t="str">
        <v>-</v>
      </c>
      <c r="G2574" t="str">
        <v>-</v>
      </c>
    </row>
    <row r="2575">
      <c r="A2575">
        <v>2574</v>
      </c>
      <c r="B2575">
        <f>HYPERLINK("http://lelai.thachan.caobang.gov.vn/", "UBND Ủy ban nhân dân xã Lê Lai  tỉnh Cao Bằng")</f>
      </c>
      <c r="C2575" t="str">
        <v>http://lelai.thachan.caobang.gov.vn/</v>
      </c>
      <c r="D2575" t="str">
        <v>-</v>
      </c>
      <c r="E2575" t="str">
        <v>-</v>
      </c>
      <c r="F2575" t="str">
        <v>-</v>
      </c>
      <c r="G2575" t="str">
        <v>-</v>
      </c>
    </row>
    <row r="2576">
      <c r="A2576">
        <v>2575</v>
      </c>
      <c r="B2576" t="str">
        <v>Công an xã Đức Long  tỉnh Cao Bằng</v>
      </c>
      <c r="C2576" t="str">
        <v>-</v>
      </c>
      <c r="D2576" t="str">
        <v>-</v>
      </c>
      <c r="E2576" t="str">
        <v/>
      </c>
      <c r="F2576" t="str">
        <v>-</v>
      </c>
      <c r="G2576" t="str">
        <v>-</v>
      </c>
    </row>
    <row r="2577">
      <c r="A2577">
        <v>2576</v>
      </c>
      <c r="B2577">
        <f>HYPERLINK("https://duclong.thachan.caobang.gov.vn/", "UBND Ủy ban nhân dân xã Đức Long  tỉnh Cao Bằng")</f>
      </c>
      <c r="C2577" t="str">
        <v>https://duclong.thachan.caobang.gov.vn/</v>
      </c>
      <c r="D2577" t="str">
        <v>-</v>
      </c>
      <c r="E2577" t="str">
        <v>-</v>
      </c>
      <c r="F2577" t="str">
        <v>-</v>
      </c>
      <c r="G2577" t="str">
        <v>-</v>
      </c>
    </row>
    <row r="2578">
      <c r="A2578">
        <v>2577</v>
      </c>
      <c r="B2578">
        <f>HYPERLINK("https://www.facebook.com/TuoitreConganCaoBang/?locale=vi_VN", "Công an xã Danh Sỹ  tỉnh Cao Bằng")</f>
      </c>
      <c r="C2578" t="str">
        <v>https://www.facebook.com/TuoitreConganCaoBang/?locale=vi_VN</v>
      </c>
      <c r="D2578" t="str">
        <v>-</v>
      </c>
      <c r="E2578" t="str">
        <v/>
      </c>
      <c r="F2578" t="str">
        <v>-</v>
      </c>
      <c r="G2578" t="str">
        <v>-</v>
      </c>
    </row>
    <row r="2579">
      <c r="A2579">
        <v>2578</v>
      </c>
      <c r="B2579">
        <f>HYPERLINK("https://sotnmt.caobang.gov.vn/ho-so-cap-gcnqsdd-cac-to-chuc-tren-dia-ban-tinh-cao-bang-tu-nam-2010-den-2015/ebba70a97a9bd0c0a63be97b2854a9fc-777626", "UBND Ủy ban nhân dân xã Danh Sỹ  tỉnh Cao Bằng")</f>
      </c>
      <c r="C2579" t="str">
        <v>https://sotnmt.caobang.gov.vn/ho-so-cap-gcnqsdd-cac-to-chuc-tren-dia-ban-tinh-cao-bang-tu-nam-2010-den-2015/ebba70a97a9bd0c0a63be97b2854a9fc-777626</v>
      </c>
      <c r="D2579" t="str">
        <v>-</v>
      </c>
      <c r="E2579" t="str">
        <v>-</v>
      </c>
      <c r="F2579" t="str">
        <v>-</v>
      </c>
      <c r="G2579" t="str">
        <v>-</v>
      </c>
    </row>
    <row r="2580">
      <c r="A2580">
        <v>2579</v>
      </c>
      <c r="B2580">
        <f>HYPERLINK("https://www.facebook.com/conganxaleloi/", "Công an xã Lê Lợi  tỉnh Cao Bằng")</f>
      </c>
      <c r="C2580" t="str">
        <v>https://www.facebook.com/conganxaleloi/</v>
      </c>
      <c r="D2580" t="str">
        <v>-</v>
      </c>
      <c r="E2580" t="str">
        <v/>
      </c>
      <c r="F2580" t="str">
        <v>-</v>
      </c>
      <c r="G2580" t="str">
        <v>-</v>
      </c>
    </row>
    <row r="2581">
      <c r="A2581">
        <v>2580</v>
      </c>
      <c r="B2581">
        <f>HYPERLINK("https://leloi.thachan.caobang.gov.vn/", "UBND Ủy ban nhân dân xã Lê Lợi  tỉnh Cao Bằng")</f>
      </c>
      <c r="C2581" t="str">
        <v>https://leloi.thachan.caobang.gov.vn/</v>
      </c>
      <c r="D2581" t="str">
        <v>-</v>
      </c>
      <c r="E2581" t="str">
        <v>-</v>
      </c>
      <c r="F2581" t="str">
        <v>-</v>
      </c>
      <c r="G2581" t="str">
        <v>-</v>
      </c>
    </row>
    <row r="2582">
      <c r="A2582">
        <v>2581</v>
      </c>
      <c r="B2582">
        <f>HYPERLINK("https://www.facebook.com/p/C%C3%B4ng-an-x%C3%A3-%C4%90%E1%BB%A9c-Xu%C3%A2n-Th%E1%BA%A1ch-An-Cao-B%E1%BA%B1ng-100066798127521/", "Công an xã Đức Xuân  tỉnh Cao Bằng")</f>
      </c>
      <c r="C2582" t="str">
        <v>https://www.facebook.com/p/C%C3%B4ng-an-x%C3%A3-%C4%90%E1%BB%A9c-Xu%C3%A2n-Th%E1%BA%A1ch-An-Cao-B%E1%BA%B1ng-100066798127521/</v>
      </c>
      <c r="D2582" t="str">
        <v>-</v>
      </c>
      <c r="E2582" t="str">
        <v/>
      </c>
      <c r="F2582" t="str">
        <v>-</v>
      </c>
      <c r="G2582" t="str">
        <v>-</v>
      </c>
    </row>
    <row r="2583">
      <c r="A2583">
        <v>2582</v>
      </c>
      <c r="B2583">
        <f>HYPERLINK("http://ducxuan.thachan.caobang.gov.vn/", "UBND Ủy ban nhân dân xã Đức Xuân  tỉnh Cao Bằng")</f>
      </c>
      <c r="C2583" t="str">
        <v>http://ducxuan.thachan.caobang.gov.vn/</v>
      </c>
      <c r="D2583" t="str">
        <v>-</v>
      </c>
      <c r="E2583" t="str">
        <v>-</v>
      </c>
      <c r="F2583" t="str">
        <v>-</v>
      </c>
      <c r="G2583" t="str">
        <v>-</v>
      </c>
    </row>
    <row r="2584">
      <c r="A2584">
        <v>2583</v>
      </c>
      <c r="B2584" t="str">
        <v>Công an phường Nguyễn Thị Minh Khai  tỉnh Bắc Kạn</v>
      </c>
      <c r="C2584" t="str">
        <v>-</v>
      </c>
      <c r="D2584" t="str">
        <v>-</v>
      </c>
      <c r="E2584" t="str">
        <v/>
      </c>
      <c r="F2584" t="str">
        <v>-</v>
      </c>
      <c r="G2584" t="str">
        <v>-</v>
      </c>
    </row>
    <row r="2585">
      <c r="A2585">
        <v>2584</v>
      </c>
      <c r="B2585">
        <f>HYPERLINK("https://nguyenthiminhkhai.backancity.gov.vn/", "UBND Ủy ban nhân dân phường Nguyễn Thị Minh Khai  tỉnh Bắc Kạn")</f>
      </c>
      <c r="C2585" t="str">
        <v>https://nguyenthiminhkhai.backancity.gov.vn/</v>
      </c>
      <c r="D2585" t="str">
        <v>-</v>
      </c>
      <c r="E2585" t="str">
        <v>-</v>
      </c>
      <c r="F2585" t="str">
        <v>-</v>
      </c>
      <c r="G2585" t="str">
        <v>-</v>
      </c>
    </row>
    <row r="2586">
      <c r="A2586">
        <v>2585</v>
      </c>
      <c r="B2586">
        <f>HYPERLINK("https://www.facebook.com/p/%E1%BB%A6y-ban-Nh%C3%A2n-d%C3%A2n-ph%C6%B0%E1%BB%9Dng-S%C3%B4ng-C%E1%BA%A7u-100066700056373/", "Công an phường Sông Cầu  tỉnh Bắc Kạn")</f>
      </c>
      <c r="C2586" t="str">
        <v>https://www.facebook.com/p/%E1%BB%A6y-ban-Nh%C3%A2n-d%C3%A2n-ph%C6%B0%E1%BB%9Dng-S%C3%B4ng-C%E1%BA%A7u-100066700056373/</v>
      </c>
      <c r="D2586" t="str">
        <v>-</v>
      </c>
      <c r="E2586" t="str">
        <v/>
      </c>
      <c r="F2586" t="str">
        <v>-</v>
      </c>
      <c r="G2586" t="str">
        <v>-</v>
      </c>
    </row>
    <row r="2587">
      <c r="A2587">
        <v>2586</v>
      </c>
      <c r="B2587">
        <f>HYPERLINK("https://songcau.backancity.gov.vn/", "UBND Ủy ban nhân dân phường Sông Cầu  tỉnh Bắc Kạn")</f>
      </c>
      <c r="C2587" t="str">
        <v>https://songcau.backancity.gov.vn/</v>
      </c>
      <c r="D2587" t="str">
        <v>-</v>
      </c>
      <c r="E2587" t="str">
        <v>-</v>
      </c>
      <c r="F2587" t="str">
        <v>-</v>
      </c>
      <c r="G2587" t="str">
        <v>-</v>
      </c>
    </row>
    <row r="2588">
      <c r="A2588">
        <v>2587</v>
      </c>
      <c r="B2588">
        <f>HYPERLINK("https://www.facebook.com/p/C%C3%B4ng-an-ph%C6%B0%E1%BB%9Dng-%C4%90%E1%BB%A9c-Xu%C3%A2n-100071546072548/", "Công an phường Đức Xuân  tỉnh Bắc Kạn")</f>
      </c>
      <c r="C2588" t="str">
        <v>https://www.facebook.com/p/C%C3%B4ng-an-ph%C6%B0%E1%BB%9Dng-%C4%90%E1%BB%A9c-Xu%C3%A2n-100071546072548/</v>
      </c>
      <c r="D2588" t="str">
        <v>-</v>
      </c>
      <c r="E2588" t="str">
        <v/>
      </c>
      <c r="F2588" t="str">
        <v>-</v>
      </c>
      <c r="G2588" t="str">
        <v>-</v>
      </c>
    </row>
    <row r="2589">
      <c r="A2589">
        <v>2588</v>
      </c>
      <c r="B2589">
        <f>HYPERLINK("https://ducxuan.backancity.gov.vn/", "UBND Ủy ban nhân dân phường Đức Xuân  tỉnh Bắc Kạn")</f>
      </c>
      <c r="C2589" t="str">
        <v>https://ducxuan.backancity.gov.vn/</v>
      </c>
      <c r="D2589" t="str">
        <v>-</v>
      </c>
      <c r="E2589" t="str">
        <v>-</v>
      </c>
      <c r="F2589" t="str">
        <v>-</v>
      </c>
      <c r="G2589" t="str">
        <v>-</v>
      </c>
    </row>
    <row r="2590">
      <c r="A2590">
        <v>2589</v>
      </c>
      <c r="B2590">
        <f>HYPERLINK("https://www.facebook.com/p/C%C3%B4ng-an-ph%C6%B0%E1%BB%9Dng-Ph%C3%B9ng-Ch%C3%AD-Ki%C3%AAn-TPB%E1%BA%AFc-K%E1%BA%A1n-100077735104887/", "Công an phường Phùng Chí Kiên  tỉnh Bắc Kạn")</f>
      </c>
      <c r="C2590" t="str">
        <v>https://www.facebook.com/p/C%C3%B4ng-an-ph%C6%B0%E1%BB%9Dng-Ph%C3%B9ng-Ch%C3%AD-Ki%C3%AAn-TPB%E1%BA%AFc-K%E1%BA%A1n-100077735104887/</v>
      </c>
      <c r="D2590" t="str">
        <v>-</v>
      </c>
      <c r="E2590" t="str">
        <v/>
      </c>
      <c r="F2590" t="str">
        <v>-</v>
      </c>
      <c r="G2590" t="str">
        <v>-</v>
      </c>
    </row>
    <row r="2591">
      <c r="A2591">
        <v>2590</v>
      </c>
      <c r="B2591">
        <f>HYPERLINK("https://phungchikien.backancity.gov.vn/", "UBND Ủy ban nhân dân phường Phùng Chí Kiên  tỉnh Bắc Kạn")</f>
      </c>
      <c r="C2591" t="str">
        <v>https://phungchikien.backancity.gov.vn/</v>
      </c>
      <c r="D2591" t="str">
        <v>-</v>
      </c>
      <c r="E2591" t="str">
        <v>-</v>
      </c>
      <c r="F2591" t="str">
        <v>-</v>
      </c>
      <c r="G2591" t="str">
        <v>-</v>
      </c>
    </row>
    <row r="2592">
      <c r="A2592">
        <v>2591</v>
      </c>
      <c r="B2592">
        <f>HYPERLINK("https://www.facebook.com/3806127596141919", "Công an phường Huyền Tụng  tỉnh Bắc Kạn")</f>
      </c>
      <c r="C2592" t="str">
        <v>https://www.facebook.com/3806127596141919</v>
      </c>
      <c r="D2592" t="str">
        <v>-</v>
      </c>
      <c r="E2592" t="str">
        <v/>
      </c>
      <c r="F2592" t="str">
        <v>-</v>
      </c>
      <c r="G2592" t="str">
        <v>-</v>
      </c>
    </row>
    <row r="2593">
      <c r="A2593">
        <v>2592</v>
      </c>
      <c r="B2593">
        <f>HYPERLINK("https://huyentung.backancity.gov.vn/", "UBND Ủy ban nhân dân phường Huyền Tụng  tỉnh Bắc Kạn")</f>
      </c>
      <c r="C2593" t="str">
        <v>https://huyentung.backancity.gov.vn/</v>
      </c>
      <c r="D2593" t="str">
        <v>-</v>
      </c>
      <c r="E2593" t="str">
        <v>-</v>
      </c>
      <c r="F2593" t="str">
        <v>-</v>
      </c>
      <c r="G2593" t="str">
        <v>-</v>
      </c>
    </row>
    <row r="2594">
      <c r="A2594">
        <v>2593</v>
      </c>
      <c r="B2594">
        <f>HYPERLINK("https://www.facebook.com/p/C%C3%B4ng-an-x%C3%A3-D%C6%B0%C6%A1ng-Quang-100080181799033/", "Công an xã Dương Quang  tỉnh Bắc Kạn")</f>
      </c>
      <c r="C2594" t="str">
        <v>https://www.facebook.com/p/C%C3%B4ng-an-x%C3%A3-D%C6%B0%C6%A1ng-Quang-100080181799033/</v>
      </c>
      <c r="D2594" t="str">
        <v>-</v>
      </c>
      <c r="E2594" t="str">
        <v/>
      </c>
      <c r="F2594" t="str">
        <v>-</v>
      </c>
      <c r="G2594" t="str">
        <v>-</v>
      </c>
    </row>
    <row r="2595">
      <c r="A2595">
        <v>2594</v>
      </c>
      <c r="B2595">
        <f>HYPERLINK("https://backancity.gov.vn/be-mac-dien-tap-chien-dau-xa-duong-quang-trong-khu-vuc-phong-thu-nam-2024/", "UBND Ủy ban nhân dân xã Dương Quang  tỉnh Bắc Kạn")</f>
      </c>
      <c r="C2595" t="str">
        <v>https://backancity.gov.vn/be-mac-dien-tap-chien-dau-xa-duong-quang-trong-khu-vuc-phong-thu-nam-2024/</v>
      </c>
      <c r="D2595" t="str">
        <v>-</v>
      </c>
      <c r="E2595" t="str">
        <v>-</v>
      </c>
      <c r="F2595" t="str">
        <v>-</v>
      </c>
      <c r="G2595" t="str">
        <v>-</v>
      </c>
    </row>
    <row r="2596">
      <c r="A2596">
        <v>2595</v>
      </c>
      <c r="B2596" t="str">
        <v>Công an xã Nông Thượng  tỉnh Bắc Kạn</v>
      </c>
      <c r="C2596" t="str">
        <v>-</v>
      </c>
      <c r="D2596" t="str">
        <v>-</v>
      </c>
      <c r="E2596" t="str">
        <v/>
      </c>
      <c r="F2596" t="str">
        <v>-</v>
      </c>
      <c r="G2596" t="str">
        <v>-</v>
      </c>
    </row>
    <row r="2597">
      <c r="A2597">
        <v>2596</v>
      </c>
      <c r="B2597">
        <f>HYPERLINK("https://nongthuong.backancity.gov.vn/2024/01/04/so-dien-thoai-duong-day-nong-va-hop-thu-dien-tu-cong-vu-cua-uy-ban-nhan-dan-xa-nong-thuong-nam-2024/", "UBND Ủy ban nhân dân xã Nông Thượng  tỉnh Bắc Kạn")</f>
      </c>
      <c r="C2597" t="str">
        <v>https://nongthuong.backancity.gov.vn/2024/01/04/so-dien-thoai-duong-day-nong-va-hop-thu-dien-tu-cong-vu-cua-uy-ban-nhan-dan-xa-nong-thuong-nam-2024/</v>
      </c>
      <c r="D2597" t="str">
        <v>-</v>
      </c>
      <c r="E2597" t="str">
        <v>-</v>
      </c>
      <c r="F2597" t="str">
        <v>-</v>
      </c>
      <c r="G2597" t="str">
        <v>-</v>
      </c>
    </row>
    <row r="2598">
      <c r="A2598">
        <v>2597</v>
      </c>
      <c r="B2598" t="str">
        <v>Công an phường Xuất Hóa  tỉnh Bắc Kạn</v>
      </c>
      <c r="C2598" t="str">
        <v>-</v>
      </c>
      <c r="D2598" t="str">
        <v>-</v>
      </c>
      <c r="E2598" t="str">
        <v/>
      </c>
      <c r="F2598" t="str">
        <v>-</v>
      </c>
      <c r="G2598" t="str">
        <v>-</v>
      </c>
    </row>
    <row r="2599">
      <c r="A2599">
        <v>2598</v>
      </c>
      <c r="B2599">
        <f>HYPERLINK("https://backancity.gov.vn/ky-hop-thu-nhat-hdnd-phuong-xuat-hoa/", "UBND Ủy ban nhân dân phường Xuất Hóa  tỉnh Bắc Kạn")</f>
      </c>
      <c r="C2599" t="str">
        <v>https://backancity.gov.vn/ky-hop-thu-nhat-hdnd-phuong-xuat-hoa/</v>
      </c>
      <c r="D2599" t="str">
        <v>-</v>
      </c>
      <c r="E2599" t="str">
        <v>-</v>
      </c>
      <c r="F2599" t="str">
        <v>-</v>
      </c>
      <c r="G2599" t="str">
        <v>-</v>
      </c>
    </row>
    <row r="2600">
      <c r="A2600">
        <v>2599</v>
      </c>
      <c r="B2600">
        <f>HYPERLINK("https://www.facebook.com/p/Tu%E1%BB%95i-tr%E1%BA%BB-C%C3%B4ng-an-t%E1%BB%89nh-B%E1%BA%AFc-K%E1%BA%A1n-100057574024652/", "Công an xã Bằng Thành  tỉnh Bắc Kạn")</f>
      </c>
      <c r="C2600" t="str">
        <v>https://www.facebook.com/p/Tu%E1%BB%95i-tr%E1%BA%BB-C%C3%B4ng-an-t%E1%BB%89nh-B%E1%BA%AFc-K%E1%BA%A1n-100057574024652/</v>
      </c>
      <c r="D2600" t="str">
        <v>-</v>
      </c>
      <c r="E2600" t="str">
        <v/>
      </c>
      <c r="F2600" t="str">
        <v>-</v>
      </c>
      <c r="G2600" t="str">
        <v>-</v>
      </c>
    </row>
    <row r="2601">
      <c r="A2601">
        <v>2600</v>
      </c>
      <c r="B2601">
        <f>HYPERLINK("https://backan.gov.vn/pages/uy-ban-nhan-dan-tinh-e8fd.aspx", "UBND Ủy ban nhân dân xã Bằng Thành  tỉnh Bắc Kạn")</f>
      </c>
      <c r="C2601" t="str">
        <v>https://backan.gov.vn/pages/uy-ban-nhan-dan-tinh-e8fd.aspx</v>
      </c>
      <c r="D2601" t="str">
        <v>-</v>
      </c>
      <c r="E2601" t="str">
        <v>-</v>
      </c>
      <c r="F2601" t="str">
        <v>-</v>
      </c>
      <c r="G2601" t="str">
        <v>-</v>
      </c>
    </row>
    <row r="2602">
      <c r="A2602">
        <v>2601</v>
      </c>
      <c r="B2602">
        <f>HYPERLINK("https://www.facebook.com/p/C%C3%B4ng-an-x%C3%A3-Nh%E1%BA%A1n-M%C3%B4n-huy%E1%BB%87n-P%C3%A1c-N%E1%BA%B7m-t%E1%BB%89nh-B%E1%BA%AFc-K%E1%BA%A1n-100054482859132/?locale=tr_TR", "Công an xã Nhạn Môn  tỉnh Bắc Kạn")</f>
      </c>
      <c r="C2602" t="str">
        <v>https://www.facebook.com/p/C%C3%B4ng-an-x%C3%A3-Nh%E1%BA%A1n-M%C3%B4n-huy%E1%BB%87n-P%C3%A1c-N%E1%BA%B7m-t%E1%BB%89nh-B%E1%BA%AFc-K%E1%BA%A1n-100054482859132/?locale=tr_TR</v>
      </c>
      <c r="D2602" t="str">
        <v>-</v>
      </c>
      <c r="E2602" t="str">
        <v/>
      </c>
      <c r="F2602" t="str">
        <v>-</v>
      </c>
      <c r="G2602" t="str">
        <v>-</v>
      </c>
    </row>
    <row r="2603">
      <c r="A2603">
        <v>2602</v>
      </c>
      <c r="B2603">
        <f>HYPERLINK("https://nhanmon.pacnam.gov.vn/", "UBND Ủy ban nhân dân xã Nhạn Môn  tỉnh Bắc Kạn")</f>
      </c>
      <c r="C2603" t="str">
        <v>https://nhanmon.pacnam.gov.vn/</v>
      </c>
      <c r="D2603" t="str">
        <v>-</v>
      </c>
      <c r="E2603" t="str">
        <v>-</v>
      </c>
      <c r="F2603" t="str">
        <v>-</v>
      </c>
      <c r="G2603" t="str">
        <v>-</v>
      </c>
    </row>
    <row r="2604">
      <c r="A2604">
        <v>2603</v>
      </c>
      <c r="B2604">
        <f>HYPERLINK("https://www.facebook.com/p/C%C3%B4ng-an-x%C3%A3-B%E1%BB%99c-B%E1%BB%91-100076950112533/", "Công an xã Bộc Bố  tỉnh Bắc Kạn")</f>
      </c>
      <c r="C2604" t="str">
        <v>https://www.facebook.com/p/C%C3%B4ng-an-x%C3%A3-B%E1%BB%99c-B%E1%BB%91-100076950112533/</v>
      </c>
      <c r="D2604" t="str">
        <v>-</v>
      </c>
      <c r="E2604" t="str">
        <v/>
      </c>
      <c r="F2604" t="str">
        <v>-</v>
      </c>
      <c r="G2604" t="str">
        <v>-</v>
      </c>
    </row>
    <row r="2605">
      <c r="A2605">
        <v>2604</v>
      </c>
      <c r="B2605">
        <f>HYPERLINK("https://bocbo.pacnam.gov.vn/", "UBND Ủy ban nhân dân xã Bộc Bố  tỉnh Bắc Kạn")</f>
      </c>
      <c r="C2605" t="str">
        <v>https://bocbo.pacnam.gov.vn/</v>
      </c>
      <c r="D2605" t="str">
        <v>-</v>
      </c>
      <c r="E2605" t="str">
        <v>-</v>
      </c>
      <c r="F2605" t="str">
        <v>-</v>
      </c>
      <c r="G2605" t="str">
        <v>-</v>
      </c>
    </row>
    <row r="2606">
      <c r="A2606">
        <v>2605</v>
      </c>
      <c r="B2606">
        <f>HYPERLINK("https://www.facebook.com/p/Tu%E1%BB%95i-tr%E1%BA%BB-C%C3%B4ng-an-t%E1%BB%89nh-B%E1%BA%AFc-K%E1%BA%A1n-100057574024652/", "Công an xã Công Bằng  tỉnh Bắc Kạn")</f>
      </c>
      <c r="C2606" t="str">
        <v>https://www.facebook.com/p/Tu%E1%BB%95i-tr%E1%BA%BB-C%C3%B4ng-an-t%E1%BB%89nh-B%E1%BA%AFc-K%E1%BA%A1n-100057574024652/</v>
      </c>
      <c r="D2606" t="str">
        <v>-</v>
      </c>
      <c r="E2606" t="str">
        <v/>
      </c>
      <c r="F2606" t="str">
        <v>-</v>
      </c>
      <c r="G2606" t="str">
        <v>-</v>
      </c>
    </row>
    <row r="2607">
      <c r="A2607">
        <v>2606</v>
      </c>
      <c r="B2607">
        <f>HYPERLINK("https://backan.gov.vn/pages/van-ban.aspx?uid=1a7e7564-60a3-4d04-a04d-743aca0b428d&amp;itemid=7033", "UBND Ủy ban nhân dân xã Công Bằng  tỉnh Bắc Kạn")</f>
      </c>
      <c r="C2607" t="str">
        <v>https://backan.gov.vn/pages/van-ban.aspx?uid=1a7e7564-60a3-4d04-a04d-743aca0b428d&amp;itemid=7033</v>
      </c>
      <c r="D2607" t="str">
        <v>-</v>
      </c>
      <c r="E2607" t="str">
        <v>-</v>
      </c>
      <c r="F2607" t="str">
        <v>-</v>
      </c>
      <c r="G2607" t="str">
        <v>-</v>
      </c>
    </row>
    <row r="2608">
      <c r="A2608">
        <v>2607</v>
      </c>
      <c r="B2608" t="str">
        <v>Công an xã Giáo Hiệu  tỉnh Bắc Kạn</v>
      </c>
      <c r="C2608" t="str">
        <v>-</v>
      </c>
      <c r="D2608" t="str">
        <v>-</v>
      </c>
      <c r="E2608" t="str">
        <v/>
      </c>
      <c r="F2608" t="str">
        <v>-</v>
      </c>
      <c r="G2608" t="str">
        <v>-</v>
      </c>
    </row>
    <row r="2609">
      <c r="A2609">
        <v>2608</v>
      </c>
      <c r="B2609">
        <f>HYPERLINK("https://giaohieu.pacnam.gov.vn/", "UBND Ủy ban nhân dân xã Giáo Hiệu  tỉnh Bắc Kạn")</f>
      </c>
      <c r="C2609" t="str">
        <v>https://giaohieu.pacnam.gov.vn/</v>
      </c>
      <c r="D2609" t="str">
        <v>-</v>
      </c>
      <c r="E2609" t="str">
        <v>-</v>
      </c>
      <c r="F2609" t="str">
        <v>-</v>
      </c>
      <c r="G2609" t="str">
        <v>-</v>
      </c>
    </row>
    <row r="2610">
      <c r="A2610">
        <v>2609</v>
      </c>
      <c r="B2610">
        <f>HYPERLINK("https://www.facebook.com/p/Tu%E1%BB%95i-tr%E1%BA%BB-C%C3%B4ng-an-t%E1%BB%89nh-B%E1%BA%AFc-K%E1%BA%A1n-100057574024652/", "Công an xã Xuân La  tỉnh Bắc Kạn")</f>
      </c>
      <c r="C2610" t="str">
        <v>https://www.facebook.com/p/Tu%E1%BB%95i-tr%E1%BA%BB-C%C3%B4ng-an-t%E1%BB%89nh-B%E1%BA%AFc-K%E1%BA%A1n-100057574024652/</v>
      </c>
      <c r="D2610" t="str">
        <v>-</v>
      </c>
      <c r="E2610" t="str">
        <v/>
      </c>
      <c r="F2610" t="str">
        <v>-</v>
      </c>
      <c r="G2610" t="str">
        <v>-</v>
      </c>
    </row>
    <row r="2611">
      <c r="A2611">
        <v>2610</v>
      </c>
      <c r="B2611">
        <f>HYPERLINK("https://xuanla.pacnam.gov.vn/", "UBND Ủy ban nhân dân xã Xuân La  tỉnh Bắc Kạn")</f>
      </c>
      <c r="C2611" t="str">
        <v>https://xuanla.pacnam.gov.vn/</v>
      </c>
      <c r="D2611" t="str">
        <v>-</v>
      </c>
      <c r="E2611" t="str">
        <v>-</v>
      </c>
      <c r="F2611" t="str">
        <v>-</v>
      </c>
      <c r="G2611" t="str">
        <v>-</v>
      </c>
    </row>
    <row r="2612">
      <c r="A2612">
        <v>2611</v>
      </c>
      <c r="B2612">
        <f>HYPERLINK("https://www.facebook.com/p/Tu%E1%BB%95i-tr%E1%BA%BB-C%C3%B4ng-an-t%E1%BB%89nh-B%E1%BA%AFc-K%E1%BA%A1n-100057574024652/", "Công an xã An Thắng  tỉnh Bắc Kạn")</f>
      </c>
      <c r="C2612" t="str">
        <v>https://www.facebook.com/p/Tu%E1%BB%95i-tr%E1%BA%BB-C%C3%B4ng-an-t%E1%BB%89nh-B%E1%BA%AFc-K%E1%BA%A1n-100057574024652/</v>
      </c>
      <c r="D2612" t="str">
        <v>-</v>
      </c>
      <c r="E2612" t="str">
        <v/>
      </c>
      <c r="F2612" t="str">
        <v>-</v>
      </c>
      <c r="G2612" t="str">
        <v>-</v>
      </c>
    </row>
    <row r="2613">
      <c r="A2613">
        <v>2612</v>
      </c>
      <c r="B2613">
        <f>HYPERLINK("http://dongthang.chodon.backan.gov.vn/", "UBND Ủy ban nhân dân xã An Thắng  tỉnh Bắc Kạn")</f>
      </c>
      <c r="C2613" t="str">
        <v>http://dongthang.chodon.backan.gov.vn/</v>
      </c>
      <c r="D2613" t="str">
        <v>-</v>
      </c>
      <c r="E2613" t="str">
        <v>-</v>
      </c>
      <c r="F2613" t="str">
        <v>-</v>
      </c>
      <c r="G2613" t="str">
        <v>-</v>
      </c>
    </row>
    <row r="2614">
      <c r="A2614">
        <v>2613</v>
      </c>
      <c r="B2614" t="str">
        <v>Công an xã Cổ Linh  tỉnh Bắc Kạn</v>
      </c>
      <c r="C2614" t="str">
        <v>-</v>
      </c>
      <c r="D2614" t="str">
        <v>-</v>
      </c>
      <c r="E2614" t="str">
        <v/>
      </c>
      <c r="F2614" t="str">
        <v>-</v>
      </c>
      <c r="G2614" t="str">
        <v>-</v>
      </c>
    </row>
    <row r="2615">
      <c r="A2615">
        <v>2614</v>
      </c>
      <c r="B2615">
        <f>HYPERLINK("https://congbao.backan.gov.vn/congbao.nsf/1ec98b9a09cc68af47258116000c7559/af1e05fe41a2cade4725808e00260f59?OpenDocument", "UBND Ủy ban nhân dân xã Cổ Linh  tỉnh Bắc Kạn")</f>
      </c>
      <c r="C2615" t="str">
        <v>https://congbao.backan.gov.vn/congbao.nsf/1ec98b9a09cc68af47258116000c7559/af1e05fe41a2cade4725808e00260f59?OpenDocument</v>
      </c>
      <c r="D2615" t="str">
        <v>-</v>
      </c>
      <c r="E2615" t="str">
        <v>-</v>
      </c>
      <c r="F2615" t="str">
        <v>-</v>
      </c>
      <c r="G2615" t="str">
        <v>-</v>
      </c>
    </row>
    <row r="2616">
      <c r="A2616">
        <v>2615</v>
      </c>
      <c r="B2616">
        <f>HYPERLINK("https://www.facebook.com/p/C%C3%B4ng-an-x%C3%A3-Nghi%C3%AAn-Loan-100080281666445/", "Công an xã Nghiên Loan  tỉnh Bắc Kạn")</f>
      </c>
      <c r="C2616" t="str">
        <v>https://www.facebook.com/p/C%C3%B4ng-an-x%C3%A3-Nghi%C3%AAn-Loan-100080281666445/</v>
      </c>
      <c r="D2616" t="str">
        <v>-</v>
      </c>
      <c r="E2616" t="str">
        <v/>
      </c>
      <c r="F2616" t="str">
        <v>-</v>
      </c>
      <c r="G2616" t="str">
        <v>-</v>
      </c>
    </row>
    <row r="2617">
      <c r="A2617">
        <v>2616</v>
      </c>
      <c r="B2617">
        <f>HYPERLINK("https://pacnam.gov.vn/dai-bieu-hoi-dong-nhan-dan-tinh-bac-kan-tiep-xuc-cu-tri-cac-xa-xuan-la-nghien-loan-an-thang/", "UBND Ủy ban nhân dân xã Nghiên Loan  tỉnh Bắc Kạn")</f>
      </c>
      <c r="C2617" t="str">
        <v>https://pacnam.gov.vn/dai-bieu-hoi-dong-nhan-dan-tinh-bac-kan-tiep-xuc-cu-tri-cac-xa-xuan-la-nghien-loan-an-thang/</v>
      </c>
      <c r="D2617" t="str">
        <v>-</v>
      </c>
      <c r="E2617" t="str">
        <v>-</v>
      </c>
      <c r="F2617" t="str">
        <v>-</v>
      </c>
      <c r="G2617" t="str">
        <v>-</v>
      </c>
    </row>
    <row r="2618">
      <c r="A2618">
        <v>2617</v>
      </c>
      <c r="B2618">
        <f>HYPERLINK("https://www.facebook.com/DTNHSV.UET.VNU/albums/792354579208677/", "Công an xã Cao Tân  tỉnh Bắc Kạn")</f>
      </c>
      <c r="C2618" t="str">
        <v>https://www.facebook.com/DTNHSV.UET.VNU/albums/792354579208677/</v>
      </c>
      <c r="D2618" t="str">
        <v>-</v>
      </c>
      <c r="E2618" t="str">
        <v/>
      </c>
      <c r="F2618" t="str">
        <v>-</v>
      </c>
      <c r="G2618" t="str">
        <v>-</v>
      </c>
    </row>
    <row r="2619">
      <c r="A2619">
        <v>2618</v>
      </c>
      <c r="B2619">
        <f>HYPERLINK("https://caotan.pacnam.gov.vn/", "UBND Ủy ban nhân dân xã Cao Tân  tỉnh Bắc Kạn")</f>
      </c>
      <c r="C2619" t="str">
        <v>https://caotan.pacnam.gov.vn/</v>
      </c>
      <c r="D2619" t="str">
        <v>-</v>
      </c>
      <c r="E2619" t="str">
        <v>-</v>
      </c>
      <c r="F2619" t="str">
        <v>-</v>
      </c>
      <c r="G2619" t="str">
        <v>-</v>
      </c>
    </row>
    <row r="2620">
      <c r="A2620">
        <v>2619</v>
      </c>
      <c r="B2620">
        <f>HYPERLINK("https://www.facebook.com/p/C%C3%B4ng-an-th%E1%BB%8B-tr%E1%BA%A5n-Ch%E1%BB%A3-R%C3%A3-huy%E1%BB%87n-Ba-B%E1%BB%83-t%E1%BB%89nh-B%E1%BA%AFc-K%E1%BA%A1n-100036848301687/", "Công an thị trấn Chợ Rã  tỉnh Bắc Kạn")</f>
      </c>
      <c r="C2620" t="str">
        <v>https://www.facebook.com/p/C%C3%B4ng-an-th%E1%BB%8B-tr%E1%BA%A5n-Ch%E1%BB%A3-R%C3%A3-huy%E1%BB%87n-Ba-B%E1%BB%83-t%E1%BB%89nh-B%E1%BA%AFc-K%E1%BA%A1n-100036848301687/</v>
      </c>
      <c r="D2620" t="str">
        <v>-</v>
      </c>
      <c r="E2620" t="str">
        <v/>
      </c>
      <c r="F2620" t="str">
        <v>-</v>
      </c>
      <c r="G2620" t="str">
        <v>-</v>
      </c>
    </row>
    <row r="2621">
      <c r="A2621">
        <v>2620</v>
      </c>
      <c r="B2621">
        <f>HYPERLINK("https://hanhchinhcong.backan.gov.vn/portaldvc/Pages/2022-11-22/Ket-qua-kiem-tra-De-an-06-cua-Van-phong-UBND-tinh-by99s7o79u37.aspx", "UBND Ủy ban nhân dân thị trấn Chợ Rã  tỉnh Bắc Kạn")</f>
      </c>
      <c r="C2621" t="str">
        <v>https://hanhchinhcong.backan.gov.vn/portaldvc/Pages/2022-11-22/Ket-qua-kiem-tra-De-an-06-cua-Van-phong-UBND-tinh-by99s7o79u37.aspx</v>
      </c>
      <c r="D2621" t="str">
        <v>-</v>
      </c>
      <c r="E2621" t="str">
        <v>-</v>
      </c>
      <c r="F2621" t="str">
        <v>-</v>
      </c>
      <c r="G2621" t="str">
        <v>-</v>
      </c>
    </row>
    <row r="2622">
      <c r="A2622">
        <v>2621</v>
      </c>
      <c r="B2622" t="str">
        <v>Công an xã Bành Trạch  tỉnh Bắc Kạn</v>
      </c>
      <c r="C2622" t="str">
        <v>-</v>
      </c>
      <c r="D2622" t="str">
        <v>-</v>
      </c>
      <c r="E2622" t="str">
        <v/>
      </c>
      <c r="F2622" t="str">
        <v>-</v>
      </c>
      <c r="G2622" t="str">
        <v>-</v>
      </c>
    </row>
    <row r="2623">
      <c r="A2623">
        <v>2622</v>
      </c>
      <c r="B2623">
        <f>HYPERLINK("https://nguyenbinh.caobang.gov.vn/xa-phan-thanh", "UBND Ủy ban nhân dân xã Bành Trạch  tỉnh Bắc Kạn")</f>
      </c>
      <c r="C2623" t="str">
        <v>https://nguyenbinh.caobang.gov.vn/xa-phan-thanh</v>
      </c>
      <c r="D2623" t="str">
        <v>-</v>
      </c>
      <c r="E2623" t="str">
        <v>-</v>
      </c>
      <c r="F2623" t="str">
        <v>-</v>
      </c>
      <c r="G2623" t="str">
        <v>-</v>
      </c>
    </row>
    <row r="2624">
      <c r="A2624">
        <v>2623</v>
      </c>
      <c r="B2624" t="str">
        <v>Công an xã Phúc Lộc  tỉnh Bắc Kạn</v>
      </c>
      <c r="C2624" t="str">
        <v>-</v>
      </c>
      <c r="D2624" t="str">
        <v>-</v>
      </c>
      <c r="E2624" t="str">
        <v/>
      </c>
      <c r="F2624" t="str">
        <v>-</v>
      </c>
      <c r="G2624" t="str">
        <v>-</v>
      </c>
    </row>
    <row r="2625">
      <c r="A2625">
        <v>2624</v>
      </c>
      <c r="B2625">
        <f>HYPERLINK("https://babe.gov.vn/dang-bo-so-y-te-khanh-thanh-doan-duong-be-tong-thieng-diem-phia-khao-thuc-hien-mo-hinh-dan-van-kheo-giup-do-xa-phuc-loc-xay-dung-ntm/", "UBND Ủy ban nhân dân xã Phúc Lộc  tỉnh Bắc Kạn")</f>
      </c>
      <c r="C2625" t="str">
        <v>https://babe.gov.vn/dang-bo-so-y-te-khanh-thanh-doan-duong-be-tong-thieng-diem-phia-khao-thuc-hien-mo-hinh-dan-van-kheo-giup-do-xa-phuc-loc-xay-dung-ntm/</v>
      </c>
      <c r="D2625" t="str">
        <v>-</v>
      </c>
      <c r="E2625" t="str">
        <v>-</v>
      </c>
      <c r="F2625" t="str">
        <v>-</v>
      </c>
      <c r="G2625" t="str">
        <v>-</v>
      </c>
    </row>
    <row r="2626">
      <c r="A2626">
        <v>2625</v>
      </c>
      <c r="B2626">
        <f>HYPERLINK("https://www.facebook.com/p/Tu%E1%BB%95i-tr%E1%BA%BB-C%C3%B4ng-an-t%E1%BB%89nh-B%E1%BA%AFc-K%E1%BA%A1n-100057574024652/", "Công an xã Hà Hiệu  tỉnh Bắc Kạn")</f>
      </c>
      <c r="C2626" t="str">
        <v>https://www.facebook.com/p/Tu%E1%BB%95i-tr%E1%BA%BB-C%C3%B4ng-an-t%E1%BB%89nh-B%E1%BA%AFc-K%E1%BA%A1n-100057574024652/</v>
      </c>
      <c r="D2626" t="str">
        <v>-</v>
      </c>
      <c r="E2626" t="str">
        <v/>
      </c>
      <c r="F2626" t="str">
        <v>-</v>
      </c>
      <c r="G2626" t="str">
        <v>-</v>
      </c>
    </row>
    <row r="2627">
      <c r="A2627">
        <v>2626</v>
      </c>
      <c r="B2627">
        <f>HYPERLINK("https://babe.gov.vn/ba-be-lap-dat-bia-di-tich-lich-su-thon-khuoi-man-xa-ha-hieu/", "UBND Ủy ban nhân dân xã Hà Hiệu  tỉnh Bắc Kạn")</f>
      </c>
      <c r="C2627" t="str">
        <v>https://babe.gov.vn/ba-be-lap-dat-bia-di-tich-lich-su-thon-khuoi-man-xa-ha-hieu/</v>
      </c>
      <c r="D2627" t="str">
        <v>-</v>
      </c>
      <c r="E2627" t="str">
        <v>-</v>
      </c>
      <c r="F2627" t="str">
        <v>-</v>
      </c>
      <c r="G2627" t="str">
        <v>-</v>
      </c>
    </row>
    <row r="2628">
      <c r="A2628">
        <v>2627</v>
      </c>
      <c r="B2628">
        <f>HYPERLINK("https://www.facebook.com/p/Tu%E1%BB%95i-tr%E1%BA%BB-C%C3%B4ng-an-t%E1%BB%89nh-B%E1%BA%AFc-K%E1%BA%A1n-100057574024652/", "Công an xã Cao Thượng  tỉnh Bắc Kạn")</f>
      </c>
      <c r="C2628" t="str">
        <v>https://www.facebook.com/p/Tu%E1%BB%95i-tr%E1%BA%BB-C%C3%B4ng-an-t%E1%BB%89nh-B%E1%BA%AFc-K%E1%BA%A1n-100057574024652/</v>
      </c>
      <c r="D2628" t="str">
        <v>-</v>
      </c>
      <c r="E2628" t="str">
        <v/>
      </c>
      <c r="F2628" t="str">
        <v>-</v>
      </c>
      <c r="G2628" t="str">
        <v>-</v>
      </c>
    </row>
    <row r="2629">
      <c r="A2629">
        <v>2628</v>
      </c>
      <c r="B2629">
        <f>HYPERLINK("https://caothuong.babe.gov.vn/", "UBND Ủy ban nhân dân xã Cao Thượng  tỉnh Bắc Kạn")</f>
      </c>
      <c r="C2629" t="str">
        <v>https://caothuong.babe.gov.vn/</v>
      </c>
      <c r="D2629" t="str">
        <v>-</v>
      </c>
      <c r="E2629" t="str">
        <v>-</v>
      </c>
      <c r="F2629" t="str">
        <v>-</v>
      </c>
      <c r="G2629" t="str">
        <v>-</v>
      </c>
    </row>
    <row r="2630">
      <c r="A2630">
        <v>2629</v>
      </c>
      <c r="B2630">
        <f>HYPERLINK("https://www.facebook.com/TuoitreConganCaoBang/?locale=bn_IN", "Công an xã Cao Trĩ  tỉnh Bắc Kạn")</f>
      </c>
      <c r="C2630" t="str">
        <v>https://www.facebook.com/TuoitreConganCaoBang/?locale=bn_IN</v>
      </c>
      <c r="D2630" t="str">
        <v>-</v>
      </c>
      <c r="E2630" t="str">
        <v/>
      </c>
      <c r="F2630" t="str">
        <v>-</v>
      </c>
      <c r="G2630" t="str">
        <v>-</v>
      </c>
    </row>
    <row r="2631">
      <c r="A2631">
        <v>2630</v>
      </c>
      <c r="B2631">
        <f>HYPERLINK("https://dichvucong.gov.vn/p/home/dvc-tthc-co-quan-chi-tiet.html?id=400302", "UBND Ủy ban nhân dân xã Cao Trĩ  tỉnh Bắc Kạn")</f>
      </c>
      <c r="C2631" t="str">
        <v>https://dichvucong.gov.vn/p/home/dvc-tthc-co-quan-chi-tiet.html?id=400302</v>
      </c>
      <c r="D2631" t="str">
        <v>-</v>
      </c>
      <c r="E2631" t="str">
        <v>-</v>
      </c>
      <c r="F2631" t="str">
        <v>-</v>
      </c>
      <c r="G2631" t="str">
        <v>-</v>
      </c>
    </row>
    <row r="2632">
      <c r="A2632">
        <v>2631</v>
      </c>
      <c r="B2632">
        <f>HYPERLINK("https://www.facebook.com/p/Tu%E1%BB%95i-tr%E1%BA%BB-C%C3%B4ng-an-t%E1%BB%89nh-B%E1%BA%AFc-K%E1%BA%A1n-100057574024652/", "Công an xã Khang Ninh  tỉnh Bắc Kạn")</f>
      </c>
      <c r="C2632" t="str">
        <v>https://www.facebook.com/p/Tu%E1%BB%95i-tr%E1%BA%BB-C%C3%B4ng-an-t%E1%BB%89nh-B%E1%BA%AFc-K%E1%BA%A1n-100057574024652/</v>
      </c>
      <c r="D2632" t="str">
        <v>-</v>
      </c>
      <c r="E2632" t="str">
        <v/>
      </c>
      <c r="F2632" t="str">
        <v>-</v>
      </c>
      <c r="G2632" t="str">
        <v>-</v>
      </c>
    </row>
    <row r="2633">
      <c r="A2633">
        <v>2632</v>
      </c>
      <c r="B2633">
        <f>HYPERLINK("https://sotuphap.backan.gov.vn/chinh-sach-uu-dai-co-hoi-dau-tu/chu-truong-dau-tu-cong-trinh-cai-tao-nang-cap-duong-don-den-na-mo-xa-khang-ninh-huyen-ba-be-tinh-101387", "UBND Ủy ban nhân dân xã Khang Ninh  tỉnh Bắc Kạn")</f>
      </c>
      <c r="C2633" t="str">
        <v>https://sotuphap.backan.gov.vn/chinh-sach-uu-dai-co-hoi-dau-tu/chu-truong-dau-tu-cong-trinh-cai-tao-nang-cap-duong-don-den-na-mo-xa-khang-ninh-huyen-ba-be-tinh-101387</v>
      </c>
      <c r="D2633" t="str">
        <v>-</v>
      </c>
      <c r="E2633" t="str">
        <v>-</v>
      </c>
      <c r="F2633" t="str">
        <v>-</v>
      </c>
      <c r="G2633" t="str">
        <v>-</v>
      </c>
    </row>
    <row r="2634">
      <c r="A2634">
        <v>2633</v>
      </c>
      <c r="B2634" t="str">
        <v>Công an xã Nam Mẫu  tỉnh Bắc Kạn</v>
      </c>
      <c r="C2634" t="str">
        <v>-</v>
      </c>
      <c r="D2634" t="str">
        <v>-</v>
      </c>
      <c r="E2634" t="str">
        <v/>
      </c>
      <c r="F2634" t="str">
        <v>-</v>
      </c>
      <c r="G2634" t="str">
        <v>-</v>
      </c>
    </row>
    <row r="2635">
      <c r="A2635">
        <v>2634</v>
      </c>
      <c r="B2635">
        <f>HYPERLINK("https://congbao.backan.gov.vn/congbaonew.nsf/6BCB42EE64AC7FA84725873B002ACC02/$file/QD_1477_signed.pdf", "UBND Ủy ban nhân dân xã Nam Mẫu  tỉnh Bắc Kạn")</f>
      </c>
      <c r="C2635" t="str">
        <v>https://congbao.backan.gov.vn/congbaonew.nsf/6BCB42EE64AC7FA84725873B002ACC02/$file/QD_1477_signed.pdf</v>
      </c>
      <c r="D2635" t="str">
        <v>-</v>
      </c>
      <c r="E2635" t="str">
        <v>-</v>
      </c>
      <c r="F2635" t="str">
        <v>-</v>
      </c>
      <c r="G2635" t="str">
        <v>-</v>
      </c>
    </row>
    <row r="2636">
      <c r="A2636">
        <v>2635</v>
      </c>
      <c r="B2636">
        <f>HYPERLINK("https://www.facebook.com/p/Tu%E1%BB%95i-tr%E1%BA%BB-C%C3%B4ng-an-t%E1%BB%89nh-B%E1%BA%AFc-K%E1%BA%A1n-100057574024652/", "Công an xã Thượng Giáo  tỉnh Bắc Kạn")</f>
      </c>
      <c r="C2636" t="str">
        <v>https://www.facebook.com/p/Tu%E1%BB%95i-tr%E1%BA%BB-C%C3%B4ng-an-t%E1%BB%89nh-B%E1%BA%AFc-K%E1%BA%A1n-100057574024652/</v>
      </c>
      <c r="D2636" t="str">
        <v>-</v>
      </c>
      <c r="E2636" t="str">
        <v/>
      </c>
      <c r="F2636" t="str">
        <v>-</v>
      </c>
      <c r="G2636" t="str">
        <v>-</v>
      </c>
    </row>
    <row r="2637">
      <c r="A2637">
        <v>2636</v>
      </c>
      <c r="B2637">
        <f>HYPERLINK("https://thuonggiao.babe.gov.vn/", "UBND Ủy ban nhân dân xã Thượng Giáo  tỉnh Bắc Kạn")</f>
      </c>
      <c r="C2637" t="str">
        <v>https://thuonggiao.babe.gov.vn/</v>
      </c>
      <c r="D2637" t="str">
        <v>-</v>
      </c>
      <c r="E2637" t="str">
        <v>-</v>
      </c>
      <c r="F2637" t="str">
        <v>-</v>
      </c>
      <c r="G2637" t="str">
        <v>-</v>
      </c>
    </row>
    <row r="2638">
      <c r="A2638">
        <v>2637</v>
      </c>
      <c r="B2638">
        <f>HYPERLINK("https://www.facebook.com/p/Tu%E1%BB%95i-tr%E1%BA%BB-C%C3%B4ng-an-t%E1%BB%89nh-B%E1%BA%AFc-K%E1%BA%A1n-100057574024652/", "Công an xã Địa Linh  tỉnh Bắc Kạn")</f>
      </c>
      <c r="C2638" t="str">
        <v>https://www.facebook.com/p/Tu%E1%BB%95i-tr%E1%BA%BB-C%C3%B4ng-an-t%E1%BB%89nh-B%E1%BA%AFc-K%E1%BA%A1n-100057574024652/</v>
      </c>
      <c r="D2638" t="str">
        <v>-</v>
      </c>
      <c r="E2638" t="str">
        <v/>
      </c>
      <c r="F2638" t="str">
        <v>-</v>
      </c>
      <c r="G2638" t="str">
        <v>-</v>
      </c>
    </row>
    <row r="2639">
      <c r="A2639">
        <v>2638</v>
      </c>
      <c r="B2639">
        <f>HYPERLINK("https://backan.gov.vn/pages/uy-ban-nhan-dan-tinh-e8fd.aspx", "UBND Ủy ban nhân dân xã Địa Linh  tỉnh Bắc Kạn")</f>
      </c>
      <c r="C2639" t="str">
        <v>https://backan.gov.vn/pages/uy-ban-nhan-dan-tinh-e8fd.aspx</v>
      </c>
      <c r="D2639" t="str">
        <v>-</v>
      </c>
      <c r="E2639" t="str">
        <v>-</v>
      </c>
      <c r="F2639" t="str">
        <v>-</v>
      </c>
      <c r="G2639" t="str">
        <v>-</v>
      </c>
    </row>
    <row r="2640">
      <c r="A2640">
        <v>2639</v>
      </c>
      <c r="B2640">
        <f>HYPERLINK("https://www.facebook.com/reel/1463373194547344/", "Công an xã Yến Dương  tỉnh Bắc Kạn")</f>
      </c>
      <c r="C2640" t="str">
        <v>https://www.facebook.com/reel/1463373194547344/</v>
      </c>
      <c r="D2640" t="str">
        <v>-</v>
      </c>
      <c r="E2640" t="str">
        <v/>
      </c>
      <c r="F2640" t="str">
        <v>-</v>
      </c>
      <c r="G2640" t="str">
        <v>-</v>
      </c>
    </row>
    <row r="2641">
      <c r="A2641">
        <v>2640</v>
      </c>
      <c r="B2641">
        <f>HYPERLINK("https://backan.toaan.gov.vn/webcenter/portal/backan/chitietthongbao?dDocName=TAND021917", "UBND Ủy ban nhân dân xã Yến Dương  tỉnh Bắc Kạn")</f>
      </c>
      <c r="C2641" t="str">
        <v>https://backan.toaan.gov.vn/webcenter/portal/backan/chitietthongbao?dDocName=TAND021917</v>
      </c>
      <c r="D2641" t="str">
        <v>-</v>
      </c>
      <c r="E2641" t="str">
        <v>-</v>
      </c>
      <c r="F2641" t="str">
        <v>-</v>
      </c>
      <c r="G2641" t="str">
        <v>-</v>
      </c>
    </row>
    <row r="2642">
      <c r="A2642">
        <v>2641</v>
      </c>
      <c r="B2642" t="str">
        <v>Công an xã Chu Hương  tỉnh Bắc Kạn</v>
      </c>
      <c r="C2642" t="str">
        <v>-</v>
      </c>
      <c r="D2642" t="str">
        <v>-</v>
      </c>
      <c r="E2642" t="str">
        <v/>
      </c>
      <c r="F2642" t="str">
        <v>-</v>
      </c>
      <c r="G2642" t="str">
        <v>-</v>
      </c>
    </row>
    <row r="2643">
      <c r="A2643">
        <v>2642</v>
      </c>
      <c r="B2643">
        <f>HYPERLINK("https://backan.gov.vn/Pages/van-ban.aspx?uid=07fee6f3-5e14-42c0-9d60-1de3038741c9&amp;itemid=4205", "UBND Ủy ban nhân dân xã Chu Hương  tỉnh Bắc Kạn")</f>
      </c>
      <c r="C2643" t="str">
        <v>https://backan.gov.vn/Pages/van-ban.aspx?uid=07fee6f3-5e14-42c0-9d60-1de3038741c9&amp;itemid=4205</v>
      </c>
      <c r="D2643" t="str">
        <v>-</v>
      </c>
      <c r="E2643" t="str">
        <v>-</v>
      </c>
      <c r="F2643" t="str">
        <v>-</v>
      </c>
      <c r="G2643" t="str">
        <v>-</v>
      </c>
    </row>
    <row r="2644">
      <c r="A2644">
        <v>2643</v>
      </c>
      <c r="B2644" t="str">
        <v>Công an xã Quảng Khê  tỉnh Bắc Kạn</v>
      </c>
      <c r="C2644" t="str">
        <v>-</v>
      </c>
      <c r="D2644" t="str">
        <v>-</v>
      </c>
      <c r="E2644" t="str">
        <v/>
      </c>
      <c r="F2644" t="str">
        <v>-</v>
      </c>
      <c r="G2644" t="str">
        <v>-</v>
      </c>
    </row>
    <row r="2645">
      <c r="A2645">
        <v>2644</v>
      </c>
      <c r="B2645">
        <f>HYPERLINK("https://quangkhe.babe.gov.vn/", "UBND Ủy ban nhân dân xã Quảng Khê  tỉnh Bắc Kạn")</f>
      </c>
      <c r="C2645" t="str">
        <v>https://quangkhe.babe.gov.vn/</v>
      </c>
      <c r="D2645" t="str">
        <v>-</v>
      </c>
      <c r="E2645" t="str">
        <v>-</v>
      </c>
      <c r="F2645" t="str">
        <v>-</v>
      </c>
      <c r="G2645" t="str">
        <v>-</v>
      </c>
    </row>
    <row r="2646">
      <c r="A2646">
        <v>2645</v>
      </c>
      <c r="B2646">
        <f>HYPERLINK("https://www.facebook.com/100091599660988", "Công an xã Mỹ Phương  tỉnh Bắc Kạn")</f>
      </c>
      <c r="C2646" t="str">
        <v>https://www.facebook.com/100091599660988</v>
      </c>
      <c r="D2646" t="str">
        <v>-</v>
      </c>
      <c r="E2646" t="str">
        <v>0964266688</v>
      </c>
      <c r="F2646" t="str">
        <v>caxamyphuong@gmail.com</v>
      </c>
      <c r="G2646" t="str">
        <v>Bac Kan, Vietnam</v>
      </c>
    </row>
    <row r="2647">
      <c r="A2647">
        <v>2646</v>
      </c>
      <c r="B2647">
        <f>HYPERLINK("https://backan.gov.vn/pages/xa-my-phuong-no-luc-khong-lo-hen-chuan-nong-thon-moi-a7f9.aspx", "UBND Ủy ban nhân dân xã Mỹ Phương  tỉnh Bắc Kạn")</f>
      </c>
      <c r="C2647" t="str">
        <v>https://backan.gov.vn/pages/xa-my-phuong-no-luc-khong-lo-hen-chuan-nong-thon-moi-a7f9.aspx</v>
      </c>
      <c r="D2647" t="str">
        <v>-</v>
      </c>
      <c r="E2647" t="str">
        <v>-</v>
      </c>
      <c r="F2647" t="str">
        <v>-</v>
      </c>
      <c r="G2647" t="str">
        <v>-</v>
      </c>
    </row>
    <row r="2648">
      <c r="A2648">
        <v>2647</v>
      </c>
      <c r="B2648" t="str">
        <v>Công an xã Hoàng Trĩ  tỉnh Bắc Kạn</v>
      </c>
      <c r="C2648" t="str">
        <v>-</v>
      </c>
      <c r="D2648" t="str">
        <v>-</v>
      </c>
      <c r="E2648" t="str">
        <v/>
      </c>
      <c r="F2648" t="str">
        <v>-</v>
      </c>
      <c r="G2648" t="str">
        <v>-</v>
      </c>
    </row>
    <row r="2649">
      <c r="A2649">
        <v>2648</v>
      </c>
      <c r="B2649">
        <f>HYPERLINK("https://sonoivu.backan.gov.vn/kiem-tra-cong-vu-dot-xuat-tai-mot-so-co-quan-don-vi-tren-dia-ban-huye%CC%A3n-ba-be%CC%89/", "UBND Ủy ban nhân dân xã Hoàng Trĩ  tỉnh Bắc Kạn")</f>
      </c>
      <c r="C2649" t="str">
        <v>https://sonoivu.backan.gov.vn/kiem-tra-cong-vu-dot-xuat-tai-mot-so-co-quan-don-vi-tren-dia-ban-huye%CC%A3n-ba-be%CC%89/</v>
      </c>
      <c r="D2649" t="str">
        <v>-</v>
      </c>
      <c r="E2649" t="str">
        <v>-</v>
      </c>
      <c r="F2649" t="str">
        <v>-</v>
      </c>
      <c r="G2649" t="str">
        <v>-</v>
      </c>
    </row>
    <row r="2650">
      <c r="A2650">
        <v>2649</v>
      </c>
      <c r="B2650" t="str">
        <v>Công an xã Đồng Phúc  tỉnh Bắc Kạn</v>
      </c>
      <c r="C2650" t="str">
        <v>-</v>
      </c>
      <c r="D2650" t="str">
        <v>-</v>
      </c>
      <c r="E2650" t="str">
        <v/>
      </c>
      <c r="F2650" t="str">
        <v>-</v>
      </c>
      <c r="G2650" t="str">
        <v>-</v>
      </c>
    </row>
    <row r="2651">
      <c r="A2651">
        <v>2650</v>
      </c>
      <c r="B2651">
        <f>HYPERLINK("https://congbao.backan.gov.vn/congbao.nsf/4A88527D5F330C09472584B6001566FC/$file/QD_2089.signed.pdf", "UBND Ủy ban nhân dân xã Đồng Phúc  tỉnh Bắc Kạn")</f>
      </c>
      <c r="C2651" t="str">
        <v>https://congbao.backan.gov.vn/congbao.nsf/4A88527D5F330C09472584B6001566FC/$file/QD_2089.signed.pdf</v>
      </c>
      <c r="D2651" t="str">
        <v>-</v>
      </c>
      <c r="E2651" t="str">
        <v>-</v>
      </c>
      <c r="F2651" t="str">
        <v>-</v>
      </c>
      <c r="G2651" t="str">
        <v>-</v>
      </c>
    </row>
    <row r="2652">
      <c r="A2652">
        <v>2651</v>
      </c>
      <c r="B2652">
        <f>HYPERLINK("https://www.facebook.com/cattnaphac/", "Công an thị trấn Nà Phặc  tỉnh Bắc Kạn")</f>
      </c>
      <c r="C2652" t="str">
        <v>https://www.facebook.com/cattnaphac/</v>
      </c>
      <c r="D2652" t="str">
        <v>-</v>
      </c>
      <c r="E2652" t="str">
        <v/>
      </c>
      <c r="F2652" t="str">
        <v>-</v>
      </c>
      <c r="G2652" t="str">
        <v>-</v>
      </c>
    </row>
    <row r="2653">
      <c r="A2653">
        <v>2652</v>
      </c>
      <c r="B2653">
        <f>HYPERLINK("https://nganson.backan.gov.vn/index.php?com=gioithieu&amp;id=39", "UBND Ủy ban nhân dân thị trấn Nà Phặc  tỉnh Bắc Kạn")</f>
      </c>
      <c r="C2653" t="str">
        <v>https://nganson.backan.gov.vn/index.php?com=gioithieu&amp;id=39</v>
      </c>
      <c r="D2653" t="str">
        <v>-</v>
      </c>
      <c r="E2653" t="str">
        <v>-</v>
      </c>
      <c r="F2653" t="str">
        <v>-</v>
      </c>
      <c r="G2653" t="str">
        <v>-</v>
      </c>
    </row>
    <row r="2654">
      <c r="A2654">
        <v>2653</v>
      </c>
      <c r="B2654">
        <f>HYPERLINK("https://www.facebook.com/p/Tu%E1%BB%95i-tr%E1%BA%BB-C%C3%B4ng-an-t%E1%BB%89nh-B%E1%BA%AFc-K%E1%BA%A1n-100057574024652/", "Công an xã Thượng Ân  tỉnh Bắc Kạn")</f>
      </c>
      <c r="C2654" t="str">
        <v>https://www.facebook.com/p/Tu%E1%BB%95i-tr%E1%BA%BB-C%C3%B4ng-an-t%E1%BB%89nh-B%E1%BA%AFc-K%E1%BA%A1n-100057574024652/</v>
      </c>
      <c r="D2654" t="str">
        <v>-</v>
      </c>
      <c r="E2654" t="str">
        <v/>
      </c>
      <c r="F2654" t="str">
        <v>-</v>
      </c>
      <c r="G2654" t="str">
        <v>-</v>
      </c>
    </row>
    <row r="2655">
      <c r="A2655">
        <v>2654</v>
      </c>
      <c r="B2655">
        <f>HYPERLINK("https://nganson.backan.gov.vn/index.php?com=gioithieu&amp;id=44", "UBND Ủy ban nhân dân xã Thượng Ân  tỉnh Bắc Kạn")</f>
      </c>
      <c r="C2655" t="str">
        <v>https://nganson.backan.gov.vn/index.php?com=gioithieu&amp;id=44</v>
      </c>
      <c r="D2655" t="str">
        <v>-</v>
      </c>
      <c r="E2655" t="str">
        <v>-</v>
      </c>
      <c r="F2655" t="str">
        <v>-</v>
      </c>
      <c r="G2655" t="str">
        <v>-</v>
      </c>
    </row>
    <row r="2656">
      <c r="A2656">
        <v>2655</v>
      </c>
      <c r="B2656">
        <f>HYPERLINK("https://www.facebook.com/p/Tu%E1%BB%95i-tr%E1%BA%BB-C%C3%B4ng-an-t%E1%BB%89nh-B%E1%BA%AFc-K%E1%BA%A1n-100057574024652/", "Công an xã Bằng Vân  tỉnh Bắc Kạn")</f>
      </c>
      <c r="C2656" t="str">
        <v>https://www.facebook.com/p/Tu%E1%BB%95i-tr%E1%BA%BB-C%C3%B4ng-an-t%E1%BB%89nh-B%E1%BA%AFc-K%E1%BA%A1n-100057574024652/</v>
      </c>
      <c r="D2656" t="str">
        <v>-</v>
      </c>
      <c r="E2656" t="str">
        <v/>
      </c>
      <c r="F2656" t="str">
        <v>-</v>
      </c>
      <c r="G2656" t="str">
        <v>-</v>
      </c>
    </row>
    <row r="2657">
      <c r="A2657">
        <v>2656</v>
      </c>
      <c r="B2657">
        <f>HYPERLINK("https://nganson.backan.gov.vn/index.php?com=gioithieu&amp;id=40", "UBND Ủy ban nhân dân xã Bằng Vân  tỉnh Bắc Kạn")</f>
      </c>
      <c r="C2657" t="str">
        <v>https://nganson.backan.gov.vn/index.php?com=gioithieu&amp;id=40</v>
      </c>
      <c r="D2657" t="str">
        <v>-</v>
      </c>
      <c r="E2657" t="str">
        <v>-</v>
      </c>
      <c r="F2657" t="str">
        <v>-</v>
      </c>
      <c r="G2657" t="str">
        <v>-</v>
      </c>
    </row>
    <row r="2658">
      <c r="A2658">
        <v>2657</v>
      </c>
      <c r="B2658" t="str">
        <v>Công an xã Cốc Đán  tỉnh Bắc Kạn</v>
      </c>
      <c r="C2658" t="str">
        <v>-</v>
      </c>
      <c r="D2658" t="str">
        <v>-</v>
      </c>
      <c r="E2658" t="str">
        <v/>
      </c>
      <c r="F2658" t="str">
        <v>-</v>
      </c>
      <c r="G2658" t="str">
        <v>-</v>
      </c>
    </row>
    <row r="2659">
      <c r="A2659">
        <v>2658</v>
      </c>
      <c r="B2659">
        <f>HYPERLINK("https://nganson.backan.gov.vn/index.php?com=gioithieu&amp;id=41", "UBND Ủy ban nhân dân xã Cốc Đán  tỉnh Bắc Kạn")</f>
      </c>
      <c r="C2659" t="str">
        <v>https://nganson.backan.gov.vn/index.php?com=gioithieu&amp;id=41</v>
      </c>
      <c r="D2659" t="str">
        <v>-</v>
      </c>
      <c r="E2659" t="str">
        <v>-</v>
      </c>
      <c r="F2659" t="str">
        <v>-</v>
      </c>
      <c r="G2659" t="str">
        <v>-</v>
      </c>
    </row>
    <row r="2660">
      <c r="A2660">
        <v>2659</v>
      </c>
      <c r="B2660">
        <f>HYPERLINK("https://www.facebook.com/p/Tu%E1%BB%95i-tr%E1%BA%BB-C%C3%B4ng-an-t%E1%BB%89nh-B%E1%BA%AFc-K%E1%BA%A1n-100057574024652/", "Công an xã Trung Hoà  tỉnh Bắc Kạn")</f>
      </c>
      <c r="C2660" t="str">
        <v>https://www.facebook.com/p/Tu%E1%BB%95i-tr%E1%BA%BB-C%C3%B4ng-an-t%E1%BB%89nh-B%E1%BA%AFc-K%E1%BA%A1n-100057574024652/</v>
      </c>
      <c r="D2660" t="str">
        <v>-</v>
      </c>
      <c r="E2660" t="str">
        <v/>
      </c>
      <c r="F2660" t="str">
        <v>-</v>
      </c>
      <c r="G2660" t="str">
        <v>-</v>
      </c>
    </row>
    <row r="2661">
      <c r="A2661">
        <v>2660</v>
      </c>
      <c r="B2661">
        <f>HYPERLINK("https://nganson.backan.gov.vn/index.php?com=gioithieu&amp;id=46", "UBND Ủy ban nhân dân xã Trung Hoà  tỉnh Bắc Kạn")</f>
      </c>
      <c r="C2661" t="str">
        <v>https://nganson.backan.gov.vn/index.php?com=gioithieu&amp;id=46</v>
      </c>
      <c r="D2661" t="str">
        <v>-</v>
      </c>
      <c r="E2661" t="str">
        <v>-</v>
      </c>
      <c r="F2661" t="str">
        <v>-</v>
      </c>
      <c r="G2661" t="str">
        <v>-</v>
      </c>
    </row>
    <row r="2662">
      <c r="A2662">
        <v>2661</v>
      </c>
      <c r="B2662" t="str">
        <v>Công an xã Đức Vân  tỉnh Bắc Kạn</v>
      </c>
      <c r="C2662" t="str">
        <v>-</v>
      </c>
      <c r="D2662" t="str">
        <v>-</v>
      </c>
      <c r="E2662" t="str">
        <v/>
      </c>
      <c r="F2662" t="str">
        <v>-</v>
      </c>
      <c r="G2662" t="str">
        <v>-</v>
      </c>
    </row>
    <row r="2663">
      <c r="A2663">
        <v>2662</v>
      </c>
      <c r="B2663">
        <f>HYPERLINK("https://nganson.backan.gov.vn/index.php?com=gioithieu&amp;id=42", "UBND Ủy ban nhân dân xã Đức Vân  tỉnh Bắc Kạn")</f>
      </c>
      <c r="C2663" t="str">
        <v>https://nganson.backan.gov.vn/index.php?com=gioithieu&amp;id=42</v>
      </c>
      <c r="D2663" t="str">
        <v>-</v>
      </c>
      <c r="E2663" t="str">
        <v>-</v>
      </c>
      <c r="F2663" t="str">
        <v>-</v>
      </c>
      <c r="G2663" t="str">
        <v>-</v>
      </c>
    </row>
    <row r="2664">
      <c r="A2664">
        <v>2663</v>
      </c>
      <c r="B2664" t="str">
        <v>Công an xã Vân Tùng  tỉnh Bắc Kạn</v>
      </c>
      <c r="C2664" t="str">
        <v>-</v>
      </c>
      <c r="D2664" t="str">
        <v>-</v>
      </c>
      <c r="E2664" t="str">
        <v/>
      </c>
      <c r="F2664" t="str">
        <v>-</v>
      </c>
      <c r="G2664" t="str">
        <v>-</v>
      </c>
    </row>
    <row r="2665">
      <c r="A2665">
        <v>2664</v>
      </c>
      <c r="B2665">
        <f>HYPERLINK("https://nganson.backan.gov.vn/index.php?com=gioithieu&amp;id=38", "UBND Ủy ban nhân dân xã Vân Tùng  tỉnh Bắc Kạn")</f>
      </c>
      <c r="C2665" t="str">
        <v>https://nganson.backan.gov.vn/index.php?com=gioithieu&amp;id=38</v>
      </c>
      <c r="D2665" t="str">
        <v>-</v>
      </c>
      <c r="E2665" t="str">
        <v>-</v>
      </c>
      <c r="F2665" t="str">
        <v>-</v>
      </c>
      <c r="G2665" t="str">
        <v>-</v>
      </c>
    </row>
    <row r="2666">
      <c r="A2666">
        <v>2665</v>
      </c>
      <c r="B2666">
        <f>HYPERLINK("https://www.facebook.com/p/Tu%E1%BB%95i-tr%E1%BA%BB-C%C3%B4ng-an-t%E1%BB%89nh-B%E1%BA%AFc-K%E1%BA%A1n-100057574024652/", "Công an xã Thượng Quan  tỉnh Bắc Kạn")</f>
      </c>
      <c r="C2666" t="str">
        <v>https://www.facebook.com/p/Tu%E1%BB%95i-tr%E1%BA%BB-C%C3%B4ng-an-t%E1%BB%89nh-B%E1%BA%AFc-K%E1%BA%A1n-100057574024652/</v>
      </c>
      <c r="D2666" t="str">
        <v>-</v>
      </c>
      <c r="E2666" t="str">
        <v/>
      </c>
      <c r="F2666" t="str">
        <v>-</v>
      </c>
      <c r="G2666" t="str">
        <v>-</v>
      </c>
    </row>
    <row r="2667">
      <c r="A2667">
        <v>2666</v>
      </c>
      <c r="B2667">
        <f>HYPERLINK("https://nganson.backan.gov.vn/index.php?com=gioithieu&amp;id=45", "UBND Ủy ban nhân dân xã Thượng Quan  tỉnh Bắc Kạn")</f>
      </c>
      <c r="C2667" t="str">
        <v>https://nganson.backan.gov.vn/index.php?com=gioithieu&amp;id=45</v>
      </c>
      <c r="D2667" t="str">
        <v>-</v>
      </c>
      <c r="E2667" t="str">
        <v>-</v>
      </c>
      <c r="F2667" t="str">
        <v>-</v>
      </c>
      <c r="G2667" t="str">
        <v>-</v>
      </c>
    </row>
    <row r="2668">
      <c r="A2668">
        <v>2667</v>
      </c>
      <c r="B2668" t="str">
        <v>Công an xã Lãng Ngâm  tỉnh Bắc Kạn</v>
      </c>
      <c r="C2668" t="str">
        <v>-</v>
      </c>
      <c r="D2668" t="str">
        <v>-</v>
      </c>
      <c r="E2668" t="str">
        <v/>
      </c>
      <c r="F2668" t="str">
        <v>-</v>
      </c>
      <c r="G2668" t="str">
        <v>-</v>
      </c>
    </row>
    <row r="2669">
      <c r="A2669">
        <v>2668</v>
      </c>
      <c r="B2669">
        <f>HYPERLINK("https://nganson.backan.gov.vn/index.php?com=gioithieu&amp;id=47", "UBND Ủy ban nhân dân xã Lãng Ngâm  tỉnh Bắc Kạn")</f>
      </c>
      <c r="C2669" t="str">
        <v>https://nganson.backan.gov.vn/index.php?com=gioithieu&amp;id=47</v>
      </c>
      <c r="D2669" t="str">
        <v>-</v>
      </c>
      <c r="E2669" t="str">
        <v>-</v>
      </c>
      <c r="F2669" t="str">
        <v>-</v>
      </c>
      <c r="G2669" t="str">
        <v>-</v>
      </c>
    </row>
    <row r="2670">
      <c r="A2670">
        <v>2669</v>
      </c>
      <c r="B2670">
        <f>HYPERLINK("https://www.facebook.com/p/C%C3%B4ng-an-x%C3%A3-Thu%E1%BA%A7n-Mang-huy%E1%BB%87n-Ng%C3%A2n-S%C6%A1n-100079702992156/", "Công an xã Thuần Mang  tỉnh Bắc Kạn")</f>
      </c>
      <c r="C2670" t="str">
        <v>https://www.facebook.com/p/C%C3%B4ng-an-x%C3%A3-Thu%E1%BA%A7n-Mang-huy%E1%BB%87n-Ng%C3%A2n-S%C6%A1n-100079702992156/</v>
      </c>
      <c r="D2670" t="str">
        <v>-</v>
      </c>
      <c r="E2670" t="str">
        <v/>
      </c>
      <c r="F2670" t="str">
        <v>-</v>
      </c>
      <c r="G2670" t="str">
        <v>-</v>
      </c>
    </row>
    <row r="2671">
      <c r="A2671">
        <v>2670</v>
      </c>
      <c r="B2671">
        <f>HYPERLINK("https://nganson.backan.gov.vn/index.php?com=gioithieu&amp;id=43", "UBND Ủy ban nhân dân xã Thuần Mang  tỉnh Bắc Kạn")</f>
      </c>
      <c r="C2671" t="str">
        <v>https://nganson.backan.gov.vn/index.php?com=gioithieu&amp;id=43</v>
      </c>
      <c r="D2671" t="str">
        <v>-</v>
      </c>
      <c r="E2671" t="str">
        <v>-</v>
      </c>
      <c r="F2671" t="str">
        <v>-</v>
      </c>
      <c r="G2671" t="str">
        <v>-</v>
      </c>
    </row>
    <row r="2672">
      <c r="A2672">
        <v>2671</v>
      </c>
      <c r="B2672" t="str">
        <v>Công an xã Hương Nê  tỉnh Bắc Kạn</v>
      </c>
      <c r="C2672" t="str">
        <v>-</v>
      </c>
      <c r="D2672" t="str">
        <v>-</v>
      </c>
      <c r="E2672" t="str">
        <v/>
      </c>
      <c r="F2672" t="str">
        <v>-</v>
      </c>
      <c r="G2672" t="str">
        <v>-</v>
      </c>
    </row>
    <row r="2673">
      <c r="A2673">
        <v>2672</v>
      </c>
      <c r="B2673">
        <f>HYPERLINK("https://nganson.backan.gov.vn/index.php?com=gioithieu&amp;id=47", "UBND Ủy ban nhân dân xã Hương Nê  tỉnh Bắc Kạn")</f>
      </c>
      <c r="C2673" t="str">
        <v>https://nganson.backan.gov.vn/index.php?com=gioithieu&amp;id=47</v>
      </c>
      <c r="D2673" t="str">
        <v>-</v>
      </c>
      <c r="E2673" t="str">
        <v>-</v>
      </c>
      <c r="F2673" t="str">
        <v>-</v>
      </c>
      <c r="G2673" t="str">
        <v>-</v>
      </c>
    </row>
    <row r="2674">
      <c r="A2674">
        <v>2673</v>
      </c>
      <c r="B2674">
        <f>HYPERLINK("https://www.facebook.com/people/Tu%E1%BB%95i-tr%E1%BA%BB-th%E1%BB%8B-tr%E1%BA%A5n-Ph%E1%BB%A7-Th%C3%B4ng/100076584896479/", "Công an thị trấn Phủ Thông  tỉnh Bắc Kạn")</f>
      </c>
      <c r="C2674" t="str">
        <v>https://www.facebook.com/people/Tu%E1%BB%95i-tr%E1%BA%BB-th%E1%BB%8B-tr%E1%BA%A5n-Ph%E1%BB%A7-Th%C3%B4ng/100076584896479/</v>
      </c>
      <c r="D2674" t="str">
        <v>0359001729</v>
      </c>
      <c r="E2674" t="str">
        <v>-</v>
      </c>
      <c r="F2674" t="str">
        <v>nongthiluu@gmail.com</v>
      </c>
      <c r="G2674" t="str">
        <v>Phố Ngã Ba, thị trấn Phủ Thông, huyện Bạch Thông, tỉnh Bắc Kạn, Bac Kan, Vietnam</v>
      </c>
    </row>
    <row r="2675">
      <c r="A2675">
        <v>2674</v>
      </c>
      <c r="B2675">
        <f>HYPERLINK("https://phuthong.bachthong.gov.vn/", "UBND Ủy ban nhân dân thị trấn Phủ Thông  tỉnh Bắc Kạn")</f>
      </c>
      <c r="C2675" t="str">
        <v>https://phuthong.bachthong.gov.vn/</v>
      </c>
      <c r="D2675" t="str">
        <v>-</v>
      </c>
      <c r="E2675" t="str">
        <v>-</v>
      </c>
      <c r="F2675" t="str">
        <v>-</v>
      </c>
      <c r="G2675" t="str">
        <v>-</v>
      </c>
    </row>
    <row r="2676">
      <c r="A2676">
        <v>2675</v>
      </c>
      <c r="B2676">
        <f>HYPERLINK("https://www.facebook.com/p/Tu%E1%BB%95i-tr%E1%BA%BB-B%E1%BA%AFc-K%E1%BA%A1n-100066866904294/", "Công an xã Phương Linh  tỉnh Bắc Kạn")</f>
      </c>
      <c r="C2676" t="str">
        <v>https://www.facebook.com/p/Tu%E1%BB%95i-tr%E1%BA%BB-B%E1%BA%AFc-K%E1%BA%A1n-100066866904294/</v>
      </c>
      <c r="D2676" t="str">
        <v>-</v>
      </c>
      <c r="E2676" t="str">
        <v/>
      </c>
      <c r="F2676" t="str">
        <v>-</v>
      </c>
      <c r="G2676" t="str">
        <v>-</v>
      </c>
    </row>
    <row r="2677">
      <c r="A2677">
        <v>2676</v>
      </c>
      <c r="B2677">
        <f>HYPERLINK("http://soyte.backan.gov.vn/index.php/lien-he/item/1197-xa-phuong-linh-dat-bo-tieu-chi-quoc-gia-ve-y-te", "UBND Ủy ban nhân dân xã Phương Linh  tỉnh Bắc Kạn")</f>
      </c>
      <c r="C2677" t="str">
        <v>http://soyte.backan.gov.vn/index.php/lien-he/item/1197-xa-phuong-linh-dat-bo-tieu-chi-quoc-gia-ve-y-te</v>
      </c>
      <c r="D2677" t="str">
        <v>-</v>
      </c>
      <c r="E2677" t="str">
        <v>-</v>
      </c>
      <c r="F2677" t="str">
        <v>-</v>
      </c>
      <c r="G2677" t="str">
        <v>-</v>
      </c>
    </row>
    <row r="2678">
      <c r="A2678">
        <v>2677</v>
      </c>
      <c r="B2678">
        <f>HYPERLINK("https://www.facebook.com/p/Tu%E1%BB%95i-tr%E1%BA%BB-C%C3%B4ng-an-t%E1%BB%89nh-B%E1%BA%AFc-K%E1%BA%A1n-100057574024652/", "Công an xã Vi Hương  tỉnh Bắc Kạn")</f>
      </c>
      <c r="C2678" t="str">
        <v>https://www.facebook.com/p/Tu%E1%BB%95i-tr%E1%BA%BB-C%C3%B4ng-an-t%E1%BB%89nh-B%E1%BA%AFc-K%E1%BA%A1n-100057574024652/</v>
      </c>
      <c r="D2678" t="str">
        <v>-</v>
      </c>
      <c r="E2678" t="str">
        <v/>
      </c>
      <c r="F2678" t="str">
        <v>-</v>
      </c>
      <c r="G2678" t="str">
        <v>-</v>
      </c>
    </row>
    <row r="2679">
      <c r="A2679">
        <v>2678</v>
      </c>
      <c r="B2679">
        <f>HYPERLINK("https://vihuong.bachthong.gov.vn/", "UBND Ủy ban nhân dân xã Vi Hương  tỉnh Bắc Kạn")</f>
      </c>
      <c r="C2679" t="str">
        <v>https://vihuong.bachthong.gov.vn/</v>
      </c>
      <c r="D2679" t="str">
        <v>-</v>
      </c>
      <c r="E2679" t="str">
        <v>-</v>
      </c>
      <c r="F2679" t="str">
        <v>-</v>
      </c>
      <c r="G2679" t="str">
        <v>-</v>
      </c>
    </row>
    <row r="2680">
      <c r="A2680">
        <v>2679</v>
      </c>
      <c r="B2680">
        <f>HYPERLINK("https://www.facebook.com/p/Tu%E1%BB%95i-tr%E1%BA%BB-C%C3%B4ng-an-t%E1%BB%89nh-B%E1%BA%AFc-K%E1%BA%A1n-100057574024652/?locale=pa_IN", "Công an xã Sĩ Bình  tỉnh Bắc Kạn")</f>
      </c>
      <c r="C2680" t="str">
        <v>https://www.facebook.com/p/Tu%E1%BB%95i-tr%E1%BA%BB-C%C3%B4ng-an-t%E1%BB%89nh-B%E1%BA%AFc-K%E1%BA%A1n-100057574024652/?locale=pa_IN</v>
      </c>
      <c r="D2680" t="str">
        <v>-</v>
      </c>
      <c r="E2680" t="str">
        <v/>
      </c>
      <c r="F2680" t="str">
        <v>-</v>
      </c>
      <c r="G2680" t="str">
        <v>-</v>
      </c>
    </row>
    <row r="2681">
      <c r="A2681">
        <v>2680</v>
      </c>
      <c r="B2681">
        <f>HYPERLINK("https://backan.gov.vn/pages/uy-ban-nhan-dan-tinh-e8fd.aspx", "UBND Ủy ban nhân dân xã Sĩ Bình  tỉnh Bắc Kạn")</f>
      </c>
      <c r="C2681" t="str">
        <v>https://backan.gov.vn/pages/uy-ban-nhan-dan-tinh-e8fd.aspx</v>
      </c>
      <c r="D2681" t="str">
        <v>-</v>
      </c>
      <c r="E2681" t="str">
        <v>-</v>
      </c>
      <c r="F2681" t="str">
        <v>-</v>
      </c>
      <c r="G2681" t="str">
        <v>-</v>
      </c>
    </row>
    <row r="2682">
      <c r="A2682">
        <v>2681</v>
      </c>
      <c r="B2682">
        <f>HYPERLINK("https://www.facebook.com/caxvumuon/", "Công an xã Vũ Muộn  tỉnh Bắc Kạn")</f>
      </c>
      <c r="C2682" t="str">
        <v>https://www.facebook.com/caxvumuon/</v>
      </c>
      <c r="D2682" t="str">
        <v>-</v>
      </c>
      <c r="E2682" t="str">
        <v/>
      </c>
      <c r="F2682" t="str">
        <v>-</v>
      </c>
      <c r="G2682" t="str">
        <v>-</v>
      </c>
    </row>
    <row r="2683">
      <c r="A2683">
        <v>2682</v>
      </c>
      <c r="B2683">
        <f>HYPERLINK("https://vumuon.bachthong.gov.vn/", "UBND Ủy ban nhân dân xã Vũ Muộn  tỉnh Bắc Kạn")</f>
      </c>
      <c r="C2683" t="str">
        <v>https://vumuon.bachthong.gov.vn/</v>
      </c>
      <c r="D2683" t="str">
        <v>-</v>
      </c>
      <c r="E2683" t="str">
        <v>-</v>
      </c>
      <c r="F2683" t="str">
        <v>-</v>
      </c>
      <c r="G2683" t="str">
        <v>-</v>
      </c>
    </row>
    <row r="2684">
      <c r="A2684">
        <v>2683</v>
      </c>
      <c r="B2684">
        <f>HYPERLINK("https://www.facebook.com/p/Tu%E1%BB%95i-tr%E1%BA%BB-C%C3%B4ng-an-t%E1%BB%89nh-B%E1%BA%AFc-K%E1%BA%A1n-100057574024652/", "Công an xã Đôn Phong  tỉnh Bắc Kạn")</f>
      </c>
      <c r="C2684" t="str">
        <v>https://www.facebook.com/p/Tu%E1%BB%95i-tr%E1%BA%BB-C%C3%B4ng-an-t%E1%BB%89nh-B%E1%BA%AFc-K%E1%BA%A1n-100057574024652/</v>
      </c>
      <c r="D2684" t="str">
        <v>-</v>
      </c>
      <c r="E2684" t="str">
        <v/>
      </c>
      <c r="F2684" t="str">
        <v>-</v>
      </c>
      <c r="G2684" t="str">
        <v>-</v>
      </c>
    </row>
    <row r="2685">
      <c r="A2685">
        <v>2684</v>
      </c>
      <c r="B2685">
        <f>HYPERLINK("https://donphong.bachthong.gov.vn/", "UBND Ủy ban nhân dân xã Đôn Phong  tỉnh Bắc Kạn")</f>
      </c>
      <c r="C2685" t="str">
        <v>https://donphong.bachthong.gov.vn/</v>
      </c>
      <c r="D2685" t="str">
        <v>-</v>
      </c>
      <c r="E2685" t="str">
        <v>-</v>
      </c>
      <c r="F2685" t="str">
        <v>-</v>
      </c>
      <c r="G2685" t="str">
        <v>-</v>
      </c>
    </row>
    <row r="2686">
      <c r="A2686">
        <v>2685</v>
      </c>
      <c r="B2686" t="str">
        <v>Công an xã Tú Trĩ  tỉnh Bắc Kạn</v>
      </c>
      <c r="C2686" t="str">
        <v>-</v>
      </c>
      <c r="D2686" t="str">
        <v>-</v>
      </c>
      <c r="E2686" t="str">
        <v/>
      </c>
      <c r="F2686" t="str">
        <v>-</v>
      </c>
      <c r="G2686" t="str">
        <v>-</v>
      </c>
    </row>
    <row r="2687">
      <c r="A2687">
        <v>2686</v>
      </c>
      <c r="B2687">
        <f>HYPERLINK("https://congbao.backan.gov.vn/congbao.nsf/1ec98b9a09cc68af47258116000c7559/26b177c4c2b9791c882580050020a6e5?OpenDocument", "UBND Ủy ban nhân dân xã Tú Trĩ  tỉnh Bắc Kạn")</f>
      </c>
      <c r="C2687" t="str">
        <v>https://congbao.backan.gov.vn/congbao.nsf/1ec98b9a09cc68af47258116000c7559/26b177c4c2b9791c882580050020a6e5?OpenDocument</v>
      </c>
      <c r="D2687" t="str">
        <v>-</v>
      </c>
      <c r="E2687" t="str">
        <v>-</v>
      </c>
      <c r="F2687" t="str">
        <v>-</v>
      </c>
      <c r="G2687" t="str">
        <v>-</v>
      </c>
    </row>
    <row r="2688">
      <c r="A2688">
        <v>2687</v>
      </c>
      <c r="B2688">
        <f>HYPERLINK("https://www.facebook.com/p/Tu%E1%BB%95i-tr%E1%BA%BB-C%C3%B4ng-an-t%E1%BB%89nh-B%E1%BA%AFc-K%E1%BA%A1n-100057574024652/", "Công an xã Lục Bình  tỉnh Bắc Kạn")</f>
      </c>
      <c r="C2688" t="str">
        <v>https://www.facebook.com/p/Tu%E1%BB%95i-tr%E1%BA%BB-C%C3%B4ng-an-t%E1%BB%89nh-B%E1%BA%AFc-K%E1%BA%A1n-100057574024652/</v>
      </c>
      <c r="D2688" t="str">
        <v>-</v>
      </c>
      <c r="E2688" t="str">
        <v/>
      </c>
      <c r="F2688" t="str">
        <v>-</v>
      </c>
      <c r="G2688" t="str">
        <v>-</v>
      </c>
    </row>
    <row r="2689">
      <c r="A2689">
        <v>2688</v>
      </c>
      <c r="B2689">
        <f>HYPERLINK("https://lucbinh.bachthong.gov.vn/", "UBND Ủy ban nhân dân xã Lục Bình  tỉnh Bắc Kạn")</f>
      </c>
      <c r="C2689" t="str">
        <v>https://lucbinh.bachthong.gov.vn/</v>
      </c>
      <c r="D2689" t="str">
        <v>-</v>
      </c>
      <c r="E2689" t="str">
        <v>-</v>
      </c>
      <c r="F2689" t="str">
        <v>-</v>
      </c>
      <c r="G2689" t="str">
        <v>-</v>
      </c>
    </row>
    <row r="2690">
      <c r="A2690">
        <v>2689</v>
      </c>
      <c r="B2690" t="str">
        <v>Công an xã Tân Tiến  tỉnh Bắc Kạn</v>
      </c>
      <c r="C2690" t="str">
        <v>-</v>
      </c>
      <c r="D2690" t="str">
        <v>-</v>
      </c>
      <c r="E2690" t="str">
        <v/>
      </c>
      <c r="F2690" t="str">
        <v>-</v>
      </c>
      <c r="G2690" t="str">
        <v>-</v>
      </c>
    </row>
    <row r="2691">
      <c r="A2691">
        <v>2690</v>
      </c>
      <c r="B2691">
        <f>HYPERLINK("https://congbao.backan.gov.vn/congbao.nsf/0A481AADDD3A9674472583B30010BC96/$file/QD_134_signed.pdf", "UBND Ủy ban nhân dân xã Tân Tiến  tỉnh Bắc Kạn")</f>
      </c>
      <c r="C2691" t="str">
        <v>https://congbao.backan.gov.vn/congbao.nsf/0A481AADDD3A9674472583B30010BC96/$file/QD_134_signed.pdf</v>
      </c>
      <c r="D2691" t="str">
        <v>-</v>
      </c>
      <c r="E2691" t="str">
        <v>-</v>
      </c>
      <c r="F2691" t="str">
        <v>-</v>
      </c>
      <c r="G2691" t="str">
        <v>-</v>
      </c>
    </row>
    <row r="2692">
      <c r="A2692">
        <v>2691</v>
      </c>
      <c r="B2692">
        <f>HYPERLINK("https://www.facebook.com/p/Tu%E1%BB%95i-tr%E1%BA%BB-C%C3%B4ng-an-t%E1%BB%89nh-B%E1%BA%AFc-K%E1%BA%A1n-100057574024652/", "Công an xã Quân Bình  tỉnh Bắc Kạn")</f>
      </c>
      <c r="C2692" t="str">
        <v>https://www.facebook.com/p/Tu%E1%BB%95i-tr%E1%BA%BB-C%C3%B4ng-an-t%E1%BB%89nh-B%E1%BA%AFc-K%E1%BA%A1n-100057574024652/</v>
      </c>
      <c r="D2692" t="str">
        <v>-</v>
      </c>
      <c r="E2692" t="str">
        <v/>
      </c>
      <c r="F2692" t="str">
        <v>-</v>
      </c>
      <c r="G2692" t="str">
        <v>-</v>
      </c>
    </row>
    <row r="2693">
      <c r="A2693">
        <v>2692</v>
      </c>
      <c r="B2693">
        <f>HYPERLINK("https://backan.gov.vn/pages/uy-ban-nhan-dan-tinh-e8fd.aspx", "UBND Ủy ban nhân dân xã Quân Bình  tỉnh Bắc Kạn")</f>
      </c>
      <c r="C2693" t="str">
        <v>https://backan.gov.vn/pages/uy-ban-nhan-dan-tinh-e8fd.aspx</v>
      </c>
      <c r="D2693" t="str">
        <v>-</v>
      </c>
      <c r="E2693" t="str">
        <v>-</v>
      </c>
      <c r="F2693" t="str">
        <v>-</v>
      </c>
      <c r="G2693" t="str">
        <v>-</v>
      </c>
    </row>
    <row r="2694">
      <c r="A2694">
        <v>2693</v>
      </c>
      <c r="B2694" t="str">
        <v>Công an xã Nguyên Phúc  tỉnh Bắc Kạn</v>
      </c>
      <c r="C2694" t="str">
        <v>-</v>
      </c>
      <c r="D2694" t="str">
        <v>-</v>
      </c>
      <c r="E2694" t="str">
        <v/>
      </c>
      <c r="F2694" t="str">
        <v>-</v>
      </c>
      <c r="G2694" t="str">
        <v>-</v>
      </c>
    </row>
    <row r="2695">
      <c r="A2695">
        <v>2694</v>
      </c>
      <c r="B2695">
        <f>HYPERLINK("https://nguyenphuc.bachthong.gov.vn/", "UBND Ủy ban nhân dân xã Nguyên Phúc  tỉnh Bắc Kạn")</f>
      </c>
      <c r="C2695" t="str">
        <v>https://nguyenphuc.bachthong.gov.vn/</v>
      </c>
      <c r="D2695" t="str">
        <v>-</v>
      </c>
      <c r="E2695" t="str">
        <v>-</v>
      </c>
      <c r="F2695" t="str">
        <v>-</v>
      </c>
      <c r="G2695" t="str">
        <v>-</v>
      </c>
    </row>
    <row r="2696">
      <c r="A2696">
        <v>2695</v>
      </c>
      <c r="B2696">
        <f>HYPERLINK("https://www.facebook.com/p/C%C3%B4ng-an-x%C3%A3-Cao-S%C6%A1n-huy%E1%BB%87n-B%E1%BA%A1ch-Th%C3%B4ng-t%E1%BB%89nh-B%E1%BA%AFc-K%E1%BA%A1n-100070720184912/", "Công an xã Cao Sơn  tỉnh Bắc Kạn")</f>
      </c>
      <c r="C2696" t="str">
        <v>https://www.facebook.com/p/C%C3%B4ng-an-x%C3%A3-Cao-S%C6%A1n-huy%E1%BB%87n-B%E1%BA%A1ch-Th%C3%B4ng-t%E1%BB%89nh-B%E1%BA%AFc-K%E1%BA%A1n-100070720184912/</v>
      </c>
      <c r="D2696" t="str">
        <v>-</v>
      </c>
      <c r="E2696" t="str">
        <v/>
      </c>
      <c r="F2696" t="str">
        <v>-</v>
      </c>
      <c r="G2696" t="str">
        <v>-</v>
      </c>
    </row>
    <row r="2697">
      <c r="A2697">
        <v>2696</v>
      </c>
      <c r="B2697">
        <f>HYPERLINK("https://caoson.bachthong.gov.vn/", "UBND Ủy ban nhân dân xã Cao Sơn  tỉnh Bắc Kạn")</f>
      </c>
      <c r="C2697" t="str">
        <v>https://caoson.bachthong.gov.vn/</v>
      </c>
      <c r="D2697" t="str">
        <v>-</v>
      </c>
      <c r="E2697" t="str">
        <v>-</v>
      </c>
      <c r="F2697" t="str">
        <v>-</v>
      </c>
      <c r="G2697" t="str">
        <v>-</v>
      </c>
    </row>
    <row r="2698">
      <c r="A2698">
        <v>2697</v>
      </c>
      <c r="B2698">
        <f>HYPERLINK("https://www.facebook.com/p/Tu%E1%BB%95i-tr%E1%BA%BB-C%C3%B4ng-an-t%E1%BB%89nh-B%E1%BA%AFc-K%E1%BA%A1n-100057574024652/", "Công an xã Hà Vị  tỉnh Bắc Kạn")</f>
      </c>
      <c r="C2698" t="str">
        <v>https://www.facebook.com/p/Tu%E1%BB%95i-tr%E1%BA%BB-C%C3%B4ng-an-t%E1%BB%89nh-B%E1%BA%AFc-K%E1%BA%A1n-100057574024652/</v>
      </c>
      <c r="D2698" t="str">
        <v>-</v>
      </c>
      <c r="E2698" t="str">
        <v/>
      </c>
      <c r="F2698" t="str">
        <v>-</v>
      </c>
      <c r="G2698" t="str">
        <v>-</v>
      </c>
    </row>
    <row r="2699">
      <c r="A2699">
        <v>2698</v>
      </c>
      <c r="B2699">
        <f>HYPERLINK("https://backan.gov.vn/pages/uy-ban-nhan-dan-tinh-e8fd.aspx", "UBND Ủy ban nhân dân xã Hà Vị  tỉnh Bắc Kạn")</f>
      </c>
      <c r="C2699" t="str">
        <v>https://backan.gov.vn/pages/uy-ban-nhan-dan-tinh-e8fd.aspx</v>
      </c>
      <c r="D2699" t="str">
        <v>-</v>
      </c>
      <c r="E2699" t="str">
        <v>-</v>
      </c>
      <c r="F2699" t="str">
        <v>-</v>
      </c>
      <c r="G2699" t="str">
        <v>-</v>
      </c>
    </row>
    <row r="2700">
      <c r="A2700">
        <v>2699</v>
      </c>
      <c r="B2700" t="str">
        <v>Công an xã Cẩm Giàng  tỉnh Bắc Kạn</v>
      </c>
      <c r="C2700" t="str">
        <v>-</v>
      </c>
      <c r="D2700" t="str">
        <v>-</v>
      </c>
      <c r="E2700" t="str">
        <v/>
      </c>
      <c r="F2700" t="str">
        <v>-</v>
      </c>
      <c r="G2700" t="str">
        <v>-</v>
      </c>
    </row>
    <row r="2701">
      <c r="A2701">
        <v>2700</v>
      </c>
      <c r="B2701">
        <f>HYPERLINK("https://camgiang.bachthong.gov.vn/", "UBND Ủy ban nhân dân xã Cẩm Giàng  tỉnh Bắc Kạn")</f>
      </c>
      <c r="C2701" t="str">
        <v>https://camgiang.bachthong.gov.vn/</v>
      </c>
      <c r="D2701" t="str">
        <v>-</v>
      </c>
      <c r="E2701" t="str">
        <v>-</v>
      </c>
      <c r="F2701" t="str">
        <v>-</v>
      </c>
      <c r="G2701" t="str">
        <v>-</v>
      </c>
    </row>
    <row r="2702">
      <c r="A2702">
        <v>2701</v>
      </c>
      <c r="B2702">
        <f>HYPERLINK("https://www.facebook.com/p/Tu%E1%BB%95i-tr%E1%BA%BB-C%C3%B4ng-an-t%E1%BB%89nh-B%E1%BA%AFc-K%E1%BA%A1n-100057574024652/", "Công an xã Mỹ Thanh  tỉnh Bắc Kạn")</f>
      </c>
      <c r="C2702" t="str">
        <v>https://www.facebook.com/p/Tu%E1%BB%95i-tr%E1%BA%BB-C%C3%B4ng-an-t%E1%BB%89nh-B%E1%BA%AFc-K%E1%BA%A1n-100057574024652/</v>
      </c>
      <c r="D2702" t="str">
        <v>-</v>
      </c>
      <c r="E2702" t="str">
        <v/>
      </c>
      <c r="F2702" t="str">
        <v>-</v>
      </c>
      <c r="G2702" t="str">
        <v>-</v>
      </c>
    </row>
    <row r="2703">
      <c r="A2703">
        <v>2702</v>
      </c>
      <c r="B2703">
        <f>HYPERLINK("https://mythanh.bachthong.gov.vn/", "UBND Ủy ban nhân dân xã Mỹ Thanh  tỉnh Bắc Kạn")</f>
      </c>
      <c r="C2703" t="str">
        <v>https://mythanh.bachthong.gov.vn/</v>
      </c>
      <c r="D2703" t="str">
        <v>-</v>
      </c>
      <c r="E2703" t="str">
        <v>-</v>
      </c>
      <c r="F2703" t="str">
        <v>-</v>
      </c>
      <c r="G2703" t="str">
        <v>-</v>
      </c>
    </row>
    <row r="2704">
      <c r="A2704">
        <v>2703</v>
      </c>
      <c r="B2704" t="str">
        <v>Công an xã Dương Phong  tỉnh Bắc Kạn</v>
      </c>
      <c r="C2704" t="str">
        <v>-</v>
      </c>
      <c r="D2704" t="str">
        <v>-</v>
      </c>
      <c r="E2704" t="str">
        <v/>
      </c>
      <c r="F2704" t="str">
        <v>-</v>
      </c>
      <c r="G2704" t="str">
        <v>-</v>
      </c>
    </row>
    <row r="2705">
      <c r="A2705">
        <v>2704</v>
      </c>
      <c r="B2705">
        <f>HYPERLINK("http://duongphong.bachthong.gov.vn/", "UBND Ủy ban nhân dân xã Dương Phong  tỉnh Bắc Kạn")</f>
      </c>
      <c r="C2705" t="str">
        <v>http://duongphong.bachthong.gov.vn/</v>
      </c>
      <c r="D2705" t="str">
        <v>-</v>
      </c>
      <c r="E2705" t="str">
        <v>-</v>
      </c>
      <c r="F2705" t="str">
        <v>-</v>
      </c>
      <c r="G2705" t="str">
        <v>-</v>
      </c>
    </row>
    <row r="2706">
      <c r="A2706">
        <v>2705</v>
      </c>
      <c r="B2706">
        <f>HYPERLINK("https://www.facebook.com/conganxaquangthuan/", "Công an xã Quang Thuận  tỉnh Bắc Kạn")</f>
      </c>
      <c r="C2706" t="str">
        <v>https://www.facebook.com/conganxaquangthuan/</v>
      </c>
      <c r="D2706" t="str">
        <v>-</v>
      </c>
      <c r="E2706" t="str">
        <v/>
      </c>
      <c r="F2706" t="str">
        <v>-</v>
      </c>
      <c r="G2706" t="str">
        <v>-</v>
      </c>
    </row>
    <row r="2707">
      <c r="A2707">
        <v>2706</v>
      </c>
      <c r="B2707">
        <f>HYPERLINK("https://quangthuan.bachthong.gov.vn/", "UBND Ủy ban nhân dân xã Quang Thuận  tỉnh Bắc Kạn")</f>
      </c>
      <c r="C2707" t="str">
        <v>https://quangthuan.bachthong.gov.vn/</v>
      </c>
      <c r="D2707" t="str">
        <v>-</v>
      </c>
      <c r="E2707" t="str">
        <v>-</v>
      </c>
      <c r="F2707" t="str">
        <v>-</v>
      </c>
      <c r="G2707" t="str">
        <v>-</v>
      </c>
    </row>
    <row r="2708">
      <c r="A2708">
        <v>2707</v>
      </c>
      <c r="B2708">
        <f>HYPERLINK("https://www.facebook.com/atkchodon/?locale=am_ET", "Công an thị trấn Bằng Lũng  tỉnh Bắc Kạn")</f>
      </c>
      <c r="C2708" t="str">
        <v>https://www.facebook.com/atkchodon/?locale=am_ET</v>
      </c>
      <c r="D2708" t="str">
        <v>-</v>
      </c>
      <c r="E2708" t="str">
        <v/>
      </c>
      <c r="F2708" t="str">
        <v>-</v>
      </c>
      <c r="G2708" t="str">
        <v>-</v>
      </c>
    </row>
    <row r="2709">
      <c r="A2709">
        <v>2708</v>
      </c>
      <c r="B2709">
        <f>HYPERLINK("https://banglung.chodon.backan.gov.vn/", "UBND Ủy ban nhân dân thị trấn Bằng Lũng  tỉnh Bắc Kạn")</f>
      </c>
      <c r="C2709" t="str">
        <v>https://banglung.chodon.backan.gov.vn/</v>
      </c>
      <c r="D2709" t="str">
        <v>-</v>
      </c>
      <c r="E2709" t="str">
        <v>-</v>
      </c>
      <c r="F2709" t="str">
        <v>-</v>
      </c>
      <c r="G2709" t="str">
        <v>-</v>
      </c>
    </row>
    <row r="2710">
      <c r="A2710">
        <v>2709</v>
      </c>
      <c r="B2710">
        <f>HYPERLINK("https://www.facebook.com/TuoitreConganCaoBang/?locale=bn_IN", "Công an xã Xuân Lạc  tỉnh Bắc Kạn")</f>
      </c>
      <c r="C2710" t="str">
        <v>https://www.facebook.com/TuoitreConganCaoBang/?locale=bn_IN</v>
      </c>
      <c r="D2710" t="str">
        <v>-</v>
      </c>
      <c r="E2710" t="str">
        <v/>
      </c>
      <c r="F2710" t="str">
        <v>-</v>
      </c>
      <c r="G2710" t="str">
        <v>-</v>
      </c>
    </row>
    <row r="2711">
      <c r="A2711">
        <v>2710</v>
      </c>
      <c r="B2711">
        <f>HYPERLINK("https://xuanlac.chodon.backan.gov.vn/", "UBND Ủy ban nhân dân xã Xuân Lạc  tỉnh Bắc Kạn")</f>
      </c>
      <c r="C2711" t="str">
        <v>https://xuanlac.chodon.backan.gov.vn/</v>
      </c>
      <c r="D2711" t="str">
        <v>-</v>
      </c>
      <c r="E2711" t="str">
        <v>-</v>
      </c>
      <c r="F2711" t="str">
        <v>-</v>
      </c>
      <c r="G2711" t="str">
        <v>-</v>
      </c>
    </row>
    <row r="2712">
      <c r="A2712">
        <v>2711</v>
      </c>
      <c r="B2712">
        <f>HYPERLINK("https://www.facebook.com/reel/1463373194547344/", "Công an xã Nam Cường  tỉnh Bắc Kạn")</f>
      </c>
      <c r="C2712" t="str">
        <v>https://www.facebook.com/reel/1463373194547344/</v>
      </c>
      <c r="D2712" t="str">
        <v>-</v>
      </c>
      <c r="E2712" t="str">
        <v/>
      </c>
      <c r="F2712" t="str">
        <v>-</v>
      </c>
      <c r="G2712" t="str">
        <v>-</v>
      </c>
    </row>
    <row r="2713">
      <c r="A2713">
        <v>2712</v>
      </c>
      <c r="B2713">
        <f>HYPERLINK("http://namcuong.chodon.backan.gov.vn/", "UBND Ủy ban nhân dân xã Nam Cường  tỉnh Bắc Kạn")</f>
      </c>
      <c r="C2713" t="str">
        <v>http://namcuong.chodon.backan.gov.vn/</v>
      </c>
      <c r="D2713" t="str">
        <v>-</v>
      </c>
      <c r="E2713" t="str">
        <v>-</v>
      </c>
      <c r="F2713" t="str">
        <v>-</v>
      </c>
      <c r="G2713" t="str">
        <v>-</v>
      </c>
    </row>
    <row r="2714">
      <c r="A2714">
        <v>2713</v>
      </c>
      <c r="B2714" t="str">
        <v>Công an xã Đồng Lạc  tỉnh Bắc Kạn</v>
      </c>
      <c r="C2714" t="str">
        <v>-</v>
      </c>
      <c r="D2714" t="str">
        <v>-</v>
      </c>
      <c r="E2714" t="str">
        <v/>
      </c>
      <c r="F2714" t="str">
        <v>-</v>
      </c>
      <c r="G2714" t="str">
        <v>-</v>
      </c>
    </row>
    <row r="2715">
      <c r="A2715">
        <v>2714</v>
      </c>
      <c r="B2715">
        <f>HYPERLINK("http://donglac.chodon.backan.gov.vn/", "UBND Ủy ban nhân dân xã Đồng Lạc  tỉnh Bắc Kạn")</f>
      </c>
      <c r="C2715" t="str">
        <v>http://donglac.chodon.backan.gov.vn/</v>
      </c>
      <c r="D2715" t="str">
        <v>-</v>
      </c>
      <c r="E2715" t="str">
        <v>-</v>
      </c>
      <c r="F2715" t="str">
        <v>-</v>
      </c>
      <c r="G2715" t="str">
        <v>-</v>
      </c>
    </row>
    <row r="2716">
      <c r="A2716">
        <v>2715</v>
      </c>
      <c r="B2716" t="str">
        <v>Công an xã Tân Lập  tỉnh Bắc Kạn</v>
      </c>
      <c r="C2716" t="str">
        <v>-</v>
      </c>
      <c r="D2716" t="str">
        <v>-</v>
      </c>
      <c r="E2716" t="str">
        <v/>
      </c>
      <c r="F2716" t="str">
        <v>-</v>
      </c>
      <c r="G2716" t="str">
        <v>-</v>
      </c>
    </row>
    <row r="2717">
      <c r="A2717">
        <v>2716</v>
      </c>
      <c r="B2717">
        <f>HYPERLINK("http://tanlap.chodon.backan.gov.vn/", "UBND Ủy ban nhân dân xã Tân Lập  tỉnh Bắc Kạn")</f>
      </c>
      <c r="C2717" t="str">
        <v>http://tanlap.chodon.backan.gov.vn/</v>
      </c>
      <c r="D2717" t="str">
        <v>-</v>
      </c>
      <c r="E2717" t="str">
        <v>-</v>
      </c>
      <c r="F2717" t="str">
        <v>-</v>
      </c>
      <c r="G2717" t="str">
        <v>-</v>
      </c>
    </row>
    <row r="2718">
      <c r="A2718">
        <v>2717</v>
      </c>
      <c r="B2718">
        <f>HYPERLINK("https://www.facebook.com/p/Tu%E1%BB%95i-tr%E1%BA%BB-C%C3%B4ng-an-t%E1%BB%89nh-B%E1%BA%AFc-K%E1%BA%A1n-100057574024652/", "Công an xã Bản Thi  tỉnh Bắc Kạn")</f>
      </c>
      <c r="C2718" t="str">
        <v>https://www.facebook.com/p/Tu%E1%BB%95i-tr%E1%BA%BB-C%C3%B4ng-an-t%E1%BB%89nh-B%E1%BA%AFc-K%E1%BA%A1n-100057574024652/</v>
      </c>
      <c r="D2718" t="str">
        <v>-</v>
      </c>
      <c r="E2718" t="str">
        <v/>
      </c>
      <c r="F2718" t="str">
        <v>-</v>
      </c>
      <c r="G2718" t="str">
        <v>-</v>
      </c>
    </row>
    <row r="2719">
      <c r="A2719">
        <v>2718</v>
      </c>
      <c r="B2719">
        <f>HYPERLINK("https://banthi.chodon.backan.gov.vn/", "UBND Ủy ban nhân dân xã Bản Thi  tỉnh Bắc Kạn")</f>
      </c>
      <c r="C2719" t="str">
        <v>https://banthi.chodon.backan.gov.vn/</v>
      </c>
      <c r="D2719" t="str">
        <v>-</v>
      </c>
      <c r="E2719" t="str">
        <v>-</v>
      </c>
      <c r="F2719" t="str">
        <v>-</v>
      </c>
      <c r="G2719" t="str">
        <v>-</v>
      </c>
    </row>
    <row r="2720">
      <c r="A2720">
        <v>2719</v>
      </c>
      <c r="B2720">
        <f>HYPERLINK("https://www.facebook.com/p/C%C3%B4ng-an-x%C3%A3-Qu%E1%BA%A3ng-B%E1%BA%A1ch-huy%E1%BB%87n-Ch%E1%BB%A3-%C4%90%E1%BB%93n-B%E1%BA%AFc-K%E1%BA%A1n-100086052017547/", "Công an xã Quảng Bạch  tỉnh Bắc Kạn")</f>
      </c>
      <c r="C2720" t="str">
        <v>https://www.facebook.com/p/C%C3%B4ng-an-x%C3%A3-Qu%E1%BA%A3ng-B%E1%BA%A1ch-huy%E1%BB%87n-Ch%E1%BB%A3-%C4%90%E1%BB%93n-B%E1%BA%AFc-K%E1%BA%A1n-100086052017547/</v>
      </c>
      <c r="D2720" t="str">
        <v>-</v>
      </c>
      <c r="E2720" t="str">
        <v/>
      </c>
      <c r="F2720" t="str">
        <v>-</v>
      </c>
      <c r="G2720" t="str">
        <v>-</v>
      </c>
    </row>
    <row r="2721">
      <c r="A2721">
        <v>2720</v>
      </c>
      <c r="B2721">
        <f>HYPERLINK("https://quangbach.chodon.backan.gov.vn/", "UBND Ủy ban nhân dân xã Quảng Bạch  tỉnh Bắc Kạn")</f>
      </c>
      <c r="C2721" t="str">
        <v>https://quangbach.chodon.backan.gov.vn/</v>
      </c>
      <c r="D2721" t="str">
        <v>-</v>
      </c>
      <c r="E2721" t="str">
        <v>-</v>
      </c>
      <c r="F2721" t="str">
        <v>-</v>
      </c>
      <c r="G2721" t="str">
        <v>-</v>
      </c>
    </row>
    <row r="2722">
      <c r="A2722">
        <v>2721</v>
      </c>
      <c r="B2722">
        <f>HYPERLINK("https://www.facebook.com/TuoitreConganCaoBang/?locale=bn_IN", "Công an xã Bằng Phúc  tỉnh Bắc Kạn")</f>
      </c>
      <c r="C2722" t="str">
        <v>https://www.facebook.com/TuoitreConganCaoBang/?locale=bn_IN</v>
      </c>
      <c r="D2722" t="str">
        <v>-</v>
      </c>
      <c r="E2722" t="str">
        <v/>
      </c>
      <c r="F2722" t="str">
        <v>-</v>
      </c>
      <c r="G2722" t="str">
        <v>-</v>
      </c>
    </row>
    <row r="2723">
      <c r="A2723">
        <v>2722</v>
      </c>
      <c r="B2723">
        <f>HYPERLINK("https://bangphuc.chodon.backan.gov.vn/", "UBND Ủy ban nhân dân xã Bằng Phúc  tỉnh Bắc Kạn")</f>
      </c>
      <c r="C2723" t="str">
        <v>https://bangphuc.chodon.backan.gov.vn/</v>
      </c>
      <c r="D2723" t="str">
        <v>-</v>
      </c>
      <c r="E2723" t="str">
        <v>-</v>
      </c>
      <c r="F2723" t="str">
        <v>-</v>
      </c>
      <c r="G2723" t="str">
        <v>-</v>
      </c>
    </row>
    <row r="2724">
      <c r="A2724">
        <v>2723</v>
      </c>
      <c r="B2724">
        <f>HYPERLINK("https://www.facebook.com/p/C%C3%B4ng-an-huy%E1%BB%87n-Y%C3%AAn-M%C3%B4-100033535308059/?locale=nl_NL", "Công an xã Yên Thịnh  tỉnh Bắc Kạn")</f>
      </c>
      <c r="C2724" t="str">
        <v>https://www.facebook.com/p/C%C3%B4ng-an-huy%E1%BB%87n-Y%C3%AAn-M%C3%B4-100033535308059/?locale=nl_NL</v>
      </c>
      <c r="D2724" t="str">
        <v>-</v>
      </c>
      <c r="E2724" t="str">
        <v/>
      </c>
      <c r="F2724" t="str">
        <v>-</v>
      </c>
      <c r="G2724" t="str">
        <v>-</v>
      </c>
    </row>
    <row r="2725">
      <c r="A2725">
        <v>2724</v>
      </c>
      <c r="B2725">
        <f>HYPERLINK("http://yenthinh.chodon.backan.gov.vn/", "UBND Ủy ban nhân dân xã Yên Thịnh  tỉnh Bắc Kạn")</f>
      </c>
      <c r="C2725" t="str">
        <v>http://yenthinh.chodon.backan.gov.vn/</v>
      </c>
      <c r="D2725" t="str">
        <v>-</v>
      </c>
      <c r="E2725" t="str">
        <v>-</v>
      </c>
      <c r="F2725" t="str">
        <v>-</v>
      </c>
      <c r="G2725" t="str">
        <v>-</v>
      </c>
    </row>
    <row r="2726">
      <c r="A2726">
        <v>2725</v>
      </c>
      <c r="B2726" t="str">
        <v>Công an xã Yên Thượng  tỉnh Bắc Kạn</v>
      </c>
      <c r="C2726" t="str">
        <v>-</v>
      </c>
      <c r="D2726" t="str">
        <v>-</v>
      </c>
      <c r="E2726" t="str">
        <v/>
      </c>
      <c r="F2726" t="str">
        <v>-</v>
      </c>
      <c r="G2726" t="str">
        <v>-</v>
      </c>
    </row>
    <row r="2727">
      <c r="A2727">
        <v>2726</v>
      </c>
      <c r="B2727">
        <f>HYPERLINK("https://backan.gov.vn/Pages/cap-giay-chung-nhan-quyen-su-dung-dat-quyen-so-huu-nha-o-va-tai-san-khac-gan-lien-voi-dat-khu-dat-tram-phat-song-thong-tin-di-dong-yen-thuong-2-thon-na-men-xa-yen-thuong-huyen-cho-don-cho-vien-thong-bac-kan.aspx", "UBND Ủy ban nhân dân xã Yên Thượng  tỉnh Bắc Kạn")</f>
      </c>
      <c r="C2727" t="str">
        <v>https://backan.gov.vn/Pages/cap-giay-chung-nhan-quyen-su-dung-dat-quyen-so-huu-nha-o-va-tai-san-khac-gan-lien-voi-dat-khu-dat-tram-phat-song-thong-tin-di-dong-yen-thuong-2-thon-na-men-xa-yen-thuong-huyen-cho-don-cho-vien-thong-bac-kan.aspx</v>
      </c>
      <c r="D2727" t="str">
        <v>-</v>
      </c>
      <c r="E2727" t="str">
        <v>-</v>
      </c>
      <c r="F2727" t="str">
        <v>-</v>
      </c>
      <c r="G2727" t="str">
        <v>-</v>
      </c>
    </row>
    <row r="2728">
      <c r="A2728">
        <v>2727</v>
      </c>
      <c r="B2728">
        <f>HYPERLINK("https://www.facebook.com/p/Tu%E1%BB%95i-tr%E1%BA%BB-C%C3%B4ng-an-t%E1%BB%89nh-B%E1%BA%AFc-K%E1%BA%A1n-100057574024652/", "Công an xã Phương Viên  tỉnh Bắc Kạn")</f>
      </c>
      <c r="C2728" t="str">
        <v>https://www.facebook.com/p/Tu%E1%BB%95i-tr%E1%BA%BB-C%C3%B4ng-an-t%E1%BB%89nh-B%E1%BA%AFc-K%E1%BA%A1n-100057574024652/</v>
      </c>
      <c r="D2728" t="str">
        <v>-</v>
      </c>
      <c r="E2728" t="str">
        <v/>
      </c>
      <c r="F2728" t="str">
        <v>-</v>
      </c>
      <c r="G2728" t="str">
        <v>-</v>
      </c>
    </row>
    <row r="2729">
      <c r="A2729">
        <v>2728</v>
      </c>
      <c r="B2729">
        <f>HYPERLINK("https://backan.gov.vn/pages/cap-giay-chung-nhan-quyen-su-dung-dat-quyen-so-huu-nha-o-va-tai-san-khac-gan-lien-voi-dat-khu-dat-tram-phat-song-thong-tin-di-dong-phuong-vien-thon-na-chua-xa-phuong-vien-huyen-cho-don-cho-vien-thong-bac-kan.aspx", "UBND Ủy ban nhân dân xã Phương Viên  tỉnh Bắc Kạn")</f>
      </c>
      <c r="C2729" t="str">
        <v>https://backan.gov.vn/pages/cap-giay-chung-nhan-quyen-su-dung-dat-quyen-so-huu-nha-o-va-tai-san-khac-gan-lien-voi-dat-khu-dat-tram-phat-song-thong-tin-di-dong-phuong-vien-thon-na-chua-xa-phuong-vien-huyen-cho-don-cho-vien-thong-bac-kan.aspx</v>
      </c>
      <c r="D2729" t="str">
        <v>-</v>
      </c>
      <c r="E2729" t="str">
        <v>-</v>
      </c>
      <c r="F2729" t="str">
        <v>-</v>
      </c>
      <c r="G2729" t="str">
        <v>-</v>
      </c>
    </row>
    <row r="2730">
      <c r="A2730">
        <v>2729</v>
      </c>
      <c r="B2730">
        <f>HYPERLINK("https://www.facebook.com/p/Tu%E1%BB%95i-tr%E1%BA%BB-C%C3%B4ng-an-t%E1%BB%89nh-B%E1%BA%AFc-K%E1%BA%A1n-100057574024652/", "Công an xã Ngọc Phái  tỉnh Bắc Kạn")</f>
      </c>
      <c r="C2730" t="str">
        <v>https://www.facebook.com/p/Tu%E1%BB%95i-tr%E1%BA%BB-C%C3%B4ng-an-t%E1%BB%89nh-B%E1%BA%AFc-K%E1%BA%A1n-100057574024652/</v>
      </c>
      <c r="D2730" t="str">
        <v>-</v>
      </c>
      <c r="E2730" t="str">
        <v/>
      </c>
      <c r="F2730" t="str">
        <v>-</v>
      </c>
      <c r="G2730" t="str">
        <v>-</v>
      </c>
    </row>
    <row r="2731">
      <c r="A2731">
        <v>2730</v>
      </c>
      <c r="B2731">
        <f>HYPERLINK("http://ngocphai.chodon.backan.gov.vn/", "UBND Ủy ban nhân dân xã Ngọc Phái  tỉnh Bắc Kạn")</f>
      </c>
      <c r="C2731" t="str">
        <v>http://ngocphai.chodon.backan.gov.vn/</v>
      </c>
      <c r="D2731" t="str">
        <v>-</v>
      </c>
      <c r="E2731" t="str">
        <v>-</v>
      </c>
      <c r="F2731" t="str">
        <v>-</v>
      </c>
      <c r="G2731" t="str">
        <v>-</v>
      </c>
    </row>
    <row r="2732">
      <c r="A2732">
        <v>2731</v>
      </c>
      <c r="B2732">
        <f>HYPERLINK("https://www.facebook.com/p/Tu%E1%BB%95i-tr%E1%BA%BB-C%C3%B4ng-an-t%E1%BB%89nh-B%E1%BA%AFc-K%E1%BA%A1n-100057574024652/", "Công an xã Rã Bản  tỉnh Bắc Kạn")</f>
      </c>
      <c r="C2732" t="str">
        <v>https://www.facebook.com/p/Tu%E1%BB%95i-tr%E1%BA%BB-C%C3%B4ng-an-t%E1%BB%89nh-B%E1%BA%AFc-K%E1%BA%A1n-100057574024652/</v>
      </c>
      <c r="D2732" t="str">
        <v>-</v>
      </c>
      <c r="E2732" t="str">
        <v/>
      </c>
      <c r="F2732" t="str">
        <v>-</v>
      </c>
      <c r="G2732" t="str">
        <v>-</v>
      </c>
    </row>
    <row r="2733">
      <c r="A2733">
        <v>2732</v>
      </c>
      <c r="B2733">
        <f>HYPERLINK("https://congbao.backan.gov.vn/congbaonew.nsf/1ec98b9a09cc68af47258116000c7559/56ed442ec6c3c4a0882580050020abd8?OpenDocument", "UBND Ủy ban nhân dân xã Rã Bản  tỉnh Bắc Kạn")</f>
      </c>
      <c r="C2733" t="str">
        <v>https://congbao.backan.gov.vn/congbaonew.nsf/1ec98b9a09cc68af47258116000c7559/56ed442ec6c3c4a0882580050020abd8?OpenDocument</v>
      </c>
      <c r="D2733" t="str">
        <v>-</v>
      </c>
      <c r="E2733" t="str">
        <v>-</v>
      </c>
      <c r="F2733" t="str">
        <v>-</v>
      </c>
      <c r="G2733" t="str">
        <v>-</v>
      </c>
    </row>
    <row r="2734">
      <c r="A2734">
        <v>2733</v>
      </c>
      <c r="B2734">
        <f>HYPERLINK("https://www.facebook.com/p/Tu%E1%BB%95i-tr%E1%BA%BB-C%C3%B4ng-an-t%E1%BB%89nh-B%E1%BA%AFc-K%E1%BA%A1n-100057574024652/", "Công an xã Đông Viên  tỉnh Bắc Kạn")</f>
      </c>
      <c r="C2734" t="str">
        <v>https://www.facebook.com/p/Tu%E1%BB%95i-tr%E1%BA%BB-C%C3%B4ng-an-t%E1%BB%89nh-B%E1%BA%AFc-K%E1%BA%A1n-100057574024652/</v>
      </c>
      <c r="D2734" t="str">
        <v>-</v>
      </c>
      <c r="E2734" t="str">
        <v/>
      </c>
      <c r="F2734" t="str">
        <v>-</v>
      </c>
      <c r="G2734" t="str">
        <v>-</v>
      </c>
    </row>
    <row r="2735">
      <c r="A2735">
        <v>2734</v>
      </c>
      <c r="B2735">
        <f>HYPERLINK("https://backan.gov.vn/pages/uy-ban-nhan-dan-tinh-e8fd.aspx", "UBND Ủy ban nhân dân xã Đông Viên  tỉnh Bắc Kạn")</f>
      </c>
      <c r="C2735" t="str">
        <v>https://backan.gov.vn/pages/uy-ban-nhan-dan-tinh-e8fd.aspx</v>
      </c>
      <c r="D2735" t="str">
        <v>-</v>
      </c>
      <c r="E2735" t="str">
        <v>-</v>
      </c>
      <c r="F2735" t="str">
        <v>-</v>
      </c>
      <c r="G2735" t="str">
        <v>-</v>
      </c>
    </row>
    <row r="2736">
      <c r="A2736">
        <v>2735</v>
      </c>
      <c r="B2736">
        <f>HYPERLINK("https://www.facebook.com/TuoitreConganCaoBang/?locale=bn_IN", "Công an xã Lương Bằng  tỉnh Bắc Kạn")</f>
      </c>
      <c r="C2736" t="str">
        <v>https://www.facebook.com/TuoitreConganCaoBang/?locale=bn_IN</v>
      </c>
      <c r="D2736" t="str">
        <v>-</v>
      </c>
      <c r="E2736" t="str">
        <v/>
      </c>
      <c r="F2736" t="str">
        <v>-</v>
      </c>
      <c r="G2736" t="str">
        <v>-</v>
      </c>
    </row>
    <row r="2737">
      <c r="A2737">
        <v>2736</v>
      </c>
      <c r="B2737">
        <f>HYPERLINK("https://luongbang.chodon.backan.gov.vn/", "UBND Ủy ban nhân dân xã Lương Bằng  tỉnh Bắc Kạn")</f>
      </c>
      <c r="C2737" t="str">
        <v>https://luongbang.chodon.backan.gov.vn/</v>
      </c>
      <c r="D2737" t="str">
        <v>-</v>
      </c>
      <c r="E2737" t="str">
        <v>-</v>
      </c>
      <c r="F2737" t="str">
        <v>-</v>
      </c>
      <c r="G2737" t="str">
        <v>-</v>
      </c>
    </row>
    <row r="2738">
      <c r="A2738">
        <v>2737</v>
      </c>
      <c r="B2738">
        <f>HYPERLINK("https://www.facebook.com/TuoitreConganCaoBang/?locale=bn_IN", "Công an xã Bằng Lãng  tỉnh Bắc Kạn")</f>
      </c>
      <c r="C2738" t="str">
        <v>https://www.facebook.com/TuoitreConganCaoBang/?locale=bn_IN</v>
      </c>
      <c r="D2738" t="str">
        <v>-</v>
      </c>
      <c r="E2738" t="str">
        <v/>
      </c>
      <c r="F2738" t="str">
        <v>-</v>
      </c>
      <c r="G2738" t="str">
        <v>-</v>
      </c>
    </row>
    <row r="2739">
      <c r="A2739">
        <v>2738</v>
      </c>
      <c r="B2739">
        <f>HYPERLINK("https://banglang.chodon.backan.gov.vn/", "UBND Ủy ban nhân dân xã Bằng Lãng  tỉnh Bắc Kạn")</f>
      </c>
      <c r="C2739" t="str">
        <v>https://banglang.chodon.backan.gov.vn/</v>
      </c>
      <c r="D2739" t="str">
        <v>-</v>
      </c>
      <c r="E2739" t="str">
        <v>-</v>
      </c>
      <c r="F2739" t="str">
        <v>-</v>
      </c>
      <c r="G2739" t="str">
        <v>-</v>
      </c>
    </row>
    <row r="2740">
      <c r="A2740">
        <v>2739</v>
      </c>
      <c r="B2740">
        <f>HYPERLINK("https://www.facebook.com/p/C%C3%B4ng-an-x%C3%A3-%C4%90%E1%BA%A1i-S%E1%BA%A3o-100072378789734/?locale=zh_TW", "Công an xã Đại Sảo  tỉnh Bắc Kạn")</f>
      </c>
      <c r="C2740" t="str">
        <v>https://www.facebook.com/p/C%C3%B4ng-an-x%C3%A3-%C4%90%E1%BA%A1i-S%E1%BA%A3o-100072378789734/?locale=zh_TW</v>
      </c>
      <c r="D2740" t="str">
        <v>-</v>
      </c>
      <c r="E2740" t="str">
        <v/>
      </c>
      <c r="F2740" t="str">
        <v>-</v>
      </c>
      <c r="G2740" t="str">
        <v>-</v>
      </c>
    </row>
    <row r="2741">
      <c r="A2741">
        <v>2740</v>
      </c>
      <c r="B2741">
        <f>HYPERLINK("http://daisao.chodon.backan.gov.vn/", "UBND Ủy ban nhân dân xã Đại Sảo  tỉnh Bắc Kạn")</f>
      </c>
      <c r="C2741" t="str">
        <v>http://daisao.chodon.backan.gov.vn/</v>
      </c>
      <c r="D2741" t="str">
        <v>-</v>
      </c>
      <c r="E2741" t="str">
        <v>-</v>
      </c>
      <c r="F2741" t="str">
        <v>-</v>
      </c>
      <c r="G2741" t="str">
        <v>-</v>
      </c>
    </row>
    <row r="2742">
      <c r="A2742">
        <v>2741</v>
      </c>
      <c r="B2742" t="str">
        <v>Công an xã Nghĩa Tá  tỉnh Bắc Kạn</v>
      </c>
      <c r="C2742" t="str">
        <v>-</v>
      </c>
      <c r="D2742" t="str">
        <v>-</v>
      </c>
      <c r="E2742" t="str">
        <v/>
      </c>
      <c r="F2742" t="str">
        <v>-</v>
      </c>
      <c r="G2742" t="str">
        <v>-</v>
      </c>
    </row>
    <row r="2743">
      <c r="A2743">
        <v>2742</v>
      </c>
      <c r="B2743">
        <f>HYPERLINK("https://nghiata.chodon.backan.gov.vn/", "UBND Ủy ban nhân dân xã Nghĩa Tá  tỉnh Bắc Kạn")</f>
      </c>
      <c r="C2743" t="str">
        <v>https://nghiata.chodon.backan.gov.vn/</v>
      </c>
      <c r="D2743" t="str">
        <v>-</v>
      </c>
      <c r="E2743" t="str">
        <v>-</v>
      </c>
      <c r="F2743" t="str">
        <v>-</v>
      </c>
      <c r="G2743" t="str">
        <v>-</v>
      </c>
    </row>
    <row r="2744">
      <c r="A2744">
        <v>2743</v>
      </c>
      <c r="B2744" t="str">
        <v>Công an xã Phong Huân  tỉnh Bắc Kạn</v>
      </c>
      <c r="C2744" t="str">
        <v>-</v>
      </c>
      <c r="D2744" t="str">
        <v>-</v>
      </c>
      <c r="E2744" t="str">
        <v/>
      </c>
      <c r="F2744" t="str">
        <v>-</v>
      </c>
      <c r="G2744" t="str">
        <v>-</v>
      </c>
    </row>
    <row r="2745">
      <c r="A2745">
        <v>2744</v>
      </c>
      <c r="B2745">
        <f>HYPERLINK("https://congbao.backan.gov.vn/congbaonew.nsf/1ec98b9a09cc68af47258116000c7559/2482e00b9d03fd6a882580050020a91e?OpenDocument", "UBND Ủy ban nhân dân xã Phong Huân  tỉnh Bắc Kạn")</f>
      </c>
      <c r="C2745" t="str">
        <v>https://congbao.backan.gov.vn/congbaonew.nsf/1ec98b9a09cc68af47258116000c7559/2482e00b9d03fd6a882580050020a91e?OpenDocument</v>
      </c>
      <c r="D2745" t="str">
        <v>-</v>
      </c>
      <c r="E2745" t="str">
        <v>-</v>
      </c>
      <c r="F2745" t="str">
        <v>-</v>
      </c>
      <c r="G2745" t="str">
        <v>-</v>
      </c>
    </row>
    <row r="2746">
      <c r="A2746">
        <v>2745</v>
      </c>
      <c r="B2746" t="str">
        <v>Công an xã Yên Mỹ  tỉnh Bắc Kạn</v>
      </c>
      <c r="C2746" t="str">
        <v>-</v>
      </c>
      <c r="D2746" t="str">
        <v>-</v>
      </c>
      <c r="E2746" t="str">
        <v/>
      </c>
      <c r="F2746" t="str">
        <v>-</v>
      </c>
      <c r="G2746" t="str">
        <v>-</v>
      </c>
    </row>
    <row r="2747">
      <c r="A2747">
        <v>2746</v>
      </c>
      <c r="B2747">
        <f>HYPERLINK("https://yenmy.chodon.backan.gov.vn/", "UBND Ủy ban nhân dân xã Yên Mỹ  tỉnh Bắc Kạn")</f>
      </c>
      <c r="C2747" t="str">
        <v>https://yenmy.chodon.backan.gov.vn/</v>
      </c>
      <c r="D2747" t="str">
        <v>-</v>
      </c>
      <c r="E2747" t="str">
        <v>-</v>
      </c>
      <c r="F2747" t="str">
        <v>-</v>
      </c>
      <c r="G2747" t="str">
        <v>-</v>
      </c>
    </row>
    <row r="2748">
      <c r="A2748">
        <v>2747</v>
      </c>
      <c r="B2748">
        <f>HYPERLINK("https://www.facebook.com/p/Tu%E1%BB%95i-tr%E1%BA%BB-C%C3%B4ng-an-t%E1%BB%89nh-B%E1%BA%AFc-K%E1%BA%A1n-100057574024652/", "Công an xã Bình Trung  tỉnh Bắc Kạn")</f>
      </c>
      <c r="C2748" t="str">
        <v>https://www.facebook.com/p/Tu%E1%BB%95i-tr%E1%BA%BB-C%C3%B4ng-an-t%E1%BB%89nh-B%E1%BA%AFc-K%E1%BA%A1n-100057574024652/</v>
      </c>
      <c r="D2748" t="str">
        <v>-</v>
      </c>
      <c r="E2748" t="str">
        <v/>
      </c>
      <c r="F2748" t="str">
        <v>-</v>
      </c>
      <c r="G2748" t="str">
        <v>-</v>
      </c>
    </row>
    <row r="2749">
      <c r="A2749">
        <v>2748</v>
      </c>
      <c r="B2749">
        <f>HYPERLINK("http://binhtrung.chodon.backan.gov.vn/", "UBND Ủy ban nhân dân xã Bình Trung  tỉnh Bắc Kạn")</f>
      </c>
      <c r="C2749" t="str">
        <v>http://binhtrung.chodon.backan.gov.vn/</v>
      </c>
      <c r="D2749" t="str">
        <v>-</v>
      </c>
      <c r="E2749" t="str">
        <v>-</v>
      </c>
      <c r="F2749" t="str">
        <v>-</v>
      </c>
      <c r="G2749" t="str">
        <v>-</v>
      </c>
    </row>
    <row r="2750">
      <c r="A2750">
        <v>2749</v>
      </c>
      <c r="B2750">
        <f>HYPERLINK("https://www.facebook.com/p/C%C3%B4ng-an-huy%E1%BB%87n-Y%C3%AAn-M%C3%B4-100033535308059/?locale=nl_NL", "Công an xã Yên Nhuận  tỉnh Bắc Kạn")</f>
      </c>
      <c r="C2750" t="str">
        <v>https://www.facebook.com/p/C%C3%B4ng-an-huy%E1%BB%87n-Y%C3%AAn-M%C3%B4-100033535308059/?locale=nl_NL</v>
      </c>
      <c r="D2750" t="str">
        <v>-</v>
      </c>
      <c r="E2750" t="str">
        <v/>
      </c>
      <c r="F2750" t="str">
        <v>-</v>
      </c>
      <c r="G2750" t="str">
        <v>-</v>
      </c>
    </row>
    <row r="2751">
      <c r="A2751">
        <v>2750</v>
      </c>
      <c r="B2751">
        <f>HYPERLINK("https://congbao.backan.gov.vn/congbaonew.nsf/0BB38787917C64BF47258729000A78F4/$file/QD%201208.docx", "UBND Ủy ban nhân dân xã Yên Nhuận  tỉnh Bắc Kạn")</f>
      </c>
      <c r="C2751" t="str">
        <v>https://congbao.backan.gov.vn/congbaonew.nsf/0BB38787917C64BF47258729000A78F4/$file/QD%201208.docx</v>
      </c>
      <c r="D2751" t="str">
        <v>-</v>
      </c>
      <c r="E2751" t="str">
        <v>-</v>
      </c>
      <c r="F2751" t="str">
        <v>-</v>
      </c>
      <c r="G2751" t="str">
        <v>-</v>
      </c>
    </row>
    <row r="2752">
      <c r="A2752">
        <v>2751</v>
      </c>
      <c r="B2752">
        <f>HYPERLINK("https://www.facebook.com/p/C%C3%B4ng-an-huy%E1%BB%87n-Ch%E1%BB%A3-M%E1%BB%9Bi-B%E1%BA%AFc-K%E1%BA%A1n-100077989742808/", "Công an thị trấn Chợ Mới  tỉnh Bắc Kạn")</f>
      </c>
      <c r="C2752" t="str">
        <v>https://www.facebook.com/p/C%C3%B4ng-an-huy%E1%BB%87n-Ch%E1%BB%A3-M%E1%BB%9Bi-B%E1%BA%AFc-K%E1%BA%A1n-100077989742808/</v>
      </c>
      <c r="D2752" t="str">
        <v>-</v>
      </c>
      <c r="E2752" t="str">
        <v/>
      </c>
      <c r="F2752" t="str">
        <v>-</v>
      </c>
      <c r="G2752" t="str">
        <v>-</v>
      </c>
    </row>
    <row r="2753">
      <c r="A2753">
        <v>2752</v>
      </c>
      <c r="B2753">
        <f>HYPERLINK("https://chomoi.gov.vn/", "UBND Ủy ban nhân dân thị trấn Chợ Mới  tỉnh Bắc Kạn")</f>
      </c>
      <c r="C2753" t="str">
        <v>https://chomoi.gov.vn/</v>
      </c>
      <c r="D2753" t="str">
        <v>-</v>
      </c>
      <c r="E2753" t="str">
        <v>-</v>
      </c>
      <c r="F2753" t="str">
        <v>-</v>
      </c>
      <c r="G2753" t="str">
        <v>-</v>
      </c>
    </row>
    <row r="2754">
      <c r="A2754">
        <v>2753</v>
      </c>
      <c r="B2754">
        <f>HYPERLINK("https://www.facebook.com/CAXTanSonCM/", "Công an xã Tân Sơn  tỉnh Bắc Kạn")</f>
      </c>
      <c r="C2754" t="str">
        <v>https://www.facebook.com/CAXTanSonCM/</v>
      </c>
      <c r="D2754" t="str">
        <v>-</v>
      </c>
      <c r="E2754" t="str">
        <v/>
      </c>
      <c r="F2754" t="str">
        <v>-</v>
      </c>
      <c r="G2754" t="str">
        <v>-</v>
      </c>
    </row>
    <row r="2755">
      <c r="A2755">
        <v>2754</v>
      </c>
      <c r="B2755">
        <f>HYPERLINK("https://sovhttdl.backan.gov.vn/tin-tuc/309", "UBND Ủy ban nhân dân xã Tân Sơn  tỉnh Bắc Kạn")</f>
      </c>
      <c r="C2755" t="str">
        <v>https://sovhttdl.backan.gov.vn/tin-tuc/309</v>
      </c>
      <c r="D2755" t="str">
        <v>-</v>
      </c>
      <c r="E2755" t="str">
        <v>-</v>
      </c>
      <c r="F2755" t="str">
        <v>-</v>
      </c>
      <c r="G2755" t="str">
        <v>-</v>
      </c>
    </row>
    <row r="2756">
      <c r="A2756">
        <v>2755</v>
      </c>
      <c r="B2756">
        <f>HYPERLINK("https://www.facebook.com/100095038339344", "Công an xã Thanh Vận  tỉnh Bắc Kạn")</f>
      </c>
      <c r="C2756" t="str">
        <v>https://www.facebook.com/100095038339344</v>
      </c>
      <c r="D2756" t="str">
        <v>-</v>
      </c>
      <c r="E2756" t="str">
        <v/>
      </c>
      <c r="F2756" t="str">
        <v>-</v>
      </c>
      <c r="G2756" t="str">
        <v>-</v>
      </c>
    </row>
    <row r="2757">
      <c r="A2757">
        <v>2756</v>
      </c>
      <c r="B2757">
        <f>HYPERLINK("https://backan.gov.vn/pages/uy-ban-nhan-dan-tinh-e8fd.aspx", "UBND Ủy ban nhân dân xã Thanh Vận  tỉnh Bắc Kạn")</f>
      </c>
      <c r="C2757" t="str">
        <v>https://backan.gov.vn/pages/uy-ban-nhan-dan-tinh-e8fd.aspx</v>
      </c>
      <c r="D2757" t="str">
        <v>-</v>
      </c>
      <c r="E2757" t="str">
        <v>-</v>
      </c>
      <c r="F2757" t="str">
        <v>-</v>
      </c>
      <c r="G2757" t="str">
        <v>-</v>
      </c>
    </row>
    <row r="2758">
      <c r="A2758">
        <v>2757</v>
      </c>
      <c r="B2758">
        <f>HYPERLINK("https://www.facebook.com/p/Tu%E1%BB%95i-tr%E1%BA%BB-C%C3%B4ng-an-t%E1%BB%89nh-B%E1%BA%AFc-K%E1%BA%A1n-100057574024652/", "Công an xã Mai Lạp  tỉnh Bắc Kạn")</f>
      </c>
      <c r="C2758" t="str">
        <v>https://www.facebook.com/p/Tu%E1%BB%95i-tr%E1%BA%BB-C%C3%B4ng-an-t%E1%BB%89nh-B%E1%BA%AFc-K%E1%BA%A1n-100057574024652/</v>
      </c>
      <c r="D2758" t="str">
        <v>-</v>
      </c>
      <c r="E2758" t="str">
        <v/>
      </c>
      <c r="F2758" t="str">
        <v>-</v>
      </c>
      <c r="G2758" t="str">
        <v>-</v>
      </c>
    </row>
    <row r="2759">
      <c r="A2759">
        <v>2758</v>
      </c>
      <c r="B2759">
        <f>HYPERLINK("https://vienkiemsat.backan.gov.vn/index.php?com=tintuc_ct&amp;id_news=66", "UBND Ủy ban nhân dân xã Mai Lạp  tỉnh Bắc Kạn")</f>
      </c>
      <c r="C2759" t="str">
        <v>https://vienkiemsat.backan.gov.vn/index.php?com=tintuc_ct&amp;id_news=66</v>
      </c>
      <c r="D2759" t="str">
        <v>-</v>
      </c>
      <c r="E2759" t="str">
        <v>-</v>
      </c>
      <c r="F2759" t="str">
        <v>-</v>
      </c>
      <c r="G2759" t="str">
        <v>-</v>
      </c>
    </row>
    <row r="2760">
      <c r="A2760">
        <v>2759</v>
      </c>
      <c r="B2760" t="str">
        <v>Công an xã Hoà Mục  tỉnh Bắc Kạn</v>
      </c>
      <c r="C2760" t="str">
        <v>-</v>
      </c>
      <c r="D2760" t="str">
        <v>-</v>
      </c>
      <c r="E2760" t="str">
        <v/>
      </c>
      <c r="F2760" t="str">
        <v>-</v>
      </c>
      <c r="G2760" t="str">
        <v>-</v>
      </c>
    </row>
    <row r="2761">
      <c r="A2761">
        <v>2760</v>
      </c>
      <c r="B2761">
        <f>HYPERLINK("https://sonoivu.backan.gov.vn/kiem-tra-cong-vu-dot-xuat-mot-so-co-quan-don-vi-tren-dia-ban-huye%CC%A3n-cho-moi/", "UBND Ủy ban nhân dân xã Hoà Mục  tỉnh Bắc Kạn")</f>
      </c>
      <c r="C2761" t="str">
        <v>https://sonoivu.backan.gov.vn/kiem-tra-cong-vu-dot-xuat-mot-so-co-quan-don-vi-tren-dia-ban-huye%CC%A3n-cho-moi/</v>
      </c>
      <c r="D2761" t="str">
        <v>-</v>
      </c>
      <c r="E2761" t="str">
        <v>-</v>
      </c>
      <c r="F2761" t="str">
        <v>-</v>
      </c>
      <c r="G2761" t="str">
        <v>-</v>
      </c>
    </row>
    <row r="2762">
      <c r="A2762">
        <v>2761</v>
      </c>
      <c r="B2762">
        <f>HYPERLINK("https://www.facebook.com/p/C%C3%B4ng-an-x%C3%A3-Thanh-Mai-huy%E1%BB%87n-Ch%E1%BB%A3-M%E1%BB%9Bi-t%E1%BB%89nh-B%E1%BA%AFc-K%E1%BA%A1n-100080277976329/", "Công an xã Thanh Mai  tỉnh Bắc Kạn")</f>
      </c>
      <c r="C2762" t="str">
        <v>https://www.facebook.com/p/C%C3%B4ng-an-x%C3%A3-Thanh-Mai-huy%E1%BB%87n-Ch%E1%BB%A3-M%E1%BB%9Bi-t%E1%BB%89nh-B%E1%BA%AFc-K%E1%BA%A1n-100080277976329/</v>
      </c>
      <c r="D2762" t="str">
        <v>-</v>
      </c>
      <c r="E2762" t="str">
        <v/>
      </c>
      <c r="F2762" t="str">
        <v>-</v>
      </c>
      <c r="G2762" t="str">
        <v>-</v>
      </c>
    </row>
    <row r="2763">
      <c r="A2763">
        <v>2762</v>
      </c>
      <c r="B2763">
        <f>HYPERLINK("https://chomoi.gov.vn/kien-toan-chuc-vu-chu-tich-ubnd-xa-thanh-mai/", "UBND Ủy ban nhân dân xã Thanh Mai  tỉnh Bắc Kạn")</f>
      </c>
      <c r="C2763" t="str">
        <v>https://chomoi.gov.vn/kien-toan-chuc-vu-chu-tich-ubnd-xa-thanh-mai/</v>
      </c>
      <c r="D2763" t="str">
        <v>-</v>
      </c>
      <c r="E2763" t="str">
        <v>-</v>
      </c>
      <c r="F2763" t="str">
        <v>-</v>
      </c>
      <c r="G2763" t="str">
        <v>-</v>
      </c>
    </row>
    <row r="2764">
      <c r="A2764">
        <v>2763</v>
      </c>
      <c r="B2764">
        <f>HYPERLINK("https://www.facebook.com/p/Tu%E1%BB%95i-tr%E1%BA%BB-C%C3%B4ng-an-t%E1%BB%89nh-B%E1%BA%AFc-K%E1%BA%A1n-100057574024652/", "Công an xã Cao Kỳ  tỉnh Bắc Kạn")</f>
      </c>
      <c r="C2764" t="str">
        <v>https://www.facebook.com/p/Tu%E1%BB%95i-tr%E1%BA%BB-C%C3%B4ng-an-t%E1%BB%89nh-B%E1%BA%AFc-K%E1%BA%A1n-100057574024652/</v>
      </c>
      <c r="D2764" t="str">
        <v>-</v>
      </c>
      <c r="E2764" t="str">
        <v/>
      </c>
      <c r="F2764" t="str">
        <v>-</v>
      </c>
      <c r="G2764" t="str">
        <v>-</v>
      </c>
    </row>
    <row r="2765">
      <c r="A2765">
        <v>2764</v>
      </c>
      <c r="B2765">
        <f>HYPERLINK("http://tnmt.backan.gov.vn/index.php?language=vi&amp;nv=news&amp;op=Tin-tuc-Su-kien/Dau-gia-quyen-khai-thac-khoang-san-mo-cat-soi-Vang-Chun-xa-Cao-Ky-huyen-Cho-Moi-3398", "UBND Ủy ban nhân dân xã Cao Kỳ  tỉnh Bắc Kạn")</f>
      </c>
      <c r="C2765" t="str">
        <v>http://tnmt.backan.gov.vn/index.php?language=vi&amp;nv=news&amp;op=Tin-tuc-Su-kien/Dau-gia-quyen-khai-thac-khoang-san-mo-cat-soi-Vang-Chun-xa-Cao-Ky-huyen-Cho-Moi-3398</v>
      </c>
      <c r="D2765" t="str">
        <v>-</v>
      </c>
      <c r="E2765" t="str">
        <v>-</v>
      </c>
      <c r="F2765" t="str">
        <v>-</v>
      </c>
      <c r="G2765" t="str">
        <v>-</v>
      </c>
    </row>
    <row r="2766">
      <c r="A2766">
        <v>2765</v>
      </c>
      <c r="B2766">
        <f>HYPERLINK("https://www.facebook.com/trangthongtinxanongha/", "Công an xã Nông Hạ  tỉnh Bắc Kạn")</f>
      </c>
      <c r="C2766" t="str">
        <v>https://www.facebook.com/trangthongtinxanongha/</v>
      </c>
      <c r="D2766" t="str">
        <v>-</v>
      </c>
      <c r="E2766" t="str">
        <v/>
      </c>
      <c r="F2766" t="str">
        <v>-</v>
      </c>
      <c r="G2766" t="str">
        <v>-</v>
      </c>
    </row>
    <row r="2767">
      <c r="A2767">
        <v>2766</v>
      </c>
      <c r="B2767">
        <f>HYPERLINK("https://backan.gov.vn/pages/uy-ban-nhan-dan-tinh-e8fd.aspx", "UBND Ủy ban nhân dân xã Nông Hạ  tỉnh Bắc Kạn")</f>
      </c>
      <c r="C2767" t="str">
        <v>https://backan.gov.vn/pages/uy-ban-nhan-dan-tinh-e8fd.aspx</v>
      </c>
      <c r="D2767" t="str">
        <v>-</v>
      </c>
      <c r="E2767" t="str">
        <v>-</v>
      </c>
      <c r="F2767" t="str">
        <v>-</v>
      </c>
      <c r="G2767" t="str">
        <v>-</v>
      </c>
    </row>
    <row r="2768">
      <c r="A2768">
        <v>2767</v>
      </c>
      <c r="B2768" t="str">
        <v>Công an xã Yên Cư  tỉnh Bắc Kạn</v>
      </c>
      <c r="C2768" t="str">
        <v>-</v>
      </c>
      <c r="D2768" t="str">
        <v>-</v>
      </c>
      <c r="E2768" t="str">
        <v/>
      </c>
      <c r="F2768" t="str">
        <v>-</v>
      </c>
      <c r="G2768" t="str">
        <v>-</v>
      </c>
    </row>
    <row r="2769">
      <c r="A2769">
        <v>2768</v>
      </c>
      <c r="B2769">
        <f>HYPERLINK("https://backan.gov.vn/Pages/van-ban.aspx?uid=2e660c01-76bf-4c30-833c-e47e108bc77f&amp;itemid=4190", "UBND Ủy ban nhân dân xã Yên Cư  tỉnh Bắc Kạn")</f>
      </c>
      <c r="C2769" t="str">
        <v>https://backan.gov.vn/Pages/van-ban.aspx?uid=2e660c01-76bf-4c30-833c-e47e108bc77f&amp;itemid=4190</v>
      </c>
      <c r="D2769" t="str">
        <v>-</v>
      </c>
      <c r="E2769" t="str">
        <v>-</v>
      </c>
      <c r="F2769" t="str">
        <v>-</v>
      </c>
      <c r="G2769" t="str">
        <v>-</v>
      </c>
    </row>
    <row r="2770">
      <c r="A2770">
        <v>2769</v>
      </c>
      <c r="B2770" t="str">
        <v>Công an xã Nông Thịnh  tỉnh Bắc Kạn</v>
      </c>
      <c r="C2770" t="str">
        <v>-</v>
      </c>
      <c r="D2770" t="str">
        <v>-</v>
      </c>
      <c r="E2770" t="str">
        <v/>
      </c>
      <c r="F2770" t="str">
        <v>-</v>
      </c>
      <c r="G2770" t="str">
        <v>-</v>
      </c>
    </row>
    <row r="2771">
      <c r="A2771">
        <v>2770</v>
      </c>
      <c r="B2771">
        <f>HYPERLINK("https://congbao.backan.gov.vn/congbao.nsf/65842DB45E09F307472585910011FF3B/$file/QD_851_signed.pdf", "UBND Ủy ban nhân dân xã Nông Thịnh  tỉnh Bắc Kạn")</f>
      </c>
      <c r="C2771" t="str">
        <v>https://congbao.backan.gov.vn/congbao.nsf/65842DB45E09F307472585910011FF3B/$file/QD_851_signed.pdf</v>
      </c>
      <c r="D2771" t="str">
        <v>-</v>
      </c>
      <c r="E2771" t="str">
        <v>-</v>
      </c>
      <c r="F2771" t="str">
        <v>-</v>
      </c>
      <c r="G2771" t="str">
        <v>-</v>
      </c>
    </row>
    <row r="2772">
      <c r="A2772">
        <v>2771</v>
      </c>
      <c r="B2772">
        <f>HYPERLINK("https://www.facebook.com/p/C%C3%B4ng-an-x%C3%A3-Y%C3%AAn-H%C3%A2n-huy%E1%BB%87n-Ch%E1%BB%A3-M%E1%BB%9Bi-t%E1%BB%89nh-B%E1%BA%AFc-K%E1%BA%A1n-100079127046232/", "Công an xã Yên Hân  tỉnh Bắc Kạn")</f>
      </c>
      <c r="C2772" t="str">
        <v>https://www.facebook.com/p/C%C3%B4ng-an-x%C3%A3-Y%C3%AAn-H%C3%A2n-huy%E1%BB%87n-Ch%E1%BB%A3-M%E1%BB%9Bi-t%E1%BB%89nh-B%E1%BA%AFc-K%E1%BA%A1n-100079127046232/</v>
      </c>
      <c r="D2772" t="str">
        <v>-</v>
      </c>
      <c r="E2772" t="str">
        <v/>
      </c>
      <c r="F2772" t="str">
        <v>-</v>
      </c>
      <c r="G2772" t="str">
        <v>-</v>
      </c>
    </row>
    <row r="2773">
      <c r="A2773">
        <v>2772</v>
      </c>
      <c r="B2773">
        <f>HYPERLINK("https://dbdc.backan.gov.vn/Pages/tin-tuc-hoat-dong-157/tin-hoi-dong-nhan-dan-tinh-172/pho-chu-tich-hdnd-tinh-du-ngay-h-35df8a191cc3ce7b.aspx", "UBND Ủy ban nhân dân xã Yên Hân  tỉnh Bắc Kạn")</f>
      </c>
      <c r="C2773" t="str">
        <v>https://dbdc.backan.gov.vn/Pages/tin-tuc-hoat-dong-157/tin-hoi-dong-nhan-dan-tinh-172/pho-chu-tich-hdnd-tinh-du-ngay-h-35df8a191cc3ce7b.aspx</v>
      </c>
      <c r="D2773" t="str">
        <v>-</v>
      </c>
      <c r="E2773" t="str">
        <v>-</v>
      </c>
      <c r="F2773" t="str">
        <v>-</v>
      </c>
      <c r="G2773" t="str">
        <v>-</v>
      </c>
    </row>
    <row r="2774">
      <c r="A2774">
        <v>2773</v>
      </c>
      <c r="B2774">
        <f>HYPERLINK("https://www.facebook.com/p/Tu%E1%BB%95i-tr%E1%BA%BB-C%C3%B4ng-an-t%E1%BB%89nh-B%E1%BA%AFc-K%E1%BA%A1n-100057574024652/", "Công an xã Thanh Bình  tỉnh Bắc Kạn")</f>
      </c>
      <c r="C2774" t="str">
        <v>https://www.facebook.com/p/Tu%E1%BB%95i-tr%E1%BA%BB-C%C3%B4ng-an-t%E1%BB%89nh-B%E1%BA%AFc-K%E1%BA%A1n-100057574024652/</v>
      </c>
      <c r="D2774" t="str">
        <v>-</v>
      </c>
      <c r="E2774" t="str">
        <v/>
      </c>
      <c r="F2774" t="str">
        <v>-</v>
      </c>
      <c r="G2774" t="str">
        <v>-</v>
      </c>
    </row>
    <row r="2775">
      <c r="A2775">
        <v>2774</v>
      </c>
      <c r="B2775">
        <f>HYPERLINK("https://backan.gov.vn/pages/thu-hoi-dat-da-giao-cho-cong-ty-co-phan-sahabak-thue-de-xay-dung-nha-may-che-bien-go-sahabak-thanh-binh-tai-khu-cong-nghiep-thanh-binh-huyen-cho-moi-tinh-bac-kan.aspx", "UBND Ủy ban nhân dân xã Thanh Bình  tỉnh Bắc Kạn")</f>
      </c>
      <c r="C2775" t="str">
        <v>https://backan.gov.vn/pages/thu-hoi-dat-da-giao-cho-cong-ty-co-phan-sahabak-thue-de-xay-dung-nha-may-che-bien-go-sahabak-thanh-binh-tai-khu-cong-nghiep-thanh-binh-huyen-cho-moi-tinh-bac-kan.aspx</v>
      </c>
      <c r="D2775" t="str">
        <v>-</v>
      </c>
      <c r="E2775" t="str">
        <v>-</v>
      </c>
      <c r="F2775" t="str">
        <v>-</v>
      </c>
      <c r="G2775" t="str">
        <v>-</v>
      </c>
    </row>
    <row r="2776">
      <c r="A2776">
        <v>2775</v>
      </c>
      <c r="B2776">
        <f>HYPERLINK("https://www.facebook.com/conganxanhuco.cmbk/", "Công an xã Như Cố  tỉnh Bắc Kạn")</f>
      </c>
      <c r="C2776" t="str">
        <v>https://www.facebook.com/conganxanhuco.cmbk/</v>
      </c>
      <c r="D2776" t="str">
        <v>-</v>
      </c>
      <c r="E2776" t="str">
        <v/>
      </c>
      <c r="F2776" t="str">
        <v>-</v>
      </c>
      <c r="G2776" t="str">
        <v>-</v>
      </c>
    </row>
    <row r="2777">
      <c r="A2777">
        <v>2776</v>
      </c>
      <c r="B2777">
        <f>HYPERLINK("https://backan.gov.vn/Pages/van-ban.aspx?uid=f7542190-2f2f-490e-8320-163926157e5c&amp;itemid=4191", "UBND Ủy ban nhân dân xã Như Cố  tỉnh Bắc Kạn")</f>
      </c>
      <c r="C2777" t="str">
        <v>https://backan.gov.vn/Pages/van-ban.aspx?uid=f7542190-2f2f-490e-8320-163926157e5c&amp;itemid=4191</v>
      </c>
      <c r="D2777" t="str">
        <v>-</v>
      </c>
      <c r="E2777" t="str">
        <v>-</v>
      </c>
      <c r="F2777" t="str">
        <v>-</v>
      </c>
      <c r="G2777" t="str">
        <v>-</v>
      </c>
    </row>
    <row r="2778">
      <c r="A2778">
        <v>2777</v>
      </c>
      <c r="B2778">
        <f>HYPERLINK("https://www.facebook.com/p/Tu%E1%BB%95i-tr%E1%BA%BB-C%C3%B4ng-an-t%E1%BB%89nh-B%E1%BA%AFc-K%E1%BA%A1n-100057574024652/", "Công an xã Bình Văn  tỉnh Bắc Kạn")</f>
      </c>
      <c r="C2778" t="str">
        <v>https://www.facebook.com/p/Tu%E1%BB%95i-tr%E1%BA%BB-C%C3%B4ng-an-t%E1%BB%89nh-B%E1%BA%AFc-K%E1%BA%A1n-100057574024652/</v>
      </c>
      <c r="D2778" t="str">
        <v>-</v>
      </c>
      <c r="E2778" t="str">
        <v/>
      </c>
      <c r="F2778" t="str">
        <v>-</v>
      </c>
      <c r="G2778" t="str">
        <v>-</v>
      </c>
    </row>
    <row r="2779">
      <c r="A2779">
        <v>2778</v>
      </c>
      <c r="B2779">
        <f>HYPERLINK("https://backan.gov.vn/pages/uy-ban-nhan-dan-tinh-e8fd.aspx", "UBND Ủy ban nhân dân xã Bình Văn  tỉnh Bắc Kạn")</f>
      </c>
      <c r="C2779" t="str">
        <v>https://backan.gov.vn/pages/uy-ban-nhan-dan-tinh-e8fd.aspx</v>
      </c>
      <c r="D2779" t="str">
        <v>-</v>
      </c>
      <c r="E2779" t="str">
        <v>-</v>
      </c>
      <c r="F2779" t="str">
        <v>-</v>
      </c>
      <c r="G2779" t="str">
        <v>-</v>
      </c>
    </row>
    <row r="2780">
      <c r="A2780">
        <v>2779</v>
      </c>
      <c r="B2780" t="str">
        <v>Công an xã Yên Đĩnh  tỉnh Bắc Kạn</v>
      </c>
      <c r="C2780" t="str">
        <v>-</v>
      </c>
      <c r="D2780" t="str">
        <v>-</v>
      </c>
      <c r="E2780" t="str">
        <v/>
      </c>
      <c r="F2780" t="str">
        <v>-</v>
      </c>
      <c r="G2780" t="str">
        <v>-</v>
      </c>
    </row>
    <row r="2781">
      <c r="A2781">
        <v>2780</v>
      </c>
      <c r="B2781">
        <f>HYPERLINK("https://congbao.backan.gov.vn/congbao.nsf/EEC5BF212B736F9A47258526000EAB86/$file/QD_84.signed.pdf", "UBND Ủy ban nhân dân xã Yên Đĩnh  tỉnh Bắc Kạn")</f>
      </c>
      <c r="C2781" t="str">
        <v>https://congbao.backan.gov.vn/congbao.nsf/EEC5BF212B736F9A47258526000EAB86/$file/QD_84.signed.pdf</v>
      </c>
      <c r="D2781" t="str">
        <v>-</v>
      </c>
      <c r="E2781" t="str">
        <v>-</v>
      </c>
      <c r="F2781" t="str">
        <v>-</v>
      </c>
      <c r="G2781" t="str">
        <v>-</v>
      </c>
    </row>
    <row r="2782">
      <c r="A2782">
        <v>2781</v>
      </c>
      <c r="B2782">
        <f>HYPERLINK("https://www.facebook.com/p/Tu%E1%BB%95i-tr%E1%BA%BB-C%C3%B4ng-an-t%E1%BB%89nh-B%E1%BA%AFc-K%E1%BA%A1n-100057574024652/", "Công an xã Quảng Chu  tỉnh Bắc Kạn")</f>
      </c>
      <c r="C2782" t="str">
        <v>https://www.facebook.com/p/Tu%E1%BB%95i-tr%E1%BA%BB-C%C3%B4ng-an-t%E1%BB%89nh-B%E1%BA%AFc-K%E1%BA%A1n-100057574024652/</v>
      </c>
      <c r="D2782" t="str">
        <v>-</v>
      </c>
      <c r="E2782" t="str">
        <v/>
      </c>
      <c r="F2782" t="str">
        <v>-</v>
      </c>
      <c r="G2782" t="str">
        <v>-</v>
      </c>
    </row>
    <row r="2783">
      <c r="A2783">
        <v>2782</v>
      </c>
      <c r="B2783">
        <f>HYPERLINK("https://socongthuong.backan.gov.vn/wp-content/uploads/2021/06/dinh-kem-1.pdf", "UBND Ủy ban nhân dân xã Quảng Chu  tỉnh Bắc Kạn")</f>
      </c>
      <c r="C2783" t="str">
        <v>https://socongthuong.backan.gov.vn/wp-content/uploads/2021/06/dinh-kem-1.pdf</v>
      </c>
      <c r="D2783" t="str">
        <v>-</v>
      </c>
      <c r="E2783" t="str">
        <v>-</v>
      </c>
      <c r="F2783" t="str">
        <v>-</v>
      </c>
      <c r="G2783" t="str">
        <v>-</v>
      </c>
    </row>
    <row r="2784">
      <c r="A2784">
        <v>2783</v>
      </c>
      <c r="B2784">
        <f>HYPERLINK("https://www.facebook.com/p/C%C3%B4ng-an-th%E1%BB%8B-tr%E1%BA%A5n-Y%E1%BA%BFn-L%E1%BA%A1c-100083379427001/", "Công an thị trấn Yến Lạc  tỉnh Bắc Kạn")</f>
      </c>
      <c r="C2784" t="str">
        <v>https://www.facebook.com/p/C%C3%B4ng-an-th%E1%BB%8B-tr%E1%BA%A5n-Y%E1%BA%BFn-L%E1%BA%A1c-100083379427001/</v>
      </c>
      <c r="D2784" t="str">
        <v>-</v>
      </c>
      <c r="E2784" t="str">
        <v/>
      </c>
      <c r="F2784" t="str">
        <v>-</v>
      </c>
      <c r="G2784" t="str">
        <v>-</v>
      </c>
    </row>
    <row r="2785">
      <c r="A2785">
        <v>2784</v>
      </c>
      <c r="B2785">
        <f>HYPERLINK("https://nari.backan.gov.vn/", "UBND Ủy ban nhân dân thị trấn Yến Lạc  tỉnh Bắc Kạn")</f>
      </c>
      <c r="C2785" t="str">
        <v>https://nari.backan.gov.vn/</v>
      </c>
      <c r="D2785" t="str">
        <v>-</v>
      </c>
      <c r="E2785" t="str">
        <v>-</v>
      </c>
      <c r="F2785" t="str">
        <v>-</v>
      </c>
      <c r="G2785" t="str">
        <v>-</v>
      </c>
    </row>
    <row r="2786">
      <c r="A2786">
        <v>2785</v>
      </c>
      <c r="B2786" t="str">
        <v>Công an xã Vũ Loan  tỉnh Bắc Kạn</v>
      </c>
      <c r="C2786" t="str">
        <v>-</v>
      </c>
      <c r="D2786" t="str">
        <v>-</v>
      </c>
      <c r="E2786" t="str">
        <v/>
      </c>
      <c r="F2786" t="str">
        <v>-</v>
      </c>
      <c r="G2786" t="str">
        <v>-</v>
      </c>
    </row>
    <row r="2787">
      <c r="A2787">
        <v>2786</v>
      </c>
      <c r="B2787">
        <f>HYPERLINK("https://congbao.backan.gov.vn/congbaonew.nsf/aba656ed1fd928364725856c000a0518/9df783d7be424c1647258048002c2fe5?OpenDocument", "UBND Ủy ban nhân dân xã Vũ Loan  tỉnh Bắc Kạn")</f>
      </c>
      <c r="C2787" t="str">
        <v>https://congbao.backan.gov.vn/congbaonew.nsf/aba656ed1fd928364725856c000a0518/9df783d7be424c1647258048002c2fe5?OpenDocument</v>
      </c>
      <c r="D2787" t="str">
        <v>-</v>
      </c>
      <c r="E2787" t="str">
        <v>-</v>
      </c>
      <c r="F2787" t="str">
        <v>-</v>
      </c>
      <c r="G2787" t="str">
        <v>-</v>
      </c>
    </row>
    <row r="2788">
      <c r="A2788">
        <v>2787</v>
      </c>
      <c r="B2788" t="str">
        <v>Công an xã Lạng San  tỉnh Bắc Kạn</v>
      </c>
      <c r="C2788" t="str">
        <v>-</v>
      </c>
      <c r="D2788" t="str">
        <v>-</v>
      </c>
      <c r="E2788" t="str">
        <v/>
      </c>
      <c r="F2788" t="str">
        <v>-</v>
      </c>
      <c r="G2788" t="str">
        <v>-</v>
      </c>
    </row>
    <row r="2789">
      <c r="A2789">
        <v>2788</v>
      </c>
      <c r="B2789">
        <f>HYPERLINK("https://congbao.backan.gov.vn/congbaonew.nsf/0BB38787917C64BF47258729000A78F4/$file/QD%201208.docx", "UBND Ủy ban nhân dân xã Lạng San  tỉnh Bắc Kạn")</f>
      </c>
      <c r="C2789" t="str">
        <v>https://congbao.backan.gov.vn/congbaonew.nsf/0BB38787917C64BF47258729000A78F4/$file/QD%201208.docx</v>
      </c>
      <c r="D2789" t="str">
        <v>-</v>
      </c>
      <c r="E2789" t="str">
        <v>-</v>
      </c>
      <c r="F2789" t="str">
        <v>-</v>
      </c>
      <c r="G2789" t="str">
        <v>-</v>
      </c>
    </row>
    <row r="2790">
      <c r="A2790">
        <v>2789</v>
      </c>
      <c r="B2790">
        <f>HYPERLINK("https://www.facebook.com/p/Tu%E1%BB%95i-tr%E1%BA%BB-C%C3%B4ng-an-t%E1%BB%89nh-B%E1%BA%AFc-K%E1%BA%A1n-100057574024652/", "Công an xã Lương Thượng  tỉnh Bắc Kạn")</f>
      </c>
      <c r="C2790" t="str">
        <v>https://www.facebook.com/p/Tu%E1%BB%95i-tr%E1%BA%BB-C%C3%B4ng-an-t%E1%BB%89nh-B%E1%BA%AFc-K%E1%BA%A1n-100057574024652/</v>
      </c>
      <c r="D2790" t="str">
        <v>-</v>
      </c>
      <c r="E2790" t="str">
        <v/>
      </c>
      <c r="F2790" t="str">
        <v>-</v>
      </c>
      <c r="G2790" t="str">
        <v>-</v>
      </c>
    </row>
    <row r="2791">
      <c r="A2791">
        <v>2790</v>
      </c>
      <c r="B2791">
        <f>HYPERLINK("https://nari.backan.gov.vn/luong-thuong-to-chuc-thanh-cong-dien-tap-chien-dau-trong-khu-vuc-phong-thu-nam-2024/", "UBND Ủy ban nhân dân xã Lương Thượng  tỉnh Bắc Kạn")</f>
      </c>
      <c r="C2791" t="str">
        <v>https://nari.backan.gov.vn/luong-thuong-to-chuc-thanh-cong-dien-tap-chien-dau-trong-khu-vuc-phong-thu-nam-2024/</v>
      </c>
      <c r="D2791" t="str">
        <v>-</v>
      </c>
      <c r="E2791" t="str">
        <v>-</v>
      </c>
      <c r="F2791" t="str">
        <v>-</v>
      </c>
      <c r="G2791" t="str">
        <v>-</v>
      </c>
    </row>
    <row r="2792">
      <c r="A2792">
        <v>2791</v>
      </c>
      <c r="B2792">
        <f>HYPERLINK("https://www.facebook.com/p/Tu%E1%BB%95i-tr%E1%BA%BB-C%C3%B4ng-an-t%E1%BB%89nh-B%E1%BA%AFc-K%E1%BA%A1n-100057574024652/", "Công an xã Kim Hỷ  tỉnh Bắc Kạn")</f>
      </c>
      <c r="C2792" t="str">
        <v>https://www.facebook.com/p/Tu%E1%BB%95i-tr%E1%BA%BB-C%C3%B4ng-an-t%E1%BB%89nh-B%E1%BA%AFc-K%E1%BA%A1n-100057574024652/</v>
      </c>
      <c r="D2792" t="str">
        <v>-</v>
      </c>
      <c r="E2792" t="str">
        <v/>
      </c>
      <c r="F2792" t="str">
        <v>-</v>
      </c>
      <c r="G2792" t="str">
        <v>-</v>
      </c>
    </row>
    <row r="2793">
      <c r="A2793">
        <v>2792</v>
      </c>
      <c r="B2793">
        <f>HYPERLINK("https://dichvucong.gov.vn/p/home/dvc-tthc-co-quan-chi-tiet.html?id=400446", "UBND Ủy ban nhân dân xã Kim Hỷ  tỉnh Bắc Kạn")</f>
      </c>
      <c r="C2793" t="str">
        <v>https://dichvucong.gov.vn/p/home/dvc-tthc-co-quan-chi-tiet.html?id=400446</v>
      </c>
      <c r="D2793" t="str">
        <v>-</v>
      </c>
      <c r="E2793" t="str">
        <v>-</v>
      </c>
      <c r="F2793" t="str">
        <v>-</v>
      </c>
      <c r="G2793" t="str">
        <v>-</v>
      </c>
    </row>
    <row r="2794">
      <c r="A2794">
        <v>2793</v>
      </c>
      <c r="B2794">
        <f>HYPERLINK("https://www.facebook.com/p/Tu%E1%BB%95i-tr%E1%BA%BB-C%C3%B4ng-an-t%E1%BB%89nh-B%E1%BA%AFc-K%E1%BA%A1n-100057574024652/", "Công an xã Văn Học  tỉnh Bắc Kạn")</f>
      </c>
      <c r="C2794" t="str">
        <v>https://www.facebook.com/p/Tu%E1%BB%95i-tr%E1%BA%BB-C%C3%B4ng-an-t%E1%BB%89nh-B%E1%BA%AFc-K%E1%BA%A1n-100057574024652/</v>
      </c>
      <c r="D2794" t="str">
        <v>-</v>
      </c>
      <c r="E2794" t="str">
        <v/>
      </c>
      <c r="F2794" t="str">
        <v>-</v>
      </c>
      <c r="G2794" t="str">
        <v>-</v>
      </c>
    </row>
    <row r="2795">
      <c r="A2795">
        <v>2794</v>
      </c>
      <c r="B2795">
        <f>HYPERLINK("https://donghy.thainguyen.gov.vn/xa-van-lang", "UBND Ủy ban nhân dân xã Văn Học  tỉnh Bắc Kạn")</f>
      </c>
      <c r="C2795" t="str">
        <v>https://donghy.thainguyen.gov.vn/xa-van-lang</v>
      </c>
      <c r="D2795" t="str">
        <v>-</v>
      </c>
      <c r="E2795" t="str">
        <v>-</v>
      </c>
      <c r="F2795" t="str">
        <v>-</v>
      </c>
      <c r="G2795" t="str">
        <v>-</v>
      </c>
    </row>
    <row r="2796">
      <c r="A2796">
        <v>2795</v>
      </c>
      <c r="B2796">
        <f>HYPERLINK("https://www.facebook.com/conganxaxcuongloihuyennari/", "Công an xã Cường Lợi  tỉnh Bắc Kạn")</f>
      </c>
      <c r="C2796" t="str">
        <v>https://www.facebook.com/conganxaxcuongloihuyennari/</v>
      </c>
      <c r="D2796" t="str">
        <v>-</v>
      </c>
      <c r="E2796" t="str">
        <v/>
      </c>
      <c r="F2796" t="str">
        <v>-</v>
      </c>
      <c r="G2796" t="str">
        <v>-</v>
      </c>
    </row>
    <row r="2797">
      <c r="A2797">
        <v>2796</v>
      </c>
      <c r="B2797">
        <f>HYPERLINK("https://backan.gov.vn/Pages/van-ban.aspx?uid=e1e37833-5376-40ef-98b4-bfb880273147&amp;itemid=4754", "UBND Ủy ban nhân dân xã Cường Lợi  tỉnh Bắc Kạn")</f>
      </c>
      <c r="C2797" t="str">
        <v>https://backan.gov.vn/Pages/van-ban.aspx?uid=e1e37833-5376-40ef-98b4-bfb880273147&amp;itemid=4754</v>
      </c>
      <c r="D2797" t="str">
        <v>-</v>
      </c>
      <c r="E2797" t="str">
        <v>-</v>
      </c>
      <c r="F2797" t="str">
        <v>-</v>
      </c>
      <c r="G2797" t="str">
        <v>-</v>
      </c>
    </row>
    <row r="2798">
      <c r="A2798">
        <v>2797</v>
      </c>
      <c r="B2798">
        <f>HYPERLINK("https://www.facebook.com/TuoitreConganCaoBang/?locale=bn_IN", "Công an xã Lương Hạ  tỉnh Bắc Kạn")</f>
      </c>
      <c r="C2798" t="str">
        <v>https://www.facebook.com/TuoitreConganCaoBang/?locale=bn_IN</v>
      </c>
      <c r="D2798" t="str">
        <v>-</v>
      </c>
      <c r="E2798" t="str">
        <v/>
      </c>
      <c r="F2798" t="str">
        <v>-</v>
      </c>
      <c r="G2798" t="str">
        <v>-</v>
      </c>
    </row>
    <row r="2799">
      <c r="A2799">
        <v>2798</v>
      </c>
      <c r="B2799">
        <f>HYPERLINK("https://congbao.backan.gov.vn/congbaonew.nsf/0BB38787917C64BF47258729000A78F4/$file/QD%201208.docx", "UBND Ủy ban nhân dân xã Lương Hạ  tỉnh Bắc Kạn")</f>
      </c>
      <c r="C2799" t="str">
        <v>https://congbao.backan.gov.vn/congbaonew.nsf/0BB38787917C64BF47258729000A78F4/$file/QD%201208.docx</v>
      </c>
      <c r="D2799" t="str">
        <v>-</v>
      </c>
      <c r="E2799" t="str">
        <v>-</v>
      </c>
      <c r="F2799" t="str">
        <v>-</v>
      </c>
      <c r="G2799" t="str">
        <v>-</v>
      </c>
    </row>
    <row r="2800">
      <c r="A2800">
        <v>2799</v>
      </c>
      <c r="B2800" t="str">
        <v>Công an xã Kim Lư  tỉnh Bắc Kạn</v>
      </c>
      <c r="C2800" t="str">
        <v>-</v>
      </c>
      <c r="D2800" t="str">
        <v>-</v>
      </c>
      <c r="E2800" t="str">
        <v/>
      </c>
      <c r="F2800" t="str">
        <v>-</v>
      </c>
      <c r="G2800" t="str">
        <v>-</v>
      </c>
    </row>
    <row r="2801">
      <c r="A2801">
        <v>2800</v>
      </c>
      <c r="B2801">
        <f>HYPERLINK("https://dichvucong.gov.vn/p/home/dvc-tthc-co-quan-chi-tiet.html?id=400446", "UBND Ủy ban nhân dân xã Kim Lư  tỉnh Bắc Kạn")</f>
      </c>
      <c r="C2801" t="str">
        <v>https://dichvucong.gov.vn/p/home/dvc-tthc-co-quan-chi-tiet.html?id=400446</v>
      </c>
      <c r="D2801" t="str">
        <v>-</v>
      </c>
      <c r="E2801" t="str">
        <v>-</v>
      </c>
      <c r="F2801" t="str">
        <v>-</v>
      </c>
      <c r="G2801" t="str">
        <v>-</v>
      </c>
    </row>
    <row r="2802">
      <c r="A2802">
        <v>2801</v>
      </c>
      <c r="B2802">
        <f>HYPERLINK("https://www.facebook.com/p/Tu%E1%BB%95i-tr%E1%BA%BB-C%C3%B4ng-an-t%E1%BB%89nh-B%E1%BA%AFc-K%E1%BA%A1n-100057574024652/", "Công an xã Lương Thành  tỉnh Bắc Kạn")</f>
      </c>
      <c r="C2802" t="str">
        <v>https://www.facebook.com/p/Tu%E1%BB%95i-tr%E1%BA%BB-C%C3%B4ng-an-t%E1%BB%89nh-B%E1%BA%AFc-K%E1%BA%A1n-100057574024652/</v>
      </c>
      <c r="D2802" t="str">
        <v>-</v>
      </c>
      <c r="E2802" t="str">
        <v/>
      </c>
      <c r="F2802" t="str">
        <v>-</v>
      </c>
      <c r="G2802" t="str">
        <v>-</v>
      </c>
    </row>
    <row r="2803">
      <c r="A2803">
        <v>2802</v>
      </c>
      <c r="B2803">
        <f>HYPERLINK("https://luongbang.chodon.backan.gov.vn/", "UBND Ủy ban nhân dân xã Lương Thành  tỉnh Bắc Kạn")</f>
      </c>
      <c r="C2803" t="str">
        <v>https://luongbang.chodon.backan.gov.vn/</v>
      </c>
      <c r="D2803" t="str">
        <v>-</v>
      </c>
      <c r="E2803" t="str">
        <v>-</v>
      </c>
      <c r="F2803" t="str">
        <v>-</v>
      </c>
      <c r="G2803" t="str">
        <v>-</v>
      </c>
    </row>
    <row r="2804">
      <c r="A2804">
        <v>2803</v>
      </c>
      <c r="B2804">
        <f>HYPERLINK("https://www.facebook.com/p/Tu%E1%BB%95i-tr%E1%BA%BB-C%C3%B4ng-an-t%E1%BB%89nh-B%E1%BA%AFc-K%E1%BA%A1n-100057574024652/", "Công an xã Ân Tình  tỉnh Bắc Kạn")</f>
      </c>
      <c r="C2804" t="str">
        <v>https://www.facebook.com/p/Tu%E1%BB%95i-tr%E1%BA%BB-C%C3%B4ng-an-t%E1%BB%89nh-B%E1%BA%AFc-K%E1%BA%A1n-100057574024652/</v>
      </c>
      <c r="D2804" t="str">
        <v>-</v>
      </c>
      <c r="E2804" t="str">
        <v/>
      </c>
      <c r="F2804" t="str">
        <v>-</v>
      </c>
      <c r="G2804" t="str">
        <v>-</v>
      </c>
    </row>
    <row r="2805">
      <c r="A2805">
        <v>2804</v>
      </c>
      <c r="B2805">
        <f>HYPERLINK("https://congbao.backan.gov.vn/congbaonew.nsf/0BB38787917C64BF47258729000A78F4/$file/QD%201208.docx", "UBND Ủy ban nhân dân xã Ân Tình  tỉnh Bắc Kạn")</f>
      </c>
      <c r="C2805" t="str">
        <v>https://congbao.backan.gov.vn/congbaonew.nsf/0BB38787917C64BF47258729000A78F4/$file/QD%201208.docx</v>
      </c>
      <c r="D2805" t="str">
        <v>-</v>
      </c>
      <c r="E2805" t="str">
        <v>-</v>
      </c>
      <c r="F2805" t="str">
        <v>-</v>
      </c>
      <c r="G2805" t="str">
        <v>-</v>
      </c>
    </row>
    <row r="2806">
      <c r="A2806">
        <v>2805</v>
      </c>
      <c r="B2806">
        <f>HYPERLINK("https://www.facebook.com/tuoitrecongansonla/", "Công an xã Lam Sơn  tỉnh Bắc Kạn")</f>
      </c>
      <c r="C2806" t="str">
        <v>https://www.facebook.com/tuoitrecongansonla/</v>
      </c>
      <c r="D2806" t="str">
        <v>-</v>
      </c>
      <c r="E2806" t="str">
        <v/>
      </c>
      <c r="F2806" t="str">
        <v>-</v>
      </c>
      <c r="G2806" t="str">
        <v>-</v>
      </c>
    </row>
    <row r="2807">
      <c r="A2807">
        <v>2806</v>
      </c>
      <c r="B2807">
        <f>HYPERLINK("https://congbao.backan.gov.vn/congbaonew.nsf/0BB38787917C64BF47258729000A78F4/$file/QD%201208.docx", "UBND Ủy ban nhân dân xã Lam Sơn  tỉnh Bắc Kạn")</f>
      </c>
      <c r="C2807" t="str">
        <v>https://congbao.backan.gov.vn/congbaonew.nsf/0BB38787917C64BF47258729000A78F4/$file/QD%201208.docx</v>
      </c>
      <c r="D2807" t="str">
        <v>-</v>
      </c>
      <c r="E2807" t="str">
        <v>-</v>
      </c>
      <c r="F2807" t="str">
        <v>-</v>
      </c>
      <c r="G2807" t="str">
        <v>-</v>
      </c>
    </row>
    <row r="2808">
      <c r="A2808">
        <v>2807</v>
      </c>
      <c r="B2808">
        <f>HYPERLINK("https://www.facebook.com/p/Tu%E1%BB%95i-tr%E1%BA%BB-C%C3%B4ng-an-t%E1%BB%89nh-B%E1%BA%AFc-K%E1%BA%A1n-100057574024652/", "Công an xã Văn Minh  tỉnh Bắc Kạn")</f>
      </c>
      <c r="C2808" t="str">
        <v>https://www.facebook.com/p/Tu%E1%BB%95i-tr%E1%BA%BB-C%C3%B4ng-an-t%E1%BB%89nh-B%E1%BA%AFc-K%E1%BA%A1n-100057574024652/</v>
      </c>
      <c r="D2808" t="str">
        <v>-</v>
      </c>
      <c r="E2808" t="str">
        <v/>
      </c>
      <c r="F2808" t="str">
        <v>-</v>
      </c>
      <c r="G2808" t="str">
        <v>-</v>
      </c>
    </row>
    <row r="2809">
      <c r="A2809">
        <v>2808</v>
      </c>
      <c r="B2809">
        <f>HYPERLINK("https://congbao.backan.gov.vn/congbaonew.nsf/1ec98b9a09cc68af47258116000c7559/5b0f722c2879ada7882580050020afca?OpenDocument", "UBND Ủy ban nhân dân xã Văn Minh  tỉnh Bắc Kạn")</f>
      </c>
      <c r="C2809" t="str">
        <v>https://congbao.backan.gov.vn/congbaonew.nsf/1ec98b9a09cc68af47258116000c7559/5b0f722c2879ada7882580050020afca?OpenDocument</v>
      </c>
      <c r="D2809" t="str">
        <v>-</v>
      </c>
      <c r="E2809" t="str">
        <v>-</v>
      </c>
      <c r="F2809" t="str">
        <v>-</v>
      </c>
      <c r="G2809" t="str">
        <v>-</v>
      </c>
    </row>
    <row r="2810">
      <c r="A2810">
        <v>2809</v>
      </c>
      <c r="B2810">
        <f>HYPERLINK("https://www.facebook.com/caxconminhnrbk/", "Công an xã Côn Minh  tỉnh Bắc Kạn")</f>
      </c>
      <c r="C2810" t="str">
        <v>https://www.facebook.com/caxconminhnrbk/</v>
      </c>
      <c r="D2810" t="str">
        <v>-</v>
      </c>
      <c r="E2810" t="str">
        <v/>
      </c>
      <c r="F2810" t="str">
        <v>-</v>
      </c>
      <c r="G2810" t="str">
        <v>-</v>
      </c>
    </row>
    <row r="2811">
      <c r="A2811">
        <v>2810</v>
      </c>
      <c r="B2811">
        <f>HYPERLINK("https://xuctiendautu.backan.gov.vn/tin-tuc/hoi-nghi-thong-nhat-thuc-hien-nhiem-vu-ho-tro-thi-diem-chuyen-doi-so-xa-con-minh-huyen-na-ri/", "UBND Ủy ban nhân dân xã Côn Minh  tỉnh Bắc Kạn")</f>
      </c>
      <c r="C2811" t="str">
        <v>https://xuctiendautu.backan.gov.vn/tin-tuc/hoi-nghi-thong-nhat-thuc-hien-nhiem-vu-ho-tro-thi-diem-chuyen-doi-so-xa-con-minh-huyen-na-ri/</v>
      </c>
      <c r="D2811" t="str">
        <v>-</v>
      </c>
      <c r="E2811" t="str">
        <v>-</v>
      </c>
      <c r="F2811" t="str">
        <v>-</v>
      </c>
      <c r="G2811" t="str">
        <v>-</v>
      </c>
    </row>
    <row r="2812">
      <c r="A2812">
        <v>2811</v>
      </c>
      <c r="B2812">
        <f>HYPERLINK("https://www.facebook.com/p/Tu%E1%BB%95i-tr%E1%BA%BB-C%C3%B4ng-an-t%E1%BB%89nh-B%E1%BA%AFc-K%E1%BA%A1n-100057574024652/", "Công an xã Cư Lễ  tỉnh Bắc Kạn")</f>
      </c>
      <c r="C2812" t="str">
        <v>https://www.facebook.com/p/Tu%E1%BB%95i-tr%E1%BA%BB-C%C3%B4ng-an-t%E1%BB%89nh-B%E1%BA%AFc-K%E1%BA%A1n-100057574024652/</v>
      </c>
      <c r="D2812" t="str">
        <v>-</v>
      </c>
      <c r="E2812" t="str">
        <v/>
      </c>
      <c r="F2812" t="str">
        <v>-</v>
      </c>
      <c r="G2812" t="str">
        <v>-</v>
      </c>
    </row>
    <row r="2813">
      <c r="A2813">
        <v>2812</v>
      </c>
      <c r="B2813">
        <f>HYPERLINK("https://nari.backan.gov.vn/category/tin-moi/page/40/", "UBND Ủy ban nhân dân xã Cư Lễ  tỉnh Bắc Kạn")</f>
      </c>
      <c r="C2813" t="str">
        <v>https://nari.backan.gov.vn/category/tin-moi/page/40/</v>
      </c>
      <c r="D2813" t="str">
        <v>-</v>
      </c>
      <c r="E2813" t="str">
        <v>-</v>
      </c>
      <c r="F2813" t="str">
        <v>-</v>
      </c>
      <c r="G2813" t="str">
        <v>-</v>
      </c>
    </row>
    <row r="2814">
      <c r="A2814">
        <v>2813</v>
      </c>
      <c r="B2814">
        <f>HYPERLINK("https://www.facebook.com/970393243713270", "Công an xã Hữu Thác  tỉnh Bắc Kạn")</f>
      </c>
      <c r="C2814" t="str">
        <v>https://www.facebook.com/970393243713270</v>
      </c>
      <c r="D2814" t="str">
        <v>-</v>
      </c>
      <c r="E2814" t="str">
        <v/>
      </c>
      <c r="F2814" t="str">
        <v>-</v>
      </c>
      <c r="G2814" t="str">
        <v>-</v>
      </c>
    </row>
    <row r="2815">
      <c r="A2815">
        <v>2814</v>
      </c>
      <c r="B2815">
        <f>HYPERLINK("https://congbao.backan.gov.vn/congbaonew.nsf/0BB38787917C64BF47258729000A78F4/$file/QD%201208.docx", "UBND Ủy ban nhân dân xã Hữu Thác  tỉnh Bắc Kạn")</f>
      </c>
      <c r="C2815" t="str">
        <v>https://congbao.backan.gov.vn/congbaonew.nsf/0BB38787917C64BF47258729000A78F4/$file/QD%201208.docx</v>
      </c>
      <c r="D2815" t="str">
        <v>-</v>
      </c>
      <c r="E2815" t="str">
        <v>-</v>
      </c>
      <c r="F2815" t="str">
        <v>-</v>
      </c>
      <c r="G2815" t="str">
        <v>-</v>
      </c>
    </row>
    <row r="2816">
      <c r="A2816">
        <v>2815</v>
      </c>
      <c r="B2816" t="str">
        <v>Công an xã Hảo Nghĩa  tỉnh Bắc Kạn</v>
      </c>
      <c r="C2816" t="str">
        <v>-</v>
      </c>
      <c r="D2816" t="str">
        <v>-</v>
      </c>
      <c r="E2816" t="str">
        <v/>
      </c>
      <c r="F2816" t="str">
        <v>-</v>
      </c>
      <c r="G2816" t="str">
        <v>-</v>
      </c>
    </row>
    <row r="2817">
      <c r="A2817">
        <v>2816</v>
      </c>
      <c r="B2817">
        <f>HYPERLINK("https://congbao.backan.gov.vn/congbao.nsf/90889A94F4388BB4472583B3001072CC/$file/QD_133_signed.pdf", "UBND Ủy ban nhân dân xã Hảo Nghĩa  tỉnh Bắc Kạn")</f>
      </c>
      <c r="C2817" t="str">
        <v>https://congbao.backan.gov.vn/congbao.nsf/90889A94F4388BB4472583B3001072CC/$file/QD_133_signed.pdf</v>
      </c>
      <c r="D2817" t="str">
        <v>-</v>
      </c>
      <c r="E2817" t="str">
        <v>-</v>
      </c>
      <c r="F2817" t="str">
        <v>-</v>
      </c>
      <c r="G2817" t="str">
        <v>-</v>
      </c>
    </row>
    <row r="2818">
      <c r="A2818">
        <v>2817</v>
      </c>
      <c r="B2818">
        <f>HYPERLINK("https://www.facebook.com/caxquangphongnrbk/", "Công an xã Quang Phong  tỉnh Bắc Kạn")</f>
      </c>
      <c r="C2818" t="str">
        <v>https://www.facebook.com/caxquangphongnrbk/</v>
      </c>
      <c r="D2818" t="str">
        <v>-</v>
      </c>
      <c r="E2818" t="str">
        <v/>
      </c>
      <c r="F2818" t="str">
        <v>-</v>
      </c>
      <c r="G2818" t="str">
        <v>-</v>
      </c>
    </row>
    <row r="2819">
      <c r="A2819">
        <v>2818</v>
      </c>
      <c r="B2819">
        <f>HYPERLINK("https://nari.backan.gov.vn/dang-uy-xa-quang-phong-to-chuc-le-cong-bo-quyet-dinh-thanh-lap-chi-bo-quan-su-xa-quang-phong-nhiem-ky-2022-2025/", "UBND Ủy ban nhân dân xã Quang Phong  tỉnh Bắc Kạn")</f>
      </c>
      <c r="C2819" t="str">
        <v>https://nari.backan.gov.vn/dang-uy-xa-quang-phong-to-chuc-le-cong-bo-quyet-dinh-thanh-lap-chi-bo-quan-su-xa-quang-phong-nhiem-ky-2022-2025/</v>
      </c>
      <c r="D2819" t="str">
        <v>-</v>
      </c>
      <c r="E2819" t="str">
        <v>-</v>
      </c>
      <c r="F2819" t="str">
        <v>-</v>
      </c>
      <c r="G2819" t="str">
        <v>-</v>
      </c>
    </row>
    <row r="2820">
      <c r="A2820">
        <v>2819</v>
      </c>
      <c r="B2820">
        <f>HYPERLINK("https://www.facebook.com/tuoitrecongansonla/", "Công an xã Dương Sơn  tỉnh Bắc Kạn")</f>
      </c>
      <c r="C2820" t="str">
        <v>https://www.facebook.com/tuoitrecongansonla/</v>
      </c>
      <c r="D2820" t="str">
        <v>-</v>
      </c>
      <c r="E2820" t="str">
        <v/>
      </c>
      <c r="F2820" t="str">
        <v>-</v>
      </c>
      <c r="G2820" t="str">
        <v>-</v>
      </c>
    </row>
    <row r="2821">
      <c r="A2821">
        <v>2820</v>
      </c>
      <c r="B2821">
        <f>HYPERLINK("https://backan.gov.vn/Pages/van-ban.aspx?uid=07c9ecc8-23ae-4483-8c70-f821e44355be&amp;itemid=4634", "UBND Ủy ban nhân dân xã Dương Sơn  tỉnh Bắc Kạn")</f>
      </c>
      <c r="C2821" t="str">
        <v>https://backan.gov.vn/Pages/van-ban.aspx?uid=07c9ecc8-23ae-4483-8c70-f821e44355be&amp;itemid=4634</v>
      </c>
      <c r="D2821" t="str">
        <v>-</v>
      </c>
      <c r="E2821" t="str">
        <v>-</v>
      </c>
      <c r="F2821" t="str">
        <v>-</v>
      </c>
      <c r="G2821" t="str">
        <v>-</v>
      </c>
    </row>
    <row r="2822">
      <c r="A2822">
        <v>2821</v>
      </c>
      <c r="B2822">
        <f>HYPERLINK("https://www.facebook.com/caxxuanduongnrbk/", "Công an xã Xuân Dương  tỉnh Bắc Kạn")</f>
      </c>
      <c r="C2822" t="str">
        <v>https://www.facebook.com/caxxuanduongnrbk/</v>
      </c>
      <c r="D2822" t="str">
        <v>-</v>
      </c>
      <c r="E2822" t="str">
        <v/>
      </c>
      <c r="F2822" t="str">
        <v>-</v>
      </c>
      <c r="G2822" t="str">
        <v>-</v>
      </c>
    </row>
    <row r="2823">
      <c r="A2823">
        <v>2822</v>
      </c>
      <c r="B2823">
        <f>HYPERLINK("https://nari.backan.gov.vn/hop-thong-nhat-cac-noi-dung-to-chuc-le-be-mac-tuan-van-hoa-du-lich-tinh-bac-kan-nam-2024-gan-voi-le-hoi-van-hoa-cho-tinh-xuan-duong/", "UBND Ủy ban nhân dân xã Xuân Dương  tỉnh Bắc Kạn")</f>
      </c>
      <c r="C2823" t="str">
        <v>https://nari.backan.gov.vn/hop-thong-nhat-cac-noi-dung-to-chuc-le-be-mac-tuan-van-hoa-du-lich-tinh-bac-kan-nam-2024-gan-voi-le-hoi-van-hoa-cho-tinh-xuan-duong/</v>
      </c>
      <c r="D2823" t="str">
        <v>-</v>
      </c>
      <c r="E2823" t="str">
        <v>-</v>
      </c>
      <c r="F2823" t="str">
        <v>-</v>
      </c>
      <c r="G2823" t="str">
        <v>-</v>
      </c>
    </row>
    <row r="2824">
      <c r="A2824">
        <v>2823</v>
      </c>
      <c r="B2824">
        <f>HYPERLINK("https://www.facebook.com/Conganxadongxahuyennari/", "Công an xã Đổng Xá  tỉnh Bắc Kạn")</f>
      </c>
      <c r="C2824" t="str">
        <v>https://www.facebook.com/Conganxadongxahuyennari/</v>
      </c>
      <c r="D2824" t="str">
        <v>-</v>
      </c>
      <c r="E2824" t="str">
        <v/>
      </c>
      <c r="F2824" t="str">
        <v>-</v>
      </c>
      <c r="G2824" t="str">
        <v>-</v>
      </c>
    </row>
    <row r="2825">
      <c r="A2825">
        <v>2824</v>
      </c>
      <c r="B2825">
        <f>HYPERLINK("https://nari.backan.gov.vn/", "UBND Ủy ban nhân dân xã Đổng Xá  tỉnh Bắc Kạn")</f>
      </c>
      <c r="C2825" t="str">
        <v>https://nari.backan.gov.vn/</v>
      </c>
      <c r="D2825" t="str">
        <v>-</v>
      </c>
      <c r="E2825" t="str">
        <v>-</v>
      </c>
      <c r="F2825" t="str">
        <v>-</v>
      </c>
      <c r="G2825" t="str">
        <v>-</v>
      </c>
    </row>
    <row r="2826">
      <c r="A2826">
        <v>2825</v>
      </c>
      <c r="B2826">
        <f>HYPERLINK("https://www.facebook.com/p/Tu%E1%BB%95i-tr%E1%BA%BB-B%E1%BA%AFc-K%E1%BA%A1n-100066866904294/", "Công an xã Liêm Thuỷ  tỉnh Bắc Kạn")</f>
      </c>
      <c r="C2826" t="str">
        <v>https://www.facebook.com/p/Tu%E1%BB%95i-tr%E1%BA%BB-B%E1%BA%AFc-K%E1%BA%A1n-100066866904294/</v>
      </c>
      <c r="D2826" t="str">
        <v>-</v>
      </c>
      <c r="E2826" t="str">
        <v/>
      </c>
      <c r="F2826" t="str">
        <v>-</v>
      </c>
      <c r="G2826" t="str">
        <v>-</v>
      </c>
    </row>
    <row r="2827">
      <c r="A2827">
        <v>2826</v>
      </c>
      <c r="B2827">
        <f>HYPERLINK("https://hanhchinhcong.backan.gov.vn/portaldvc/Pages/2023-8-22/Tang-Bang-khen-cho-cac-tap-the-ho-gia-dinh-ca-nhanjbmlzgs9bevf.aspx", "UBND Ủy ban nhân dân xã Liêm Thuỷ  tỉnh Bắc Kạn")</f>
      </c>
      <c r="C2827" t="str">
        <v>https://hanhchinhcong.backan.gov.vn/portaldvc/Pages/2023-8-22/Tang-Bang-khen-cho-cac-tap-the-ho-gia-dinh-ca-nhanjbmlzgs9bevf.aspx</v>
      </c>
      <c r="D2827" t="str">
        <v>-</v>
      </c>
      <c r="E2827" t="str">
        <v>-</v>
      </c>
      <c r="F2827" t="str">
        <v>-</v>
      </c>
      <c r="G2827" t="str">
        <v>-</v>
      </c>
    </row>
    <row r="2828">
      <c r="A2828">
        <v>2827</v>
      </c>
      <c r="B2828" t="str">
        <v>Công an phường Phan Thiết  tỉnh Tuyên Quang</v>
      </c>
      <c r="C2828" t="str">
        <v>-</v>
      </c>
      <c r="D2828" t="str">
        <v>-</v>
      </c>
      <c r="E2828" t="str">
        <v/>
      </c>
      <c r="F2828" t="str">
        <v>-</v>
      </c>
      <c r="G2828" t="str">
        <v>-</v>
      </c>
    </row>
    <row r="2829">
      <c r="A2829">
        <v>2828</v>
      </c>
      <c r="B2829">
        <f>HYPERLINK("http://phanthiet.tuyenquang.gov.vn/vi/tin-bai/bi-thu-chu-tich-ubnd-phuong-phan-thiet-da-toi-tham-tang-qua-cac-gia-dinh-chinh-sach-nguoi-co-cong-voi-cach-mang-tren-dia-ban-phuong?type=NEWS&amp;id=94680", "UBND Ủy ban nhân dân phường Phan Thiết  tỉnh Tuyên Quang")</f>
      </c>
      <c r="C2829" t="str">
        <v>http://phanthiet.tuyenquang.gov.vn/vi/tin-bai/bi-thu-chu-tich-ubnd-phuong-phan-thiet-da-toi-tham-tang-qua-cac-gia-dinh-chinh-sach-nguoi-co-cong-voi-cach-mang-tren-dia-ban-phuong?type=NEWS&amp;id=94680</v>
      </c>
      <c r="D2829" t="str">
        <v>-</v>
      </c>
      <c r="E2829" t="str">
        <v>-</v>
      </c>
      <c r="F2829" t="str">
        <v>-</v>
      </c>
      <c r="G2829" t="str">
        <v>-</v>
      </c>
    </row>
    <row r="2830">
      <c r="A2830">
        <v>2829</v>
      </c>
      <c r="B2830">
        <f>HYPERLINK("https://www.facebook.com/p/C%C3%B4ng-an-ph%C6%B0%E1%BB%9Dng-Minh-Xu%C3%A2n-TP-Tuy%C3%AAn-Quang-100083448786653/", "Công an phường Minh Xuân  tỉnh Tuyên Quang")</f>
      </c>
      <c r="C2830" t="str">
        <v>https://www.facebook.com/p/C%C3%B4ng-an-ph%C6%B0%E1%BB%9Dng-Minh-Xu%C3%A2n-TP-Tuy%C3%AAn-Quang-100083448786653/</v>
      </c>
      <c r="D2830" t="str">
        <v>-</v>
      </c>
      <c r="E2830" t="str">
        <v/>
      </c>
      <c r="F2830" t="str">
        <v>-</v>
      </c>
      <c r="G2830" t="str">
        <v>-</v>
      </c>
    </row>
    <row r="2831">
      <c r="A2831">
        <v>2830</v>
      </c>
      <c r="B2831">
        <f>HYPERLINK("https://www.tuyenquang.gov.vn/", "UBND Ủy ban nhân dân phường Minh Xuân  tỉnh Tuyên Quang")</f>
      </c>
      <c r="C2831" t="str">
        <v>https://www.tuyenquang.gov.vn/</v>
      </c>
      <c r="D2831" t="str">
        <v>-</v>
      </c>
      <c r="E2831" t="str">
        <v>-</v>
      </c>
      <c r="F2831" t="str">
        <v>-</v>
      </c>
      <c r="G2831" t="str">
        <v>-</v>
      </c>
    </row>
    <row r="2832">
      <c r="A2832">
        <v>2831</v>
      </c>
      <c r="B2832" t="str">
        <v>Công an phường Tân Quang  tỉnh Tuyên Quang</v>
      </c>
      <c r="C2832" t="str">
        <v>-</v>
      </c>
      <c r="D2832" t="str">
        <v>-</v>
      </c>
      <c r="E2832" t="str">
        <v/>
      </c>
      <c r="F2832" t="str">
        <v>-</v>
      </c>
      <c r="G2832" t="str">
        <v>-</v>
      </c>
    </row>
    <row r="2833">
      <c r="A2833">
        <v>2832</v>
      </c>
      <c r="B2833">
        <f>HYPERLINK("https://thanhpho.tuyenquang.gov.vn/", "UBND Ủy ban nhân dân phường Tân Quang  tỉnh Tuyên Quang")</f>
      </c>
      <c r="C2833" t="str">
        <v>https://thanhpho.tuyenquang.gov.vn/</v>
      </c>
      <c r="D2833" t="str">
        <v>-</v>
      </c>
      <c r="E2833" t="str">
        <v>-</v>
      </c>
      <c r="F2833" t="str">
        <v>-</v>
      </c>
      <c r="G2833" t="str">
        <v>-</v>
      </c>
    </row>
    <row r="2834">
      <c r="A2834">
        <v>2833</v>
      </c>
      <c r="B2834">
        <f>HYPERLINK("https://www.facebook.com/p/C%C3%B4ng-an-x%C3%A3-Tr%C3%A0ng-%C4%90%C3%A0-TP-Tuy%C3%AAn-Quang-100083109587773/", "Công an xã Tràng Đà  tỉnh Tuyên Quang")</f>
      </c>
      <c r="C2834" t="str">
        <v>https://www.facebook.com/p/C%C3%B4ng-an-x%C3%A3-Tr%C3%A0ng-%C4%90%C3%A0-TP-Tuy%C3%AAn-Quang-100083109587773/</v>
      </c>
      <c r="D2834" t="str">
        <v>-</v>
      </c>
      <c r="E2834" t="str">
        <v/>
      </c>
      <c r="F2834" t="str">
        <v>-</v>
      </c>
      <c r="G2834" t="str">
        <v>-</v>
      </c>
    </row>
    <row r="2835">
      <c r="A2835">
        <v>2834</v>
      </c>
      <c r="B2835">
        <f>HYPERLINK("http://congbao.tuyenquang.gov.vn/van-ban/linh-vuc/tai-nguyen-va-moi-truong/trang-8.html", "UBND Ủy ban nhân dân xã Tràng Đà  tỉnh Tuyên Quang")</f>
      </c>
      <c r="C2835" t="str">
        <v>http://congbao.tuyenquang.gov.vn/van-ban/linh-vuc/tai-nguyen-va-moi-truong/trang-8.html</v>
      </c>
      <c r="D2835" t="str">
        <v>-</v>
      </c>
      <c r="E2835" t="str">
        <v>-</v>
      </c>
      <c r="F2835" t="str">
        <v>-</v>
      </c>
      <c r="G2835" t="str">
        <v>-</v>
      </c>
    </row>
    <row r="2836">
      <c r="A2836">
        <v>2835</v>
      </c>
      <c r="B2836" t="str">
        <v>Công an phường Nông Tiến  tỉnh Tuyên Quang</v>
      </c>
      <c r="C2836" t="str">
        <v>-</v>
      </c>
      <c r="D2836" t="str">
        <v>-</v>
      </c>
      <c r="E2836" t="str">
        <v/>
      </c>
      <c r="F2836" t="str">
        <v>-</v>
      </c>
      <c r="G2836" t="str">
        <v>-</v>
      </c>
    </row>
    <row r="2837">
      <c r="A2837">
        <v>2836</v>
      </c>
      <c r="B2837">
        <f>HYPERLINK("https://hdndtuyenquang.gov.vn/dai-bieu-voi-cu-tri/tra-loi-y-kien/dia-phuong/tuyen-quang/xem-chi-tiet-2184.html", "UBND Ủy ban nhân dân phường Nông Tiến  tỉnh Tuyên Quang")</f>
      </c>
      <c r="C2837" t="str">
        <v>https://hdndtuyenquang.gov.vn/dai-bieu-voi-cu-tri/tra-loi-y-kien/dia-phuong/tuyen-quang/xem-chi-tiet-2184.html</v>
      </c>
      <c r="D2837" t="str">
        <v>-</v>
      </c>
      <c r="E2837" t="str">
        <v>-</v>
      </c>
      <c r="F2837" t="str">
        <v>-</v>
      </c>
      <c r="G2837" t="str">
        <v>-</v>
      </c>
    </row>
    <row r="2838">
      <c r="A2838">
        <v>2837</v>
      </c>
      <c r="B2838">
        <f>HYPERLINK("https://www.facebook.com/ubndphuongyla/", "Công an phường Ỷ La  tỉnh Tuyên Quang")</f>
      </c>
      <c r="C2838" t="str">
        <v>https://www.facebook.com/ubndphuongyla/</v>
      </c>
      <c r="D2838" t="str">
        <v>-</v>
      </c>
      <c r="E2838" t="str">
        <v/>
      </c>
      <c r="F2838" t="str">
        <v>-</v>
      </c>
      <c r="G2838" t="str">
        <v>-</v>
      </c>
    </row>
    <row r="2839">
      <c r="A2839">
        <v>2838</v>
      </c>
      <c r="B2839">
        <f>HYPERLINK("http://congbao.tuyenquang.gov.vn/van-ban/linh-vuc/quy-hoach.html", "UBND Ủy ban nhân dân phường Ỷ La  tỉnh Tuyên Quang")</f>
      </c>
      <c r="C2839" t="str">
        <v>http://congbao.tuyenquang.gov.vn/van-ban/linh-vuc/quy-hoach.html</v>
      </c>
      <c r="D2839" t="str">
        <v>-</v>
      </c>
      <c r="E2839" t="str">
        <v>-</v>
      </c>
      <c r="F2839" t="str">
        <v>-</v>
      </c>
      <c r="G2839" t="str">
        <v>-</v>
      </c>
    </row>
    <row r="2840">
      <c r="A2840">
        <v>2839</v>
      </c>
      <c r="B2840">
        <f>HYPERLINK("https://www.facebook.com/p/C%C3%B4ng-an-ph%C6%B0%E1%BB%9Dng-T%C3%A2n-H%C3%A0-TP-Tuy%C3%AAn-Quang-100068061935760/", "Công an phường Tân Hà  tỉnh Tuyên Quang")</f>
      </c>
      <c r="C2840" t="str">
        <v>https://www.facebook.com/p/C%C3%B4ng-an-ph%C6%B0%E1%BB%9Dng-T%C3%A2n-H%C3%A0-TP-Tuy%C3%AAn-Quang-100068061935760/</v>
      </c>
      <c r="D2840" t="str">
        <v>-</v>
      </c>
      <c r="E2840" t="str">
        <v/>
      </c>
      <c r="F2840" t="str">
        <v>-</v>
      </c>
      <c r="G2840" t="str">
        <v>-</v>
      </c>
    </row>
    <row r="2841">
      <c r="A2841">
        <v>2840</v>
      </c>
      <c r="B2841">
        <f>HYPERLINK("http://www.tuyenquang.gov.vn/vi/post/quyet-dinh-ve-viec-phe-duyet-pham-vi-vung-bao-ho-ve-sinh-khu-vuc-lay-nuoc-sinh-hoat-cua-cong-trinh-cap-nuoc-phuc-vu-cho-hoat-dong-cua-benh-vien-da-khoa-phuong-bac-tai-phuong-tan-ha-thanh-pho-tuyen-quang-tinh-tuyen-quang?type=EXECUTIVE_DIRECTION&amp;id=129215", "UBND Ủy ban nhân dân phường Tân Hà  tỉnh Tuyên Quang")</f>
      </c>
      <c r="C2841" t="str">
        <v>http://www.tuyenquang.gov.vn/vi/post/quyet-dinh-ve-viec-phe-duyet-pham-vi-vung-bao-ho-ve-sinh-khu-vuc-lay-nuoc-sinh-hoat-cua-cong-trinh-cap-nuoc-phuc-vu-cho-hoat-dong-cua-benh-vien-da-khoa-phuong-bac-tai-phuong-tan-ha-thanh-pho-tuyen-quang-tinh-tuyen-quang?type=EXECUTIVE_DIRECTION&amp;id=129215</v>
      </c>
      <c r="D2841" t="str">
        <v>-</v>
      </c>
      <c r="E2841" t="str">
        <v>-</v>
      </c>
      <c r="F2841" t="str">
        <v>-</v>
      </c>
      <c r="G2841" t="str">
        <v>-</v>
      </c>
    </row>
    <row r="2842">
      <c r="A2842">
        <v>2841</v>
      </c>
      <c r="B2842" t="str">
        <v>Công an phường Hưng Thành  tỉnh Tuyên Quang</v>
      </c>
      <c r="C2842" t="str">
        <v>-</v>
      </c>
      <c r="D2842" t="str">
        <v>-</v>
      </c>
      <c r="E2842" t="str">
        <v/>
      </c>
      <c r="F2842" t="str">
        <v>-</v>
      </c>
      <c r="G2842" t="str">
        <v>-</v>
      </c>
    </row>
    <row r="2843">
      <c r="A2843">
        <v>2842</v>
      </c>
      <c r="B2843">
        <f>HYPERLINK("http://congbao.tuyenquang.gov.vn/van-ban/noi-ban-hanh/uy-ban-nhan-dan-tinh/trang-171.html", "UBND Ủy ban nhân dân phường Hưng Thành  tỉnh Tuyên Quang")</f>
      </c>
      <c r="C2843" t="str">
        <v>http://congbao.tuyenquang.gov.vn/van-ban/noi-ban-hanh/uy-ban-nhan-dan-tinh/trang-171.html</v>
      </c>
      <c r="D2843" t="str">
        <v>-</v>
      </c>
      <c r="E2843" t="str">
        <v>-</v>
      </c>
      <c r="F2843" t="str">
        <v>-</v>
      </c>
      <c r="G2843" t="str">
        <v>-</v>
      </c>
    </row>
    <row r="2844">
      <c r="A2844">
        <v>2843</v>
      </c>
      <c r="B2844" t="str">
        <v>Công an xã An Khang  tỉnh Tuyên Quang</v>
      </c>
      <c r="C2844" t="str">
        <v>-</v>
      </c>
      <c r="D2844" t="str">
        <v>-</v>
      </c>
      <c r="E2844" t="str">
        <v/>
      </c>
      <c r="F2844" t="str">
        <v>-</v>
      </c>
      <c r="G2844" t="str">
        <v>-</v>
      </c>
    </row>
    <row r="2845">
      <c r="A2845">
        <v>2844</v>
      </c>
      <c r="B2845">
        <f>HYPERLINK("https://thanhpho.tuyenquang.gov.vn/", "UBND Ủy ban nhân dân xã An Khang  tỉnh Tuyên Quang")</f>
      </c>
      <c r="C2845" t="str">
        <v>https://thanhpho.tuyenquang.gov.vn/</v>
      </c>
      <c r="D2845" t="str">
        <v>-</v>
      </c>
      <c r="E2845" t="str">
        <v>-</v>
      </c>
      <c r="F2845" t="str">
        <v>-</v>
      </c>
      <c r="G2845" t="str">
        <v>-</v>
      </c>
    </row>
    <row r="2846">
      <c r="A2846">
        <v>2845</v>
      </c>
      <c r="B2846" t="str">
        <v>Công an xã An Tường  tỉnh Tuyên Quang</v>
      </c>
      <c r="C2846" t="str">
        <v>-</v>
      </c>
      <c r="D2846" t="str">
        <v>-</v>
      </c>
      <c r="E2846" t="str">
        <v/>
      </c>
      <c r="F2846" t="str">
        <v>-</v>
      </c>
      <c r="G2846" t="str">
        <v>-</v>
      </c>
    </row>
    <row r="2847">
      <c r="A2847">
        <v>2846</v>
      </c>
      <c r="B2847">
        <f>HYPERLINK("https://thanhpho.tuyenquang.gov.vn/", "UBND Ủy ban nhân dân xã An Tường  tỉnh Tuyên Quang")</f>
      </c>
      <c r="C2847" t="str">
        <v>https://thanhpho.tuyenquang.gov.vn/</v>
      </c>
      <c r="D2847" t="str">
        <v>-</v>
      </c>
      <c r="E2847" t="str">
        <v>-</v>
      </c>
      <c r="F2847" t="str">
        <v>-</v>
      </c>
      <c r="G2847" t="str">
        <v>-</v>
      </c>
    </row>
    <row r="2848">
      <c r="A2848">
        <v>2847</v>
      </c>
      <c r="B2848">
        <f>HYPERLINK("https://www.facebook.com/p/C%C3%B4ng-an-x%C3%A3-L%C6%B0%E1%BB%A1ng-V%C6%B0%E1%BB%A3ng-TP-Tuy%C3%AAn-Quang-100072249798874/", "Công an xã Lưỡng Vượng  tỉnh Tuyên Quang")</f>
      </c>
      <c r="C2848" t="str">
        <v>https://www.facebook.com/p/C%C3%B4ng-an-x%C3%A3-L%C6%B0%E1%BB%A1ng-V%C6%B0%E1%BB%A3ng-TP-Tuy%C3%AAn-Quang-100072249798874/</v>
      </c>
      <c r="D2848" t="str">
        <v>-</v>
      </c>
      <c r="E2848" t="str">
        <v/>
      </c>
      <c r="F2848" t="str">
        <v>-</v>
      </c>
      <c r="G2848" t="str">
        <v>-</v>
      </c>
    </row>
    <row r="2849">
      <c r="A2849">
        <v>2848</v>
      </c>
      <c r="B2849">
        <f>HYPERLINK("http://www.tuyenquang.gov.vn/vi/post/quyet-dinh-phe-duyet-nhiem-vu-quy-hoach-chi-tiet-khu-do-thi-tai-xa-luong-vuong-thanh-pho-tuyen-quang?type=EXECUTIVE_DIRECTION&amp;id=129386", "UBND Ủy ban nhân dân xã Lưỡng Vượng  tỉnh Tuyên Quang")</f>
      </c>
      <c r="C2849" t="str">
        <v>http://www.tuyenquang.gov.vn/vi/post/quyet-dinh-phe-duyet-nhiem-vu-quy-hoach-chi-tiet-khu-do-thi-tai-xa-luong-vuong-thanh-pho-tuyen-quang?type=EXECUTIVE_DIRECTION&amp;id=129386</v>
      </c>
      <c r="D2849" t="str">
        <v>-</v>
      </c>
      <c r="E2849" t="str">
        <v>-</v>
      </c>
      <c r="F2849" t="str">
        <v>-</v>
      </c>
      <c r="G2849" t="str">
        <v>-</v>
      </c>
    </row>
    <row r="2850">
      <c r="A2850">
        <v>2849</v>
      </c>
      <c r="B2850" t="str">
        <v>Công an xã Thái Long  tỉnh Tuyên Quang</v>
      </c>
      <c r="C2850" t="str">
        <v>-</v>
      </c>
      <c r="D2850" t="str">
        <v>-</v>
      </c>
      <c r="E2850" t="str">
        <v/>
      </c>
      <c r="F2850" t="str">
        <v>-</v>
      </c>
      <c r="G2850" t="str">
        <v>-</v>
      </c>
    </row>
    <row r="2851">
      <c r="A2851">
        <v>2850</v>
      </c>
      <c r="B2851">
        <f>HYPERLINK("http://congbao.tuyenquang.gov.vn/van-ban/the-loai/quyet-dinh/trang-11.html", "UBND Ủy ban nhân dân xã Thái Long  tỉnh Tuyên Quang")</f>
      </c>
      <c r="C2851" t="str">
        <v>http://congbao.tuyenquang.gov.vn/van-ban/the-loai/quyet-dinh/trang-11.html</v>
      </c>
      <c r="D2851" t="str">
        <v>-</v>
      </c>
      <c r="E2851" t="str">
        <v>-</v>
      </c>
      <c r="F2851" t="str">
        <v>-</v>
      </c>
      <c r="G2851" t="str">
        <v>-</v>
      </c>
    </row>
    <row r="2852">
      <c r="A2852">
        <v>2851</v>
      </c>
      <c r="B2852">
        <f>HYPERLINK("https://www.facebook.com/p/C%C3%B4ng-an-huy%E1%BB%87n-Y%C3%AAn-S%C6%A1n-t%E1%BB%89nh-Tuy%C3%AAn-Quang-100064458052002/", "Công an xã Đội Cấn  tỉnh Tuyên Quang")</f>
      </c>
      <c r="C2852" t="str">
        <v>https://www.facebook.com/p/C%C3%B4ng-an-huy%E1%BB%87n-Y%C3%AAn-S%C6%A1n-t%E1%BB%89nh-Tuy%C3%AAn-Quang-100064458052002/</v>
      </c>
      <c r="D2852" t="str">
        <v>-</v>
      </c>
      <c r="E2852" t="str">
        <v/>
      </c>
      <c r="F2852" t="str">
        <v>-</v>
      </c>
      <c r="G2852" t="str">
        <v>-</v>
      </c>
    </row>
    <row r="2853">
      <c r="A2853">
        <v>2852</v>
      </c>
      <c r="B2853">
        <f>HYPERLINK("https://thanhpho.tuyenquang.gov.vn/", "UBND Ủy ban nhân dân xã Đội Cấn  tỉnh Tuyên Quang")</f>
      </c>
      <c r="C2853" t="str">
        <v>https://thanhpho.tuyenquang.gov.vn/</v>
      </c>
      <c r="D2853" t="str">
        <v>-</v>
      </c>
      <c r="E2853" t="str">
        <v>-</v>
      </c>
      <c r="F2853" t="str">
        <v>-</v>
      </c>
      <c r="G2853" t="str">
        <v>-</v>
      </c>
    </row>
    <row r="2854">
      <c r="A2854">
        <v>2853</v>
      </c>
      <c r="B2854" t="str">
        <v>Công an xã Phúc Yên  tỉnh Tuyên Quang</v>
      </c>
      <c r="C2854" t="str">
        <v>-</v>
      </c>
      <c r="D2854" t="str">
        <v>-</v>
      </c>
      <c r="E2854" t="str">
        <v/>
      </c>
      <c r="F2854" t="str">
        <v>-</v>
      </c>
      <c r="G2854" t="str">
        <v>-</v>
      </c>
    </row>
    <row r="2855">
      <c r="A2855">
        <v>2854</v>
      </c>
      <c r="B2855">
        <f>HYPERLINK("https://phucninh.tuyenquang.gov.vn/", "UBND Ủy ban nhân dân xã Phúc Yên  tỉnh Tuyên Quang")</f>
      </c>
      <c r="C2855" t="str">
        <v>https://phucninh.tuyenquang.gov.vn/</v>
      </c>
      <c r="D2855" t="str">
        <v>-</v>
      </c>
      <c r="E2855" t="str">
        <v>-</v>
      </c>
      <c r="F2855" t="str">
        <v>-</v>
      </c>
      <c r="G2855" t="str">
        <v>-</v>
      </c>
    </row>
    <row r="2856">
      <c r="A2856">
        <v>2855</v>
      </c>
      <c r="B2856" t="str">
        <v>Công an xã Xuân Lập  tỉnh Tuyên Quang</v>
      </c>
      <c r="C2856" t="str">
        <v>-</v>
      </c>
      <c r="D2856" t="str">
        <v>-</v>
      </c>
      <c r="E2856" t="str">
        <v/>
      </c>
      <c r="F2856" t="str">
        <v>-</v>
      </c>
      <c r="G2856" t="str">
        <v>-</v>
      </c>
    </row>
    <row r="2857">
      <c r="A2857">
        <v>2856</v>
      </c>
      <c r="B2857">
        <f>HYPERLINK("http://lambinh.tuyenquang.gov.vn/vi/tin-bai/dong-chi-pho-chu-tich-ubnd-tinh-nguyen-the-giang-du-ngay-hoi-dai-doan-ket-toan-dan-toc-tai-xa-xuan-lap?type=NEWS&amp;id=131513", "UBND Ủy ban nhân dân xã Xuân Lập  tỉnh Tuyên Quang")</f>
      </c>
      <c r="C2857" t="str">
        <v>http://lambinh.tuyenquang.gov.vn/vi/tin-bai/dong-chi-pho-chu-tich-ubnd-tinh-nguyen-the-giang-du-ngay-hoi-dai-doan-ket-toan-dan-toc-tai-xa-xuan-lap?type=NEWS&amp;id=131513</v>
      </c>
      <c r="D2857" t="str">
        <v>-</v>
      </c>
      <c r="E2857" t="str">
        <v>-</v>
      </c>
      <c r="F2857" t="str">
        <v>-</v>
      </c>
      <c r="G2857" t="str">
        <v>-</v>
      </c>
    </row>
    <row r="2858">
      <c r="A2858">
        <v>2857</v>
      </c>
      <c r="B2858" t="str">
        <v>Công an xã Khuôn Hà  tỉnh Tuyên Quang</v>
      </c>
      <c r="C2858" t="str">
        <v>-</v>
      </c>
      <c r="D2858" t="str">
        <v>-</v>
      </c>
      <c r="E2858" t="str">
        <v/>
      </c>
      <c r="F2858" t="str">
        <v>-</v>
      </c>
      <c r="G2858" t="str">
        <v>-</v>
      </c>
    </row>
    <row r="2859">
      <c r="A2859">
        <v>2858</v>
      </c>
      <c r="B2859">
        <f>HYPERLINK("http://lambinh.tuyenquang.gov.vn/vi/tin-bai/dai-bieu-hoi-dong-nhan-dan-tinh-khoa-xix-hoi-dong-nhan-dan-huyen-khoa-iii-hoi-dong-nhan-dan-xa-khoa-xxi-nhiem-ky-2021-2026-tiep-xuc-cu-tri-tai-xa-khuon-ha?type=NEWS&amp;id=130950", "UBND Ủy ban nhân dân xã Khuôn Hà  tỉnh Tuyên Quang")</f>
      </c>
      <c r="C2859" t="str">
        <v>http://lambinh.tuyenquang.gov.vn/vi/tin-bai/dai-bieu-hoi-dong-nhan-dan-tinh-khoa-xix-hoi-dong-nhan-dan-huyen-khoa-iii-hoi-dong-nhan-dan-xa-khoa-xxi-nhiem-ky-2021-2026-tiep-xuc-cu-tri-tai-xa-khuon-ha?type=NEWS&amp;id=130950</v>
      </c>
      <c r="D2859" t="str">
        <v>-</v>
      </c>
      <c r="E2859" t="str">
        <v>-</v>
      </c>
      <c r="F2859" t="str">
        <v>-</v>
      </c>
      <c r="G2859" t="str">
        <v>-</v>
      </c>
    </row>
    <row r="2860">
      <c r="A2860">
        <v>2859</v>
      </c>
      <c r="B2860">
        <f>HYPERLINK("https://www.facebook.com/p/C%C3%94NG-AN-L%C3%82M-B%C3%8CNH-100064411584657/", "Công an xã Lăng Can  tỉnh Tuyên Quang")</f>
      </c>
      <c r="C2860" t="str">
        <v>https://www.facebook.com/p/C%C3%94NG-AN-L%C3%82M-B%C3%8CNH-100064411584657/</v>
      </c>
      <c r="D2860" t="str">
        <v>-</v>
      </c>
      <c r="E2860" t="str">
        <v/>
      </c>
      <c r="F2860" t="str">
        <v>-</v>
      </c>
      <c r="G2860" t="str">
        <v>-</v>
      </c>
    </row>
    <row r="2861">
      <c r="A2861">
        <v>2860</v>
      </c>
      <c r="B2861">
        <f>HYPERLINK("http://lambinh.tuyenquang.gov.vn/vi/tin-bai/uy-ban-nhan-dan-huyen-lam-binh?type=NEWS&amp;id=99949", "UBND Ủy ban nhân dân xã Lăng Can  tỉnh Tuyên Quang")</f>
      </c>
      <c r="C2861" t="str">
        <v>http://lambinh.tuyenquang.gov.vn/vi/tin-bai/uy-ban-nhan-dan-huyen-lam-binh?type=NEWS&amp;id=99949</v>
      </c>
      <c r="D2861" t="str">
        <v>-</v>
      </c>
      <c r="E2861" t="str">
        <v>-</v>
      </c>
      <c r="F2861" t="str">
        <v>-</v>
      </c>
      <c r="G2861" t="str">
        <v>-</v>
      </c>
    </row>
    <row r="2862">
      <c r="A2862">
        <v>2861</v>
      </c>
      <c r="B2862">
        <f>HYPERLINK("https://www.facebook.com/p/C%C3%94NG-AN-L%C3%82M-B%C3%8CNH-100064411584657/", "Công an xã Lăng Can  tỉnh Tuyên Quang")</f>
      </c>
      <c r="C2862" t="str">
        <v>https://www.facebook.com/p/C%C3%94NG-AN-L%C3%82M-B%C3%8CNH-100064411584657/</v>
      </c>
      <c r="D2862" t="str">
        <v>-</v>
      </c>
      <c r="E2862" t="str">
        <v/>
      </c>
      <c r="F2862" t="str">
        <v>-</v>
      </c>
      <c r="G2862" t="str">
        <v>-</v>
      </c>
    </row>
    <row r="2863">
      <c r="A2863">
        <v>2862</v>
      </c>
      <c r="B2863">
        <f>HYPERLINK("http://lambinh.tuyenquang.gov.vn/vi/tin-bai/uy-ban-nhan-dan-huyen-lam-binh?type=NEWS&amp;id=99949", "UBND Ủy ban nhân dân xã Lăng Can  tỉnh Tuyên Quang")</f>
      </c>
      <c r="C2863" t="str">
        <v>http://lambinh.tuyenquang.gov.vn/vi/tin-bai/uy-ban-nhan-dan-huyen-lam-binh?type=NEWS&amp;id=99949</v>
      </c>
      <c r="D2863" t="str">
        <v>-</v>
      </c>
      <c r="E2863" t="str">
        <v>-</v>
      </c>
      <c r="F2863" t="str">
        <v>-</v>
      </c>
      <c r="G2863" t="str">
        <v>-</v>
      </c>
    </row>
    <row r="2864">
      <c r="A2864">
        <v>2863</v>
      </c>
      <c r="B2864">
        <f>HYPERLINK("https://www.facebook.com/p/C%C3%94NG-AN-L%C3%82M-B%C3%8CNH-100064411584657/", "Công an xã Bình An  tỉnh Tuyên Quang")</f>
      </c>
      <c r="C2864" t="str">
        <v>https://www.facebook.com/p/C%C3%94NG-AN-L%C3%82M-B%C3%8CNH-100064411584657/</v>
      </c>
      <c r="D2864" t="str">
        <v>-</v>
      </c>
      <c r="E2864" t="str">
        <v/>
      </c>
      <c r="F2864" t="str">
        <v>-</v>
      </c>
      <c r="G2864" t="str">
        <v>-</v>
      </c>
    </row>
    <row r="2865">
      <c r="A2865">
        <v>2864</v>
      </c>
      <c r="B2865">
        <f>HYPERLINK("http://congbao.tuyenquang.gov.vn/van-ban/noi-ban-hanh/ubnd-huyen-ham-yen.html", "UBND Ủy ban nhân dân xã Bình An  tỉnh Tuyên Quang")</f>
      </c>
      <c r="C2865" t="str">
        <v>http://congbao.tuyenquang.gov.vn/van-ban/noi-ban-hanh/ubnd-huyen-ham-yen.html</v>
      </c>
      <c r="D2865" t="str">
        <v>-</v>
      </c>
      <c r="E2865" t="str">
        <v>-</v>
      </c>
      <c r="F2865" t="str">
        <v>-</v>
      </c>
      <c r="G2865" t="str">
        <v>-</v>
      </c>
    </row>
    <row r="2866">
      <c r="A2866">
        <v>2865</v>
      </c>
      <c r="B2866" t="str">
        <v>Công an xã Hồng Quang  tỉnh Tuyên Quang</v>
      </c>
      <c r="C2866" t="str">
        <v>-</v>
      </c>
      <c r="D2866" t="str">
        <v>-</v>
      </c>
      <c r="E2866" t="str">
        <v/>
      </c>
      <c r="F2866" t="str">
        <v>-</v>
      </c>
      <c r="G2866" t="str">
        <v>-</v>
      </c>
    </row>
    <row r="2867">
      <c r="A2867">
        <v>2866</v>
      </c>
      <c r="B2867">
        <f>HYPERLINK("https://dichvucong.namdinh.gov.vn/portaldvc/KenhTin/dich-vu-cong-truc-tuyen.aspx?_dv=4284B5CC-ABA9-377A-83C7-14E8075CC074", "UBND Ủy ban nhân dân xã Hồng Quang  tỉnh Tuyên Quang")</f>
      </c>
      <c r="C2867" t="str">
        <v>https://dichvucong.namdinh.gov.vn/portaldvc/KenhTin/dich-vu-cong-truc-tuyen.aspx?_dv=4284B5CC-ABA9-377A-83C7-14E8075CC074</v>
      </c>
      <c r="D2867" t="str">
        <v>-</v>
      </c>
      <c r="E2867" t="str">
        <v>-</v>
      </c>
      <c r="F2867" t="str">
        <v>-</v>
      </c>
      <c r="G2867" t="str">
        <v>-</v>
      </c>
    </row>
    <row r="2868">
      <c r="A2868">
        <v>2867</v>
      </c>
      <c r="B2868" t="str">
        <v>Công an xã Thổ Bình  tỉnh Tuyên Quang</v>
      </c>
      <c r="C2868" t="str">
        <v>-</v>
      </c>
      <c r="D2868" t="str">
        <v>-</v>
      </c>
      <c r="E2868" t="str">
        <v/>
      </c>
      <c r="F2868" t="str">
        <v>-</v>
      </c>
      <c r="G2868" t="str">
        <v>-</v>
      </c>
    </row>
    <row r="2869">
      <c r="A2869">
        <v>2868</v>
      </c>
      <c r="B2869">
        <f>HYPERLINK("http://lambinh.tuyenquang.gov.vn/vi/tin-bai/quyet-dinh-so-521qd-ubnd-ngay-0462018-cua-uy-ban-nhan-dan-huyen-lam-binh-ve-viec-phe-duyet-ke-hoach-lua-chon-nha-thau-xay-dung-cong-trinh-nang-cap-duong-giao-thong-noi-dong-thon-ban-piat-xa-tho-binh-huyen-lam-binh-tinh-tuyen-quang?type=NEWS&amp;id=101019", "UBND Ủy ban nhân dân xã Thổ Bình  tỉnh Tuyên Quang")</f>
      </c>
      <c r="C2869" t="str">
        <v>http://lambinh.tuyenquang.gov.vn/vi/tin-bai/quyet-dinh-so-521qd-ubnd-ngay-0462018-cua-uy-ban-nhan-dan-huyen-lam-binh-ve-viec-phe-duyet-ke-hoach-lua-chon-nha-thau-xay-dung-cong-trinh-nang-cap-duong-giao-thong-noi-dong-thon-ban-piat-xa-tho-binh-huyen-lam-binh-tinh-tuyen-quang?type=NEWS&amp;id=101019</v>
      </c>
      <c r="D2869" t="str">
        <v>-</v>
      </c>
      <c r="E2869" t="str">
        <v>-</v>
      </c>
      <c r="F2869" t="str">
        <v>-</v>
      </c>
      <c r="G2869" t="str">
        <v>-</v>
      </c>
    </row>
    <row r="2870">
      <c r="A2870">
        <v>2869</v>
      </c>
      <c r="B2870">
        <f>HYPERLINK("https://www.facebook.com/CAHNAHANG/", "Công an thị trấn Na Hang  tỉnh Tuyên Quang")</f>
      </c>
      <c r="C2870" t="str">
        <v>https://www.facebook.com/CAHNAHANG/</v>
      </c>
      <c r="D2870" t="str">
        <v>-</v>
      </c>
      <c r="E2870" t="str">
        <v/>
      </c>
      <c r="F2870" t="str">
        <v>-</v>
      </c>
      <c r="G2870" t="str">
        <v>-</v>
      </c>
    </row>
    <row r="2871">
      <c r="A2871">
        <v>2870</v>
      </c>
      <c r="B2871">
        <f>HYPERLINK("https://nahang.tuyenquang.gov.vn/", "UBND Ủy ban nhân dân thị trấn Na Hang  tỉnh Tuyên Quang")</f>
      </c>
      <c r="C2871" t="str">
        <v>https://nahang.tuyenquang.gov.vn/</v>
      </c>
      <c r="D2871" t="str">
        <v>-</v>
      </c>
      <c r="E2871" t="str">
        <v>-</v>
      </c>
      <c r="F2871" t="str">
        <v>-</v>
      </c>
      <c r="G2871" t="str">
        <v>-</v>
      </c>
    </row>
    <row r="2872">
      <c r="A2872">
        <v>2871</v>
      </c>
      <c r="B2872" t="str">
        <v>Công an xã Sinh Long  tỉnh Tuyên Quang</v>
      </c>
      <c r="C2872" t="str">
        <v>-</v>
      </c>
      <c r="D2872" t="str">
        <v>-</v>
      </c>
      <c r="E2872" t="str">
        <v/>
      </c>
      <c r="F2872" t="str">
        <v>-</v>
      </c>
      <c r="G2872" t="str">
        <v>-</v>
      </c>
    </row>
    <row r="2873">
      <c r="A2873">
        <v>2872</v>
      </c>
      <c r="B2873">
        <f>HYPERLINK("http://congbao.tuyenquang.gov.vn/van-ban/linh-vuc/ngoai-vu.html", "UBND Ủy ban nhân dân xã Sinh Long  tỉnh Tuyên Quang")</f>
      </c>
      <c r="C2873" t="str">
        <v>http://congbao.tuyenquang.gov.vn/van-ban/linh-vuc/ngoai-vu.html</v>
      </c>
      <c r="D2873" t="str">
        <v>-</v>
      </c>
      <c r="E2873" t="str">
        <v>-</v>
      </c>
      <c r="F2873" t="str">
        <v>-</v>
      </c>
      <c r="G2873" t="str">
        <v>-</v>
      </c>
    </row>
    <row r="2874">
      <c r="A2874">
        <v>2873</v>
      </c>
      <c r="B2874" t="str">
        <v>Công an xã Thượng Giáp  tỉnh Tuyên Quang</v>
      </c>
      <c r="C2874" t="str">
        <v>-</v>
      </c>
      <c r="D2874" t="str">
        <v>-</v>
      </c>
      <c r="E2874" t="str">
        <v/>
      </c>
      <c r="F2874" t="str">
        <v>-</v>
      </c>
      <c r="G2874" t="str">
        <v>-</v>
      </c>
    </row>
    <row r="2875">
      <c r="A2875">
        <v>2874</v>
      </c>
      <c r="B2875">
        <f>HYPERLINK("http://congbao.tuyenquang.gov.vn/van-ban/noi-ban-hanh/ubnd-huyen-na-hang/trang-3.html", "UBND Ủy ban nhân dân xã Thượng Giáp  tỉnh Tuyên Quang")</f>
      </c>
      <c r="C2875" t="str">
        <v>http://congbao.tuyenquang.gov.vn/van-ban/noi-ban-hanh/ubnd-huyen-na-hang/trang-3.html</v>
      </c>
      <c r="D2875" t="str">
        <v>-</v>
      </c>
      <c r="E2875" t="str">
        <v>-</v>
      </c>
      <c r="F2875" t="str">
        <v>-</v>
      </c>
      <c r="G2875" t="str">
        <v>-</v>
      </c>
    </row>
    <row r="2876">
      <c r="A2876">
        <v>2875</v>
      </c>
      <c r="B2876" t="str">
        <v>Công an xã Thượng Nông  tỉnh Tuyên Quang</v>
      </c>
      <c r="C2876" t="str">
        <v>-</v>
      </c>
      <c r="D2876" t="str">
        <v>-</v>
      </c>
      <c r="E2876" t="str">
        <v/>
      </c>
      <c r="F2876" t="str">
        <v>-</v>
      </c>
      <c r="G2876" t="str">
        <v>-</v>
      </c>
    </row>
    <row r="2877">
      <c r="A2877">
        <v>2876</v>
      </c>
      <c r="B2877">
        <f>HYPERLINK("http://congbao.tuyenquang.gov.vn/van-ban/noi-ban-hanh/ubnd-huyen-na-hang/trang-3.html", "UBND Ủy ban nhân dân xã Thượng Nông  tỉnh Tuyên Quang")</f>
      </c>
      <c r="C2877" t="str">
        <v>http://congbao.tuyenquang.gov.vn/van-ban/noi-ban-hanh/ubnd-huyen-na-hang/trang-3.html</v>
      </c>
      <c r="D2877" t="str">
        <v>-</v>
      </c>
      <c r="E2877" t="str">
        <v>-</v>
      </c>
      <c r="F2877" t="str">
        <v>-</v>
      </c>
      <c r="G2877" t="str">
        <v>-</v>
      </c>
    </row>
    <row r="2878">
      <c r="A2878">
        <v>2877</v>
      </c>
      <c r="B2878" t="str">
        <v>Công an xã Côn Lôn  tỉnh Tuyên Quang</v>
      </c>
      <c r="C2878" t="str">
        <v>-</v>
      </c>
      <c r="D2878" t="str">
        <v>-</v>
      </c>
      <c r="E2878" t="str">
        <v/>
      </c>
      <c r="F2878" t="str">
        <v>-</v>
      </c>
      <c r="G2878" t="str">
        <v>-</v>
      </c>
    </row>
    <row r="2879">
      <c r="A2879">
        <v>2878</v>
      </c>
      <c r="B2879">
        <f>HYPERLINK("https://vkstuyenquang.gov.vn/pHome/news/Tin-trong-nganh/VKSND-huyen-Na-Hang-truc-tiep-kiem-sat-cong-tac-thi-hanh-an-hinh-su-tai-UBND-xa-Con-Lon-va-UBND-xa-Son-Phu-huyen-Na-Hang-1684/", "UBND Ủy ban nhân dân xã Côn Lôn  tỉnh Tuyên Quang")</f>
      </c>
      <c r="C2879" t="str">
        <v>https://vkstuyenquang.gov.vn/pHome/news/Tin-trong-nganh/VKSND-huyen-Na-Hang-truc-tiep-kiem-sat-cong-tac-thi-hanh-an-hinh-su-tai-UBND-xa-Con-Lon-va-UBND-xa-Son-Phu-huyen-Na-Hang-1684/</v>
      </c>
      <c r="D2879" t="str">
        <v>-</v>
      </c>
      <c r="E2879" t="str">
        <v>-</v>
      </c>
      <c r="F2879" t="str">
        <v>-</v>
      </c>
      <c r="G2879" t="str">
        <v>-</v>
      </c>
    </row>
    <row r="2880">
      <c r="A2880">
        <v>2879</v>
      </c>
      <c r="B2880">
        <f>HYPERLINK("https://www.facebook.com/p/C%C3%B4ng-an-x%C3%A3-Y%C3%AAn-Hoa-100072500229729/", "Công an xã Yên Hoa  tỉnh Tuyên Quang")</f>
      </c>
      <c r="C2880" t="str">
        <v>https://www.facebook.com/p/C%C3%B4ng-an-x%C3%A3-Y%C3%AAn-Hoa-100072500229729/</v>
      </c>
      <c r="D2880" t="str">
        <v>-</v>
      </c>
      <c r="E2880" t="str">
        <v/>
      </c>
      <c r="F2880" t="str">
        <v>-</v>
      </c>
      <c r="G2880" t="str">
        <v>-</v>
      </c>
    </row>
    <row r="2881">
      <c r="A2881">
        <v>2880</v>
      </c>
      <c r="B2881">
        <f>HYPERLINK("http://nahang.tuyenquang.gov.vn/vi/tin-bai/dong-chi-chu-tich-ubnd-huyen-lam-viec-voi-xa-yen-hoa-ve-cong-tac-quan-ly-dat-dai-cho-hanh-lang-an-toan-giao-thong?type=NEWS&amp;id=112379", "UBND Ủy ban nhân dân xã Yên Hoa  tỉnh Tuyên Quang")</f>
      </c>
      <c r="C2881" t="str">
        <v>http://nahang.tuyenquang.gov.vn/vi/tin-bai/dong-chi-chu-tich-ubnd-huyen-lam-viec-voi-xa-yen-hoa-ve-cong-tac-quan-ly-dat-dai-cho-hanh-lang-an-toan-giao-thong?type=NEWS&amp;id=112379</v>
      </c>
      <c r="D2881" t="str">
        <v>-</v>
      </c>
      <c r="E2881" t="str">
        <v>-</v>
      </c>
      <c r="F2881" t="str">
        <v>-</v>
      </c>
      <c r="G2881" t="str">
        <v>-</v>
      </c>
    </row>
    <row r="2882">
      <c r="A2882">
        <v>2881</v>
      </c>
      <c r="B2882" t="str">
        <v>Công an xã Hồng Thái  tỉnh Tuyên Quang</v>
      </c>
      <c r="C2882" t="str">
        <v>-</v>
      </c>
      <c r="D2882" t="str">
        <v>-</v>
      </c>
      <c r="E2882" t="str">
        <v/>
      </c>
      <c r="F2882" t="str">
        <v>-</v>
      </c>
      <c r="G2882" t="str">
        <v>-</v>
      </c>
    </row>
    <row r="2883">
      <c r="A2883">
        <v>2882</v>
      </c>
      <c r="B2883">
        <f>HYPERLINK("https://dongtrieu.quangninh.gov.vn/Trang/ChiTietBVGioiThieu.aspx?bvid=219", "UBND Ủy ban nhân dân xã Hồng Thái  tỉnh Tuyên Quang")</f>
      </c>
      <c r="C2883" t="str">
        <v>https://dongtrieu.quangninh.gov.vn/Trang/ChiTietBVGioiThieu.aspx?bvid=219</v>
      </c>
      <c r="D2883" t="str">
        <v>-</v>
      </c>
      <c r="E2883" t="str">
        <v>-</v>
      </c>
      <c r="F2883" t="str">
        <v>-</v>
      </c>
      <c r="G2883" t="str">
        <v>-</v>
      </c>
    </row>
    <row r="2884">
      <c r="A2884">
        <v>2883</v>
      </c>
      <c r="B2884" t="str">
        <v>Công an xã Đà Vị  tỉnh Tuyên Quang</v>
      </c>
      <c r="C2884" t="str">
        <v>-</v>
      </c>
      <c r="D2884" t="str">
        <v>-</v>
      </c>
      <c r="E2884" t="str">
        <v/>
      </c>
      <c r="F2884" t="str">
        <v>-</v>
      </c>
      <c r="G2884" t="str">
        <v>-</v>
      </c>
    </row>
    <row r="2885">
      <c r="A2885">
        <v>2884</v>
      </c>
      <c r="B2885">
        <f>HYPERLINK("http://congbao.tuyenquang.gov.vn/media/files/old/243-2022-qd-ubnd.pdf", "UBND Ủy ban nhân dân xã Đà Vị  tỉnh Tuyên Quang")</f>
      </c>
      <c r="C2885" t="str">
        <v>http://congbao.tuyenquang.gov.vn/media/files/old/243-2022-qd-ubnd.pdf</v>
      </c>
      <c r="D2885" t="str">
        <v>-</v>
      </c>
      <c r="E2885" t="str">
        <v>-</v>
      </c>
      <c r="F2885" t="str">
        <v>-</v>
      </c>
      <c r="G2885" t="str">
        <v>-</v>
      </c>
    </row>
    <row r="2886">
      <c r="A2886">
        <v>2885</v>
      </c>
      <c r="B2886">
        <f>HYPERLINK("https://www.facebook.com/congantinhtuyenquang/?locale=zh_CN", "Công an xã Khau Tinh  tỉnh Tuyên Quang")</f>
      </c>
      <c r="C2886" t="str">
        <v>https://www.facebook.com/congantinhtuyenquang/?locale=zh_CN</v>
      </c>
      <c r="D2886" t="str">
        <v>-</v>
      </c>
      <c r="E2886" t="str">
        <v/>
      </c>
      <c r="F2886" t="str">
        <v>-</v>
      </c>
      <c r="G2886" t="str">
        <v>-</v>
      </c>
    </row>
    <row r="2887">
      <c r="A2887">
        <v>2886</v>
      </c>
      <c r="B2887">
        <f>HYPERLINK("http://congbao.tuyenquang.gov.vn/media/files/old/243-2022-qd-ubnd.pdf", "UBND Ủy ban nhân dân xã Khau Tinh  tỉnh Tuyên Quang")</f>
      </c>
      <c r="C2887" t="str">
        <v>http://congbao.tuyenquang.gov.vn/media/files/old/243-2022-qd-ubnd.pdf</v>
      </c>
      <c r="D2887" t="str">
        <v>-</v>
      </c>
      <c r="E2887" t="str">
        <v>-</v>
      </c>
      <c r="F2887" t="str">
        <v>-</v>
      </c>
      <c r="G2887" t="str">
        <v>-</v>
      </c>
    </row>
    <row r="2888">
      <c r="A2888">
        <v>2887</v>
      </c>
      <c r="B2888">
        <f>HYPERLINK("https://www.facebook.com/p/C%C3%B4ng-an-x%C3%A3-S%C6%A1n-Ph%C3%BA-100070609143771/", "Công an xã Sơn Phú  tỉnh Tuyên Quang")</f>
      </c>
      <c r="C2888" t="str">
        <v>https://www.facebook.com/p/C%C3%B4ng-an-x%C3%A3-S%C6%A1n-Ph%C3%BA-100070609143771/</v>
      </c>
      <c r="D2888" t="str">
        <v>-</v>
      </c>
      <c r="E2888" t="str">
        <v/>
      </c>
      <c r="F2888" t="str">
        <v>-</v>
      </c>
      <c r="G2888" t="str">
        <v>-</v>
      </c>
    </row>
    <row r="2889">
      <c r="A2889">
        <v>2888</v>
      </c>
      <c r="B2889">
        <f>HYPERLINK("https://nahang.tuyenquang.gov.vn/", "UBND Ủy ban nhân dân xã Sơn Phú  tỉnh Tuyên Quang")</f>
      </c>
      <c r="C2889" t="str">
        <v>https://nahang.tuyenquang.gov.vn/</v>
      </c>
      <c r="D2889" t="str">
        <v>-</v>
      </c>
      <c r="E2889" t="str">
        <v>-</v>
      </c>
      <c r="F2889" t="str">
        <v>-</v>
      </c>
      <c r="G2889" t="str">
        <v>-</v>
      </c>
    </row>
    <row r="2890">
      <c r="A2890">
        <v>2889</v>
      </c>
      <c r="B2890">
        <f>HYPERLINK("https://www.facebook.com/p/C%C3%B4ng-An-x%C3%A3-N%C4%83ng-Kh%E1%BA%A3-huy%E1%BB%87n-Na-Hang-t%E1%BB%89nh-Tuy%C3%AAn-Quang-100070231839560/", "Công an xã Năng Khả  tỉnh Tuyên Quang")</f>
      </c>
      <c r="C2890" t="str">
        <v>https://www.facebook.com/p/C%C3%B4ng-An-x%C3%A3-N%C4%83ng-Kh%E1%BA%A3-huy%E1%BB%87n-Na-Hang-t%E1%BB%89nh-Tuy%C3%AAn-Quang-100070231839560/</v>
      </c>
      <c r="D2890" t="str">
        <v>-</v>
      </c>
      <c r="E2890" t="str">
        <v/>
      </c>
      <c r="F2890" t="str">
        <v>-</v>
      </c>
      <c r="G2890" t="str">
        <v>-</v>
      </c>
    </row>
    <row r="2891">
      <c r="A2891">
        <v>2890</v>
      </c>
      <c r="B2891">
        <f>HYPERLINK("https://phucninh.tuyenquang.gov.vn/vi/tin-bai/ky-hop-chuyen-de-hoi-dong-nhan-dan-xa-phuc-ninh-khoa-xxi-nhiem-ky-2021-2026?type=NEWS&amp;id=127445", "UBND Ủy ban nhân dân xã Năng Khả  tỉnh Tuyên Quang")</f>
      </c>
      <c r="C2891" t="str">
        <v>https://phucninh.tuyenquang.gov.vn/vi/tin-bai/ky-hop-chuyen-de-hoi-dong-nhan-dan-xa-phuc-ninh-khoa-xxi-nhiem-ky-2021-2026?type=NEWS&amp;id=127445</v>
      </c>
      <c r="D2891" t="str">
        <v>-</v>
      </c>
      <c r="E2891" t="str">
        <v>-</v>
      </c>
      <c r="F2891" t="str">
        <v>-</v>
      </c>
      <c r="G2891" t="str">
        <v>-</v>
      </c>
    </row>
    <row r="2892">
      <c r="A2892">
        <v>2891</v>
      </c>
      <c r="B2892">
        <f>HYPERLINK("https://www.facebook.com/congantinhtuyenquang/?locale=vi_VN", "Công an xã Thanh Tương  tỉnh Tuyên Quang")</f>
      </c>
      <c r="C2892" t="str">
        <v>https://www.facebook.com/congantinhtuyenquang/?locale=vi_VN</v>
      </c>
      <c r="D2892" t="str">
        <v>-</v>
      </c>
      <c r="E2892" t="str">
        <v/>
      </c>
      <c r="F2892" t="str">
        <v>-</v>
      </c>
      <c r="G2892" t="str">
        <v>-</v>
      </c>
    </row>
    <row r="2893">
      <c r="A2893">
        <v>2892</v>
      </c>
      <c r="B2893">
        <f>HYPERLINK("https://thanhpho.tuyenquang.gov.vn/", "UBND Ủy ban nhân dân xã Thanh Tương  tỉnh Tuyên Quang")</f>
      </c>
      <c r="C2893" t="str">
        <v>https://thanhpho.tuyenquang.gov.vn/</v>
      </c>
      <c r="D2893" t="str">
        <v>-</v>
      </c>
      <c r="E2893" t="str">
        <v>-</v>
      </c>
      <c r="F2893" t="str">
        <v>-</v>
      </c>
      <c r="G2893" t="str">
        <v>-</v>
      </c>
    </row>
    <row r="2894">
      <c r="A2894">
        <v>2893</v>
      </c>
      <c r="B2894" t="str">
        <v>Công an thị trấn Vĩnh Lộc  tỉnh Tuyên Quang</v>
      </c>
      <c r="C2894" t="str">
        <v>-</v>
      </c>
      <c r="D2894" t="str">
        <v>-</v>
      </c>
      <c r="E2894" t="str">
        <v/>
      </c>
      <c r="F2894" t="str">
        <v>-</v>
      </c>
      <c r="G2894" t="str">
        <v>-</v>
      </c>
    </row>
    <row r="2895">
      <c r="A2895">
        <v>2894</v>
      </c>
      <c r="B2895">
        <f>HYPERLINK("https://www.tuyenquang.gov.vn/vi/post/quyet-dinh-ve-viec-cong-nhan-diem-du-lich-den-bach-than-to-dan-pho-vinh-giang-thi-tran-vinh-loc-huyen-chiem-hoa-tinh-tuyen-quang?type=EXECUTIVE_DIRECTION&amp;id=130481", "UBND Ủy ban nhân dân thị trấn Vĩnh Lộc  tỉnh Tuyên Quang")</f>
      </c>
      <c r="C2895" t="str">
        <v>https://www.tuyenquang.gov.vn/vi/post/quyet-dinh-ve-viec-cong-nhan-diem-du-lich-den-bach-than-to-dan-pho-vinh-giang-thi-tran-vinh-loc-huyen-chiem-hoa-tinh-tuyen-quang?type=EXECUTIVE_DIRECTION&amp;id=130481</v>
      </c>
      <c r="D2895" t="str">
        <v>-</v>
      </c>
      <c r="E2895" t="str">
        <v>-</v>
      </c>
      <c r="F2895" t="str">
        <v>-</v>
      </c>
      <c r="G2895" t="str">
        <v>-</v>
      </c>
    </row>
    <row r="2896">
      <c r="A2896">
        <v>2895</v>
      </c>
      <c r="B2896" t="str">
        <v>Công an xã Phúc Sơn  tỉnh Tuyên Quang</v>
      </c>
      <c r="C2896" t="str">
        <v>-</v>
      </c>
      <c r="D2896" t="str">
        <v>-</v>
      </c>
      <c r="E2896" t="str">
        <v/>
      </c>
      <c r="F2896" t="str">
        <v>-</v>
      </c>
      <c r="G2896" t="str">
        <v>-</v>
      </c>
    </row>
    <row r="2897">
      <c r="A2897">
        <v>2896</v>
      </c>
      <c r="B2897">
        <f>HYPERLINK("http://lambinh.tuyenquang.gov.vn/vi/tin-bai/hoi-nghi-cho-y-kien-do-an-quy-hoach-chung-do-thi-moi-xa-phuc-son-huyen-lam-binh-tinh-tuyen-quang?type=NEWS&amp;id=114252", "UBND Ủy ban nhân dân xã Phúc Sơn  tỉnh Tuyên Quang")</f>
      </c>
      <c r="C2897" t="str">
        <v>http://lambinh.tuyenquang.gov.vn/vi/tin-bai/hoi-nghi-cho-y-kien-do-an-quy-hoach-chung-do-thi-moi-xa-phuc-son-huyen-lam-binh-tinh-tuyen-quang?type=NEWS&amp;id=114252</v>
      </c>
      <c r="D2897" t="str">
        <v>-</v>
      </c>
      <c r="E2897" t="str">
        <v>-</v>
      </c>
      <c r="F2897" t="str">
        <v>-</v>
      </c>
      <c r="G2897" t="str">
        <v>-</v>
      </c>
    </row>
    <row r="2898">
      <c r="A2898">
        <v>2897</v>
      </c>
      <c r="B2898">
        <f>HYPERLINK("https://www.facebook.com/tuyenquangttv/videos/ch%C6%B0%C6%A1ng-tr%C3%ACnh-th%E1%BB%9Di-s%E1%BB%B1-tr%E1%BB%B1c-ti%E1%BA%BFp-11h30-ng%C3%A0y-2632024/274921095660441/", "Công an xã Minh Quang  tỉnh Tuyên Quang")</f>
      </c>
      <c r="C2898" t="str">
        <v>https://www.facebook.com/tuyenquangttv/videos/ch%C6%B0%C6%A1ng-tr%C3%ACnh-th%E1%BB%9Di-s%E1%BB%B1-tr%E1%BB%B1c-ti%E1%BA%BFp-11h30-ng%C3%A0y-2632024/274921095660441/</v>
      </c>
      <c r="D2898" t="str">
        <v>-</v>
      </c>
      <c r="E2898" t="str">
        <v/>
      </c>
      <c r="F2898" t="str">
        <v>-</v>
      </c>
      <c r="G2898" t="str">
        <v>-</v>
      </c>
    </row>
    <row r="2899">
      <c r="A2899">
        <v>2898</v>
      </c>
      <c r="B2899">
        <f>HYPERLINK("http://lambinh.tuyenquang.gov.vn/vi/tin-bai/ong-nguyen-the-giang-tinh-uy-vien-pho-chu-tich-ubnd-tinh-tiep-xuc-cu-tri-xa-minh-quang-huyen-lam-binh?type=NEWS&amp;id=130986", "UBND Ủy ban nhân dân xã Minh Quang  tỉnh Tuyên Quang")</f>
      </c>
      <c r="C2899" t="str">
        <v>http://lambinh.tuyenquang.gov.vn/vi/tin-bai/ong-nguyen-the-giang-tinh-uy-vien-pho-chu-tich-ubnd-tinh-tiep-xuc-cu-tri-xa-minh-quang-huyen-lam-binh?type=NEWS&amp;id=130986</v>
      </c>
      <c r="D2899" t="str">
        <v>-</v>
      </c>
      <c r="E2899" t="str">
        <v>-</v>
      </c>
      <c r="F2899" t="str">
        <v>-</v>
      </c>
      <c r="G2899" t="str">
        <v>-</v>
      </c>
    </row>
    <row r="2900">
      <c r="A2900">
        <v>2899</v>
      </c>
      <c r="B2900" t="str">
        <v>Công an xã Trung Hà  tỉnh Tuyên Quang</v>
      </c>
      <c r="C2900" t="str">
        <v>-</v>
      </c>
      <c r="D2900" t="str">
        <v>-</v>
      </c>
      <c r="E2900" t="str">
        <v/>
      </c>
      <c r="F2900" t="str">
        <v>-</v>
      </c>
      <c r="G2900" t="str">
        <v>-</v>
      </c>
    </row>
    <row r="2901">
      <c r="A2901">
        <v>2900</v>
      </c>
      <c r="B2901">
        <f>HYPERLINK("https://m.chiemhoa.gov.vn/ubnd-xa-thi-tran.html", "UBND Ủy ban nhân dân xã Trung Hà  tỉnh Tuyên Quang")</f>
      </c>
      <c r="C2901" t="str">
        <v>https://m.chiemhoa.gov.vn/ubnd-xa-thi-tran.html</v>
      </c>
      <c r="D2901" t="str">
        <v>-</v>
      </c>
      <c r="E2901" t="str">
        <v>-</v>
      </c>
      <c r="F2901" t="str">
        <v>-</v>
      </c>
      <c r="G2901" t="str">
        <v>-</v>
      </c>
    </row>
    <row r="2902">
      <c r="A2902">
        <v>2901</v>
      </c>
      <c r="B2902">
        <f>HYPERLINK("https://www.facebook.com/tuyenquangttv/videos/ch%C6%B0%C6%A1ng-tr%C3%ACnh-th%E1%BB%9Di-s%E1%BB%B1-tr%E1%BB%B1c-ti%E1%BA%BFp-11h30-ng%C3%A0y-2632024/274921095660441/", "Công an xã Tân Mỹ  tỉnh Tuyên Quang")</f>
      </c>
      <c r="C2902" t="str">
        <v>https://www.facebook.com/tuyenquangttv/videos/ch%C6%B0%C6%A1ng-tr%C3%ACnh-th%E1%BB%9Di-s%E1%BB%B1-tr%E1%BB%B1c-ti%E1%BA%BFp-11h30-ng%C3%A0y-2632024/274921095660441/</v>
      </c>
      <c r="D2902" t="str">
        <v>-</v>
      </c>
      <c r="E2902" t="str">
        <v/>
      </c>
      <c r="F2902" t="str">
        <v>-</v>
      </c>
      <c r="G2902" t="str">
        <v>-</v>
      </c>
    </row>
    <row r="2903">
      <c r="A2903">
        <v>2902</v>
      </c>
      <c r="B2903">
        <f>HYPERLINK("https://m.chiemhoa.gov.vn/ubnd-xa-thi-tran.html", "UBND Ủy ban nhân dân xã Tân Mỹ  tỉnh Tuyên Quang")</f>
      </c>
      <c r="C2903" t="str">
        <v>https://m.chiemhoa.gov.vn/ubnd-xa-thi-tran.html</v>
      </c>
      <c r="D2903" t="str">
        <v>-</v>
      </c>
      <c r="E2903" t="str">
        <v>-</v>
      </c>
      <c r="F2903" t="str">
        <v>-</v>
      </c>
      <c r="G2903" t="str">
        <v>-</v>
      </c>
    </row>
    <row r="2904">
      <c r="A2904">
        <v>2903</v>
      </c>
      <c r="B2904" t="str">
        <v>Công an xã Hà Lang  tỉnh Tuyên Quang</v>
      </c>
      <c r="C2904" t="str">
        <v>-</v>
      </c>
      <c r="D2904" t="str">
        <v>-</v>
      </c>
      <c r="E2904" t="str">
        <v/>
      </c>
      <c r="F2904" t="str">
        <v>-</v>
      </c>
      <c r="G2904" t="str">
        <v>-</v>
      </c>
    </row>
    <row r="2905">
      <c r="A2905">
        <v>2904</v>
      </c>
      <c r="B2905">
        <f>HYPERLINK("https://m.chiemhoa.gov.vn/ubnd-xa-thi-tran.html", "UBND Ủy ban nhân dân xã Hà Lang  tỉnh Tuyên Quang")</f>
      </c>
      <c r="C2905" t="str">
        <v>https://m.chiemhoa.gov.vn/ubnd-xa-thi-tran.html</v>
      </c>
      <c r="D2905" t="str">
        <v>-</v>
      </c>
      <c r="E2905" t="str">
        <v>-</v>
      </c>
      <c r="F2905" t="str">
        <v>-</v>
      </c>
      <c r="G2905" t="str">
        <v>-</v>
      </c>
    </row>
    <row r="2906">
      <c r="A2906">
        <v>2905</v>
      </c>
      <c r="B2906" t="str">
        <v>Công an xã Hùng Mỹ  tỉnh Tuyên Quang</v>
      </c>
      <c r="C2906" t="str">
        <v>-</v>
      </c>
      <c r="D2906" t="str">
        <v>-</v>
      </c>
      <c r="E2906" t="str">
        <v/>
      </c>
      <c r="F2906" t="str">
        <v>-</v>
      </c>
      <c r="G2906" t="str">
        <v>-</v>
      </c>
    </row>
    <row r="2907">
      <c r="A2907">
        <v>2906</v>
      </c>
      <c r="B2907">
        <f>HYPERLINK("https://m.chiemhoa.gov.vn/ubnd-xa-thi-tran.html", "UBND Ủy ban nhân dân xã Hùng Mỹ  tỉnh Tuyên Quang")</f>
      </c>
      <c r="C2907" t="str">
        <v>https://m.chiemhoa.gov.vn/ubnd-xa-thi-tran.html</v>
      </c>
      <c r="D2907" t="str">
        <v>-</v>
      </c>
      <c r="E2907" t="str">
        <v>-</v>
      </c>
      <c r="F2907" t="str">
        <v>-</v>
      </c>
      <c r="G2907" t="str">
        <v>-</v>
      </c>
    </row>
    <row r="2908">
      <c r="A2908">
        <v>2907</v>
      </c>
      <c r="B2908">
        <f>HYPERLINK("https://www.facebook.com/p/C%C3%B4ng-an-x%C3%A3-Y%C3%AAn-L%E1%BA%ADp-100073524621443/", "Công an xã Yên Lập  tỉnh Tuyên Quang")</f>
      </c>
      <c r="C2908" t="str">
        <v>https://www.facebook.com/p/C%C3%B4ng-an-x%C3%A3-Y%C3%AAn-L%E1%BA%ADp-100073524621443/</v>
      </c>
      <c r="D2908" t="str">
        <v>-</v>
      </c>
      <c r="E2908" t="str">
        <v/>
      </c>
      <c r="F2908" t="str">
        <v>-</v>
      </c>
      <c r="G2908" t="str">
        <v>-</v>
      </c>
    </row>
    <row r="2909">
      <c r="A2909">
        <v>2908</v>
      </c>
      <c r="B2909">
        <f>HYPERLINK("https://m.chiemhoa.gov.vn/tin-tuc-su-kien/chinh-tri/thuc-hien-de-an-02-ho-tro-ho-ngheo-sua-nha-tai-thon-lien-ket-xa-yen-lap-12015.html", "UBND Ủy ban nhân dân xã Yên Lập  tỉnh Tuyên Quang")</f>
      </c>
      <c r="C2909" t="str">
        <v>https://m.chiemhoa.gov.vn/tin-tuc-su-kien/chinh-tri/thuc-hien-de-an-02-ho-tro-ho-ngheo-sua-nha-tai-thon-lien-ket-xa-yen-lap-12015.html</v>
      </c>
      <c r="D2909" t="str">
        <v>-</v>
      </c>
      <c r="E2909" t="str">
        <v>-</v>
      </c>
      <c r="F2909" t="str">
        <v>-</v>
      </c>
      <c r="G2909" t="str">
        <v>-</v>
      </c>
    </row>
    <row r="2910">
      <c r="A2910">
        <v>2909</v>
      </c>
      <c r="B2910" t="str">
        <v>Công an xã Tân An  tỉnh Tuyên Quang</v>
      </c>
      <c r="C2910" t="str">
        <v>-</v>
      </c>
      <c r="D2910" t="str">
        <v>-</v>
      </c>
      <c r="E2910" t="str">
        <v/>
      </c>
      <c r="F2910" t="str">
        <v>-</v>
      </c>
      <c r="G2910" t="str">
        <v>-</v>
      </c>
    </row>
    <row r="2911">
      <c r="A2911">
        <v>2910</v>
      </c>
      <c r="B2911">
        <f>HYPERLINK("http://tanlong.tuyenquang.gov.vn/vi/tin-bai/uy-ban-nhan-dan-xa-tan-long-huyen-yen-son-tinh-tuyen-quang-to-chuc-ngay-hoi-toan-dan-bao-ve-an-ninh-to-quoc-ngay-1682024?type=NEWS&amp;id=123167", "UBND Ủy ban nhân dân xã Tân An  tỉnh Tuyên Quang")</f>
      </c>
      <c r="C2911" t="str">
        <v>http://tanlong.tuyenquang.gov.vn/vi/tin-bai/uy-ban-nhan-dan-xa-tan-long-huyen-yen-son-tinh-tuyen-quang-to-chuc-ngay-hoi-toan-dan-bao-ve-an-ninh-to-quoc-ngay-1682024?type=NEWS&amp;id=123167</v>
      </c>
      <c r="D2911" t="str">
        <v>-</v>
      </c>
      <c r="E2911" t="str">
        <v>-</v>
      </c>
      <c r="F2911" t="str">
        <v>-</v>
      </c>
      <c r="G2911" t="str">
        <v>-</v>
      </c>
    </row>
    <row r="2912">
      <c r="A2912">
        <v>2911</v>
      </c>
      <c r="B2912">
        <f>HYPERLINK("https://www.facebook.com/p/C%C3%B4ng-an-x%C3%A3-B%C3%ACnh-Ph%C3%BA-huy%E1%BB%87n-C%C3%A0ng-Long-100064608517276/", "Công an xã Bình Phú  tỉnh Tuyên Quang")</f>
      </c>
      <c r="C2912" t="str">
        <v>https://www.facebook.com/p/C%C3%B4ng-an-x%C3%A3-B%C3%ACnh-Ph%C3%BA-huy%E1%BB%87n-C%C3%A0ng-Long-100064608517276/</v>
      </c>
      <c r="D2912" t="str">
        <v>-</v>
      </c>
      <c r="E2912" t="str">
        <v/>
      </c>
      <c r="F2912" t="str">
        <v>-</v>
      </c>
      <c r="G2912" t="str">
        <v>-</v>
      </c>
    </row>
    <row r="2913">
      <c r="A2913">
        <v>2912</v>
      </c>
      <c r="B2913">
        <f>HYPERLINK("https://binhphu.chauphu.angiang.gov.vn/", "UBND Ủy ban nhân dân xã Bình Phú  tỉnh Tuyên Quang")</f>
      </c>
      <c r="C2913" t="str">
        <v>https://binhphu.chauphu.angiang.gov.vn/</v>
      </c>
      <c r="D2913" t="str">
        <v>-</v>
      </c>
      <c r="E2913" t="str">
        <v>-</v>
      </c>
      <c r="F2913" t="str">
        <v>-</v>
      </c>
      <c r="G2913" t="str">
        <v>-</v>
      </c>
    </row>
    <row r="2914">
      <c r="A2914">
        <v>2913</v>
      </c>
      <c r="B2914">
        <f>HYPERLINK("https://www.facebook.com/p/C%C3%B4ng-an-x%C3%A3-Xu%C3%A2n-Quang-100057251538152/", "Công an xã Xuân Quang  tỉnh Tuyên Quang")</f>
      </c>
      <c r="C2914" t="str">
        <v>https://www.facebook.com/p/C%C3%B4ng-an-x%C3%A3-Xu%C3%A2n-Quang-100057251538152/</v>
      </c>
      <c r="D2914" t="str">
        <v>-</v>
      </c>
      <c r="E2914" t="str">
        <v/>
      </c>
      <c r="F2914" t="str">
        <v>-</v>
      </c>
      <c r="G2914" t="str">
        <v>-</v>
      </c>
    </row>
    <row r="2915">
      <c r="A2915">
        <v>2914</v>
      </c>
      <c r="B2915">
        <f>HYPERLINK("https://m.chiemhoa.gov.vn/tin-tuc-su-kien/le-cong-bo-quyet-dinh-cong-nhan-xa-xuan-quang-dat-chuan-nong-thon-moi-7137.html", "UBND Ủy ban nhân dân xã Xuân Quang  tỉnh Tuyên Quang")</f>
      </c>
      <c r="C2915" t="str">
        <v>https://m.chiemhoa.gov.vn/tin-tuc-su-kien/le-cong-bo-quyet-dinh-cong-nhan-xa-xuan-quang-dat-chuan-nong-thon-moi-7137.html</v>
      </c>
      <c r="D2915" t="str">
        <v>-</v>
      </c>
      <c r="E2915" t="str">
        <v>-</v>
      </c>
      <c r="F2915" t="str">
        <v>-</v>
      </c>
      <c r="G2915" t="str">
        <v>-</v>
      </c>
    </row>
    <row r="2916">
      <c r="A2916">
        <v>2915</v>
      </c>
      <c r="B2916" t="str">
        <v>Công an xã Ngọc Hội  tỉnh Tuyên Quang</v>
      </c>
      <c r="C2916" t="str">
        <v>-</v>
      </c>
      <c r="D2916" t="str">
        <v>-</v>
      </c>
      <c r="E2916" t="str">
        <v/>
      </c>
      <c r="F2916" t="str">
        <v>-</v>
      </c>
      <c r="G2916" t="str">
        <v>-</v>
      </c>
    </row>
    <row r="2917">
      <c r="A2917">
        <v>2916</v>
      </c>
      <c r="B2917">
        <f>HYPERLINK("https://m.chiemhoa.gov.vn/ubnd-xa-thi-tran.html", "UBND Ủy ban nhân dân xã Ngọc Hội  tỉnh Tuyên Quang")</f>
      </c>
      <c r="C2917" t="str">
        <v>https://m.chiemhoa.gov.vn/ubnd-xa-thi-tran.html</v>
      </c>
      <c r="D2917" t="str">
        <v>-</v>
      </c>
      <c r="E2917" t="str">
        <v>-</v>
      </c>
      <c r="F2917" t="str">
        <v>-</v>
      </c>
      <c r="G2917" t="str">
        <v>-</v>
      </c>
    </row>
    <row r="2918">
      <c r="A2918">
        <v>2917</v>
      </c>
      <c r="B2918">
        <f>HYPERLINK("https://www.facebook.com/tuoitreconganquangbinh/", "Công an xã Phú Bình  tỉnh Tuyên Quang")</f>
      </c>
      <c r="C2918" t="str">
        <v>https://www.facebook.com/tuoitreconganquangbinh/</v>
      </c>
      <c r="D2918" t="str">
        <v>-</v>
      </c>
      <c r="E2918" t="str">
        <v/>
      </c>
      <c r="F2918" t="str">
        <v>-</v>
      </c>
      <c r="G2918" t="str">
        <v>-</v>
      </c>
    </row>
    <row r="2919">
      <c r="A2919">
        <v>2918</v>
      </c>
      <c r="B2919">
        <f>HYPERLINK("https://phubinh.thainguyen.gov.vn/", "UBND Ủy ban nhân dân xã Phú Bình  tỉnh Tuyên Quang")</f>
      </c>
      <c r="C2919" t="str">
        <v>https://phubinh.thainguyen.gov.vn/</v>
      </c>
      <c r="D2919" t="str">
        <v>-</v>
      </c>
      <c r="E2919" t="str">
        <v>-</v>
      </c>
      <c r="F2919" t="str">
        <v>-</v>
      </c>
      <c r="G2919" t="str">
        <v>-</v>
      </c>
    </row>
    <row r="2920">
      <c r="A2920">
        <v>2919</v>
      </c>
      <c r="B2920" t="str">
        <v>Công an xã Hòa Phú  tỉnh Tuyên Quang</v>
      </c>
      <c r="C2920" t="str">
        <v>-</v>
      </c>
      <c r="D2920" t="str">
        <v>-</v>
      </c>
      <c r="E2920" t="str">
        <v/>
      </c>
      <c r="F2920" t="str">
        <v>-</v>
      </c>
      <c r="G2920" t="str">
        <v>-</v>
      </c>
    </row>
    <row r="2921">
      <c r="A2921">
        <v>2920</v>
      </c>
      <c r="B2921">
        <f>HYPERLINK("http://congbao.tuyenquang.gov.vn/media/files/old/243-2022-qd-ubnd.pdf", "UBND Ủy ban nhân dân xã Hòa Phú  tỉnh Tuyên Quang")</f>
      </c>
      <c r="C2921" t="str">
        <v>http://congbao.tuyenquang.gov.vn/media/files/old/243-2022-qd-ubnd.pdf</v>
      </c>
      <c r="D2921" t="str">
        <v>-</v>
      </c>
      <c r="E2921" t="str">
        <v>-</v>
      </c>
      <c r="F2921" t="str">
        <v>-</v>
      </c>
      <c r="G2921" t="str">
        <v>-</v>
      </c>
    </row>
    <row r="2922">
      <c r="A2922">
        <v>2921</v>
      </c>
      <c r="B2922">
        <f>HYPERLINK("https://www.facebook.com/conganxaxphucthinh/", "Công an xã Phúc Thịnh  tỉnh Tuyên Quang")</f>
      </c>
      <c r="C2922" t="str">
        <v>https://www.facebook.com/conganxaxphucthinh/</v>
      </c>
      <c r="D2922" t="str">
        <v>-</v>
      </c>
      <c r="E2922" t="str">
        <v/>
      </c>
      <c r="F2922" t="str">
        <v>-</v>
      </c>
      <c r="G2922" t="str">
        <v>-</v>
      </c>
    </row>
    <row r="2923">
      <c r="A2923">
        <v>2922</v>
      </c>
      <c r="B2923">
        <f>HYPERLINK("http://www.tuyenquang.gov.vn/vi/post/dai-ta-pham-kim-dinh-du-ngay-hoi-toan-dan-bao-ve-an-ninh-to-quoc-tai-xa-phuc-thinh?type=NEWS&amp;id=115112", "UBND Ủy ban nhân dân xã Phúc Thịnh  tỉnh Tuyên Quang")</f>
      </c>
      <c r="C2923" t="str">
        <v>http://www.tuyenquang.gov.vn/vi/post/dai-ta-pham-kim-dinh-du-ngay-hoi-toan-dan-bao-ve-an-ninh-to-quoc-tai-xa-phuc-thinh?type=NEWS&amp;id=115112</v>
      </c>
      <c r="D2923" t="str">
        <v>-</v>
      </c>
      <c r="E2923" t="str">
        <v>-</v>
      </c>
      <c r="F2923" t="str">
        <v>-</v>
      </c>
      <c r="G2923" t="str">
        <v>-</v>
      </c>
    </row>
    <row r="2924">
      <c r="A2924">
        <v>2923</v>
      </c>
      <c r="B2924" t="str">
        <v>Công an xã Kiên Đài  tỉnh Tuyên Quang</v>
      </c>
      <c r="C2924" t="str">
        <v>-</v>
      </c>
      <c r="D2924" t="str">
        <v>-</v>
      </c>
      <c r="E2924" t="str">
        <v/>
      </c>
      <c r="F2924" t="str">
        <v>-</v>
      </c>
      <c r="G2924" t="str">
        <v>-</v>
      </c>
    </row>
    <row r="2925">
      <c r="A2925">
        <v>2924</v>
      </c>
      <c r="B2925">
        <f>HYPERLINK("https://m.chiemhoa.gov.vn/tin-tuc-su-kien/dong-chi-truong-thi-mai-uy-vien-bo-chinh-tri-bi-thu-trung-uong-dang-truong-ban-to-chuc-trung-uong-du-le-cong-bo-quyet-dinh-cong-nhan-xa-kien-dai-dat-chuan-nong-thon-moi-9500.html", "UBND Ủy ban nhân dân xã Kiên Đài  tỉnh Tuyên Quang")</f>
      </c>
      <c r="C2925" t="str">
        <v>https://m.chiemhoa.gov.vn/tin-tuc-su-kien/dong-chi-truong-thi-mai-uy-vien-bo-chinh-tri-bi-thu-trung-uong-dang-truong-ban-to-chuc-trung-uong-du-le-cong-bo-quyet-dinh-cong-nhan-xa-kien-dai-dat-chuan-nong-thon-moi-9500.html</v>
      </c>
      <c r="D2925" t="str">
        <v>-</v>
      </c>
      <c r="E2925" t="str">
        <v>-</v>
      </c>
      <c r="F2925" t="str">
        <v>-</v>
      </c>
      <c r="G2925" t="str">
        <v>-</v>
      </c>
    </row>
    <row r="2926">
      <c r="A2926">
        <v>2925</v>
      </c>
      <c r="B2926">
        <f>HYPERLINK("https://www.facebook.com/p/Tu%E1%BB%95i-tr%E1%BA%BB-C%C3%B4ng-an-Th%C3%A0nh-ph%E1%BB%91-V%C4%A9nh-Y%C3%AAn-100066497717181/?locale=nl_BE", "Công an xã Tân Thịnh  tỉnh Tuyên Quang")</f>
      </c>
      <c r="C2926" t="str">
        <v>https://www.facebook.com/p/Tu%E1%BB%95i-tr%E1%BA%BB-C%C3%B4ng-an-Th%C3%A0nh-ph%E1%BB%91-V%C4%A9nh-Y%C3%AAn-100066497717181/?locale=nl_BE</v>
      </c>
      <c r="D2926" t="str">
        <v>-</v>
      </c>
      <c r="E2926" t="str">
        <v/>
      </c>
      <c r="F2926" t="str">
        <v>-</v>
      </c>
      <c r="G2926" t="str">
        <v>-</v>
      </c>
    </row>
    <row r="2927">
      <c r="A2927">
        <v>2926</v>
      </c>
      <c r="B2927">
        <f>HYPERLINK("https://m.chiemhoa.gov.vn/ubnd-xa-thi-tran.html", "UBND Ủy ban nhân dân xã Tân Thịnh  tỉnh Tuyên Quang")</f>
      </c>
      <c r="C2927" t="str">
        <v>https://m.chiemhoa.gov.vn/ubnd-xa-thi-tran.html</v>
      </c>
      <c r="D2927" t="str">
        <v>-</v>
      </c>
      <c r="E2927" t="str">
        <v>-</v>
      </c>
      <c r="F2927" t="str">
        <v>-</v>
      </c>
      <c r="G2927" t="str">
        <v>-</v>
      </c>
    </row>
    <row r="2928">
      <c r="A2928">
        <v>2927</v>
      </c>
      <c r="B2928" t="str">
        <v>Công an xã Trung Hòa  tỉnh Tuyên Quang</v>
      </c>
      <c r="C2928" t="str">
        <v>-</v>
      </c>
      <c r="D2928" t="str">
        <v>-</v>
      </c>
      <c r="E2928" t="str">
        <v/>
      </c>
      <c r="F2928" t="str">
        <v>-</v>
      </c>
      <c r="G2928" t="str">
        <v>-</v>
      </c>
    </row>
    <row r="2929">
      <c r="A2929">
        <v>2928</v>
      </c>
      <c r="B2929">
        <f>HYPERLINK("https://m.chiemhoa.gov.vn/ubnd-xa-thi-tran.html", "UBND Ủy ban nhân dân xã Trung Hòa  tỉnh Tuyên Quang")</f>
      </c>
      <c r="C2929" t="str">
        <v>https://m.chiemhoa.gov.vn/ubnd-xa-thi-tran.html</v>
      </c>
      <c r="D2929" t="str">
        <v>-</v>
      </c>
      <c r="E2929" t="str">
        <v>-</v>
      </c>
      <c r="F2929" t="str">
        <v>-</v>
      </c>
      <c r="G2929" t="str">
        <v>-</v>
      </c>
    </row>
    <row r="2930">
      <c r="A2930">
        <v>2929</v>
      </c>
      <c r="B2930" t="str">
        <v>Công an xã Kim Bình  tỉnh Tuyên Quang</v>
      </c>
      <c r="C2930" t="str">
        <v>-</v>
      </c>
      <c r="D2930" t="str">
        <v>-</v>
      </c>
      <c r="E2930" t="str">
        <v/>
      </c>
      <c r="F2930" t="str">
        <v>-</v>
      </c>
      <c r="G2930" t="str">
        <v>-</v>
      </c>
    </row>
    <row r="2931">
      <c r="A2931">
        <v>2930</v>
      </c>
      <c r="B2931">
        <f>HYPERLINK("https://m.chiemhoa.gov.vn/ubnd-xa-thi-tran.html", "UBND Ủy ban nhân dân xã Kim Bình  tỉnh Tuyên Quang")</f>
      </c>
      <c r="C2931" t="str">
        <v>https://m.chiemhoa.gov.vn/ubnd-xa-thi-tran.html</v>
      </c>
      <c r="D2931" t="str">
        <v>-</v>
      </c>
      <c r="E2931" t="str">
        <v>-</v>
      </c>
      <c r="F2931" t="str">
        <v>-</v>
      </c>
      <c r="G2931" t="str">
        <v>-</v>
      </c>
    </row>
    <row r="2932">
      <c r="A2932">
        <v>2931</v>
      </c>
      <c r="B2932" t="str">
        <v>Công an xã Hòa An  tỉnh Tuyên Quang</v>
      </c>
      <c r="C2932" t="str">
        <v>-</v>
      </c>
      <c r="D2932" t="str">
        <v>-</v>
      </c>
      <c r="E2932" t="str">
        <v/>
      </c>
      <c r="F2932" t="str">
        <v>-</v>
      </c>
      <c r="G2932" t="str">
        <v>-</v>
      </c>
    </row>
    <row r="2933">
      <c r="A2933">
        <v>2932</v>
      </c>
      <c r="B2933">
        <f>HYPERLINK("http://congbao.tuyenquang.gov.vn/media/files/old/243-2022-qd-ubnd.pdf", "UBND Ủy ban nhân dân xã Hòa An  tỉnh Tuyên Quang")</f>
      </c>
      <c r="C2933" t="str">
        <v>http://congbao.tuyenquang.gov.vn/media/files/old/243-2022-qd-ubnd.pdf</v>
      </c>
      <c r="D2933" t="str">
        <v>-</v>
      </c>
      <c r="E2933" t="str">
        <v>-</v>
      </c>
      <c r="F2933" t="str">
        <v>-</v>
      </c>
      <c r="G2933" t="str">
        <v>-</v>
      </c>
    </row>
    <row r="2934">
      <c r="A2934">
        <v>2933</v>
      </c>
      <c r="B2934">
        <f>HYPERLINK("https://www.facebook.com/p/Tu%E1%BB%95i-tr%E1%BA%BB-C%C3%B4ng-an-Th%C3%A0nh-ph%E1%BB%91-V%C4%A9nh-Y%C3%AAn-100066497717181/?locale=nl_BE", "Công an xã Vinh Quang  tỉnh Tuyên Quang")</f>
      </c>
      <c r="C2934" t="str">
        <v>https://www.facebook.com/p/Tu%E1%BB%95i-tr%E1%BA%BB-C%C3%B4ng-an-Th%C3%A0nh-ph%E1%BB%91-V%C4%A9nh-Y%C3%AAn-100066497717181/?locale=nl_BE</v>
      </c>
      <c r="D2934" t="str">
        <v>-</v>
      </c>
      <c r="E2934" t="str">
        <v/>
      </c>
      <c r="F2934" t="str">
        <v>-</v>
      </c>
      <c r="G2934" t="str">
        <v>-</v>
      </c>
    </row>
    <row r="2935">
      <c r="A2935">
        <v>2934</v>
      </c>
      <c r="B2935">
        <f>HYPERLINK("http://vinhquang.kontumcity.kontum.gov.vn/", "UBND Ủy ban nhân dân xã Vinh Quang  tỉnh Tuyên Quang")</f>
      </c>
      <c r="C2935" t="str">
        <v>http://vinhquang.kontumcity.kontum.gov.vn/</v>
      </c>
      <c r="D2935" t="str">
        <v>-</v>
      </c>
      <c r="E2935" t="str">
        <v>-</v>
      </c>
      <c r="F2935" t="str">
        <v>-</v>
      </c>
      <c r="G2935" t="str">
        <v>-</v>
      </c>
    </row>
    <row r="2936">
      <c r="A2936">
        <v>2935</v>
      </c>
      <c r="B2936" t="str">
        <v>Công an xã Tri Phú  tỉnh Tuyên Quang</v>
      </c>
      <c r="C2936" t="str">
        <v>-</v>
      </c>
      <c r="D2936" t="str">
        <v>-</v>
      </c>
      <c r="E2936" t="str">
        <v/>
      </c>
      <c r="F2936" t="str">
        <v>-</v>
      </c>
      <c r="G2936" t="str">
        <v>-</v>
      </c>
    </row>
    <row r="2937">
      <c r="A2937">
        <v>2936</v>
      </c>
      <c r="B2937">
        <f>HYPERLINK("https://m.chiemhoa.gov.vn/ubnd-xa-thi-tran.html", "UBND Ủy ban nhân dân xã Tri Phú  tỉnh Tuyên Quang")</f>
      </c>
      <c r="C2937" t="str">
        <v>https://m.chiemhoa.gov.vn/ubnd-xa-thi-tran.html</v>
      </c>
      <c r="D2937" t="str">
        <v>-</v>
      </c>
      <c r="E2937" t="str">
        <v>-</v>
      </c>
      <c r="F2937" t="str">
        <v>-</v>
      </c>
      <c r="G2937" t="str">
        <v>-</v>
      </c>
    </row>
    <row r="2938">
      <c r="A2938">
        <v>2937</v>
      </c>
      <c r="B2938">
        <f>HYPERLINK("https://www.facebook.com/congantinhtuyenquang/?locale=vi_VN", "Công an xã Nhân Lý  tỉnh Tuyên Quang")</f>
      </c>
      <c r="C2938" t="str">
        <v>https://www.facebook.com/congantinhtuyenquang/?locale=vi_VN</v>
      </c>
      <c r="D2938" t="str">
        <v>-</v>
      </c>
      <c r="E2938" t="str">
        <v/>
      </c>
      <c r="F2938" t="str">
        <v>-</v>
      </c>
      <c r="G2938" t="str">
        <v>-</v>
      </c>
    </row>
    <row r="2939">
      <c r="A2939">
        <v>2938</v>
      </c>
      <c r="B2939">
        <f>HYPERLINK("http://congbao.tuyenquang.gov.vn/van-ban/noi-ban-hanh/ubnd-huyen-ham-yen.html", "UBND Ủy ban nhân dân xã Nhân Lý  tỉnh Tuyên Quang")</f>
      </c>
      <c r="C2939" t="str">
        <v>http://congbao.tuyenquang.gov.vn/van-ban/noi-ban-hanh/ubnd-huyen-ham-yen.html</v>
      </c>
      <c r="D2939" t="str">
        <v>-</v>
      </c>
      <c r="E2939" t="str">
        <v>-</v>
      </c>
      <c r="F2939" t="str">
        <v>-</v>
      </c>
      <c r="G2939" t="str">
        <v>-</v>
      </c>
    </row>
    <row r="2940">
      <c r="A2940">
        <v>2939</v>
      </c>
      <c r="B2940">
        <f>HYPERLINK("https://www.facebook.com/p/Tu%E1%BB%95i-tr%E1%BA%BB-C%C3%B4ng-an-Th%C3%A0nh-ph%E1%BB%91-V%C4%A9nh-Y%C3%AAn-100066497717181/?locale=nl_BE", "Công an xã Yên Nguyên  tỉnh Tuyên Quang")</f>
      </c>
      <c r="C2940" t="str">
        <v>https://www.facebook.com/p/Tu%E1%BB%95i-tr%E1%BA%BB-C%C3%B4ng-an-Th%C3%A0nh-ph%E1%BB%91-V%C4%A9nh-Y%C3%AAn-100066497717181/?locale=nl_BE</v>
      </c>
      <c r="D2940" t="str">
        <v>-</v>
      </c>
      <c r="E2940" t="str">
        <v/>
      </c>
      <c r="F2940" t="str">
        <v>-</v>
      </c>
      <c r="G2940" t="str">
        <v>-</v>
      </c>
    </row>
    <row r="2941">
      <c r="A2941">
        <v>2940</v>
      </c>
      <c r="B2941">
        <f>HYPERLINK("https://m.chiemhoa.gov.vn/ubnd-xa-thi-tran.html", "UBND Ủy ban nhân dân xã Yên Nguyên  tỉnh Tuyên Quang")</f>
      </c>
      <c r="C2941" t="str">
        <v>https://m.chiemhoa.gov.vn/ubnd-xa-thi-tran.html</v>
      </c>
      <c r="D2941" t="str">
        <v>-</v>
      </c>
      <c r="E2941" t="str">
        <v>-</v>
      </c>
      <c r="F2941" t="str">
        <v>-</v>
      </c>
      <c r="G2941" t="str">
        <v>-</v>
      </c>
    </row>
    <row r="2942">
      <c r="A2942">
        <v>2941</v>
      </c>
      <c r="B2942" t="str">
        <v>Công an xã Linh Phú  tỉnh Tuyên Quang</v>
      </c>
      <c r="C2942" t="str">
        <v>-</v>
      </c>
      <c r="D2942" t="str">
        <v>-</v>
      </c>
      <c r="E2942" t="str">
        <v/>
      </c>
      <c r="F2942" t="str">
        <v>-</v>
      </c>
      <c r="G2942" t="str">
        <v>-</v>
      </c>
    </row>
    <row r="2943">
      <c r="A2943">
        <v>2942</v>
      </c>
      <c r="B2943">
        <f>HYPERLINK("http://congbao.tuyenquang.gov.vn/van-ban/trang-2.html", "UBND Ủy ban nhân dân xã Linh Phú  tỉnh Tuyên Quang")</f>
      </c>
      <c r="C2943" t="str">
        <v>http://congbao.tuyenquang.gov.vn/van-ban/trang-2.html</v>
      </c>
      <c r="D2943" t="str">
        <v>-</v>
      </c>
      <c r="E2943" t="str">
        <v>-</v>
      </c>
      <c r="F2943" t="str">
        <v>-</v>
      </c>
      <c r="G2943" t="str">
        <v>-</v>
      </c>
    </row>
    <row r="2944">
      <c r="A2944">
        <v>2943</v>
      </c>
      <c r="B2944">
        <f>HYPERLINK("https://www.facebook.com/tuoitreconganquangbinh/", "Công an xã Bình Nhân  tỉnh Tuyên Quang")</f>
      </c>
      <c r="C2944" t="str">
        <v>https://www.facebook.com/tuoitreconganquangbinh/</v>
      </c>
      <c r="D2944" t="str">
        <v>-</v>
      </c>
      <c r="E2944" t="str">
        <v/>
      </c>
      <c r="F2944" t="str">
        <v>-</v>
      </c>
      <c r="G2944" t="str">
        <v>-</v>
      </c>
    </row>
    <row r="2945">
      <c r="A2945">
        <v>2944</v>
      </c>
      <c r="B2945">
        <f>HYPERLINK("http://congbao.tuyenquang.gov.vn/van-ban/noi-ban-hanh/ubnd-huyen-ham-yen.html", "UBND Ủy ban nhân dân xã Bình Nhân  tỉnh Tuyên Quang")</f>
      </c>
      <c r="C2945" t="str">
        <v>http://congbao.tuyenquang.gov.vn/van-ban/noi-ban-hanh/ubnd-huyen-ham-yen.html</v>
      </c>
      <c r="D2945" t="str">
        <v>-</v>
      </c>
      <c r="E2945" t="str">
        <v>-</v>
      </c>
      <c r="F2945" t="str">
        <v>-</v>
      </c>
      <c r="G2945" t="str">
        <v>-</v>
      </c>
    </row>
    <row r="2946">
      <c r="A2946">
        <v>2945</v>
      </c>
      <c r="B2946">
        <f>HYPERLINK("https://www.facebook.com/p/Tu%E1%BB%95i-tr%E1%BA%BB-C%C3%B4ng-an-Th%C3%A0nh-ph%E1%BB%91-V%C4%A9nh-Y%C3%AAn-100066497717181/?locale=nl_BE", "Công an thị trấn Tân Yên  tỉnh Tuyên Quang")</f>
      </c>
      <c r="C2946" t="str">
        <v>https://www.facebook.com/p/Tu%E1%BB%95i-tr%E1%BA%BB-C%C3%B4ng-an-Th%C3%A0nh-ph%E1%BB%91-V%C4%A9nh-Y%C3%AAn-100066497717181/?locale=nl_BE</v>
      </c>
      <c r="D2946" t="str">
        <v>-</v>
      </c>
      <c r="E2946" t="str">
        <v/>
      </c>
      <c r="F2946" t="str">
        <v>-</v>
      </c>
      <c r="G2946" t="str">
        <v>-</v>
      </c>
    </row>
    <row r="2947">
      <c r="A2947">
        <v>2946</v>
      </c>
      <c r="B2947">
        <f>HYPERLINK("https://hamyen.tuyenquang.gov.vn/", "UBND Ủy ban nhân dân thị trấn Tân Yên  tỉnh Tuyên Quang")</f>
      </c>
      <c r="C2947" t="str">
        <v>https://hamyen.tuyenquang.gov.vn/</v>
      </c>
      <c r="D2947" t="str">
        <v>-</v>
      </c>
      <c r="E2947" t="str">
        <v>-</v>
      </c>
      <c r="F2947" t="str">
        <v>-</v>
      </c>
      <c r="G2947" t="str">
        <v>-</v>
      </c>
    </row>
    <row r="2948">
      <c r="A2948">
        <v>2947</v>
      </c>
      <c r="B2948" t="str">
        <v>Công an xã Yên Thuận  tỉnh Tuyên Quang</v>
      </c>
      <c r="C2948" t="str">
        <v>-</v>
      </c>
      <c r="D2948" t="str">
        <v>-</v>
      </c>
      <c r="E2948" t="str">
        <v/>
      </c>
      <c r="F2948" t="str">
        <v>-</v>
      </c>
      <c r="G2948" t="str">
        <v>-</v>
      </c>
    </row>
    <row r="2949">
      <c r="A2949">
        <v>2948</v>
      </c>
      <c r="B2949">
        <f>HYPERLINK("http://congbao.tuyenquang.gov.vn/van-ban/noi-ban-hanh/ubnd-huyen-ham-yen.html", "UBND Ủy ban nhân dân xã Yên Thuận  tỉnh Tuyên Quang")</f>
      </c>
      <c r="C2949" t="str">
        <v>http://congbao.tuyenquang.gov.vn/van-ban/noi-ban-hanh/ubnd-huyen-ham-yen.html</v>
      </c>
      <c r="D2949" t="str">
        <v>-</v>
      </c>
      <c r="E2949" t="str">
        <v>-</v>
      </c>
      <c r="F2949" t="str">
        <v>-</v>
      </c>
      <c r="G2949" t="str">
        <v>-</v>
      </c>
    </row>
    <row r="2950">
      <c r="A2950">
        <v>2949</v>
      </c>
      <c r="B2950" t="str">
        <v>Công an xã Bạch Xa  tỉnh Tuyên Quang</v>
      </c>
      <c r="C2950" t="str">
        <v>-</v>
      </c>
      <c r="D2950" t="str">
        <v>-</v>
      </c>
      <c r="E2950" t="str">
        <v/>
      </c>
      <c r="F2950" t="str">
        <v>-</v>
      </c>
      <c r="G2950" t="str">
        <v>-</v>
      </c>
    </row>
    <row r="2951">
      <c r="A2951">
        <v>2950</v>
      </c>
      <c r="B2951">
        <f>HYPERLINK("http://www.tuyenquang.gov.vn/vi/post/quyet-dinh-ve-viec-cong-nhan-xa-bach-xa-huyen-ham-yen-tinh-tuyen-quang-dat-chuan-nong-thon-moi?type=EXECUTIVE_DIRECTION&amp;id=33587", "UBND Ủy ban nhân dân xã Bạch Xa  tỉnh Tuyên Quang")</f>
      </c>
      <c r="C2951" t="str">
        <v>http://www.tuyenquang.gov.vn/vi/post/quyet-dinh-ve-viec-cong-nhan-xa-bach-xa-huyen-ham-yen-tinh-tuyen-quang-dat-chuan-nong-thon-moi?type=EXECUTIVE_DIRECTION&amp;id=33587</v>
      </c>
      <c r="D2951" t="str">
        <v>-</v>
      </c>
      <c r="E2951" t="str">
        <v>-</v>
      </c>
      <c r="F2951" t="str">
        <v>-</v>
      </c>
      <c r="G2951" t="str">
        <v>-</v>
      </c>
    </row>
    <row r="2952">
      <c r="A2952">
        <v>2951</v>
      </c>
      <c r="B2952" t="str">
        <v>Công an xã Minh Khương  tỉnh Tuyên Quang</v>
      </c>
      <c r="C2952" t="str">
        <v>-</v>
      </c>
      <c r="D2952" t="str">
        <v>-</v>
      </c>
      <c r="E2952" t="str">
        <v/>
      </c>
      <c r="F2952" t="str">
        <v>-</v>
      </c>
      <c r="G2952" t="str">
        <v>-</v>
      </c>
    </row>
    <row r="2953">
      <c r="A2953">
        <v>2952</v>
      </c>
      <c r="B2953">
        <f>HYPERLINK("http://www.tuyenquang.gov.vn/vi/post/quyet-dinh-ve-viec-cong-nhan-xa-minh-khuong-huyen-ham-yen-tinh-tuyen-quang-dat-chuan-nong-thon-moi?type=EXECUTIVE_DIRECTION&amp;id=33590", "UBND Ủy ban nhân dân xã Minh Khương  tỉnh Tuyên Quang")</f>
      </c>
      <c r="C2953" t="str">
        <v>http://www.tuyenquang.gov.vn/vi/post/quyet-dinh-ve-viec-cong-nhan-xa-minh-khuong-huyen-ham-yen-tinh-tuyen-quang-dat-chuan-nong-thon-moi?type=EXECUTIVE_DIRECTION&amp;id=33590</v>
      </c>
      <c r="D2953" t="str">
        <v>-</v>
      </c>
      <c r="E2953" t="str">
        <v>-</v>
      </c>
      <c r="F2953" t="str">
        <v>-</v>
      </c>
      <c r="G2953" t="str">
        <v>-</v>
      </c>
    </row>
    <row r="2954">
      <c r="A2954">
        <v>2953</v>
      </c>
      <c r="B2954" t="str">
        <v>Công an xã Yên Lâm  tỉnh Tuyên Quang</v>
      </c>
      <c r="C2954" t="str">
        <v>-</v>
      </c>
      <c r="D2954" t="str">
        <v>-</v>
      </c>
      <c r="E2954" t="str">
        <v/>
      </c>
      <c r="F2954" t="str">
        <v>-</v>
      </c>
      <c r="G2954" t="str">
        <v>-</v>
      </c>
    </row>
    <row r="2955">
      <c r="A2955">
        <v>2954</v>
      </c>
      <c r="B2955">
        <f>HYPERLINK("http://congbao.tuyenquang.gov.vn/van-ban/van-ban/trang-799.html", "UBND Ủy ban nhân dân xã Yên Lâm  tỉnh Tuyên Quang")</f>
      </c>
      <c r="C2955" t="str">
        <v>http://congbao.tuyenquang.gov.vn/van-ban/van-ban/trang-799.html</v>
      </c>
      <c r="D2955" t="str">
        <v>-</v>
      </c>
      <c r="E2955" t="str">
        <v>-</v>
      </c>
      <c r="F2955" t="str">
        <v>-</v>
      </c>
      <c r="G2955" t="str">
        <v>-</v>
      </c>
    </row>
    <row r="2956">
      <c r="A2956">
        <v>2955</v>
      </c>
      <c r="B2956" t="str">
        <v>Công an xã Minh Dân  tỉnh Tuyên Quang</v>
      </c>
      <c r="C2956" t="str">
        <v>-</v>
      </c>
      <c r="D2956" t="str">
        <v>-</v>
      </c>
      <c r="E2956" t="str">
        <v/>
      </c>
      <c r="F2956" t="str">
        <v>-</v>
      </c>
      <c r="G2956" t="str">
        <v>-</v>
      </c>
    </row>
    <row r="2957">
      <c r="A2957">
        <v>2956</v>
      </c>
      <c r="B2957">
        <f>HYPERLINK("http://congbao.tuyenquang.gov.vn/van-ban/noi-ban-hanh/ubnd-huyen-ham-yen.html", "UBND Ủy ban nhân dân xã Minh Dân  tỉnh Tuyên Quang")</f>
      </c>
      <c r="C2957" t="str">
        <v>http://congbao.tuyenquang.gov.vn/van-ban/noi-ban-hanh/ubnd-huyen-ham-yen.html</v>
      </c>
      <c r="D2957" t="str">
        <v>-</v>
      </c>
      <c r="E2957" t="str">
        <v>-</v>
      </c>
      <c r="F2957" t="str">
        <v>-</v>
      </c>
      <c r="G2957" t="str">
        <v>-</v>
      </c>
    </row>
    <row r="2958">
      <c r="A2958">
        <v>2957</v>
      </c>
      <c r="B2958">
        <f>HYPERLINK("https://www.facebook.com/groups/227757119638065/", "Công an xã Phù Lưu  tỉnh Tuyên Quang")</f>
      </c>
      <c r="C2958" t="str">
        <v>https://www.facebook.com/groups/227757119638065/</v>
      </c>
      <c r="D2958" t="str">
        <v>-</v>
      </c>
      <c r="E2958" t="str">
        <v/>
      </c>
      <c r="F2958" t="str">
        <v>-</v>
      </c>
      <c r="G2958" t="str">
        <v>-</v>
      </c>
    </row>
    <row r="2959">
      <c r="A2959">
        <v>2958</v>
      </c>
      <c r="B2959">
        <f>HYPERLINK("http://congbao.tuyenquang.gov.vn/van-ban/noi-ban-hanh/ubnd-huyen-ham-yen/trang-2.html", "UBND Ủy ban nhân dân xã Phù Lưu  tỉnh Tuyên Quang")</f>
      </c>
      <c r="C2959" t="str">
        <v>http://congbao.tuyenquang.gov.vn/van-ban/noi-ban-hanh/ubnd-huyen-ham-yen/trang-2.html</v>
      </c>
      <c r="D2959" t="str">
        <v>-</v>
      </c>
      <c r="E2959" t="str">
        <v>-</v>
      </c>
      <c r="F2959" t="str">
        <v>-</v>
      </c>
      <c r="G2959" t="str">
        <v>-</v>
      </c>
    </row>
    <row r="2960">
      <c r="A2960">
        <v>2959</v>
      </c>
      <c r="B2960" t="str">
        <v>Công an xã Minh Hương  tỉnh Tuyên Quang</v>
      </c>
      <c r="C2960" t="str">
        <v>-</v>
      </c>
      <c r="D2960" t="str">
        <v>-</v>
      </c>
      <c r="E2960" t="str">
        <v/>
      </c>
      <c r="F2960" t="str">
        <v>-</v>
      </c>
      <c r="G2960" t="str">
        <v>-</v>
      </c>
    </row>
    <row r="2961">
      <c r="A2961">
        <v>2960</v>
      </c>
      <c r="B2961">
        <f>HYPERLINK("http://congbao.tuyenquang.gov.vn/van-ban/noi-ban-hanh/ubnd-huyen-ham-yen.html", "UBND Ủy ban nhân dân xã Minh Hương  tỉnh Tuyên Quang")</f>
      </c>
      <c r="C2961" t="str">
        <v>http://congbao.tuyenquang.gov.vn/van-ban/noi-ban-hanh/ubnd-huyen-ham-yen.html</v>
      </c>
      <c r="D2961" t="str">
        <v>-</v>
      </c>
      <c r="E2961" t="str">
        <v>-</v>
      </c>
      <c r="F2961" t="str">
        <v>-</v>
      </c>
      <c r="G2961" t="str">
        <v>-</v>
      </c>
    </row>
    <row r="2962">
      <c r="A2962">
        <v>2961</v>
      </c>
      <c r="B2962" t="str">
        <v>Công an xã Yên Phú  tỉnh Tuyên Quang</v>
      </c>
      <c r="C2962" t="str">
        <v>-</v>
      </c>
      <c r="D2962" t="str">
        <v>-</v>
      </c>
      <c r="E2962" t="str">
        <v/>
      </c>
      <c r="F2962" t="str">
        <v>-</v>
      </c>
      <c r="G2962" t="str">
        <v>-</v>
      </c>
    </row>
    <row r="2963">
      <c r="A2963">
        <v>2962</v>
      </c>
      <c r="B2963">
        <f>HYPERLINK("http://congbao.tuyenquang.gov.vn/van-ban/van-ban/trang-799.html", "UBND Ủy ban nhân dân xã Yên Phú  tỉnh Tuyên Quang")</f>
      </c>
      <c r="C2963" t="str">
        <v>http://congbao.tuyenquang.gov.vn/van-ban/van-ban/trang-799.html</v>
      </c>
      <c r="D2963" t="str">
        <v>-</v>
      </c>
      <c r="E2963" t="str">
        <v>-</v>
      </c>
      <c r="F2963" t="str">
        <v>-</v>
      </c>
      <c r="G2963" t="str">
        <v>-</v>
      </c>
    </row>
    <row r="2964">
      <c r="A2964">
        <v>2963</v>
      </c>
      <c r="B2964" t="str">
        <v>Công an xã Tân Thành  tỉnh Tuyên Quang</v>
      </c>
      <c r="C2964" t="str">
        <v>-</v>
      </c>
      <c r="D2964" t="str">
        <v>-</v>
      </c>
      <c r="E2964" t="str">
        <v/>
      </c>
      <c r="F2964" t="str">
        <v>-</v>
      </c>
      <c r="G2964" t="str">
        <v>-</v>
      </c>
    </row>
    <row r="2965">
      <c r="A2965">
        <v>2964</v>
      </c>
      <c r="B2965">
        <f>HYPERLINK("http://tanthanh.nongthonmoituyenquang.gov.vn/", "UBND Ủy ban nhân dân xã Tân Thành  tỉnh Tuyên Quang")</f>
      </c>
      <c r="C2965" t="str">
        <v>http://tanthanh.nongthonmoituyenquang.gov.vn/</v>
      </c>
      <c r="D2965" t="str">
        <v>-</v>
      </c>
      <c r="E2965" t="str">
        <v>-</v>
      </c>
      <c r="F2965" t="str">
        <v>-</v>
      </c>
      <c r="G2965" t="str">
        <v>-</v>
      </c>
    </row>
    <row r="2966">
      <c r="A2966">
        <v>2965</v>
      </c>
      <c r="B2966">
        <f>HYPERLINK("https://www.facebook.com/CSHSHAMYEN/?locale=vi_VN", "Công an xã Bình Xa  tỉnh Tuyên Quang")</f>
      </c>
      <c r="C2966" t="str">
        <v>https://www.facebook.com/CSHSHAMYEN/?locale=vi_VN</v>
      </c>
      <c r="D2966" t="str">
        <v>-</v>
      </c>
      <c r="E2966" t="str">
        <v/>
      </c>
      <c r="F2966" t="str">
        <v>-</v>
      </c>
      <c r="G2966" t="str">
        <v>-</v>
      </c>
    </row>
    <row r="2967">
      <c r="A2967">
        <v>2966</v>
      </c>
      <c r="B2967">
        <f>HYPERLINK("http://congbao.tuyenquang.gov.vn/van-ban/noi-ban-hanh/ubnd-huyen-ham-yen.html", "UBND Ủy ban nhân dân xã Bình Xa  tỉnh Tuyên Quang")</f>
      </c>
      <c r="C2967" t="str">
        <v>http://congbao.tuyenquang.gov.vn/van-ban/noi-ban-hanh/ubnd-huyen-ham-yen.html</v>
      </c>
      <c r="D2967" t="str">
        <v>-</v>
      </c>
      <c r="E2967" t="str">
        <v>-</v>
      </c>
      <c r="F2967" t="str">
        <v>-</v>
      </c>
      <c r="G2967" t="str">
        <v>-</v>
      </c>
    </row>
    <row r="2968">
      <c r="A2968">
        <v>2967</v>
      </c>
      <c r="B2968" t="str">
        <v>Công an xã Thái Sơn  tỉnh Tuyên Quang</v>
      </c>
      <c r="C2968" t="str">
        <v>-</v>
      </c>
      <c r="D2968" t="str">
        <v>-</v>
      </c>
      <c r="E2968" t="str">
        <v/>
      </c>
      <c r="F2968" t="str">
        <v>-</v>
      </c>
      <c r="G2968" t="str">
        <v>-</v>
      </c>
    </row>
    <row r="2969">
      <c r="A2969">
        <v>2968</v>
      </c>
      <c r="B2969">
        <f>HYPERLINK("http://www.tuyenquang.gov.vn/vi/post/khan-truong-cung-cap-luong-thuc-thuc-pham-nhu-yeu-pham-phuc-vu-doi-song-cua-nguoi-dan-bi-anh-huong-boi-con-bao-so-3?type=NEWS&amp;id=124313", "UBND Ủy ban nhân dân xã Thái Sơn  tỉnh Tuyên Quang")</f>
      </c>
      <c r="C2969" t="str">
        <v>http://www.tuyenquang.gov.vn/vi/post/khan-truong-cung-cap-luong-thuc-thuc-pham-nhu-yeu-pham-phuc-vu-doi-song-cua-nguoi-dan-bi-anh-huong-boi-con-bao-so-3?type=NEWS&amp;id=124313</v>
      </c>
      <c r="D2969" t="str">
        <v>-</v>
      </c>
      <c r="E2969" t="str">
        <v>-</v>
      </c>
      <c r="F2969" t="str">
        <v>-</v>
      </c>
      <c r="G2969" t="str">
        <v>-</v>
      </c>
    </row>
    <row r="2970">
      <c r="A2970">
        <v>2969</v>
      </c>
      <c r="B2970">
        <f>HYPERLINK("https://www.facebook.com/tuoitreconganquangbinh/", "Công an xã Nhân Mục  tỉnh Tuyên Quang")</f>
      </c>
      <c r="C2970" t="str">
        <v>https://www.facebook.com/tuoitreconganquangbinh/</v>
      </c>
      <c r="D2970" t="str">
        <v>-</v>
      </c>
      <c r="E2970" t="str">
        <v/>
      </c>
      <c r="F2970" t="str">
        <v>-</v>
      </c>
      <c r="G2970" t="str">
        <v>-</v>
      </c>
    </row>
    <row r="2971">
      <c r="A2971">
        <v>2970</v>
      </c>
      <c r="B2971">
        <f>HYPERLINK("http://congbao.tuyenquang.gov.vn/van-ban/noi-ban-hanh/ubnd-huyen-ham-yen.html", "UBND Ủy ban nhân dân xã Nhân Mục  tỉnh Tuyên Quang")</f>
      </c>
      <c r="C2971" t="str">
        <v>http://congbao.tuyenquang.gov.vn/van-ban/noi-ban-hanh/ubnd-huyen-ham-yen.html</v>
      </c>
      <c r="D2971" t="str">
        <v>-</v>
      </c>
      <c r="E2971" t="str">
        <v>-</v>
      </c>
      <c r="F2971" t="str">
        <v>-</v>
      </c>
      <c r="G2971" t="str">
        <v>-</v>
      </c>
    </row>
    <row r="2972">
      <c r="A2972">
        <v>2971</v>
      </c>
      <c r="B2972" t="str">
        <v>Công an xã Thành Long  tỉnh Tuyên Quang</v>
      </c>
      <c r="C2972" t="str">
        <v>-</v>
      </c>
      <c r="D2972" t="str">
        <v>-</v>
      </c>
      <c r="E2972" t="str">
        <v/>
      </c>
      <c r="F2972" t="str">
        <v>-</v>
      </c>
      <c r="G2972" t="str">
        <v>-</v>
      </c>
    </row>
    <row r="2973">
      <c r="A2973">
        <v>2972</v>
      </c>
      <c r="B2973">
        <f>HYPERLINK("http://thanhlong.nongthonmoituyenquang.gov.vn/", "UBND Ủy ban nhân dân xã Thành Long  tỉnh Tuyên Quang")</f>
      </c>
      <c r="C2973" t="str">
        <v>http://thanhlong.nongthonmoituyenquang.gov.vn/</v>
      </c>
      <c r="D2973" t="str">
        <v>-</v>
      </c>
      <c r="E2973" t="str">
        <v>-</v>
      </c>
      <c r="F2973" t="str">
        <v>-</v>
      </c>
      <c r="G2973" t="str">
        <v>-</v>
      </c>
    </row>
    <row r="2974">
      <c r="A2974">
        <v>2973</v>
      </c>
      <c r="B2974">
        <f>HYPERLINK("https://www.facebook.com/congantinhtuyenquang/?locale=vi_VN", "Công an xã Bằng Cốc  tỉnh Tuyên Quang")</f>
      </c>
      <c r="C2974" t="str">
        <v>https://www.facebook.com/congantinhtuyenquang/?locale=vi_VN</v>
      </c>
      <c r="D2974" t="str">
        <v>-</v>
      </c>
      <c r="E2974" t="str">
        <v/>
      </c>
      <c r="F2974" t="str">
        <v>-</v>
      </c>
      <c r="G2974" t="str">
        <v>-</v>
      </c>
    </row>
    <row r="2975">
      <c r="A2975">
        <v>2974</v>
      </c>
      <c r="B2975">
        <f>HYPERLINK("http://congbao.tuyenquang.gov.vn/van-ban/noi-ban-hanh/ubnd-huyen-ham-yen.html", "UBND Ủy ban nhân dân xã Bằng Cốc  tỉnh Tuyên Quang")</f>
      </c>
      <c r="C2975" t="str">
        <v>http://congbao.tuyenquang.gov.vn/van-ban/noi-ban-hanh/ubnd-huyen-ham-yen.html</v>
      </c>
      <c r="D2975" t="str">
        <v>-</v>
      </c>
      <c r="E2975" t="str">
        <v>-</v>
      </c>
      <c r="F2975" t="str">
        <v>-</v>
      </c>
      <c r="G2975" t="str">
        <v>-</v>
      </c>
    </row>
    <row r="2976">
      <c r="A2976">
        <v>2975</v>
      </c>
      <c r="B2976">
        <f>HYPERLINK("https://www.facebook.com/p/C%C3%B4ng-an-th%E1%BB%8B-x%C3%A3-Th%C3%A1i-Ho%C3%A0-100064572737479/", "Công an xã Thái Hòa  tỉnh Tuyên Quang")</f>
      </c>
      <c r="C2976" t="str">
        <v>https://www.facebook.com/p/C%C3%B4ng-an-th%E1%BB%8B-x%C3%A3-Th%C3%A1i-Ho%C3%A0-100064572737479/</v>
      </c>
      <c r="D2976" t="str">
        <v>-</v>
      </c>
      <c r="E2976" t="str">
        <v/>
      </c>
      <c r="F2976" t="str">
        <v>-</v>
      </c>
      <c r="G2976" t="str">
        <v>-</v>
      </c>
    </row>
    <row r="2977">
      <c r="A2977">
        <v>2976</v>
      </c>
      <c r="B2977">
        <f>HYPERLINK("http://congbao.tuyenquang.gov.vn/van-ban/noi-ban-hanh/ubnd-huyen-ham-yen.html", "UBND Ủy ban nhân dân xã Thái Hòa  tỉnh Tuyên Quang")</f>
      </c>
      <c r="C2977" t="str">
        <v>http://congbao.tuyenquang.gov.vn/van-ban/noi-ban-hanh/ubnd-huyen-ham-yen.html</v>
      </c>
      <c r="D2977" t="str">
        <v>-</v>
      </c>
      <c r="E2977" t="str">
        <v>-</v>
      </c>
      <c r="F2977" t="str">
        <v>-</v>
      </c>
      <c r="G2977" t="str">
        <v>-</v>
      </c>
    </row>
    <row r="2978">
      <c r="A2978">
        <v>2977</v>
      </c>
      <c r="B2978">
        <f>HYPERLINK("https://www.facebook.com/p/C%C3%B4ng-an-huy%E1%BB%87n-Y%C3%AAn-S%C6%A1n-t%E1%BB%89nh-Tuy%C3%AAn-Quang-100064458052002/", "Công an xã Đức Ninh  tỉnh Tuyên Quang")</f>
      </c>
      <c r="C2978" t="str">
        <v>https://www.facebook.com/p/C%C3%B4ng-an-huy%E1%BB%87n-Y%C3%AAn-S%C6%A1n-t%E1%BB%89nh-Tuy%C3%AAn-Quang-100064458052002/</v>
      </c>
      <c r="D2978" t="str">
        <v>-</v>
      </c>
      <c r="E2978" t="str">
        <v/>
      </c>
      <c r="F2978" t="str">
        <v>-</v>
      </c>
      <c r="G2978" t="str">
        <v>-</v>
      </c>
    </row>
    <row r="2979">
      <c r="A2979">
        <v>2978</v>
      </c>
      <c r="B2979">
        <f>HYPERLINK("http://www.tuyenquang.gov.vn/vi/post/xa-thanh-long-dat-chuan-ntm-va-xa-duc-ninh-dat-chuan-ntm-nang-cao?type=NEWS&amp;id=122943", "UBND Ủy ban nhân dân xã Đức Ninh  tỉnh Tuyên Quang")</f>
      </c>
      <c r="C2979" t="str">
        <v>http://www.tuyenquang.gov.vn/vi/post/xa-thanh-long-dat-chuan-ntm-va-xa-duc-ninh-dat-chuan-ntm-nang-cao?type=NEWS&amp;id=122943</v>
      </c>
      <c r="D2979" t="str">
        <v>-</v>
      </c>
      <c r="E2979" t="str">
        <v>-</v>
      </c>
      <c r="F2979" t="str">
        <v>-</v>
      </c>
      <c r="G2979" t="str">
        <v>-</v>
      </c>
    </row>
    <row r="2980">
      <c r="A2980">
        <v>2979</v>
      </c>
      <c r="B2980" t="str">
        <v>Công an xã Hùng Đức  tỉnh Tuyên Quang</v>
      </c>
      <c r="C2980" t="str">
        <v>-</v>
      </c>
      <c r="D2980" t="str">
        <v>-</v>
      </c>
      <c r="E2980" t="str">
        <v/>
      </c>
      <c r="F2980" t="str">
        <v>-</v>
      </c>
      <c r="G2980" t="str">
        <v>-</v>
      </c>
    </row>
    <row r="2981">
      <c r="A2981">
        <v>2980</v>
      </c>
      <c r="B2981">
        <f>HYPERLINK("http://yenson.tuyenquang.gov.vn/vi/tin-bai/dong-chi-quyen-bi-thu-huyen-uy-tiep-cong-dan-dinh-ky-thang-10?type=NEWS&amp;id=129762", "UBND Ủy ban nhân dân xã Hùng Đức  tỉnh Tuyên Quang")</f>
      </c>
      <c r="C2981" t="str">
        <v>http://yenson.tuyenquang.gov.vn/vi/tin-bai/dong-chi-quyen-bi-thu-huyen-uy-tiep-cong-dan-dinh-ky-thang-10?type=NEWS&amp;id=129762</v>
      </c>
      <c r="D2981" t="str">
        <v>-</v>
      </c>
      <c r="E2981" t="str">
        <v>-</v>
      </c>
      <c r="F2981" t="str">
        <v>-</v>
      </c>
      <c r="G2981" t="str">
        <v>-</v>
      </c>
    </row>
    <row r="2982">
      <c r="A2982">
        <v>2981</v>
      </c>
      <c r="B2982">
        <f>HYPERLINK("https://www.facebook.com/thanhnientanbinh/", "Công an thị trấn Tân Bình  tỉnh Tuyên Quang")</f>
      </c>
      <c r="C2982" t="str">
        <v>https://www.facebook.com/thanhnientanbinh/</v>
      </c>
      <c r="D2982" t="str">
        <v>-</v>
      </c>
      <c r="E2982" t="str">
        <v/>
      </c>
      <c r="F2982" t="str">
        <v>-</v>
      </c>
      <c r="G2982" t="str">
        <v>-</v>
      </c>
    </row>
    <row r="2983">
      <c r="A2983">
        <v>2982</v>
      </c>
      <c r="B2983">
        <f>HYPERLINK("https://tanbinh.bactanuyen.binhduong.gov.vn/", "UBND Ủy ban nhân dân thị trấn Tân Bình  tỉnh Tuyên Quang")</f>
      </c>
      <c r="C2983" t="str">
        <v>https://tanbinh.bactanuyen.binhduong.gov.vn/</v>
      </c>
      <c r="D2983" t="str">
        <v>-</v>
      </c>
      <c r="E2983" t="str">
        <v>-</v>
      </c>
      <c r="F2983" t="str">
        <v>-</v>
      </c>
      <c r="G2983" t="str">
        <v>-</v>
      </c>
    </row>
    <row r="2984">
      <c r="A2984">
        <v>2983</v>
      </c>
      <c r="B2984" t="str">
        <v>Công an xã Quí Quân  tỉnh Tuyên Quang</v>
      </c>
      <c r="C2984" t="str">
        <v>-</v>
      </c>
      <c r="D2984" t="str">
        <v>-</v>
      </c>
      <c r="E2984" t="str">
        <v/>
      </c>
      <c r="F2984" t="str">
        <v>-</v>
      </c>
      <c r="G2984" t="str">
        <v>-</v>
      </c>
    </row>
    <row r="2985">
      <c r="A2985">
        <v>2984</v>
      </c>
      <c r="B2985">
        <f>HYPERLINK("http://yenson.tuyenquang.gov.vn/vi/tin-bai/dong-chi-truong-ban-noi-chinh-tinh-uy-phung-tien-quan-tiep-xuc-cu-tri-tai-xa-quy-quan?type=NEWS&amp;id=131799", "UBND Ủy ban nhân dân xã Quí Quân  tỉnh Tuyên Quang")</f>
      </c>
      <c r="C2985" t="str">
        <v>http://yenson.tuyenquang.gov.vn/vi/tin-bai/dong-chi-truong-ban-noi-chinh-tinh-uy-phung-tien-quan-tiep-xuc-cu-tri-tai-xa-quy-quan?type=NEWS&amp;id=131799</v>
      </c>
      <c r="D2985" t="str">
        <v>-</v>
      </c>
      <c r="E2985" t="str">
        <v>-</v>
      </c>
      <c r="F2985" t="str">
        <v>-</v>
      </c>
      <c r="G2985" t="str">
        <v>-</v>
      </c>
    </row>
    <row r="2986">
      <c r="A2986">
        <v>2985</v>
      </c>
      <c r="B2986" t="str">
        <v>Công an xã Lực Hành  tỉnh Tuyên Quang</v>
      </c>
      <c r="C2986" t="str">
        <v>-</v>
      </c>
      <c r="D2986" t="str">
        <v>-</v>
      </c>
      <c r="E2986" t="str">
        <v/>
      </c>
      <c r="F2986" t="str">
        <v>-</v>
      </c>
      <c r="G2986" t="str">
        <v>-</v>
      </c>
    </row>
    <row r="2987">
      <c r="A2987">
        <v>2986</v>
      </c>
      <c r="B2987">
        <f>HYPERLINK("https://yenson.tuyenquang.gov.vn/", "UBND Ủy ban nhân dân xã Lực Hành  tỉnh Tuyên Quang")</f>
      </c>
      <c r="C2987" t="str">
        <v>https://yenson.tuyenquang.gov.vn/</v>
      </c>
      <c r="D2987" t="str">
        <v>-</v>
      </c>
      <c r="E2987" t="str">
        <v>-</v>
      </c>
      <c r="F2987" t="str">
        <v>-</v>
      </c>
      <c r="G2987" t="str">
        <v>-</v>
      </c>
    </row>
    <row r="2988">
      <c r="A2988">
        <v>2987</v>
      </c>
      <c r="B2988" t="str">
        <v>Công an xã Kiến Thiết  tỉnh Tuyên Quang</v>
      </c>
      <c r="C2988" t="str">
        <v>-</v>
      </c>
      <c r="D2988" t="str">
        <v>-</v>
      </c>
      <c r="E2988" t="str">
        <v/>
      </c>
      <c r="F2988" t="str">
        <v>-</v>
      </c>
      <c r="G2988" t="str">
        <v>-</v>
      </c>
    </row>
    <row r="2989">
      <c r="A2989">
        <v>2988</v>
      </c>
      <c r="B2989">
        <f>HYPERLINK("http://congbao.tuyenquang.gov.vn/van-ban/the-loai/quyet-dinh/trang-91.html", "UBND Ủy ban nhân dân xã Kiến Thiết  tỉnh Tuyên Quang")</f>
      </c>
      <c r="C2989" t="str">
        <v>http://congbao.tuyenquang.gov.vn/van-ban/the-loai/quyet-dinh/trang-91.html</v>
      </c>
      <c r="D2989" t="str">
        <v>-</v>
      </c>
      <c r="E2989" t="str">
        <v>-</v>
      </c>
      <c r="F2989" t="str">
        <v>-</v>
      </c>
      <c r="G2989" t="str">
        <v>-</v>
      </c>
    </row>
    <row r="2990">
      <c r="A2990">
        <v>2989</v>
      </c>
      <c r="B2990" t="str">
        <v>Công an xã Trung Minh  tỉnh Tuyên Quang</v>
      </c>
      <c r="C2990" t="str">
        <v>-</v>
      </c>
      <c r="D2990" t="str">
        <v>-</v>
      </c>
      <c r="E2990" t="str">
        <v/>
      </c>
      <c r="F2990" t="str">
        <v>-</v>
      </c>
      <c r="G2990" t="str">
        <v>-</v>
      </c>
    </row>
    <row r="2991">
      <c r="A2991">
        <v>2990</v>
      </c>
      <c r="B2991">
        <f>HYPERLINK("https://yenson.tuyenquang.gov.vn/", "UBND Ủy ban nhân dân xã Trung Minh  tỉnh Tuyên Quang")</f>
      </c>
      <c r="C2991" t="str">
        <v>https://yenson.tuyenquang.gov.vn/</v>
      </c>
      <c r="D2991" t="str">
        <v>-</v>
      </c>
      <c r="E2991" t="str">
        <v>-</v>
      </c>
      <c r="F2991" t="str">
        <v>-</v>
      </c>
      <c r="G2991" t="str">
        <v>-</v>
      </c>
    </row>
    <row r="2992">
      <c r="A2992">
        <v>2991</v>
      </c>
      <c r="B2992">
        <f>HYPERLINK("https://www.facebook.com/p/C%C3%B4ng-an-huy%E1%BB%87n-Y%C3%AAn-S%C6%A1n-t%E1%BB%89nh-Tuy%C3%AAn-Quang-100064458052002/", "Công an xã Chiêu Yên  tỉnh Tuyên Quang")</f>
      </c>
      <c r="C2992" t="str">
        <v>https://www.facebook.com/p/C%C3%B4ng-an-huy%E1%BB%87n-Y%C3%AAn-S%C6%A1n-t%E1%BB%89nh-Tuy%C3%AAn-Quang-100064458052002/</v>
      </c>
      <c r="D2992" t="str">
        <v>-</v>
      </c>
      <c r="E2992" t="str">
        <v/>
      </c>
      <c r="F2992" t="str">
        <v>-</v>
      </c>
      <c r="G2992" t="str">
        <v>-</v>
      </c>
    </row>
    <row r="2993">
      <c r="A2993">
        <v>2992</v>
      </c>
      <c r="B2993">
        <f>HYPERLINK("https://yenson.tuyenquang.gov.vn/", "UBND Ủy ban nhân dân xã Chiêu Yên  tỉnh Tuyên Quang")</f>
      </c>
      <c r="C2993" t="str">
        <v>https://yenson.tuyenquang.gov.vn/</v>
      </c>
      <c r="D2993" t="str">
        <v>-</v>
      </c>
      <c r="E2993" t="str">
        <v>-</v>
      </c>
      <c r="F2993" t="str">
        <v>-</v>
      </c>
      <c r="G2993" t="str">
        <v>-</v>
      </c>
    </row>
    <row r="2994">
      <c r="A2994">
        <v>2993</v>
      </c>
      <c r="B2994">
        <f>HYPERLINK("https://www.facebook.com/caxtrungtruc/", "Công an xã Trung Trực  tỉnh Tuyên Quang")</f>
      </c>
      <c r="C2994" t="str">
        <v>https://www.facebook.com/caxtrungtruc/</v>
      </c>
      <c r="D2994" t="str">
        <v>-</v>
      </c>
      <c r="E2994" t="str">
        <v/>
      </c>
      <c r="F2994" t="str">
        <v>-</v>
      </c>
      <c r="G2994" t="str">
        <v>-</v>
      </c>
    </row>
    <row r="2995">
      <c r="A2995">
        <v>2994</v>
      </c>
      <c r="B2995">
        <f>HYPERLINK("http://yenson.tuyenquang.gov.vn/vi/tin-bai/ngay-hoi-dai-doan-ket-toan-dan-toc-tai-thon-2-xa-trung-truc?type=NEWS&amp;id=131132", "UBND Ủy ban nhân dân xã Trung Trực  tỉnh Tuyên Quang")</f>
      </c>
      <c r="C2995" t="str">
        <v>http://yenson.tuyenquang.gov.vn/vi/tin-bai/ngay-hoi-dai-doan-ket-toan-dan-toc-tai-thon-2-xa-trung-truc?type=NEWS&amp;id=131132</v>
      </c>
      <c r="D2995" t="str">
        <v>-</v>
      </c>
      <c r="E2995" t="str">
        <v>-</v>
      </c>
      <c r="F2995" t="str">
        <v>-</v>
      </c>
      <c r="G2995" t="str">
        <v>-</v>
      </c>
    </row>
    <row r="2996">
      <c r="A2996">
        <v>2995</v>
      </c>
      <c r="B2996" t="str">
        <v>Công an xã Xuân Vân  tỉnh Tuyên Quang</v>
      </c>
      <c r="C2996" t="str">
        <v>-</v>
      </c>
      <c r="D2996" t="str">
        <v>-</v>
      </c>
      <c r="E2996" t="str">
        <v/>
      </c>
      <c r="F2996" t="str">
        <v>-</v>
      </c>
      <c r="G2996" t="str">
        <v>-</v>
      </c>
    </row>
    <row r="2997">
      <c r="A2997">
        <v>2996</v>
      </c>
      <c r="B2997">
        <f>HYPERLINK("http://yenson.tuyenquang.gov.vn/vi/tin-bai/le-cong-bo-xa-xuan-van-dat-chuan-nong-thon-moi?type=NEWS&amp;id=111749", "UBND Ủy ban nhân dân xã Xuân Vân  tỉnh Tuyên Quang")</f>
      </c>
      <c r="C2997" t="str">
        <v>http://yenson.tuyenquang.gov.vn/vi/tin-bai/le-cong-bo-xa-xuan-van-dat-chuan-nong-thon-moi?type=NEWS&amp;id=111749</v>
      </c>
      <c r="D2997" t="str">
        <v>-</v>
      </c>
      <c r="E2997" t="str">
        <v>-</v>
      </c>
      <c r="F2997" t="str">
        <v>-</v>
      </c>
      <c r="G2997" t="str">
        <v>-</v>
      </c>
    </row>
    <row r="2998">
      <c r="A2998">
        <v>2997</v>
      </c>
      <c r="B2998">
        <f>HYPERLINK("https://www.facebook.com/Phucninhyensontuyenquang/", "Công an xã Phúc Ninh  tỉnh Tuyên Quang")</f>
      </c>
      <c r="C2998" t="str">
        <v>https://www.facebook.com/Phucninhyensontuyenquang/</v>
      </c>
      <c r="D2998" t="str">
        <v>-</v>
      </c>
      <c r="E2998" t="str">
        <v/>
      </c>
      <c r="F2998" t="str">
        <v>-</v>
      </c>
      <c r="G2998" t="str">
        <v>-</v>
      </c>
    </row>
    <row r="2999">
      <c r="A2999">
        <v>2998</v>
      </c>
      <c r="B2999">
        <f>HYPERLINK("https://phucninh.tuyenquang.gov.vn/", "UBND Ủy ban nhân dân xã Phúc Ninh  tỉnh Tuyên Quang")</f>
      </c>
      <c r="C2999" t="str">
        <v>https://phucninh.tuyenquang.gov.vn/</v>
      </c>
      <c r="D2999" t="str">
        <v>-</v>
      </c>
      <c r="E2999" t="str">
        <v>-</v>
      </c>
      <c r="F2999" t="str">
        <v>-</v>
      </c>
      <c r="G2999" t="str">
        <v>-</v>
      </c>
    </row>
    <row r="3000">
      <c r="A3000">
        <v>2999</v>
      </c>
      <c r="B3000" t="str">
        <v>Công an xã Hùng Lợi  tỉnh Tuyên Quang</v>
      </c>
      <c r="C3000" t="str">
        <v>-</v>
      </c>
      <c r="D3000" t="str">
        <v>-</v>
      </c>
      <c r="E3000" t="str">
        <v/>
      </c>
      <c r="F3000" t="str">
        <v>-</v>
      </c>
      <c r="G3000" t="str">
        <v>-</v>
      </c>
    </row>
    <row r="3001">
      <c r="A3001">
        <v>3000</v>
      </c>
      <c r="B3001">
        <f>HYPERLINK("http://yenson.tuyenquang.gov.vn/vi/tin-bai/pho-chu-tich-uy-ban-mat-tran-to-quoc-tinh-du-ngay-hoi-dai-doan-ket-toan-dan-toc-nam-2024-tai-thon-lay-xa-hung-loi?type=NEWS&amp;id=130775", "UBND Ủy ban nhân dân xã Hùng Lợi  tỉnh Tuyên Quang")</f>
      </c>
      <c r="C3001" t="str">
        <v>http://yenson.tuyenquang.gov.vn/vi/tin-bai/pho-chu-tich-uy-ban-mat-tran-to-quoc-tinh-du-ngay-hoi-dai-doan-ket-toan-dan-toc-nam-2024-tai-thon-lay-xa-hung-loi?type=NEWS&amp;id=130775</v>
      </c>
      <c r="D3001" t="str">
        <v>-</v>
      </c>
      <c r="E3001" t="str">
        <v>-</v>
      </c>
      <c r="F3001" t="str">
        <v>-</v>
      </c>
      <c r="G3001" t="str">
        <v>-</v>
      </c>
    </row>
    <row r="3002">
      <c r="A3002">
        <v>3001</v>
      </c>
      <c r="B3002">
        <f>HYPERLINK("https://www.facebook.com/p/C%C3%B4ng-an-huy%E1%BB%87n-Y%C3%AAn-S%C6%A1n-t%E1%BB%89nh-Tuy%C3%AAn-Quang-100064458052002/", "Công an xã Trung Sơn  tỉnh Tuyên Quang")</f>
      </c>
      <c r="C3002" t="str">
        <v>https://www.facebook.com/p/C%C3%B4ng-an-huy%E1%BB%87n-Y%C3%AAn-S%C6%A1n-t%E1%BB%89nh-Tuy%C3%AAn-Quang-100064458052002/</v>
      </c>
      <c r="D3002" t="str">
        <v>-</v>
      </c>
      <c r="E3002" t="str">
        <v/>
      </c>
      <c r="F3002" t="str">
        <v>-</v>
      </c>
      <c r="G3002" t="str">
        <v>-</v>
      </c>
    </row>
    <row r="3003">
      <c r="A3003">
        <v>3002</v>
      </c>
      <c r="B3003">
        <f>HYPERLINK("http://www.tuyenquang.gov.vn/vi/post/von-tin-dung-thuc-day-giam-ngheo-ben-vung-o-trung-son?type=NEWS&amp;id=124681", "UBND Ủy ban nhân dân xã Trung Sơn  tỉnh Tuyên Quang")</f>
      </c>
      <c r="C3003" t="str">
        <v>http://www.tuyenquang.gov.vn/vi/post/von-tin-dung-thuc-day-giam-ngheo-ben-vung-o-trung-son?type=NEWS&amp;id=124681</v>
      </c>
      <c r="D3003" t="str">
        <v>-</v>
      </c>
      <c r="E3003" t="str">
        <v>-</v>
      </c>
      <c r="F3003" t="str">
        <v>-</v>
      </c>
      <c r="G3003" t="str">
        <v>-</v>
      </c>
    </row>
    <row r="3004">
      <c r="A3004">
        <v>3003</v>
      </c>
      <c r="B3004" t="str">
        <v>Công an xã Tân Tiến  tỉnh Tuyên Quang</v>
      </c>
      <c r="C3004" t="str">
        <v>-</v>
      </c>
      <c r="D3004" t="str">
        <v>-</v>
      </c>
      <c r="E3004" t="str">
        <v/>
      </c>
      <c r="F3004" t="str">
        <v>-</v>
      </c>
      <c r="G3004" t="str">
        <v>-</v>
      </c>
    </row>
    <row r="3005">
      <c r="A3005">
        <v>3004</v>
      </c>
      <c r="B3005">
        <f>HYPERLINK("https://yenson.tuyenquang.gov.vn/", "UBND Ủy ban nhân dân xã Tân Tiến  tỉnh Tuyên Quang")</f>
      </c>
      <c r="C3005" t="str">
        <v>https://yenson.tuyenquang.gov.vn/</v>
      </c>
      <c r="D3005" t="str">
        <v>-</v>
      </c>
      <c r="E3005" t="str">
        <v>-</v>
      </c>
      <c r="F3005" t="str">
        <v>-</v>
      </c>
      <c r="G3005" t="str">
        <v>-</v>
      </c>
    </row>
    <row r="3006">
      <c r="A3006">
        <v>3005</v>
      </c>
      <c r="B3006">
        <f>HYPERLINK("https://www.facebook.com/p/C%C3%B4ng-an-x%C3%A3-T%E1%BB%A9-Qu%E1%BA%ADn-huy%E1%BB%87n-Y%C3%AAn-S%C6%A1n-t%E1%BB%89nh-Tuy%C3%AAn-Quang-100070142314766/", "Công an xã Tứ quận  tỉnh Tuyên Quang")</f>
      </c>
      <c r="C3006" t="str">
        <v>https://www.facebook.com/p/C%C3%B4ng-an-x%C3%A3-T%E1%BB%A9-Qu%E1%BA%ADn-huy%E1%BB%87n-Y%C3%AAn-S%C6%A1n-t%E1%BB%89nh-Tuy%C3%AAn-Quang-100070142314766/</v>
      </c>
      <c r="D3006" t="str">
        <v>-</v>
      </c>
      <c r="E3006" t="str">
        <v/>
      </c>
      <c r="F3006" t="str">
        <v>-</v>
      </c>
      <c r="G3006" t="str">
        <v>-</v>
      </c>
    </row>
    <row r="3007">
      <c r="A3007">
        <v>3006</v>
      </c>
      <c r="B3007">
        <f>HYPERLINK("https://yenson.tuyenquang.gov.vn/", "UBND Ủy ban nhân dân xã Tứ quận  tỉnh Tuyên Quang")</f>
      </c>
      <c r="C3007" t="str">
        <v>https://yenson.tuyenquang.gov.vn/</v>
      </c>
      <c r="D3007" t="str">
        <v>-</v>
      </c>
      <c r="E3007" t="str">
        <v>-</v>
      </c>
      <c r="F3007" t="str">
        <v>-</v>
      </c>
      <c r="G3007" t="str">
        <v>-</v>
      </c>
    </row>
    <row r="3008">
      <c r="A3008">
        <v>3007</v>
      </c>
      <c r="B3008" t="str">
        <v>Công an xã Đạo Viện  tỉnh Tuyên Quang</v>
      </c>
      <c r="C3008" t="str">
        <v>-</v>
      </c>
      <c r="D3008" t="str">
        <v>-</v>
      </c>
      <c r="E3008" t="str">
        <v/>
      </c>
      <c r="F3008" t="str">
        <v>-</v>
      </c>
      <c r="G3008" t="str">
        <v>-</v>
      </c>
    </row>
    <row r="3009">
      <c r="A3009">
        <v>3008</v>
      </c>
      <c r="B3009">
        <f>HYPERLINK("https://m.hdndtuyenquang.gov.vn/dai-bieu-voi-cu-tri/tra-loi-y-kien/yen-son/xa-dao-vien.html", "UBND Ủy ban nhân dân xã Đạo Viện  tỉnh Tuyên Quang")</f>
      </c>
      <c r="C3009" t="str">
        <v>https://m.hdndtuyenquang.gov.vn/dai-bieu-voi-cu-tri/tra-loi-y-kien/yen-son/xa-dao-vien.html</v>
      </c>
      <c r="D3009" t="str">
        <v>-</v>
      </c>
      <c r="E3009" t="str">
        <v>-</v>
      </c>
      <c r="F3009" t="str">
        <v>-</v>
      </c>
      <c r="G3009" t="str">
        <v>-</v>
      </c>
    </row>
    <row r="3010">
      <c r="A3010">
        <v>3009</v>
      </c>
      <c r="B3010">
        <f>HYPERLINK("https://www.facebook.com/p/C%C3%B4ng-an-x%C3%A3-T%C3%A2n-Long-huy%E1%BB%87n-Y%C3%AAn-S%C6%A1n-T%E1%BB%89nh-Tuy%C3%AAn-Quang-100080182350116/", "Công an xã Tân Long  tỉnh Tuyên Quang")</f>
      </c>
      <c r="C3010" t="str">
        <v>https://www.facebook.com/p/C%C3%B4ng-an-x%C3%A3-T%C3%A2n-Long-huy%E1%BB%87n-Y%C3%AAn-S%C6%A1n-T%E1%BB%89nh-Tuy%C3%AAn-Quang-100080182350116/</v>
      </c>
      <c r="D3010" t="str">
        <v>-</v>
      </c>
      <c r="E3010" t="str">
        <v/>
      </c>
      <c r="F3010" t="str">
        <v>-</v>
      </c>
      <c r="G3010" t="str">
        <v>-</v>
      </c>
    </row>
    <row r="3011">
      <c r="A3011">
        <v>3010</v>
      </c>
      <c r="B3011">
        <f>HYPERLINK("http://tanlong.tuyenquang.gov.vn/vi/tin-bai/uy-ban-nhan-dan-xa-tan-long-huyen-yen-son-tinh-tuyen-quang-to-chuc-ngay-hoi-toan-dan-bao-ve-an-ninh-to-quoc-ngay-1682024?type=NEWS&amp;id=123167", "UBND Ủy ban nhân dân xã Tân Long  tỉnh Tuyên Quang")</f>
      </c>
      <c r="C3011" t="str">
        <v>http://tanlong.tuyenquang.gov.vn/vi/tin-bai/uy-ban-nhan-dan-xa-tan-long-huyen-yen-son-tinh-tuyen-quang-to-chuc-ngay-hoi-toan-dan-bao-ve-an-ninh-to-quoc-ngay-1682024?type=NEWS&amp;id=123167</v>
      </c>
      <c r="D3011" t="str">
        <v>-</v>
      </c>
      <c r="E3011" t="str">
        <v>-</v>
      </c>
      <c r="F3011" t="str">
        <v>-</v>
      </c>
      <c r="G3011" t="str">
        <v>-</v>
      </c>
    </row>
    <row r="3012">
      <c r="A3012">
        <v>3011</v>
      </c>
      <c r="B3012" t="str">
        <v>Công an xã Thắng Quân  tỉnh Tuyên Quang</v>
      </c>
      <c r="C3012" t="str">
        <v>-</v>
      </c>
      <c r="D3012" t="str">
        <v>-</v>
      </c>
      <c r="E3012" t="str">
        <v/>
      </c>
      <c r="F3012" t="str">
        <v>-</v>
      </c>
      <c r="G3012" t="str">
        <v>-</v>
      </c>
    </row>
    <row r="3013">
      <c r="A3013">
        <v>3012</v>
      </c>
      <c r="B3013">
        <f>HYPERLINK("http://congbao.tuyenquang.gov.vn/van-ban/noi-ban-hanh/uy-ban-nhan-dan-tinh/trang-340.html", "UBND Ủy ban nhân dân xã Thắng Quân  tỉnh Tuyên Quang")</f>
      </c>
      <c r="C3013" t="str">
        <v>http://congbao.tuyenquang.gov.vn/van-ban/noi-ban-hanh/uy-ban-nhan-dan-tinh/trang-340.html</v>
      </c>
      <c r="D3013" t="str">
        <v>-</v>
      </c>
      <c r="E3013" t="str">
        <v>-</v>
      </c>
      <c r="F3013" t="str">
        <v>-</v>
      </c>
      <c r="G3013" t="str">
        <v>-</v>
      </c>
    </row>
    <row r="3014">
      <c r="A3014">
        <v>3013</v>
      </c>
      <c r="B3014" t="str">
        <v>Công an xã Kim Quan  tỉnh Tuyên Quang</v>
      </c>
      <c r="C3014" t="str">
        <v>-</v>
      </c>
      <c r="D3014" t="str">
        <v>-</v>
      </c>
      <c r="E3014" t="str">
        <v/>
      </c>
      <c r="F3014" t="str">
        <v>-</v>
      </c>
      <c r="G3014" t="str">
        <v>-</v>
      </c>
    </row>
    <row r="3015">
      <c r="A3015">
        <v>3014</v>
      </c>
      <c r="B3015">
        <f>HYPERLINK("https://yenson.tuyenquang.gov.vn/", "UBND Ủy ban nhân dân xã Kim Quan  tỉnh Tuyên Quang")</f>
      </c>
      <c r="C3015" t="str">
        <v>https://yenson.tuyenquang.gov.vn/</v>
      </c>
      <c r="D3015" t="str">
        <v>-</v>
      </c>
      <c r="E3015" t="str">
        <v>-</v>
      </c>
      <c r="F3015" t="str">
        <v>-</v>
      </c>
      <c r="G3015" t="str">
        <v>-</v>
      </c>
    </row>
    <row r="3016">
      <c r="A3016">
        <v>3015</v>
      </c>
      <c r="B3016" t="str">
        <v>Công an xã Lang Quán  tỉnh Tuyên Quang</v>
      </c>
      <c r="C3016" t="str">
        <v>-</v>
      </c>
      <c r="D3016" t="str">
        <v>-</v>
      </c>
      <c r="E3016" t="str">
        <v/>
      </c>
      <c r="F3016" t="str">
        <v>-</v>
      </c>
      <c r="G3016" t="str">
        <v>-</v>
      </c>
    </row>
    <row r="3017">
      <c r="A3017">
        <v>3016</v>
      </c>
      <c r="B3017">
        <f>HYPERLINK("https://yenson.tuyenquang.gov.vn/", "UBND Ủy ban nhân dân xã Lang Quán  tỉnh Tuyên Quang")</f>
      </c>
      <c r="C3017" t="str">
        <v>https://yenson.tuyenquang.gov.vn/</v>
      </c>
      <c r="D3017" t="str">
        <v>-</v>
      </c>
      <c r="E3017" t="str">
        <v>-</v>
      </c>
      <c r="F3017" t="str">
        <v>-</v>
      </c>
      <c r="G3017" t="str">
        <v>-</v>
      </c>
    </row>
    <row r="3018">
      <c r="A3018">
        <v>3017</v>
      </c>
      <c r="B3018">
        <f>HYPERLINK("https://www.facebook.com/p/Tu%E1%BB%95i-tr%E1%BA%BB-C%C3%B4ng-an-Th%C3%A0nh-ph%E1%BB%91-V%C4%A9nh-Y%C3%AAn-100066497717181/?locale=nl_BE", "Công an xã Phú Thịnh  tỉnh Tuyên Quang")</f>
      </c>
      <c r="C3018" t="str">
        <v>https://www.facebook.com/p/Tu%E1%BB%95i-tr%E1%BA%BB-C%C3%B4ng-an-Th%C3%A0nh-ph%E1%BB%91-V%C4%A9nh-Y%C3%AAn-100066497717181/?locale=nl_BE</v>
      </c>
      <c r="D3018" t="str">
        <v>-</v>
      </c>
      <c r="E3018" t="str">
        <v/>
      </c>
      <c r="F3018" t="str">
        <v>-</v>
      </c>
      <c r="G3018" t="str">
        <v>-</v>
      </c>
    </row>
    <row r="3019">
      <c r="A3019">
        <v>3018</v>
      </c>
      <c r="B3019">
        <f>HYPERLINK("https://phuthinh.daitu.thainguyen.gov.vn/", "UBND Ủy ban nhân dân xã Phú Thịnh  tỉnh Tuyên Quang")</f>
      </c>
      <c r="C3019" t="str">
        <v>https://phuthinh.daitu.thainguyen.gov.vn/</v>
      </c>
      <c r="D3019" t="str">
        <v>-</v>
      </c>
      <c r="E3019" t="str">
        <v>-</v>
      </c>
      <c r="F3019" t="str">
        <v>-</v>
      </c>
      <c r="G3019" t="str">
        <v>-</v>
      </c>
    </row>
    <row r="3020">
      <c r="A3020">
        <v>3019</v>
      </c>
      <c r="B3020">
        <f>HYPERLINK("https://www.facebook.com/CAXCongDa/", "Công an xã Công Đa  tỉnh Tuyên Quang")</f>
      </c>
      <c r="C3020" t="str">
        <v>https://www.facebook.com/CAXCongDa/</v>
      </c>
      <c r="D3020" t="str">
        <v>-</v>
      </c>
      <c r="E3020" t="str">
        <v/>
      </c>
      <c r="F3020" t="str">
        <v>-</v>
      </c>
      <c r="G3020" t="str">
        <v>-</v>
      </c>
    </row>
    <row r="3021">
      <c r="A3021">
        <v>3020</v>
      </c>
      <c r="B3021">
        <f>HYPERLINK("https://yenson.tuyenquang.gov.vn/", "UBND Ủy ban nhân dân xã Công Đa  tỉnh Tuyên Quang")</f>
      </c>
      <c r="C3021" t="str">
        <v>https://yenson.tuyenquang.gov.vn/</v>
      </c>
      <c r="D3021" t="str">
        <v>-</v>
      </c>
      <c r="E3021" t="str">
        <v>-</v>
      </c>
      <c r="F3021" t="str">
        <v>-</v>
      </c>
      <c r="G3021" t="str">
        <v>-</v>
      </c>
    </row>
    <row r="3022">
      <c r="A3022">
        <v>3021</v>
      </c>
      <c r="B3022">
        <f>HYPERLINK("https://www.facebook.com/p/C%C3%B4ng-an-x%C3%A3-Trung-M%C3%B4n-huy%E1%BB%87n-Y%C3%AAn-S%C6%A1n-t%E1%BB%89nh-Tuy%C3%AAn-Quang-100083239305653/?locale=vi_VN", "Công an xã Trung Môn  tỉnh Tuyên Quang")</f>
      </c>
      <c r="C3022" t="str">
        <v>https://www.facebook.com/p/C%C3%B4ng-an-x%C3%A3-Trung-M%C3%B4n-huy%E1%BB%87n-Y%C3%AAn-S%C6%A1n-t%E1%BB%89nh-Tuy%C3%AAn-Quang-100083239305653/?locale=vi_VN</v>
      </c>
      <c r="D3022" t="str">
        <v>-</v>
      </c>
      <c r="E3022" t="str">
        <v/>
      </c>
      <c r="F3022" t="str">
        <v>-</v>
      </c>
      <c r="G3022" t="str">
        <v>-</v>
      </c>
    </row>
    <row r="3023">
      <c r="A3023">
        <v>3022</v>
      </c>
      <c r="B3023">
        <f>HYPERLINK("http://trungmon.tuyenquang.gov.vn/vi/tin-bai/uy-ban-nhan-dan-xa-trung-mon-to-chuc-hoi-nghi-xin-y-kien-cac-to-chuc-ca-ve-du-thao-nhiem-vu-do-an-quy-hoach-chung-do-thi-moi-trung-mon-huyen-yen-son-tinh-tuyen-quang-den-nam-2040?type=NEWS&amp;id=112631", "UBND Ủy ban nhân dân xã Trung Môn  tỉnh Tuyên Quang")</f>
      </c>
      <c r="C3023" t="str">
        <v>http://trungmon.tuyenquang.gov.vn/vi/tin-bai/uy-ban-nhan-dan-xa-trung-mon-to-chuc-hoi-nghi-xin-y-kien-cac-to-chuc-ca-ve-du-thao-nhiem-vu-do-an-quy-hoach-chung-do-thi-moi-trung-mon-huyen-yen-son-tinh-tuyen-quang-den-nam-2040?type=NEWS&amp;id=112631</v>
      </c>
      <c r="D3023" t="str">
        <v>-</v>
      </c>
      <c r="E3023" t="str">
        <v>-</v>
      </c>
      <c r="F3023" t="str">
        <v>-</v>
      </c>
      <c r="G3023" t="str">
        <v>-</v>
      </c>
    </row>
    <row r="3024">
      <c r="A3024">
        <v>3023</v>
      </c>
      <c r="B3024">
        <f>HYPERLINK("https://www.facebook.com/conganxachanson/", "Công an xã Chân Sơn  tỉnh Tuyên Quang")</f>
      </c>
      <c r="C3024" t="str">
        <v>https://www.facebook.com/conganxachanson/</v>
      </c>
      <c r="D3024" t="str">
        <v>-</v>
      </c>
      <c r="E3024" t="str">
        <v/>
      </c>
      <c r="F3024" t="str">
        <v>-</v>
      </c>
      <c r="G3024" t="str">
        <v>-</v>
      </c>
    </row>
    <row r="3025">
      <c r="A3025">
        <v>3024</v>
      </c>
      <c r="B3025">
        <f>HYPERLINK("https://yenson.tuyenquang.gov.vn/", "UBND Ủy ban nhân dân xã Chân Sơn  tỉnh Tuyên Quang")</f>
      </c>
      <c r="C3025" t="str">
        <v>https://yenson.tuyenquang.gov.vn/</v>
      </c>
      <c r="D3025" t="str">
        <v>-</v>
      </c>
      <c r="E3025" t="str">
        <v>-</v>
      </c>
      <c r="F3025" t="str">
        <v>-</v>
      </c>
      <c r="G3025" t="str">
        <v>-</v>
      </c>
    </row>
    <row r="3026">
      <c r="A3026">
        <v>3025</v>
      </c>
      <c r="B3026">
        <f>HYPERLINK("https://www.facebook.com/p/Tu%E1%BB%95i-tr%E1%BA%BB-C%C3%B4ng-an-Th%C3%A1i-B%C3%ACnh-100068113789461/", "Công an xã Thái Bình  tỉnh Tuyên Quang")</f>
      </c>
      <c r="C3026" t="str">
        <v>https://www.facebook.com/p/Tu%E1%BB%95i-tr%E1%BA%BB-C%C3%B4ng-an-Th%C3%A1i-B%C3%ACnh-100068113789461/</v>
      </c>
      <c r="D3026" t="str">
        <v>-</v>
      </c>
      <c r="E3026" t="str">
        <v/>
      </c>
      <c r="F3026" t="str">
        <v>-</v>
      </c>
      <c r="G3026" t="str">
        <v>-</v>
      </c>
    </row>
    <row r="3027">
      <c r="A3027">
        <v>3026</v>
      </c>
      <c r="B3027">
        <f>HYPERLINK("https://thaithuy.thaibinh.gov.vn/", "UBND Ủy ban nhân dân xã Thái Bình  tỉnh Tuyên Quang")</f>
      </c>
      <c r="C3027" t="str">
        <v>https://thaithuy.thaibinh.gov.vn/</v>
      </c>
      <c r="D3027" t="str">
        <v>-</v>
      </c>
      <c r="E3027" t="str">
        <v>-</v>
      </c>
      <c r="F3027" t="str">
        <v>-</v>
      </c>
      <c r="G3027" t="str">
        <v>-</v>
      </c>
    </row>
    <row r="3028">
      <c r="A3028">
        <v>3027</v>
      </c>
      <c r="B3028" t="str">
        <v>Công an xã Kim Phú  tỉnh Tuyên Quang</v>
      </c>
      <c r="C3028" t="str">
        <v>-</v>
      </c>
      <c r="D3028" t="str">
        <v>-</v>
      </c>
      <c r="E3028" t="str">
        <v/>
      </c>
      <c r="F3028" t="str">
        <v>-</v>
      </c>
      <c r="G3028" t="str">
        <v>-</v>
      </c>
    </row>
    <row r="3029">
      <c r="A3029">
        <v>3028</v>
      </c>
      <c r="B3029">
        <f>HYPERLINK("https://thanhpho.tuyenquang.gov.vn/", "UBND Ủy ban nhân dân xã Kim Phú  tỉnh Tuyên Quang")</f>
      </c>
      <c r="C3029" t="str">
        <v>https://thanhpho.tuyenquang.gov.vn/</v>
      </c>
      <c r="D3029" t="str">
        <v>-</v>
      </c>
      <c r="E3029" t="str">
        <v>-</v>
      </c>
      <c r="F3029" t="str">
        <v>-</v>
      </c>
      <c r="G3029" t="str">
        <v>-</v>
      </c>
    </row>
    <row r="3030">
      <c r="A3030">
        <v>3029</v>
      </c>
      <c r="B3030">
        <f>HYPERLINK("https://www.facebook.com/p/C%C3%B4ng-an-huy%E1%BB%87n-Y%C3%AAn-S%C6%A1n-t%E1%BB%89nh-Tuy%C3%AAn-Quang-100064458052002/", "Công an xã Tiến Bộ  tỉnh Tuyên Quang")</f>
      </c>
      <c r="C3030" t="str">
        <v>https://www.facebook.com/p/C%C3%B4ng-an-huy%E1%BB%87n-Y%C3%AAn-S%C6%A1n-t%E1%BB%89nh-Tuy%C3%AAn-Quang-100064458052002/</v>
      </c>
      <c r="D3030" t="str">
        <v>-</v>
      </c>
      <c r="E3030" t="str">
        <v/>
      </c>
      <c r="F3030" t="str">
        <v>-</v>
      </c>
      <c r="G3030" t="str">
        <v>-</v>
      </c>
    </row>
    <row r="3031">
      <c r="A3031">
        <v>3030</v>
      </c>
      <c r="B3031">
        <f>HYPERLINK("https://yenson.tuyenquang.gov.vn/", "UBND Ủy ban nhân dân xã Tiến Bộ  tỉnh Tuyên Quang")</f>
      </c>
      <c r="C3031" t="str">
        <v>https://yenson.tuyenquang.gov.vn/</v>
      </c>
      <c r="D3031" t="str">
        <v>-</v>
      </c>
      <c r="E3031" t="str">
        <v>-</v>
      </c>
      <c r="F3031" t="str">
        <v>-</v>
      </c>
      <c r="G3031" t="str">
        <v>-</v>
      </c>
    </row>
    <row r="3032">
      <c r="A3032">
        <v>3031</v>
      </c>
      <c r="B3032" t="str">
        <v>Công an xã Mỹ Bằng  tỉnh Tuyên Quang</v>
      </c>
      <c r="C3032" t="str">
        <v>-</v>
      </c>
      <c r="D3032" t="str">
        <v>-</v>
      </c>
      <c r="E3032" t="str">
        <v/>
      </c>
      <c r="F3032" t="str">
        <v>-</v>
      </c>
      <c r="G3032" t="str">
        <v>-</v>
      </c>
    </row>
    <row r="3033">
      <c r="A3033">
        <v>3032</v>
      </c>
      <c r="B3033">
        <f>HYPERLINK("https://yenson.tuyenquang.gov.vn/", "UBND Ủy ban nhân dân xã Mỹ Bằng  tỉnh Tuyên Quang")</f>
      </c>
      <c r="C3033" t="str">
        <v>https://yenson.tuyenquang.gov.vn/</v>
      </c>
      <c r="D3033" t="str">
        <v>-</v>
      </c>
      <c r="E3033" t="str">
        <v>-</v>
      </c>
      <c r="F3033" t="str">
        <v>-</v>
      </c>
      <c r="G3033" t="str">
        <v>-</v>
      </c>
    </row>
    <row r="3034">
      <c r="A3034">
        <v>3033</v>
      </c>
      <c r="B3034">
        <f>HYPERLINK("https://www.facebook.com/p/C%C3%B4ng-an-x%C3%A3-Ph%C3%BA-L%C3%A2m-100081836477317/", "Công an xã Phú Lâm  tỉnh Tuyên Quang")</f>
      </c>
      <c r="C3034" t="str">
        <v>https://www.facebook.com/p/C%C3%B4ng-an-x%C3%A3-Ph%C3%BA-L%C3%A2m-100081836477317/</v>
      </c>
      <c r="D3034" t="str">
        <v>-</v>
      </c>
      <c r="E3034" t="str">
        <v/>
      </c>
      <c r="F3034" t="str">
        <v>-</v>
      </c>
      <c r="G3034" t="str">
        <v>-</v>
      </c>
    </row>
    <row r="3035">
      <c r="A3035">
        <v>3034</v>
      </c>
      <c r="B3035">
        <f>HYPERLINK("https://phulam.phutan.angiang.gov.vn/", "UBND Ủy ban nhân dân xã Phú Lâm  tỉnh Tuyên Quang")</f>
      </c>
      <c r="C3035" t="str">
        <v>https://phulam.phutan.angiang.gov.vn/</v>
      </c>
      <c r="D3035" t="str">
        <v>-</v>
      </c>
      <c r="E3035" t="str">
        <v>-</v>
      </c>
      <c r="F3035" t="str">
        <v>-</v>
      </c>
      <c r="G3035" t="str">
        <v>-</v>
      </c>
    </row>
    <row r="3036">
      <c r="A3036">
        <v>3035</v>
      </c>
      <c r="B3036">
        <f>HYPERLINK("https://www.facebook.com/p/C%C3%B4ng-an-huy%E1%BB%87n-Y%C3%AAn-S%C6%A1n-t%E1%BB%89nh-Tuy%C3%AAn-Quang-100064458052002/", "Công an xã Hoàng Khai  tỉnh Tuyên Quang")</f>
      </c>
      <c r="C3036" t="str">
        <v>https://www.facebook.com/p/C%C3%B4ng-an-huy%E1%BB%87n-Y%C3%AAn-S%C6%A1n-t%E1%BB%89nh-Tuy%C3%AAn-Quang-100064458052002/</v>
      </c>
      <c r="D3036" t="str">
        <v>-</v>
      </c>
      <c r="E3036" t="str">
        <v/>
      </c>
      <c r="F3036" t="str">
        <v>-</v>
      </c>
      <c r="G3036" t="str">
        <v>-</v>
      </c>
    </row>
    <row r="3037">
      <c r="A3037">
        <v>3036</v>
      </c>
      <c r="B3037">
        <f>HYPERLINK("http://congbao.tuyenquang.gov.vn/van-ban/noi-ban-hanh/uy-ban-nhan-dan-tinh/trang-334.html", "UBND Ủy ban nhân dân xã Hoàng Khai  tỉnh Tuyên Quang")</f>
      </c>
      <c r="C3037" t="str">
        <v>http://congbao.tuyenquang.gov.vn/van-ban/noi-ban-hanh/uy-ban-nhan-dan-tinh/trang-334.html</v>
      </c>
      <c r="D3037" t="str">
        <v>-</v>
      </c>
      <c r="E3037" t="str">
        <v>-</v>
      </c>
      <c r="F3037" t="str">
        <v>-</v>
      </c>
      <c r="G3037" t="str">
        <v>-</v>
      </c>
    </row>
    <row r="3038">
      <c r="A3038">
        <v>3037</v>
      </c>
      <c r="B3038">
        <f>HYPERLINK("https://www.facebook.com/p/C%C3%B4ng-an-x%C3%A3-Nh%E1%BB%AF-H%C3%A1n-huy%E1%BB%87n-Y%C3%AAn-S%C6%A1n-t%E1%BB%89nh-Tuy%C3%AAn-Quang-100070859227515/", "Công an xã Nhữ Hán  tỉnh Tuyên Quang")</f>
      </c>
      <c r="C3038" t="str">
        <v>https://www.facebook.com/p/C%C3%B4ng-an-x%C3%A3-Nh%E1%BB%AF-H%C3%A1n-huy%E1%BB%87n-Y%C3%AAn-S%C6%A1n-t%E1%BB%89nh-Tuy%C3%AAn-Quang-100070859227515/</v>
      </c>
      <c r="D3038" t="str">
        <v>-</v>
      </c>
      <c r="E3038" t="str">
        <v/>
      </c>
      <c r="F3038" t="str">
        <v>-</v>
      </c>
      <c r="G3038" t="str">
        <v>-</v>
      </c>
    </row>
    <row r="3039">
      <c r="A3039">
        <v>3038</v>
      </c>
      <c r="B3039">
        <f>HYPERLINK("http://www.tuyenquang.gov.vn/vi/post/thong-bao-ket-luan-cua-pho-chu-tich-uy-ban-nhan-dan-tinh-nguyen-manh-tuan-tai-cuoc-hop-ve-thao-go-kho-khan-vuong-mac-doi-voi-du-an-khu-dan-cu-sinh-thai-mimosa-tai-xa-nhu-khe-nhu-han-huyen-yen-son?type=POSTED_CONTENT&amp;id=40569", "UBND Ủy ban nhân dân xã Nhữ Hán  tỉnh Tuyên Quang")</f>
      </c>
      <c r="C3039" t="str">
        <v>http://www.tuyenquang.gov.vn/vi/post/thong-bao-ket-luan-cua-pho-chu-tich-uy-ban-nhan-dan-tinh-nguyen-manh-tuan-tai-cuoc-hop-ve-thao-go-kho-khan-vuong-mac-doi-voi-du-an-khu-dan-cu-sinh-thai-mimosa-tai-xa-nhu-khe-nhu-han-huyen-yen-son?type=POSTED_CONTENT&amp;id=40569</v>
      </c>
      <c r="D3039" t="str">
        <v>-</v>
      </c>
      <c r="E3039" t="str">
        <v>-</v>
      </c>
      <c r="F3039" t="str">
        <v>-</v>
      </c>
      <c r="G3039" t="str">
        <v>-</v>
      </c>
    </row>
    <row r="3040">
      <c r="A3040">
        <v>3039</v>
      </c>
      <c r="B3040">
        <f>HYPERLINK("https://www.facebook.com/CAXNHUKHE/", "Công an xã Nhữ Khê  tỉnh Tuyên Quang")</f>
      </c>
      <c r="C3040" t="str">
        <v>https://www.facebook.com/CAXNHUKHE/</v>
      </c>
      <c r="D3040" t="str">
        <v>-</v>
      </c>
      <c r="E3040" t="str">
        <v/>
      </c>
      <c r="F3040" t="str">
        <v>-</v>
      </c>
      <c r="G3040" t="str">
        <v>-</v>
      </c>
    </row>
    <row r="3041">
      <c r="A3041">
        <v>3040</v>
      </c>
      <c r="B3041">
        <f>HYPERLINK("http://www.tuyenquang.gov.vn/vi/post/thong-bao-ket-luan-cua-pho-chu-tich-uy-ban-nhan-dan-tinh-nguyen-manh-tuan-tai-cuoc-hop-ve-thao-go-kho-khan-vuong-mac-doi-voi-du-an-khu-dan-cu-sinh-thai-mimosa-tai-xa-nhu-khe-nhu-han-huyen-yen-son?type=POSTED_CONTENT&amp;id=40569", "UBND Ủy ban nhân dân xã Nhữ Khê  tỉnh Tuyên Quang")</f>
      </c>
      <c r="C3041" t="str">
        <v>http://www.tuyenquang.gov.vn/vi/post/thong-bao-ket-luan-cua-pho-chu-tich-uy-ban-nhan-dan-tinh-nguyen-manh-tuan-tai-cuoc-hop-ve-thao-go-kho-khan-vuong-mac-doi-voi-du-an-khu-dan-cu-sinh-thai-mimosa-tai-xa-nhu-khe-nhu-han-huyen-yen-son?type=POSTED_CONTENT&amp;id=40569</v>
      </c>
      <c r="D3041" t="str">
        <v>-</v>
      </c>
      <c r="E3041" t="str">
        <v>-</v>
      </c>
      <c r="F3041" t="str">
        <v>-</v>
      </c>
      <c r="G3041" t="str">
        <v>-</v>
      </c>
    </row>
    <row r="3042">
      <c r="A3042">
        <v>3041</v>
      </c>
      <c r="B3042">
        <f>HYPERLINK("https://www.facebook.com/congantinhtuyenquang/?locale=zh_CN", "Công an xã Đội Bình  tỉnh Tuyên Quang")</f>
      </c>
      <c r="C3042" t="str">
        <v>https://www.facebook.com/congantinhtuyenquang/?locale=zh_CN</v>
      </c>
      <c r="D3042" t="str">
        <v>-</v>
      </c>
      <c r="E3042" t="str">
        <v/>
      </c>
      <c r="F3042" t="str">
        <v>-</v>
      </c>
      <c r="G3042" t="str">
        <v>-</v>
      </c>
    </row>
    <row r="3043">
      <c r="A3043">
        <v>3042</v>
      </c>
      <c r="B3043">
        <f>HYPERLINK("http://congbao.tuyenquang.gov.vn/van-ban/linh-vuc/nong-nghiep-ptnt/trang-6.html", "UBND Ủy ban nhân dân xã Đội Bình  tỉnh Tuyên Quang")</f>
      </c>
      <c r="C3043" t="str">
        <v>http://congbao.tuyenquang.gov.vn/van-ban/linh-vuc/nong-nghiep-ptnt/trang-6.html</v>
      </c>
      <c r="D3043" t="str">
        <v>-</v>
      </c>
      <c r="E3043" t="str">
        <v>-</v>
      </c>
      <c r="F3043" t="str">
        <v>-</v>
      </c>
      <c r="G3043" t="str">
        <v>-</v>
      </c>
    </row>
    <row r="3044">
      <c r="A3044">
        <v>3043</v>
      </c>
      <c r="B3044">
        <f>HYPERLINK("https://www.facebook.com/conganhuyensonduong/", "Công an thị trấn Sơn Dương  tỉnh Tuyên Quang")</f>
      </c>
      <c r="C3044" t="str">
        <v>https://www.facebook.com/conganhuyensonduong/</v>
      </c>
      <c r="D3044" t="str">
        <v>-</v>
      </c>
      <c r="E3044" t="str">
        <v/>
      </c>
      <c r="F3044" t="str">
        <v>-</v>
      </c>
      <c r="G3044" t="str">
        <v>-</v>
      </c>
    </row>
    <row r="3045">
      <c r="A3045">
        <v>3044</v>
      </c>
      <c r="B3045">
        <f>HYPERLINK("http://congbao.tuyenquang.gov.vn/van-ban/noi-ban-hanh/ubnd-huyen-son-duong.html", "UBND Ủy ban nhân dân thị trấn Sơn Dương  tỉnh Tuyên Quang")</f>
      </c>
      <c r="C3045" t="str">
        <v>http://congbao.tuyenquang.gov.vn/van-ban/noi-ban-hanh/ubnd-huyen-son-duong.html</v>
      </c>
      <c r="D3045" t="str">
        <v>-</v>
      </c>
      <c r="E3045" t="str">
        <v>-</v>
      </c>
      <c r="F3045" t="str">
        <v>-</v>
      </c>
      <c r="G3045" t="str">
        <v>-</v>
      </c>
    </row>
    <row r="3046">
      <c r="A3046">
        <v>3045</v>
      </c>
      <c r="B3046" t="str">
        <v>Công an xã Trung Yên  tỉnh Tuyên Quang</v>
      </c>
      <c r="C3046" t="str">
        <v>-</v>
      </c>
      <c r="D3046" t="str">
        <v>-</v>
      </c>
      <c r="E3046" t="str">
        <v/>
      </c>
      <c r="F3046" t="str">
        <v>-</v>
      </c>
      <c r="G3046" t="str">
        <v>-</v>
      </c>
    </row>
    <row r="3047">
      <c r="A3047">
        <v>3046</v>
      </c>
      <c r="B3047">
        <f>HYPERLINK("https://yenson.tuyenquang.gov.vn/", "UBND Ủy ban nhân dân xã Trung Yên  tỉnh Tuyên Quang")</f>
      </c>
      <c r="C3047" t="str">
        <v>https://yenson.tuyenquang.gov.vn/</v>
      </c>
      <c r="D3047" t="str">
        <v>-</v>
      </c>
      <c r="E3047" t="str">
        <v>-</v>
      </c>
      <c r="F3047" t="str">
        <v>-</v>
      </c>
      <c r="G3047" t="str">
        <v>-</v>
      </c>
    </row>
    <row r="3048">
      <c r="A3048">
        <v>3047</v>
      </c>
      <c r="B3048" t="str">
        <v>Công an xã Minh Thanh  tỉnh Tuyên Quang</v>
      </c>
      <c r="C3048" t="str">
        <v>-</v>
      </c>
      <c r="D3048" t="str">
        <v>-</v>
      </c>
      <c r="E3048" t="str">
        <v/>
      </c>
      <c r="F3048" t="str">
        <v>-</v>
      </c>
      <c r="G3048" t="str">
        <v>-</v>
      </c>
    </row>
    <row r="3049">
      <c r="A3049">
        <v>3048</v>
      </c>
      <c r="B3049">
        <f>HYPERLINK("http://congbao.tuyenquang.gov.vn/van-ban/noi-ban-hanh/ubnd-huyen-ham-yen.html", "UBND Ủy ban nhân dân xã Minh Thanh  tỉnh Tuyên Quang")</f>
      </c>
      <c r="C3049" t="str">
        <v>http://congbao.tuyenquang.gov.vn/van-ban/noi-ban-hanh/ubnd-huyen-ham-yen.html</v>
      </c>
      <c r="D3049" t="str">
        <v>-</v>
      </c>
      <c r="E3049" t="str">
        <v>-</v>
      </c>
      <c r="F3049" t="str">
        <v>-</v>
      </c>
      <c r="G3049" t="str">
        <v>-</v>
      </c>
    </row>
    <row r="3050">
      <c r="A3050">
        <v>3049</v>
      </c>
      <c r="B3050" t="str">
        <v>Công an xã Tân Trào  tỉnh Tuyên Quang</v>
      </c>
      <c r="C3050" t="str">
        <v>-</v>
      </c>
      <c r="D3050" t="str">
        <v>-</v>
      </c>
      <c r="E3050" t="str">
        <v/>
      </c>
      <c r="F3050" t="str">
        <v>-</v>
      </c>
      <c r="G3050" t="str">
        <v>-</v>
      </c>
    </row>
    <row r="3051">
      <c r="A3051">
        <v>3050</v>
      </c>
      <c r="B3051">
        <f>HYPERLINK("http://www.tuyenquang.gov.vn/vi/post/thong-bao-ket-luan-cua-chu-tich-uy-ban-nhan-dan-tinh-tai-cuoc-hop-ve-tien-do-thuc-hien-du-an-lang-van-hoa-du-lich-va-phat-huy-gia-tri-lich-su-quoc-gia-dac-biet-tan-trao-tai-xa-tan-trao-huyen-son-duong-tinh-tuyen-quang?type=POSTED_CONTENT&amp;id=130146", "UBND Ủy ban nhân dân xã Tân Trào  tỉnh Tuyên Quang")</f>
      </c>
      <c r="C3051" t="str">
        <v>http://www.tuyenquang.gov.vn/vi/post/thong-bao-ket-luan-cua-chu-tich-uy-ban-nhan-dan-tinh-tai-cuoc-hop-ve-tien-do-thuc-hien-du-an-lang-van-hoa-du-lich-va-phat-huy-gia-tri-lich-su-quoc-gia-dac-biet-tan-trao-tai-xa-tan-trao-huyen-son-duong-tinh-tuyen-quang?type=POSTED_CONTENT&amp;id=130146</v>
      </c>
      <c r="D3051" t="str">
        <v>-</v>
      </c>
      <c r="E3051" t="str">
        <v>-</v>
      </c>
      <c r="F3051" t="str">
        <v>-</v>
      </c>
      <c r="G3051" t="str">
        <v>-</v>
      </c>
    </row>
    <row r="3052">
      <c r="A3052">
        <v>3051</v>
      </c>
      <c r="B3052" t="str">
        <v>Công an xã Vĩnh Lợi  tỉnh Tuyên Quang</v>
      </c>
      <c r="C3052" t="str">
        <v>-</v>
      </c>
      <c r="D3052" t="str">
        <v>-</v>
      </c>
      <c r="E3052" t="str">
        <v/>
      </c>
      <c r="F3052" t="str">
        <v>-</v>
      </c>
      <c r="G3052" t="str">
        <v>-</v>
      </c>
    </row>
    <row r="3053">
      <c r="A3053">
        <v>3052</v>
      </c>
      <c r="B3053">
        <f>HYPERLINK("http://www.tuyenquang.gov.vn/vi/post/tuyen-quang-day-manh-cong-tac-an-toan-ve-sinh-lao-dong?type=NEWS&amp;id=127626", "UBND Ủy ban nhân dân xã Vĩnh Lợi  tỉnh Tuyên Quang")</f>
      </c>
      <c r="C3053" t="str">
        <v>http://www.tuyenquang.gov.vn/vi/post/tuyen-quang-day-manh-cong-tac-an-toan-ve-sinh-lao-dong?type=NEWS&amp;id=127626</v>
      </c>
      <c r="D3053" t="str">
        <v>-</v>
      </c>
      <c r="E3053" t="str">
        <v>-</v>
      </c>
      <c r="F3053" t="str">
        <v>-</v>
      </c>
      <c r="G3053" t="str">
        <v>-</v>
      </c>
    </row>
    <row r="3054">
      <c r="A3054">
        <v>3053</v>
      </c>
      <c r="B3054" t="str">
        <v>Công an xã Thượng Ấm  tỉnh Tuyên Quang</v>
      </c>
      <c r="C3054" t="str">
        <v>-</v>
      </c>
      <c r="D3054" t="str">
        <v>-</v>
      </c>
      <c r="E3054" t="str">
        <v/>
      </c>
      <c r="F3054" t="str">
        <v>-</v>
      </c>
      <c r="G3054" t="str">
        <v>-</v>
      </c>
    </row>
    <row r="3055">
      <c r="A3055">
        <v>3054</v>
      </c>
      <c r="B3055">
        <f>HYPERLINK("http://www.tuyenquang.gov.vn/vi/post/quyet-dinh-ve-viec-cong-nhan-xa-thuong-am-huyen-son-duong-tinh-tuyen-quang-dat-chuan-nong-thon-moi?type=EXECUTIVE_DIRECTION&amp;id=33594", "UBND Ủy ban nhân dân xã Thượng Ấm  tỉnh Tuyên Quang")</f>
      </c>
      <c r="C3055" t="str">
        <v>http://www.tuyenquang.gov.vn/vi/post/quyet-dinh-ve-viec-cong-nhan-xa-thuong-am-huyen-son-duong-tinh-tuyen-quang-dat-chuan-nong-thon-moi?type=EXECUTIVE_DIRECTION&amp;id=33594</v>
      </c>
      <c r="D3055" t="str">
        <v>-</v>
      </c>
      <c r="E3055" t="str">
        <v>-</v>
      </c>
      <c r="F3055" t="str">
        <v>-</v>
      </c>
      <c r="G3055" t="str">
        <v>-</v>
      </c>
    </row>
    <row r="3056">
      <c r="A3056">
        <v>3055</v>
      </c>
      <c r="B3056">
        <f>HYPERLINK("https://www.facebook.com/p/Tu%E1%BB%95i-tr%E1%BA%BB-C%C3%B4ng-an-Th%C3%A0nh-ph%E1%BB%91-V%C4%A9nh-Y%C3%AAn-100066497717181/?locale=nl_BE", "Công an xã Bình Yên  tỉnh Tuyên Quang")</f>
      </c>
      <c r="C3056" t="str">
        <v>https://www.facebook.com/p/Tu%E1%BB%95i-tr%E1%BA%BB-C%C3%B4ng-an-Th%C3%A0nh-ph%E1%BB%91-V%C4%A9nh-Y%C3%AAn-100066497717181/?locale=nl_BE</v>
      </c>
      <c r="D3056" t="str">
        <v>-</v>
      </c>
      <c r="E3056" t="str">
        <v/>
      </c>
      <c r="F3056" t="str">
        <v>-</v>
      </c>
      <c r="G3056" t="str">
        <v>-</v>
      </c>
    </row>
    <row r="3057">
      <c r="A3057">
        <v>3056</v>
      </c>
      <c r="B3057">
        <f>HYPERLINK("http://congbao.tuyenquang.gov.vn/van-ban/noi-ban-hanh/ubnd-huyen-ham-yen.html", "UBND Ủy ban nhân dân xã Bình Yên  tỉnh Tuyên Quang")</f>
      </c>
      <c r="C3057" t="str">
        <v>http://congbao.tuyenquang.gov.vn/van-ban/noi-ban-hanh/ubnd-huyen-ham-yen.html</v>
      </c>
      <c r="D3057" t="str">
        <v>-</v>
      </c>
      <c r="E3057" t="str">
        <v>-</v>
      </c>
      <c r="F3057" t="str">
        <v>-</v>
      </c>
      <c r="G3057" t="str">
        <v>-</v>
      </c>
    </row>
    <row r="3058">
      <c r="A3058">
        <v>3057</v>
      </c>
      <c r="B3058" t="str">
        <v>Công an xã Lương Thiện  tỉnh Tuyên Quang</v>
      </c>
      <c r="C3058" t="str">
        <v>-</v>
      </c>
      <c r="D3058" t="str">
        <v>-</v>
      </c>
      <c r="E3058" t="str">
        <v/>
      </c>
      <c r="F3058" t="str">
        <v>-</v>
      </c>
      <c r="G3058" t="str">
        <v>-</v>
      </c>
    </row>
    <row r="3059">
      <c r="A3059">
        <v>3058</v>
      </c>
      <c r="B3059">
        <f>HYPERLINK("http://www.tuyenquang.gov.vn/vi/post/luong-thien-giam-ngheo-tu-nghe-trong-rung?type=NEWS&amp;id=33093", "UBND Ủy ban nhân dân xã Lương Thiện  tỉnh Tuyên Quang")</f>
      </c>
      <c r="C3059" t="str">
        <v>http://www.tuyenquang.gov.vn/vi/post/luong-thien-giam-ngheo-tu-nghe-trong-rung?type=NEWS&amp;id=33093</v>
      </c>
      <c r="D3059" t="str">
        <v>-</v>
      </c>
      <c r="E3059" t="str">
        <v>-</v>
      </c>
      <c r="F3059" t="str">
        <v>-</v>
      </c>
      <c r="G3059" t="str">
        <v>-</v>
      </c>
    </row>
    <row r="3060">
      <c r="A3060">
        <v>3059</v>
      </c>
      <c r="B3060" t="str">
        <v>Công an xã Tú Thịnh  tỉnh Tuyên Quang</v>
      </c>
      <c r="C3060" t="str">
        <v>-</v>
      </c>
      <c r="D3060" t="str">
        <v>-</v>
      </c>
      <c r="E3060" t="str">
        <v/>
      </c>
      <c r="F3060" t="str">
        <v>-</v>
      </c>
      <c r="G3060" t="str">
        <v>-</v>
      </c>
    </row>
    <row r="3061">
      <c r="A3061">
        <v>3060</v>
      </c>
      <c r="B3061">
        <f>HYPERLINK("http://tnmt.tuyenquang.gov.vn/vi/tin-bai/giay-xac-nhan-so-1387gxn-stnmt-ngay-1162024-cua-so-tai-nguyen-va-moi-truong-tinh-tuyen-quang-giay-xac-nhan-dang-ky-khai-thac-su-dung-nuoc-mat-ban-quan-ly-cong-trinh-thuy-loi-xa-tu-thinh-huyen-son-duong-tinh-tuyen-quang?type=POSTED_CONTENT&amp;id=75535", "UBND Ủy ban nhân dân xã Tú Thịnh  tỉnh Tuyên Quang")</f>
      </c>
      <c r="C3061" t="str">
        <v>http://tnmt.tuyenquang.gov.vn/vi/tin-bai/giay-xac-nhan-so-1387gxn-stnmt-ngay-1162024-cua-so-tai-nguyen-va-moi-truong-tinh-tuyen-quang-giay-xac-nhan-dang-ky-khai-thac-su-dung-nuoc-mat-ban-quan-ly-cong-trinh-thuy-loi-xa-tu-thinh-huyen-son-duong-tinh-tuyen-quang?type=POSTED_CONTENT&amp;id=75535</v>
      </c>
      <c r="D3061" t="str">
        <v>-</v>
      </c>
      <c r="E3061" t="str">
        <v>-</v>
      </c>
      <c r="F3061" t="str">
        <v>-</v>
      </c>
      <c r="G3061" t="str">
        <v>-</v>
      </c>
    </row>
    <row r="3062">
      <c r="A3062">
        <v>3061</v>
      </c>
      <c r="B3062">
        <f>HYPERLINK("https://www.facebook.com/people/C%C3%B4ng-an-x%C3%A3-C%E1%BA%A5p-Ti%E1%BA%BFn-huy%E1%BB%87n-S%C6%A1n-D%C6%B0%C6%A1ng-t%E1%BB%89nh-Tuy%C3%AAn-Quang/61550512584625/", "Công an xã Cấp Tiến  tỉnh Tuyên Quang")</f>
      </c>
      <c r="C3062" t="str">
        <v>https://www.facebook.com/people/C%C3%B4ng-an-x%C3%A3-C%E1%BA%A5p-Ti%E1%BA%BFn-huy%E1%BB%87n-S%C6%A1n-D%C6%B0%C6%A1ng-t%E1%BB%89nh-Tuy%C3%AAn-Quang/61550512584625/</v>
      </c>
      <c r="D3062" t="str">
        <v>0388159705</v>
      </c>
      <c r="E3062" t="str">
        <v>-</v>
      </c>
      <c r="F3062" t="str">
        <v>-</v>
      </c>
      <c r="G3062" t="str">
        <v>Xã Cấp Tiến- Huyện Sơn Dương-Tỉnh tuyên Quang, Tuyên Quang, Vietnam</v>
      </c>
    </row>
    <row r="3063">
      <c r="A3063">
        <v>3062</v>
      </c>
      <c r="B3063">
        <f>HYPERLINK("http://tnmttuyenquang.gov.vn/media/files/2023/document-(21)(1).pdf", "UBND Ủy ban nhân dân xã Cấp Tiến  tỉnh Tuyên Quang")</f>
      </c>
      <c r="C3063" t="str">
        <v>http://tnmttuyenquang.gov.vn/media/files/2023/document-(21)(1).pdf</v>
      </c>
      <c r="D3063" t="str">
        <v>-</v>
      </c>
      <c r="E3063" t="str">
        <v>-</v>
      </c>
      <c r="F3063" t="str">
        <v>-</v>
      </c>
      <c r="G3063" t="str">
        <v>-</v>
      </c>
    </row>
    <row r="3064">
      <c r="A3064">
        <v>3063</v>
      </c>
      <c r="B3064">
        <f>HYPERLINK("https://www.facebook.com/p/C%C3%B4ng-an-x%C3%A3-H%E1%BB%A3p-Th%C3%A0nh-S%C6%A1n-D%C6%B0%C6%A1ng-Tuy%C3%AAn-Quang-100069262483496/", "Công an xã Hợp Thành  tỉnh Tuyên Quang")</f>
      </c>
      <c r="C3064" t="str">
        <v>https://www.facebook.com/p/C%C3%B4ng-an-x%C3%A3-H%E1%BB%A3p-Th%C3%A0nh-S%C6%A1n-D%C6%B0%C6%A1ng-Tuy%C3%AAn-Quang-100069262483496/</v>
      </c>
      <c r="D3064" t="str">
        <v>-</v>
      </c>
      <c r="E3064" t="str">
        <v/>
      </c>
      <c r="F3064" t="str">
        <v>-</v>
      </c>
      <c r="G3064" t="str">
        <v>-</v>
      </c>
    </row>
    <row r="3065">
      <c r="A3065">
        <v>3064</v>
      </c>
      <c r="B3065">
        <f>HYPERLINK("https://nongthonmoituyenquang.gov.vn/media/files/2022/H%E1%BB%93-s%C6%A1-NTM-x%C3%A3-H%E1%BB%A3p-Th%C3%A0nh.pdf", "UBND Ủy ban nhân dân xã Hợp Thành  tỉnh Tuyên Quang")</f>
      </c>
      <c r="C3065" t="str">
        <v>https://nongthonmoituyenquang.gov.vn/media/files/2022/H%E1%BB%93-s%C6%A1-NTM-x%C3%A3-H%E1%BB%A3p-Th%C3%A0nh.pdf</v>
      </c>
      <c r="D3065" t="str">
        <v>-</v>
      </c>
      <c r="E3065" t="str">
        <v>-</v>
      </c>
      <c r="F3065" t="str">
        <v>-</v>
      </c>
      <c r="G3065" t="str">
        <v>-</v>
      </c>
    </row>
    <row r="3066">
      <c r="A3066">
        <v>3065</v>
      </c>
      <c r="B3066">
        <f>HYPERLINK("https://www.facebook.com/conganhuyensonduong/?locale=vi_VN", "Công an xã Phúc Ứng  tỉnh Tuyên Quang")</f>
      </c>
      <c r="C3066" t="str">
        <v>https://www.facebook.com/conganhuyensonduong/?locale=vi_VN</v>
      </c>
      <c r="D3066" t="str">
        <v>-</v>
      </c>
      <c r="E3066" t="str">
        <v/>
      </c>
      <c r="F3066" t="str">
        <v>-</v>
      </c>
      <c r="G3066" t="str">
        <v>-</v>
      </c>
    </row>
    <row r="3067">
      <c r="A3067">
        <v>3066</v>
      </c>
      <c r="B3067">
        <f>HYPERLINK("https://phucninh.tuyenquang.gov.vn/", "UBND Ủy ban nhân dân xã Phúc Ứng  tỉnh Tuyên Quang")</f>
      </c>
      <c r="C3067" t="str">
        <v>https://phucninh.tuyenquang.gov.vn/</v>
      </c>
      <c r="D3067" t="str">
        <v>-</v>
      </c>
      <c r="E3067" t="str">
        <v>-</v>
      </c>
      <c r="F3067" t="str">
        <v>-</v>
      </c>
      <c r="G3067" t="str">
        <v>-</v>
      </c>
    </row>
    <row r="3068">
      <c r="A3068">
        <v>3067</v>
      </c>
      <c r="B3068">
        <f>HYPERLINK("https://www.facebook.com/CAXDongThoSonDuong/", "Công an xã Đông Thọ  tỉnh Tuyên Quang")</f>
      </c>
      <c r="C3068" t="str">
        <v>https://www.facebook.com/CAXDongThoSonDuong/</v>
      </c>
      <c r="D3068" t="str">
        <v>-</v>
      </c>
      <c r="E3068" t="str">
        <v/>
      </c>
      <c r="F3068" t="str">
        <v>-</v>
      </c>
      <c r="G3068" t="str">
        <v>-</v>
      </c>
    </row>
    <row r="3069">
      <c r="A3069">
        <v>3068</v>
      </c>
      <c r="B3069">
        <f>HYPERLINK("https://dongtho.tuyenquang.gov.vn/", "UBND Ủy ban nhân dân xã Đông Thọ  tỉnh Tuyên Quang")</f>
      </c>
      <c r="C3069" t="str">
        <v>https://dongtho.tuyenquang.gov.vn/</v>
      </c>
      <c r="D3069" t="str">
        <v>-</v>
      </c>
      <c r="E3069" t="str">
        <v>-</v>
      </c>
      <c r="F3069" t="str">
        <v>-</v>
      </c>
      <c r="G3069" t="str">
        <v>-</v>
      </c>
    </row>
    <row r="3070">
      <c r="A3070">
        <v>3069</v>
      </c>
      <c r="B3070">
        <f>HYPERLINK("https://www.facebook.com/KhangNhat.HighSchool/", "Công an xã Kháng Nhật  tỉnh Tuyên Quang")</f>
      </c>
      <c r="C3070" t="str">
        <v>https://www.facebook.com/KhangNhat.HighSchool/</v>
      </c>
      <c r="D3070" t="str">
        <v>-</v>
      </c>
      <c r="E3070" t="str">
        <v/>
      </c>
      <c r="F3070" t="str">
        <v>-</v>
      </c>
      <c r="G3070" t="str">
        <v>-</v>
      </c>
    </row>
    <row r="3071">
      <c r="A3071">
        <v>3070</v>
      </c>
      <c r="B3071">
        <f>HYPERLINK("http://www.tuyenquang.gov.vn/vi/post/xa-khang-nhat-dat-chuan-nong-thon-moi?type=NEWS&amp;id=111048", "UBND Ủy ban nhân dân xã Kháng Nhật  tỉnh Tuyên Quang")</f>
      </c>
      <c r="C3071" t="str">
        <v>http://www.tuyenquang.gov.vn/vi/post/xa-khang-nhat-dat-chuan-nong-thon-moi?type=NEWS&amp;id=111048</v>
      </c>
      <c r="D3071" t="str">
        <v>-</v>
      </c>
      <c r="E3071" t="str">
        <v>-</v>
      </c>
      <c r="F3071" t="str">
        <v>-</v>
      </c>
      <c r="G3071" t="str">
        <v>-</v>
      </c>
    </row>
    <row r="3072">
      <c r="A3072">
        <v>3071</v>
      </c>
      <c r="B3072" t="str">
        <v>Công an xã Hợp Hòa  tỉnh Tuyên Quang</v>
      </c>
      <c r="C3072" t="str">
        <v>-</v>
      </c>
      <c r="D3072" t="str">
        <v>-</v>
      </c>
      <c r="E3072" t="str">
        <v/>
      </c>
      <c r="F3072" t="str">
        <v>-</v>
      </c>
      <c r="G3072" t="str">
        <v>-</v>
      </c>
    </row>
    <row r="3073">
      <c r="A3073">
        <v>3072</v>
      </c>
      <c r="B3073">
        <f>HYPERLINK("https://www.tuyenquang.gov.vn/", "UBND Ủy ban nhân dân xã Hợp Hòa  tỉnh Tuyên Quang")</f>
      </c>
      <c r="C3073" t="str">
        <v>https://www.tuyenquang.gov.vn/</v>
      </c>
      <c r="D3073" t="str">
        <v>-</v>
      </c>
      <c r="E3073" t="str">
        <v>-</v>
      </c>
      <c r="F3073" t="str">
        <v>-</v>
      </c>
      <c r="G3073" t="str">
        <v>-</v>
      </c>
    </row>
    <row r="3074">
      <c r="A3074">
        <v>3073</v>
      </c>
      <c r="B3074">
        <f>HYPERLINK("https://www.facebook.com/congantinhtuyenquang/?locale=vi_VN", "Công an xã Thanh Phát  tỉnh Tuyên Quang")</f>
      </c>
      <c r="C3074" t="str">
        <v>https://www.facebook.com/congantinhtuyenquang/?locale=vi_VN</v>
      </c>
      <c r="D3074" t="str">
        <v>-</v>
      </c>
      <c r="E3074" t="str">
        <v/>
      </c>
      <c r="F3074" t="str">
        <v>-</v>
      </c>
      <c r="G3074" t="str">
        <v>-</v>
      </c>
    </row>
    <row r="3075">
      <c r="A3075">
        <v>3074</v>
      </c>
      <c r="B3075">
        <f>HYPERLINK("https://thanhpho.tuyenquang.gov.vn/", "UBND Ủy ban nhân dân xã Thanh Phát  tỉnh Tuyên Quang")</f>
      </c>
      <c r="C3075" t="str">
        <v>https://thanhpho.tuyenquang.gov.vn/</v>
      </c>
      <c r="D3075" t="str">
        <v>-</v>
      </c>
      <c r="E3075" t="str">
        <v>-</v>
      </c>
      <c r="F3075" t="str">
        <v>-</v>
      </c>
      <c r="G3075" t="str">
        <v>-</v>
      </c>
    </row>
    <row r="3076">
      <c r="A3076">
        <v>3075</v>
      </c>
      <c r="B3076">
        <f>HYPERLINK("https://www.facebook.com/CAXQuyetThangSDTQ/", "Công an xã Quyết Thắng  tỉnh Tuyên Quang")</f>
      </c>
      <c r="C3076" t="str">
        <v>https://www.facebook.com/CAXQuyetThangSDTQ/</v>
      </c>
      <c r="D3076" t="str">
        <v>-</v>
      </c>
      <c r="E3076" t="str">
        <v/>
      </c>
      <c r="F3076" t="str">
        <v>-</v>
      </c>
      <c r="G3076" t="str">
        <v>-</v>
      </c>
    </row>
    <row r="3077">
      <c r="A3077">
        <v>3076</v>
      </c>
      <c r="B3077">
        <f>HYPERLINK("http://quyetthang.thainguyencity.gov.vn/gioi-thieu/-/asset_publisher/PTN1trT2HJke/content/bo-may-to-chuc?inheritRedirect=true", "UBND Ủy ban nhân dân xã Quyết Thắng  tỉnh Tuyên Quang")</f>
      </c>
      <c r="C3077" t="str">
        <v>http://quyetthang.thainguyencity.gov.vn/gioi-thieu/-/asset_publisher/PTN1trT2HJke/content/bo-may-to-chuc?inheritRedirect=true</v>
      </c>
      <c r="D3077" t="str">
        <v>-</v>
      </c>
      <c r="E3077" t="str">
        <v>-</v>
      </c>
      <c r="F3077" t="str">
        <v>-</v>
      </c>
      <c r="G3077" t="str">
        <v>-</v>
      </c>
    </row>
    <row r="3078">
      <c r="A3078">
        <v>3077</v>
      </c>
      <c r="B3078" t="str">
        <v>Công an xã Đồng Quý  tỉnh Tuyên Quang</v>
      </c>
      <c r="C3078" t="str">
        <v>-</v>
      </c>
      <c r="D3078" t="str">
        <v>-</v>
      </c>
      <c r="E3078" t="str">
        <v/>
      </c>
      <c r="F3078" t="str">
        <v>-</v>
      </c>
      <c r="G3078" t="str">
        <v>-</v>
      </c>
    </row>
    <row r="3079">
      <c r="A3079">
        <v>3078</v>
      </c>
      <c r="B3079">
        <f>HYPERLINK("http://soyte.tuyenquang.gov.vn/vi/tin-y-te-trong-tinh?id=5645", "UBND Ủy ban nhân dân xã Đồng Quý  tỉnh Tuyên Quang")</f>
      </c>
      <c r="C3079" t="str">
        <v>http://soyte.tuyenquang.gov.vn/vi/tin-y-te-trong-tinh?id=5645</v>
      </c>
      <c r="D3079" t="str">
        <v>-</v>
      </c>
      <c r="E3079" t="str">
        <v>-</v>
      </c>
      <c r="F3079" t="str">
        <v>-</v>
      </c>
      <c r="G3079" t="str">
        <v>-</v>
      </c>
    </row>
    <row r="3080">
      <c r="A3080">
        <v>3079</v>
      </c>
      <c r="B3080" t="str">
        <v>Công an xã Tuân Lộ  tỉnh Tuyên Quang</v>
      </c>
      <c r="C3080" t="str">
        <v>-</v>
      </c>
      <c r="D3080" t="str">
        <v>-</v>
      </c>
      <c r="E3080" t="str">
        <v/>
      </c>
      <c r="F3080" t="str">
        <v>-</v>
      </c>
      <c r="G3080" t="str">
        <v>-</v>
      </c>
    </row>
    <row r="3081">
      <c r="A3081">
        <v>3080</v>
      </c>
      <c r="B3081">
        <f>HYPERLINK("https://m.hdndtuyenquang.gov.vn/dai-bieu-voi-cu-tri/tra-loi-y-kien/dia-phuong/xem-chi-tiet-577.html", "UBND Ủy ban nhân dân xã Tuân Lộ  tỉnh Tuyên Quang")</f>
      </c>
      <c r="C3081" t="str">
        <v>https://m.hdndtuyenquang.gov.vn/dai-bieu-voi-cu-tri/tra-loi-y-kien/dia-phuong/xem-chi-tiet-577.html</v>
      </c>
      <c r="D3081" t="str">
        <v>-</v>
      </c>
      <c r="E3081" t="str">
        <v>-</v>
      </c>
      <c r="F3081" t="str">
        <v>-</v>
      </c>
      <c r="G3081" t="str">
        <v>-</v>
      </c>
    </row>
    <row r="3082">
      <c r="A3082">
        <v>3081</v>
      </c>
      <c r="B3082">
        <f>HYPERLINK("https://www.facebook.com/conganvanson/", "Công an xã Vân Sơn  tỉnh Tuyên Quang")</f>
      </c>
      <c r="C3082" t="str">
        <v>https://www.facebook.com/conganvanson/</v>
      </c>
      <c r="D3082" t="str">
        <v>-</v>
      </c>
      <c r="E3082" t="str">
        <v/>
      </c>
      <c r="F3082" t="str">
        <v>-</v>
      </c>
      <c r="G3082" t="str">
        <v>-</v>
      </c>
    </row>
    <row r="3083">
      <c r="A3083">
        <v>3082</v>
      </c>
      <c r="B3083">
        <f>HYPERLINK("http://www.tuyenquang.gov.vn/vi/post/cong-bo-quyet-dinh-cua-uy-ban-thuong-vu-quoc-hoi-thanh-lap-xa-hong-son?type=NEWS&amp;id=123580", "UBND Ủy ban nhân dân xã Vân Sơn  tỉnh Tuyên Quang")</f>
      </c>
      <c r="C3083" t="str">
        <v>http://www.tuyenquang.gov.vn/vi/post/cong-bo-quyet-dinh-cua-uy-ban-thuong-vu-quoc-hoi-thanh-lap-xa-hong-son?type=NEWS&amp;id=123580</v>
      </c>
      <c r="D3083" t="str">
        <v>-</v>
      </c>
      <c r="E3083" t="str">
        <v>-</v>
      </c>
      <c r="F3083" t="str">
        <v>-</v>
      </c>
      <c r="G3083" t="str">
        <v>-</v>
      </c>
    </row>
    <row r="3084">
      <c r="A3084">
        <v>3083</v>
      </c>
      <c r="B3084" t="str">
        <v>Công an xã Văn Phú  tỉnh Tuyên Quang</v>
      </c>
      <c r="C3084" t="str">
        <v>-</v>
      </c>
      <c r="D3084" t="str">
        <v>-</v>
      </c>
      <c r="E3084" t="str">
        <v/>
      </c>
      <c r="F3084" t="str">
        <v>-</v>
      </c>
      <c r="G3084" t="str">
        <v>-</v>
      </c>
    </row>
    <row r="3085">
      <c r="A3085">
        <v>3084</v>
      </c>
      <c r="B3085">
        <f>HYPERLINK("http://congbao.tuyenquang.gov.vn/media/files/2024/Q%C4%90-s%E1%BB%91-698-ng%C3%A0y-1-7.pdf", "UBND Ủy ban nhân dân xã Văn Phú  tỉnh Tuyên Quang")</f>
      </c>
      <c r="C3085" t="str">
        <v>http://congbao.tuyenquang.gov.vn/media/files/2024/Q%C4%90-s%E1%BB%91-698-ng%C3%A0y-1-7.pdf</v>
      </c>
      <c r="D3085" t="str">
        <v>-</v>
      </c>
      <c r="E3085" t="str">
        <v>-</v>
      </c>
      <c r="F3085" t="str">
        <v>-</v>
      </c>
      <c r="G3085" t="str">
        <v>-</v>
      </c>
    </row>
    <row r="3086">
      <c r="A3086">
        <v>3085</v>
      </c>
      <c r="B3086">
        <f>HYPERLINK("https://www.facebook.com/congantinhtuyenquang/?locale=vi_VN", "Công an xã Chi Thiết  tỉnh Tuyên Quang")</f>
      </c>
      <c r="C3086" t="str">
        <v>https://www.facebook.com/congantinhtuyenquang/?locale=vi_VN</v>
      </c>
      <c r="D3086" t="str">
        <v>-</v>
      </c>
      <c r="E3086" t="str">
        <v/>
      </c>
      <c r="F3086" t="str">
        <v>-</v>
      </c>
      <c r="G3086" t="str">
        <v>-</v>
      </c>
    </row>
    <row r="3087">
      <c r="A3087">
        <v>3086</v>
      </c>
      <c r="B3087">
        <f>HYPERLINK("http://yenson.tuyenquang.gov.vn/vi/tin-bai/dong-chi-quyen-bi-thu-huyen-uy-tiep-cong-dan-dinh-ky-thang-10?type=NEWS&amp;id=129762", "UBND Ủy ban nhân dân xã Chi Thiết  tỉnh Tuyên Quang")</f>
      </c>
      <c r="C3087" t="str">
        <v>http://yenson.tuyenquang.gov.vn/vi/tin-bai/dong-chi-quyen-bi-thu-huyen-uy-tiep-cong-dan-dinh-ky-thang-10?type=NEWS&amp;id=129762</v>
      </c>
      <c r="D3087" t="str">
        <v>-</v>
      </c>
      <c r="E3087" t="str">
        <v>-</v>
      </c>
      <c r="F3087" t="str">
        <v>-</v>
      </c>
      <c r="G3087" t="str">
        <v>-</v>
      </c>
    </row>
    <row r="3088">
      <c r="A3088">
        <v>3087</v>
      </c>
      <c r="B3088" t="str">
        <v>Công an xã Đông Lợi  tỉnh Tuyên Quang</v>
      </c>
      <c r="C3088" t="str">
        <v>-</v>
      </c>
      <c r="D3088" t="str">
        <v>-</v>
      </c>
      <c r="E3088" t="str">
        <v/>
      </c>
      <c r="F3088" t="str">
        <v>-</v>
      </c>
      <c r="G3088" t="str">
        <v>-</v>
      </c>
    </row>
    <row r="3089">
      <c r="A3089">
        <v>3088</v>
      </c>
      <c r="B3089">
        <f>HYPERLINK("https://m.hdndtuyenquang.gov.vn/dai-bieu-voi-cu-tri/tra-loi-y-kien/dia-phuong/xem-chi-tiet-2845.html", "UBND Ủy ban nhân dân xã Đông Lợi  tỉnh Tuyên Quang")</f>
      </c>
      <c r="C3089" t="str">
        <v>https://m.hdndtuyenquang.gov.vn/dai-bieu-voi-cu-tri/tra-loi-y-kien/dia-phuong/xem-chi-tiet-2845.html</v>
      </c>
      <c r="D3089" t="str">
        <v>-</v>
      </c>
      <c r="E3089" t="str">
        <v>-</v>
      </c>
      <c r="F3089" t="str">
        <v>-</v>
      </c>
      <c r="G3089" t="str">
        <v>-</v>
      </c>
    </row>
    <row r="3090">
      <c r="A3090">
        <v>3089</v>
      </c>
      <c r="B3090" t="str">
        <v>Công an xã Thiện Kế  tỉnh Tuyên Quang</v>
      </c>
      <c r="C3090" t="str">
        <v>-</v>
      </c>
      <c r="D3090" t="str">
        <v>-</v>
      </c>
      <c r="E3090" t="str">
        <v/>
      </c>
      <c r="F3090" t="str">
        <v>-</v>
      </c>
      <c r="G3090" t="str">
        <v>-</v>
      </c>
    </row>
    <row r="3091">
      <c r="A3091">
        <v>3090</v>
      </c>
      <c r="B3091">
        <f>HYPERLINK("http://congbao.tuyenquang.gov.vn/van-ban/the-loai/quyet-dinh/trang-122.html", "UBND Ủy ban nhân dân xã Thiện Kế  tỉnh Tuyên Quang")</f>
      </c>
      <c r="C3091" t="str">
        <v>http://congbao.tuyenquang.gov.vn/van-ban/the-loai/quyet-dinh/trang-122.html</v>
      </c>
      <c r="D3091" t="str">
        <v>-</v>
      </c>
      <c r="E3091" t="str">
        <v>-</v>
      </c>
      <c r="F3091" t="str">
        <v>-</v>
      </c>
      <c r="G3091" t="str">
        <v>-</v>
      </c>
    </row>
    <row r="3092">
      <c r="A3092">
        <v>3091</v>
      </c>
      <c r="B3092" t="str">
        <v>Công an xã Hồng Lạc  tỉnh Tuyên Quang</v>
      </c>
      <c r="C3092" t="str">
        <v>-</v>
      </c>
      <c r="D3092" t="str">
        <v>-</v>
      </c>
      <c r="E3092" t="str">
        <v/>
      </c>
      <c r="F3092" t="str">
        <v>-</v>
      </c>
      <c r="G3092" t="str">
        <v>-</v>
      </c>
    </row>
    <row r="3093">
      <c r="A3093">
        <v>3092</v>
      </c>
      <c r="B3093">
        <f>HYPERLINK("http://www.tuyenquang.gov.vn/vi/post/cong-bo-quyet-dinh-cua-uy-ban-thuong-vu-quoc-hoi-thanh-lap-xa-hong-son?type=NEWS&amp;id=123580", "UBND Ủy ban nhân dân xã Hồng Lạc  tỉnh Tuyên Quang")</f>
      </c>
      <c r="C3093" t="str">
        <v>http://www.tuyenquang.gov.vn/vi/post/cong-bo-quyet-dinh-cua-uy-ban-thuong-vu-quoc-hoi-thanh-lap-xa-hong-son?type=NEWS&amp;id=123580</v>
      </c>
      <c r="D3093" t="str">
        <v>-</v>
      </c>
      <c r="E3093" t="str">
        <v>-</v>
      </c>
      <c r="F3093" t="str">
        <v>-</v>
      </c>
      <c r="G3093" t="str">
        <v>-</v>
      </c>
    </row>
    <row r="3094">
      <c r="A3094">
        <v>3093</v>
      </c>
      <c r="B3094" t="str">
        <v>Công an xã Phú Lương  tỉnh Tuyên Quang</v>
      </c>
      <c r="C3094" t="str">
        <v>-</v>
      </c>
      <c r="D3094" t="str">
        <v>-</v>
      </c>
      <c r="E3094" t="str">
        <v/>
      </c>
      <c r="F3094" t="str">
        <v>-</v>
      </c>
      <c r="G3094" t="str">
        <v>-</v>
      </c>
    </row>
    <row r="3095">
      <c r="A3095">
        <v>3094</v>
      </c>
      <c r="B3095">
        <f>HYPERLINK("https://m.nongthonmoituyenquang.gov.vn/tin-tuc/hoat-dong-chung/to-chuc-le-cong-bo-xa-phu-luong-dat-chuan-nong-thon-moi-2908.html", "UBND Ủy ban nhân dân xã Phú Lương  tỉnh Tuyên Quang")</f>
      </c>
      <c r="C3095" t="str">
        <v>https://m.nongthonmoituyenquang.gov.vn/tin-tuc/hoat-dong-chung/to-chuc-le-cong-bo-xa-phu-luong-dat-chuan-nong-thon-moi-2908.html</v>
      </c>
      <c r="D3095" t="str">
        <v>-</v>
      </c>
      <c r="E3095" t="str">
        <v>-</v>
      </c>
      <c r="F3095" t="str">
        <v>-</v>
      </c>
      <c r="G3095" t="str">
        <v>-</v>
      </c>
    </row>
    <row r="3096">
      <c r="A3096">
        <v>3095</v>
      </c>
      <c r="B3096">
        <f>HYPERLINK("https://www.facebook.com/conganhuyensonduong/", "Công an xã Ninh Lai  tỉnh Tuyên Quang")</f>
      </c>
      <c r="C3096" t="str">
        <v>https://www.facebook.com/conganhuyensonduong/</v>
      </c>
      <c r="D3096" t="str">
        <v>-</v>
      </c>
      <c r="E3096" t="str">
        <v/>
      </c>
      <c r="F3096" t="str">
        <v>-</v>
      </c>
      <c r="G3096" t="str">
        <v>-</v>
      </c>
    </row>
    <row r="3097">
      <c r="A3097">
        <v>3096</v>
      </c>
      <c r="B3097">
        <f>HYPERLINK("http://congbao.tuyenquang.gov.vn/van-ban/the-loai/quyet-dinh/trang-11.html", "UBND Ủy ban nhân dân xã Ninh Lai  tỉnh Tuyên Quang")</f>
      </c>
      <c r="C3097" t="str">
        <v>http://congbao.tuyenquang.gov.vn/van-ban/the-loai/quyet-dinh/trang-11.html</v>
      </c>
      <c r="D3097" t="str">
        <v>-</v>
      </c>
      <c r="E3097" t="str">
        <v>-</v>
      </c>
      <c r="F3097" t="str">
        <v>-</v>
      </c>
      <c r="G3097" t="str">
        <v>-</v>
      </c>
    </row>
    <row r="3098">
      <c r="A3098">
        <v>3097</v>
      </c>
      <c r="B3098">
        <f>HYPERLINK("https://www.facebook.com/p/C%C3%B4ng-an-x%C3%A3-%C4%90%E1%BA%A1i-Ph%C3%BA-100075927830130/", "Công an xã Đại Phú  tỉnh Tuyên Quang")</f>
      </c>
      <c r="C3098" t="str">
        <v>https://www.facebook.com/p/C%C3%B4ng-an-x%C3%A3-%C4%90%E1%BA%A1i-Ph%C3%BA-100075927830130/</v>
      </c>
      <c r="D3098" t="str">
        <v>-</v>
      </c>
      <c r="E3098" t="str">
        <v/>
      </c>
      <c r="F3098" t="str">
        <v>-</v>
      </c>
      <c r="G3098" t="str">
        <v>-</v>
      </c>
    </row>
    <row r="3099">
      <c r="A3099">
        <v>3098</v>
      </c>
      <c r="B3099">
        <f>HYPERLINK("https://m.nongthonmoituyenquang.gov.vn/media/files/2018/X%C3%A3-%C4%90%E1%BA%A1i-Ph%C3%BA.pdf", "UBND Ủy ban nhân dân xã Đại Phú  tỉnh Tuyên Quang")</f>
      </c>
      <c r="C3099" t="str">
        <v>https://m.nongthonmoituyenquang.gov.vn/media/files/2018/X%C3%A3-%C4%90%E1%BA%A1i-Ph%C3%BA.pdf</v>
      </c>
      <c r="D3099" t="str">
        <v>-</v>
      </c>
      <c r="E3099" t="str">
        <v>-</v>
      </c>
      <c r="F3099" t="str">
        <v>-</v>
      </c>
      <c r="G3099" t="str">
        <v>-</v>
      </c>
    </row>
    <row r="3100">
      <c r="A3100">
        <v>3099</v>
      </c>
      <c r="B3100">
        <f>HYPERLINK("https://www.facebook.com/p/C%C3%B4ng-an-huy%E1%BB%87n-Y%C3%AAn-S%C6%A1n-t%E1%BB%89nh-Tuy%C3%AAn-Quang-100064458052002/", "Công an xã Sơn Nam  tỉnh Tuyên Quang")</f>
      </c>
      <c r="C3100" t="str">
        <v>https://www.facebook.com/p/C%C3%B4ng-an-huy%E1%BB%87n-Y%C3%AAn-S%C6%A1n-t%E1%BB%89nh-Tuy%C3%AAn-Quang-100064458052002/</v>
      </c>
      <c r="D3100" t="str">
        <v>-</v>
      </c>
      <c r="E3100" t="str">
        <v/>
      </c>
      <c r="F3100" t="str">
        <v>-</v>
      </c>
      <c r="G3100" t="str">
        <v>-</v>
      </c>
    </row>
    <row r="3101">
      <c r="A3101">
        <v>3100</v>
      </c>
      <c r="B3101">
        <f>HYPERLINK("https://yenson.tuyenquang.gov.vn/", "UBND Ủy ban nhân dân xã Sơn Nam  tỉnh Tuyên Quang")</f>
      </c>
      <c r="C3101" t="str">
        <v>https://yenson.tuyenquang.gov.vn/</v>
      </c>
      <c r="D3101" t="str">
        <v>-</v>
      </c>
      <c r="E3101" t="str">
        <v>-</v>
      </c>
      <c r="F3101" t="str">
        <v>-</v>
      </c>
      <c r="G3101" t="str">
        <v>-</v>
      </c>
    </row>
    <row r="3102">
      <c r="A3102">
        <v>3101</v>
      </c>
      <c r="B3102" t="str">
        <v>Công an xã Hào Phú  tỉnh Tuyên Quang</v>
      </c>
      <c r="C3102" t="str">
        <v>-</v>
      </c>
      <c r="D3102" t="str">
        <v>-</v>
      </c>
      <c r="E3102" t="str">
        <v/>
      </c>
      <c r="F3102" t="str">
        <v>-</v>
      </c>
      <c r="G3102" t="str">
        <v>-</v>
      </c>
    </row>
    <row r="3103">
      <c r="A3103">
        <v>3102</v>
      </c>
      <c r="B3103">
        <f>HYPERLINK("http://www.tuyenquang.gov.vn/vi/post/quyet-dinh-ve-viec-cong-nhan-xa-hao-phu-huyen-son-duong-tinh-tuyen-quang-dat-chuan-nong-thon-moi?type=EXECUTIVE_DIRECTION&amp;id=33588", "UBND Ủy ban nhân dân xã Hào Phú  tỉnh Tuyên Quang")</f>
      </c>
      <c r="C3103" t="str">
        <v>http://www.tuyenquang.gov.vn/vi/post/quyet-dinh-ve-viec-cong-nhan-xa-hao-phu-huyen-son-duong-tinh-tuyen-quang-dat-chuan-nong-thon-moi?type=EXECUTIVE_DIRECTION&amp;id=33588</v>
      </c>
      <c r="D3103" t="str">
        <v>-</v>
      </c>
      <c r="E3103" t="str">
        <v>-</v>
      </c>
      <c r="F3103" t="str">
        <v>-</v>
      </c>
      <c r="G3103" t="str">
        <v>-</v>
      </c>
    </row>
    <row r="3104">
      <c r="A3104">
        <v>3103</v>
      </c>
      <c r="B3104">
        <f>HYPERLINK("https://www.facebook.com/p/C%C3%B4ng-an-x%C3%A3-Tam-%C4%90a-huy%E1%BB%87n-S%C6%A1n-D%C6%B0%C6%A1ng-100082962715378/", "Công an xã Tam Đa  tỉnh Tuyên Quang")</f>
      </c>
      <c r="C3104" t="str">
        <v>https://www.facebook.com/p/C%C3%B4ng-an-x%C3%A3-Tam-%C4%90a-huy%E1%BB%87n-S%C6%A1n-D%C6%B0%C6%A1ng-100082962715378/</v>
      </c>
      <c r="D3104" t="str">
        <v>-</v>
      </c>
      <c r="E3104" t="str">
        <v/>
      </c>
      <c r="F3104" t="str">
        <v>-</v>
      </c>
      <c r="G3104" t="str">
        <v>-</v>
      </c>
    </row>
    <row r="3105">
      <c r="A3105">
        <v>3104</v>
      </c>
      <c r="B3105">
        <f>HYPERLINK("http://congbao.tuyenquang.gov.vn/van-ban/noi-ban-hanh/uy-ban-nhan-dan-tinh/trang-74.html", "UBND Ủy ban nhân dân xã Tam Đa  tỉnh Tuyên Quang")</f>
      </c>
      <c r="C3105" t="str">
        <v>http://congbao.tuyenquang.gov.vn/van-ban/noi-ban-hanh/uy-ban-nhan-dan-tinh/trang-74.html</v>
      </c>
      <c r="D3105" t="str">
        <v>-</v>
      </c>
      <c r="E3105" t="str">
        <v>-</v>
      </c>
      <c r="F3105" t="str">
        <v>-</v>
      </c>
      <c r="G3105" t="str">
        <v>-</v>
      </c>
    </row>
    <row r="3106">
      <c r="A3106">
        <v>3105</v>
      </c>
      <c r="B3106" t="str">
        <v>Công an xã Sầm Dương  tỉnh Tuyên Quang</v>
      </c>
      <c r="C3106" t="str">
        <v>-</v>
      </c>
      <c r="D3106" t="str">
        <v>-</v>
      </c>
      <c r="E3106" t="str">
        <v/>
      </c>
      <c r="F3106" t="str">
        <v>-</v>
      </c>
      <c r="G3106" t="str">
        <v>-</v>
      </c>
    </row>
    <row r="3107">
      <c r="A3107">
        <v>3106</v>
      </c>
      <c r="B3107">
        <f>HYPERLINK("http://congbao.tuyenquang.gov.vn/van-ban/noi-ban-hanh/uy-ban-nhan-dan-tinh/trang-674.html", "UBND Ủy ban nhân dân xã Sầm Dương  tỉnh Tuyên Quang")</f>
      </c>
      <c r="C3107" t="str">
        <v>http://congbao.tuyenquang.gov.vn/van-ban/noi-ban-hanh/uy-ban-nhan-dan-tinh/trang-674.html</v>
      </c>
      <c r="D3107" t="str">
        <v>-</v>
      </c>
      <c r="E3107" t="str">
        <v>-</v>
      </c>
      <c r="F3107" t="str">
        <v>-</v>
      </c>
      <c r="G3107" t="str">
        <v>-</v>
      </c>
    </row>
    <row r="3108">
      <c r="A3108">
        <v>3107</v>
      </c>
      <c r="B3108">
        <f>HYPERLINK("https://www.facebook.com/p/C%C3%94NG-AN-L%C3%82M-B%C3%8CNH-100064411584657/", "Công an xã Lâm Xuyên  tỉnh Tuyên Quang")</f>
      </c>
      <c r="C3108" t="str">
        <v>https://www.facebook.com/p/C%C3%94NG-AN-L%C3%82M-B%C3%8CNH-100064411584657/</v>
      </c>
      <c r="D3108" t="str">
        <v>-</v>
      </c>
      <c r="E3108" t="str">
        <v/>
      </c>
      <c r="F3108" t="str">
        <v>-</v>
      </c>
      <c r="G3108" t="str">
        <v>-</v>
      </c>
    </row>
    <row r="3109">
      <c r="A3109">
        <v>3108</v>
      </c>
      <c r="B3109">
        <f>HYPERLINK("https://m.hdndtuyenquang.gov.vn/dai-bieu-voi-cu-tri/tra-loi-y-kien/son-duong/xa-lam-xuyen.html", "UBND Ủy ban nhân dân xã Lâm Xuyên  tỉnh Tuyên Quang")</f>
      </c>
      <c r="C3109" t="str">
        <v>https://m.hdndtuyenquang.gov.vn/dai-bieu-voi-cu-tri/tra-loi-y-kien/son-duong/xa-lam-xuyen.html</v>
      </c>
      <c r="D3109" t="str">
        <v>-</v>
      </c>
      <c r="E3109" t="str">
        <v>-</v>
      </c>
      <c r="F3109" t="str">
        <v>-</v>
      </c>
      <c r="G3109" t="str">
        <v>-</v>
      </c>
    </row>
    <row r="3110">
      <c r="A3110">
        <v>3109</v>
      </c>
      <c r="B3110" t="str">
        <v>Công an phường Duyên Hải  tỉnh Lào Cai</v>
      </c>
      <c r="C3110" t="str">
        <v>-</v>
      </c>
      <c r="D3110" t="str">
        <v>-</v>
      </c>
      <c r="E3110" t="str">
        <v/>
      </c>
      <c r="F3110" t="str">
        <v>-</v>
      </c>
      <c r="G3110" t="str">
        <v>-</v>
      </c>
    </row>
    <row r="3111">
      <c r="A3111">
        <v>3110</v>
      </c>
      <c r="B3111">
        <f>HYPERLINK("http://duyenhai.tplaocai.laocai.gov.vn/", "UBND Ủy ban nhân dân phường Duyên Hải  tỉnh Lào Cai")</f>
      </c>
      <c r="C3111" t="str">
        <v>http://duyenhai.tplaocai.laocai.gov.vn/</v>
      </c>
      <c r="D3111" t="str">
        <v>-</v>
      </c>
      <c r="E3111" t="str">
        <v>-</v>
      </c>
      <c r="F3111" t="str">
        <v>-</v>
      </c>
      <c r="G3111" t="str">
        <v>-</v>
      </c>
    </row>
    <row r="3112">
      <c r="A3112">
        <v>3111</v>
      </c>
      <c r="B3112">
        <f>HYPERLINK("https://www.facebook.com/p/Tu%E1%BB%95i-tr%E1%BA%BB-C%C3%B4ng-an-th%C3%A0nh-ph%E1%BB%91-L%C3%A0o-Cai-100065690011431/", "Công an phường Lào Cai  tỉnh Lào Cai")</f>
      </c>
      <c r="C3112" t="str">
        <v>https://www.facebook.com/p/Tu%E1%BB%95i-tr%E1%BA%BB-C%C3%B4ng-an-th%C3%A0nh-ph%E1%BB%91-L%C3%A0o-Cai-100065690011431/</v>
      </c>
      <c r="D3112" t="str">
        <v>-</v>
      </c>
      <c r="E3112" t="str">
        <v/>
      </c>
      <c r="F3112" t="str">
        <v>-</v>
      </c>
      <c r="G3112" t="str">
        <v>-</v>
      </c>
    </row>
    <row r="3113">
      <c r="A3113">
        <v>3112</v>
      </c>
      <c r="B3113">
        <f>HYPERLINK("https://www.laocai.gov.vn/", "UBND Ủy ban nhân dân phường Lào Cai  tỉnh Lào Cai")</f>
      </c>
      <c r="C3113" t="str">
        <v>https://www.laocai.gov.vn/</v>
      </c>
      <c r="D3113" t="str">
        <v>-</v>
      </c>
      <c r="E3113" t="str">
        <v>-</v>
      </c>
      <c r="F3113" t="str">
        <v>-</v>
      </c>
      <c r="G3113" t="str">
        <v>-</v>
      </c>
    </row>
    <row r="3114">
      <c r="A3114">
        <v>3113</v>
      </c>
      <c r="B3114">
        <f>HYPERLINK("https://www.facebook.com/p/Tu%E1%BB%95i-tr%E1%BA%BB-C%C3%B4ng-an-th%C3%A0nh-ph%E1%BB%91-L%C3%A0o-Cai-100065690011431/", "Công an phường Phố Mới  tỉnh Lào Cai")</f>
      </c>
      <c r="C3114" t="str">
        <v>https://www.facebook.com/p/Tu%E1%BB%95i-tr%E1%BA%BB-C%C3%B4ng-an-th%C3%A0nh-ph%E1%BB%91-L%C3%A0o-Cai-100065690011431/</v>
      </c>
      <c r="D3114" t="str">
        <v>-</v>
      </c>
      <c r="E3114" t="str">
        <v/>
      </c>
      <c r="F3114" t="str">
        <v>-</v>
      </c>
      <c r="G3114" t="str">
        <v>-</v>
      </c>
    </row>
    <row r="3115">
      <c r="A3115">
        <v>3114</v>
      </c>
      <c r="B3115">
        <f>HYPERLINK("https://www.laocai.gov.vn/", "UBND Ủy ban nhân dân phường Phố Mới  tỉnh Lào Cai")</f>
      </c>
      <c r="C3115" t="str">
        <v>https://www.laocai.gov.vn/</v>
      </c>
      <c r="D3115" t="str">
        <v>-</v>
      </c>
      <c r="E3115" t="str">
        <v>-</v>
      </c>
      <c r="F3115" t="str">
        <v>-</v>
      </c>
      <c r="G3115" t="str">
        <v>-</v>
      </c>
    </row>
    <row r="3116">
      <c r="A3116">
        <v>3115</v>
      </c>
      <c r="B3116">
        <f>HYPERLINK("https://www.facebook.com/p/Tu%E1%BB%95i-tr%E1%BA%BB-C%C3%B4ng-an-th%C3%A0nh-ph%E1%BB%91-L%C3%A0o-Cai-100065690011431/", "Công an phường Cốc Lếu  tỉnh Lào Cai")</f>
      </c>
      <c r="C3116" t="str">
        <v>https://www.facebook.com/p/Tu%E1%BB%95i-tr%E1%BA%BB-C%C3%B4ng-an-th%C3%A0nh-ph%E1%BB%91-L%C3%A0o-Cai-100065690011431/</v>
      </c>
      <c r="D3116" t="str">
        <v>-</v>
      </c>
      <c r="E3116" t="str">
        <v/>
      </c>
      <c r="F3116" t="str">
        <v>-</v>
      </c>
      <c r="G3116" t="str">
        <v>-</v>
      </c>
    </row>
    <row r="3117">
      <c r="A3117">
        <v>3116</v>
      </c>
      <c r="B3117">
        <f>HYPERLINK("http://cocleu.tplaocai.laocai.gov.vn/", "UBND Ủy ban nhân dân phường Cốc Lếu  tỉnh Lào Cai")</f>
      </c>
      <c r="C3117" t="str">
        <v>http://cocleu.tplaocai.laocai.gov.vn/</v>
      </c>
      <c r="D3117" t="str">
        <v>-</v>
      </c>
      <c r="E3117" t="str">
        <v>-</v>
      </c>
      <c r="F3117" t="str">
        <v>-</v>
      </c>
      <c r="G3117" t="str">
        <v>-</v>
      </c>
    </row>
    <row r="3118">
      <c r="A3118">
        <v>3117</v>
      </c>
      <c r="B3118" t="str">
        <v>Công an phường Kim Tân  tỉnh Lào Cai</v>
      </c>
      <c r="C3118" t="str">
        <v>-</v>
      </c>
      <c r="D3118" t="str">
        <v>-</v>
      </c>
      <c r="E3118" t="str">
        <v/>
      </c>
      <c r="F3118" t="str">
        <v>-</v>
      </c>
      <c r="G3118" t="str">
        <v>-</v>
      </c>
    </row>
    <row r="3119">
      <c r="A3119">
        <v>3118</v>
      </c>
      <c r="B3119">
        <f>HYPERLINK("http://kimtan.tplaocai.laocai.gov.vn/", "UBND Ủy ban nhân dân phường Kim Tân  tỉnh Lào Cai")</f>
      </c>
      <c r="C3119" t="str">
        <v>http://kimtan.tplaocai.laocai.gov.vn/</v>
      </c>
      <c r="D3119" t="str">
        <v>-</v>
      </c>
      <c r="E3119" t="str">
        <v>-</v>
      </c>
      <c r="F3119" t="str">
        <v>-</v>
      </c>
      <c r="G3119" t="str">
        <v>-</v>
      </c>
    </row>
    <row r="3120">
      <c r="A3120">
        <v>3119</v>
      </c>
      <c r="B3120">
        <f>HYPERLINK("https://www.facebook.com/tieuhocbaclenh/?locale=lt_LT", "Công an phường Bắc Lệnh  tỉnh Lào Cai")</f>
      </c>
      <c r="C3120" t="str">
        <v>https://www.facebook.com/tieuhocbaclenh/?locale=lt_LT</v>
      </c>
      <c r="D3120" t="str">
        <v>-</v>
      </c>
      <c r="E3120" t="str">
        <v/>
      </c>
      <c r="F3120" t="str">
        <v>-</v>
      </c>
      <c r="G3120" t="str">
        <v>-</v>
      </c>
    </row>
    <row r="3121">
      <c r="A3121">
        <v>3120</v>
      </c>
      <c r="B3121">
        <f>HYPERLINK("http://baclenh.tplaocai.laocai.gov.vn/", "UBND Ủy ban nhân dân phường Bắc Lệnh  tỉnh Lào Cai")</f>
      </c>
      <c r="C3121" t="str">
        <v>http://baclenh.tplaocai.laocai.gov.vn/</v>
      </c>
      <c r="D3121" t="str">
        <v>-</v>
      </c>
      <c r="E3121" t="str">
        <v>-</v>
      </c>
      <c r="F3121" t="str">
        <v>-</v>
      </c>
      <c r="G3121" t="str">
        <v>-</v>
      </c>
    </row>
    <row r="3122">
      <c r="A3122">
        <v>3121</v>
      </c>
      <c r="B3122">
        <f>HYPERLINK("https://www.facebook.com/groups/2215891668655800/", "Công an phường Pom Hán  tỉnh Lào Cai")</f>
      </c>
      <c r="C3122" t="str">
        <v>https://www.facebook.com/groups/2215891668655800/</v>
      </c>
      <c r="D3122" t="str">
        <v>-</v>
      </c>
      <c r="E3122" t="str">
        <v/>
      </c>
      <c r="F3122" t="str">
        <v>-</v>
      </c>
      <c r="G3122" t="str">
        <v>-</v>
      </c>
    </row>
    <row r="3123">
      <c r="A3123">
        <v>3122</v>
      </c>
      <c r="B3123">
        <f>HYPERLINK("http://pomhan.tplaocai.laocai.gov.vn/", "UBND Ủy ban nhân dân phường Pom Hán  tỉnh Lào Cai")</f>
      </c>
      <c r="C3123" t="str">
        <v>http://pomhan.tplaocai.laocai.gov.vn/</v>
      </c>
      <c r="D3123" t="str">
        <v>-</v>
      </c>
      <c r="E3123" t="str">
        <v>-</v>
      </c>
      <c r="F3123" t="str">
        <v>-</v>
      </c>
      <c r="G3123" t="str">
        <v>-</v>
      </c>
    </row>
    <row r="3124">
      <c r="A3124">
        <v>3123</v>
      </c>
      <c r="B3124" t="str">
        <v>Công an phường Xuân Tăng  tỉnh Lào Cai</v>
      </c>
      <c r="C3124" t="str">
        <v>-</v>
      </c>
      <c r="D3124" t="str">
        <v>-</v>
      </c>
      <c r="E3124" t="str">
        <v/>
      </c>
      <c r="F3124" t="str">
        <v>-</v>
      </c>
      <c r="G3124" t="str">
        <v>-</v>
      </c>
    </row>
    <row r="3125">
      <c r="A3125">
        <v>3124</v>
      </c>
      <c r="B3125">
        <f>HYPERLINK("http://xuantang.tplaocai.laocai.gov.vn/", "UBND Ủy ban nhân dân phường Xuân Tăng  tỉnh Lào Cai")</f>
      </c>
      <c r="C3125" t="str">
        <v>http://xuantang.tplaocai.laocai.gov.vn/</v>
      </c>
      <c r="D3125" t="str">
        <v>-</v>
      </c>
      <c r="E3125" t="str">
        <v>-</v>
      </c>
      <c r="F3125" t="str">
        <v>-</v>
      </c>
      <c r="G3125" t="str">
        <v>-</v>
      </c>
    </row>
    <row r="3126">
      <c r="A3126">
        <v>3125</v>
      </c>
      <c r="B3126">
        <f>HYPERLINK("https://www.facebook.com/binhminhlaocai/", "Công an phường Bình Minh  tỉnh Lào Cai")</f>
      </c>
      <c r="C3126" t="str">
        <v>https://www.facebook.com/binhminhlaocai/</v>
      </c>
      <c r="D3126" t="str">
        <v>-</v>
      </c>
      <c r="E3126" t="str">
        <v/>
      </c>
      <c r="F3126" t="str">
        <v>-</v>
      </c>
      <c r="G3126" t="str">
        <v>-</v>
      </c>
    </row>
    <row r="3127">
      <c r="A3127">
        <v>3126</v>
      </c>
      <c r="B3127">
        <f>HYPERLINK("http://binhminh.tplaocai.laocai.gov.vn/", "UBND Ủy ban nhân dân phường Bình Minh  tỉnh Lào Cai")</f>
      </c>
      <c r="C3127" t="str">
        <v>http://binhminh.tplaocai.laocai.gov.vn/</v>
      </c>
      <c r="D3127" t="str">
        <v>-</v>
      </c>
      <c r="E3127" t="str">
        <v>-</v>
      </c>
      <c r="F3127" t="str">
        <v>-</v>
      </c>
      <c r="G3127" t="str">
        <v>-</v>
      </c>
    </row>
    <row r="3128">
      <c r="A3128">
        <v>3127</v>
      </c>
      <c r="B3128">
        <f>HYPERLINK("https://www.facebook.com/p/Tu%E1%BB%95i-tr%E1%BA%BB-C%C3%B4ng-an-th%C3%A0nh-ph%E1%BB%91-L%C3%A0o-Cai-100065690011431/", "Công an phường Thống Nhất  tỉnh Lào Cai")</f>
      </c>
      <c r="C3128" t="str">
        <v>https://www.facebook.com/p/Tu%E1%BB%95i-tr%E1%BA%BB-C%C3%B4ng-an-th%C3%A0nh-ph%E1%BB%91-L%C3%A0o-Cai-100065690011431/</v>
      </c>
      <c r="D3128" t="str">
        <v>-</v>
      </c>
      <c r="E3128" t="str">
        <v/>
      </c>
      <c r="F3128" t="str">
        <v>-</v>
      </c>
      <c r="G3128" t="str">
        <v>-</v>
      </c>
    </row>
    <row r="3129">
      <c r="A3129">
        <v>3128</v>
      </c>
      <c r="B3129">
        <f>HYPERLINK("http://thongnhat.tplaocai.laocai.gov.vn/", "UBND Ủy ban nhân dân phường Thống Nhất  tỉnh Lào Cai")</f>
      </c>
      <c r="C3129" t="str">
        <v>http://thongnhat.tplaocai.laocai.gov.vn/</v>
      </c>
      <c r="D3129" t="str">
        <v>-</v>
      </c>
      <c r="E3129" t="str">
        <v>-</v>
      </c>
      <c r="F3129" t="str">
        <v>-</v>
      </c>
      <c r="G3129" t="str">
        <v>-</v>
      </c>
    </row>
    <row r="3130">
      <c r="A3130">
        <v>3129</v>
      </c>
      <c r="B3130">
        <f>HYPERLINK("https://www.facebook.com/p/%C4%90o%C3%A0n-thanh-ni%C3%AAn-x%C3%A3-%C4%90%E1%BB%93ng-Tuy%E1%BB%83n-th%C3%A0nh-ph%E1%BB%91-L%C3%A0o-Cai-100077660484685/", "Công an xã Đồng Tuyển  tỉnh Lào Cai")</f>
      </c>
      <c r="C3130" t="str">
        <v>https://www.facebook.com/p/%C4%90o%C3%A0n-thanh-ni%C3%AAn-x%C3%A3-%C4%90%E1%BB%93ng-Tuy%E1%BB%83n-th%C3%A0nh-ph%E1%BB%91-L%C3%A0o-Cai-100077660484685/</v>
      </c>
      <c r="D3130" t="str">
        <v>-</v>
      </c>
      <c r="E3130" t="str">
        <v/>
      </c>
      <c r="F3130" t="str">
        <v>-</v>
      </c>
      <c r="G3130" t="str">
        <v>-</v>
      </c>
    </row>
    <row r="3131">
      <c r="A3131">
        <v>3130</v>
      </c>
      <c r="B3131">
        <f>HYPERLINK("http://dongtuyen.tplaocai.laocai.gov.vn/", "UBND Ủy ban nhân dân xã Đồng Tuyển  tỉnh Lào Cai")</f>
      </c>
      <c r="C3131" t="str">
        <v>http://dongtuyen.tplaocai.laocai.gov.vn/</v>
      </c>
      <c r="D3131" t="str">
        <v>-</v>
      </c>
      <c r="E3131" t="str">
        <v>-</v>
      </c>
      <c r="F3131" t="str">
        <v>-</v>
      </c>
      <c r="G3131" t="str">
        <v>-</v>
      </c>
    </row>
    <row r="3132">
      <c r="A3132">
        <v>3131</v>
      </c>
      <c r="B3132" t="str">
        <v>Công an xã Vạn Hoà  tỉnh Lào Cai</v>
      </c>
      <c r="C3132" t="str">
        <v>-</v>
      </c>
      <c r="D3132" t="str">
        <v>-</v>
      </c>
      <c r="E3132" t="str">
        <v/>
      </c>
      <c r="F3132" t="str">
        <v>-</v>
      </c>
      <c r="G3132" t="str">
        <v>-</v>
      </c>
    </row>
    <row r="3133">
      <c r="A3133">
        <v>3132</v>
      </c>
      <c r="B3133">
        <f>HYPERLINK("http://vanhoa.tplaocai.laocai.gov.vn/", "UBND Ủy ban nhân dân xã Vạn Hoà  tỉnh Lào Cai")</f>
      </c>
      <c r="C3133" t="str">
        <v>http://vanhoa.tplaocai.laocai.gov.vn/</v>
      </c>
      <c r="D3133" t="str">
        <v>-</v>
      </c>
      <c r="E3133" t="str">
        <v>-</v>
      </c>
      <c r="F3133" t="str">
        <v>-</v>
      </c>
      <c r="G3133" t="str">
        <v>-</v>
      </c>
    </row>
    <row r="3134">
      <c r="A3134">
        <v>3133</v>
      </c>
      <c r="B3134" t="str">
        <v>Công an phường Bắc Cường  tỉnh Lào Cai</v>
      </c>
      <c r="C3134" t="str">
        <v>-</v>
      </c>
      <c r="D3134" t="str">
        <v>-</v>
      </c>
      <c r="E3134" t="str">
        <v/>
      </c>
      <c r="F3134" t="str">
        <v>-</v>
      </c>
      <c r="G3134" t="str">
        <v>-</v>
      </c>
    </row>
    <row r="3135">
      <c r="A3135">
        <v>3134</v>
      </c>
      <c r="B3135">
        <f>HYPERLINK("http://baccuong.tplaocai.laocai.gov.vn/", "UBND Ủy ban nhân dân phường Bắc Cường  tỉnh Lào Cai")</f>
      </c>
      <c r="C3135" t="str">
        <v>http://baccuong.tplaocai.laocai.gov.vn/</v>
      </c>
      <c r="D3135" t="str">
        <v>-</v>
      </c>
      <c r="E3135" t="str">
        <v>-</v>
      </c>
      <c r="F3135" t="str">
        <v>-</v>
      </c>
      <c r="G3135" t="str">
        <v>-</v>
      </c>
    </row>
    <row r="3136">
      <c r="A3136">
        <v>3135</v>
      </c>
      <c r="B3136" t="str">
        <v>Công an phường Nam Cường  tỉnh Lào Cai</v>
      </c>
      <c r="C3136" t="str">
        <v>-</v>
      </c>
      <c r="D3136" t="str">
        <v>-</v>
      </c>
      <c r="E3136" t="str">
        <v/>
      </c>
      <c r="F3136" t="str">
        <v>-</v>
      </c>
      <c r="G3136" t="str">
        <v>-</v>
      </c>
    </row>
    <row r="3137">
      <c r="A3137">
        <v>3136</v>
      </c>
      <c r="B3137">
        <f>HYPERLINK("http://namcuong.tplaocai.laocai.gov.vn/", "UBND Ủy ban nhân dân phường Nam Cường  tỉnh Lào Cai")</f>
      </c>
      <c r="C3137" t="str">
        <v>http://namcuong.tplaocai.laocai.gov.vn/</v>
      </c>
      <c r="D3137" t="str">
        <v>-</v>
      </c>
      <c r="E3137" t="str">
        <v>-</v>
      </c>
      <c r="F3137" t="str">
        <v>-</v>
      </c>
      <c r="G3137" t="str">
        <v>-</v>
      </c>
    </row>
    <row r="3138">
      <c r="A3138">
        <v>3137</v>
      </c>
      <c r="B3138">
        <f>HYPERLINK("https://www.facebook.com/DoanThanhnienCongantinhLaoCai/", "Công an xã Cam Đường  tỉnh Lào Cai")</f>
      </c>
      <c r="C3138" t="str">
        <v>https://www.facebook.com/DoanThanhnienCongantinhLaoCai/</v>
      </c>
      <c r="D3138" t="str">
        <v>-</v>
      </c>
      <c r="E3138" t="str">
        <v/>
      </c>
      <c r="F3138" t="str">
        <v>-</v>
      </c>
      <c r="G3138" t="str">
        <v>-</v>
      </c>
    </row>
    <row r="3139">
      <c r="A3139">
        <v>3138</v>
      </c>
      <c r="B3139">
        <f>HYPERLINK("http://camduong.tplaocai.laocai.gov.vn/", "UBND Ủy ban nhân dân xã Cam Đường  tỉnh Lào Cai")</f>
      </c>
      <c r="C3139" t="str">
        <v>http://camduong.tplaocai.laocai.gov.vn/</v>
      </c>
      <c r="D3139" t="str">
        <v>-</v>
      </c>
      <c r="E3139" t="str">
        <v>-</v>
      </c>
      <c r="F3139" t="str">
        <v>-</v>
      </c>
      <c r="G3139" t="str">
        <v>-</v>
      </c>
    </row>
    <row r="3140">
      <c r="A3140">
        <v>3139</v>
      </c>
      <c r="B3140" t="str">
        <v>Công an xã Tả Phời  tỉnh Lào Cai</v>
      </c>
      <c r="C3140" t="str">
        <v>-</v>
      </c>
      <c r="D3140" t="str">
        <v>-</v>
      </c>
      <c r="E3140" t="str">
        <v/>
      </c>
      <c r="F3140" t="str">
        <v>-</v>
      </c>
      <c r="G3140" t="str">
        <v>-</v>
      </c>
    </row>
    <row r="3141">
      <c r="A3141">
        <v>3140</v>
      </c>
      <c r="B3141">
        <f>HYPERLINK("http://taphoi.tplaocai.laocai.gov.vn/", "UBND Ủy ban nhân dân xã Tả Phời  tỉnh Lào Cai")</f>
      </c>
      <c r="C3141" t="str">
        <v>http://taphoi.tplaocai.laocai.gov.vn/</v>
      </c>
      <c r="D3141" t="str">
        <v>-</v>
      </c>
      <c r="E3141" t="str">
        <v>-</v>
      </c>
      <c r="F3141" t="str">
        <v>-</v>
      </c>
      <c r="G3141" t="str">
        <v>-</v>
      </c>
    </row>
    <row r="3142">
      <c r="A3142">
        <v>3141</v>
      </c>
      <c r="B3142">
        <f>HYPERLINK("https://www.facebook.com/xahopthanh/", "Công an xã Hợp Thành  tỉnh Lào Cai")</f>
      </c>
      <c r="C3142" t="str">
        <v>https://www.facebook.com/xahopthanh/</v>
      </c>
      <c r="D3142" t="str">
        <v>-</v>
      </c>
      <c r="E3142" t="str">
        <v/>
      </c>
      <c r="F3142" t="str">
        <v>-</v>
      </c>
      <c r="G3142" t="str">
        <v>-</v>
      </c>
    </row>
    <row r="3143">
      <c r="A3143">
        <v>3142</v>
      </c>
      <c r="B3143">
        <f>HYPERLINK("http://hopthanh.tplaocai.laocai.gov.vn/", "UBND Ủy ban nhân dân xã Hợp Thành  tỉnh Lào Cai")</f>
      </c>
      <c r="C3143" t="str">
        <v>http://hopthanh.tplaocai.laocai.gov.vn/</v>
      </c>
      <c r="D3143" t="str">
        <v>-</v>
      </c>
      <c r="E3143" t="str">
        <v>-</v>
      </c>
      <c r="F3143" t="str">
        <v>-</v>
      </c>
      <c r="G3143" t="str">
        <v>-</v>
      </c>
    </row>
    <row r="3144">
      <c r="A3144">
        <v>3143</v>
      </c>
      <c r="B3144">
        <f>HYPERLINK("https://www.facebook.com/p/C%C3%B4ng-An-Th%E1%BB%8B-Tr%E1%BA%A5n-B%C3%A1t-X%C3%A1t-100080062719160/", "Công an thị trấn Bát Xát  tỉnh Lào Cai")</f>
      </c>
      <c r="C3144" t="str">
        <v>https://www.facebook.com/p/C%C3%B4ng-An-Th%E1%BB%8B-Tr%E1%BA%A5n-B%C3%A1t-X%C3%A1t-100080062719160/</v>
      </c>
      <c r="D3144" t="str">
        <v>-</v>
      </c>
      <c r="E3144" t="str">
        <v/>
      </c>
      <c r="F3144" t="str">
        <v>-</v>
      </c>
      <c r="G3144" t="str">
        <v>-</v>
      </c>
    </row>
    <row r="3145">
      <c r="A3145">
        <v>3144</v>
      </c>
      <c r="B3145">
        <f>HYPERLINK("https://batxat.laocai.gov.vn/", "UBND Ủy ban nhân dân thị trấn Bát Xát  tỉnh Lào Cai")</f>
      </c>
      <c r="C3145" t="str">
        <v>https://batxat.laocai.gov.vn/</v>
      </c>
      <c r="D3145" t="str">
        <v>-</v>
      </c>
      <c r="E3145" t="str">
        <v>-</v>
      </c>
      <c r="F3145" t="str">
        <v>-</v>
      </c>
      <c r="G3145" t="str">
        <v>-</v>
      </c>
    </row>
    <row r="3146">
      <c r="A3146">
        <v>3145</v>
      </c>
      <c r="B3146" t="str">
        <v>Công an xã A Mú Sung  tỉnh Lào Cai</v>
      </c>
      <c r="C3146" t="str">
        <v>-</v>
      </c>
      <c r="D3146" t="str">
        <v>-</v>
      </c>
      <c r="E3146" t="str">
        <v/>
      </c>
      <c r="F3146" t="str">
        <v>-</v>
      </c>
      <c r="G3146" t="str">
        <v>-</v>
      </c>
    </row>
    <row r="3147">
      <c r="A3147">
        <v>3146</v>
      </c>
      <c r="B3147">
        <f>HYPERLINK("https://batxat.laocai.gov.vn/ubnd-cac-xa-thi-tran/nhiem-vu-quyen-han-va-co-cau-to-chuc-cua-hdnd-va-ubnd-xa-a-mu-sung-824403", "UBND Ủy ban nhân dân xã A Mú Sung  tỉnh Lào Cai")</f>
      </c>
      <c r="C3147" t="str">
        <v>https://batxat.laocai.gov.vn/ubnd-cac-xa-thi-tran/nhiem-vu-quyen-han-va-co-cau-to-chuc-cua-hdnd-va-ubnd-xa-a-mu-sung-824403</v>
      </c>
      <c r="D3147" t="str">
        <v>-</v>
      </c>
      <c r="E3147" t="str">
        <v>-</v>
      </c>
      <c r="F3147" t="str">
        <v>-</v>
      </c>
      <c r="G3147" t="str">
        <v>-</v>
      </c>
    </row>
    <row r="3148">
      <c r="A3148">
        <v>3147</v>
      </c>
      <c r="B3148" t="str">
        <v>Công an xã Nậm Chạc  tỉnh Lào Cai</v>
      </c>
      <c r="C3148" t="str">
        <v>-</v>
      </c>
      <c r="D3148" t="str">
        <v>-</v>
      </c>
      <c r="E3148" t="str">
        <v/>
      </c>
      <c r="F3148" t="str">
        <v>-</v>
      </c>
      <c r="G3148" t="str">
        <v>-</v>
      </c>
    </row>
    <row r="3149">
      <c r="A3149">
        <v>3148</v>
      </c>
      <c r="B3149">
        <f>HYPERLINK("https://batxat.laocai.gov.vn/", "UBND Ủy ban nhân dân xã Nậm Chạc  tỉnh Lào Cai")</f>
      </c>
      <c r="C3149" t="str">
        <v>https://batxat.laocai.gov.vn/</v>
      </c>
      <c r="D3149" t="str">
        <v>-</v>
      </c>
      <c r="E3149" t="str">
        <v>-</v>
      </c>
      <c r="F3149" t="str">
        <v>-</v>
      </c>
      <c r="G3149" t="str">
        <v>-</v>
      </c>
    </row>
    <row r="3150">
      <c r="A3150">
        <v>3149</v>
      </c>
      <c r="B3150" t="str">
        <v>Công an xã A Lù  tỉnh Lào Cai</v>
      </c>
      <c r="C3150" t="str">
        <v>-</v>
      </c>
      <c r="D3150" t="str">
        <v>-</v>
      </c>
      <c r="E3150" t="str">
        <v/>
      </c>
      <c r="F3150" t="str">
        <v>-</v>
      </c>
      <c r="G3150" t="str">
        <v>-</v>
      </c>
    </row>
    <row r="3151">
      <c r="A3151">
        <v>3150</v>
      </c>
      <c r="B3151">
        <f>HYPERLINK("https://laocai.gov.vn/tin-trong-tinh/khoi-cong-xay-dung-28-can-nha-cho-nguoi-dan-xa-a-lu-huyen-bat-xat-1306832", "UBND Ủy ban nhân dân xã A Lù  tỉnh Lào Cai")</f>
      </c>
      <c r="C3151" t="str">
        <v>https://laocai.gov.vn/tin-trong-tinh/khoi-cong-xay-dung-28-can-nha-cho-nguoi-dan-xa-a-lu-huyen-bat-xat-1306832</v>
      </c>
      <c r="D3151" t="str">
        <v>-</v>
      </c>
      <c r="E3151" t="str">
        <v>-</v>
      </c>
      <c r="F3151" t="str">
        <v>-</v>
      </c>
      <c r="G3151" t="str">
        <v>-</v>
      </c>
    </row>
    <row r="3152">
      <c r="A3152">
        <v>3151</v>
      </c>
      <c r="B3152">
        <f>HYPERLINK("https://www.facebook.com/reel/672925791340934/", "Công an xã Trịnh Tường  tỉnh Lào Cai")</f>
      </c>
      <c r="C3152" t="str">
        <v>https://www.facebook.com/reel/672925791340934/</v>
      </c>
      <c r="D3152" t="str">
        <v>-</v>
      </c>
      <c r="E3152" t="str">
        <v/>
      </c>
      <c r="F3152" t="str">
        <v>-</v>
      </c>
      <c r="G3152" t="str">
        <v>-</v>
      </c>
    </row>
    <row r="3153">
      <c r="A3153">
        <v>3152</v>
      </c>
      <c r="B3153">
        <f>HYPERLINK("https://www.laocai.gov.vn/tin-trong-tinh/khao-sat-hien-trang-lang-thanh-nien-lap-nghiep-xa-trinh-tuong-huyen-bat-xat-1310441", "UBND Ủy ban nhân dân xã Trịnh Tường  tỉnh Lào Cai")</f>
      </c>
      <c r="C3153" t="str">
        <v>https://www.laocai.gov.vn/tin-trong-tinh/khao-sat-hien-trang-lang-thanh-nien-lap-nghiep-xa-trinh-tuong-huyen-bat-xat-1310441</v>
      </c>
      <c r="D3153" t="str">
        <v>-</v>
      </c>
      <c r="E3153" t="str">
        <v>-</v>
      </c>
      <c r="F3153" t="str">
        <v>-</v>
      </c>
      <c r="G3153" t="str">
        <v>-</v>
      </c>
    </row>
    <row r="3154">
      <c r="A3154">
        <v>3153</v>
      </c>
      <c r="B3154" t="str">
        <v>Công an xã Ngải Thầu  tỉnh Lào Cai</v>
      </c>
      <c r="C3154" t="str">
        <v>-</v>
      </c>
      <c r="D3154" t="str">
        <v>-</v>
      </c>
      <c r="E3154" t="str">
        <v/>
      </c>
      <c r="F3154" t="str">
        <v>-</v>
      </c>
      <c r="G3154" t="str">
        <v>-</v>
      </c>
    </row>
    <row r="3155">
      <c r="A3155">
        <v>3154</v>
      </c>
      <c r="B3155">
        <f>HYPERLINK("https://batxat.laocai.gov.vn/hoat-dong-cua-cap-uy/cong-bo-quyet-dinh-sap-nhap-dang-bo-xa-ngai-thau-va-dang-bo-xa-a-lu-827699", "UBND Ủy ban nhân dân xã Ngải Thầu  tỉnh Lào Cai")</f>
      </c>
      <c r="C3155" t="str">
        <v>https://batxat.laocai.gov.vn/hoat-dong-cua-cap-uy/cong-bo-quyet-dinh-sap-nhap-dang-bo-xa-ngai-thau-va-dang-bo-xa-a-lu-827699</v>
      </c>
      <c r="D3155" t="str">
        <v>-</v>
      </c>
      <c r="E3155" t="str">
        <v>-</v>
      </c>
      <c r="F3155" t="str">
        <v>-</v>
      </c>
      <c r="G3155" t="str">
        <v>-</v>
      </c>
    </row>
    <row r="3156">
      <c r="A3156">
        <v>3155</v>
      </c>
      <c r="B3156">
        <f>HYPERLINK("https://www.facebook.com/DoanThanhnienCongantinhLaoCai/", "Công an xã Y Tý  tỉnh Lào Cai")</f>
      </c>
      <c r="C3156" t="str">
        <v>https://www.facebook.com/DoanThanhnienCongantinhLaoCai/</v>
      </c>
      <c r="D3156" t="str">
        <v>-</v>
      </c>
      <c r="E3156" t="str">
        <v/>
      </c>
      <c r="F3156" t="str">
        <v>-</v>
      </c>
      <c r="G3156" t="str">
        <v>-</v>
      </c>
    </row>
    <row r="3157">
      <c r="A3157">
        <v>3156</v>
      </c>
      <c r="B3157">
        <f>HYPERLINK("http://yty.batxat.laocai.gov.vn/", "UBND Ủy ban nhân dân xã Y Tý  tỉnh Lào Cai")</f>
      </c>
      <c r="C3157" t="str">
        <v>http://yty.batxat.laocai.gov.vn/</v>
      </c>
      <c r="D3157" t="str">
        <v>-</v>
      </c>
      <c r="E3157" t="str">
        <v>-</v>
      </c>
      <c r="F3157" t="str">
        <v>-</v>
      </c>
      <c r="G3157" t="str">
        <v>-</v>
      </c>
    </row>
    <row r="3158">
      <c r="A3158">
        <v>3157</v>
      </c>
      <c r="B3158" t="str">
        <v>Công an xã Cốc Mỳ  tỉnh Lào Cai</v>
      </c>
      <c r="C3158" t="str">
        <v>-</v>
      </c>
      <c r="D3158" t="str">
        <v>-</v>
      </c>
      <c r="E3158" t="str">
        <v/>
      </c>
      <c r="F3158" t="str">
        <v>-</v>
      </c>
      <c r="G3158" t="str">
        <v>-</v>
      </c>
    </row>
    <row r="3159">
      <c r="A3159">
        <v>3158</v>
      </c>
      <c r="B3159">
        <f>HYPERLINK("https://batxat.laocai.gov.vn/ubnd-cac-xa-thi-tran/nhiem-vu-quyen-han-va-co-cau-to-chuc-cua-hdnd-va-ubnd-xa-coc-my-824413", "UBND Ủy ban nhân dân xã Cốc Mỳ  tỉnh Lào Cai")</f>
      </c>
      <c r="C3159" t="str">
        <v>https://batxat.laocai.gov.vn/ubnd-cac-xa-thi-tran/nhiem-vu-quyen-han-va-co-cau-to-chuc-cua-hdnd-va-ubnd-xa-coc-my-824413</v>
      </c>
      <c r="D3159" t="str">
        <v>-</v>
      </c>
      <c r="E3159" t="str">
        <v>-</v>
      </c>
      <c r="F3159" t="str">
        <v>-</v>
      </c>
      <c r="G3159" t="str">
        <v>-</v>
      </c>
    </row>
    <row r="3160">
      <c r="A3160">
        <v>3159</v>
      </c>
      <c r="B3160">
        <f>HYPERLINK("https://www.facebook.com/DoanThanhnienCongantinhLaoCai/", "Công an xã Dền Sáng  tỉnh Lào Cai")</f>
      </c>
      <c r="C3160" t="str">
        <v>https://www.facebook.com/DoanThanhnienCongantinhLaoCai/</v>
      </c>
      <c r="D3160" t="str">
        <v>-</v>
      </c>
      <c r="E3160" t="str">
        <v/>
      </c>
      <c r="F3160" t="str">
        <v>-</v>
      </c>
      <c r="G3160" t="str">
        <v>-</v>
      </c>
    </row>
    <row r="3161">
      <c r="A3161">
        <v>3160</v>
      </c>
      <c r="B3161">
        <f>HYPERLINK("http://densang.batxat.laocai.gov.vn/kinh-te--van-hoa--xa-hoi/chu-tich-uy-ban-nhan-dan-xa-den-sang-tiep-xuc-doi-thoai-voi-thanh-nien-nam-2024-1283300", "UBND Ủy ban nhân dân xã Dền Sáng  tỉnh Lào Cai")</f>
      </c>
      <c r="C3161" t="str">
        <v>http://densang.batxat.laocai.gov.vn/kinh-te--van-hoa--xa-hoi/chu-tich-uy-ban-nhan-dan-xa-den-sang-tiep-xuc-doi-thoai-voi-thanh-nien-nam-2024-1283300</v>
      </c>
      <c r="D3161" t="str">
        <v>-</v>
      </c>
      <c r="E3161" t="str">
        <v>-</v>
      </c>
      <c r="F3161" t="str">
        <v>-</v>
      </c>
      <c r="G3161" t="str">
        <v>-</v>
      </c>
    </row>
    <row r="3162">
      <c r="A3162">
        <v>3161</v>
      </c>
      <c r="B3162" t="str">
        <v>Công an xã Bản Vược  tỉnh Lào Cai</v>
      </c>
      <c r="C3162" t="str">
        <v>-</v>
      </c>
      <c r="D3162" t="str">
        <v>-</v>
      </c>
      <c r="E3162" t="str">
        <v/>
      </c>
      <c r="F3162" t="str">
        <v>-</v>
      </c>
      <c r="G3162" t="str">
        <v>-</v>
      </c>
    </row>
    <row r="3163">
      <c r="A3163">
        <v>3162</v>
      </c>
      <c r="B3163">
        <f>HYPERLINK("http://banvuoc.batxat.laocai.gov.vn/", "UBND Ủy ban nhân dân xã Bản Vược  tỉnh Lào Cai")</f>
      </c>
      <c r="C3163" t="str">
        <v>http://banvuoc.batxat.laocai.gov.vn/</v>
      </c>
      <c r="D3163" t="str">
        <v>-</v>
      </c>
      <c r="E3163" t="str">
        <v>-</v>
      </c>
      <c r="F3163" t="str">
        <v>-</v>
      </c>
      <c r="G3163" t="str">
        <v>-</v>
      </c>
    </row>
    <row r="3164">
      <c r="A3164">
        <v>3163</v>
      </c>
      <c r="B3164" t="str">
        <v>Công an xã Sàng Ma Sáo  tỉnh Lào Cai</v>
      </c>
      <c r="C3164" t="str">
        <v>-</v>
      </c>
      <c r="D3164" t="str">
        <v>-</v>
      </c>
      <c r="E3164" t="str">
        <v/>
      </c>
      <c r="F3164" t="str">
        <v>-</v>
      </c>
      <c r="G3164" t="str">
        <v>-</v>
      </c>
    </row>
    <row r="3165">
      <c r="A3165">
        <v>3164</v>
      </c>
      <c r="B3165">
        <f>HYPERLINK("https://www.laocai.gov.vn/thong-tin-nganh-dia-phuong/no-luc-tim-kiem-nan-nhan-mat-tich-o-xa-sang-ma-sao-bat-xat-1298681", "UBND Ủy ban nhân dân xã Sàng Ma Sáo  tỉnh Lào Cai")</f>
      </c>
      <c r="C3165" t="str">
        <v>https://www.laocai.gov.vn/thong-tin-nganh-dia-phuong/no-luc-tim-kiem-nan-nhan-mat-tich-o-xa-sang-ma-sao-bat-xat-1298681</v>
      </c>
      <c r="D3165" t="str">
        <v>-</v>
      </c>
      <c r="E3165" t="str">
        <v>-</v>
      </c>
      <c r="F3165" t="str">
        <v>-</v>
      </c>
      <c r="G3165" t="str">
        <v>-</v>
      </c>
    </row>
    <row r="3166">
      <c r="A3166">
        <v>3165</v>
      </c>
      <c r="B3166">
        <f>HYPERLINK("https://www.facebook.com/DoanThanhnienCongantinhLaoCai/", "Công an xã Bản Qua  tỉnh Lào Cai")</f>
      </c>
      <c r="C3166" t="str">
        <v>https://www.facebook.com/DoanThanhnienCongantinhLaoCai/</v>
      </c>
      <c r="D3166" t="str">
        <v>-</v>
      </c>
      <c r="E3166" t="str">
        <v/>
      </c>
      <c r="F3166" t="str">
        <v>-</v>
      </c>
      <c r="G3166" t="str">
        <v>-</v>
      </c>
    </row>
    <row r="3167">
      <c r="A3167">
        <v>3166</v>
      </c>
      <c r="B3167">
        <f>HYPERLINK("https://www.laocai.gov.vn/", "UBND Ủy ban nhân dân xã Bản Qua  tỉnh Lào Cai")</f>
      </c>
      <c r="C3167" t="str">
        <v>https://www.laocai.gov.vn/</v>
      </c>
      <c r="D3167" t="str">
        <v>-</v>
      </c>
      <c r="E3167" t="str">
        <v>-</v>
      </c>
      <c r="F3167" t="str">
        <v>-</v>
      </c>
      <c r="G3167" t="str">
        <v>-</v>
      </c>
    </row>
    <row r="3168">
      <c r="A3168">
        <v>3167</v>
      </c>
      <c r="B3168" t="str">
        <v>Công an xã Mường Vi  tỉnh Lào Cai</v>
      </c>
      <c r="C3168" t="str">
        <v>-</v>
      </c>
      <c r="D3168" t="str">
        <v>-</v>
      </c>
      <c r="E3168" t="str">
        <v/>
      </c>
      <c r="F3168" t="str">
        <v>-</v>
      </c>
      <c r="G3168" t="str">
        <v>-</v>
      </c>
    </row>
    <row r="3169">
      <c r="A3169">
        <v>3168</v>
      </c>
      <c r="B3169">
        <f>HYPERLINK("https://batxat.laocai.gov.vn/ubnd-cac-xa-thi-tran/nhiem-vu-quyen-han-va-co-cau-to-chuc-cua-hdnd-va-ubnd-xa-a-mu-sung-824403", "UBND Ủy ban nhân dân xã Mường Vi  tỉnh Lào Cai")</f>
      </c>
      <c r="C3169" t="str">
        <v>https://batxat.laocai.gov.vn/ubnd-cac-xa-thi-tran/nhiem-vu-quyen-han-va-co-cau-to-chuc-cua-hdnd-va-ubnd-xa-a-mu-sung-824403</v>
      </c>
      <c r="D3169" t="str">
        <v>-</v>
      </c>
      <c r="E3169" t="str">
        <v>-</v>
      </c>
      <c r="F3169" t="str">
        <v>-</v>
      </c>
      <c r="G3169" t="str">
        <v>-</v>
      </c>
    </row>
    <row r="3170">
      <c r="A3170">
        <v>3169</v>
      </c>
      <c r="B3170" t="str">
        <v>Công an xã Dền Thàng  tỉnh Lào Cai</v>
      </c>
      <c r="C3170" t="str">
        <v>-</v>
      </c>
      <c r="D3170" t="str">
        <v>-</v>
      </c>
      <c r="E3170" t="str">
        <v/>
      </c>
      <c r="F3170" t="str">
        <v>-</v>
      </c>
      <c r="G3170" t="str">
        <v>-</v>
      </c>
    </row>
    <row r="3171">
      <c r="A3171">
        <v>3170</v>
      </c>
      <c r="B3171">
        <f>HYPERLINK("https://vpubnd.laocai.gov.vn/tin-tuc-su-kien-2/pho-chu-tich-ubnd-tinh-nguyen-trong-hai-thuc-hien-cac-hoat-dong-an-sinh-xa-hoi-tai-xa-den-thang--998211", "UBND Ủy ban nhân dân xã Dền Thàng  tỉnh Lào Cai")</f>
      </c>
      <c r="C3171" t="str">
        <v>https://vpubnd.laocai.gov.vn/tin-tuc-su-kien-2/pho-chu-tich-ubnd-tinh-nguyen-trong-hai-thuc-hien-cac-hoat-dong-an-sinh-xa-hoi-tai-xa-den-thang--998211</v>
      </c>
      <c r="D3171" t="str">
        <v>-</v>
      </c>
      <c r="E3171" t="str">
        <v>-</v>
      </c>
      <c r="F3171" t="str">
        <v>-</v>
      </c>
      <c r="G3171" t="str">
        <v>-</v>
      </c>
    </row>
    <row r="3172">
      <c r="A3172">
        <v>3171</v>
      </c>
      <c r="B3172">
        <f>HYPERLINK("https://www.facebook.com/trungtamhoatdongthanhthieunhilaocai/?locale=az_AZ", "Công an xã Bản Xèo  tỉnh Lào Cai")</f>
      </c>
      <c r="C3172" t="str">
        <v>https://www.facebook.com/trungtamhoatdongthanhthieunhilaocai/?locale=az_AZ</v>
      </c>
      <c r="D3172" t="str">
        <v>-</v>
      </c>
      <c r="E3172" t="str">
        <v/>
      </c>
      <c r="F3172" t="str">
        <v>-</v>
      </c>
      <c r="G3172" t="str">
        <v>-</v>
      </c>
    </row>
    <row r="3173">
      <c r="A3173">
        <v>3172</v>
      </c>
      <c r="B3173">
        <f>HYPERLINK("https://batxat.laocai.gov.vn/", "UBND Ủy ban nhân dân xã Bản Xèo  tỉnh Lào Cai")</f>
      </c>
      <c r="C3173" t="str">
        <v>https://batxat.laocai.gov.vn/</v>
      </c>
      <c r="D3173" t="str">
        <v>-</v>
      </c>
      <c r="E3173" t="str">
        <v>-</v>
      </c>
      <c r="F3173" t="str">
        <v>-</v>
      </c>
      <c r="G3173" t="str">
        <v>-</v>
      </c>
    </row>
    <row r="3174">
      <c r="A3174">
        <v>3173</v>
      </c>
      <c r="B3174" t="str">
        <v>Công an xã Mường Hum  tỉnh Lào Cai</v>
      </c>
      <c r="C3174" t="str">
        <v>-</v>
      </c>
      <c r="D3174" t="str">
        <v>-</v>
      </c>
      <c r="E3174" t="str">
        <v/>
      </c>
      <c r="F3174" t="str">
        <v>-</v>
      </c>
      <c r="G3174" t="str">
        <v>-</v>
      </c>
    </row>
    <row r="3175">
      <c r="A3175">
        <v>3174</v>
      </c>
      <c r="B3175">
        <f>HYPERLINK("https://www.laocai.gov.vn/tin-trong-tinh/thu-tuong-chinh-phu-tang-bang-khen-truong-thon-kho-vang-xa-coc-lau-huyen-bac-ha-1302758", "UBND Ủy ban nhân dân xã Mường Hum  tỉnh Lào Cai")</f>
      </c>
      <c r="C3175" t="str">
        <v>https://www.laocai.gov.vn/tin-trong-tinh/thu-tuong-chinh-phu-tang-bang-khen-truong-thon-kho-vang-xa-coc-lau-huyen-bac-ha-1302758</v>
      </c>
      <c r="D3175" t="str">
        <v>-</v>
      </c>
      <c r="E3175" t="str">
        <v>-</v>
      </c>
      <c r="F3175" t="str">
        <v>-</v>
      </c>
      <c r="G3175" t="str">
        <v>-</v>
      </c>
    </row>
    <row r="3176">
      <c r="A3176">
        <v>3175</v>
      </c>
      <c r="B3176" t="str">
        <v>Công an xã Trung Lèng Hồ  tỉnh Lào Cai</v>
      </c>
      <c r="C3176" t="str">
        <v>-</v>
      </c>
      <c r="D3176" t="str">
        <v>-</v>
      </c>
      <c r="E3176" t="str">
        <v/>
      </c>
      <c r="F3176" t="str">
        <v>-</v>
      </c>
      <c r="G3176" t="str">
        <v>-</v>
      </c>
    </row>
    <row r="3177">
      <c r="A3177">
        <v>3176</v>
      </c>
      <c r="B3177">
        <f>HYPERLINK("https://batxat.laocai.gov.vn/ubnd-cac-xa-thi-tran/nhiem-vu-quyen-han-va-co-cau-to-chuc-cua-hdnd-va-ubnd-xa-trung-leng-ho-824443", "UBND Ủy ban nhân dân xã Trung Lèng Hồ  tỉnh Lào Cai")</f>
      </c>
      <c r="C3177" t="str">
        <v>https://batxat.laocai.gov.vn/ubnd-cac-xa-thi-tran/nhiem-vu-quyen-han-va-co-cau-to-chuc-cua-hdnd-va-ubnd-xa-trung-leng-ho-824443</v>
      </c>
      <c r="D3177" t="str">
        <v>-</v>
      </c>
      <c r="E3177" t="str">
        <v>-</v>
      </c>
      <c r="F3177" t="str">
        <v>-</v>
      </c>
      <c r="G3177" t="str">
        <v>-</v>
      </c>
    </row>
    <row r="3178">
      <c r="A3178">
        <v>3177</v>
      </c>
      <c r="B3178">
        <f>HYPERLINK("https://www.facebook.com/DoanThanhnienCongantinhLaoCai/", "Công an xã Quang Kim  tỉnh Lào Cai")</f>
      </c>
      <c r="C3178" t="str">
        <v>https://www.facebook.com/DoanThanhnienCongantinhLaoCai/</v>
      </c>
      <c r="D3178" t="str">
        <v>-</v>
      </c>
      <c r="E3178" t="str">
        <v/>
      </c>
      <c r="F3178" t="str">
        <v>-</v>
      </c>
      <c r="G3178" t="str">
        <v>-</v>
      </c>
    </row>
    <row r="3179">
      <c r="A3179">
        <v>3178</v>
      </c>
      <c r="B3179">
        <f>HYPERLINK("https://hdnd.laocai.gov.vn/xa-phuong-thi-tran/ky-hop-thu-nhat-hdnd-xa-quang-kim-khoa-xix-nhiem-ky-2021-2026-593140", "UBND Ủy ban nhân dân xã Quang Kim  tỉnh Lào Cai")</f>
      </c>
      <c r="C3179" t="str">
        <v>https://hdnd.laocai.gov.vn/xa-phuong-thi-tran/ky-hop-thu-nhat-hdnd-xa-quang-kim-khoa-xix-nhiem-ky-2021-2026-593140</v>
      </c>
      <c r="D3179" t="str">
        <v>-</v>
      </c>
      <c r="E3179" t="str">
        <v>-</v>
      </c>
      <c r="F3179" t="str">
        <v>-</v>
      </c>
      <c r="G3179" t="str">
        <v>-</v>
      </c>
    </row>
    <row r="3180">
      <c r="A3180">
        <v>3179</v>
      </c>
      <c r="B3180" t="str">
        <v>Công an xã Pa Cheo  tỉnh Lào Cai</v>
      </c>
      <c r="C3180" t="str">
        <v>-</v>
      </c>
      <c r="D3180" t="str">
        <v>-</v>
      </c>
      <c r="E3180" t="str">
        <v/>
      </c>
      <c r="F3180" t="str">
        <v>-</v>
      </c>
      <c r="G3180" t="str">
        <v>-</v>
      </c>
    </row>
    <row r="3181">
      <c r="A3181">
        <v>3180</v>
      </c>
      <c r="B3181">
        <f>HYPERLINK("https://batxat.laocai.gov.vn/guong-dien-hinh/nu-thu-linh-dau-tien-tren-vung-cao-pa-cheo-825178", "UBND Ủy ban nhân dân xã Pa Cheo  tỉnh Lào Cai")</f>
      </c>
      <c r="C3181" t="str">
        <v>https://batxat.laocai.gov.vn/guong-dien-hinh/nu-thu-linh-dau-tien-tren-vung-cao-pa-cheo-825178</v>
      </c>
      <c r="D3181" t="str">
        <v>-</v>
      </c>
      <c r="E3181" t="str">
        <v>-</v>
      </c>
      <c r="F3181" t="str">
        <v>-</v>
      </c>
      <c r="G3181" t="str">
        <v>-</v>
      </c>
    </row>
    <row r="3182">
      <c r="A3182">
        <v>3181</v>
      </c>
      <c r="B3182" t="str">
        <v>Công an xã Nậm Pung  tỉnh Lào Cai</v>
      </c>
      <c r="C3182" t="str">
        <v>-</v>
      </c>
      <c r="D3182" t="str">
        <v>-</v>
      </c>
      <c r="E3182" t="str">
        <v/>
      </c>
      <c r="F3182" t="str">
        <v>-</v>
      </c>
      <c r="G3182" t="str">
        <v>-</v>
      </c>
    </row>
    <row r="3183">
      <c r="A3183">
        <v>3182</v>
      </c>
      <c r="B3183">
        <f>HYPERLINK("https://batxat.laocai.gov.vn/ubnd-cac-xa-thi-tran/nhiem-vu-quyen-han-va-co-cau-to-chuc-cua-hdnd-va-ubnd-xa-nam-pung-824435", "UBND Ủy ban nhân dân xã Nậm Pung  tỉnh Lào Cai")</f>
      </c>
      <c r="C3183" t="str">
        <v>https://batxat.laocai.gov.vn/ubnd-cac-xa-thi-tran/nhiem-vu-quyen-han-va-co-cau-to-chuc-cua-hdnd-va-ubnd-xa-nam-pung-824435</v>
      </c>
      <c r="D3183" t="str">
        <v>-</v>
      </c>
      <c r="E3183" t="str">
        <v>-</v>
      </c>
      <c r="F3183" t="str">
        <v>-</v>
      </c>
      <c r="G3183" t="str">
        <v>-</v>
      </c>
    </row>
    <row r="3184">
      <c r="A3184">
        <v>3183</v>
      </c>
      <c r="B3184">
        <f>HYPERLINK("https://www.facebook.com/DoanThanhnienCongantinhLaoCai/", "Công an xã Phìn Ngan  tỉnh Lào Cai")</f>
      </c>
      <c r="C3184" t="str">
        <v>https://www.facebook.com/DoanThanhnienCongantinhLaoCai/</v>
      </c>
      <c r="D3184" t="str">
        <v>-</v>
      </c>
      <c r="E3184" t="str">
        <v/>
      </c>
      <c r="F3184" t="str">
        <v>-</v>
      </c>
      <c r="G3184" t="str">
        <v>-</v>
      </c>
    </row>
    <row r="3185">
      <c r="A3185">
        <v>3184</v>
      </c>
      <c r="B3185">
        <f>HYPERLINK("https://sapa.laocai.gov.vn/", "UBND Ủy ban nhân dân xã Phìn Ngan  tỉnh Lào Cai")</f>
      </c>
      <c r="C3185" t="str">
        <v>https://sapa.laocai.gov.vn/</v>
      </c>
      <c r="D3185" t="str">
        <v>-</v>
      </c>
      <c r="E3185" t="str">
        <v>-</v>
      </c>
      <c r="F3185" t="str">
        <v>-</v>
      </c>
      <c r="G3185" t="str">
        <v>-</v>
      </c>
    </row>
    <row r="3186">
      <c r="A3186">
        <v>3185</v>
      </c>
      <c r="B3186" t="str">
        <v>Công an xã Cốc San  tỉnh Lào Cai</v>
      </c>
      <c r="C3186" t="str">
        <v>-</v>
      </c>
      <c r="D3186" t="str">
        <v>-</v>
      </c>
      <c r="E3186" t="str">
        <v/>
      </c>
      <c r="F3186" t="str">
        <v>-</v>
      </c>
      <c r="G3186" t="str">
        <v>-</v>
      </c>
    </row>
    <row r="3187">
      <c r="A3187">
        <v>3186</v>
      </c>
      <c r="B3187">
        <f>HYPERLINK("http://cocsan.tplaocai.laocai.gov.vn/", "UBND Ủy ban nhân dân xã Cốc San  tỉnh Lào Cai")</f>
      </c>
      <c r="C3187" t="str">
        <v>http://cocsan.tplaocai.laocai.gov.vn/</v>
      </c>
      <c r="D3187" t="str">
        <v>-</v>
      </c>
      <c r="E3187" t="str">
        <v>-</v>
      </c>
      <c r="F3187" t="str">
        <v>-</v>
      </c>
      <c r="G3187" t="str">
        <v>-</v>
      </c>
    </row>
    <row r="3188">
      <c r="A3188">
        <v>3187</v>
      </c>
      <c r="B3188" t="str">
        <v>Công an xã Tòng Sành  tỉnh Lào Cai</v>
      </c>
      <c r="C3188" t="str">
        <v>-</v>
      </c>
      <c r="D3188" t="str">
        <v>-</v>
      </c>
      <c r="E3188" t="str">
        <v/>
      </c>
      <c r="F3188" t="str">
        <v>-</v>
      </c>
      <c r="G3188" t="str">
        <v>-</v>
      </c>
    </row>
    <row r="3189">
      <c r="A3189">
        <v>3188</v>
      </c>
      <c r="B3189">
        <f>HYPERLINK("https://www.laocai.gov.vn/tin-trong-tinh/truong-cong-an-xa-trong-dan-gan-dan-vi-nhan-dan-phuc-vu-1200298", "UBND Ủy ban nhân dân xã Tòng Sành  tỉnh Lào Cai")</f>
      </c>
      <c r="C3189" t="str">
        <v>https://www.laocai.gov.vn/tin-trong-tinh/truong-cong-an-xa-trong-dan-gan-dan-vi-nhan-dan-phuc-vu-1200298</v>
      </c>
      <c r="D3189" t="str">
        <v>-</v>
      </c>
      <c r="E3189" t="str">
        <v>-</v>
      </c>
      <c r="F3189" t="str">
        <v>-</v>
      </c>
      <c r="G3189" t="str">
        <v>-</v>
      </c>
    </row>
    <row r="3190">
      <c r="A3190">
        <v>3189</v>
      </c>
      <c r="B3190">
        <f>HYPERLINK("https://www.facebook.com/DoanThanhnienCongantinhLaoCai/", "Công an xã Pha Long  tỉnh Lào Cai")</f>
      </c>
      <c r="C3190" t="str">
        <v>https://www.facebook.com/DoanThanhnienCongantinhLaoCai/</v>
      </c>
      <c r="D3190" t="str">
        <v>-</v>
      </c>
      <c r="E3190" t="str">
        <v/>
      </c>
      <c r="F3190" t="str">
        <v>-</v>
      </c>
      <c r="G3190" t="str">
        <v>-</v>
      </c>
    </row>
    <row r="3191">
      <c r="A3191">
        <v>3190</v>
      </c>
      <c r="B3191">
        <f>HYPERLINK("https://muongkhuong.laocai.gov.vn/ubnd-cac-xa-thi-tran/thong-tin-lanh-dao-ubnd-xa-pha-long-1113112", "UBND Ủy ban nhân dân xã Pha Long  tỉnh Lào Cai")</f>
      </c>
      <c r="C3191" t="str">
        <v>https://muongkhuong.laocai.gov.vn/ubnd-cac-xa-thi-tran/thong-tin-lanh-dao-ubnd-xa-pha-long-1113112</v>
      </c>
      <c r="D3191" t="str">
        <v>-</v>
      </c>
      <c r="E3191" t="str">
        <v>-</v>
      </c>
      <c r="F3191" t="str">
        <v>-</v>
      </c>
      <c r="G3191" t="str">
        <v>-</v>
      </c>
    </row>
    <row r="3192">
      <c r="A3192">
        <v>3191</v>
      </c>
      <c r="B3192">
        <f>HYPERLINK("https://www.facebook.com/3788536357852361", "Công an xã Tả Ngải Chồ  tỉnh Lào Cai")</f>
      </c>
      <c r="C3192" t="str">
        <v>https://www.facebook.com/3788536357852361</v>
      </c>
      <c r="D3192" t="str">
        <v>-</v>
      </c>
      <c r="E3192" t="str">
        <v/>
      </c>
      <c r="F3192" t="str">
        <v>-</v>
      </c>
      <c r="G3192" t="str">
        <v>-</v>
      </c>
    </row>
    <row r="3193">
      <c r="A3193">
        <v>3192</v>
      </c>
      <c r="B3193">
        <f>HYPERLINK("https://tangaicho.muongkhuong.laocai.gov.vn/kinh-te--van-hoa--xa-hoi/uy-ban-nhan-dan-xa-ta-ngai-cho-phoi-hop-to-chuc-ngay-hoi-dieu-em-muon-noi-cho-cac-chau-thanh-thi-1187781", "UBND Ủy ban nhân dân xã Tả Ngải Chồ  tỉnh Lào Cai")</f>
      </c>
      <c r="C3193" t="str">
        <v>https://tangaicho.muongkhuong.laocai.gov.vn/kinh-te--van-hoa--xa-hoi/uy-ban-nhan-dan-xa-ta-ngai-cho-phoi-hop-to-chuc-ngay-hoi-dieu-em-muon-noi-cho-cac-chau-thanh-thi-1187781</v>
      </c>
      <c r="D3193" t="str">
        <v>-</v>
      </c>
      <c r="E3193" t="str">
        <v>-</v>
      </c>
      <c r="F3193" t="str">
        <v>-</v>
      </c>
      <c r="G3193" t="str">
        <v>-</v>
      </c>
    </row>
    <row r="3194">
      <c r="A3194">
        <v>3193</v>
      </c>
      <c r="B3194">
        <f>HYPERLINK("https://www.facebook.com/p/Tr%C6%B0%E1%BB%9Dng-Ththcs-Tung-Chung-Ph%E1%BB%91-100066876255150/", "Công an xã Tung Chung Phố  tỉnh Lào Cai")</f>
      </c>
      <c r="C3194" t="str">
        <v>https://www.facebook.com/p/Tr%C6%B0%E1%BB%9Dng-Ththcs-Tung-Chung-Ph%E1%BB%91-100066876255150/</v>
      </c>
      <c r="D3194" t="str">
        <v>-</v>
      </c>
      <c r="E3194" t="str">
        <v/>
      </c>
      <c r="F3194" t="str">
        <v>-</v>
      </c>
      <c r="G3194" t="str">
        <v>-</v>
      </c>
    </row>
    <row r="3195">
      <c r="A3195">
        <v>3194</v>
      </c>
      <c r="B3195">
        <f>HYPERLINK("http://tungchungpho.muongkhuong.laocai.gov.vn/tin-hdnd/hoi-dong-nhan-dan-xa-tung-chung-pho-to-chuc-ky-hop-thuong-le-giua-nam-2024-1280651", "UBND Ủy ban nhân dân xã Tung Chung Phố  tỉnh Lào Cai")</f>
      </c>
      <c r="C3195" t="str">
        <v>http://tungchungpho.muongkhuong.laocai.gov.vn/tin-hdnd/hoi-dong-nhan-dan-xa-tung-chung-pho-to-chuc-ky-hop-thuong-le-giua-nam-2024-1280651</v>
      </c>
      <c r="D3195" t="str">
        <v>-</v>
      </c>
      <c r="E3195" t="str">
        <v>-</v>
      </c>
      <c r="F3195" t="str">
        <v>-</v>
      </c>
      <c r="G3195" t="str">
        <v>-</v>
      </c>
    </row>
    <row r="3196">
      <c r="A3196">
        <v>3195</v>
      </c>
      <c r="B3196">
        <f>HYPERLINK("https://www.facebook.com/daitruyenhinhlaocai/videos/th%E1%BB%9Di-s%E1%BB%B1-l%C3%A0o-cai-22h00-ng%C3%A0y-31102024/1079232870313654/", "Công an thị trấn Mường Khương  tỉnh Lào Cai")</f>
      </c>
      <c r="C3196" t="str">
        <v>https://www.facebook.com/daitruyenhinhlaocai/videos/th%E1%BB%9Di-s%E1%BB%B1-l%C3%A0o-cai-22h00-ng%C3%A0y-31102024/1079232870313654/</v>
      </c>
      <c r="D3196" t="str">
        <v>-</v>
      </c>
      <c r="E3196" t="str">
        <v/>
      </c>
      <c r="F3196" t="str">
        <v>-</v>
      </c>
      <c r="G3196" t="str">
        <v>-</v>
      </c>
    </row>
    <row r="3197">
      <c r="A3197">
        <v>3196</v>
      </c>
      <c r="B3197">
        <f>HYPERLINK("https://muongkhuong.laocai.gov.vn/", "UBND Ủy ban nhân dân thị trấn Mường Khương  tỉnh Lào Cai")</f>
      </c>
      <c r="C3197" t="str">
        <v>https://muongkhuong.laocai.gov.vn/</v>
      </c>
      <c r="D3197" t="str">
        <v>-</v>
      </c>
      <c r="E3197" t="str">
        <v>-</v>
      </c>
      <c r="F3197" t="str">
        <v>-</v>
      </c>
      <c r="G3197" t="str">
        <v>-</v>
      </c>
    </row>
    <row r="3198">
      <c r="A3198">
        <v>3197</v>
      </c>
      <c r="B3198" t="str">
        <v>Công an xã Dìn Chin  tỉnh Lào Cai</v>
      </c>
      <c r="C3198" t="str">
        <v>-</v>
      </c>
      <c r="D3198" t="str">
        <v>-</v>
      </c>
      <c r="E3198" t="str">
        <v/>
      </c>
      <c r="F3198" t="str">
        <v>-</v>
      </c>
      <c r="G3198" t="str">
        <v>-</v>
      </c>
    </row>
    <row r="3199">
      <c r="A3199">
        <v>3198</v>
      </c>
      <c r="B3199">
        <f>HYPERLINK("https://www.laocai.gov.vn/tin-thoi-su/pho-chu-tich-ubnd-tinh-giang-thi-dung-tham-chuc-tet-tai-xa-din-chin-huyen-muong-khuong-1040714", "UBND Ủy ban nhân dân xã Dìn Chin  tỉnh Lào Cai")</f>
      </c>
      <c r="C3199" t="str">
        <v>https://www.laocai.gov.vn/tin-thoi-su/pho-chu-tich-ubnd-tinh-giang-thi-dung-tham-chuc-tet-tai-xa-din-chin-huyen-muong-khuong-1040714</v>
      </c>
      <c r="D3199" t="str">
        <v>-</v>
      </c>
      <c r="E3199" t="str">
        <v>-</v>
      </c>
      <c r="F3199" t="str">
        <v>-</v>
      </c>
      <c r="G3199" t="str">
        <v>-</v>
      </c>
    </row>
    <row r="3200">
      <c r="A3200">
        <v>3199</v>
      </c>
      <c r="B3200" t="str">
        <v>Công an xã Tả Gia Khâu  tỉnh Lào Cai</v>
      </c>
      <c r="C3200" t="str">
        <v>-</v>
      </c>
      <c r="D3200" t="str">
        <v>-</v>
      </c>
      <c r="E3200" t="str">
        <v/>
      </c>
      <c r="F3200" t="str">
        <v>-</v>
      </c>
      <c r="G3200" t="str">
        <v>-</v>
      </c>
    </row>
    <row r="3201">
      <c r="A3201">
        <v>3200</v>
      </c>
      <c r="B3201">
        <f>HYPERLINK("https://congan.laocai.gov.vn/xay-dung-phong-trao-toan-dan-bao-ve-an-ninh-to-quoc/xa-ta-gia-khau-huyen-muong-khuong-to-chuc-thanh-cong-ngay-hoi-toan-dan-bao-ve-an-ninh-to-quoc-1282410", "UBND Ủy ban nhân dân xã Tả Gia Khâu  tỉnh Lào Cai")</f>
      </c>
      <c r="C3201" t="str">
        <v>https://congan.laocai.gov.vn/xay-dung-phong-trao-toan-dan-bao-ve-an-ninh-to-quoc/xa-ta-gia-khau-huyen-muong-khuong-to-chuc-thanh-cong-ngay-hoi-toan-dan-bao-ve-an-ninh-to-quoc-1282410</v>
      </c>
      <c r="D3201" t="str">
        <v>-</v>
      </c>
      <c r="E3201" t="str">
        <v>-</v>
      </c>
      <c r="F3201" t="str">
        <v>-</v>
      </c>
      <c r="G3201" t="str">
        <v>-</v>
      </c>
    </row>
    <row r="3202">
      <c r="A3202">
        <v>3201</v>
      </c>
      <c r="B3202" t="str">
        <v>Công an xã Nậm Chảy  tỉnh Lào Cai</v>
      </c>
      <c r="C3202" t="str">
        <v>-</v>
      </c>
      <c r="D3202" t="str">
        <v>-</v>
      </c>
      <c r="E3202" t="str">
        <v/>
      </c>
      <c r="F3202" t="str">
        <v>-</v>
      </c>
      <c r="G3202" t="str">
        <v>-</v>
      </c>
    </row>
    <row r="3203">
      <c r="A3203">
        <v>3202</v>
      </c>
      <c r="B3203">
        <f>HYPERLINK("http://namchay.muongkhuong.laocai.gov.vn/", "UBND Ủy ban nhân dân xã Nậm Chảy  tỉnh Lào Cai")</f>
      </c>
      <c r="C3203" t="str">
        <v>http://namchay.muongkhuong.laocai.gov.vn/</v>
      </c>
      <c r="D3203" t="str">
        <v>-</v>
      </c>
      <c r="E3203" t="str">
        <v>-</v>
      </c>
      <c r="F3203" t="str">
        <v>-</v>
      </c>
      <c r="G3203" t="str">
        <v>-</v>
      </c>
    </row>
    <row r="3204">
      <c r="A3204">
        <v>3203</v>
      </c>
      <c r="B3204">
        <f>HYPERLINK("https://www.facebook.com/DoanThanhnienCongantinhLaoCai/", "Công an xã Nấm Lư  tỉnh Lào Cai")</f>
      </c>
      <c r="C3204" t="str">
        <v>https://www.facebook.com/DoanThanhnienCongantinhLaoCai/</v>
      </c>
      <c r="D3204" t="str">
        <v>-</v>
      </c>
      <c r="E3204" t="str">
        <v/>
      </c>
      <c r="F3204" t="str">
        <v>-</v>
      </c>
      <c r="G3204" t="str">
        <v>-</v>
      </c>
    </row>
    <row r="3205">
      <c r="A3205">
        <v>3204</v>
      </c>
      <c r="B3205">
        <f>HYPERLINK("https://cuchaiquan.laocai.gov.vn/tin-tuc-su-kien/cuc-hai-quan-tinh-lao-cai-to-chuc-trao-qua-cua-nguoi-dan-thanh-pho-ho-chi-minh-ung-ho-xa-nam-lu--1301264", "UBND Ủy ban nhân dân xã Nấm Lư  tỉnh Lào Cai")</f>
      </c>
      <c r="C3205" t="str">
        <v>https://cuchaiquan.laocai.gov.vn/tin-tuc-su-kien/cuc-hai-quan-tinh-lao-cai-to-chuc-trao-qua-cua-nguoi-dan-thanh-pho-ho-chi-minh-ung-ho-xa-nam-lu--1301264</v>
      </c>
      <c r="D3205" t="str">
        <v>-</v>
      </c>
      <c r="E3205" t="str">
        <v>-</v>
      </c>
      <c r="F3205" t="str">
        <v>-</v>
      </c>
      <c r="G3205" t="str">
        <v>-</v>
      </c>
    </row>
    <row r="3206">
      <c r="A3206">
        <v>3205</v>
      </c>
      <c r="B3206" t="str">
        <v>Công an xã Lùng Khấu Nhin  tỉnh Lào Cai</v>
      </c>
      <c r="C3206" t="str">
        <v>-</v>
      </c>
      <c r="D3206" t="str">
        <v>-</v>
      </c>
      <c r="E3206" t="str">
        <v/>
      </c>
      <c r="F3206" t="str">
        <v>-</v>
      </c>
      <c r="G3206" t="str">
        <v>-</v>
      </c>
    </row>
    <row r="3207">
      <c r="A3207">
        <v>3206</v>
      </c>
      <c r="B3207">
        <f>HYPERLINK("https://muongkhuong.laocai.gov.vn/tin-chinh-quyen-cac-cap/dong-chi-hoang-giang-pho-bi-thu-tinh-uy-lao-cai-lam-viec-voi-xa-lung-khau-nhin-1112802", "UBND Ủy ban nhân dân xã Lùng Khấu Nhin  tỉnh Lào Cai")</f>
      </c>
      <c r="C3207" t="str">
        <v>https://muongkhuong.laocai.gov.vn/tin-chinh-quyen-cac-cap/dong-chi-hoang-giang-pho-bi-thu-tinh-uy-lao-cai-lam-viec-voi-xa-lung-khau-nhin-1112802</v>
      </c>
      <c r="D3207" t="str">
        <v>-</v>
      </c>
      <c r="E3207" t="str">
        <v>-</v>
      </c>
      <c r="F3207" t="str">
        <v>-</v>
      </c>
      <c r="G3207" t="str">
        <v>-</v>
      </c>
    </row>
    <row r="3208">
      <c r="A3208">
        <v>3207</v>
      </c>
      <c r="B3208">
        <f>HYPERLINK("https://www.facebook.com/DoanThanhnienCongantinhLaoCai/", "Công an xã Thanh Bình  tỉnh Lào Cai")</f>
      </c>
      <c r="C3208" t="str">
        <v>https://www.facebook.com/DoanThanhnienCongantinhLaoCai/</v>
      </c>
      <c r="D3208" t="str">
        <v>-</v>
      </c>
      <c r="E3208" t="str">
        <v/>
      </c>
      <c r="F3208" t="str">
        <v>-</v>
      </c>
      <c r="G3208" t="str">
        <v>-</v>
      </c>
    </row>
    <row r="3209">
      <c r="A3209">
        <v>3208</v>
      </c>
      <c r="B3209">
        <f>HYPERLINK("https://sapa.laocai.gov.vn/hoat-dong-tren-cac-linh-vuc-92952/quyet-tam-xay-dung-xa-ta-van-xa-thanh-binh-dat-chuan-nong-thon-moi-trong-nam-2024-1256879", "UBND Ủy ban nhân dân xã Thanh Bình  tỉnh Lào Cai")</f>
      </c>
      <c r="C3209" t="str">
        <v>https://sapa.laocai.gov.vn/hoat-dong-tren-cac-linh-vuc-92952/quyet-tam-xay-dung-xa-ta-van-xa-thanh-binh-dat-chuan-nong-thon-moi-trong-nam-2024-1256879</v>
      </c>
      <c r="D3209" t="str">
        <v>-</v>
      </c>
      <c r="E3209" t="str">
        <v>-</v>
      </c>
      <c r="F3209" t="str">
        <v>-</v>
      </c>
      <c r="G3209" t="str">
        <v>-</v>
      </c>
    </row>
    <row r="3210">
      <c r="A3210">
        <v>3209</v>
      </c>
      <c r="B3210" t="str">
        <v>Công an xã Cao Sơn  tỉnh Lào Cai</v>
      </c>
      <c r="C3210" t="str">
        <v>-</v>
      </c>
      <c r="D3210" t="str">
        <v>-</v>
      </c>
      <c r="E3210" t="str">
        <v/>
      </c>
      <c r="F3210" t="str">
        <v>-</v>
      </c>
      <c r="G3210" t="str">
        <v>-</v>
      </c>
    </row>
    <row r="3211">
      <c r="A3211">
        <v>3210</v>
      </c>
      <c r="B3211">
        <f>HYPERLINK("https://www.laocai.gov.vn/", "UBND Ủy ban nhân dân xã Cao Sơn  tỉnh Lào Cai")</f>
      </c>
      <c r="C3211" t="str">
        <v>https://www.laocai.gov.vn/</v>
      </c>
      <c r="D3211" t="str">
        <v>-</v>
      </c>
      <c r="E3211" t="str">
        <v>-</v>
      </c>
      <c r="F3211" t="str">
        <v>-</v>
      </c>
      <c r="G3211" t="str">
        <v>-</v>
      </c>
    </row>
    <row r="3212">
      <c r="A3212">
        <v>3211</v>
      </c>
      <c r="B3212">
        <f>HYPERLINK("https://www.facebook.com/DoanThanhnienCongantinhLaoCai/", "Công an xã Lùng Vai  tỉnh Lào Cai")</f>
      </c>
      <c r="C3212" t="str">
        <v>https://www.facebook.com/DoanThanhnienCongantinhLaoCai/</v>
      </c>
      <c r="D3212" t="str">
        <v>-</v>
      </c>
      <c r="E3212" t="str">
        <v/>
      </c>
      <c r="F3212" t="str">
        <v>-</v>
      </c>
      <c r="G3212" t="str">
        <v>-</v>
      </c>
    </row>
    <row r="3213">
      <c r="A3213">
        <v>3212</v>
      </c>
      <c r="B3213">
        <f>HYPERLINK("http://lungkhaunhin.muongkhuong.laocai.gov.vn/to-chuc-bo-may/gioi-thieu-to-chuc-bo-may-xa-lung-vai-1246005", "UBND Ủy ban nhân dân xã Lùng Vai  tỉnh Lào Cai")</f>
      </c>
      <c r="C3213" t="str">
        <v>http://lungkhaunhin.muongkhuong.laocai.gov.vn/to-chuc-bo-may/gioi-thieu-to-chuc-bo-may-xa-lung-vai-1246005</v>
      </c>
      <c r="D3213" t="str">
        <v>-</v>
      </c>
      <c r="E3213" t="str">
        <v>-</v>
      </c>
      <c r="F3213" t="str">
        <v>-</v>
      </c>
      <c r="G3213" t="str">
        <v>-</v>
      </c>
    </row>
    <row r="3214">
      <c r="A3214">
        <v>3213</v>
      </c>
      <c r="B3214" t="str">
        <v>Công an xã Bản Lầu  tỉnh Lào Cai</v>
      </c>
      <c r="C3214" t="str">
        <v>-</v>
      </c>
      <c r="D3214" t="str">
        <v>-</v>
      </c>
      <c r="E3214" t="str">
        <v/>
      </c>
      <c r="F3214" t="str">
        <v>-</v>
      </c>
      <c r="G3214" t="str">
        <v>-</v>
      </c>
    </row>
    <row r="3215">
      <c r="A3215">
        <v>3214</v>
      </c>
      <c r="B3215">
        <f>HYPERLINK("http://banlau.muongkhuong.laocai.gov.vn/to-chuc-bo-may/to-chuc-bo-may-xa-ban-lau-1181882", "UBND Ủy ban nhân dân xã Bản Lầu  tỉnh Lào Cai")</f>
      </c>
      <c r="C3215" t="str">
        <v>http://banlau.muongkhuong.laocai.gov.vn/to-chuc-bo-may/to-chuc-bo-may-xa-ban-lau-1181882</v>
      </c>
      <c r="D3215" t="str">
        <v>-</v>
      </c>
      <c r="E3215" t="str">
        <v>-</v>
      </c>
      <c r="F3215" t="str">
        <v>-</v>
      </c>
      <c r="G3215" t="str">
        <v>-</v>
      </c>
    </row>
    <row r="3216">
      <c r="A3216">
        <v>3215</v>
      </c>
      <c r="B3216" t="str">
        <v>Công an xã La Pan Tẩn  tỉnh Lào Cai</v>
      </c>
      <c r="C3216" t="str">
        <v>-</v>
      </c>
      <c r="D3216" t="str">
        <v>-</v>
      </c>
      <c r="E3216" t="str">
        <v/>
      </c>
      <c r="F3216" t="str">
        <v>-</v>
      </c>
      <c r="G3216" t="str">
        <v>-</v>
      </c>
    </row>
    <row r="3217">
      <c r="A3217">
        <v>3216</v>
      </c>
      <c r="B3217">
        <f>HYPERLINK("https://laocai.gov.vn/tin-trong-tinh/chu-tich-ubnd-tinh-trinh-xuan-truong-lam-viec-tai-xa-la-pan-tan-va-xa-ta-thang-muong-khuong-1310354", "UBND Ủy ban nhân dân xã La Pan Tẩn  tỉnh Lào Cai")</f>
      </c>
      <c r="C3217" t="str">
        <v>https://laocai.gov.vn/tin-trong-tinh/chu-tich-ubnd-tinh-trinh-xuan-truong-lam-viec-tai-xa-la-pan-tan-va-xa-ta-thang-muong-khuong-1310354</v>
      </c>
      <c r="D3217" t="str">
        <v>-</v>
      </c>
      <c r="E3217" t="str">
        <v>-</v>
      </c>
      <c r="F3217" t="str">
        <v>-</v>
      </c>
      <c r="G3217" t="str">
        <v>-</v>
      </c>
    </row>
    <row r="3218">
      <c r="A3218">
        <v>3217</v>
      </c>
      <c r="B3218" t="str">
        <v>Công an xã Tả Thàng  tỉnh Lào Cai</v>
      </c>
      <c r="C3218" t="str">
        <v>-</v>
      </c>
      <c r="D3218" t="str">
        <v>-</v>
      </c>
      <c r="E3218" t="str">
        <v/>
      </c>
      <c r="F3218" t="str">
        <v>-</v>
      </c>
      <c r="G3218" t="str">
        <v>-</v>
      </c>
    </row>
    <row r="3219">
      <c r="A3219">
        <v>3218</v>
      </c>
      <c r="B3219">
        <f>HYPERLINK("https://laocai.gov.vn/tin-trong-tinh/chu-tich-ubnd-tinh-trinh-xuan-truong-lam-viec-tai-xa-la-pan-tan-va-xa-ta-thang-muong-khuong-1310354", "UBND Ủy ban nhân dân xã Tả Thàng  tỉnh Lào Cai")</f>
      </c>
      <c r="C3219" t="str">
        <v>https://laocai.gov.vn/tin-trong-tinh/chu-tich-ubnd-tinh-trinh-xuan-truong-lam-viec-tai-xa-la-pan-tan-va-xa-ta-thang-muong-khuong-1310354</v>
      </c>
      <c r="D3219" t="str">
        <v>-</v>
      </c>
      <c r="E3219" t="str">
        <v>-</v>
      </c>
      <c r="F3219" t="str">
        <v>-</v>
      </c>
      <c r="G3219" t="str">
        <v>-</v>
      </c>
    </row>
    <row r="3220">
      <c r="A3220">
        <v>3219</v>
      </c>
      <c r="B3220">
        <f>HYPERLINK("https://www.facebook.com/trungtamhoatdongthanhthieunhilaocai/?locale=az_AZ", "Công an xã Bản Sen  tỉnh Lào Cai")</f>
      </c>
      <c r="C3220" t="str">
        <v>https://www.facebook.com/trungtamhoatdongthanhthieunhilaocai/?locale=az_AZ</v>
      </c>
      <c r="D3220" t="str">
        <v>-</v>
      </c>
      <c r="E3220" t="str">
        <v/>
      </c>
      <c r="F3220" t="str">
        <v>-</v>
      </c>
      <c r="G3220" t="str">
        <v>-</v>
      </c>
    </row>
    <row r="3221">
      <c r="A3221">
        <v>3220</v>
      </c>
      <c r="B3221">
        <f>HYPERLINK("https://muongkhuong.laocai.gov.vn/ubnd-cac-xa-thi-tran/thong-tin-lanh-dao-ubnd-xa-ban-sen-1113101", "UBND Ủy ban nhân dân xã Bản Sen  tỉnh Lào Cai")</f>
      </c>
      <c r="C3221" t="str">
        <v>https://muongkhuong.laocai.gov.vn/ubnd-cac-xa-thi-tran/thong-tin-lanh-dao-ubnd-xa-ban-sen-1113101</v>
      </c>
      <c r="D3221" t="str">
        <v>-</v>
      </c>
      <c r="E3221" t="str">
        <v>-</v>
      </c>
      <c r="F3221" t="str">
        <v>-</v>
      </c>
      <c r="G3221" t="str">
        <v>-</v>
      </c>
    </row>
    <row r="3222">
      <c r="A3222">
        <v>3221</v>
      </c>
      <c r="B3222" t="str">
        <v>Công an xã Nàn Sán  tỉnh Lào Cai</v>
      </c>
      <c r="C3222" t="str">
        <v>-</v>
      </c>
      <c r="D3222" t="str">
        <v>-</v>
      </c>
      <c r="E3222" t="str">
        <v/>
      </c>
      <c r="F3222" t="str">
        <v>-</v>
      </c>
      <c r="G3222" t="str">
        <v>-</v>
      </c>
    </row>
    <row r="3223">
      <c r="A3223">
        <v>3222</v>
      </c>
      <c r="B3223">
        <f>HYPERLINK("https://simacai.laocai.gov.vn/uy-ban-nhan-dan-cac-xa/uy-ban-nhan-dan-cac-xa-254115", "UBND Ủy ban nhân dân xã Nàn Sán  tỉnh Lào Cai")</f>
      </c>
      <c r="C3223" t="str">
        <v>https://simacai.laocai.gov.vn/uy-ban-nhan-dan-cac-xa/uy-ban-nhan-dan-cac-xa-254115</v>
      </c>
      <c r="D3223" t="str">
        <v>-</v>
      </c>
      <c r="E3223" t="str">
        <v>-</v>
      </c>
      <c r="F3223" t="str">
        <v>-</v>
      </c>
      <c r="G3223" t="str">
        <v>-</v>
      </c>
    </row>
    <row r="3224">
      <c r="A3224">
        <v>3223</v>
      </c>
      <c r="B3224" t="str">
        <v>Công an xã Thào Chư Phìn  tỉnh Lào Cai</v>
      </c>
      <c r="C3224" t="str">
        <v>-</v>
      </c>
      <c r="D3224" t="str">
        <v>-</v>
      </c>
      <c r="E3224" t="str">
        <v/>
      </c>
      <c r="F3224" t="str">
        <v>-</v>
      </c>
      <c r="G3224" t="str">
        <v>-</v>
      </c>
    </row>
    <row r="3225">
      <c r="A3225">
        <v>3224</v>
      </c>
      <c r="B3225">
        <f>HYPERLINK("https://congan.laocai.gov.vn/xay-dung-phong-trao-toan-dan-bao-ve-an-ninh-to-quoc/tuyen-truyen-pho-bien-phap-luat-nham-nang-cao-nhan-thuc-cho-nguoi-dan-ve-thuc-hien-chuong-trinh--1307563", "UBND Ủy ban nhân dân xã Thào Chư Phìn  tỉnh Lào Cai")</f>
      </c>
      <c r="C3225" t="str">
        <v>https://congan.laocai.gov.vn/xay-dung-phong-trao-toan-dan-bao-ve-an-ninh-to-quoc/tuyen-truyen-pho-bien-phap-luat-nham-nang-cao-nhan-thuc-cho-nguoi-dan-ve-thuc-hien-chuong-trinh--1307563</v>
      </c>
      <c r="D3225" t="str">
        <v>-</v>
      </c>
      <c r="E3225" t="str">
        <v>-</v>
      </c>
      <c r="F3225" t="str">
        <v>-</v>
      </c>
      <c r="G3225" t="str">
        <v>-</v>
      </c>
    </row>
    <row r="3226">
      <c r="A3226">
        <v>3225</v>
      </c>
      <c r="B3226" t="str">
        <v>Công an xã Bản Mế  tỉnh Lào Cai</v>
      </c>
      <c r="C3226" t="str">
        <v>-</v>
      </c>
      <c r="D3226" t="str">
        <v>-</v>
      </c>
      <c r="E3226" t="str">
        <v/>
      </c>
      <c r="F3226" t="str">
        <v>-</v>
      </c>
      <c r="G3226" t="str">
        <v>-</v>
      </c>
    </row>
    <row r="3227">
      <c r="A3227">
        <v>3226</v>
      </c>
      <c r="B3227">
        <f>HYPERLINK("https://simacai.laocai.gov.vn/uy-ban-nhan-dan-cac-xa/uy-ban-nhan-dan-cac-xa-254115", "UBND Ủy ban nhân dân xã Bản Mế  tỉnh Lào Cai")</f>
      </c>
      <c r="C3227" t="str">
        <v>https://simacai.laocai.gov.vn/uy-ban-nhan-dan-cac-xa/uy-ban-nhan-dan-cac-xa-254115</v>
      </c>
      <c r="D3227" t="str">
        <v>-</v>
      </c>
      <c r="E3227" t="str">
        <v>-</v>
      </c>
      <c r="F3227" t="str">
        <v>-</v>
      </c>
      <c r="G3227" t="str">
        <v>-</v>
      </c>
    </row>
    <row r="3228">
      <c r="A3228">
        <v>3227</v>
      </c>
      <c r="B3228">
        <f>HYPERLINK("https://www.facebook.com/p/C%C3%B4ng-an-huy%E1%BB%87n-Si-Ma-Cai-100065263861384/", "Công an xã Si Ma Cai  tỉnh Lào Cai")</f>
      </c>
      <c r="C3228" t="str">
        <v>https://www.facebook.com/p/C%C3%B4ng-an-huy%E1%BB%87n-Si-Ma-Cai-100065263861384/</v>
      </c>
      <c r="D3228" t="str">
        <v>-</v>
      </c>
      <c r="E3228" t="str">
        <v/>
      </c>
      <c r="F3228" t="str">
        <v>-</v>
      </c>
      <c r="G3228" t="str">
        <v>-</v>
      </c>
    </row>
    <row r="3229">
      <c r="A3229">
        <v>3228</v>
      </c>
      <c r="B3229">
        <f>HYPERLINK("https://simacai.laocai.gov.vn/", "UBND Ủy ban nhân dân xã Si Ma Cai  tỉnh Lào Cai")</f>
      </c>
      <c r="C3229" t="str">
        <v>https://simacai.laocai.gov.vn/</v>
      </c>
      <c r="D3229" t="str">
        <v>-</v>
      </c>
      <c r="E3229" t="str">
        <v>-</v>
      </c>
      <c r="F3229" t="str">
        <v>-</v>
      </c>
      <c r="G3229" t="str">
        <v>-</v>
      </c>
    </row>
    <row r="3230">
      <c r="A3230">
        <v>3229</v>
      </c>
      <c r="B3230" t="str">
        <v>Công an xã Sán Chải  tỉnh Lào Cai</v>
      </c>
      <c r="C3230" t="str">
        <v>-</v>
      </c>
      <c r="D3230" t="str">
        <v>-</v>
      </c>
      <c r="E3230" t="str">
        <v/>
      </c>
      <c r="F3230" t="str">
        <v>-</v>
      </c>
      <c r="G3230" t="str">
        <v>-</v>
      </c>
    </row>
    <row r="3231">
      <c r="A3231">
        <v>3230</v>
      </c>
      <c r="B3231">
        <f>HYPERLINK("https://laocai.gov.vn/hoc-tap-va-lam-theo-tam-guong-dao-duc-ho-chi-minh/si-ma-cai-khanh-thanh-cong-trinh-dien-thap-sang-tai-thon-hoa-binh-xa-san-chai-1182485", "UBND Ủy ban nhân dân xã Sán Chải  tỉnh Lào Cai")</f>
      </c>
      <c r="C3231" t="str">
        <v>https://laocai.gov.vn/hoc-tap-va-lam-theo-tam-guong-dao-duc-ho-chi-minh/si-ma-cai-khanh-thanh-cong-trinh-dien-thap-sang-tai-thon-hoa-binh-xa-san-chai-1182485</v>
      </c>
      <c r="D3231" t="str">
        <v>-</v>
      </c>
      <c r="E3231" t="str">
        <v>-</v>
      </c>
      <c r="F3231" t="str">
        <v>-</v>
      </c>
      <c r="G3231" t="str">
        <v>-</v>
      </c>
    </row>
    <row r="3232">
      <c r="A3232">
        <v>3231</v>
      </c>
      <c r="B3232" t="str">
        <v>Công an xã Mản Thẩn  tỉnh Lào Cai</v>
      </c>
      <c r="C3232" t="str">
        <v>-</v>
      </c>
      <c r="D3232" t="str">
        <v>-</v>
      </c>
      <c r="E3232" t="str">
        <v/>
      </c>
      <c r="F3232" t="str">
        <v>-</v>
      </c>
      <c r="G3232" t="str">
        <v>-</v>
      </c>
    </row>
    <row r="3233">
      <c r="A3233">
        <v>3232</v>
      </c>
      <c r="B3233">
        <f>HYPERLINK("http://www.cema.gov.vn/tin-tuc/tin-tuc-su-kien/guong-dien-hinh-tien-tien/chu-tich-xa-nguoi-mong-het-long-vi-que-huong.htm", "UBND Ủy ban nhân dân xã Mản Thẩn  tỉnh Lào Cai")</f>
      </c>
      <c r="C3233" t="str">
        <v>http://www.cema.gov.vn/tin-tuc/tin-tuc-su-kien/guong-dien-hinh-tien-tien/chu-tich-xa-nguoi-mong-het-long-vi-que-huong.htm</v>
      </c>
      <c r="D3233" t="str">
        <v>-</v>
      </c>
      <c r="E3233" t="str">
        <v>-</v>
      </c>
      <c r="F3233" t="str">
        <v>-</v>
      </c>
      <c r="G3233" t="str">
        <v>-</v>
      </c>
    </row>
    <row r="3234">
      <c r="A3234">
        <v>3233</v>
      </c>
      <c r="B3234">
        <f>HYPERLINK("https://www.facebook.com/DoanThanhnienCongantinhLaoCai/", "Công an xã Lùng Sui  tỉnh Lào Cai")</f>
      </c>
      <c r="C3234" t="str">
        <v>https://www.facebook.com/DoanThanhnienCongantinhLaoCai/</v>
      </c>
      <c r="D3234" t="str">
        <v>-</v>
      </c>
      <c r="E3234" t="str">
        <v/>
      </c>
      <c r="F3234" t="str">
        <v>-</v>
      </c>
      <c r="G3234" t="str">
        <v>-</v>
      </c>
    </row>
    <row r="3235">
      <c r="A3235">
        <v>3234</v>
      </c>
      <c r="B3235">
        <f>HYPERLINK("https://laocai.gov.vn/di-tich-cap-tinh/phe-tich-thanh-co-lung-than-duoc-xep-hang-la-di-tich-lich-su-van-hoa-cap-tinh-936970", "UBND Ủy ban nhân dân xã Lùng Sui  tỉnh Lào Cai")</f>
      </c>
      <c r="C3235" t="str">
        <v>https://laocai.gov.vn/di-tich-cap-tinh/phe-tich-thanh-co-lung-than-duoc-xep-hang-la-di-tich-lich-su-van-hoa-cap-tinh-936970</v>
      </c>
      <c r="D3235" t="str">
        <v>-</v>
      </c>
      <c r="E3235" t="str">
        <v>-</v>
      </c>
      <c r="F3235" t="str">
        <v>-</v>
      </c>
      <c r="G3235" t="str">
        <v>-</v>
      </c>
    </row>
    <row r="3236">
      <c r="A3236">
        <v>3235</v>
      </c>
      <c r="B3236">
        <f>HYPERLINK("https://www.facebook.com/p/Tu%E1%BB%95i-tr%E1%BA%BB-C%C3%B4ng-an-th%C3%A0nh-ph%E1%BB%91-L%C3%A0o-Cai-100065690011431/", "Công an xã Cán Cấu  tỉnh Lào Cai")</f>
      </c>
      <c r="C3236" t="str">
        <v>https://www.facebook.com/p/Tu%E1%BB%95i-tr%E1%BA%BB-C%C3%B4ng-an-th%C3%A0nh-ph%E1%BB%91-L%C3%A0o-Cai-100065690011431/</v>
      </c>
      <c r="D3236" t="str">
        <v>-</v>
      </c>
      <c r="E3236" t="str">
        <v/>
      </c>
      <c r="F3236" t="str">
        <v>-</v>
      </c>
      <c r="G3236" t="str">
        <v>-</v>
      </c>
    </row>
    <row r="3237">
      <c r="A3237">
        <v>3236</v>
      </c>
      <c r="B3237">
        <f>HYPERLINK("https://simacai.laocai.gov.vn/uy-ban-nhan-dan-cac-xa/uy-ban-nhan-dan-cac-xa-254115", "UBND Ủy ban nhân dân xã Cán Cấu  tỉnh Lào Cai")</f>
      </c>
      <c r="C3237" t="str">
        <v>https://simacai.laocai.gov.vn/uy-ban-nhan-dan-cac-xa/uy-ban-nhan-dan-cac-xa-254115</v>
      </c>
      <c r="D3237" t="str">
        <v>-</v>
      </c>
      <c r="E3237" t="str">
        <v>-</v>
      </c>
      <c r="F3237" t="str">
        <v>-</v>
      </c>
      <c r="G3237" t="str">
        <v>-</v>
      </c>
    </row>
    <row r="3238">
      <c r="A3238">
        <v>3237</v>
      </c>
      <c r="B3238">
        <f>HYPERLINK("https://www.facebook.com/thcssincheng/", "Công an xã Sín Chéng  tỉnh Lào Cai")</f>
      </c>
      <c r="C3238" t="str">
        <v>https://www.facebook.com/thcssincheng/</v>
      </c>
      <c r="D3238" t="str">
        <v>-</v>
      </c>
      <c r="E3238" t="str">
        <v/>
      </c>
      <c r="F3238" t="str">
        <v>-</v>
      </c>
      <c r="G3238" t="str">
        <v>-</v>
      </c>
    </row>
    <row r="3239">
      <c r="A3239">
        <v>3238</v>
      </c>
      <c r="B3239">
        <f>HYPERLINK("https://www.laocai.gov.vn/tin-trong-tinh/chu-tich-uy-ban-mat-tran-to-quoc-xa-guong-mau-tan-tuy-voi-nhan-dan-1267704", "UBND Ủy ban nhân dân xã Sín Chéng  tỉnh Lào Cai")</f>
      </c>
      <c r="C3239" t="str">
        <v>https://www.laocai.gov.vn/tin-trong-tinh/chu-tich-uy-ban-mat-tran-to-quoc-xa-guong-mau-tan-tuy-voi-nhan-dan-1267704</v>
      </c>
      <c r="D3239" t="str">
        <v>-</v>
      </c>
      <c r="E3239" t="str">
        <v>-</v>
      </c>
      <c r="F3239" t="str">
        <v>-</v>
      </c>
      <c r="G3239" t="str">
        <v>-</v>
      </c>
    </row>
    <row r="3240">
      <c r="A3240">
        <v>3239</v>
      </c>
      <c r="B3240">
        <f>HYPERLINK("https://www.facebook.com/DoanThanhnienCongantinhLaoCai/", "Công an xã Cán Hồ  tỉnh Lào Cai")</f>
      </c>
      <c r="C3240" t="str">
        <v>https://www.facebook.com/DoanThanhnienCongantinhLaoCai/</v>
      </c>
      <c r="D3240" t="str">
        <v>-</v>
      </c>
      <c r="E3240" t="str">
        <v/>
      </c>
      <c r="F3240" t="str">
        <v>-</v>
      </c>
      <c r="G3240" t="str">
        <v>-</v>
      </c>
    </row>
    <row r="3241">
      <c r="A3241">
        <v>3240</v>
      </c>
      <c r="B3241">
        <f>HYPERLINK("https://simacai.laocai.gov.vn/uy-ban-nhan-dan-cac-xa/uy-ban-nhan-dan-cac-xa-254115", "UBND Ủy ban nhân dân xã Cán Hồ  tỉnh Lào Cai")</f>
      </c>
      <c r="C3241" t="str">
        <v>https://simacai.laocai.gov.vn/uy-ban-nhan-dan-cac-xa/uy-ban-nhan-dan-cac-xa-254115</v>
      </c>
      <c r="D3241" t="str">
        <v>-</v>
      </c>
      <c r="E3241" t="str">
        <v>-</v>
      </c>
      <c r="F3241" t="str">
        <v>-</v>
      </c>
      <c r="G3241" t="str">
        <v>-</v>
      </c>
    </row>
    <row r="3242">
      <c r="A3242">
        <v>3241</v>
      </c>
      <c r="B3242" t="str">
        <v>Công an xã Quan Thần Sán  tỉnh Lào Cai</v>
      </c>
      <c r="C3242" t="str">
        <v>-</v>
      </c>
      <c r="D3242" t="str">
        <v>-</v>
      </c>
      <c r="E3242" t="str">
        <v/>
      </c>
      <c r="F3242" t="str">
        <v>-</v>
      </c>
      <c r="G3242" t="str">
        <v>-</v>
      </c>
    </row>
    <row r="3243">
      <c r="A3243">
        <v>3242</v>
      </c>
      <c r="B3243">
        <f>HYPERLINK("https://thads.moj.gov.vn/UserControls/News/pFormPrint.aspx?UrlListProcess=/laocai/noidung/tintuc/Lists/HoatDongCuaCuc&amp;ListId=d79331a1-0075-4530-a100-725230f75f22&amp;SiteId=87ba1576-cb2b-44fa-9b45-f20880b29087&amp;ItemID=62&amp;SiteRootID=a149ca04-0675-4959-b693-037f129a9de6", "UBND Ủy ban nhân dân xã Quan Thần Sán  tỉnh Lào Cai")</f>
      </c>
      <c r="C3243" t="str">
        <v>https://thads.moj.gov.vn/UserControls/News/pFormPrint.aspx?UrlListProcess=/laocai/noidung/tintuc/Lists/HoatDongCuaCuc&amp;ListId=d79331a1-0075-4530-a100-725230f75f22&amp;SiteId=87ba1576-cb2b-44fa-9b45-f20880b29087&amp;ItemID=62&amp;SiteRootID=a149ca04-0675-4959-b693-037f129a9de6</v>
      </c>
      <c r="D3243" t="str">
        <v>-</v>
      </c>
      <c r="E3243" t="str">
        <v>-</v>
      </c>
      <c r="F3243" t="str">
        <v>-</v>
      </c>
      <c r="G3243" t="str">
        <v>-</v>
      </c>
    </row>
    <row r="3244">
      <c r="A3244">
        <v>3243</v>
      </c>
      <c r="B3244">
        <f>HYPERLINK("https://www.facebook.com/DoanThanhnienCongantinhLaoCai/", "Công an xã Lử Thẩn  tỉnh Lào Cai")</f>
      </c>
      <c r="C3244" t="str">
        <v>https://www.facebook.com/DoanThanhnienCongantinhLaoCai/</v>
      </c>
      <c r="D3244" t="str">
        <v>-</v>
      </c>
      <c r="E3244" t="str">
        <v/>
      </c>
      <c r="F3244" t="str">
        <v>-</v>
      </c>
      <c r="G3244" t="str">
        <v>-</v>
      </c>
    </row>
    <row r="3245">
      <c r="A3245">
        <v>3244</v>
      </c>
      <c r="B3245">
        <f>HYPERLINK("https://simacai.laocai.gov.vn/uy-ban-nhan-dan-cac-xa/uy-ban-nhan-dan-cac-xa-254115", "UBND Ủy ban nhân dân xã Lử Thẩn  tỉnh Lào Cai")</f>
      </c>
      <c r="C3245" t="str">
        <v>https://simacai.laocai.gov.vn/uy-ban-nhan-dan-cac-xa/uy-ban-nhan-dan-cac-xa-254115</v>
      </c>
      <c r="D3245" t="str">
        <v>-</v>
      </c>
      <c r="E3245" t="str">
        <v>-</v>
      </c>
      <c r="F3245" t="str">
        <v>-</v>
      </c>
      <c r="G3245" t="str">
        <v>-</v>
      </c>
    </row>
    <row r="3246">
      <c r="A3246">
        <v>3245</v>
      </c>
      <c r="B3246">
        <f>HYPERLINK("https://www.facebook.com/DoanThanhnienCongantinhLaoCai/", "Công an xã Nàn Xín  tỉnh Lào Cai")</f>
      </c>
      <c r="C3246" t="str">
        <v>https://www.facebook.com/DoanThanhnienCongantinhLaoCai/</v>
      </c>
      <c r="D3246" t="str">
        <v>-</v>
      </c>
      <c r="E3246" t="str">
        <v/>
      </c>
      <c r="F3246" t="str">
        <v>-</v>
      </c>
      <c r="G3246" t="str">
        <v>-</v>
      </c>
    </row>
    <row r="3247">
      <c r="A3247">
        <v>3246</v>
      </c>
      <c r="B3247">
        <f>HYPERLINK("https://xinman.hagiang.gov.vn/chi-tiet-tin-tuc/-/news/44765/doan-cong-tac-huyen-bac-ha-tinh-lao-cai-trao-doi-kinh-nghiem-tai-huyen-xin-man.html", "UBND Ủy ban nhân dân xã Nàn Xín  tỉnh Lào Cai")</f>
      </c>
      <c r="C3247" t="str">
        <v>https://xinman.hagiang.gov.vn/chi-tiet-tin-tuc/-/news/44765/doan-cong-tac-huyen-bac-ha-tinh-lao-cai-trao-doi-kinh-nghiem-tai-huyen-xin-man.html</v>
      </c>
      <c r="D3247" t="str">
        <v>-</v>
      </c>
      <c r="E3247" t="str">
        <v>-</v>
      </c>
      <c r="F3247" t="str">
        <v>-</v>
      </c>
      <c r="G3247" t="str">
        <v>-</v>
      </c>
    </row>
    <row r="3248">
      <c r="A3248">
        <v>3247</v>
      </c>
      <c r="B3248">
        <f>HYPERLINK("https://www.facebook.com/DoanThanhnienCongantinhLaoCai/", "Công an thị trấn Bắc Hà  tỉnh Lào Cai")</f>
      </c>
      <c r="C3248" t="str">
        <v>https://www.facebook.com/DoanThanhnienCongantinhLaoCai/</v>
      </c>
      <c r="D3248" t="str">
        <v>-</v>
      </c>
      <c r="E3248" t="str">
        <v/>
      </c>
      <c r="F3248" t="str">
        <v>-</v>
      </c>
      <c r="G3248" t="str">
        <v>-</v>
      </c>
    </row>
    <row r="3249">
      <c r="A3249">
        <v>3248</v>
      </c>
      <c r="B3249">
        <f>HYPERLINK("https://bacha.laocai.gov.vn/", "UBND Ủy ban nhân dân thị trấn Bắc Hà  tỉnh Lào Cai")</f>
      </c>
      <c r="C3249" t="str">
        <v>https://bacha.laocai.gov.vn/</v>
      </c>
      <c r="D3249" t="str">
        <v>-</v>
      </c>
      <c r="E3249" t="str">
        <v>-</v>
      </c>
      <c r="F3249" t="str">
        <v>-</v>
      </c>
      <c r="G3249" t="str">
        <v>-</v>
      </c>
    </row>
    <row r="3250">
      <c r="A3250">
        <v>3249</v>
      </c>
      <c r="B3250">
        <f>HYPERLINK("https://www.facebook.com/1405321373138340/", "Công an xã Lùng Cải  tỉnh Lào Cai")</f>
      </c>
      <c r="C3250" t="str">
        <v>https://www.facebook.com/1405321373138340/</v>
      </c>
      <c r="D3250" t="str">
        <v>-</v>
      </c>
      <c r="E3250" t="str">
        <v/>
      </c>
      <c r="F3250" t="str">
        <v>-</v>
      </c>
      <c r="G3250" t="str">
        <v>-</v>
      </c>
    </row>
    <row r="3251">
      <c r="A3251">
        <v>3250</v>
      </c>
      <c r="B3251">
        <f>HYPERLINK("https://chuthapdo.laocai.gov.vn/phong-trao-tet-nhan-ai/hoi-chu-thap-do-tinh-lao-cai-tham-gia-doan-cong-tac-cua-tinh-uy-tham-tang-qua-chuc-tet-xa-hoang--1236113", "UBND Ủy ban nhân dân xã Lùng Cải  tỉnh Lào Cai")</f>
      </c>
      <c r="C3251" t="str">
        <v>https://chuthapdo.laocai.gov.vn/phong-trao-tet-nhan-ai/hoi-chu-thap-do-tinh-lao-cai-tham-gia-doan-cong-tac-cua-tinh-uy-tham-tang-qua-chuc-tet-xa-hoang--1236113</v>
      </c>
      <c r="D3251" t="str">
        <v>-</v>
      </c>
      <c r="E3251" t="str">
        <v>-</v>
      </c>
      <c r="F3251" t="str">
        <v>-</v>
      </c>
      <c r="G3251" t="str">
        <v>-</v>
      </c>
    </row>
    <row r="3252">
      <c r="A3252">
        <v>3251</v>
      </c>
      <c r="B3252">
        <f>HYPERLINK("https://www.facebook.com/DoanThanhnienCongantinhLaoCai/", "Công an xã Bản Già  tỉnh Lào Cai")</f>
      </c>
      <c r="C3252" t="str">
        <v>https://www.facebook.com/DoanThanhnienCongantinhLaoCai/</v>
      </c>
      <c r="D3252" t="str">
        <v>-</v>
      </c>
      <c r="E3252" t="str">
        <v/>
      </c>
      <c r="F3252" t="str">
        <v>-</v>
      </c>
      <c r="G3252" t="str">
        <v>-</v>
      </c>
    </row>
    <row r="3253">
      <c r="A3253">
        <v>3252</v>
      </c>
      <c r="B3253">
        <f>HYPERLINK("https://www.laocai.gov.vn/", "UBND Ủy ban nhân dân xã Bản Già  tỉnh Lào Cai")</f>
      </c>
      <c r="C3253" t="str">
        <v>https://www.laocai.gov.vn/</v>
      </c>
      <c r="D3253" t="str">
        <v>-</v>
      </c>
      <c r="E3253" t="str">
        <v>-</v>
      </c>
      <c r="F3253" t="str">
        <v>-</v>
      </c>
      <c r="G3253" t="str">
        <v>-</v>
      </c>
    </row>
    <row r="3254">
      <c r="A3254">
        <v>3253</v>
      </c>
      <c r="B3254">
        <f>HYPERLINK("https://www.facebook.com/DoanThanhnienCongantinhLaoCai/", "Công an xã Lùng Phình  tỉnh Lào Cai")</f>
      </c>
      <c r="C3254" t="str">
        <v>https://www.facebook.com/DoanThanhnienCongantinhLaoCai/</v>
      </c>
      <c r="D3254" t="str">
        <v>-</v>
      </c>
      <c r="E3254" t="str">
        <v/>
      </c>
      <c r="F3254" t="str">
        <v>-</v>
      </c>
      <c r="G3254" t="str">
        <v>-</v>
      </c>
    </row>
    <row r="3255">
      <c r="A3255">
        <v>3254</v>
      </c>
      <c r="B3255">
        <f>HYPERLINK("https://www.laocai.gov.vn/chuong-trinh-muc-tieu-quoc-gia/xay-dung-nong-thon-moi-o-lung-phinh-934685", "UBND Ủy ban nhân dân xã Lùng Phình  tỉnh Lào Cai")</f>
      </c>
      <c r="C3255" t="str">
        <v>https://www.laocai.gov.vn/chuong-trinh-muc-tieu-quoc-gia/xay-dung-nong-thon-moi-o-lung-phinh-934685</v>
      </c>
      <c r="D3255" t="str">
        <v>-</v>
      </c>
      <c r="E3255" t="str">
        <v>-</v>
      </c>
      <c r="F3255" t="str">
        <v>-</v>
      </c>
      <c r="G3255" t="str">
        <v>-</v>
      </c>
    </row>
    <row r="3256">
      <c r="A3256">
        <v>3255</v>
      </c>
      <c r="B3256" t="str">
        <v>Công an xã Tả Van Chư  tỉnh Lào Cai</v>
      </c>
      <c r="C3256" t="str">
        <v>-</v>
      </c>
      <c r="D3256" t="str">
        <v>-</v>
      </c>
      <c r="E3256" t="str">
        <v/>
      </c>
      <c r="F3256" t="str">
        <v>-</v>
      </c>
      <c r="G3256" t="str">
        <v>-</v>
      </c>
    </row>
    <row r="3257">
      <c r="A3257">
        <v>3256</v>
      </c>
      <c r="B3257">
        <f>HYPERLINK("https://www.laocai.gov.vn/tin-hoat-dong-88799/bac-ha-phu-nu-xa-vung-cao-ta-van-chu-tich-cuc-hoc-tap-va-lam-theo-bac-936729", "UBND Ủy ban nhân dân xã Tả Van Chư  tỉnh Lào Cai")</f>
      </c>
      <c r="C3257" t="str">
        <v>https://www.laocai.gov.vn/tin-hoat-dong-88799/bac-ha-phu-nu-xa-vung-cao-ta-van-chu-tich-cuc-hoc-tap-va-lam-theo-bac-936729</v>
      </c>
      <c r="D3257" t="str">
        <v>-</v>
      </c>
      <c r="E3257" t="str">
        <v>-</v>
      </c>
      <c r="F3257" t="str">
        <v>-</v>
      </c>
      <c r="G3257" t="str">
        <v>-</v>
      </c>
    </row>
    <row r="3258">
      <c r="A3258">
        <v>3257</v>
      </c>
      <c r="B3258" t="str">
        <v>Công an xã Tả Củ Tỷ  tỉnh Lào Cai</v>
      </c>
      <c r="C3258" t="str">
        <v>-</v>
      </c>
      <c r="D3258" t="str">
        <v>-</v>
      </c>
      <c r="E3258" t="str">
        <v/>
      </c>
      <c r="F3258" t="str">
        <v>-</v>
      </c>
      <c r="G3258" t="str">
        <v>-</v>
      </c>
    </row>
    <row r="3259">
      <c r="A3259">
        <v>3258</v>
      </c>
      <c r="B3259">
        <f>HYPERLINK("https://bacha.laocai.gov.vn/du-dia-chi-cac-xa-thi-tran/du-dia-chi-xa-ta-cu-ty-804172", "UBND Ủy ban nhân dân xã Tả Củ Tỷ  tỉnh Lào Cai")</f>
      </c>
      <c r="C3259" t="str">
        <v>https://bacha.laocai.gov.vn/du-dia-chi-cac-xa-thi-tran/du-dia-chi-xa-ta-cu-ty-804172</v>
      </c>
      <c r="D3259" t="str">
        <v>-</v>
      </c>
      <c r="E3259" t="str">
        <v>-</v>
      </c>
      <c r="F3259" t="str">
        <v>-</v>
      </c>
      <c r="G3259" t="str">
        <v>-</v>
      </c>
    </row>
    <row r="3260">
      <c r="A3260">
        <v>3259</v>
      </c>
      <c r="B3260" t="str">
        <v>Công an xã Thải Giàng Phố  tỉnh Lào Cai</v>
      </c>
      <c r="C3260" t="str">
        <v>-</v>
      </c>
      <c r="D3260" t="str">
        <v>-</v>
      </c>
      <c r="E3260" t="str">
        <v/>
      </c>
      <c r="F3260" t="str">
        <v>-</v>
      </c>
      <c r="G3260" t="str">
        <v>-</v>
      </c>
    </row>
    <row r="3261">
      <c r="A3261">
        <v>3260</v>
      </c>
      <c r="B3261">
        <f>HYPERLINK("https://www.laocai.gov.vn/tin-thoi-su/pho-chu-tich-ubnd-tinh-giang-thi-dung-tham-tang-qua-nhan-dan-xa-ban-pho-va-xa-thai-giang-pho-huy-1289423", "UBND Ủy ban nhân dân xã Thải Giàng Phố  tỉnh Lào Cai")</f>
      </c>
      <c r="C3261" t="str">
        <v>https://www.laocai.gov.vn/tin-thoi-su/pho-chu-tich-ubnd-tinh-giang-thi-dung-tham-tang-qua-nhan-dan-xa-ban-pho-va-xa-thai-giang-pho-huy-1289423</v>
      </c>
      <c r="D3261" t="str">
        <v>-</v>
      </c>
      <c r="E3261" t="str">
        <v>-</v>
      </c>
      <c r="F3261" t="str">
        <v>-</v>
      </c>
      <c r="G3261" t="str">
        <v>-</v>
      </c>
    </row>
    <row r="3262">
      <c r="A3262">
        <v>3261</v>
      </c>
      <c r="B3262" t="str">
        <v>Công an xã Lầu Thí Ngài  tỉnh Lào Cai</v>
      </c>
      <c r="C3262" t="str">
        <v>-</v>
      </c>
      <c r="D3262" t="str">
        <v>-</v>
      </c>
      <c r="E3262" t="str">
        <v/>
      </c>
      <c r="F3262" t="str">
        <v>-</v>
      </c>
      <c r="G3262" t="str">
        <v>-</v>
      </c>
    </row>
    <row r="3263">
      <c r="A3263">
        <v>3262</v>
      </c>
      <c r="B3263">
        <f>HYPERLINK("https://www.laocai.gov.vn/chuong-trinh-muc-tieu-quoc-gia/xay-dung-nong-thon-moi-o-lung-phinh-934685", "UBND Ủy ban nhân dân xã Lầu Thí Ngài  tỉnh Lào Cai")</f>
      </c>
      <c r="C3263" t="str">
        <v>https://www.laocai.gov.vn/chuong-trinh-muc-tieu-quoc-gia/xay-dung-nong-thon-moi-o-lung-phinh-934685</v>
      </c>
      <c r="D3263" t="str">
        <v>-</v>
      </c>
      <c r="E3263" t="str">
        <v>-</v>
      </c>
      <c r="F3263" t="str">
        <v>-</v>
      </c>
      <c r="G3263" t="str">
        <v>-</v>
      </c>
    </row>
    <row r="3264">
      <c r="A3264">
        <v>3263</v>
      </c>
      <c r="B3264" t="str">
        <v>Công an xã Hoàng Thu Phố  tỉnh Lào Cai</v>
      </c>
      <c r="C3264" t="str">
        <v>-</v>
      </c>
      <c r="D3264" t="str">
        <v>-</v>
      </c>
      <c r="E3264" t="str">
        <v/>
      </c>
      <c r="F3264" t="str">
        <v>-</v>
      </c>
      <c r="G3264" t="str">
        <v>-</v>
      </c>
    </row>
    <row r="3265">
      <c r="A3265">
        <v>3264</v>
      </c>
      <c r="B3265">
        <f>HYPERLINK("https://chuthapdo.laocai.gov.vn/phong-trao-tet-nhan-ai/hoi-chu-thap-do-tinh-lao-cai-tham-gia-doan-cong-tac-cua-tinh-uy-tham-tang-qua-chuc-tet-xa-hoang--1236113", "UBND Ủy ban nhân dân xã Hoàng Thu Phố  tỉnh Lào Cai")</f>
      </c>
      <c r="C3265" t="str">
        <v>https://chuthapdo.laocai.gov.vn/phong-trao-tet-nhan-ai/hoi-chu-thap-do-tinh-lao-cai-tham-gia-doan-cong-tac-cua-tinh-uy-tham-tang-qua-chuc-tet-xa-hoang--1236113</v>
      </c>
      <c r="D3265" t="str">
        <v>-</v>
      </c>
      <c r="E3265" t="str">
        <v>-</v>
      </c>
      <c r="F3265" t="str">
        <v>-</v>
      </c>
      <c r="G3265" t="str">
        <v>-</v>
      </c>
    </row>
    <row r="3266">
      <c r="A3266">
        <v>3265</v>
      </c>
      <c r="B3266">
        <f>HYPERLINK("https://www.facebook.com/DoanThanhnienCongantinhLaoCai/", "Công an xã Bản Phố  tỉnh Lào Cai")</f>
      </c>
      <c r="C3266" t="str">
        <v>https://www.facebook.com/DoanThanhnienCongantinhLaoCai/</v>
      </c>
      <c r="D3266" t="str">
        <v>-</v>
      </c>
      <c r="E3266" t="str">
        <v/>
      </c>
      <c r="F3266" t="str">
        <v>-</v>
      </c>
      <c r="G3266" t="str">
        <v>-</v>
      </c>
    </row>
    <row r="3267">
      <c r="A3267">
        <v>3266</v>
      </c>
      <c r="B3267">
        <f>HYPERLINK("https://www.laocai.gov.vn/tin-thoi-su/pho-chu-tich-ubnd-tinh-giang-thi-dung-tham-tang-qua-nhan-dan-xa-ban-pho-va-xa-thai-giang-pho-huy-1289423", "UBND Ủy ban nhân dân xã Bản Phố  tỉnh Lào Cai")</f>
      </c>
      <c r="C3267" t="str">
        <v>https://www.laocai.gov.vn/tin-thoi-su/pho-chu-tich-ubnd-tinh-giang-thi-dung-tham-tang-qua-nhan-dan-xa-ban-pho-va-xa-thai-giang-pho-huy-1289423</v>
      </c>
      <c r="D3267" t="str">
        <v>-</v>
      </c>
      <c r="E3267" t="str">
        <v>-</v>
      </c>
      <c r="F3267" t="str">
        <v>-</v>
      </c>
      <c r="G3267" t="str">
        <v>-</v>
      </c>
    </row>
    <row r="3268">
      <c r="A3268">
        <v>3267</v>
      </c>
      <c r="B3268">
        <f>HYPERLINK("https://www.facebook.com/DoanThanhnienCongantinhLaoCai/", "Công an xã Bản Liền  tỉnh Lào Cai")</f>
      </c>
      <c r="C3268" t="str">
        <v>https://www.facebook.com/DoanThanhnienCongantinhLaoCai/</v>
      </c>
      <c r="D3268" t="str">
        <v>-</v>
      </c>
      <c r="E3268" t="str">
        <v/>
      </c>
      <c r="F3268" t="str">
        <v>-</v>
      </c>
      <c r="G3268" t="str">
        <v>-</v>
      </c>
    </row>
    <row r="3269">
      <c r="A3269">
        <v>3268</v>
      </c>
      <c r="B3269">
        <f>HYPERLINK("https://www.laocai.gov.vn/an-toan-giao-thong/bac-ha-thong-tuyen-tam-thoi-den-xa-ban-lien-va-10-thon-tren-dia-ban-huyen-1289144", "UBND Ủy ban nhân dân xã Bản Liền  tỉnh Lào Cai")</f>
      </c>
      <c r="C3269" t="str">
        <v>https://www.laocai.gov.vn/an-toan-giao-thong/bac-ha-thong-tuyen-tam-thoi-den-xa-ban-lien-va-10-thon-tren-dia-ban-huyen-1289144</v>
      </c>
      <c r="D3269" t="str">
        <v>-</v>
      </c>
      <c r="E3269" t="str">
        <v>-</v>
      </c>
      <c r="F3269" t="str">
        <v>-</v>
      </c>
      <c r="G3269" t="str">
        <v>-</v>
      </c>
    </row>
    <row r="3270">
      <c r="A3270">
        <v>3269</v>
      </c>
      <c r="B3270">
        <f>HYPERLINK("https://www.facebook.com/daitruyenhinhlaocai/videos/th%E1%BB%9Di-s%E1%BB%B1-l%C3%A0o-cai-22h00-ng%C3%A0y-31102024/1079232870313654/", "Công an xã Tà Chải  tỉnh Lào Cai")</f>
      </c>
      <c r="C3270" t="str">
        <v>https://www.facebook.com/daitruyenhinhlaocai/videos/th%E1%BB%9Di-s%E1%BB%B1-l%C3%A0o-cai-22h00-ng%C3%A0y-31102024/1079232870313654/</v>
      </c>
      <c r="D3270" t="str">
        <v>-</v>
      </c>
      <c r="E3270" t="str">
        <v/>
      </c>
      <c r="F3270" t="str">
        <v>-</v>
      </c>
      <c r="G3270" t="str">
        <v>-</v>
      </c>
    </row>
    <row r="3271">
      <c r="A3271">
        <v>3270</v>
      </c>
      <c r="B3271">
        <f>HYPERLINK("https://www.laocai.gov.vn/tin-trong-tinh/xa-ta-chai-nhap-vao-thi-tran-bac-ha-tu-ngay-1-11-2024-1303090", "UBND Ủy ban nhân dân xã Tà Chải  tỉnh Lào Cai")</f>
      </c>
      <c r="C3271" t="str">
        <v>https://www.laocai.gov.vn/tin-trong-tinh/xa-ta-chai-nhap-vao-thi-tran-bac-ha-tu-ngay-1-11-2024-1303090</v>
      </c>
      <c r="D3271" t="str">
        <v>-</v>
      </c>
      <c r="E3271" t="str">
        <v>-</v>
      </c>
      <c r="F3271" t="str">
        <v>-</v>
      </c>
      <c r="G3271" t="str">
        <v>-</v>
      </c>
    </row>
    <row r="3272">
      <c r="A3272">
        <v>3271</v>
      </c>
      <c r="B3272">
        <f>HYPERLINK("https://www.facebook.com/DoanThanhnienCongantinhLaoCai/", "Công an xã Na Hối  tỉnh Lào Cai")</f>
      </c>
      <c r="C3272" t="str">
        <v>https://www.facebook.com/DoanThanhnienCongantinhLaoCai/</v>
      </c>
      <c r="D3272" t="str">
        <v>-</v>
      </c>
      <c r="E3272" t="str">
        <v/>
      </c>
      <c r="F3272" t="str">
        <v>-</v>
      </c>
      <c r="G3272" t="str">
        <v>-</v>
      </c>
    </row>
    <row r="3273">
      <c r="A3273">
        <v>3272</v>
      </c>
      <c r="B3273">
        <f>HYPERLINK("https://www.laocai.gov.vn/", "UBND Ủy ban nhân dân xã Na Hối  tỉnh Lào Cai")</f>
      </c>
      <c r="C3273" t="str">
        <v>https://www.laocai.gov.vn/</v>
      </c>
      <c r="D3273" t="str">
        <v>-</v>
      </c>
      <c r="E3273" t="str">
        <v>-</v>
      </c>
      <c r="F3273" t="str">
        <v>-</v>
      </c>
      <c r="G3273" t="str">
        <v>-</v>
      </c>
    </row>
    <row r="3274">
      <c r="A3274">
        <v>3273</v>
      </c>
      <c r="B3274">
        <f>HYPERLINK("https://www.facebook.com/DoanThanhnienCongantinhLaoCai/", "Công an xã Cốc Ly  tỉnh Lào Cai")</f>
      </c>
      <c r="C3274" t="str">
        <v>https://www.facebook.com/DoanThanhnienCongantinhLaoCai/</v>
      </c>
      <c r="D3274" t="str">
        <v>-</v>
      </c>
      <c r="E3274" t="str">
        <v/>
      </c>
      <c r="F3274" t="str">
        <v>-</v>
      </c>
      <c r="G3274" t="str">
        <v>-</v>
      </c>
    </row>
    <row r="3275">
      <c r="A3275">
        <v>3274</v>
      </c>
      <c r="B3275">
        <f>HYPERLINK("http://cocsan.tplaocai.laocai.gov.vn/", "UBND Ủy ban nhân dân xã Cốc Ly  tỉnh Lào Cai")</f>
      </c>
      <c r="C3275" t="str">
        <v>http://cocsan.tplaocai.laocai.gov.vn/</v>
      </c>
      <c r="D3275" t="str">
        <v>-</v>
      </c>
      <c r="E3275" t="str">
        <v>-</v>
      </c>
      <c r="F3275" t="str">
        <v>-</v>
      </c>
      <c r="G3275" t="str">
        <v>-</v>
      </c>
    </row>
    <row r="3276">
      <c r="A3276">
        <v>3275</v>
      </c>
      <c r="B3276">
        <f>HYPERLINK("https://www.facebook.com/p/Tu%E1%BB%95i-Tr%E1%BA%BB-C%C3%B4ng-An-C%E1%BB%ADa-Kh%E1%BA%A9u-T%C3%A2n-S%C6%A1n-Nh%E1%BA%A5t-100088876112137/?locale=cs_CZ", "Công an xã Nậm Mòn  tỉnh Lào Cai")</f>
      </c>
      <c r="C3276" t="str">
        <v>https://www.facebook.com/p/Tu%E1%BB%95i-Tr%E1%BA%BB-C%C3%B4ng-An-C%E1%BB%ADa-Kh%E1%BA%A9u-T%C3%A2n-S%C6%A1n-Nh%E1%BA%A5t-100088876112137/?locale=cs_CZ</v>
      </c>
      <c r="D3276" t="str">
        <v>-</v>
      </c>
      <c r="E3276" t="str">
        <v/>
      </c>
      <c r="F3276" t="str">
        <v>-</v>
      </c>
      <c r="G3276" t="str">
        <v>-</v>
      </c>
    </row>
    <row r="3277">
      <c r="A3277">
        <v>3276</v>
      </c>
      <c r="B3277">
        <f>HYPERLINK("https://e-services.laocai.gov.vn/dichvucong/thongke/aj_dv_ct_cq?thang=&amp;nam=&amp;ma_don_vi=XNM_BH&amp;ma_co_quan=UBND_HBH", "UBND Ủy ban nhân dân xã Nậm Mòn  tỉnh Lào Cai")</f>
      </c>
      <c r="C3277" t="str">
        <v>https://e-services.laocai.gov.vn/dichvucong/thongke/aj_dv_ct_cq?thang=&amp;nam=&amp;ma_don_vi=XNM_BH&amp;ma_co_quan=UBND_HBH</v>
      </c>
      <c r="D3277" t="str">
        <v>-</v>
      </c>
      <c r="E3277" t="str">
        <v>-</v>
      </c>
      <c r="F3277" t="str">
        <v>-</v>
      </c>
      <c r="G3277" t="str">
        <v>-</v>
      </c>
    </row>
    <row r="3278">
      <c r="A3278">
        <v>3277</v>
      </c>
      <c r="B3278" t="str">
        <v>Công an xã Nậm Đét  tỉnh Lào Cai</v>
      </c>
      <c r="C3278" t="str">
        <v>-</v>
      </c>
      <c r="D3278" t="str">
        <v>-</v>
      </c>
      <c r="E3278" t="str">
        <v/>
      </c>
      <c r="F3278" t="str">
        <v>-</v>
      </c>
      <c r="G3278" t="str">
        <v>-</v>
      </c>
    </row>
    <row r="3279">
      <c r="A3279">
        <v>3278</v>
      </c>
      <c r="B3279">
        <f>HYPERLINK("https://www.laocai.gov.vn/le-hoi/doc-dao-le-hoi-nhay-lua-cua-nguoi-dao-do-xa-nam-det-bac-ha-nam-2019-927209", "UBND Ủy ban nhân dân xã Nậm Đét  tỉnh Lào Cai")</f>
      </c>
      <c r="C3279" t="str">
        <v>https://www.laocai.gov.vn/le-hoi/doc-dao-le-hoi-nhay-lua-cua-nguoi-dao-do-xa-nam-det-bac-ha-nam-2019-927209</v>
      </c>
      <c r="D3279" t="str">
        <v>-</v>
      </c>
      <c r="E3279" t="str">
        <v>-</v>
      </c>
      <c r="F3279" t="str">
        <v>-</v>
      </c>
      <c r="G3279" t="str">
        <v>-</v>
      </c>
    </row>
    <row r="3280">
      <c r="A3280">
        <v>3279</v>
      </c>
      <c r="B3280" t="str">
        <v>Công an xã Nậm Khánh  tỉnh Lào Cai</v>
      </c>
      <c r="C3280" t="str">
        <v>-</v>
      </c>
      <c r="D3280" t="str">
        <v>-</v>
      </c>
      <c r="E3280" t="str">
        <v/>
      </c>
      <c r="F3280" t="str">
        <v>-</v>
      </c>
      <c r="G3280" t="str">
        <v>-</v>
      </c>
    </row>
    <row r="3281">
      <c r="A3281">
        <v>3280</v>
      </c>
      <c r="B3281">
        <f>HYPERLINK("https://chuthapdo.laocai.gov.vn/cuoc-van-dong--moi-to-chuc-moi-ca-nhan-gan-voi-mot-dia-chi-nhan-dao-/lanh-dao-hoi-chu-thap-do-tinh-lao-cai-du-ngay-hoi-dai-doan-ket-khu-dan-cu-xa-nam-khanh-bac-ha-648995", "UBND Ủy ban nhân dân xã Nậm Khánh  tỉnh Lào Cai")</f>
      </c>
      <c r="C3281" t="str">
        <v>https://chuthapdo.laocai.gov.vn/cuoc-van-dong--moi-to-chuc-moi-ca-nhan-gan-voi-mot-dia-chi-nhan-dao-/lanh-dao-hoi-chu-thap-do-tinh-lao-cai-du-ngay-hoi-dai-doan-ket-khu-dan-cu-xa-nam-khanh-bac-ha-648995</v>
      </c>
      <c r="D3281" t="str">
        <v>-</v>
      </c>
      <c r="E3281" t="str">
        <v>-</v>
      </c>
      <c r="F3281" t="str">
        <v>-</v>
      </c>
      <c r="G3281" t="str">
        <v>-</v>
      </c>
    </row>
    <row r="3282">
      <c r="A3282">
        <v>3281</v>
      </c>
      <c r="B3282" t="str">
        <v>Công an xã Bảo Nhai  tỉnh Lào Cai</v>
      </c>
      <c r="C3282" t="str">
        <v>-</v>
      </c>
      <c r="D3282" t="str">
        <v>-</v>
      </c>
      <c r="E3282" t="str">
        <v/>
      </c>
      <c r="F3282" t="str">
        <v>-</v>
      </c>
      <c r="G3282" t="str">
        <v>-</v>
      </c>
    </row>
    <row r="3283">
      <c r="A3283">
        <v>3282</v>
      </c>
      <c r="B3283">
        <f>HYPERLINK("https://pbgdpl.moj.gov.vn/qt/tintuc/Pages/hoat-dong-pgbdpldp.aspx?ItemID=2919", "UBND Ủy ban nhân dân xã Bảo Nhai  tỉnh Lào Cai")</f>
      </c>
      <c r="C3283" t="str">
        <v>https://pbgdpl.moj.gov.vn/qt/tintuc/Pages/hoat-dong-pgbdpldp.aspx?ItemID=2919</v>
      </c>
      <c r="D3283" t="str">
        <v>-</v>
      </c>
      <c r="E3283" t="str">
        <v>-</v>
      </c>
      <c r="F3283" t="str">
        <v>-</v>
      </c>
      <c r="G3283" t="str">
        <v>-</v>
      </c>
    </row>
    <row r="3284">
      <c r="A3284">
        <v>3283</v>
      </c>
      <c r="B3284" t="str">
        <v>Công an xã Nậm Lúc  tỉnh Lào Cai</v>
      </c>
      <c r="C3284" t="str">
        <v>-</v>
      </c>
      <c r="D3284" t="str">
        <v>-</v>
      </c>
      <c r="E3284" t="str">
        <v/>
      </c>
      <c r="F3284" t="str">
        <v>-</v>
      </c>
      <c r="G3284" t="str">
        <v>-</v>
      </c>
    </row>
    <row r="3285">
      <c r="A3285">
        <v>3284</v>
      </c>
      <c r="B3285">
        <f>HYPERLINK("https://www.laocai.gov.vn/thong-tin-nganh-dia-phuong/san-se-yeu-thuong-tren-dinh-nam-tong-xa-nam-luc-bac-ha-1289927", "UBND Ủy ban nhân dân xã Nậm Lúc  tỉnh Lào Cai")</f>
      </c>
      <c r="C3285" t="str">
        <v>https://www.laocai.gov.vn/thong-tin-nganh-dia-phuong/san-se-yeu-thuong-tren-dinh-nam-tong-xa-nam-luc-bac-ha-1289927</v>
      </c>
      <c r="D3285" t="str">
        <v>-</v>
      </c>
      <c r="E3285" t="str">
        <v>-</v>
      </c>
      <c r="F3285" t="str">
        <v>-</v>
      </c>
      <c r="G3285" t="str">
        <v>-</v>
      </c>
    </row>
    <row r="3286">
      <c r="A3286">
        <v>3285</v>
      </c>
      <c r="B3286" t="str">
        <v>Công an xã Cốc Lầu  tỉnh Lào Cai</v>
      </c>
      <c r="C3286" t="str">
        <v>-</v>
      </c>
      <c r="D3286" t="str">
        <v>-</v>
      </c>
      <c r="E3286" t="str">
        <v/>
      </c>
      <c r="F3286" t="str">
        <v>-</v>
      </c>
      <c r="G3286" t="str">
        <v>-</v>
      </c>
    </row>
    <row r="3287">
      <c r="A3287">
        <v>3286</v>
      </c>
      <c r="B3287">
        <f>HYPERLINK("https://laocai.gov.vn/tin-thoi-su/khoi-cong-tai-thiet-khu-dan-cu-thon-kho-vang-xa-coc-lau-huyen-bac-ha-1299050", "UBND Ủy ban nhân dân xã Cốc Lầu  tỉnh Lào Cai")</f>
      </c>
      <c r="C3287" t="str">
        <v>https://laocai.gov.vn/tin-thoi-su/khoi-cong-tai-thiet-khu-dan-cu-thon-kho-vang-xa-coc-lau-huyen-bac-ha-1299050</v>
      </c>
      <c r="D3287" t="str">
        <v>-</v>
      </c>
      <c r="E3287" t="str">
        <v>-</v>
      </c>
      <c r="F3287" t="str">
        <v>-</v>
      </c>
      <c r="G3287" t="str">
        <v>-</v>
      </c>
    </row>
    <row r="3288">
      <c r="A3288">
        <v>3287</v>
      </c>
      <c r="B3288">
        <f>HYPERLINK("https://www.facebook.com/DoanThanhnienCongantinhLaoCai/", "Công an xã Bản Cái  tỉnh Lào Cai")</f>
      </c>
      <c r="C3288" t="str">
        <v>https://www.facebook.com/DoanThanhnienCongantinhLaoCai/</v>
      </c>
      <c r="D3288" t="str">
        <v>-</v>
      </c>
      <c r="E3288" t="str">
        <v/>
      </c>
      <c r="F3288" t="str">
        <v>-</v>
      </c>
      <c r="G3288" t="str">
        <v>-</v>
      </c>
    </row>
    <row r="3289">
      <c r="A3289">
        <v>3288</v>
      </c>
      <c r="B3289">
        <f>HYPERLINK("https://www.laocai.gov.vn/an-toan-giao-thong/bac-ha-thong-tuyen-tam-thoi-den-xa-ban-lien-va-10-thon-tren-dia-ban-huyen-1289144", "UBND Ủy ban nhân dân xã Bản Cái  tỉnh Lào Cai")</f>
      </c>
      <c r="C3289" t="str">
        <v>https://www.laocai.gov.vn/an-toan-giao-thong/bac-ha-thong-tuyen-tam-thoi-den-xa-ban-lien-va-10-thon-tren-dia-ban-huyen-1289144</v>
      </c>
      <c r="D3289" t="str">
        <v>-</v>
      </c>
      <c r="E3289" t="str">
        <v>-</v>
      </c>
      <c r="F3289" t="str">
        <v>-</v>
      </c>
      <c r="G3289" t="str">
        <v>-</v>
      </c>
    </row>
    <row r="3290">
      <c r="A3290">
        <v>3289</v>
      </c>
      <c r="B3290" t="str">
        <v>Công an thị trấn N.T Phong Hải  tỉnh Lào Cai</v>
      </c>
      <c r="C3290" t="str">
        <v>-</v>
      </c>
      <c r="D3290" t="str">
        <v>-</v>
      </c>
      <c r="E3290" t="str">
        <v/>
      </c>
      <c r="F3290" t="str">
        <v>-</v>
      </c>
      <c r="G3290" t="str">
        <v>-</v>
      </c>
    </row>
    <row r="3291">
      <c r="A3291">
        <v>3290</v>
      </c>
      <c r="B3291">
        <f>HYPERLINK("https://www.laocai.gov.vn/", "UBND Ủy ban nhân dân thị trấn N.T Phong Hải  tỉnh Lào Cai")</f>
      </c>
      <c r="C3291" t="str">
        <v>https://www.laocai.gov.vn/</v>
      </c>
      <c r="D3291" t="str">
        <v>-</v>
      </c>
      <c r="E3291" t="str">
        <v>-</v>
      </c>
      <c r="F3291" t="str">
        <v>-</v>
      </c>
      <c r="G3291" t="str">
        <v>-</v>
      </c>
    </row>
    <row r="3292">
      <c r="A3292">
        <v>3291</v>
      </c>
      <c r="B3292">
        <f>HYPERLINK("https://www.facebook.com/p/Tu%E1%BB%95i-tr%E1%BA%BB-C%C3%B4ng-an-th%C3%A0nh-ph%E1%BB%91-L%C3%A0o-Cai-100065690011431/", "Công an thị trấn Phố Lu  tỉnh Lào Cai")</f>
      </c>
      <c r="C3292" t="str">
        <v>https://www.facebook.com/p/Tu%E1%BB%95i-tr%E1%BA%BB-C%C3%B4ng-an-th%C3%A0nh-ph%E1%BB%91-L%C3%A0o-Cai-100065690011431/</v>
      </c>
      <c r="D3292" t="str">
        <v>-</v>
      </c>
      <c r="E3292" t="str">
        <v/>
      </c>
      <c r="F3292" t="str">
        <v>-</v>
      </c>
      <c r="G3292" t="str">
        <v>-</v>
      </c>
    </row>
    <row r="3293">
      <c r="A3293">
        <v>3292</v>
      </c>
      <c r="B3293">
        <f>HYPERLINK("http://pholu.baothang.laocai.gov.vn/", "UBND Ủy ban nhân dân thị trấn Phố Lu  tỉnh Lào Cai")</f>
      </c>
      <c r="C3293" t="str">
        <v>http://pholu.baothang.laocai.gov.vn/</v>
      </c>
      <c r="D3293" t="str">
        <v>-</v>
      </c>
      <c r="E3293" t="str">
        <v>-</v>
      </c>
      <c r="F3293" t="str">
        <v>-</v>
      </c>
      <c r="G3293" t="str">
        <v>-</v>
      </c>
    </row>
    <row r="3294">
      <c r="A3294">
        <v>3293</v>
      </c>
      <c r="B3294">
        <f>HYPERLINK("https://www.facebook.com/p/THCS-TT-T%E1%BA%B1ng-Lo%E1%BB%8Fng-100077876118193/", "Công an thị trấn Tằng Loỏng  tỉnh Lào Cai")</f>
      </c>
      <c r="C3294" t="str">
        <v>https://www.facebook.com/p/THCS-TT-T%E1%BA%B1ng-Lo%E1%BB%8Fng-100077876118193/</v>
      </c>
      <c r="D3294" t="str">
        <v>-</v>
      </c>
      <c r="E3294" t="str">
        <v/>
      </c>
      <c r="F3294" t="str">
        <v>-</v>
      </c>
      <c r="G3294" t="str">
        <v>-</v>
      </c>
    </row>
    <row r="3295">
      <c r="A3295">
        <v>3294</v>
      </c>
      <c r="B3295">
        <f>HYPERLINK("http://tangloong.baothang.laocai.gov.vn/", "UBND Ủy ban nhân dân thị trấn Tằng Loỏng  tỉnh Lào Cai")</f>
      </c>
      <c r="C3295" t="str">
        <v>http://tangloong.baothang.laocai.gov.vn/</v>
      </c>
      <c r="D3295" t="str">
        <v>-</v>
      </c>
      <c r="E3295" t="str">
        <v>-</v>
      </c>
      <c r="F3295" t="str">
        <v>-</v>
      </c>
      <c r="G3295" t="str">
        <v>-</v>
      </c>
    </row>
    <row r="3296">
      <c r="A3296">
        <v>3295</v>
      </c>
      <c r="B3296">
        <f>HYPERLINK("https://www.facebook.com/thcsbanphiet/", "Công an xã Bản Phiệt  tỉnh Lào Cai")</f>
      </c>
      <c r="C3296" t="str">
        <v>https://www.facebook.com/thcsbanphiet/</v>
      </c>
      <c r="D3296" t="str">
        <v>-</v>
      </c>
      <c r="E3296" t="str">
        <v/>
      </c>
      <c r="F3296" t="str">
        <v>-</v>
      </c>
      <c r="G3296" t="str">
        <v>-</v>
      </c>
    </row>
    <row r="3297">
      <c r="A3297">
        <v>3296</v>
      </c>
      <c r="B3297">
        <f>HYPERLINK("https://laocai.gov.vn/tin-thoi-su/bo-truong-bo-cong-an-luong-tam-quang-du-ngay-hoi-dai-doan-ket-cac-dan-toc-tai-xa-ban-phiet-1309007", "UBND Ủy ban nhân dân xã Bản Phiệt  tỉnh Lào Cai")</f>
      </c>
      <c r="C3297" t="str">
        <v>https://laocai.gov.vn/tin-thoi-su/bo-truong-bo-cong-an-luong-tam-quang-du-ngay-hoi-dai-doan-ket-cac-dan-toc-tai-xa-ban-phiet-1309007</v>
      </c>
      <c r="D3297" t="str">
        <v>-</v>
      </c>
      <c r="E3297" t="str">
        <v>-</v>
      </c>
      <c r="F3297" t="str">
        <v>-</v>
      </c>
      <c r="G3297" t="str">
        <v>-</v>
      </c>
    </row>
    <row r="3298">
      <c r="A3298">
        <v>3297</v>
      </c>
      <c r="B3298" t="str">
        <v>Công an xã Bản Cầm  tỉnh Lào Cai</v>
      </c>
      <c r="C3298" t="str">
        <v>-</v>
      </c>
      <c r="D3298" t="str">
        <v>-</v>
      </c>
      <c r="E3298" t="str">
        <v/>
      </c>
      <c r="F3298" t="str">
        <v>-</v>
      </c>
      <c r="G3298" t="str">
        <v>-</v>
      </c>
    </row>
    <row r="3299">
      <c r="A3299">
        <v>3298</v>
      </c>
      <c r="B3299">
        <f>HYPERLINK("http://bancam.baothang.laocai.gov.vn/", "UBND Ủy ban nhân dân xã Bản Cầm  tỉnh Lào Cai")</f>
      </c>
      <c r="C3299" t="str">
        <v>http://bancam.baothang.laocai.gov.vn/</v>
      </c>
      <c r="D3299" t="str">
        <v>-</v>
      </c>
      <c r="E3299" t="str">
        <v>-</v>
      </c>
      <c r="F3299" t="str">
        <v>-</v>
      </c>
      <c r="G3299" t="str">
        <v>-</v>
      </c>
    </row>
    <row r="3300">
      <c r="A3300">
        <v>3299</v>
      </c>
      <c r="B3300" t="str">
        <v>Công an xã Thái Niên  tỉnh Lào Cai</v>
      </c>
      <c r="C3300" t="str">
        <v>-</v>
      </c>
      <c r="D3300" t="str">
        <v>-</v>
      </c>
      <c r="E3300" t="str">
        <v/>
      </c>
      <c r="F3300" t="str">
        <v>-</v>
      </c>
      <c r="G3300" t="str">
        <v>-</v>
      </c>
    </row>
    <row r="3301">
      <c r="A3301">
        <v>3300</v>
      </c>
      <c r="B3301">
        <f>HYPERLINK("https://www.laocai.gov.vn/thong-tin-quan-ly-khoang-san/dong-cua-mo-khoang-san-mo-cat-lam-vat-lieu-xay-dung-thong-thuong-tren-song-hong-tai-thon-soi-lan-1302991", "UBND Ủy ban nhân dân xã Thái Niên  tỉnh Lào Cai")</f>
      </c>
      <c r="C3301" t="str">
        <v>https://www.laocai.gov.vn/thong-tin-quan-ly-khoang-san/dong-cua-mo-khoang-san-mo-cat-lam-vat-lieu-xay-dung-thong-thuong-tren-song-hong-tai-thon-soi-lan-1302991</v>
      </c>
      <c r="D3301" t="str">
        <v>-</v>
      </c>
      <c r="E3301" t="str">
        <v>-</v>
      </c>
      <c r="F3301" t="str">
        <v>-</v>
      </c>
      <c r="G3301" t="str">
        <v>-</v>
      </c>
    </row>
    <row r="3302">
      <c r="A3302">
        <v>3301</v>
      </c>
      <c r="B3302">
        <f>HYPERLINK("https://www.facebook.com/DoanThanhnienCongantinhLaoCai/", "Công an xã Phong Niên  tỉnh Lào Cai")</f>
      </c>
      <c r="C3302" t="str">
        <v>https://www.facebook.com/DoanThanhnienCongantinhLaoCai/</v>
      </c>
      <c r="D3302" t="str">
        <v>-</v>
      </c>
      <c r="E3302" t="str">
        <v/>
      </c>
      <c r="F3302" t="str">
        <v>-</v>
      </c>
      <c r="G3302" t="str">
        <v>-</v>
      </c>
    </row>
    <row r="3303">
      <c r="A3303">
        <v>3302</v>
      </c>
      <c r="B3303">
        <f>HYPERLINK("https://congan.laocai.gov.vn/an-ninh-trat-tu/cong-an-tinh-lao-cai-lam-ro-hanh-vi-vi-pham-phap-luat-lien-quan-dat-dai-cua-pho-chu-tich-uy-ban--1290183", "UBND Ủy ban nhân dân xã Phong Niên  tỉnh Lào Cai")</f>
      </c>
      <c r="C3303" t="str">
        <v>https://congan.laocai.gov.vn/an-ninh-trat-tu/cong-an-tinh-lao-cai-lam-ro-hanh-vi-vi-pham-phap-luat-lien-quan-dat-dai-cua-pho-chu-tich-uy-ban--1290183</v>
      </c>
      <c r="D3303" t="str">
        <v>-</v>
      </c>
      <c r="E3303" t="str">
        <v>-</v>
      </c>
      <c r="F3303" t="str">
        <v>-</v>
      </c>
      <c r="G3303" t="str">
        <v>-</v>
      </c>
    </row>
    <row r="3304">
      <c r="A3304">
        <v>3303</v>
      </c>
      <c r="B3304" t="str">
        <v>Công an xã Gia Phú  tỉnh Lào Cai</v>
      </c>
      <c r="C3304" t="str">
        <v>-</v>
      </c>
      <c r="D3304" t="str">
        <v>-</v>
      </c>
      <c r="E3304" t="str">
        <v/>
      </c>
      <c r="F3304" t="str">
        <v>-</v>
      </c>
      <c r="G3304" t="str">
        <v>-</v>
      </c>
    </row>
    <row r="3305">
      <c r="A3305">
        <v>3304</v>
      </c>
      <c r="B3305">
        <f>HYPERLINK("http://giaphu.baothang.laocai.gov.vn/", "UBND Ủy ban nhân dân xã Gia Phú  tỉnh Lào Cai")</f>
      </c>
      <c r="C3305" t="str">
        <v>http://giaphu.baothang.laocai.gov.vn/</v>
      </c>
      <c r="D3305" t="str">
        <v>-</v>
      </c>
      <c r="E3305" t="str">
        <v>-</v>
      </c>
      <c r="F3305" t="str">
        <v>-</v>
      </c>
      <c r="G3305" t="str">
        <v>-</v>
      </c>
    </row>
    <row r="3306">
      <c r="A3306">
        <v>3305</v>
      </c>
      <c r="B3306" t="str">
        <v>Công an xã Xuân Quang  tỉnh Lào Cai</v>
      </c>
      <c r="C3306" t="str">
        <v>-</v>
      </c>
      <c r="D3306" t="str">
        <v>-</v>
      </c>
      <c r="E3306" t="str">
        <v/>
      </c>
      <c r="F3306" t="str">
        <v>-</v>
      </c>
      <c r="G3306" t="str">
        <v>-</v>
      </c>
    </row>
    <row r="3307">
      <c r="A3307">
        <v>3306</v>
      </c>
      <c r="B3307">
        <f>HYPERLINK("https://laocai.gov.vn/thong-tin-nganh-dia-phuong/mua-lu-gay-thiet-hai-nang-ne-ve-tai-san-hoa-mau-cua-nguoi-dan-xa-xuan-quang-huyen-bao-thang-1274342", "UBND Ủy ban nhân dân xã Xuân Quang  tỉnh Lào Cai")</f>
      </c>
      <c r="C3307" t="str">
        <v>https://laocai.gov.vn/thong-tin-nganh-dia-phuong/mua-lu-gay-thiet-hai-nang-ne-ve-tai-san-hoa-mau-cua-nguoi-dan-xa-xuan-quang-huyen-bao-thang-1274342</v>
      </c>
      <c r="D3307" t="str">
        <v>-</v>
      </c>
      <c r="E3307" t="str">
        <v>-</v>
      </c>
      <c r="F3307" t="str">
        <v>-</v>
      </c>
      <c r="G3307" t="str">
        <v>-</v>
      </c>
    </row>
    <row r="3308">
      <c r="A3308">
        <v>3307</v>
      </c>
      <c r="B3308">
        <f>HYPERLINK("https://www.facebook.com/tuoitrecongansonla/", "Công an xã Sơn Hải  tỉnh Lào Cai")</f>
      </c>
      <c r="C3308" t="str">
        <v>https://www.facebook.com/tuoitrecongansonla/</v>
      </c>
      <c r="D3308" t="str">
        <v>-</v>
      </c>
      <c r="E3308" t="str">
        <v/>
      </c>
      <c r="F3308" t="str">
        <v>-</v>
      </c>
      <c r="G3308" t="str">
        <v>-</v>
      </c>
    </row>
    <row r="3309">
      <c r="A3309">
        <v>3308</v>
      </c>
      <c r="B3309">
        <f>HYPERLINK("https://www.laocai.gov.vn/", "UBND Ủy ban nhân dân xã Sơn Hải  tỉnh Lào Cai")</f>
      </c>
      <c r="C3309" t="str">
        <v>https://www.laocai.gov.vn/</v>
      </c>
      <c r="D3309" t="str">
        <v>-</v>
      </c>
      <c r="E3309" t="str">
        <v>-</v>
      </c>
      <c r="F3309" t="str">
        <v>-</v>
      </c>
      <c r="G3309" t="str">
        <v>-</v>
      </c>
    </row>
    <row r="3310">
      <c r="A3310">
        <v>3309</v>
      </c>
      <c r="B3310">
        <f>HYPERLINK("https://www.facebook.com/DoanThanhnienCongantinhLaoCai/", "Công an xã Xuân Giao  tỉnh Lào Cai")</f>
      </c>
      <c r="C3310" t="str">
        <v>https://www.facebook.com/DoanThanhnienCongantinhLaoCai/</v>
      </c>
      <c r="D3310" t="str">
        <v>-</v>
      </c>
      <c r="E3310" t="str">
        <v/>
      </c>
      <c r="F3310" t="str">
        <v>-</v>
      </c>
      <c r="G3310" t="str">
        <v>-</v>
      </c>
    </row>
    <row r="3311">
      <c r="A3311">
        <v>3310</v>
      </c>
      <c r="B3311">
        <f>HYPERLINK("http://xuangiao.baothang.laocai.gov.vn/", "UBND Ủy ban nhân dân xã Xuân Giao  tỉnh Lào Cai")</f>
      </c>
      <c r="C3311" t="str">
        <v>http://xuangiao.baothang.laocai.gov.vn/</v>
      </c>
      <c r="D3311" t="str">
        <v>-</v>
      </c>
      <c r="E3311" t="str">
        <v>-</v>
      </c>
      <c r="F3311" t="str">
        <v>-</v>
      </c>
      <c r="G3311" t="str">
        <v>-</v>
      </c>
    </row>
    <row r="3312">
      <c r="A3312">
        <v>3311</v>
      </c>
      <c r="B3312">
        <f>HYPERLINK("https://www.facebook.com/DoanThanhnienCongantinhLaoCai/", "Công an xã Trì Quang  tỉnh Lào Cai")</f>
      </c>
      <c r="C3312" t="str">
        <v>https://www.facebook.com/DoanThanhnienCongantinhLaoCai/</v>
      </c>
      <c r="D3312" t="str">
        <v>-</v>
      </c>
      <c r="E3312" t="str">
        <v/>
      </c>
      <c r="F3312" t="str">
        <v>-</v>
      </c>
      <c r="G3312" t="str">
        <v>-</v>
      </c>
    </row>
    <row r="3313">
      <c r="A3313">
        <v>3312</v>
      </c>
      <c r="B3313">
        <f>HYPERLINK("http://triquang.baothang.laocai.gov.vn/", "UBND Ủy ban nhân dân xã Trì Quang  tỉnh Lào Cai")</f>
      </c>
      <c r="C3313" t="str">
        <v>http://triquang.baothang.laocai.gov.vn/</v>
      </c>
      <c r="D3313" t="str">
        <v>-</v>
      </c>
      <c r="E3313" t="str">
        <v>-</v>
      </c>
      <c r="F3313" t="str">
        <v>-</v>
      </c>
      <c r="G3313" t="str">
        <v>-</v>
      </c>
    </row>
    <row r="3314">
      <c r="A3314">
        <v>3313</v>
      </c>
      <c r="B3314">
        <f>HYPERLINK("https://www.facebook.com/p/Tu%E1%BB%95i-tr%E1%BA%BB-C%C3%B4ng-an-th%E1%BB%8B-x%C3%A3-S%C6%A1n-T%C3%A2y-100040884909606/", "Công an xã Sơn Hà  tỉnh Lào Cai")</f>
      </c>
      <c r="C3314" t="str">
        <v>https://www.facebook.com/p/Tu%E1%BB%95i-tr%E1%BA%BB-C%C3%B4ng-an-th%E1%BB%8B-x%C3%A3-S%C6%A1n-T%C3%A2y-100040884909606/</v>
      </c>
      <c r="D3314" t="str">
        <v>-</v>
      </c>
      <c r="E3314" t="str">
        <v/>
      </c>
      <c r="F3314" t="str">
        <v>-</v>
      </c>
      <c r="G3314" t="str">
        <v>-</v>
      </c>
    </row>
    <row r="3315">
      <c r="A3315">
        <v>3314</v>
      </c>
      <c r="B3315">
        <f>HYPERLINK("https://www.laocai.gov.vn/", "UBND Ủy ban nhân dân xã Sơn Hà  tỉnh Lào Cai")</f>
      </c>
      <c r="C3315" t="str">
        <v>https://www.laocai.gov.vn/</v>
      </c>
      <c r="D3315" t="str">
        <v>-</v>
      </c>
      <c r="E3315" t="str">
        <v>-</v>
      </c>
      <c r="F3315" t="str">
        <v>-</v>
      </c>
      <c r="G3315" t="str">
        <v>-</v>
      </c>
    </row>
    <row r="3316">
      <c r="A3316">
        <v>3315</v>
      </c>
      <c r="B3316">
        <f>HYPERLINK("https://www.facebook.com/DoanThanhnienCongantinhLaoCai/", "Công an xã Phố Lu  tỉnh Lào Cai")</f>
      </c>
      <c r="C3316" t="str">
        <v>https://www.facebook.com/DoanThanhnienCongantinhLaoCai/</v>
      </c>
      <c r="D3316" t="str">
        <v>-</v>
      </c>
      <c r="E3316" t="str">
        <v/>
      </c>
      <c r="F3316" t="str">
        <v>-</v>
      </c>
      <c r="G3316" t="str">
        <v>-</v>
      </c>
    </row>
    <row r="3317">
      <c r="A3317">
        <v>3316</v>
      </c>
      <c r="B3317">
        <f>HYPERLINK("https://laocai.gov.vn/tin-thoi-su/bo-truong-bo-cong-an-luong-tam-quang-du-ngay-hoi-dai-doan-ket-cac-dan-toc-tai-xa-ban-phiet-1309007", "UBND Ủy ban nhân dân xã Phố Lu  tỉnh Lào Cai")</f>
      </c>
      <c r="C3317" t="str">
        <v>https://laocai.gov.vn/tin-thoi-su/bo-truong-bo-cong-an-luong-tam-quang-du-ngay-hoi-dai-doan-ket-cac-dan-toc-tai-xa-ban-phiet-1309007</v>
      </c>
      <c r="D3317" t="str">
        <v>-</v>
      </c>
      <c r="E3317" t="str">
        <v>-</v>
      </c>
      <c r="F3317" t="str">
        <v>-</v>
      </c>
      <c r="G3317" t="str">
        <v>-</v>
      </c>
    </row>
    <row r="3318">
      <c r="A3318">
        <v>3317</v>
      </c>
      <c r="B3318">
        <f>HYPERLINK("https://www.facebook.com/p/%C4%90o%C3%A0n-Thanh-ni%C3%AAn-x%C3%A3-Ph%C3%BA-Nhu%E1%BA%ADn-huy%E1%BB%87n-B%E1%BA%A3o-Th%E1%BA%AFng-100026951392543/", "Công an xã Phú Nhuận  tỉnh Lào Cai")</f>
      </c>
      <c r="C3318" t="str">
        <v>https://www.facebook.com/p/%C4%90o%C3%A0n-Thanh-ni%C3%AAn-x%C3%A3-Ph%C3%BA-Nhu%E1%BA%ADn-huy%E1%BB%87n-B%E1%BA%A3o-Th%E1%BA%AFng-100026951392543/</v>
      </c>
      <c r="D3318" t="str">
        <v>-</v>
      </c>
      <c r="E3318" t="str">
        <v/>
      </c>
      <c r="F3318" t="str">
        <v>-</v>
      </c>
      <c r="G3318" t="str">
        <v>-</v>
      </c>
    </row>
    <row r="3319">
      <c r="A3319">
        <v>3318</v>
      </c>
      <c r="B3319">
        <f>HYPERLINK("https://giaothinh.namdinh.gov.vn/tin-trong-xa/doan-cong-tac-xa-phu-nhuan-huyen-bao-thang-tinh-lao-cai-tham-quan-hoc-tap-trao-doi-kinh-nghiem-t-378081", "UBND Ủy ban nhân dân xã Phú Nhuận  tỉnh Lào Cai")</f>
      </c>
      <c r="C3319" t="str">
        <v>https://giaothinh.namdinh.gov.vn/tin-trong-xa/doan-cong-tac-xa-phu-nhuan-huyen-bao-thang-tinh-lao-cai-tham-quan-hoc-tap-trao-doi-kinh-nghiem-t-378081</v>
      </c>
      <c r="D3319" t="str">
        <v>-</v>
      </c>
      <c r="E3319" t="str">
        <v>-</v>
      </c>
      <c r="F3319" t="str">
        <v>-</v>
      </c>
      <c r="G3319" t="str">
        <v>-</v>
      </c>
    </row>
    <row r="3320">
      <c r="A3320">
        <v>3319</v>
      </c>
      <c r="B3320">
        <f>HYPERLINK("https://www.facebook.com/CAH.BAOYEN/", "Công an thị trấn Phố Ràng  tỉnh Lào Cai")</f>
      </c>
      <c r="C3320" t="str">
        <v>https://www.facebook.com/CAH.BAOYEN/</v>
      </c>
      <c r="D3320" t="str">
        <v>-</v>
      </c>
      <c r="E3320" t="str">
        <v/>
      </c>
      <c r="F3320" t="str">
        <v>-</v>
      </c>
      <c r="G3320" t="str">
        <v>-</v>
      </c>
    </row>
    <row r="3321">
      <c r="A3321">
        <v>3320</v>
      </c>
      <c r="B3321">
        <f>HYPERLINK("https://baoyen.laocai.gov.vn/thuong-truc-ubnd-huyen/lanh-dao-ubnd-huyen-bao-yen-tu-ngay-15-9-2023-den-nay-1009073", "UBND Ủy ban nhân dân thị trấn Phố Ràng  tỉnh Lào Cai")</f>
      </c>
      <c r="C3321" t="str">
        <v>https://baoyen.laocai.gov.vn/thuong-truc-ubnd-huyen/lanh-dao-ubnd-huyen-bao-yen-tu-ngay-15-9-2023-den-nay-1009073</v>
      </c>
      <c r="D3321" t="str">
        <v>-</v>
      </c>
      <c r="E3321" t="str">
        <v>-</v>
      </c>
      <c r="F3321" t="str">
        <v>-</v>
      </c>
      <c r="G3321" t="str">
        <v>-</v>
      </c>
    </row>
    <row r="3322">
      <c r="A3322">
        <v>3321</v>
      </c>
      <c r="B3322" t="str">
        <v>Công an xã Tân Tiến  tỉnh Lào Cai</v>
      </c>
      <c r="C3322" t="str">
        <v>-</v>
      </c>
      <c r="D3322" t="str">
        <v>-</v>
      </c>
      <c r="E3322" t="str">
        <v/>
      </c>
      <c r="F3322" t="str">
        <v>-</v>
      </c>
      <c r="G3322" t="str">
        <v>-</v>
      </c>
    </row>
    <row r="3323">
      <c r="A3323">
        <v>3322</v>
      </c>
      <c r="B3323">
        <f>HYPERLINK("https://tpbacgiang.bacgiang.gov.vn/chi-tiet-tin-tuc/-/asset_publisher/VeCP91o7rg3d/content/-oan-cong-tac-cua-tinh-lao-cai-lam-viec-voi-xa-tan-tien", "UBND Ủy ban nhân dân xã Tân Tiến  tỉnh Lào Cai")</f>
      </c>
      <c r="C3323" t="str">
        <v>https://tpbacgiang.bacgiang.gov.vn/chi-tiet-tin-tuc/-/asset_publisher/VeCP91o7rg3d/content/-oan-cong-tac-cua-tinh-lao-cai-lam-viec-voi-xa-tan-tien</v>
      </c>
      <c r="D3323" t="str">
        <v>-</v>
      </c>
      <c r="E3323" t="str">
        <v>-</v>
      </c>
      <c r="F3323" t="str">
        <v>-</v>
      </c>
      <c r="G3323" t="str">
        <v>-</v>
      </c>
    </row>
    <row r="3324">
      <c r="A3324">
        <v>3323</v>
      </c>
      <c r="B3324">
        <f>HYPERLINK("https://www.facebook.com/DoanThanhnienCongantinhLaoCai/", "Công an xã Nghĩa Đô  tỉnh Lào Cai")</f>
      </c>
      <c r="C3324" t="str">
        <v>https://www.facebook.com/DoanThanhnienCongantinhLaoCai/</v>
      </c>
      <c r="D3324" t="str">
        <v>-</v>
      </c>
      <c r="E3324" t="str">
        <v/>
      </c>
      <c r="F3324" t="str">
        <v>-</v>
      </c>
      <c r="G3324" t="str">
        <v>-</v>
      </c>
    </row>
    <row r="3325">
      <c r="A3325">
        <v>3324</v>
      </c>
      <c r="B3325">
        <f>HYPERLINK("https://laocai.gov.vn/tuyen-diem-du-lich-lao-cai/cong-nhan-xa-nghia-do-huyen-bao-yen-la-diem-du-lich-937104", "UBND Ủy ban nhân dân xã Nghĩa Đô  tỉnh Lào Cai")</f>
      </c>
      <c r="C3325" t="str">
        <v>https://laocai.gov.vn/tuyen-diem-du-lich-lao-cai/cong-nhan-xa-nghia-do-huyen-bao-yen-la-diem-du-lich-937104</v>
      </c>
      <c r="D3325" t="str">
        <v>-</v>
      </c>
      <c r="E3325" t="str">
        <v>-</v>
      </c>
      <c r="F3325" t="str">
        <v>-</v>
      </c>
      <c r="G3325" t="str">
        <v>-</v>
      </c>
    </row>
    <row r="3326">
      <c r="A3326">
        <v>3325</v>
      </c>
      <c r="B3326">
        <f>HYPERLINK("https://www.facebook.com/CAH.BAOYEN/", "Công an xã Vĩnh Yên  tỉnh Lào Cai")</f>
      </c>
      <c r="C3326" t="str">
        <v>https://www.facebook.com/CAH.BAOYEN/</v>
      </c>
      <c r="D3326" t="str">
        <v>-</v>
      </c>
      <c r="E3326" t="str">
        <v/>
      </c>
      <c r="F3326" t="str">
        <v>-</v>
      </c>
      <c r="G3326" t="str">
        <v>-</v>
      </c>
    </row>
    <row r="3327">
      <c r="A3327">
        <v>3326</v>
      </c>
      <c r="B3327">
        <f>HYPERLINK("https://vinhyen.vinhphuc.gov.vn/ct/cms/hethongchinhtri/Lists/CacXaPhuong/view_detail.aspx?ItemID=58", "UBND Ủy ban nhân dân xã Vĩnh Yên  tỉnh Lào Cai")</f>
      </c>
      <c r="C3327" t="str">
        <v>https://vinhyen.vinhphuc.gov.vn/ct/cms/hethongchinhtri/Lists/CacXaPhuong/view_detail.aspx?ItemID=58</v>
      </c>
      <c r="D3327" t="str">
        <v>-</v>
      </c>
      <c r="E3327" t="str">
        <v>-</v>
      </c>
      <c r="F3327" t="str">
        <v>-</v>
      </c>
      <c r="G3327" t="str">
        <v>-</v>
      </c>
    </row>
    <row r="3328">
      <c r="A3328">
        <v>3327</v>
      </c>
      <c r="B3328">
        <f>HYPERLINK("https://www.facebook.com/DoanThanhnienCongantinhLaoCai/", "Công an xã Điện Quan  tỉnh Lào Cai")</f>
      </c>
      <c r="C3328" t="str">
        <v>https://www.facebook.com/DoanThanhnienCongantinhLaoCai/</v>
      </c>
      <c r="D3328" t="str">
        <v>-</v>
      </c>
      <c r="E3328" t="str">
        <v/>
      </c>
      <c r="F3328" t="str">
        <v>-</v>
      </c>
      <c r="G3328" t="str">
        <v>-</v>
      </c>
    </row>
    <row r="3329">
      <c r="A3329">
        <v>3328</v>
      </c>
      <c r="B3329">
        <f>HYPERLINK("https://www.laocai.gov.vn/", "UBND Ủy ban nhân dân xã Điện Quan  tỉnh Lào Cai")</f>
      </c>
      <c r="C3329" t="str">
        <v>https://www.laocai.gov.vn/</v>
      </c>
      <c r="D3329" t="str">
        <v>-</v>
      </c>
      <c r="E3329" t="str">
        <v>-</v>
      </c>
      <c r="F3329" t="str">
        <v>-</v>
      </c>
      <c r="G3329" t="str">
        <v>-</v>
      </c>
    </row>
    <row r="3330">
      <c r="A3330">
        <v>3329</v>
      </c>
      <c r="B3330">
        <f>HYPERLINK("https://www.facebook.com/DoanThanhnienCongantinhLaoCai/", "Công an xã Xuân Hoà  tỉnh Lào Cai")</f>
      </c>
      <c r="C3330" t="str">
        <v>https://www.facebook.com/DoanThanhnienCongantinhLaoCai/</v>
      </c>
      <c r="D3330" t="str">
        <v>-</v>
      </c>
      <c r="E3330" t="str">
        <v/>
      </c>
      <c r="F3330" t="str">
        <v>-</v>
      </c>
      <c r="G3330" t="str">
        <v>-</v>
      </c>
    </row>
    <row r="3331">
      <c r="A3331">
        <v>3330</v>
      </c>
      <c r="B3331">
        <f>HYPERLINK("https://baoyen.laocai.gov.vn/ubnd-cac-xa-thi-tran/cac-xa-thi-tran-tren-dia-ban-huyen-bao-yen-810508", "UBND Ủy ban nhân dân xã Xuân Hoà  tỉnh Lào Cai")</f>
      </c>
      <c r="C3331" t="str">
        <v>https://baoyen.laocai.gov.vn/ubnd-cac-xa-thi-tran/cac-xa-thi-tran-tren-dia-ban-huyen-bao-yen-810508</v>
      </c>
      <c r="D3331" t="str">
        <v>-</v>
      </c>
      <c r="E3331" t="str">
        <v>-</v>
      </c>
      <c r="F3331" t="str">
        <v>-</v>
      </c>
      <c r="G3331" t="str">
        <v>-</v>
      </c>
    </row>
    <row r="3332">
      <c r="A3332">
        <v>3331</v>
      </c>
      <c r="B3332" t="str">
        <v>Công an xã Tân Dương  tỉnh Lào Cai</v>
      </c>
      <c r="C3332" t="str">
        <v>-</v>
      </c>
      <c r="D3332" t="str">
        <v>-</v>
      </c>
      <c r="E3332" t="str">
        <v/>
      </c>
      <c r="F3332" t="str">
        <v>-</v>
      </c>
      <c r="G3332" t="str">
        <v>-</v>
      </c>
    </row>
    <row r="3333">
      <c r="A3333">
        <v>3332</v>
      </c>
      <c r="B3333">
        <f>HYPERLINK("https://baoyen.laocai.gov.vn/tin-tong-hop/xa-tan-duong-huyen-bao-yen-cong-bo-dat-chuan-nong-thon-moi-813909", "UBND Ủy ban nhân dân xã Tân Dương  tỉnh Lào Cai")</f>
      </c>
      <c r="C3333" t="str">
        <v>https://baoyen.laocai.gov.vn/tin-tong-hop/xa-tan-duong-huyen-bao-yen-cong-bo-dat-chuan-nong-thon-moi-813909</v>
      </c>
      <c r="D3333" t="str">
        <v>-</v>
      </c>
      <c r="E3333" t="str">
        <v>-</v>
      </c>
      <c r="F3333" t="str">
        <v>-</v>
      </c>
      <c r="G3333" t="str">
        <v>-</v>
      </c>
    </row>
    <row r="3334">
      <c r="A3334">
        <v>3333</v>
      </c>
      <c r="B3334">
        <f>HYPERLINK("https://www.facebook.com/Cax.ThuongHa/", "Công an xã Thượng Hà  tỉnh Lào Cai")</f>
      </c>
      <c r="C3334" t="str">
        <v>https://www.facebook.com/Cax.ThuongHa/</v>
      </c>
      <c r="D3334" t="str">
        <v>-</v>
      </c>
      <c r="E3334" t="str">
        <v/>
      </c>
      <c r="F3334" t="str">
        <v>-</v>
      </c>
      <c r="G3334" t="str">
        <v>-</v>
      </c>
    </row>
    <row r="3335">
      <c r="A3335">
        <v>3334</v>
      </c>
      <c r="B3335">
        <f>HYPERLINK("https://www.quangninh.gov.vn/donvi/tpuongbi/Trang/ChiTietBVGioiThieu.aspx?bvid=137", "UBND Ủy ban nhân dân xã Thượng Hà  tỉnh Lào Cai")</f>
      </c>
      <c r="C3335" t="str">
        <v>https://www.quangninh.gov.vn/donvi/tpuongbi/Trang/ChiTietBVGioiThieu.aspx?bvid=137</v>
      </c>
      <c r="D3335" t="str">
        <v>-</v>
      </c>
      <c r="E3335" t="str">
        <v>-</v>
      </c>
      <c r="F3335" t="str">
        <v>-</v>
      </c>
      <c r="G3335" t="str">
        <v>-</v>
      </c>
    </row>
    <row r="3336">
      <c r="A3336">
        <v>3335</v>
      </c>
      <c r="B3336">
        <f>HYPERLINK("https://www.facebook.com/p/C%C3%B4ng-an-x%C3%A3-Kim-S%C6%A1n-huy%E1%BB%87n-B%E1%BA%A3o-Y%C3%AAn-100083065042227/", "Công an xã Kim Sơn  tỉnh Lào Cai")</f>
      </c>
      <c r="C3336" t="str">
        <v>https://www.facebook.com/p/C%C3%B4ng-an-x%C3%A3-Kim-S%C6%A1n-huy%E1%BB%87n-B%E1%BA%A3o-Y%C3%AAn-100083065042227/</v>
      </c>
      <c r="D3336" t="str">
        <v>-</v>
      </c>
      <c r="E3336" t="str">
        <v/>
      </c>
      <c r="F3336" t="str">
        <v>-</v>
      </c>
      <c r="G3336" t="str">
        <v>-</v>
      </c>
    </row>
    <row r="3337">
      <c r="A3337">
        <v>3336</v>
      </c>
      <c r="B3337">
        <f>HYPERLINK("https://baoyen.laocai.gov.vn/tin-tuc-su-kien/ubnd-xa-kim-son-to-chuc-le-hoi-den-hai-co-xa-kim-son-nam-2023-1143032", "UBND Ủy ban nhân dân xã Kim Sơn  tỉnh Lào Cai")</f>
      </c>
      <c r="C3337" t="str">
        <v>https://baoyen.laocai.gov.vn/tin-tuc-su-kien/ubnd-xa-kim-son-to-chuc-le-hoi-den-hai-co-xa-kim-son-nam-2023-1143032</v>
      </c>
      <c r="D3337" t="str">
        <v>-</v>
      </c>
      <c r="E3337" t="str">
        <v>-</v>
      </c>
      <c r="F3337" t="str">
        <v>-</v>
      </c>
      <c r="G3337" t="str">
        <v>-</v>
      </c>
    </row>
    <row r="3338">
      <c r="A3338">
        <v>3337</v>
      </c>
      <c r="B3338">
        <f>HYPERLINK("https://www.facebook.com/p/Cam-C%E1%BB%8Dn-Airline-100063507727256/", "Công an xã Cam Cọn  tỉnh Lào Cai")</f>
      </c>
      <c r="C3338" t="str">
        <v>https://www.facebook.com/p/Cam-C%E1%BB%8Dn-Airline-100063507727256/</v>
      </c>
      <c r="D3338" t="str">
        <v>-</v>
      </c>
      <c r="E3338" t="str">
        <v/>
      </c>
      <c r="F3338" t="str">
        <v>-</v>
      </c>
      <c r="G3338" t="str">
        <v>-</v>
      </c>
    </row>
    <row r="3339">
      <c r="A3339">
        <v>3338</v>
      </c>
      <c r="B3339">
        <f>HYPERLINK("https://www.laocai.gov.vn/quy-hoach-xay-dung", "UBND Ủy ban nhân dân xã Cam Cọn  tỉnh Lào Cai")</f>
      </c>
      <c r="C3339" t="str">
        <v>https://www.laocai.gov.vn/quy-hoach-xay-dung</v>
      </c>
      <c r="D3339" t="str">
        <v>-</v>
      </c>
      <c r="E3339" t="str">
        <v>-</v>
      </c>
      <c r="F3339" t="str">
        <v>-</v>
      </c>
      <c r="G3339" t="str">
        <v>-</v>
      </c>
    </row>
    <row r="3340">
      <c r="A3340">
        <v>3339</v>
      </c>
      <c r="B3340">
        <f>HYPERLINK("https://www.facebook.com/DoanThanhnienCongantinhLaoCai/", "Công an xã Minh Tân  tỉnh Lào Cai")</f>
      </c>
      <c r="C3340" t="str">
        <v>https://www.facebook.com/DoanThanhnienCongantinhLaoCai/</v>
      </c>
      <c r="D3340" t="str">
        <v>-</v>
      </c>
      <c r="E3340" t="str">
        <v/>
      </c>
      <c r="F3340" t="str">
        <v>-</v>
      </c>
      <c r="G3340" t="str">
        <v>-</v>
      </c>
    </row>
    <row r="3341">
      <c r="A3341">
        <v>3340</v>
      </c>
      <c r="B3341">
        <f>HYPERLINK("https://baoyen.laocai.gov.vn/", "UBND Ủy ban nhân dân xã Minh Tân  tỉnh Lào Cai")</f>
      </c>
      <c r="C3341" t="str">
        <v>https://baoyen.laocai.gov.vn/</v>
      </c>
      <c r="D3341" t="str">
        <v>-</v>
      </c>
      <c r="E3341" t="str">
        <v>-</v>
      </c>
      <c r="F3341" t="str">
        <v>-</v>
      </c>
      <c r="G3341" t="str">
        <v>-</v>
      </c>
    </row>
    <row r="3342">
      <c r="A3342">
        <v>3341</v>
      </c>
      <c r="B3342" t="str">
        <v>Công an xã Xuân Thượng  tỉnh Lào Cai</v>
      </c>
      <c r="C3342" t="str">
        <v>-</v>
      </c>
      <c r="D3342" t="str">
        <v>-</v>
      </c>
      <c r="E3342" t="str">
        <v/>
      </c>
      <c r="F3342" t="str">
        <v>-</v>
      </c>
      <c r="G3342" t="str">
        <v>-</v>
      </c>
    </row>
    <row r="3343">
      <c r="A3343">
        <v>3342</v>
      </c>
      <c r="B3343">
        <f>HYPERLINK("https://hdnd.laocai.gov.vn/xa-phuong-thi-tran/hdnd-xa-xuan-thuong-to-chuc-ky-hop-thu-chin-bau-bo-sung-chuc-danh-chu-tich-ubnd-xa-nhiem-ky-2021-1171456", "UBND Ủy ban nhân dân xã Xuân Thượng  tỉnh Lào Cai")</f>
      </c>
      <c r="C3343" t="str">
        <v>https://hdnd.laocai.gov.vn/xa-phuong-thi-tran/hdnd-xa-xuan-thuong-to-chuc-ky-hop-thu-chin-bau-bo-sung-chuc-danh-chu-tich-ubnd-xa-nhiem-ky-2021-1171456</v>
      </c>
      <c r="D3343" t="str">
        <v>-</v>
      </c>
      <c r="E3343" t="str">
        <v>-</v>
      </c>
      <c r="F3343" t="str">
        <v>-</v>
      </c>
      <c r="G3343" t="str">
        <v>-</v>
      </c>
    </row>
    <row r="3344">
      <c r="A3344">
        <v>3343</v>
      </c>
      <c r="B3344">
        <f>HYPERLINK("https://www.facebook.com/p/Tr%C6%B0%E1%BB%9Dng-M%E1%BA%A7m-non-Vi%E1%BB%87t-Ti%E1%BA%BFn-100087598988877/", "Công an xã Việt Tiến  tỉnh Lào Cai")</f>
      </c>
      <c r="C3344" t="str">
        <v>https://www.facebook.com/p/Tr%C6%B0%E1%BB%9Dng-M%E1%BA%A7m-non-Vi%E1%BB%87t-Ti%E1%BA%BFn-100087598988877/</v>
      </c>
      <c r="D3344" t="str">
        <v>-</v>
      </c>
      <c r="E3344" t="str">
        <v/>
      </c>
      <c r="F3344" t="str">
        <v>-</v>
      </c>
      <c r="G3344" t="str">
        <v>-</v>
      </c>
    </row>
    <row r="3345">
      <c r="A3345">
        <v>3344</v>
      </c>
      <c r="B3345">
        <f>HYPERLINK("https://baoyen.laocai.gov.vn/ubnd-cac-xa-thi-tran/cac-xa-thi-tran-tren-dia-ban-huyen-bao-yen-810508", "UBND Ủy ban nhân dân xã Việt Tiến  tỉnh Lào Cai")</f>
      </c>
      <c r="C3345" t="str">
        <v>https://baoyen.laocai.gov.vn/ubnd-cac-xa-thi-tran/cac-xa-thi-tran-tren-dia-ban-huyen-bao-yen-810508</v>
      </c>
      <c r="D3345" t="str">
        <v>-</v>
      </c>
      <c r="E3345" t="str">
        <v>-</v>
      </c>
      <c r="F3345" t="str">
        <v>-</v>
      </c>
      <c r="G3345" t="str">
        <v>-</v>
      </c>
    </row>
    <row r="3346">
      <c r="A3346">
        <v>3345</v>
      </c>
      <c r="B3346" t="str">
        <v>Công an xã Yên Sơn  tỉnh Lào Cai</v>
      </c>
      <c r="C3346" t="str">
        <v>-</v>
      </c>
      <c r="D3346" t="str">
        <v>-</v>
      </c>
      <c r="E3346" t="str">
        <v/>
      </c>
      <c r="F3346" t="str">
        <v>-</v>
      </c>
      <c r="G3346" t="str">
        <v>-</v>
      </c>
    </row>
    <row r="3347">
      <c r="A3347">
        <v>3346</v>
      </c>
      <c r="B3347">
        <f>HYPERLINK("https://www.laocai.gov.vn/tin-trong-tinh/to-dai-bieu-hdnd-tinh-to-dai-bieu-so-05-hdnd-huyen-phoi-hop-tiep-xuc-cu-tri-truoc-ky-hop-thuong--1311030", "UBND Ủy ban nhân dân xã Yên Sơn  tỉnh Lào Cai")</f>
      </c>
      <c r="C3347" t="str">
        <v>https://www.laocai.gov.vn/tin-trong-tinh/to-dai-bieu-hdnd-tinh-to-dai-bieu-so-05-hdnd-huyen-phoi-hop-tiep-xuc-cu-tri-truoc-ky-hop-thuong--1311030</v>
      </c>
      <c r="D3347" t="str">
        <v>-</v>
      </c>
      <c r="E3347" t="str">
        <v>-</v>
      </c>
      <c r="F3347" t="str">
        <v>-</v>
      </c>
      <c r="G3347" t="str">
        <v>-</v>
      </c>
    </row>
    <row r="3348">
      <c r="A3348">
        <v>3347</v>
      </c>
      <c r="B3348">
        <f>HYPERLINK("https://www.facebook.com/Thongtinbaoha/", "Công an xã Bảo Hà  tỉnh Lào Cai")</f>
      </c>
      <c r="C3348" t="str">
        <v>https://www.facebook.com/Thongtinbaoha/</v>
      </c>
      <c r="D3348" t="str">
        <v>-</v>
      </c>
      <c r="E3348" t="str">
        <v/>
      </c>
      <c r="F3348" t="str">
        <v>-</v>
      </c>
      <c r="G3348" t="str">
        <v>-</v>
      </c>
    </row>
    <row r="3349">
      <c r="A3349">
        <v>3348</v>
      </c>
      <c r="B3349">
        <f>HYPERLINK("https://baoyen.laocai.gov.vn/ubnd-cac-xa-thi-tran/cac-xa-thi-tran-tren-dia-ban-huyen-bao-yen-810508", "UBND Ủy ban nhân dân xã Bảo Hà  tỉnh Lào Cai")</f>
      </c>
      <c r="C3349" t="str">
        <v>https://baoyen.laocai.gov.vn/ubnd-cac-xa-thi-tran/cac-xa-thi-tran-tren-dia-ban-huyen-bao-yen-810508</v>
      </c>
      <c r="D3349" t="str">
        <v>-</v>
      </c>
      <c r="E3349" t="str">
        <v>-</v>
      </c>
      <c r="F3349" t="str">
        <v>-</v>
      </c>
      <c r="G3349" t="str">
        <v>-</v>
      </c>
    </row>
    <row r="3350">
      <c r="A3350">
        <v>3349</v>
      </c>
      <c r="B3350" t="str">
        <v>Công an xã Lương Sơn  tỉnh Lào Cai</v>
      </c>
      <c r="C3350" t="str">
        <v>-</v>
      </c>
      <c r="D3350" t="str">
        <v>-</v>
      </c>
      <c r="E3350" t="str">
        <v/>
      </c>
      <c r="F3350" t="str">
        <v>-</v>
      </c>
      <c r="G3350" t="str">
        <v>-</v>
      </c>
    </row>
    <row r="3351">
      <c r="A3351">
        <v>3350</v>
      </c>
      <c r="B3351">
        <f>HYPERLINK("https://quyhoach.laocai.gov.vn/vi/bai-viet/8869", "UBND Ủy ban nhân dân xã Lương Sơn  tỉnh Lào Cai")</f>
      </c>
      <c r="C3351" t="str">
        <v>https://quyhoach.laocai.gov.vn/vi/bai-viet/8869</v>
      </c>
      <c r="D3351" t="str">
        <v>-</v>
      </c>
      <c r="E3351" t="str">
        <v>-</v>
      </c>
      <c r="F3351" t="str">
        <v>-</v>
      </c>
      <c r="G3351" t="str">
        <v>-</v>
      </c>
    </row>
    <row r="3352">
      <c r="A3352">
        <v>3351</v>
      </c>
      <c r="B3352">
        <f>HYPERLINK("https://www.facebook.com/DoanThanhnienCongantinhLaoCai/", "Công an xã Long Phúc  tỉnh Lào Cai")</f>
      </c>
      <c r="C3352" t="str">
        <v>https://www.facebook.com/DoanThanhnienCongantinhLaoCai/</v>
      </c>
      <c r="D3352" t="str">
        <v>-</v>
      </c>
      <c r="E3352" t="str">
        <v/>
      </c>
      <c r="F3352" t="str">
        <v>-</v>
      </c>
      <c r="G3352" t="str">
        <v>-</v>
      </c>
    </row>
    <row r="3353">
      <c r="A3353">
        <v>3352</v>
      </c>
      <c r="B3353">
        <f>HYPERLINK("https://vpubnd.laocai.gov.vn/chuyen-doi-so/so-noi-vu-tinh-lao-cai-trien-khai-do-luong-su-hai-long-cua-nguoi-dan-doi-voi-su-phuc-vu-cua-co-q-1311794", "UBND Ủy ban nhân dân xã Long Phúc  tỉnh Lào Cai")</f>
      </c>
      <c r="C3353" t="str">
        <v>https://vpubnd.laocai.gov.vn/chuyen-doi-so/so-noi-vu-tinh-lao-cai-trien-khai-do-luong-su-hai-long-cua-nguoi-dan-doi-voi-su-phuc-vu-cua-co-q-1311794</v>
      </c>
      <c r="D3353" t="str">
        <v>-</v>
      </c>
      <c r="E3353" t="str">
        <v>-</v>
      </c>
      <c r="F3353" t="str">
        <v>-</v>
      </c>
      <c r="G3353" t="str">
        <v>-</v>
      </c>
    </row>
    <row r="3354">
      <c r="A3354">
        <v>3353</v>
      </c>
      <c r="B3354" t="str">
        <v>Công an xã Long Khánh  tỉnh Lào Cai</v>
      </c>
      <c r="C3354" t="str">
        <v>-</v>
      </c>
      <c r="D3354" t="str">
        <v>-</v>
      </c>
      <c r="E3354" t="str">
        <v/>
      </c>
      <c r="F3354" t="str">
        <v>-</v>
      </c>
      <c r="G3354" t="str">
        <v>-</v>
      </c>
    </row>
    <row r="3355">
      <c r="A3355">
        <v>3354</v>
      </c>
      <c r="B3355">
        <f>HYPERLINK("https://baoyen.laocai.gov.vn/tin-tuc-su-kien/tung-bung-le-hoi-den-long-khanh-xa-phuc-khanh-huyen-bao-yen-1283207", "UBND Ủy ban nhân dân xã Long Khánh  tỉnh Lào Cai")</f>
      </c>
      <c r="C3355" t="str">
        <v>https://baoyen.laocai.gov.vn/tin-tuc-su-kien/tung-bung-le-hoi-den-long-khanh-xa-phuc-khanh-huyen-bao-yen-1283207</v>
      </c>
      <c r="D3355" t="str">
        <v>-</v>
      </c>
      <c r="E3355" t="str">
        <v>-</v>
      </c>
      <c r="F3355" t="str">
        <v>-</v>
      </c>
      <c r="G3355" t="str">
        <v>-</v>
      </c>
    </row>
    <row r="3356">
      <c r="A3356">
        <v>3355</v>
      </c>
      <c r="B3356">
        <f>HYPERLINK("https://www.facebook.com/p/%C4%90o%C3%A0n-Thanh-ni%C3%AAn-C%C3%B4ng-an-th%E1%BB%8B-x%C3%A3-Sa-Pa-100079617425589/", "Công an thị trấn Sa Pa  tỉnh Lào Cai")</f>
      </c>
      <c r="C3356" t="str">
        <v>https://www.facebook.com/p/%C4%90o%C3%A0n-Thanh-ni%C3%AAn-C%C3%B4ng-an-th%E1%BB%8B-x%C3%A3-Sa-Pa-100079617425589/</v>
      </c>
      <c r="D3356" t="str">
        <v>-</v>
      </c>
      <c r="E3356" t="str">
        <v/>
      </c>
      <c r="F3356" t="str">
        <v>-</v>
      </c>
      <c r="G3356" t="str">
        <v>-</v>
      </c>
    </row>
    <row r="3357">
      <c r="A3357">
        <v>3356</v>
      </c>
      <c r="B3357">
        <f>HYPERLINK("https://sapa.laocai.gov.vn/", "UBND Ủy ban nhân dân thị trấn Sa Pa  tỉnh Lào Cai")</f>
      </c>
      <c r="C3357" t="str">
        <v>https://sapa.laocai.gov.vn/</v>
      </c>
      <c r="D3357" t="str">
        <v>-</v>
      </c>
      <c r="E3357" t="str">
        <v>-</v>
      </c>
      <c r="F3357" t="str">
        <v>-</v>
      </c>
      <c r="G3357" t="str">
        <v>-</v>
      </c>
    </row>
    <row r="3358">
      <c r="A3358">
        <v>3357</v>
      </c>
      <c r="B3358" t="str">
        <v>Công an xã Bản Khoang  tỉnh Lào Cai</v>
      </c>
      <c r="C3358" t="str">
        <v>-</v>
      </c>
      <c r="D3358" t="str">
        <v>-</v>
      </c>
      <c r="E3358" t="str">
        <v/>
      </c>
      <c r="F3358" t="str">
        <v>-</v>
      </c>
      <c r="G3358" t="str">
        <v>-</v>
      </c>
    </row>
    <row r="3359">
      <c r="A3359">
        <v>3358</v>
      </c>
      <c r="B3359">
        <f>HYPERLINK("https://laocai.gov.vn/tin-thoi-su/bo-truong-bo-cong-an-luong-tam-quang-du-ngay-hoi-dai-doan-ket-cac-dan-toc-tai-xa-ban-phiet-1309007", "UBND Ủy ban nhân dân xã Bản Khoang  tỉnh Lào Cai")</f>
      </c>
      <c r="C3359" t="str">
        <v>https://laocai.gov.vn/tin-thoi-su/bo-truong-bo-cong-an-luong-tam-quang-du-ngay-hoi-dai-doan-ket-cac-dan-toc-tai-xa-ban-phiet-1309007</v>
      </c>
      <c r="D3359" t="str">
        <v>-</v>
      </c>
      <c r="E3359" t="str">
        <v>-</v>
      </c>
      <c r="F3359" t="str">
        <v>-</v>
      </c>
      <c r="G3359" t="str">
        <v>-</v>
      </c>
    </row>
    <row r="3360">
      <c r="A3360">
        <v>3359</v>
      </c>
      <c r="B3360">
        <f>HYPERLINK("https://www.facebook.com/DoanThanhnienCongantinhLaoCai/", "Công an xã Tả Giàng Phình  tỉnh Lào Cai")</f>
      </c>
      <c r="C3360" t="str">
        <v>https://www.facebook.com/DoanThanhnienCongantinhLaoCai/</v>
      </c>
      <c r="D3360" t="str">
        <v>-</v>
      </c>
      <c r="E3360" t="str">
        <v/>
      </c>
      <c r="F3360" t="str">
        <v>-</v>
      </c>
      <c r="G3360" t="str">
        <v>-</v>
      </c>
    </row>
    <row r="3361">
      <c r="A3361">
        <v>3360</v>
      </c>
      <c r="B3361">
        <f>HYPERLINK("https://laocai.gov.vn/dieu-kien-tu-nhien/vi-tri-dia-ly-dac-diem-khi-hau-tinh-lao-cai-939857", "UBND Ủy ban nhân dân xã Tả Giàng Phình  tỉnh Lào Cai")</f>
      </c>
      <c r="C3361" t="str">
        <v>https://laocai.gov.vn/dieu-kien-tu-nhien/vi-tri-dia-ly-dac-diem-khi-hau-tinh-lao-cai-939857</v>
      </c>
      <c r="D3361" t="str">
        <v>-</v>
      </c>
      <c r="E3361" t="str">
        <v>-</v>
      </c>
      <c r="F3361" t="str">
        <v>-</v>
      </c>
      <c r="G3361" t="str">
        <v>-</v>
      </c>
    </row>
    <row r="3362">
      <c r="A3362">
        <v>3361</v>
      </c>
      <c r="B3362" t="str">
        <v>Công an xã Trung Chải  tỉnh Lào Cai</v>
      </c>
      <c r="C3362" t="str">
        <v>-</v>
      </c>
      <c r="D3362" t="str">
        <v>-</v>
      </c>
      <c r="E3362" t="str">
        <v/>
      </c>
      <c r="F3362" t="str">
        <v>-</v>
      </c>
      <c r="G3362" t="str">
        <v>-</v>
      </c>
    </row>
    <row r="3363">
      <c r="A3363">
        <v>3362</v>
      </c>
      <c r="B3363">
        <f>HYPERLINK("https://www.laocai.gov.vn/tin-thoi-su/ban-giao-cong-trinh-truong-mam-non-chu-lin-1-xa-trung-chai-thi-xa-sa-pa-939639", "UBND Ủy ban nhân dân xã Trung Chải  tỉnh Lào Cai")</f>
      </c>
      <c r="C3363" t="str">
        <v>https://www.laocai.gov.vn/tin-thoi-su/ban-giao-cong-trinh-truong-mam-non-chu-lin-1-xa-trung-chai-thi-xa-sa-pa-939639</v>
      </c>
      <c r="D3363" t="str">
        <v>-</v>
      </c>
      <c r="E3363" t="str">
        <v>-</v>
      </c>
      <c r="F3363" t="str">
        <v>-</v>
      </c>
      <c r="G3363" t="str">
        <v>-</v>
      </c>
    </row>
    <row r="3364">
      <c r="A3364">
        <v>3363</v>
      </c>
      <c r="B3364">
        <f>HYPERLINK("https://www.facebook.com/DoanThanhnienCongantinhLaoCai/", "Công an xã Tả Phìn  tỉnh Lào Cai")</f>
      </c>
      <c r="C3364" t="str">
        <v>https://www.facebook.com/DoanThanhnienCongantinhLaoCai/</v>
      </c>
      <c r="D3364" t="str">
        <v>-</v>
      </c>
      <c r="E3364" t="str">
        <v/>
      </c>
      <c r="F3364" t="str">
        <v>-</v>
      </c>
      <c r="G3364" t="str">
        <v>-</v>
      </c>
    </row>
    <row r="3365">
      <c r="A3365">
        <v>3364</v>
      </c>
      <c r="B3365">
        <f>HYPERLINK("https://sapa.laocai.gov.vn/hoat-dong-tren-cac-linh-vuc-92952/quyet-tam-hoan-thanh-19-tieu-chi-ntm-nang-cao-doi-voi-xa-ta-phin-trong-nam-2024-1303845", "UBND Ủy ban nhân dân xã Tả Phìn  tỉnh Lào Cai")</f>
      </c>
      <c r="C3365" t="str">
        <v>https://sapa.laocai.gov.vn/hoat-dong-tren-cac-linh-vuc-92952/quyet-tam-hoan-thanh-19-tieu-chi-ntm-nang-cao-doi-voi-xa-ta-phin-trong-nam-2024-1303845</v>
      </c>
      <c r="D3365" t="str">
        <v>-</v>
      </c>
      <c r="E3365" t="str">
        <v>-</v>
      </c>
      <c r="F3365" t="str">
        <v>-</v>
      </c>
      <c r="G3365" t="str">
        <v>-</v>
      </c>
    </row>
    <row r="3366">
      <c r="A3366">
        <v>3365</v>
      </c>
      <c r="B3366">
        <f>HYPERLINK("https://www.facebook.com/p/%C4%90o%C3%A0n-Thanh-ni%C3%AAn-C%C3%B4ng-an-th%E1%BB%8B-x%C3%A3-Sa-Pa-100079617425589/", "Công an xã Sa Pả  tỉnh Lào Cai")</f>
      </c>
      <c r="C3366" t="str">
        <v>https://www.facebook.com/p/%C4%90o%C3%A0n-Thanh-ni%C3%AAn-C%C3%B4ng-an-th%E1%BB%8B-x%C3%A3-Sa-Pa-100079617425589/</v>
      </c>
      <c r="D3366" t="str">
        <v>-</v>
      </c>
      <c r="E3366" t="str">
        <v/>
      </c>
      <c r="F3366" t="str">
        <v>-</v>
      </c>
      <c r="G3366" t="str">
        <v>-</v>
      </c>
    </row>
    <row r="3367">
      <c r="A3367">
        <v>3366</v>
      </c>
      <c r="B3367">
        <f>HYPERLINK("https://sapa.laocai.gov.vn/", "UBND Ủy ban nhân dân xã Sa Pả  tỉnh Lào Cai")</f>
      </c>
      <c r="C3367" t="str">
        <v>https://sapa.laocai.gov.vn/</v>
      </c>
      <c r="D3367" t="str">
        <v>-</v>
      </c>
      <c r="E3367" t="str">
        <v>-</v>
      </c>
      <c r="F3367" t="str">
        <v>-</v>
      </c>
      <c r="G3367" t="str">
        <v>-</v>
      </c>
    </row>
    <row r="3368">
      <c r="A3368">
        <v>3367</v>
      </c>
      <c r="B3368" t="str">
        <v>Công an xã San Sả Hồ  tỉnh Lào Cai</v>
      </c>
      <c r="C3368" t="str">
        <v>-</v>
      </c>
      <c r="D3368" t="str">
        <v>-</v>
      </c>
      <c r="E3368" t="str">
        <v/>
      </c>
      <c r="F3368" t="str">
        <v>-</v>
      </c>
      <c r="G3368" t="str">
        <v>-</v>
      </c>
    </row>
    <row r="3369">
      <c r="A3369">
        <v>3368</v>
      </c>
      <c r="B3369">
        <f>HYPERLINK("https://sapa.laocai.gov.vn/thanh-lap-thi-xa-sa-pa/phuong-an-dieu-chinh-dia-gioi-hanh-chinh-huyen-sa-pa-thanh-lap-thi-xa-sa-pa-thuoc-tinh-lao-cai-1105750", "UBND Ủy ban nhân dân xã San Sả Hồ  tỉnh Lào Cai")</f>
      </c>
      <c r="C3369" t="str">
        <v>https://sapa.laocai.gov.vn/thanh-lap-thi-xa-sa-pa/phuong-an-dieu-chinh-dia-gioi-hanh-chinh-huyen-sa-pa-thanh-lap-thi-xa-sa-pa-thuoc-tinh-lao-cai-1105750</v>
      </c>
      <c r="D3369" t="str">
        <v>-</v>
      </c>
      <c r="E3369" t="str">
        <v>-</v>
      </c>
      <c r="F3369" t="str">
        <v>-</v>
      </c>
      <c r="G3369" t="str">
        <v>-</v>
      </c>
    </row>
    <row r="3370">
      <c r="A3370">
        <v>3369</v>
      </c>
      <c r="B3370">
        <f>HYPERLINK("https://www.facebook.com/332933444809379", "Công an xã Bản Phùng  tỉnh Lào Cai")</f>
      </c>
      <c r="C3370" t="str">
        <v>https://www.facebook.com/332933444809379</v>
      </c>
      <c r="D3370" t="str">
        <v>-</v>
      </c>
      <c r="E3370" t="str">
        <v/>
      </c>
      <c r="F3370" t="str">
        <v>-</v>
      </c>
      <c r="G3370" t="str">
        <v>-</v>
      </c>
    </row>
    <row r="3371">
      <c r="A3371">
        <v>3370</v>
      </c>
      <c r="B3371">
        <f>HYPERLINK("https://batxat.laocai.gov.vn/ubnd-cac-xa-thi-tran/nhiem-vu-quyen-han-va-co-cau-to-chuc-cua-hdnd-va-ubnd-xa-trung-leng-ho-824443", "UBND Ủy ban nhân dân xã Bản Phùng  tỉnh Lào Cai")</f>
      </c>
      <c r="C3371" t="str">
        <v>https://batxat.laocai.gov.vn/ubnd-cac-xa-thi-tran/nhiem-vu-quyen-han-va-co-cau-to-chuc-cua-hdnd-va-ubnd-xa-trung-leng-ho-824443</v>
      </c>
      <c r="D3371" t="str">
        <v>-</v>
      </c>
      <c r="E3371" t="str">
        <v>-</v>
      </c>
      <c r="F3371" t="str">
        <v>-</v>
      </c>
      <c r="G3371" t="str">
        <v>-</v>
      </c>
    </row>
    <row r="3372">
      <c r="A3372">
        <v>3371</v>
      </c>
      <c r="B3372" t="str">
        <v>Công an xã Hầu Thào  tỉnh Lào Cai</v>
      </c>
      <c r="C3372" t="str">
        <v>-</v>
      </c>
      <c r="D3372" t="str">
        <v>-</v>
      </c>
      <c r="E3372" t="str">
        <v/>
      </c>
      <c r="F3372" t="str">
        <v>-</v>
      </c>
      <c r="G3372" t="str">
        <v>-</v>
      </c>
    </row>
    <row r="3373">
      <c r="A3373">
        <v>3372</v>
      </c>
      <c r="B3373">
        <f>HYPERLINK("https://laocai.gov.vn/di-tich-cap-quoc-gia/hai-danh-lam-thang-canh-cua-lao-cai-duoc-cong-nhan-la-di-tich-quoc-gia-931517", "UBND Ủy ban nhân dân xã Hầu Thào  tỉnh Lào Cai")</f>
      </c>
      <c r="C3373" t="str">
        <v>https://laocai.gov.vn/di-tich-cap-quoc-gia/hai-danh-lam-thang-canh-cua-lao-cai-duoc-cong-nhan-la-di-tich-quoc-gia-931517</v>
      </c>
      <c r="D3373" t="str">
        <v>-</v>
      </c>
      <c r="E3373" t="str">
        <v>-</v>
      </c>
      <c r="F3373" t="str">
        <v>-</v>
      </c>
      <c r="G3373" t="str">
        <v>-</v>
      </c>
    </row>
    <row r="3374">
      <c r="A3374">
        <v>3373</v>
      </c>
      <c r="B3374" t="str">
        <v>Công an xã Lao Chải  tỉnh Lào Cai</v>
      </c>
      <c r="C3374" t="str">
        <v>-</v>
      </c>
      <c r="D3374" t="str">
        <v>-</v>
      </c>
      <c r="E3374" t="str">
        <v/>
      </c>
      <c r="F3374" t="str">
        <v>-</v>
      </c>
      <c r="G3374" t="str">
        <v>-</v>
      </c>
    </row>
    <row r="3375">
      <c r="A3375">
        <v>3374</v>
      </c>
      <c r="B3375">
        <f>HYPERLINK("https://mucangchai.yenbai.gov.vn/news/tin-moi/?Userkey=Hoi-chu-thap-do-tinh-Lao-Cai-ho-tro-cho-2-xa-Lao-Chai-va-Ho-Bon-30-binh-loc-nuoc", "UBND Ủy ban nhân dân xã Lao Chải  tỉnh Lào Cai")</f>
      </c>
      <c r="C3375" t="str">
        <v>https://mucangchai.yenbai.gov.vn/news/tin-moi/?Userkey=Hoi-chu-thap-do-tinh-Lao-Cai-ho-tro-cho-2-xa-Lao-Chai-va-Ho-Bon-30-binh-loc-nuoc</v>
      </c>
      <c r="D3375" t="str">
        <v>-</v>
      </c>
      <c r="E3375" t="str">
        <v>-</v>
      </c>
      <c r="F3375" t="str">
        <v>-</v>
      </c>
      <c r="G3375" t="str">
        <v>-</v>
      </c>
    </row>
    <row r="3376">
      <c r="A3376">
        <v>3375</v>
      </c>
      <c r="B3376">
        <f>HYPERLINK("https://www.facebook.com/DoanThanhnienCongantinhLaoCai/", "Công an xã Thanh Kim  tỉnh Lào Cai")</f>
      </c>
      <c r="C3376" t="str">
        <v>https://www.facebook.com/DoanThanhnienCongantinhLaoCai/</v>
      </c>
      <c r="D3376" t="str">
        <v>-</v>
      </c>
      <c r="E3376" t="str">
        <v/>
      </c>
      <c r="F3376" t="str">
        <v>-</v>
      </c>
      <c r="G3376" t="str">
        <v>-</v>
      </c>
    </row>
    <row r="3377">
      <c r="A3377">
        <v>3376</v>
      </c>
      <c r="B3377">
        <f>HYPERLINK("https://www.laocai.gov.vn/", "UBND Ủy ban nhân dân xã Thanh Kim  tỉnh Lào Cai")</f>
      </c>
      <c r="C3377" t="str">
        <v>https://www.laocai.gov.vn/</v>
      </c>
      <c r="D3377" t="str">
        <v>-</v>
      </c>
      <c r="E3377" t="str">
        <v>-</v>
      </c>
      <c r="F3377" t="str">
        <v>-</v>
      </c>
      <c r="G3377" t="str">
        <v>-</v>
      </c>
    </row>
    <row r="3378">
      <c r="A3378">
        <v>3377</v>
      </c>
      <c r="B3378">
        <f>HYPERLINK("https://www.facebook.com/p/Tu%E1%BB%95i-tr%E1%BA%BB-C%C3%B4ng-an-Ngh%C4%A9a-L%E1%BB%99-100081887170070/", "Công an xã Suối Thầu  tỉnh Lào Cai")</f>
      </c>
      <c r="C3378" t="str">
        <v>https://www.facebook.com/p/Tu%E1%BB%95i-tr%E1%BA%BB-C%C3%B4ng-an-Ngh%C4%A9a-L%E1%BB%99-100081887170070/</v>
      </c>
      <c r="D3378" t="str">
        <v>-</v>
      </c>
      <c r="E3378" t="str">
        <v/>
      </c>
      <c r="F3378" t="str">
        <v>-</v>
      </c>
      <c r="G3378" t="str">
        <v>-</v>
      </c>
    </row>
    <row r="3379">
      <c r="A3379">
        <v>3378</v>
      </c>
      <c r="B3379">
        <f>HYPERLINK("http://sontay.hanoi.gov.vn/tin-tuc-su-kien1/-/view_content/8177485-doan-cong-tac-thi-xa-son-tay-tham-tang-qua-nhan-dan-bi-thiet-hai-do-thien-tai-tai-thi-xa-sa-pa-tinh-lao-cai.html", "UBND Ủy ban nhân dân xã Suối Thầu  tỉnh Lào Cai")</f>
      </c>
      <c r="C3379" t="str">
        <v>http://sontay.hanoi.gov.vn/tin-tuc-su-kien1/-/view_content/8177485-doan-cong-tac-thi-xa-son-tay-tham-tang-qua-nhan-dan-bi-thiet-hai-do-thien-tai-tai-thi-xa-sa-pa-tinh-lao-cai.html</v>
      </c>
      <c r="D3379" t="str">
        <v>-</v>
      </c>
      <c r="E3379" t="str">
        <v>-</v>
      </c>
      <c r="F3379" t="str">
        <v>-</v>
      </c>
      <c r="G3379" t="str">
        <v>-</v>
      </c>
    </row>
    <row r="3380">
      <c r="A3380">
        <v>3379</v>
      </c>
      <c r="B3380" t="str">
        <v>Công an xã Sử Pán  tỉnh Lào Cai</v>
      </c>
      <c r="C3380" t="str">
        <v>-</v>
      </c>
      <c r="D3380" t="str">
        <v>-</v>
      </c>
      <c r="E3380" t="str">
        <v/>
      </c>
      <c r="F3380" t="str">
        <v>-</v>
      </c>
      <c r="G3380" t="str">
        <v>-</v>
      </c>
    </row>
    <row r="3381">
      <c r="A3381">
        <v>3380</v>
      </c>
      <c r="B3381">
        <f>HYPERLINK("http://www.laocai.gov.vn/thong-tin-nganh-dia-phuong/khoi-cong-tai-thiet-6-nha-o-bi-thiet-hai-do-anh-huong-cua-con-bao-so-3-tren-dia-ban-xa-muong-hoa-1300832", "UBND Ủy ban nhân dân xã Sử Pán  tỉnh Lào Cai")</f>
      </c>
      <c r="C3381" t="str">
        <v>http://www.laocai.gov.vn/thong-tin-nganh-dia-phuong/khoi-cong-tai-thiet-6-nha-o-bi-thiet-hai-do-anh-huong-cua-con-bao-so-3-tren-dia-ban-xa-muong-hoa-1300832</v>
      </c>
      <c r="D3381" t="str">
        <v>-</v>
      </c>
      <c r="E3381" t="str">
        <v>-</v>
      </c>
      <c r="F3381" t="str">
        <v>-</v>
      </c>
      <c r="G3381" t="str">
        <v>-</v>
      </c>
    </row>
    <row r="3382">
      <c r="A3382">
        <v>3381</v>
      </c>
      <c r="B3382">
        <f>HYPERLINK("https://www.facebook.com/DoanThanhnienCongantinhLaoCai/", "Công an xã Tả Van  tỉnh Lào Cai")</f>
      </c>
      <c r="C3382" t="str">
        <v>https://www.facebook.com/DoanThanhnienCongantinhLaoCai/</v>
      </c>
      <c r="D3382" t="str">
        <v>-</v>
      </c>
      <c r="E3382" t="str">
        <v/>
      </c>
      <c r="F3382" t="str">
        <v>-</v>
      </c>
      <c r="G3382" t="str">
        <v>-</v>
      </c>
    </row>
    <row r="3383">
      <c r="A3383">
        <v>3382</v>
      </c>
      <c r="B3383">
        <f>HYPERLINK("http://tavan.sapa.laocai.gov.vn/", "UBND Ủy ban nhân dân xã Tả Van  tỉnh Lào Cai")</f>
      </c>
      <c r="C3383" t="str">
        <v>http://tavan.sapa.laocai.gov.vn/</v>
      </c>
      <c r="D3383" t="str">
        <v>-</v>
      </c>
      <c r="E3383" t="str">
        <v>-</v>
      </c>
      <c r="F3383" t="str">
        <v>-</v>
      </c>
      <c r="G3383" t="str">
        <v>-</v>
      </c>
    </row>
    <row r="3384">
      <c r="A3384">
        <v>3383</v>
      </c>
      <c r="B3384">
        <f>HYPERLINK("https://www.facebook.com/DoanThanhnienCongantinhLaoCai/", "Công an xã Thanh Phú  tỉnh Lào Cai")</f>
      </c>
      <c r="C3384" t="str">
        <v>https://www.facebook.com/DoanThanhnienCongantinhLaoCai/</v>
      </c>
      <c r="D3384" t="str">
        <v>-</v>
      </c>
      <c r="E3384" t="str">
        <v/>
      </c>
      <c r="F3384" t="str">
        <v>-</v>
      </c>
      <c r="G3384" t="str">
        <v>-</v>
      </c>
    </row>
    <row r="3385">
      <c r="A3385">
        <v>3384</v>
      </c>
      <c r="B3385">
        <f>HYPERLINK("https://www.laocai.gov.vn/", "UBND Ủy ban nhân dân xã Thanh Phú  tỉnh Lào Cai")</f>
      </c>
      <c r="C3385" t="str">
        <v>https://www.laocai.gov.vn/</v>
      </c>
      <c r="D3385" t="str">
        <v>-</v>
      </c>
      <c r="E3385" t="str">
        <v>-</v>
      </c>
      <c r="F3385" t="str">
        <v>-</v>
      </c>
      <c r="G3385" t="str">
        <v>-</v>
      </c>
    </row>
    <row r="3386">
      <c r="A3386">
        <v>3385</v>
      </c>
      <c r="B3386">
        <f>HYPERLINK("https://www.facebook.com/DoanThanhnienCongantinhLaoCai/", "Công an xã Bản Hồ  tỉnh Lào Cai")</f>
      </c>
      <c r="C3386" t="str">
        <v>https://www.facebook.com/DoanThanhnienCongantinhLaoCai/</v>
      </c>
      <c r="D3386" t="str">
        <v>-</v>
      </c>
      <c r="E3386" t="str">
        <v/>
      </c>
      <c r="F3386" t="str">
        <v>-</v>
      </c>
      <c r="G3386" t="str">
        <v>-</v>
      </c>
    </row>
    <row r="3387">
      <c r="A3387">
        <v>3386</v>
      </c>
      <c r="B3387">
        <f>HYPERLINK("https://www.laocai.gov.vn/", "UBND Ủy ban nhân dân xã Bản Hồ  tỉnh Lào Cai")</f>
      </c>
      <c r="C3387" t="str">
        <v>https://www.laocai.gov.vn/</v>
      </c>
      <c r="D3387" t="str">
        <v>-</v>
      </c>
      <c r="E3387" t="str">
        <v>-</v>
      </c>
      <c r="F3387" t="str">
        <v>-</v>
      </c>
      <c r="G3387" t="str">
        <v>-</v>
      </c>
    </row>
    <row r="3388">
      <c r="A3388">
        <v>3387</v>
      </c>
      <c r="B3388">
        <f>HYPERLINK("https://www.facebook.com/DoanThanhnienCongantinhLaoCai/", "Công an xã Nậm Sài  tỉnh Lào Cai")</f>
      </c>
      <c r="C3388" t="str">
        <v>https://www.facebook.com/DoanThanhnienCongantinhLaoCai/</v>
      </c>
      <c r="D3388" t="str">
        <v>-</v>
      </c>
      <c r="E3388" t="str">
        <v/>
      </c>
      <c r="F3388" t="str">
        <v>-</v>
      </c>
      <c r="G3388" t="str">
        <v>-</v>
      </c>
    </row>
    <row r="3389">
      <c r="A3389">
        <v>3388</v>
      </c>
      <c r="B3389">
        <f>HYPERLINK("https://sapa.laocai.gov.vn/thanh-lap-thi-xa-sa-pa/sap-nhap-hai-xa-nam-sai-va-nam-cang-long-dan-da-thuan-1097003", "UBND Ủy ban nhân dân xã Nậm Sài  tỉnh Lào Cai")</f>
      </c>
      <c r="C3389" t="str">
        <v>https://sapa.laocai.gov.vn/thanh-lap-thi-xa-sa-pa/sap-nhap-hai-xa-nam-sai-va-nam-cang-long-dan-da-thuan-1097003</v>
      </c>
      <c r="D3389" t="str">
        <v>-</v>
      </c>
      <c r="E3389" t="str">
        <v>-</v>
      </c>
      <c r="F3389" t="str">
        <v>-</v>
      </c>
      <c r="G3389" t="str">
        <v>-</v>
      </c>
    </row>
    <row r="3390">
      <c r="A3390">
        <v>3389</v>
      </c>
      <c r="B3390">
        <f>HYPERLINK("https://www.facebook.com/DoanThanhnienCongantinhLaoCai/", "Công an xã Nậm Cang  tỉnh Lào Cai")</f>
      </c>
      <c r="C3390" t="str">
        <v>https://www.facebook.com/DoanThanhnienCongantinhLaoCai/</v>
      </c>
      <c r="D3390" t="str">
        <v>-</v>
      </c>
      <c r="E3390" t="str">
        <v/>
      </c>
      <c r="F3390" t="str">
        <v>-</v>
      </c>
      <c r="G3390" t="str">
        <v>-</v>
      </c>
    </row>
    <row r="3391">
      <c r="A3391">
        <v>3390</v>
      </c>
      <c r="B3391">
        <f>HYPERLINK("https://sapa.laocai.gov.vn/thanh-lap-thi-xa-sa-pa/sap-nhap-hai-xa-nam-sai-va-nam-cang-long-dan-da-thuan-1097003", "UBND Ủy ban nhân dân xã Nậm Cang  tỉnh Lào Cai")</f>
      </c>
      <c r="C3391" t="str">
        <v>https://sapa.laocai.gov.vn/thanh-lap-thi-xa-sa-pa/sap-nhap-hai-xa-nam-sai-va-nam-cang-long-dan-da-thuan-1097003</v>
      </c>
      <c r="D3391" t="str">
        <v>-</v>
      </c>
      <c r="E3391" t="str">
        <v>-</v>
      </c>
      <c r="F3391" t="str">
        <v>-</v>
      </c>
      <c r="G3391" t="str">
        <v>-</v>
      </c>
    </row>
    <row r="3392">
      <c r="A3392">
        <v>3391</v>
      </c>
      <c r="B3392">
        <f>HYPERLINK("https://www.facebook.com/p/Tu%E1%BB%95i-tr%E1%BA%BB-C%C3%B4ng-an-Ngh%C4%A9a-L%E1%BB%99-100081887170070/", "Công an thị trấn Khánh Yên  tỉnh Lào Cai")</f>
      </c>
      <c r="C3392" t="str">
        <v>https://www.facebook.com/p/Tu%E1%BB%95i-tr%E1%BA%BB-C%C3%B4ng-an-Ngh%C4%A9a-L%E1%BB%99-100081887170070/</v>
      </c>
      <c r="D3392" t="str">
        <v>-</v>
      </c>
      <c r="E3392" t="str">
        <v/>
      </c>
      <c r="F3392" t="str">
        <v>-</v>
      </c>
      <c r="G3392" t="str">
        <v>-</v>
      </c>
    </row>
    <row r="3393">
      <c r="A3393">
        <v>3392</v>
      </c>
      <c r="B3393">
        <f>HYPERLINK("https://vanban.laocai.gov.vn/thi-tran-khanh-yen", "UBND Ủy ban nhân dân thị trấn Khánh Yên  tỉnh Lào Cai")</f>
      </c>
      <c r="C3393" t="str">
        <v>https://vanban.laocai.gov.vn/thi-tran-khanh-yen</v>
      </c>
      <c r="D3393" t="str">
        <v>-</v>
      </c>
      <c r="E3393" t="str">
        <v>-</v>
      </c>
      <c r="F3393" t="str">
        <v>-</v>
      </c>
      <c r="G3393" t="str">
        <v>-</v>
      </c>
    </row>
    <row r="3394">
      <c r="A3394">
        <v>3393</v>
      </c>
      <c r="B3394" t="str">
        <v>Công an xã Văn Sơn  tỉnh Lào Cai</v>
      </c>
      <c r="C3394" t="str">
        <v>-</v>
      </c>
      <c r="D3394" t="str">
        <v>-</v>
      </c>
      <c r="E3394" t="str">
        <v/>
      </c>
      <c r="F3394" t="str">
        <v>-</v>
      </c>
      <c r="G3394" t="str">
        <v>-</v>
      </c>
    </row>
    <row r="3395">
      <c r="A3395">
        <v>3394</v>
      </c>
      <c r="B3395">
        <f>HYPERLINK("https://www.laocai.gov.vn/", "UBND Ủy ban nhân dân xã Văn Sơn  tỉnh Lào Cai")</f>
      </c>
      <c r="C3395" t="str">
        <v>https://www.laocai.gov.vn/</v>
      </c>
      <c r="D3395" t="str">
        <v>-</v>
      </c>
      <c r="E3395" t="str">
        <v>-</v>
      </c>
      <c r="F3395" t="str">
        <v>-</v>
      </c>
      <c r="G3395" t="str">
        <v>-</v>
      </c>
    </row>
    <row r="3396">
      <c r="A3396">
        <v>3395</v>
      </c>
      <c r="B3396">
        <f>HYPERLINK("https://www.facebook.com/p/C%C3%B4ng-an-x%C3%A3-V%C3%B5-Lao-huy%E1%BB%87n-V%C4%83n-B%C3%A0n-t%E1%BB%89nh-L%C3%A0o-Cai-100085944432233/", "Công an xã Võ Lao  tỉnh Lào Cai")</f>
      </c>
      <c r="C3396" t="str">
        <v>https://www.facebook.com/p/C%C3%B4ng-an-x%C3%A3-V%C3%B5-Lao-huy%E1%BB%87n-V%C4%83n-B%C3%A0n-t%E1%BB%89nh-L%C3%A0o-Cai-100085944432233/</v>
      </c>
      <c r="D3396" t="str">
        <v>-</v>
      </c>
      <c r="E3396" t="str">
        <v/>
      </c>
      <c r="F3396" t="str">
        <v>-</v>
      </c>
      <c r="G3396" t="str">
        <v>-</v>
      </c>
    </row>
    <row r="3397">
      <c r="A3397">
        <v>3396</v>
      </c>
      <c r="B3397">
        <f>HYPERLINK("https://vanban.laocai.gov.vn/xa-vo-lao", "UBND Ủy ban nhân dân xã Võ Lao  tỉnh Lào Cai")</f>
      </c>
      <c r="C3397" t="str">
        <v>https://vanban.laocai.gov.vn/xa-vo-lao</v>
      </c>
      <c r="D3397" t="str">
        <v>-</v>
      </c>
      <c r="E3397" t="str">
        <v>-</v>
      </c>
      <c r="F3397" t="str">
        <v>-</v>
      </c>
      <c r="G3397" t="str">
        <v>-</v>
      </c>
    </row>
    <row r="3398">
      <c r="A3398">
        <v>3397</v>
      </c>
      <c r="B3398">
        <f>HYPERLINK("https://www.facebook.com/p/C%C3%B4ng-an-x%C3%A3-S%C6%A1n-Th%E1%BB%A7y-100085998541435/", "Công an xã Sơn Thuỷ  tỉnh Lào Cai")</f>
      </c>
      <c r="C3398" t="str">
        <v>https://www.facebook.com/p/C%C3%B4ng-an-x%C3%A3-S%C6%A1n-Th%E1%BB%A7y-100085998541435/</v>
      </c>
      <c r="D3398" t="str">
        <v>-</v>
      </c>
      <c r="E3398" t="str">
        <v/>
      </c>
      <c r="F3398" t="str">
        <v>-</v>
      </c>
      <c r="G3398" t="str">
        <v>-</v>
      </c>
    </row>
    <row r="3399">
      <c r="A3399">
        <v>3398</v>
      </c>
      <c r="B3399">
        <f>HYPERLINK("https://laocai.gov.vn/tim-kiem-nguoi-bi-yeu-cau-tuyen-bo-mat-tich/thong-bao-tim-kiem-chi-thao-thi-dinh-sinh-nam-1996-cu-tru-tai-thon-thac-day-xa-son-thuy-huyen-va-938098", "UBND Ủy ban nhân dân xã Sơn Thuỷ  tỉnh Lào Cai")</f>
      </c>
      <c r="C3399" t="str">
        <v>https://laocai.gov.vn/tim-kiem-nguoi-bi-yeu-cau-tuyen-bo-mat-tich/thong-bao-tim-kiem-chi-thao-thi-dinh-sinh-nam-1996-cu-tru-tai-thon-thac-day-xa-son-thuy-huyen-va-938098</v>
      </c>
      <c r="D3399" t="str">
        <v>-</v>
      </c>
      <c r="E3399" t="str">
        <v>-</v>
      </c>
      <c r="F3399" t="str">
        <v>-</v>
      </c>
      <c r="G3399" t="str">
        <v>-</v>
      </c>
    </row>
    <row r="3400">
      <c r="A3400">
        <v>3399</v>
      </c>
      <c r="B3400">
        <f>HYPERLINK("https://www.facebook.com/DoanThanhnienCongantinhLaoCai/", "Công an xã Nậm Mả  tỉnh Lào Cai")</f>
      </c>
      <c r="C3400" t="str">
        <v>https://www.facebook.com/DoanThanhnienCongantinhLaoCai/</v>
      </c>
      <c r="D3400" t="str">
        <v>-</v>
      </c>
      <c r="E3400" t="str">
        <v/>
      </c>
      <c r="F3400" t="str">
        <v>-</v>
      </c>
      <c r="G3400" t="str">
        <v>-</v>
      </c>
    </row>
    <row r="3401">
      <c r="A3401">
        <v>3400</v>
      </c>
      <c r="B3401">
        <f>HYPERLINK("https://vanban.laocai.gov.vn/xa-nam-ma", "UBND Ủy ban nhân dân xã Nậm Mả  tỉnh Lào Cai")</f>
      </c>
      <c r="C3401" t="str">
        <v>https://vanban.laocai.gov.vn/xa-nam-ma</v>
      </c>
      <c r="D3401" t="str">
        <v>-</v>
      </c>
      <c r="E3401" t="str">
        <v>-</v>
      </c>
      <c r="F3401" t="str">
        <v>-</v>
      </c>
      <c r="G3401" t="str">
        <v>-</v>
      </c>
    </row>
    <row r="3402">
      <c r="A3402">
        <v>3401</v>
      </c>
      <c r="B3402" t="str">
        <v>Công an xã Tân Thượng  tỉnh Lào Cai</v>
      </c>
      <c r="C3402" t="str">
        <v>-</v>
      </c>
      <c r="D3402" t="str">
        <v>-</v>
      </c>
      <c r="E3402" t="str">
        <v/>
      </c>
      <c r="F3402" t="str">
        <v>-</v>
      </c>
      <c r="G3402" t="str">
        <v>-</v>
      </c>
    </row>
    <row r="3403">
      <c r="A3403">
        <v>3402</v>
      </c>
      <c r="B3403">
        <f>HYPERLINK("https://vanban.laocai.gov.vn/xa-tan-an", "UBND Ủy ban nhân dân xã Tân Thượng  tỉnh Lào Cai")</f>
      </c>
      <c r="C3403" t="str">
        <v>https://vanban.laocai.gov.vn/xa-tan-an</v>
      </c>
      <c r="D3403" t="str">
        <v>-</v>
      </c>
      <c r="E3403" t="str">
        <v>-</v>
      </c>
      <c r="F3403" t="str">
        <v>-</v>
      </c>
      <c r="G3403" t="str">
        <v>-</v>
      </c>
    </row>
    <row r="3404">
      <c r="A3404">
        <v>3403</v>
      </c>
      <c r="B3404">
        <f>HYPERLINK("https://www.facebook.com/DoanThanhnienCongantinhLaoCai/", "Công an xã Nậm Rạng  tỉnh Lào Cai")</f>
      </c>
      <c r="C3404" t="str">
        <v>https://www.facebook.com/DoanThanhnienCongantinhLaoCai/</v>
      </c>
      <c r="D3404" t="str">
        <v>-</v>
      </c>
      <c r="E3404" t="str">
        <v/>
      </c>
      <c r="F3404" t="str">
        <v>-</v>
      </c>
      <c r="G3404" t="str">
        <v>-</v>
      </c>
    </row>
    <row r="3405">
      <c r="A3405">
        <v>3404</v>
      </c>
      <c r="B3405">
        <f>HYPERLINK("https://vanban.laocai.gov.vn/xa-nam-dang", "UBND Ủy ban nhân dân xã Nậm Rạng  tỉnh Lào Cai")</f>
      </c>
      <c r="C3405" t="str">
        <v>https://vanban.laocai.gov.vn/xa-nam-dang</v>
      </c>
      <c r="D3405" t="str">
        <v>-</v>
      </c>
      <c r="E3405" t="str">
        <v>-</v>
      </c>
      <c r="F3405" t="str">
        <v>-</v>
      </c>
      <c r="G3405" t="str">
        <v>-</v>
      </c>
    </row>
    <row r="3406">
      <c r="A3406">
        <v>3405</v>
      </c>
      <c r="B3406">
        <f>HYPERLINK("https://www.facebook.com/DoanThanhnienCongantinhLaoCai/", "Công an xã Nậm Chầy  tỉnh Lào Cai")</f>
      </c>
      <c r="C3406" t="str">
        <v>https://www.facebook.com/DoanThanhnienCongantinhLaoCai/</v>
      </c>
      <c r="D3406" t="str">
        <v>-</v>
      </c>
      <c r="E3406" t="str">
        <v/>
      </c>
      <c r="F3406" t="str">
        <v>-</v>
      </c>
      <c r="G3406" t="str">
        <v>-</v>
      </c>
    </row>
    <row r="3407">
      <c r="A3407">
        <v>3406</v>
      </c>
      <c r="B3407">
        <f>HYPERLINK("http://namchay.muongkhuong.laocai.gov.vn/", "UBND Ủy ban nhân dân xã Nậm Chầy  tỉnh Lào Cai")</f>
      </c>
      <c r="C3407" t="str">
        <v>http://namchay.muongkhuong.laocai.gov.vn/</v>
      </c>
      <c r="D3407" t="str">
        <v>-</v>
      </c>
      <c r="E3407" t="str">
        <v>-</v>
      </c>
      <c r="F3407" t="str">
        <v>-</v>
      </c>
      <c r="G3407" t="str">
        <v>-</v>
      </c>
    </row>
    <row r="3408">
      <c r="A3408">
        <v>3407</v>
      </c>
      <c r="B3408">
        <f>HYPERLINK("https://www.facebook.com/DoanThanhnienCongantinhLaoCai/", "Công an xã Tân An  tỉnh Lào Cai")</f>
      </c>
      <c r="C3408" t="str">
        <v>https://www.facebook.com/DoanThanhnienCongantinhLaoCai/</v>
      </c>
      <c r="D3408" t="str">
        <v>-</v>
      </c>
      <c r="E3408" t="str">
        <v/>
      </c>
      <c r="F3408" t="str">
        <v>-</v>
      </c>
      <c r="G3408" t="str">
        <v>-</v>
      </c>
    </row>
    <row r="3409">
      <c r="A3409">
        <v>3408</v>
      </c>
      <c r="B3409">
        <f>HYPERLINK("https://vanban.laocai.gov.vn/xa-tan-an", "UBND Ủy ban nhân dân xã Tân An  tỉnh Lào Cai")</f>
      </c>
      <c r="C3409" t="str">
        <v>https://vanban.laocai.gov.vn/xa-tan-an</v>
      </c>
      <c r="D3409" t="str">
        <v>-</v>
      </c>
      <c r="E3409" t="str">
        <v>-</v>
      </c>
      <c r="F3409" t="str">
        <v>-</v>
      </c>
      <c r="G3409" t="str">
        <v>-</v>
      </c>
    </row>
    <row r="3410">
      <c r="A3410">
        <v>3409</v>
      </c>
      <c r="B3410" t="str">
        <v>Công an xã Khánh Yên Thượng  tỉnh Lào Cai</v>
      </c>
      <c r="C3410" t="str">
        <v>-</v>
      </c>
      <c r="D3410" t="str">
        <v>-</v>
      </c>
      <c r="E3410" t="str">
        <v/>
      </c>
      <c r="F3410" t="str">
        <v>-</v>
      </c>
      <c r="G3410" t="str">
        <v>-</v>
      </c>
    </row>
    <row r="3411">
      <c r="A3411">
        <v>3410</v>
      </c>
      <c r="B3411">
        <f>HYPERLINK("https://vanban.laocai.gov.vn/xa-khanh-yen-thuong", "UBND Ủy ban nhân dân xã Khánh Yên Thượng  tỉnh Lào Cai")</f>
      </c>
      <c r="C3411" t="str">
        <v>https://vanban.laocai.gov.vn/xa-khanh-yen-thuong</v>
      </c>
      <c r="D3411" t="str">
        <v>-</v>
      </c>
      <c r="E3411" t="str">
        <v>-</v>
      </c>
      <c r="F3411" t="str">
        <v>-</v>
      </c>
      <c r="G3411" t="str">
        <v>-</v>
      </c>
    </row>
    <row r="3412">
      <c r="A3412">
        <v>3411</v>
      </c>
      <c r="B3412" t="str">
        <v>Công an xã Nậm Xé  tỉnh Lào Cai</v>
      </c>
      <c r="C3412" t="str">
        <v>-</v>
      </c>
      <c r="D3412" t="str">
        <v>-</v>
      </c>
      <c r="E3412" t="str">
        <v/>
      </c>
      <c r="F3412" t="str">
        <v>-</v>
      </c>
      <c r="G3412" t="str">
        <v>-</v>
      </c>
    </row>
    <row r="3413">
      <c r="A3413">
        <v>3412</v>
      </c>
      <c r="B3413">
        <f>HYPERLINK("https://vanban.laocai.gov.vn/xa-nam-xe", "UBND Ủy ban nhân dân xã Nậm Xé  tỉnh Lào Cai")</f>
      </c>
      <c r="C3413" t="str">
        <v>https://vanban.laocai.gov.vn/xa-nam-xe</v>
      </c>
      <c r="D3413" t="str">
        <v>-</v>
      </c>
      <c r="E3413" t="str">
        <v>-</v>
      </c>
      <c r="F3413" t="str">
        <v>-</v>
      </c>
      <c r="G3413" t="str">
        <v>-</v>
      </c>
    </row>
    <row r="3414">
      <c r="A3414">
        <v>3413</v>
      </c>
      <c r="B3414">
        <f>HYPERLINK("https://www.facebook.com/DoanThanhnienCongantinhLaoCai/", "Công an xã Dần Thàng  tỉnh Lào Cai")</f>
      </c>
      <c r="C3414" t="str">
        <v>https://www.facebook.com/DoanThanhnienCongantinhLaoCai/</v>
      </c>
      <c r="D3414" t="str">
        <v>-</v>
      </c>
      <c r="E3414" t="str">
        <v/>
      </c>
      <c r="F3414" t="str">
        <v>-</v>
      </c>
      <c r="G3414" t="str">
        <v>-</v>
      </c>
    </row>
    <row r="3415">
      <c r="A3415">
        <v>3414</v>
      </c>
      <c r="B3415">
        <f>HYPERLINK("https://www.laocai.gov.vn/", "UBND Ủy ban nhân dân xã Dần Thàng  tỉnh Lào Cai")</f>
      </c>
      <c r="C3415" t="str">
        <v>https://www.laocai.gov.vn/</v>
      </c>
      <c r="D3415" t="str">
        <v>-</v>
      </c>
      <c r="E3415" t="str">
        <v>-</v>
      </c>
      <c r="F3415" t="str">
        <v>-</v>
      </c>
      <c r="G3415" t="str">
        <v>-</v>
      </c>
    </row>
    <row r="3416">
      <c r="A3416">
        <v>3415</v>
      </c>
      <c r="B3416" t="str">
        <v>Công an xã Chiềng Ken  tỉnh Lào Cai</v>
      </c>
      <c r="C3416" t="str">
        <v>-</v>
      </c>
      <c r="D3416" t="str">
        <v>-</v>
      </c>
      <c r="E3416" t="str">
        <v/>
      </c>
      <c r="F3416" t="str">
        <v>-</v>
      </c>
      <c r="G3416" t="str">
        <v>-</v>
      </c>
    </row>
    <row r="3417">
      <c r="A3417">
        <v>3416</v>
      </c>
      <c r="B3417">
        <f>HYPERLINK("https://vanban.laocai.gov.vn/xa-chieng-ken", "UBND Ủy ban nhân dân xã Chiềng Ken  tỉnh Lào Cai")</f>
      </c>
      <c r="C3417" t="str">
        <v>https://vanban.laocai.gov.vn/xa-chieng-ken</v>
      </c>
      <c r="D3417" t="str">
        <v>-</v>
      </c>
      <c r="E3417" t="str">
        <v>-</v>
      </c>
      <c r="F3417" t="str">
        <v>-</v>
      </c>
      <c r="G3417" t="str">
        <v>-</v>
      </c>
    </row>
    <row r="3418">
      <c r="A3418">
        <v>3417</v>
      </c>
      <c r="B3418">
        <f>HYPERLINK("https://www.facebook.com/DoanThanhnienCongantinhLaoCai/", "Công an xã Làng Giàng  tỉnh Lào Cai")</f>
      </c>
      <c r="C3418" t="str">
        <v>https://www.facebook.com/DoanThanhnienCongantinhLaoCai/</v>
      </c>
      <c r="D3418" t="str">
        <v>-</v>
      </c>
      <c r="E3418" t="str">
        <v/>
      </c>
      <c r="F3418" t="str">
        <v>-</v>
      </c>
      <c r="G3418" t="str">
        <v>-</v>
      </c>
    </row>
    <row r="3419">
      <c r="A3419">
        <v>3418</v>
      </c>
      <c r="B3419">
        <f>HYPERLINK("https://www.laocai.gov.vn/", "UBND Ủy ban nhân dân xã Làng Giàng  tỉnh Lào Cai")</f>
      </c>
      <c r="C3419" t="str">
        <v>https://www.laocai.gov.vn/</v>
      </c>
      <c r="D3419" t="str">
        <v>-</v>
      </c>
      <c r="E3419" t="str">
        <v>-</v>
      </c>
      <c r="F3419" t="str">
        <v>-</v>
      </c>
      <c r="G3419" t="str">
        <v>-</v>
      </c>
    </row>
    <row r="3420">
      <c r="A3420">
        <v>3419</v>
      </c>
      <c r="B3420">
        <f>HYPERLINK("https://www.facebook.com/conganxahoamac/", "Công an xã Hoà Mạc  tỉnh Lào Cai")</f>
      </c>
      <c r="C3420" t="str">
        <v>https://www.facebook.com/conganxahoamac/</v>
      </c>
      <c r="D3420" t="str">
        <v>-</v>
      </c>
      <c r="E3420" t="str">
        <v/>
      </c>
      <c r="F3420" t="str">
        <v>-</v>
      </c>
      <c r="G3420" t="str">
        <v>-</v>
      </c>
    </row>
    <row r="3421">
      <c r="A3421">
        <v>3420</v>
      </c>
      <c r="B3421">
        <f>HYPERLINK("https://vanban.laocai.gov.vn/xa-hoa-mac", "UBND Ủy ban nhân dân xã Hoà Mạc  tỉnh Lào Cai")</f>
      </c>
      <c r="C3421" t="str">
        <v>https://vanban.laocai.gov.vn/xa-hoa-mac</v>
      </c>
      <c r="D3421" t="str">
        <v>-</v>
      </c>
      <c r="E3421" t="str">
        <v>-</v>
      </c>
      <c r="F3421" t="str">
        <v>-</v>
      </c>
      <c r="G3421" t="str">
        <v>-</v>
      </c>
    </row>
    <row r="3422">
      <c r="A3422">
        <v>3421</v>
      </c>
      <c r="B3422" t="str">
        <v>Công an xã Khánh Yên Trung  tỉnh Lào Cai</v>
      </c>
      <c r="C3422" t="str">
        <v>-</v>
      </c>
      <c r="D3422" t="str">
        <v>-</v>
      </c>
      <c r="E3422" t="str">
        <v/>
      </c>
      <c r="F3422" t="str">
        <v>-</v>
      </c>
      <c r="G3422" t="str">
        <v>-</v>
      </c>
    </row>
    <row r="3423">
      <c r="A3423">
        <v>3422</v>
      </c>
      <c r="B3423">
        <f>HYPERLINK("https://vanban.laocai.gov.vn/xa-khanh-yen-trung", "UBND Ủy ban nhân dân xã Khánh Yên Trung  tỉnh Lào Cai")</f>
      </c>
      <c r="C3423" t="str">
        <v>https://vanban.laocai.gov.vn/xa-khanh-yen-trung</v>
      </c>
      <c r="D3423" t="str">
        <v>-</v>
      </c>
      <c r="E3423" t="str">
        <v>-</v>
      </c>
      <c r="F3423" t="str">
        <v>-</v>
      </c>
      <c r="G3423" t="str">
        <v>-</v>
      </c>
    </row>
    <row r="3424">
      <c r="A3424">
        <v>3423</v>
      </c>
      <c r="B3424">
        <f>HYPERLINK("https://www.facebook.com/p/C%C3%B4ng-an-x%C3%A3-Kh%C3%A1nh-Y%C3%AAn-H%E1%BA%A1-61551605331177/?locale=en_GB", "Công an xã Khánh Yên Hạ  tỉnh Lào Cai")</f>
      </c>
      <c r="C3424" t="str">
        <v>https://www.facebook.com/p/C%C3%B4ng-an-x%C3%A3-Kh%C3%A1nh-Y%C3%AAn-H%E1%BA%A1-61551605331177/?locale=en_GB</v>
      </c>
      <c r="D3424" t="str">
        <v>-</v>
      </c>
      <c r="E3424" t="str">
        <v/>
      </c>
      <c r="F3424" t="str">
        <v>-</v>
      </c>
      <c r="G3424" t="str">
        <v>-</v>
      </c>
    </row>
    <row r="3425">
      <c r="A3425">
        <v>3424</v>
      </c>
      <c r="B3425">
        <f>HYPERLINK("https://vanban.laocai.gov.vn/xa-khanh-yen-ha", "UBND Ủy ban nhân dân xã Khánh Yên Hạ  tỉnh Lào Cai")</f>
      </c>
      <c r="C3425" t="str">
        <v>https://vanban.laocai.gov.vn/xa-khanh-yen-ha</v>
      </c>
      <c r="D3425" t="str">
        <v>-</v>
      </c>
      <c r="E3425" t="str">
        <v>-</v>
      </c>
      <c r="F3425" t="str">
        <v>-</v>
      </c>
      <c r="G3425" t="str">
        <v>-</v>
      </c>
    </row>
    <row r="3426">
      <c r="A3426">
        <v>3425</v>
      </c>
      <c r="B3426">
        <f>HYPERLINK("https://www.facebook.com/DoanThanhnienCongantinhLaoCai/", "Công an xã Dương Quỳ  tỉnh Lào Cai")</f>
      </c>
      <c r="C3426" t="str">
        <v>https://www.facebook.com/DoanThanhnienCongantinhLaoCai/</v>
      </c>
      <c r="D3426" t="str">
        <v>-</v>
      </c>
      <c r="E3426" t="str">
        <v/>
      </c>
      <c r="F3426" t="str">
        <v>-</v>
      </c>
      <c r="G3426" t="str">
        <v>-</v>
      </c>
    </row>
    <row r="3427">
      <c r="A3427">
        <v>3426</v>
      </c>
      <c r="B3427">
        <f>HYPERLINK("https://www.laocai.gov.vn/di-tich-cap-tinh/cong-nhan-dia-diem-chien-thang-don-duong-quy-la-di-tich-lich-su-van-hoa-cap-tinh-931536", "UBND Ủy ban nhân dân xã Dương Quỳ  tỉnh Lào Cai")</f>
      </c>
      <c r="C3427" t="str">
        <v>https://www.laocai.gov.vn/di-tich-cap-tinh/cong-nhan-dia-diem-chien-thang-don-duong-quy-la-di-tich-lich-su-van-hoa-cap-tinh-931536</v>
      </c>
      <c r="D3427" t="str">
        <v>-</v>
      </c>
      <c r="E3427" t="str">
        <v>-</v>
      </c>
      <c r="F3427" t="str">
        <v>-</v>
      </c>
      <c r="G3427" t="str">
        <v>-</v>
      </c>
    </row>
    <row r="3428">
      <c r="A3428">
        <v>3427</v>
      </c>
      <c r="B3428">
        <f>HYPERLINK("https://www.facebook.com/DoanThanhnienCongantinhLaoCai/", "Công an xã Nậm Tha  tỉnh Lào Cai")</f>
      </c>
      <c r="C3428" t="str">
        <v>https://www.facebook.com/DoanThanhnienCongantinhLaoCai/</v>
      </c>
      <c r="D3428" t="str">
        <v>-</v>
      </c>
      <c r="E3428" t="str">
        <v/>
      </c>
      <c r="F3428" t="str">
        <v>-</v>
      </c>
      <c r="G3428" t="str">
        <v>-</v>
      </c>
    </row>
    <row r="3429">
      <c r="A3429">
        <v>3428</v>
      </c>
      <c r="B3429">
        <f>HYPERLINK("https://vanban.laocai.gov.vn/xa-nam-tha", "UBND Ủy ban nhân dân xã Nậm Tha  tỉnh Lào Cai")</f>
      </c>
      <c r="C3429" t="str">
        <v>https://vanban.laocai.gov.vn/xa-nam-tha</v>
      </c>
      <c r="D3429" t="str">
        <v>-</v>
      </c>
      <c r="E3429" t="str">
        <v>-</v>
      </c>
      <c r="F3429" t="str">
        <v>-</v>
      </c>
      <c r="G3429" t="str">
        <v>-</v>
      </c>
    </row>
    <row r="3430">
      <c r="A3430">
        <v>3429</v>
      </c>
      <c r="B3430">
        <f>HYPERLINK("https://www.facebook.com/DoanThanhnienCongantinhLaoCai/", "Công an xã Minh Lương  tỉnh Lào Cai")</f>
      </c>
      <c r="C3430" t="str">
        <v>https://www.facebook.com/DoanThanhnienCongantinhLaoCai/</v>
      </c>
      <c r="D3430" t="str">
        <v>-</v>
      </c>
      <c r="E3430" t="str">
        <v/>
      </c>
      <c r="F3430" t="str">
        <v>-</v>
      </c>
      <c r="G3430" t="str">
        <v>-</v>
      </c>
    </row>
    <row r="3431">
      <c r="A3431">
        <v>3430</v>
      </c>
      <c r="B3431">
        <f>HYPERLINK("https://thads.moj.gov.vn/UserControls/News/pFormPrint.aspx?UrlListProcess=/noidung/tintuc/Lists/TinTuDiaPhuong&amp;ListId=7739a2a3-031e-48ad-b89e-a51269598847&amp;SiteId=c14f4b03-975c-4234-893b-d5c829a196a7&amp;ItemID=2513&amp;SiteRootID=a149ca04-0675-4959-b693-037f129a9de6", "UBND Ủy ban nhân dân xã Minh Lương  tỉnh Lào Cai")</f>
      </c>
      <c r="C3431" t="str">
        <v>https://thads.moj.gov.vn/UserControls/News/pFormPrint.aspx?UrlListProcess=/noidung/tintuc/Lists/TinTuDiaPhuong&amp;ListId=7739a2a3-031e-48ad-b89e-a51269598847&amp;SiteId=c14f4b03-975c-4234-893b-d5c829a196a7&amp;ItemID=2513&amp;SiteRootID=a149ca04-0675-4959-b693-037f129a9de6</v>
      </c>
      <c r="D3431" t="str">
        <v>-</v>
      </c>
      <c r="E3431" t="str">
        <v>-</v>
      </c>
      <c r="F3431" t="str">
        <v>-</v>
      </c>
      <c r="G3431" t="str">
        <v>-</v>
      </c>
    </row>
    <row r="3432">
      <c r="A3432">
        <v>3431</v>
      </c>
      <c r="B3432">
        <f>HYPERLINK("https://www.facebook.com/DoanThanhnienCongantinhLaoCai/", "Công an xã Thẩm Dương  tỉnh Lào Cai")</f>
      </c>
      <c r="C3432" t="str">
        <v>https://www.facebook.com/DoanThanhnienCongantinhLaoCai/</v>
      </c>
      <c r="D3432" t="str">
        <v>-</v>
      </c>
      <c r="E3432" t="str">
        <v/>
      </c>
      <c r="F3432" t="str">
        <v>-</v>
      </c>
      <c r="G3432" t="str">
        <v>-</v>
      </c>
    </row>
    <row r="3433">
      <c r="A3433">
        <v>3432</v>
      </c>
      <c r="B3433">
        <f>HYPERLINK("https://vanban.laocai.gov.vn/xa-tham-duong", "UBND Ủy ban nhân dân xã Thẩm Dương  tỉnh Lào Cai")</f>
      </c>
      <c r="C3433" t="str">
        <v>https://vanban.laocai.gov.vn/xa-tham-duong</v>
      </c>
      <c r="D3433" t="str">
        <v>-</v>
      </c>
      <c r="E3433" t="str">
        <v>-</v>
      </c>
      <c r="F3433" t="str">
        <v>-</v>
      </c>
      <c r="G3433" t="str">
        <v>-</v>
      </c>
    </row>
    <row r="3434">
      <c r="A3434">
        <v>3433</v>
      </c>
      <c r="B3434">
        <f>HYPERLINK("https://www.facebook.com/100085104251115", "Công an xã Liêm Phú  tỉnh Lào Cai")</f>
      </c>
      <c r="C3434" t="str">
        <v>https://www.facebook.com/100085104251115</v>
      </c>
      <c r="D3434" t="str">
        <v>-</v>
      </c>
      <c r="E3434" t="str">
        <v>02143788256</v>
      </c>
      <c r="F3434" t="str">
        <v>-</v>
      </c>
      <c r="G3434" t="str">
        <v>Thôn Ỏ, xã Liêm Phú, huyện Văn Bàn, tỉnh Lào Cai, Lào Cai, Vietnam</v>
      </c>
    </row>
    <row r="3435">
      <c r="A3435">
        <v>3434</v>
      </c>
      <c r="B3435">
        <f>HYPERLINK("https://vanban.laocai.gov.vn/xa-liem-phu", "UBND Ủy ban nhân dân xã Liêm Phú  tỉnh Lào Cai")</f>
      </c>
      <c r="C3435" t="str">
        <v>https://vanban.laocai.gov.vn/xa-liem-phu</v>
      </c>
      <c r="D3435" t="str">
        <v>-</v>
      </c>
      <c r="E3435" t="str">
        <v>-</v>
      </c>
      <c r="F3435" t="str">
        <v>-</v>
      </c>
      <c r="G3435" t="str">
        <v>-</v>
      </c>
    </row>
    <row r="3436">
      <c r="A3436">
        <v>3435</v>
      </c>
      <c r="B3436">
        <f>HYPERLINK("https://www.facebook.com/DoanThanhnienCongantinhLaoCai/", "Công an xã Nậm Xây  tỉnh Lào Cai")</f>
      </c>
      <c r="C3436" t="str">
        <v>https://www.facebook.com/DoanThanhnienCongantinhLaoCai/</v>
      </c>
      <c r="D3436" t="str">
        <v>-</v>
      </c>
      <c r="E3436" t="str">
        <v/>
      </c>
      <c r="F3436" t="str">
        <v>-</v>
      </c>
      <c r="G3436" t="str">
        <v>-</v>
      </c>
    </row>
    <row r="3437">
      <c r="A3437">
        <v>3436</v>
      </c>
      <c r="B3437">
        <f>HYPERLINK("https://vanban.laocai.gov.vn/xa-nam-xay", "UBND Ủy ban nhân dân xã Nậm Xây  tỉnh Lào Cai")</f>
      </c>
      <c r="C3437" t="str">
        <v>https://vanban.laocai.gov.vn/xa-nam-xay</v>
      </c>
      <c r="D3437" t="str">
        <v>-</v>
      </c>
      <c r="E3437" t="str">
        <v>-</v>
      </c>
      <c r="F3437" t="str">
        <v>-</v>
      </c>
      <c r="G3437" t="str">
        <v>-</v>
      </c>
    </row>
    <row r="3438">
      <c r="A3438">
        <v>3437</v>
      </c>
      <c r="B3438">
        <f>HYPERLINK("https://www.facebook.com/Benhviendakhoatinhdienbien/?locale=vi_VN", "Công an phường Noong Bua  tỉnh Điện Biên")</f>
      </c>
      <c r="C3438" t="str">
        <v>https://www.facebook.com/Benhviendakhoatinhdienbien/?locale=vi_VN</v>
      </c>
      <c r="D3438" t="str">
        <v>-</v>
      </c>
      <c r="E3438" t="str">
        <v/>
      </c>
      <c r="F3438" t="str">
        <v>-</v>
      </c>
      <c r="G3438" t="str">
        <v>-</v>
      </c>
    </row>
    <row r="3439">
      <c r="A3439">
        <v>3438</v>
      </c>
      <c r="B3439">
        <f>HYPERLINK("https://www.toaan.gov.vn/webcenter/ShowProperty?nodeId=/UCMServer/TAND077356", "UBND Ủy ban nhân dân phường Noong Bua  tỉnh Điện Biên")</f>
      </c>
      <c r="C3439" t="str">
        <v>https://www.toaan.gov.vn/webcenter/ShowProperty?nodeId=/UCMServer/TAND077356</v>
      </c>
      <c r="D3439" t="str">
        <v>-</v>
      </c>
      <c r="E3439" t="str">
        <v>-</v>
      </c>
      <c r="F3439" t="str">
        <v>-</v>
      </c>
      <c r="G3439" t="str">
        <v>-</v>
      </c>
    </row>
    <row r="3440">
      <c r="A3440">
        <v>3439</v>
      </c>
      <c r="B3440">
        <f>HYPERLINK("https://www.facebook.com/conganphuonghimlam/?locale=vi_VN", "Công an phường Him Lam  tỉnh Điện Biên")</f>
      </c>
      <c r="C3440" t="str">
        <v>https://www.facebook.com/conganphuonghimlam/?locale=vi_VN</v>
      </c>
      <c r="D3440" t="str">
        <v>-</v>
      </c>
      <c r="E3440" t="str">
        <v/>
      </c>
      <c r="F3440" t="str">
        <v>-</v>
      </c>
      <c r="G3440" t="str">
        <v>-</v>
      </c>
    </row>
    <row r="3441">
      <c r="A3441">
        <v>3440</v>
      </c>
      <c r="B3441">
        <f>HYPERLINK("https://dienbien.toaan.gov.vn/webcenter/ShowProperty?nodeId=/UCMServer/TAND208696", "UBND Ủy ban nhân dân phường Him Lam  tỉnh Điện Biên")</f>
      </c>
      <c r="C3441" t="str">
        <v>https://dienbien.toaan.gov.vn/webcenter/ShowProperty?nodeId=/UCMServer/TAND208696</v>
      </c>
      <c r="D3441" t="str">
        <v>-</v>
      </c>
      <c r="E3441" t="str">
        <v>-</v>
      </c>
      <c r="F3441" t="str">
        <v>-</v>
      </c>
      <c r="G3441" t="str">
        <v>-</v>
      </c>
    </row>
    <row r="3442">
      <c r="A3442">
        <v>3441</v>
      </c>
      <c r="B3442">
        <f>HYPERLINK("https://www.facebook.com/p/C%C3%B4ng-an-ph%C6%B0%E1%BB%9Dng-Thanh-B%C3%ACnh-C%C3%B4ng-an-th%C3%A0nh-ph%E1%BB%91-%C4%90i%E1%BB%87n-Bi%C3%AAn-Ph%E1%BB%A7-100069849813294/", "Công an phường Thanh Bình  tỉnh Điện Biên")</f>
      </c>
      <c r="C3442" t="str">
        <v>https://www.facebook.com/p/C%C3%B4ng-an-ph%C6%B0%E1%BB%9Dng-Thanh-B%C3%ACnh-C%C3%B4ng-an-th%C3%A0nh-ph%E1%BB%91-%C4%90i%E1%BB%87n-Bi%C3%AAn-Ph%E1%BB%A7-100069849813294/</v>
      </c>
      <c r="D3442" t="str">
        <v>-</v>
      </c>
      <c r="E3442" t="str">
        <v/>
      </c>
      <c r="F3442" t="str">
        <v>-</v>
      </c>
      <c r="G3442" t="str">
        <v>-</v>
      </c>
    </row>
    <row r="3443">
      <c r="A3443">
        <v>3442</v>
      </c>
      <c r="B3443">
        <f>HYPERLINK("https://bienhoa.dongnai.gov.vn/Pages/gioithieu.aspx?CatID=110", "UBND Ủy ban nhân dân phường Thanh Bình  tỉnh Điện Biên")</f>
      </c>
      <c r="C3443" t="str">
        <v>https://bienhoa.dongnai.gov.vn/Pages/gioithieu.aspx?CatID=110</v>
      </c>
      <c r="D3443" t="str">
        <v>-</v>
      </c>
      <c r="E3443" t="str">
        <v>-</v>
      </c>
      <c r="F3443" t="str">
        <v>-</v>
      </c>
      <c r="G3443" t="str">
        <v>-</v>
      </c>
    </row>
    <row r="3444">
      <c r="A3444">
        <v>3443</v>
      </c>
      <c r="B3444">
        <f>HYPERLINK("https://www.facebook.com/Conganphuongtanthanhthanhphodienbienphu/", "Công an phường Tân Thanh  tỉnh Điện Biên")</f>
      </c>
      <c r="C3444" t="str">
        <v>https://www.facebook.com/Conganphuongtanthanhthanhphodienbienphu/</v>
      </c>
      <c r="D3444" t="str">
        <v>-</v>
      </c>
      <c r="E3444" t="str">
        <v/>
      </c>
      <c r="F3444" t="str">
        <v>-</v>
      </c>
      <c r="G3444" t="str">
        <v>-</v>
      </c>
    </row>
    <row r="3445">
      <c r="A3445">
        <v>3444</v>
      </c>
      <c r="B3445">
        <f>HYPERLINK("https://stttt.dienbien.gov.vn/vi/about/danh-sach-nguoi-phat-ngon-tinh-dien-bien-nam-2018.html", "UBND Ủy ban nhân dân phường Tân Thanh  tỉnh Điện Biên")</f>
      </c>
      <c r="C3445" t="str">
        <v>https://stttt.dienbien.gov.vn/vi/about/danh-sach-nguoi-phat-ngon-tinh-dien-bien-nam-2018.html</v>
      </c>
      <c r="D3445" t="str">
        <v>-</v>
      </c>
      <c r="E3445" t="str">
        <v>-</v>
      </c>
      <c r="F3445" t="str">
        <v>-</v>
      </c>
      <c r="G3445" t="str">
        <v>-</v>
      </c>
    </row>
    <row r="3446">
      <c r="A3446">
        <v>3445</v>
      </c>
      <c r="B3446">
        <f>HYPERLINK("https://www.facebook.com/clbmediatruongthpttp/", "Công an phường Mường Thanh  tỉnh Điện Biên")</f>
      </c>
      <c r="C3446" t="str">
        <v>https://www.facebook.com/clbmediatruongthpttp/</v>
      </c>
      <c r="D3446" t="str">
        <v>-</v>
      </c>
      <c r="E3446" t="str">
        <v/>
      </c>
      <c r="F3446" t="str">
        <v>-</v>
      </c>
      <c r="G3446" t="str">
        <v>-</v>
      </c>
    </row>
    <row r="3447">
      <c r="A3447">
        <v>3446</v>
      </c>
      <c r="B3447">
        <f>HYPERLINK("https://stttt.dienbien.gov.vn/vi/about/danh-sach-nguoi-phat-ngon-tinh-dien-bien-nam-2018.html", "UBND Ủy ban nhân dân phường Mường Thanh  tỉnh Điện Biên")</f>
      </c>
      <c r="C3447" t="str">
        <v>https://stttt.dienbien.gov.vn/vi/about/danh-sach-nguoi-phat-ngon-tinh-dien-bien-nam-2018.html</v>
      </c>
      <c r="D3447" t="str">
        <v>-</v>
      </c>
      <c r="E3447" t="str">
        <v>-</v>
      </c>
      <c r="F3447" t="str">
        <v>-</v>
      </c>
      <c r="G3447" t="str">
        <v>-</v>
      </c>
    </row>
    <row r="3448">
      <c r="A3448">
        <v>3447</v>
      </c>
      <c r="B3448">
        <f>HYPERLINK("https://www.facebook.com/conganphuongnamthanh/", "Công an phường Nam Thanh  tỉnh Điện Biên")</f>
      </c>
      <c r="C3448" t="str">
        <v>https://www.facebook.com/conganphuongnamthanh/</v>
      </c>
      <c r="D3448" t="str">
        <v>-</v>
      </c>
      <c r="E3448" t="str">
        <v/>
      </c>
      <c r="F3448" t="str">
        <v>-</v>
      </c>
      <c r="G3448" t="str">
        <v>-</v>
      </c>
    </row>
    <row r="3449">
      <c r="A3449">
        <v>3448</v>
      </c>
      <c r="B3449">
        <f>HYPERLINK("https://stttt.dienbien.gov.vn/vi/about/danh-sach-nguoi-phat-ngon-tinh-dien-bien-nam-2018.html", "UBND Ủy ban nhân dân phường Nam Thanh  tỉnh Điện Biên")</f>
      </c>
      <c r="C3449" t="str">
        <v>https://stttt.dienbien.gov.vn/vi/about/danh-sach-nguoi-phat-ngon-tinh-dien-bien-nam-2018.html</v>
      </c>
      <c r="D3449" t="str">
        <v>-</v>
      </c>
      <c r="E3449" t="str">
        <v>-</v>
      </c>
      <c r="F3449" t="str">
        <v>-</v>
      </c>
      <c r="G3449" t="str">
        <v>-</v>
      </c>
    </row>
    <row r="3450">
      <c r="A3450">
        <v>3449</v>
      </c>
      <c r="B3450" t="str">
        <v>Công an phường Thanh Trường  tỉnh Điện Biên</v>
      </c>
      <c r="C3450" t="str">
        <v>-</v>
      </c>
      <c r="D3450" t="str">
        <v>-</v>
      </c>
      <c r="E3450" t="str">
        <v/>
      </c>
      <c r="F3450" t="str">
        <v>-</v>
      </c>
      <c r="G3450" t="str">
        <v>-</v>
      </c>
    </row>
    <row r="3451">
      <c r="A3451">
        <v>3450</v>
      </c>
      <c r="B3451">
        <f>HYPERLINK("https://stttt.dienbien.gov.vn/vi/about/danh-sach-nguoi-phat-ngon-tinh-dien-bien-nam-2018.html", "UBND Ủy ban nhân dân phường Thanh Trường  tỉnh Điện Biên")</f>
      </c>
      <c r="C3451" t="str">
        <v>https://stttt.dienbien.gov.vn/vi/about/danh-sach-nguoi-phat-ngon-tinh-dien-bien-nam-2018.html</v>
      </c>
      <c r="D3451" t="str">
        <v>-</v>
      </c>
      <c r="E3451" t="str">
        <v>-</v>
      </c>
      <c r="F3451" t="str">
        <v>-</v>
      </c>
      <c r="G3451" t="str">
        <v>-</v>
      </c>
    </row>
    <row r="3452">
      <c r="A3452">
        <v>3451</v>
      </c>
      <c r="B3452" t="str">
        <v>Công an xã Tà Lèng  tỉnh Điện Biên</v>
      </c>
      <c r="C3452" t="str">
        <v>-</v>
      </c>
      <c r="D3452" t="str">
        <v>-</v>
      </c>
      <c r="E3452" t="str">
        <v/>
      </c>
      <c r="F3452" t="str">
        <v>-</v>
      </c>
      <c r="G3452" t="str">
        <v>-</v>
      </c>
    </row>
    <row r="3453">
      <c r="A3453">
        <v>3452</v>
      </c>
      <c r="B3453">
        <f>HYPERLINK("https://stttt.dienbien.gov.vn/vi/about/danh-sach-nguoi-phat-ngon-tinh-dien-bien-nam-2018.html", "UBND Ủy ban nhân dân xã Tà Lèng  tỉnh Điện Biên")</f>
      </c>
      <c r="C3453" t="str">
        <v>https://stttt.dienbien.gov.vn/vi/about/danh-sach-nguoi-phat-ngon-tinh-dien-bien-nam-2018.html</v>
      </c>
      <c r="D3453" t="str">
        <v>-</v>
      </c>
      <c r="E3453" t="str">
        <v>-</v>
      </c>
      <c r="F3453" t="str">
        <v>-</v>
      </c>
      <c r="G3453" t="str">
        <v>-</v>
      </c>
    </row>
    <row r="3454">
      <c r="A3454">
        <v>3453</v>
      </c>
      <c r="B3454">
        <f>HYPERLINK("https://www.facebook.com/100082214295559", "Công an xã Thanh Minh  tỉnh Điện Biên")</f>
      </c>
      <c r="C3454" t="str">
        <v>https://www.facebook.com/100082214295559</v>
      </c>
      <c r="D3454" t="str">
        <v>-</v>
      </c>
      <c r="E3454" t="str">
        <v>876983983</v>
      </c>
      <c r="F3454" t="str">
        <v>-</v>
      </c>
      <c r="G3454" t="str">
        <v>Bản Kê Nênh, Xã Thanh Minh, Dien Bien Phu, Vietnam</v>
      </c>
    </row>
    <row r="3455">
      <c r="A3455">
        <v>3454</v>
      </c>
      <c r="B3455">
        <f>HYPERLINK("https://daibieunhandan.dienbien.gov.vn/Article/3472/TP-Dien-Bien-Phu-Cong-bo-Nghi-quyet-cua-UBTVQH-va-Ra-mat-xa-Thanh-Minh.html", "UBND Ủy ban nhân dân xã Thanh Minh  tỉnh Điện Biên")</f>
      </c>
      <c r="C3455" t="str">
        <v>https://daibieunhandan.dienbien.gov.vn/Article/3472/TP-Dien-Bien-Phu-Cong-bo-Nghi-quyet-cua-UBTVQH-va-Ra-mat-xa-Thanh-Minh.html</v>
      </c>
      <c r="D3455" t="str">
        <v>-</v>
      </c>
      <c r="E3455" t="str">
        <v>-</v>
      </c>
      <c r="F3455" t="str">
        <v>-</v>
      </c>
      <c r="G3455" t="str">
        <v>-</v>
      </c>
    </row>
    <row r="3456">
      <c r="A3456">
        <v>3455</v>
      </c>
      <c r="B3456" t="str">
        <v>Công an phường Sông Đà  tỉnh Điện Biên</v>
      </c>
      <c r="C3456" t="str">
        <v>-</v>
      </c>
      <c r="D3456" t="str">
        <v>-</v>
      </c>
      <c r="E3456" t="str">
        <v/>
      </c>
      <c r="F3456" t="str">
        <v>-</v>
      </c>
      <c r="G3456" t="str">
        <v>-</v>
      </c>
    </row>
    <row r="3457">
      <c r="A3457">
        <v>3456</v>
      </c>
      <c r="B3457">
        <f>HYPERLINK("https://stttt.dienbien.gov.vn/vi/about/danh-sach-nguoi-phat-ngon-tinh-dien-bien-nam-2018.html", "UBND Ủy ban nhân dân phường Sông Đà  tỉnh Điện Biên")</f>
      </c>
      <c r="C3457" t="str">
        <v>https://stttt.dienbien.gov.vn/vi/about/danh-sach-nguoi-phat-ngon-tinh-dien-bien-nam-2018.html</v>
      </c>
      <c r="D3457" t="str">
        <v>-</v>
      </c>
      <c r="E3457" t="str">
        <v>-</v>
      </c>
      <c r="F3457" t="str">
        <v>-</v>
      </c>
      <c r="G3457" t="str">
        <v>-</v>
      </c>
    </row>
    <row r="3458">
      <c r="A3458">
        <v>3457</v>
      </c>
      <c r="B3458" t="str">
        <v>Công an phường Na Lay  tỉnh Điện Biên</v>
      </c>
      <c r="C3458" t="str">
        <v>-</v>
      </c>
      <c r="D3458" t="str">
        <v>-</v>
      </c>
      <c r="E3458" t="str">
        <v/>
      </c>
      <c r="F3458" t="str">
        <v>-</v>
      </c>
      <c r="G3458" t="str">
        <v>-</v>
      </c>
    </row>
    <row r="3459">
      <c r="A3459">
        <v>3458</v>
      </c>
      <c r="B3459">
        <f>HYPERLINK("https://stttt.dienbien.gov.vn/vi/about/danh-sach-nguoi-phat-ngon-tinh-dien-bien-nam-2018.html", "UBND Ủy ban nhân dân phường Na Lay  tỉnh Điện Biên")</f>
      </c>
      <c r="C3459" t="str">
        <v>https://stttt.dienbien.gov.vn/vi/about/danh-sach-nguoi-phat-ngon-tinh-dien-bien-nam-2018.html</v>
      </c>
      <c r="D3459" t="str">
        <v>-</v>
      </c>
      <c r="E3459" t="str">
        <v>-</v>
      </c>
      <c r="F3459" t="str">
        <v>-</v>
      </c>
      <c r="G3459" t="str">
        <v>-</v>
      </c>
    </row>
    <row r="3460">
      <c r="A3460">
        <v>3459</v>
      </c>
      <c r="B3460" t="str">
        <v>Công an xã Lay Nưa  tỉnh Điện Biên</v>
      </c>
      <c r="C3460" t="str">
        <v>-</v>
      </c>
      <c r="D3460" t="str">
        <v>-</v>
      </c>
      <c r="E3460" t="str">
        <v/>
      </c>
      <c r="F3460" t="str">
        <v>-</v>
      </c>
      <c r="G3460" t="str">
        <v>-</v>
      </c>
    </row>
    <row r="3461">
      <c r="A3461">
        <v>3460</v>
      </c>
      <c r="B3461">
        <f>HYPERLINK("https://stttt.dienbien.gov.vn/vi/about/danh-sach-nguoi-phat-ngon-tinh-dien-bien-nam-2018.html", "UBND Ủy ban nhân dân xã Lay Nưa  tỉnh Điện Biên")</f>
      </c>
      <c r="C3461" t="str">
        <v>https://stttt.dienbien.gov.vn/vi/about/danh-sach-nguoi-phat-ngon-tinh-dien-bien-nam-2018.html</v>
      </c>
      <c r="D3461" t="str">
        <v>-</v>
      </c>
      <c r="E3461" t="str">
        <v>-</v>
      </c>
      <c r="F3461" t="str">
        <v>-</v>
      </c>
      <c r="G3461" t="str">
        <v>-</v>
      </c>
    </row>
    <row r="3462">
      <c r="A3462">
        <v>3461</v>
      </c>
      <c r="B3462" t="str">
        <v>Công an xã Sín Thầu  tỉnh Điện Biên</v>
      </c>
      <c r="C3462" t="str">
        <v>-</v>
      </c>
      <c r="D3462" t="str">
        <v>-</v>
      </c>
      <c r="E3462" t="str">
        <v/>
      </c>
      <c r="F3462" t="str">
        <v>-</v>
      </c>
      <c r="G3462" t="str">
        <v>-</v>
      </c>
    </row>
    <row r="3463">
      <c r="A3463">
        <v>3462</v>
      </c>
      <c r="B3463">
        <f>HYPERLINK("https://stttt.dienbien.gov.vn/vi/about/danh-sach-nguoi-phat-ngon-tinh-dien-bien-nam-2018.html", "UBND Ủy ban nhân dân xã Sín Thầu  tỉnh Điện Biên")</f>
      </c>
      <c r="C3463" t="str">
        <v>https://stttt.dienbien.gov.vn/vi/about/danh-sach-nguoi-phat-ngon-tinh-dien-bien-nam-2018.html</v>
      </c>
      <c r="D3463" t="str">
        <v>-</v>
      </c>
      <c r="E3463" t="str">
        <v>-</v>
      </c>
      <c r="F3463" t="str">
        <v>-</v>
      </c>
      <c r="G3463" t="str">
        <v>-</v>
      </c>
    </row>
    <row r="3464">
      <c r="A3464">
        <v>3463</v>
      </c>
      <c r="B3464" t="str">
        <v>Công an xã Sen Thượng  tỉnh Điện Biên</v>
      </c>
      <c r="C3464" t="str">
        <v>-</v>
      </c>
      <c r="D3464" t="str">
        <v>-</v>
      </c>
      <c r="E3464" t="str">
        <v/>
      </c>
      <c r="F3464" t="str">
        <v>-</v>
      </c>
      <c r="G3464" t="str">
        <v>-</v>
      </c>
    </row>
    <row r="3465">
      <c r="A3465">
        <v>3464</v>
      </c>
      <c r="B3465">
        <f>HYPERLINK("https://stttt.dienbien.gov.vn/vi/about/danh-sach-nguoi-phat-ngon-tinh-dien-bien-nam-2018.html", "UBND Ủy ban nhân dân xã Sen Thượng  tỉnh Điện Biên")</f>
      </c>
      <c r="C3465" t="str">
        <v>https://stttt.dienbien.gov.vn/vi/about/danh-sach-nguoi-phat-ngon-tinh-dien-bien-nam-2018.html</v>
      </c>
      <c r="D3465" t="str">
        <v>-</v>
      </c>
      <c r="E3465" t="str">
        <v>-</v>
      </c>
      <c r="F3465" t="str">
        <v>-</v>
      </c>
      <c r="G3465" t="str">
        <v>-</v>
      </c>
    </row>
    <row r="3466">
      <c r="A3466">
        <v>3465</v>
      </c>
      <c r="B3466" t="str">
        <v>Công an xã Chung Chải  tỉnh Điện Biên</v>
      </c>
      <c r="C3466" t="str">
        <v>-</v>
      </c>
      <c r="D3466" t="str">
        <v>-</v>
      </c>
      <c r="E3466" t="str">
        <v/>
      </c>
      <c r="F3466" t="str">
        <v>-</v>
      </c>
      <c r="G3466" t="str">
        <v>-</v>
      </c>
    </row>
    <row r="3467">
      <c r="A3467">
        <v>3466</v>
      </c>
      <c r="B3467">
        <f>HYPERLINK("https://muongnhe.dienbien.gov.vn/", "UBND Ủy ban nhân dân xã Chung Chải  tỉnh Điện Biên")</f>
      </c>
      <c r="C3467" t="str">
        <v>https://muongnhe.dienbien.gov.vn/</v>
      </c>
      <c r="D3467" t="str">
        <v>-</v>
      </c>
      <c r="E3467" t="str">
        <v>-</v>
      </c>
      <c r="F3467" t="str">
        <v>-</v>
      </c>
      <c r="G3467" t="str">
        <v>-</v>
      </c>
    </row>
    <row r="3468">
      <c r="A3468">
        <v>3467</v>
      </c>
      <c r="B3468" t="str">
        <v>Công an xã Leng Su Sìn  tỉnh Điện Biên</v>
      </c>
      <c r="C3468" t="str">
        <v>-</v>
      </c>
      <c r="D3468" t="str">
        <v>-</v>
      </c>
      <c r="E3468" t="str">
        <v/>
      </c>
      <c r="F3468" t="str">
        <v>-</v>
      </c>
      <c r="G3468" t="str">
        <v>-</v>
      </c>
    </row>
    <row r="3469">
      <c r="A3469">
        <v>3468</v>
      </c>
      <c r="B3469">
        <f>HYPERLINK("https://stttt.dienbien.gov.vn/vi/about/danh-sach-nguoi-phat-ngon-tinh-dien-bien-nam-2018.html", "UBND Ủy ban nhân dân xã Leng Su Sìn  tỉnh Điện Biên")</f>
      </c>
      <c r="C3469" t="str">
        <v>https://stttt.dienbien.gov.vn/vi/about/danh-sach-nguoi-phat-ngon-tinh-dien-bien-nam-2018.html</v>
      </c>
      <c r="D3469" t="str">
        <v>-</v>
      </c>
      <c r="E3469" t="str">
        <v>-</v>
      </c>
      <c r="F3469" t="str">
        <v>-</v>
      </c>
      <c r="G3469" t="str">
        <v>-</v>
      </c>
    </row>
    <row r="3470">
      <c r="A3470">
        <v>3469</v>
      </c>
      <c r="B3470" t="str">
        <v>Công an xã Pá Mỳ  tỉnh Điện Biên</v>
      </c>
      <c r="C3470" t="str">
        <v>-</v>
      </c>
      <c r="D3470" t="str">
        <v>-</v>
      </c>
      <c r="E3470" t="str">
        <v/>
      </c>
      <c r="F3470" t="str">
        <v>-</v>
      </c>
      <c r="G3470" t="str">
        <v>-</v>
      </c>
    </row>
    <row r="3471">
      <c r="A3471">
        <v>3470</v>
      </c>
      <c r="B3471">
        <f>HYPERLINK("https://stttt.dienbien.gov.vn/vi/about/danh-sach-nguoi-phat-ngon-tinh-dien-bien-nam-2018.html", "UBND Ủy ban nhân dân xã Pá Mỳ  tỉnh Điện Biên")</f>
      </c>
      <c r="C3471" t="str">
        <v>https://stttt.dienbien.gov.vn/vi/about/danh-sach-nguoi-phat-ngon-tinh-dien-bien-nam-2018.html</v>
      </c>
      <c r="D3471" t="str">
        <v>-</v>
      </c>
      <c r="E3471" t="str">
        <v>-</v>
      </c>
      <c r="F3471" t="str">
        <v>-</v>
      </c>
      <c r="G3471" t="str">
        <v>-</v>
      </c>
    </row>
    <row r="3472">
      <c r="A3472">
        <v>3471</v>
      </c>
      <c r="B3472">
        <f>HYPERLINK("https://www.facebook.com/muongnhe.ca/?locale=vi_VN", "Công an xã Mường Nhé  tỉnh Điện Biên")</f>
      </c>
      <c r="C3472" t="str">
        <v>https://www.facebook.com/muongnhe.ca/?locale=vi_VN</v>
      </c>
      <c r="D3472" t="str">
        <v>-</v>
      </c>
      <c r="E3472" t="str">
        <v/>
      </c>
      <c r="F3472" t="str">
        <v>-</v>
      </c>
      <c r="G3472" t="str">
        <v>-</v>
      </c>
    </row>
    <row r="3473">
      <c r="A3473">
        <v>3472</v>
      </c>
      <c r="B3473">
        <f>HYPERLINK("https://muongnhe.dienbien.gov.vn/", "UBND Ủy ban nhân dân xã Mường Nhé  tỉnh Điện Biên")</f>
      </c>
      <c r="C3473" t="str">
        <v>https://muongnhe.dienbien.gov.vn/</v>
      </c>
      <c r="D3473" t="str">
        <v>-</v>
      </c>
      <c r="E3473" t="str">
        <v>-</v>
      </c>
      <c r="F3473" t="str">
        <v>-</v>
      </c>
      <c r="G3473" t="str">
        <v>-</v>
      </c>
    </row>
    <row r="3474">
      <c r="A3474">
        <v>3473</v>
      </c>
      <c r="B3474" t="str">
        <v>Công an xã Nậm Vì  tỉnh Điện Biên</v>
      </c>
      <c r="C3474" t="str">
        <v>-</v>
      </c>
      <c r="D3474" t="str">
        <v>-</v>
      </c>
      <c r="E3474" t="str">
        <v/>
      </c>
      <c r="F3474" t="str">
        <v>-</v>
      </c>
      <c r="G3474" t="str">
        <v>-</v>
      </c>
    </row>
    <row r="3475">
      <c r="A3475">
        <v>3474</v>
      </c>
      <c r="B3475">
        <f>HYPERLINK("https://stttt.dienbien.gov.vn/vi/about/danh-sach-nguoi-phat-ngon-tinh-dien-bien-nam-2018.html", "UBND Ủy ban nhân dân xã Nậm Vì  tỉnh Điện Biên")</f>
      </c>
      <c r="C3475" t="str">
        <v>https://stttt.dienbien.gov.vn/vi/about/danh-sach-nguoi-phat-ngon-tinh-dien-bien-nam-2018.html</v>
      </c>
      <c r="D3475" t="str">
        <v>-</v>
      </c>
      <c r="E3475" t="str">
        <v>-</v>
      </c>
      <c r="F3475" t="str">
        <v>-</v>
      </c>
      <c r="G3475" t="str">
        <v>-</v>
      </c>
    </row>
    <row r="3476">
      <c r="A3476">
        <v>3475</v>
      </c>
      <c r="B3476" t="str">
        <v>Công an xã Nậm Kè  tỉnh Điện Biên</v>
      </c>
      <c r="C3476" t="str">
        <v>-</v>
      </c>
      <c r="D3476" t="str">
        <v>-</v>
      </c>
      <c r="E3476" t="str">
        <v/>
      </c>
      <c r="F3476" t="str">
        <v>-</v>
      </c>
      <c r="G3476" t="str">
        <v>-</v>
      </c>
    </row>
    <row r="3477">
      <c r="A3477">
        <v>3476</v>
      </c>
      <c r="B3477">
        <f>HYPERLINK("https://stttt.dienbien.gov.vn/vi/about/danh-sach-nguoi-phat-ngon-tinh-dien-bien-nam-2018.html", "UBND Ủy ban nhân dân xã Nậm Kè  tỉnh Điện Biên")</f>
      </c>
      <c r="C3477" t="str">
        <v>https://stttt.dienbien.gov.vn/vi/about/danh-sach-nguoi-phat-ngon-tinh-dien-bien-nam-2018.html</v>
      </c>
      <c r="D3477" t="str">
        <v>-</v>
      </c>
      <c r="E3477" t="str">
        <v>-</v>
      </c>
      <c r="F3477" t="str">
        <v>-</v>
      </c>
      <c r="G3477" t="str">
        <v>-</v>
      </c>
    </row>
    <row r="3478">
      <c r="A3478">
        <v>3477</v>
      </c>
      <c r="B3478" t="str">
        <v>Công an xã Mường Toong  tỉnh Điện Biên</v>
      </c>
      <c r="C3478" t="str">
        <v>-</v>
      </c>
      <c r="D3478" t="str">
        <v>-</v>
      </c>
      <c r="E3478" t="str">
        <v/>
      </c>
      <c r="F3478" t="str">
        <v>-</v>
      </c>
      <c r="G3478" t="str">
        <v>-</v>
      </c>
    </row>
    <row r="3479">
      <c r="A3479">
        <v>3478</v>
      </c>
      <c r="B3479">
        <f>HYPERLINK("https://stttt.dienbien.gov.vn/vi/about/danh-sach-nguoi-phat-ngon-tinh-dien-bien-nam-2018.html", "UBND Ủy ban nhân dân xã Mường Toong  tỉnh Điện Biên")</f>
      </c>
      <c r="C3479" t="str">
        <v>https://stttt.dienbien.gov.vn/vi/about/danh-sach-nguoi-phat-ngon-tinh-dien-bien-nam-2018.html</v>
      </c>
      <c r="D3479" t="str">
        <v>-</v>
      </c>
      <c r="E3479" t="str">
        <v>-</v>
      </c>
      <c r="F3479" t="str">
        <v>-</v>
      </c>
      <c r="G3479" t="str">
        <v>-</v>
      </c>
    </row>
    <row r="3480">
      <c r="A3480">
        <v>3479</v>
      </c>
      <c r="B3480" t="str">
        <v>Công an xã Quảng Lâm  tỉnh Điện Biên</v>
      </c>
      <c r="C3480" t="str">
        <v>-</v>
      </c>
      <c r="D3480" t="str">
        <v>-</v>
      </c>
      <c r="E3480" t="str">
        <v/>
      </c>
      <c r="F3480" t="str">
        <v>-</v>
      </c>
      <c r="G3480" t="str">
        <v>-</v>
      </c>
    </row>
    <row r="3481">
      <c r="A3481">
        <v>3480</v>
      </c>
      <c r="B3481">
        <f>HYPERLINK("https://stttt.dienbien.gov.vn/vi/about/danh-sach-nguoi-phat-ngon-tinh-dien-bien-nam-2018.html", "UBND Ủy ban nhân dân xã Quảng Lâm  tỉnh Điện Biên")</f>
      </c>
      <c r="C3481" t="str">
        <v>https://stttt.dienbien.gov.vn/vi/about/danh-sach-nguoi-phat-ngon-tinh-dien-bien-nam-2018.html</v>
      </c>
      <c r="D3481" t="str">
        <v>-</v>
      </c>
      <c r="E3481" t="str">
        <v>-</v>
      </c>
      <c r="F3481" t="str">
        <v>-</v>
      </c>
      <c r="G3481" t="str">
        <v>-</v>
      </c>
    </row>
    <row r="3482">
      <c r="A3482">
        <v>3481</v>
      </c>
      <c r="B3482" t="str">
        <v>Công an xã Huổi Lếnh  tỉnh Điện Biên</v>
      </c>
      <c r="C3482" t="str">
        <v>-</v>
      </c>
      <c r="D3482" t="str">
        <v>-</v>
      </c>
      <c r="E3482" t="str">
        <v/>
      </c>
      <c r="F3482" t="str">
        <v>-</v>
      </c>
      <c r="G3482" t="str">
        <v>-</v>
      </c>
    </row>
    <row r="3483">
      <c r="A3483">
        <v>3482</v>
      </c>
      <c r="B3483">
        <f>HYPERLINK("https://muongnhe.dienbien.gov.vn/", "UBND Ủy ban nhân dân xã Huổi Lếnh  tỉnh Điện Biên")</f>
      </c>
      <c r="C3483" t="str">
        <v>https://muongnhe.dienbien.gov.vn/</v>
      </c>
      <c r="D3483" t="str">
        <v>-</v>
      </c>
      <c r="E3483" t="str">
        <v>-</v>
      </c>
      <c r="F3483" t="str">
        <v>-</v>
      </c>
      <c r="G3483" t="str">
        <v>-</v>
      </c>
    </row>
    <row r="3484">
      <c r="A3484">
        <v>3483</v>
      </c>
      <c r="B3484">
        <f>HYPERLINK("https://www.facebook.com/TuoiTreCongAnDienBien/", "Công an thị trấn Mường Chà  tỉnh Điện Biên")</f>
      </c>
      <c r="C3484" t="str">
        <v>https://www.facebook.com/TuoiTreCongAnDienBien/</v>
      </c>
      <c r="D3484" t="str">
        <v>-</v>
      </c>
      <c r="E3484" t="str">
        <v/>
      </c>
      <c r="F3484" t="str">
        <v>-</v>
      </c>
      <c r="G3484" t="str">
        <v>-</v>
      </c>
    </row>
    <row r="3485">
      <c r="A3485">
        <v>3484</v>
      </c>
      <c r="B3485">
        <f>HYPERLINK("https://stttt.dienbien.gov.vn/vi/about/danh-sach-nguoi-phat-ngon-tinh-dien-bien-nam-2018.html", "UBND Ủy ban nhân dân thị trấn Mường Chà  tỉnh Điện Biên")</f>
      </c>
      <c r="C3485" t="str">
        <v>https://stttt.dienbien.gov.vn/vi/about/danh-sach-nguoi-phat-ngon-tinh-dien-bien-nam-2018.html</v>
      </c>
      <c r="D3485" t="str">
        <v>-</v>
      </c>
      <c r="E3485" t="str">
        <v>-</v>
      </c>
      <c r="F3485" t="str">
        <v>-</v>
      </c>
      <c r="G3485" t="str">
        <v>-</v>
      </c>
    </row>
    <row r="3486">
      <c r="A3486">
        <v>3485</v>
      </c>
      <c r="B3486" t="str">
        <v>Công an xã Xá Tổng  tỉnh Điện Biên</v>
      </c>
      <c r="C3486" t="str">
        <v>-</v>
      </c>
      <c r="D3486" t="str">
        <v>-</v>
      </c>
      <c r="E3486" t="str">
        <v/>
      </c>
      <c r="F3486" t="str">
        <v>-</v>
      </c>
      <c r="G3486" t="str">
        <v>-</v>
      </c>
    </row>
    <row r="3487">
      <c r="A3487">
        <v>3486</v>
      </c>
      <c r="B3487">
        <f>HYPERLINK("https://stttt.dienbien.gov.vn/vi/about/danh-sach-nguoi-phat-ngon-tinh-dien-bien-nam-2018.html", "UBND Ủy ban nhân dân xã Xá Tổng  tỉnh Điện Biên")</f>
      </c>
      <c r="C3487" t="str">
        <v>https://stttt.dienbien.gov.vn/vi/about/danh-sach-nguoi-phat-ngon-tinh-dien-bien-nam-2018.html</v>
      </c>
      <c r="D3487" t="str">
        <v>-</v>
      </c>
      <c r="E3487" t="str">
        <v>-</v>
      </c>
      <c r="F3487" t="str">
        <v>-</v>
      </c>
      <c r="G3487" t="str">
        <v>-</v>
      </c>
    </row>
    <row r="3488">
      <c r="A3488">
        <v>3487</v>
      </c>
      <c r="B3488" t="str">
        <v>Công an xã Mường Tùng  tỉnh Điện Biên</v>
      </c>
      <c r="C3488" t="str">
        <v>-</v>
      </c>
      <c r="D3488" t="str">
        <v>-</v>
      </c>
      <c r="E3488" t="str">
        <v/>
      </c>
      <c r="F3488" t="str">
        <v>-</v>
      </c>
      <c r="G3488" t="str">
        <v>-</v>
      </c>
    </row>
    <row r="3489">
      <c r="A3489">
        <v>3488</v>
      </c>
      <c r="B3489">
        <f>HYPERLINK("https://stttt.dienbien.gov.vn/vi/about/danh-sach-nguoi-phat-ngon-tinh-dien-bien-nam-2018.html", "UBND Ủy ban nhân dân xã Mường Tùng  tỉnh Điện Biên")</f>
      </c>
      <c r="C3489" t="str">
        <v>https://stttt.dienbien.gov.vn/vi/about/danh-sach-nguoi-phat-ngon-tinh-dien-bien-nam-2018.html</v>
      </c>
      <c r="D3489" t="str">
        <v>-</v>
      </c>
      <c r="E3489" t="str">
        <v>-</v>
      </c>
      <c r="F3489" t="str">
        <v>-</v>
      </c>
      <c r="G3489" t="str">
        <v>-</v>
      </c>
    </row>
    <row r="3490">
      <c r="A3490">
        <v>3489</v>
      </c>
      <c r="B3490">
        <f>HYPERLINK("https://www.facebook.com/reel/957748066048031/", "Công an xã Hừa Ngài  tỉnh Điện Biên")</f>
      </c>
      <c r="C3490" t="str">
        <v>https://www.facebook.com/reel/957748066048031/</v>
      </c>
      <c r="D3490" t="str">
        <v>-</v>
      </c>
      <c r="E3490" t="str">
        <v/>
      </c>
      <c r="F3490" t="str">
        <v>-</v>
      </c>
      <c r="G3490" t="str">
        <v>-</v>
      </c>
    </row>
    <row r="3491">
      <c r="A3491">
        <v>3490</v>
      </c>
      <c r="B3491">
        <f>HYPERLINK("https://stttt.dienbien.gov.vn/vi/about/danh-sach-nguoi-phat-ngon-tinh-dien-bien-nam-2018.html", "UBND Ủy ban nhân dân xã Hừa Ngài  tỉnh Điện Biên")</f>
      </c>
      <c r="C3491" t="str">
        <v>https://stttt.dienbien.gov.vn/vi/about/danh-sach-nguoi-phat-ngon-tinh-dien-bien-nam-2018.html</v>
      </c>
      <c r="D3491" t="str">
        <v>-</v>
      </c>
      <c r="E3491" t="str">
        <v>-</v>
      </c>
      <c r="F3491" t="str">
        <v>-</v>
      </c>
      <c r="G3491" t="str">
        <v>-</v>
      </c>
    </row>
    <row r="3492">
      <c r="A3492">
        <v>3491</v>
      </c>
      <c r="B3492" t="str">
        <v>Công an xã Huổi Mí  tỉnh Điện Biên</v>
      </c>
      <c r="C3492" t="str">
        <v>-</v>
      </c>
      <c r="D3492" t="str">
        <v>-</v>
      </c>
      <c r="E3492" t="str">
        <v/>
      </c>
      <c r="F3492" t="str">
        <v>-</v>
      </c>
      <c r="G3492" t="str">
        <v>-</v>
      </c>
    </row>
    <row r="3493">
      <c r="A3493">
        <v>3492</v>
      </c>
      <c r="B3493">
        <f>HYPERLINK("https://stttt.dienbien.gov.vn/vi/about/danh-sach-nguoi-phat-ngon-tinh-dien-bien-nam-2018.html", "UBND Ủy ban nhân dân xã Huổi Mí  tỉnh Điện Biên")</f>
      </c>
      <c r="C3493" t="str">
        <v>https://stttt.dienbien.gov.vn/vi/about/danh-sach-nguoi-phat-ngon-tinh-dien-bien-nam-2018.html</v>
      </c>
      <c r="D3493" t="str">
        <v>-</v>
      </c>
      <c r="E3493" t="str">
        <v>-</v>
      </c>
      <c r="F3493" t="str">
        <v>-</v>
      </c>
      <c r="G3493" t="str">
        <v>-</v>
      </c>
    </row>
    <row r="3494">
      <c r="A3494">
        <v>3493</v>
      </c>
      <c r="B3494" t="str">
        <v>Công an xã Pa Ham  tỉnh Điện Biên</v>
      </c>
      <c r="C3494" t="str">
        <v>-</v>
      </c>
      <c r="D3494" t="str">
        <v>-</v>
      </c>
      <c r="E3494" t="str">
        <v/>
      </c>
      <c r="F3494" t="str">
        <v>-</v>
      </c>
      <c r="G3494" t="str">
        <v>-</v>
      </c>
    </row>
    <row r="3495">
      <c r="A3495">
        <v>3494</v>
      </c>
      <c r="B3495">
        <f>HYPERLINK("https://stttt.dienbien.gov.vn/vi/about/danh-sach-nguoi-phat-ngon-tinh-dien-bien-nam-2018.html", "UBND Ủy ban nhân dân xã Pa Ham  tỉnh Điện Biên")</f>
      </c>
      <c r="C3495" t="str">
        <v>https://stttt.dienbien.gov.vn/vi/about/danh-sach-nguoi-phat-ngon-tinh-dien-bien-nam-2018.html</v>
      </c>
      <c r="D3495" t="str">
        <v>-</v>
      </c>
      <c r="E3495" t="str">
        <v>-</v>
      </c>
      <c r="F3495" t="str">
        <v>-</v>
      </c>
      <c r="G3495" t="str">
        <v>-</v>
      </c>
    </row>
    <row r="3496">
      <c r="A3496">
        <v>3495</v>
      </c>
      <c r="B3496" t="str">
        <v>Công an xã Nậm Nèn  tỉnh Điện Biên</v>
      </c>
      <c r="C3496" t="str">
        <v>-</v>
      </c>
      <c r="D3496" t="str">
        <v>-</v>
      </c>
      <c r="E3496" t="str">
        <v/>
      </c>
      <c r="F3496" t="str">
        <v>-</v>
      </c>
      <c r="G3496" t="str">
        <v>-</v>
      </c>
    </row>
    <row r="3497">
      <c r="A3497">
        <v>3496</v>
      </c>
      <c r="B3497">
        <f>HYPERLINK("https://stttt.dienbien.gov.vn/vi/about/danh-sach-nguoi-phat-ngon-tinh-dien-bien-nam-2018.html", "UBND Ủy ban nhân dân xã Nậm Nèn  tỉnh Điện Biên")</f>
      </c>
      <c r="C3497" t="str">
        <v>https://stttt.dienbien.gov.vn/vi/about/danh-sach-nguoi-phat-ngon-tinh-dien-bien-nam-2018.html</v>
      </c>
      <c r="D3497" t="str">
        <v>-</v>
      </c>
      <c r="E3497" t="str">
        <v>-</v>
      </c>
      <c r="F3497" t="str">
        <v>-</v>
      </c>
      <c r="G3497" t="str">
        <v>-</v>
      </c>
    </row>
    <row r="3498">
      <c r="A3498">
        <v>3497</v>
      </c>
      <c r="B3498" t="str">
        <v>Công an xã Huổi Lèng  tỉnh Điện Biên</v>
      </c>
      <c r="C3498" t="str">
        <v>-</v>
      </c>
      <c r="D3498" t="str">
        <v>-</v>
      </c>
      <c r="E3498" t="str">
        <v/>
      </c>
      <c r="F3498" t="str">
        <v>-</v>
      </c>
      <c r="G3498" t="str">
        <v>-</v>
      </c>
    </row>
    <row r="3499">
      <c r="A3499">
        <v>3498</v>
      </c>
      <c r="B3499">
        <f>HYPERLINK("https://stttt.dienbien.gov.vn/vi/about/danh-sach-nguoi-phat-ngon-tinh-dien-bien-nam-2018.html", "UBND Ủy ban nhân dân xã Huổi Lèng  tỉnh Điện Biên")</f>
      </c>
      <c r="C3499" t="str">
        <v>https://stttt.dienbien.gov.vn/vi/about/danh-sach-nguoi-phat-ngon-tinh-dien-bien-nam-2018.html</v>
      </c>
      <c r="D3499" t="str">
        <v>-</v>
      </c>
      <c r="E3499" t="str">
        <v>-</v>
      </c>
      <c r="F3499" t="str">
        <v>-</v>
      </c>
      <c r="G3499" t="str">
        <v>-</v>
      </c>
    </row>
    <row r="3500">
      <c r="A3500">
        <v>3499</v>
      </c>
      <c r="B3500">
        <f>HYPERLINK("https://www.facebook.com/TuoiTreCongAnDienBien/", "Công an xã Sa Lông  tỉnh Điện Biên")</f>
      </c>
      <c r="C3500" t="str">
        <v>https://www.facebook.com/TuoiTreCongAnDienBien/</v>
      </c>
      <c r="D3500" t="str">
        <v>-</v>
      </c>
      <c r="E3500" t="str">
        <v/>
      </c>
      <c r="F3500" t="str">
        <v>-</v>
      </c>
      <c r="G3500" t="str">
        <v>-</v>
      </c>
    </row>
    <row r="3501">
      <c r="A3501">
        <v>3500</v>
      </c>
      <c r="B3501">
        <f>HYPERLINK("https://stttt.dienbien.gov.vn/vi/about/danh-sach-nguoi-phat-ngon-tinh-dien-bien-nam-2018.html", "UBND Ủy ban nhân dân xã Sa Lông  tỉnh Điện Biên")</f>
      </c>
      <c r="C3501" t="str">
        <v>https://stttt.dienbien.gov.vn/vi/about/danh-sach-nguoi-phat-ngon-tinh-dien-bien-nam-2018.html</v>
      </c>
      <c r="D3501" t="str">
        <v>-</v>
      </c>
      <c r="E3501" t="str">
        <v>-</v>
      </c>
      <c r="F3501" t="str">
        <v>-</v>
      </c>
      <c r="G3501" t="str">
        <v>-</v>
      </c>
    </row>
    <row r="3502">
      <c r="A3502">
        <v>3501</v>
      </c>
      <c r="B3502" t="str">
        <v>Công an xã Ma Thì Hồ  tỉnh Điện Biên</v>
      </c>
      <c r="C3502" t="str">
        <v>-</v>
      </c>
      <c r="D3502" t="str">
        <v>-</v>
      </c>
      <c r="E3502" t="str">
        <v/>
      </c>
      <c r="F3502" t="str">
        <v>-</v>
      </c>
      <c r="G3502" t="str">
        <v>-</v>
      </c>
    </row>
    <row r="3503">
      <c r="A3503">
        <v>3502</v>
      </c>
      <c r="B3503">
        <f>HYPERLINK("https://stttt.dienbien.gov.vn/vi/about/danh-sach-nguoi-phat-ngon-tinh-dien-bien-nam-2018.html", "UBND Ủy ban nhân dân xã Ma Thì Hồ  tỉnh Điện Biên")</f>
      </c>
      <c r="C3503" t="str">
        <v>https://stttt.dienbien.gov.vn/vi/about/danh-sach-nguoi-phat-ngon-tinh-dien-bien-nam-2018.html</v>
      </c>
      <c r="D3503" t="str">
        <v>-</v>
      </c>
      <c r="E3503" t="str">
        <v>-</v>
      </c>
      <c r="F3503" t="str">
        <v>-</v>
      </c>
      <c r="G3503" t="str">
        <v>-</v>
      </c>
    </row>
    <row r="3504">
      <c r="A3504">
        <v>3503</v>
      </c>
      <c r="B3504">
        <f>HYPERLINK("https://www.facebook.com/TuoiTreCongAnDienBien/", "Công an xã Na Sang  tỉnh Điện Biên")</f>
      </c>
      <c r="C3504" t="str">
        <v>https://www.facebook.com/TuoiTreCongAnDienBien/</v>
      </c>
      <c r="D3504" t="str">
        <v>-</v>
      </c>
      <c r="E3504" t="str">
        <v/>
      </c>
      <c r="F3504" t="str">
        <v>-</v>
      </c>
      <c r="G3504" t="str">
        <v>-</v>
      </c>
    </row>
    <row r="3505">
      <c r="A3505">
        <v>3504</v>
      </c>
      <c r="B3505">
        <f>HYPERLINK("https://stttt.dienbien.gov.vn/vi/about/danh-sach-nguoi-phat-ngon-tinh-dien-bien-nam-2018.html", "UBND Ủy ban nhân dân xã Na Sang  tỉnh Điện Biên")</f>
      </c>
      <c r="C3505" t="str">
        <v>https://stttt.dienbien.gov.vn/vi/about/danh-sach-nguoi-phat-ngon-tinh-dien-bien-nam-2018.html</v>
      </c>
      <c r="D3505" t="str">
        <v>-</v>
      </c>
      <c r="E3505" t="str">
        <v>-</v>
      </c>
      <c r="F3505" t="str">
        <v>-</v>
      </c>
      <c r="G3505" t="str">
        <v>-</v>
      </c>
    </row>
    <row r="3506">
      <c r="A3506">
        <v>3505</v>
      </c>
      <c r="B3506">
        <f>HYPERLINK("https://www.facebook.com/caxamuongmuon/", "Công an xã Mường Mươn  tỉnh Điện Biên")</f>
      </c>
      <c r="C3506" t="str">
        <v>https://www.facebook.com/caxamuongmuon/</v>
      </c>
      <c r="D3506" t="str">
        <v>-</v>
      </c>
      <c r="E3506" t="str">
        <v/>
      </c>
      <c r="F3506" t="str">
        <v>-</v>
      </c>
      <c r="G3506" t="str">
        <v>-</v>
      </c>
    </row>
    <row r="3507">
      <c r="A3507">
        <v>3506</v>
      </c>
      <c r="B3507">
        <f>HYPERLINK("https://stttt.dienbien.gov.vn/vi/about/danh-sach-nguoi-phat-ngon-tinh-dien-bien-nam-2018.html", "UBND Ủy ban nhân dân xã Mường Mươn  tỉnh Điện Biên")</f>
      </c>
      <c r="C3507" t="str">
        <v>https://stttt.dienbien.gov.vn/vi/about/danh-sach-nguoi-phat-ngon-tinh-dien-bien-nam-2018.html</v>
      </c>
      <c r="D3507" t="str">
        <v>-</v>
      </c>
      <c r="E3507" t="str">
        <v>-</v>
      </c>
      <c r="F3507" t="str">
        <v>-</v>
      </c>
      <c r="G3507" t="str">
        <v>-</v>
      </c>
    </row>
    <row r="3508">
      <c r="A3508">
        <v>3507</v>
      </c>
      <c r="B3508">
        <f>HYPERLINK("https://www.facebook.com/ConganhuyenTuaChua/", "Công an thị trấn Tủa Chùa  tỉnh Điện Biên")</f>
      </c>
      <c r="C3508" t="str">
        <v>https://www.facebook.com/ConganhuyenTuaChua/</v>
      </c>
      <c r="D3508" t="str">
        <v>-</v>
      </c>
      <c r="E3508" t="str">
        <v/>
      </c>
      <c r="F3508" t="str">
        <v>-</v>
      </c>
      <c r="G3508" t="str">
        <v>-</v>
      </c>
    </row>
    <row r="3509">
      <c r="A3509">
        <v>3508</v>
      </c>
      <c r="B3509">
        <f>HYPERLINK("https://huyentuachua.dienbien.gov.vn/", "UBND Ủy ban nhân dân thị trấn Tủa Chùa  tỉnh Điện Biên")</f>
      </c>
      <c r="C3509" t="str">
        <v>https://huyentuachua.dienbien.gov.vn/</v>
      </c>
      <c r="D3509" t="str">
        <v>-</v>
      </c>
      <c r="E3509" t="str">
        <v>-</v>
      </c>
      <c r="F3509" t="str">
        <v>-</v>
      </c>
      <c r="G3509" t="str">
        <v>-</v>
      </c>
    </row>
    <row r="3510">
      <c r="A3510">
        <v>3509</v>
      </c>
      <c r="B3510" t="str">
        <v>Công an xã Huổi Só  tỉnh Điện Biên</v>
      </c>
      <c r="C3510" t="str">
        <v>-</v>
      </c>
      <c r="D3510" t="str">
        <v>-</v>
      </c>
      <c r="E3510" t="str">
        <v/>
      </c>
      <c r="F3510" t="str">
        <v>-</v>
      </c>
      <c r="G3510" t="str">
        <v>-</v>
      </c>
    </row>
    <row r="3511">
      <c r="A3511">
        <v>3510</v>
      </c>
      <c r="B3511">
        <f>HYPERLINK("https://stttt.dienbien.gov.vn/vi/about/danh-sach-nguoi-phat-ngon-tinh-dien-bien-nam-2018.html", "UBND Ủy ban nhân dân xã Huổi Só  tỉnh Điện Biên")</f>
      </c>
      <c r="C3511" t="str">
        <v>https://stttt.dienbien.gov.vn/vi/about/danh-sach-nguoi-phat-ngon-tinh-dien-bien-nam-2018.html</v>
      </c>
      <c r="D3511" t="str">
        <v>-</v>
      </c>
      <c r="E3511" t="str">
        <v>-</v>
      </c>
      <c r="F3511" t="str">
        <v>-</v>
      </c>
      <c r="G3511" t="str">
        <v>-</v>
      </c>
    </row>
    <row r="3512">
      <c r="A3512">
        <v>3511</v>
      </c>
      <c r="B3512">
        <f>HYPERLINK("https://www.facebook.com/Benhviendakhoatinhdienbien/", "Công an xã Xín Chải  tỉnh Điện Biên")</f>
      </c>
      <c r="C3512" t="str">
        <v>https://www.facebook.com/Benhviendakhoatinhdienbien/</v>
      </c>
      <c r="D3512" t="str">
        <v>-</v>
      </c>
      <c r="E3512" t="str">
        <v/>
      </c>
      <c r="F3512" t="str">
        <v>-</v>
      </c>
      <c r="G3512" t="str">
        <v>-</v>
      </c>
    </row>
    <row r="3513">
      <c r="A3513">
        <v>3512</v>
      </c>
      <c r="B3513">
        <f>HYPERLINK("https://vixuyen.hagiang.gov.vn/chi-tiet-tin-tuc/-/news/44757/x%C3%A3-x%C3%ADn-ch%E1%BA%A3i.html", "UBND Ủy ban nhân dân xã Xín Chải  tỉnh Điện Biên")</f>
      </c>
      <c r="C3513" t="str">
        <v>https://vixuyen.hagiang.gov.vn/chi-tiet-tin-tuc/-/news/44757/x%C3%A3-x%C3%ADn-ch%E1%BA%A3i.html</v>
      </c>
      <c r="D3513" t="str">
        <v>-</v>
      </c>
      <c r="E3513" t="str">
        <v>-</v>
      </c>
      <c r="F3513" t="str">
        <v>-</v>
      </c>
      <c r="G3513" t="str">
        <v>-</v>
      </c>
    </row>
    <row r="3514">
      <c r="A3514">
        <v>3513</v>
      </c>
      <c r="B3514" t="str">
        <v>Công an xã Tả Sìn Thàng  tỉnh Điện Biên</v>
      </c>
      <c r="C3514" t="str">
        <v>-</v>
      </c>
      <c r="D3514" t="str">
        <v>-</v>
      </c>
      <c r="E3514" t="str">
        <v/>
      </c>
      <c r="F3514" t="str">
        <v>-</v>
      </c>
      <c r="G3514" t="str">
        <v>-</v>
      </c>
    </row>
    <row r="3515">
      <c r="A3515">
        <v>3514</v>
      </c>
      <c r="B3515">
        <f>HYPERLINK("https://stttt.dienbien.gov.vn/vi/about/danh-sach-nguoi-phat-ngon-tinh-dien-bien-nam-2018.html", "UBND Ủy ban nhân dân xã Tả Sìn Thàng  tỉnh Điện Biên")</f>
      </c>
      <c r="C3515" t="str">
        <v>https://stttt.dienbien.gov.vn/vi/about/danh-sach-nguoi-phat-ngon-tinh-dien-bien-nam-2018.html</v>
      </c>
      <c r="D3515" t="str">
        <v>-</v>
      </c>
      <c r="E3515" t="str">
        <v>-</v>
      </c>
      <c r="F3515" t="str">
        <v>-</v>
      </c>
      <c r="G3515" t="str">
        <v>-</v>
      </c>
    </row>
    <row r="3516">
      <c r="A3516">
        <v>3515</v>
      </c>
      <c r="B3516" t="str">
        <v>Công an xã Lao Xả Phình  tỉnh Điện Biên</v>
      </c>
      <c r="C3516" t="str">
        <v>-</v>
      </c>
      <c r="D3516" t="str">
        <v>-</v>
      </c>
      <c r="E3516" t="str">
        <v/>
      </c>
      <c r="F3516" t="str">
        <v>-</v>
      </c>
      <c r="G3516" t="str">
        <v>-</v>
      </c>
    </row>
    <row r="3517">
      <c r="A3517">
        <v>3516</v>
      </c>
      <c r="B3517">
        <f>HYPERLINK("https://stttt.dienbien.gov.vn/vi/about/danh-sach-nguoi-phat-ngon-tinh-dien-bien-nam-2018.html", "UBND Ủy ban nhân dân xã Lao Xả Phình  tỉnh Điện Biên")</f>
      </c>
      <c r="C3517" t="str">
        <v>https://stttt.dienbien.gov.vn/vi/about/danh-sach-nguoi-phat-ngon-tinh-dien-bien-nam-2018.html</v>
      </c>
      <c r="D3517" t="str">
        <v>-</v>
      </c>
      <c r="E3517" t="str">
        <v>-</v>
      </c>
      <c r="F3517" t="str">
        <v>-</v>
      </c>
      <c r="G3517" t="str">
        <v>-</v>
      </c>
    </row>
    <row r="3518">
      <c r="A3518">
        <v>3517</v>
      </c>
      <c r="B3518">
        <f>HYPERLINK("https://www.facebook.com/132318358393646", "Công an xã Tả Phìn  tỉnh Điện Biên")</f>
      </c>
      <c r="C3518" t="str">
        <v>https://www.facebook.com/132318358393646</v>
      </c>
      <c r="D3518" t="str">
        <v>-</v>
      </c>
      <c r="E3518" t="str">
        <v/>
      </c>
      <c r="F3518" t="str">
        <v>-</v>
      </c>
      <c r="G3518" t="str">
        <v>-</v>
      </c>
    </row>
    <row r="3519">
      <c r="A3519">
        <v>3518</v>
      </c>
      <c r="B3519">
        <f>HYPERLINK("https://stttt.dienbien.gov.vn/vi/about/danh-sach-nguoi-phat-ngon-tinh-dien-bien-nam-2018.html", "UBND Ủy ban nhân dân xã Tả Phìn  tỉnh Điện Biên")</f>
      </c>
      <c r="C3519" t="str">
        <v>https://stttt.dienbien.gov.vn/vi/about/danh-sach-nguoi-phat-ngon-tinh-dien-bien-nam-2018.html</v>
      </c>
      <c r="D3519" t="str">
        <v>-</v>
      </c>
      <c r="E3519" t="str">
        <v>-</v>
      </c>
      <c r="F3519" t="str">
        <v>-</v>
      </c>
      <c r="G3519" t="str">
        <v>-</v>
      </c>
    </row>
    <row r="3520">
      <c r="A3520">
        <v>3519</v>
      </c>
      <c r="B3520" t="str">
        <v>Công an xã Tủa Thàng  tỉnh Điện Biên</v>
      </c>
      <c r="C3520" t="str">
        <v>-</v>
      </c>
      <c r="D3520" t="str">
        <v>-</v>
      </c>
      <c r="E3520" t="str">
        <v/>
      </c>
      <c r="F3520" t="str">
        <v>-</v>
      </c>
      <c r="G3520" t="str">
        <v>-</v>
      </c>
    </row>
    <row r="3521">
      <c r="A3521">
        <v>3520</v>
      </c>
      <c r="B3521">
        <f>HYPERLINK("https://stttt.dienbien.gov.vn/vi/about/danh-sach-nguoi-phat-ngon-tinh-dien-bien-nam-2018.html", "UBND Ủy ban nhân dân xã Tủa Thàng  tỉnh Điện Biên")</f>
      </c>
      <c r="C3521" t="str">
        <v>https://stttt.dienbien.gov.vn/vi/about/danh-sach-nguoi-phat-ngon-tinh-dien-bien-nam-2018.html</v>
      </c>
      <c r="D3521" t="str">
        <v>-</v>
      </c>
      <c r="E3521" t="str">
        <v>-</v>
      </c>
      <c r="F3521" t="str">
        <v>-</v>
      </c>
      <c r="G3521" t="str">
        <v>-</v>
      </c>
    </row>
    <row r="3522">
      <c r="A3522">
        <v>3521</v>
      </c>
      <c r="B3522">
        <f>HYPERLINK("https://www.facebook.com/TuoiTreCongAnDienBien/", "Công an xã Trung Thu  tỉnh Điện Biên")</f>
      </c>
      <c r="C3522" t="str">
        <v>https://www.facebook.com/TuoiTreCongAnDienBien/</v>
      </c>
      <c r="D3522" t="str">
        <v>-</v>
      </c>
      <c r="E3522" t="str">
        <v/>
      </c>
      <c r="F3522" t="str">
        <v>-</v>
      </c>
      <c r="G3522" t="str">
        <v>-</v>
      </c>
    </row>
    <row r="3523">
      <c r="A3523">
        <v>3522</v>
      </c>
      <c r="B3523">
        <f>HYPERLINK("https://stttt.dienbien.gov.vn/vi/about/danh-sach-nguoi-phat-ngon-tinh-dien-bien-nam-2018.html", "UBND Ủy ban nhân dân xã Trung Thu  tỉnh Điện Biên")</f>
      </c>
      <c r="C3523" t="str">
        <v>https://stttt.dienbien.gov.vn/vi/about/danh-sach-nguoi-phat-ngon-tinh-dien-bien-nam-2018.html</v>
      </c>
      <c r="D3523" t="str">
        <v>-</v>
      </c>
      <c r="E3523" t="str">
        <v>-</v>
      </c>
      <c r="F3523" t="str">
        <v>-</v>
      </c>
      <c r="G3523" t="str">
        <v>-</v>
      </c>
    </row>
    <row r="3524">
      <c r="A3524">
        <v>3523</v>
      </c>
      <c r="B3524" t="str">
        <v>Công an xã Sính Phình  tỉnh Điện Biên</v>
      </c>
      <c r="C3524" t="str">
        <v>-</v>
      </c>
      <c r="D3524" t="str">
        <v>-</v>
      </c>
      <c r="E3524" t="str">
        <v/>
      </c>
      <c r="F3524" t="str">
        <v>-</v>
      </c>
      <c r="G3524" t="str">
        <v>-</v>
      </c>
    </row>
    <row r="3525">
      <c r="A3525">
        <v>3524</v>
      </c>
      <c r="B3525">
        <f>HYPERLINK("https://huyentuachua.dienbien.gov.vn/", "UBND Ủy ban nhân dân xã Sính Phình  tỉnh Điện Biên")</f>
      </c>
      <c r="C3525" t="str">
        <v>https://huyentuachua.dienbien.gov.vn/</v>
      </c>
      <c r="D3525" t="str">
        <v>-</v>
      </c>
      <c r="E3525" t="str">
        <v>-</v>
      </c>
      <c r="F3525" t="str">
        <v>-</v>
      </c>
      <c r="G3525" t="str">
        <v>-</v>
      </c>
    </row>
    <row r="3526">
      <c r="A3526">
        <v>3525</v>
      </c>
      <c r="B3526">
        <f>HYPERLINK("https://www.facebook.com/tuoitrecongansonla/", "Công an xã Sáng Nhè  tỉnh Điện Biên")</f>
      </c>
      <c r="C3526" t="str">
        <v>https://www.facebook.com/tuoitrecongansonla/</v>
      </c>
      <c r="D3526" t="str">
        <v>-</v>
      </c>
      <c r="E3526" t="str">
        <v/>
      </c>
      <c r="F3526" t="str">
        <v>-</v>
      </c>
      <c r="G3526" t="str">
        <v>-</v>
      </c>
    </row>
    <row r="3527">
      <c r="A3527">
        <v>3526</v>
      </c>
      <c r="B3527">
        <f>HYPERLINK("https://stttt.dienbien.gov.vn/vi/about/danh-sach-nguoi-phat-ngon-tinh-dien-bien-nam-2018.html", "UBND Ủy ban nhân dân xã Sáng Nhè  tỉnh Điện Biên")</f>
      </c>
      <c r="C3527" t="str">
        <v>https://stttt.dienbien.gov.vn/vi/about/danh-sach-nguoi-phat-ngon-tinh-dien-bien-nam-2018.html</v>
      </c>
      <c r="D3527" t="str">
        <v>-</v>
      </c>
      <c r="E3527" t="str">
        <v>-</v>
      </c>
      <c r="F3527" t="str">
        <v>-</v>
      </c>
      <c r="G3527" t="str">
        <v>-</v>
      </c>
    </row>
    <row r="3528">
      <c r="A3528">
        <v>3527</v>
      </c>
      <c r="B3528">
        <f>HYPERLINK("https://www.facebook.com/hanoiam/", "Công an xã Mường Đun  tỉnh Điện Biên")</f>
      </c>
      <c r="C3528" t="str">
        <v>https://www.facebook.com/hanoiam/</v>
      </c>
      <c r="D3528" t="str">
        <v>-</v>
      </c>
      <c r="E3528" t="str">
        <v/>
      </c>
      <c r="F3528" t="str">
        <v>-</v>
      </c>
      <c r="G3528" t="str">
        <v>-</v>
      </c>
    </row>
    <row r="3529">
      <c r="A3529">
        <v>3528</v>
      </c>
      <c r="B3529">
        <f>HYPERLINK("https://thongkedienbien.gov.vn/tin-chuyen-nganh/doan-cong-tac-cua-cuc-thong-ke-tinh-dien-bien-lam-viec-voi-ubnd-xa-muong-dun-huyen-tua-chua-398.html", "UBND Ủy ban nhân dân xã Mường Đun  tỉnh Điện Biên")</f>
      </c>
      <c r="C3529" t="str">
        <v>https://thongkedienbien.gov.vn/tin-chuyen-nganh/doan-cong-tac-cua-cuc-thong-ke-tinh-dien-bien-lam-viec-voi-ubnd-xa-muong-dun-huyen-tua-chua-398.html</v>
      </c>
      <c r="D3529" t="str">
        <v>-</v>
      </c>
      <c r="E3529" t="str">
        <v>-</v>
      </c>
      <c r="F3529" t="str">
        <v>-</v>
      </c>
      <c r="G3529" t="str">
        <v>-</v>
      </c>
    </row>
    <row r="3530">
      <c r="A3530">
        <v>3529</v>
      </c>
      <c r="B3530" t="str">
        <v>Công an xã Mường Báng  tỉnh Điện Biên</v>
      </c>
      <c r="C3530" t="str">
        <v>-</v>
      </c>
      <c r="D3530" t="str">
        <v>-</v>
      </c>
      <c r="E3530" t="str">
        <v/>
      </c>
      <c r="F3530" t="str">
        <v>-</v>
      </c>
      <c r="G3530" t="str">
        <v>-</v>
      </c>
    </row>
    <row r="3531">
      <c r="A3531">
        <v>3530</v>
      </c>
      <c r="B3531">
        <f>HYPERLINK("https://stttt.dienbien.gov.vn/vi/about/danh-sach-nguoi-phat-ngon-tinh-dien-bien-nam-2018.html", "UBND Ủy ban nhân dân xã Mường Báng  tỉnh Điện Biên")</f>
      </c>
      <c r="C3531" t="str">
        <v>https://stttt.dienbien.gov.vn/vi/about/danh-sach-nguoi-phat-ngon-tinh-dien-bien-nam-2018.html</v>
      </c>
      <c r="D3531" t="str">
        <v>-</v>
      </c>
      <c r="E3531" t="str">
        <v>-</v>
      </c>
      <c r="F3531" t="str">
        <v>-</v>
      </c>
      <c r="G3531" t="str">
        <v>-</v>
      </c>
    </row>
    <row r="3532">
      <c r="A3532">
        <v>3531</v>
      </c>
      <c r="B3532">
        <f>HYPERLINK("https://www.facebook.com/conganhuyentuangiao/", "Công an thị trấn Tuần Giáo  tỉnh Điện Biên")</f>
      </c>
      <c r="C3532" t="str">
        <v>https://www.facebook.com/conganhuyentuangiao/</v>
      </c>
      <c r="D3532" t="str">
        <v>-</v>
      </c>
      <c r="E3532" t="str">
        <v/>
      </c>
      <c r="F3532" t="str">
        <v>-</v>
      </c>
      <c r="G3532" t="str">
        <v>-</v>
      </c>
    </row>
    <row r="3533">
      <c r="A3533">
        <v>3532</v>
      </c>
      <c r="B3533">
        <f>HYPERLINK("https://tuangiao.gov.vn/", "UBND Ủy ban nhân dân thị trấn Tuần Giáo  tỉnh Điện Biên")</f>
      </c>
      <c r="C3533" t="str">
        <v>https://tuangiao.gov.vn/</v>
      </c>
      <c r="D3533" t="str">
        <v>-</v>
      </c>
      <c r="E3533" t="str">
        <v>-</v>
      </c>
      <c r="F3533" t="str">
        <v>-</v>
      </c>
      <c r="G3533" t="str">
        <v>-</v>
      </c>
    </row>
    <row r="3534">
      <c r="A3534">
        <v>3533</v>
      </c>
      <c r="B3534">
        <f>HYPERLINK("https://www.facebook.com/Conganxaphinhsang/", "Công an xã Phình Sáng  tỉnh Điện Biên")</f>
      </c>
      <c r="C3534" t="str">
        <v>https://www.facebook.com/Conganxaphinhsang/</v>
      </c>
      <c r="D3534" t="str">
        <v>-</v>
      </c>
      <c r="E3534" t="str">
        <v/>
      </c>
      <c r="F3534" t="str">
        <v>-</v>
      </c>
      <c r="G3534" t="str">
        <v>-</v>
      </c>
    </row>
    <row r="3535">
      <c r="A3535">
        <v>3534</v>
      </c>
      <c r="B3535">
        <f>HYPERLINK("https://stttt.dienbien.gov.vn/vi/about/danh-sach-nguoi-phat-ngon-tinh-dien-bien-nam-2018.html", "UBND Ủy ban nhân dân xã Phình Sáng  tỉnh Điện Biên")</f>
      </c>
      <c r="C3535" t="str">
        <v>https://stttt.dienbien.gov.vn/vi/about/danh-sach-nguoi-phat-ngon-tinh-dien-bien-nam-2018.html</v>
      </c>
      <c r="D3535" t="str">
        <v>-</v>
      </c>
      <c r="E3535" t="str">
        <v>-</v>
      </c>
      <c r="F3535" t="str">
        <v>-</v>
      </c>
      <c r="G3535" t="str">
        <v>-</v>
      </c>
    </row>
    <row r="3536">
      <c r="A3536">
        <v>3535</v>
      </c>
      <c r="B3536" t="str">
        <v>Công an xã Rạng Đông  tỉnh Điện Biên</v>
      </c>
      <c r="C3536" t="str">
        <v>-</v>
      </c>
      <c r="D3536" t="str">
        <v>-</v>
      </c>
      <c r="E3536" t="str">
        <v/>
      </c>
      <c r="F3536" t="str">
        <v>-</v>
      </c>
      <c r="G3536" t="str">
        <v>-</v>
      </c>
    </row>
    <row r="3537">
      <c r="A3537">
        <v>3536</v>
      </c>
      <c r="B3537">
        <f>HYPERLINK("https://stttt.dienbien.gov.vn/vi/about/danh-sach-nguoi-phat-ngon-tinh-dien-bien-nam-2018.html", "UBND Ủy ban nhân dân xã Rạng Đông  tỉnh Điện Biên")</f>
      </c>
      <c r="C3537" t="str">
        <v>https://stttt.dienbien.gov.vn/vi/about/danh-sach-nguoi-phat-ngon-tinh-dien-bien-nam-2018.html</v>
      </c>
      <c r="D3537" t="str">
        <v>-</v>
      </c>
      <c r="E3537" t="str">
        <v>-</v>
      </c>
      <c r="F3537" t="str">
        <v>-</v>
      </c>
      <c r="G3537" t="str">
        <v>-</v>
      </c>
    </row>
    <row r="3538">
      <c r="A3538">
        <v>3537</v>
      </c>
      <c r="B3538">
        <f>HYPERLINK("https://www.facebook.com/p/C%C3%B4ng-an-x%C3%A3-M%C3%B9n-Chung-C%C3%B4ng-an-huy%E1%BB%87n-Tu%E1%BA%A7n-Gi%C3%A1o-100083064833783/", "Công an xã Mùn Chung  tỉnh Điện Biên")</f>
      </c>
      <c r="C3538" t="str">
        <v>https://www.facebook.com/p/C%C3%B4ng-an-x%C3%A3-M%C3%B9n-Chung-C%C3%B4ng-an-huy%E1%BB%87n-Tu%E1%BA%A7n-Gi%C3%A1o-100083064833783/</v>
      </c>
      <c r="D3538" t="str">
        <v>-</v>
      </c>
      <c r="E3538" t="str">
        <v/>
      </c>
      <c r="F3538" t="str">
        <v>-</v>
      </c>
      <c r="G3538" t="str">
        <v>-</v>
      </c>
    </row>
    <row r="3539">
      <c r="A3539">
        <v>3538</v>
      </c>
      <c r="B3539">
        <f>HYPERLINK("https://stttt.dienbien.gov.vn/vi/about/danh-sach-nguoi-phat-ngon-tinh-dien-bien-nam-2018.html", "UBND Ủy ban nhân dân xã Mùn Chung  tỉnh Điện Biên")</f>
      </c>
      <c r="C3539" t="str">
        <v>https://stttt.dienbien.gov.vn/vi/about/danh-sach-nguoi-phat-ngon-tinh-dien-bien-nam-2018.html</v>
      </c>
      <c r="D3539" t="str">
        <v>-</v>
      </c>
      <c r="E3539" t="str">
        <v>-</v>
      </c>
      <c r="F3539" t="str">
        <v>-</v>
      </c>
      <c r="G3539" t="str">
        <v>-</v>
      </c>
    </row>
    <row r="3540">
      <c r="A3540">
        <v>3539</v>
      </c>
      <c r="B3540" t="str">
        <v>Công an xã Nà Tòng  tỉnh Điện Biên</v>
      </c>
      <c r="C3540" t="str">
        <v>-</v>
      </c>
      <c r="D3540" t="str">
        <v>-</v>
      </c>
      <c r="E3540" t="str">
        <v/>
      </c>
      <c r="F3540" t="str">
        <v>-</v>
      </c>
      <c r="G3540" t="str">
        <v>-</v>
      </c>
    </row>
    <row r="3541">
      <c r="A3541">
        <v>3540</v>
      </c>
      <c r="B3541">
        <f>HYPERLINK("https://stttt.dienbien.gov.vn/vi/about/danh-sach-nguoi-phat-ngon-tinh-dien-bien-nam-2018.html", "UBND Ủy ban nhân dân xã Nà Tòng  tỉnh Điện Biên")</f>
      </c>
      <c r="C3541" t="str">
        <v>https://stttt.dienbien.gov.vn/vi/about/danh-sach-nguoi-phat-ngon-tinh-dien-bien-nam-2018.html</v>
      </c>
      <c r="D3541" t="str">
        <v>-</v>
      </c>
      <c r="E3541" t="str">
        <v>-</v>
      </c>
      <c r="F3541" t="str">
        <v>-</v>
      </c>
      <c r="G3541" t="str">
        <v>-</v>
      </c>
    </row>
    <row r="3542">
      <c r="A3542">
        <v>3541</v>
      </c>
      <c r="B3542">
        <f>HYPERLINK("https://www.facebook.com/people/C%C3%B4ng-an-x%C3%A3-Ta-Ma-Huy%E1%BB%87n-Tu%E1%BA%A7n-Gi%C3%A1o-T%E1%BB%89nh-%C4%90i%E1%BB%87n-Bi%C3%AAn/100071017850056/", "Công an xã Ta Ma  tỉnh Điện Biên")</f>
      </c>
      <c r="C3542" t="str">
        <v>https://www.facebook.com/people/C%C3%B4ng-an-x%C3%A3-Ta-Ma-Huy%E1%BB%87n-Tu%E1%BA%A7n-Gi%C3%A1o-T%E1%BB%89nh-%C4%90i%E1%BB%87n-Bi%C3%AAn/100071017850056/</v>
      </c>
      <c r="D3542" t="str">
        <v>0382262822</v>
      </c>
      <c r="E3542" t="str">
        <v>-</v>
      </c>
      <c r="F3542" t="str">
        <v>conganxatama@gmail.com</v>
      </c>
      <c r="G3542" t="str">
        <v>-</v>
      </c>
    </row>
    <row r="3543">
      <c r="A3543">
        <v>3542</v>
      </c>
      <c r="B3543">
        <f>HYPERLINK("https://stttt.dienbien.gov.vn/vi/about/danh-sach-nguoi-phat-ngon-tinh-dien-bien-nam-2018.html", "UBND Ủy ban nhân dân xã Ta Ma  tỉnh Điện Biên")</f>
      </c>
      <c r="C3543" t="str">
        <v>https://stttt.dienbien.gov.vn/vi/about/danh-sach-nguoi-phat-ngon-tinh-dien-bien-nam-2018.html</v>
      </c>
      <c r="D3543" t="str">
        <v>-</v>
      </c>
      <c r="E3543" t="str">
        <v>-</v>
      </c>
      <c r="F3543" t="str">
        <v>-</v>
      </c>
      <c r="G3543" t="str">
        <v>-</v>
      </c>
    </row>
    <row r="3544">
      <c r="A3544">
        <v>3543</v>
      </c>
      <c r="B3544">
        <f>HYPERLINK("https://www.facebook.com/lucluongvutrangdienbien/", "Công an xã Mường Mùn  tỉnh Điện Biên")</f>
      </c>
      <c r="C3544" t="str">
        <v>https://www.facebook.com/lucluongvutrangdienbien/</v>
      </c>
      <c r="D3544" t="str">
        <v>-</v>
      </c>
      <c r="E3544" t="str">
        <v/>
      </c>
      <c r="F3544" t="str">
        <v>-</v>
      </c>
      <c r="G3544" t="str">
        <v>-</v>
      </c>
    </row>
    <row r="3545">
      <c r="A3545">
        <v>3544</v>
      </c>
      <c r="B3545">
        <f>HYPERLINK("https://stttt.dienbien.gov.vn/vi/about/danh-sach-nguoi-phat-ngon-tinh-dien-bien-nam-2018.html", "UBND Ủy ban nhân dân xã Mường Mùn  tỉnh Điện Biên")</f>
      </c>
      <c r="C3545" t="str">
        <v>https://stttt.dienbien.gov.vn/vi/about/danh-sach-nguoi-phat-ngon-tinh-dien-bien-nam-2018.html</v>
      </c>
      <c r="D3545" t="str">
        <v>-</v>
      </c>
      <c r="E3545" t="str">
        <v>-</v>
      </c>
      <c r="F3545" t="str">
        <v>-</v>
      </c>
      <c r="G3545" t="str">
        <v>-</v>
      </c>
    </row>
    <row r="3546">
      <c r="A3546">
        <v>3545</v>
      </c>
      <c r="B3546">
        <f>HYPERLINK("https://www.facebook.com/TuoiTreCongAnDienBien/", "Công an xã Pú Xi  tỉnh Điện Biên")</f>
      </c>
      <c r="C3546" t="str">
        <v>https://www.facebook.com/TuoiTreCongAnDienBien/</v>
      </c>
      <c r="D3546" t="str">
        <v>-</v>
      </c>
      <c r="E3546" t="str">
        <v/>
      </c>
      <c r="F3546" t="str">
        <v>-</v>
      </c>
      <c r="G3546" t="str">
        <v>-</v>
      </c>
    </row>
    <row r="3547">
      <c r="A3547">
        <v>3546</v>
      </c>
      <c r="B3547">
        <f>HYPERLINK("https://stttt.dienbien.gov.vn/vi/about/danh-sach-nguoi-phat-ngon-tinh-dien-bien-nam-2018.html", "UBND Ủy ban nhân dân xã Pú Xi  tỉnh Điện Biên")</f>
      </c>
      <c r="C3547" t="str">
        <v>https://stttt.dienbien.gov.vn/vi/about/danh-sach-nguoi-phat-ngon-tinh-dien-bien-nam-2018.html</v>
      </c>
      <c r="D3547" t="str">
        <v>-</v>
      </c>
      <c r="E3547" t="str">
        <v>-</v>
      </c>
      <c r="F3547" t="str">
        <v>-</v>
      </c>
      <c r="G3547" t="str">
        <v>-</v>
      </c>
    </row>
    <row r="3548">
      <c r="A3548">
        <v>3547</v>
      </c>
      <c r="B3548" t="str">
        <v>Công an xã Pú Nhung  tỉnh Điện Biên</v>
      </c>
      <c r="C3548" t="str">
        <v>-</v>
      </c>
      <c r="D3548" t="str">
        <v>-</v>
      </c>
      <c r="E3548" t="str">
        <v/>
      </c>
      <c r="F3548" t="str">
        <v>-</v>
      </c>
      <c r="G3548" t="str">
        <v>-</v>
      </c>
    </row>
    <row r="3549">
      <c r="A3549">
        <v>3548</v>
      </c>
      <c r="B3549">
        <f>HYPERLINK("https://stttt.dienbien.gov.vn/vi/about/danh-sach-nguoi-phat-ngon-tinh-dien-bien-nam-2018.html", "UBND Ủy ban nhân dân xã Pú Nhung  tỉnh Điện Biên")</f>
      </c>
      <c r="C3549" t="str">
        <v>https://stttt.dienbien.gov.vn/vi/about/danh-sach-nguoi-phat-ngon-tinh-dien-bien-nam-2018.html</v>
      </c>
      <c r="D3549" t="str">
        <v>-</v>
      </c>
      <c r="E3549" t="str">
        <v>-</v>
      </c>
      <c r="F3549" t="str">
        <v>-</v>
      </c>
      <c r="G3549" t="str">
        <v>-</v>
      </c>
    </row>
    <row r="3550">
      <c r="A3550">
        <v>3549</v>
      </c>
      <c r="B3550" t="str">
        <v>Công an xã Quài Nưa  tỉnh Điện Biên</v>
      </c>
      <c r="C3550" t="str">
        <v>-</v>
      </c>
      <c r="D3550" t="str">
        <v>-</v>
      </c>
      <c r="E3550" t="str">
        <v/>
      </c>
      <c r="F3550" t="str">
        <v>-</v>
      </c>
      <c r="G3550" t="str">
        <v>-</v>
      </c>
    </row>
    <row r="3551">
      <c r="A3551">
        <v>3550</v>
      </c>
      <c r="B3551">
        <f>HYPERLINK("https://quainua.tuangiao.gov.vn/about/ve-co-cau-to-chuc-bo-may-ubnd-xa-quai-nua.html", "UBND Ủy ban nhân dân xã Quài Nưa  tỉnh Điện Biên")</f>
      </c>
      <c r="C3551" t="str">
        <v>https://quainua.tuangiao.gov.vn/about/ve-co-cau-to-chuc-bo-may-ubnd-xa-quai-nua.html</v>
      </c>
      <c r="D3551" t="str">
        <v>-</v>
      </c>
      <c r="E3551" t="str">
        <v>-</v>
      </c>
      <c r="F3551" t="str">
        <v>-</v>
      </c>
      <c r="G3551" t="str">
        <v>-</v>
      </c>
    </row>
    <row r="3552">
      <c r="A3552">
        <v>3551</v>
      </c>
      <c r="B3552">
        <f>HYPERLINK("https://www.facebook.com/CAXMuongThin/", "Công an xã Mường Thín  tỉnh Điện Biên")</f>
      </c>
      <c r="C3552" t="str">
        <v>https://www.facebook.com/CAXMuongThin/</v>
      </c>
      <c r="D3552" t="str">
        <v>-</v>
      </c>
      <c r="E3552" t="str">
        <v/>
      </c>
      <c r="F3552" t="str">
        <v>-</v>
      </c>
      <c r="G3552" t="str">
        <v>-</v>
      </c>
    </row>
    <row r="3553">
      <c r="A3553">
        <v>3552</v>
      </c>
      <c r="B3553">
        <f>HYPERLINK("https://stttt.dienbien.gov.vn/vi/about/danh-sach-nguoi-phat-ngon-tinh-dien-bien-nam-2018.html", "UBND Ủy ban nhân dân xã Mường Thín  tỉnh Điện Biên")</f>
      </c>
      <c r="C3553" t="str">
        <v>https://stttt.dienbien.gov.vn/vi/about/danh-sach-nguoi-phat-ngon-tinh-dien-bien-nam-2018.html</v>
      </c>
      <c r="D3553" t="str">
        <v>-</v>
      </c>
      <c r="E3553" t="str">
        <v>-</v>
      </c>
      <c r="F3553" t="str">
        <v>-</v>
      </c>
      <c r="G3553" t="str">
        <v>-</v>
      </c>
    </row>
    <row r="3554">
      <c r="A3554">
        <v>3553</v>
      </c>
      <c r="B3554" t="str">
        <v>Công an xã Tỏa Tình  tỉnh Điện Biên</v>
      </c>
      <c r="C3554" t="str">
        <v>-</v>
      </c>
      <c r="D3554" t="str">
        <v>-</v>
      </c>
      <c r="E3554" t="str">
        <v/>
      </c>
      <c r="F3554" t="str">
        <v>-</v>
      </c>
      <c r="G3554" t="str">
        <v>-</v>
      </c>
    </row>
    <row r="3555">
      <c r="A3555">
        <v>3554</v>
      </c>
      <c r="B3555">
        <f>HYPERLINK("https://stttt.dienbien.gov.vn/vi/about/danh-sach-nguoi-phat-ngon-tinh-dien-bien-nam-2018.html", "UBND Ủy ban nhân dân xã Tỏa Tình  tỉnh Điện Biên")</f>
      </c>
      <c r="C3555" t="str">
        <v>https://stttt.dienbien.gov.vn/vi/about/danh-sach-nguoi-phat-ngon-tinh-dien-bien-nam-2018.html</v>
      </c>
      <c r="D3555" t="str">
        <v>-</v>
      </c>
      <c r="E3555" t="str">
        <v>-</v>
      </c>
      <c r="F3555" t="str">
        <v>-</v>
      </c>
      <c r="G3555" t="str">
        <v>-</v>
      </c>
    </row>
    <row r="3556">
      <c r="A3556">
        <v>3555</v>
      </c>
      <c r="B3556">
        <f>HYPERLINK("https://www.facebook.com/p/C%C3%B4ng-an-x%C3%A3-N%C3%A0-S%C3%A1y-huy%E1%BB%87n-Tu%E1%BA%A7n-Gi%C3%A1o-100068140766655/", "Công an xã Nà Sáy  tỉnh Điện Biên")</f>
      </c>
      <c r="C3556" t="str">
        <v>https://www.facebook.com/p/C%C3%B4ng-an-x%C3%A3-N%C3%A0-S%C3%A1y-huy%E1%BB%87n-Tu%E1%BA%A7n-Gi%C3%A1o-100068140766655/</v>
      </c>
      <c r="D3556" t="str">
        <v>-</v>
      </c>
      <c r="E3556" t="str">
        <v/>
      </c>
      <c r="F3556" t="str">
        <v>-</v>
      </c>
      <c r="G3556" t="str">
        <v>-</v>
      </c>
    </row>
    <row r="3557">
      <c r="A3557">
        <v>3556</v>
      </c>
      <c r="B3557">
        <f>HYPERLINK("https://stttt.dienbien.gov.vn/vi/about/danh-sach-nguoi-phat-ngon-tinh-dien-bien-nam-2018.html", "UBND Ủy ban nhân dân xã Nà Sáy  tỉnh Điện Biên")</f>
      </c>
      <c r="C3557" t="str">
        <v>https://stttt.dienbien.gov.vn/vi/about/danh-sach-nguoi-phat-ngon-tinh-dien-bien-nam-2018.html</v>
      </c>
      <c r="D3557" t="str">
        <v>-</v>
      </c>
      <c r="E3557" t="str">
        <v>-</v>
      </c>
      <c r="F3557" t="str">
        <v>-</v>
      </c>
      <c r="G3557" t="str">
        <v>-</v>
      </c>
    </row>
    <row r="3558">
      <c r="A3558">
        <v>3557</v>
      </c>
      <c r="B3558">
        <f>HYPERLINK("https://www.facebook.com/Conganxamuongkhong/", "Công an xã Mường Khong  tỉnh Điện Biên")</f>
      </c>
      <c r="C3558" t="str">
        <v>https://www.facebook.com/Conganxamuongkhong/</v>
      </c>
      <c r="D3558" t="str">
        <v>-</v>
      </c>
      <c r="E3558" t="str">
        <v/>
      </c>
      <c r="F3558" t="str">
        <v>-</v>
      </c>
      <c r="G3558" t="str">
        <v>-</v>
      </c>
    </row>
    <row r="3559">
      <c r="A3559">
        <v>3558</v>
      </c>
      <c r="B3559">
        <f>HYPERLINK("https://stttt.dienbien.gov.vn/vi/about/danh-sach-nguoi-phat-ngon-tinh-dien-bien-nam-2018.html", "UBND Ủy ban nhân dân xã Mường Khong  tỉnh Điện Biên")</f>
      </c>
      <c r="C3559" t="str">
        <v>https://stttt.dienbien.gov.vn/vi/about/danh-sach-nguoi-phat-ngon-tinh-dien-bien-nam-2018.html</v>
      </c>
      <c r="D3559" t="str">
        <v>-</v>
      </c>
      <c r="E3559" t="str">
        <v>-</v>
      </c>
      <c r="F3559" t="str">
        <v>-</v>
      </c>
      <c r="G3559" t="str">
        <v>-</v>
      </c>
    </row>
    <row r="3560">
      <c r="A3560">
        <v>3559</v>
      </c>
      <c r="B3560" t="str">
        <v>Công an xã Quài Cang  tỉnh Điện Biên</v>
      </c>
      <c r="C3560" t="str">
        <v>-</v>
      </c>
      <c r="D3560" t="str">
        <v>-</v>
      </c>
      <c r="E3560" t="str">
        <v/>
      </c>
      <c r="F3560" t="str">
        <v>-</v>
      </c>
      <c r="G3560" t="str">
        <v>-</v>
      </c>
    </row>
    <row r="3561">
      <c r="A3561">
        <v>3560</v>
      </c>
      <c r="B3561">
        <f>HYPERLINK("https://stttt.dienbien.gov.vn/vi/about/danh-sach-nguoi-phat-ngon-tinh-dien-bien-nam-2018.html", "UBND Ủy ban nhân dân xã Quài Cang  tỉnh Điện Biên")</f>
      </c>
      <c r="C3561" t="str">
        <v>https://stttt.dienbien.gov.vn/vi/about/danh-sach-nguoi-phat-ngon-tinh-dien-bien-nam-2018.html</v>
      </c>
      <c r="D3561" t="str">
        <v>-</v>
      </c>
      <c r="E3561" t="str">
        <v>-</v>
      </c>
      <c r="F3561" t="str">
        <v>-</v>
      </c>
      <c r="G3561" t="str">
        <v>-</v>
      </c>
    </row>
    <row r="3562">
      <c r="A3562">
        <v>3561</v>
      </c>
      <c r="B3562">
        <f>HYPERLINK("https://www.facebook.com/p/C%C3%B4ng-an-x%C3%A3-Qu%C3%A0i-T%E1%BB%9F-huy%E1%BB%87n-Tu%E1%BA%A7n-Gi%C3%A1o-100069591362249/", "Công an xã Quài Tở  tỉnh Điện Biên")</f>
      </c>
      <c r="C3562" t="str">
        <v>https://www.facebook.com/p/C%C3%B4ng-an-x%C3%A3-Qu%C3%A0i-T%E1%BB%9F-huy%E1%BB%87n-Tu%E1%BA%A7n-Gi%C3%A1o-100069591362249/</v>
      </c>
      <c r="D3562" t="str">
        <v>-</v>
      </c>
      <c r="E3562" t="str">
        <v/>
      </c>
      <c r="F3562" t="str">
        <v>-</v>
      </c>
      <c r="G3562" t="str">
        <v>-</v>
      </c>
    </row>
    <row r="3563">
      <c r="A3563">
        <v>3562</v>
      </c>
      <c r="B3563">
        <f>HYPERLINK("https://dienbien.toaan.gov.vn/webcenter/ShowProperty?nodeId=/UCMServer/TAND193165", "UBND Ủy ban nhân dân xã Quài Tở  tỉnh Điện Biên")</f>
      </c>
      <c r="C3563" t="str">
        <v>https://dienbien.toaan.gov.vn/webcenter/ShowProperty?nodeId=/UCMServer/TAND193165</v>
      </c>
      <c r="D3563" t="str">
        <v>-</v>
      </c>
      <c r="E3563" t="str">
        <v>-</v>
      </c>
      <c r="F3563" t="str">
        <v>-</v>
      </c>
      <c r="G3563" t="str">
        <v>-</v>
      </c>
    </row>
    <row r="3564">
      <c r="A3564">
        <v>3563</v>
      </c>
      <c r="B3564" t="str">
        <v>Công an xã Chiềng Sinh  tỉnh Điện Biên</v>
      </c>
      <c r="C3564" t="str">
        <v>-</v>
      </c>
      <c r="D3564" t="str">
        <v>-</v>
      </c>
      <c r="E3564" t="str">
        <v/>
      </c>
      <c r="F3564" t="str">
        <v>-</v>
      </c>
      <c r="G3564" t="str">
        <v>-</v>
      </c>
    </row>
    <row r="3565">
      <c r="A3565">
        <v>3564</v>
      </c>
      <c r="B3565">
        <f>HYPERLINK("https://chiengsinh.tuangiao.gov.vn/", "UBND Ủy ban nhân dân xã Chiềng Sinh  tỉnh Điện Biên")</f>
      </c>
      <c r="C3565" t="str">
        <v>https://chiengsinh.tuangiao.gov.vn/</v>
      </c>
      <c r="D3565" t="str">
        <v>-</v>
      </c>
      <c r="E3565" t="str">
        <v>-</v>
      </c>
      <c r="F3565" t="str">
        <v>-</v>
      </c>
      <c r="G3565" t="str">
        <v>-</v>
      </c>
    </row>
    <row r="3566">
      <c r="A3566">
        <v>3565</v>
      </c>
      <c r="B3566">
        <f>HYPERLINK("https://www.facebook.com/p/C%C3%B4ng-an-x%C3%A3-Chi%E1%BB%81ng-%C4%90%C3%B4ng-Tu%E1%BA%A7n-Gi%C3%A1o-100070914469221/", "Công an xã Chiềng Đông  tỉnh Điện Biên")</f>
      </c>
      <c r="C3566" t="str">
        <v>https://www.facebook.com/p/C%C3%B4ng-an-x%C3%A3-Chi%E1%BB%81ng-%C4%90%C3%B4ng-Tu%E1%BA%A7n-Gi%C3%A1o-100070914469221/</v>
      </c>
      <c r="D3566" t="str">
        <v>-</v>
      </c>
      <c r="E3566" t="str">
        <v/>
      </c>
      <c r="F3566" t="str">
        <v>-</v>
      </c>
      <c r="G3566" t="str">
        <v>-</v>
      </c>
    </row>
    <row r="3567">
      <c r="A3567">
        <v>3566</v>
      </c>
      <c r="B3567">
        <f>HYPERLINK("https://chiengdong.tuangiao.gov.vn/about/ve-co-cau-to-chuc-bo-may.html", "UBND Ủy ban nhân dân xã Chiềng Đông  tỉnh Điện Biên")</f>
      </c>
      <c r="C3567" t="str">
        <v>https://chiengdong.tuangiao.gov.vn/about/ve-co-cau-to-chuc-bo-may.html</v>
      </c>
      <c r="D3567" t="str">
        <v>-</v>
      </c>
      <c r="E3567" t="str">
        <v>-</v>
      </c>
      <c r="F3567" t="str">
        <v>-</v>
      </c>
      <c r="G3567" t="str">
        <v>-</v>
      </c>
    </row>
    <row r="3568">
      <c r="A3568">
        <v>3567</v>
      </c>
      <c r="B3568">
        <f>HYPERLINK("https://www.facebook.com/100068788454353", "Công an xã Tênh Phông  tỉnh Điện Biên")</f>
      </c>
      <c r="C3568" t="str">
        <v>https://www.facebook.com/100068788454353</v>
      </c>
      <c r="D3568" t="str">
        <v>-</v>
      </c>
      <c r="E3568" t="str">
        <v/>
      </c>
      <c r="F3568" t="str">
        <v>-</v>
      </c>
      <c r="G3568" t="str">
        <v>-</v>
      </c>
    </row>
    <row r="3569">
      <c r="A3569">
        <v>3568</v>
      </c>
      <c r="B3569">
        <f>HYPERLINK("https://stttt.dienbien.gov.vn/vi/about/danh-sach-nguoi-phat-ngon-tinh-dien-bien-nam-2018.html", "UBND Ủy ban nhân dân xã Tênh Phông  tỉnh Điện Biên")</f>
      </c>
      <c r="C3569" t="str">
        <v>https://stttt.dienbien.gov.vn/vi/about/danh-sach-nguoi-phat-ngon-tinh-dien-bien-nam-2018.html</v>
      </c>
      <c r="D3569" t="str">
        <v>-</v>
      </c>
      <c r="E3569" t="str">
        <v>-</v>
      </c>
      <c r="F3569" t="str">
        <v>-</v>
      </c>
      <c r="G3569" t="str">
        <v>-</v>
      </c>
    </row>
    <row r="3570">
      <c r="A3570">
        <v>3569</v>
      </c>
      <c r="B3570">
        <f>HYPERLINK("https://www.facebook.com/p/C%C3%B4ng-an-x%C3%A3-N%C3%A0-T%E1%BA%A5u-th%C3%A0nh-ph%E1%BB%91-%C4%90i%E1%BB%87n-Bi%C3%AAn-Ph%E1%BB%A7-100072035016233/", "Công an xã Nà Tấu  tỉnh Điện Biên")</f>
      </c>
      <c r="C3570" t="str">
        <v>https://www.facebook.com/p/C%C3%B4ng-an-x%C3%A3-N%C3%A0-T%E1%BA%A5u-th%C3%A0nh-ph%E1%BB%91-%C4%90i%E1%BB%87n-Bi%C3%AAn-Ph%E1%BB%A7-100072035016233/</v>
      </c>
      <c r="D3570" t="str">
        <v>-</v>
      </c>
      <c r="E3570" t="str">
        <v/>
      </c>
      <c r="F3570" t="str">
        <v>-</v>
      </c>
      <c r="G3570" t="str">
        <v>-</v>
      </c>
    </row>
    <row r="3571">
      <c r="A3571">
        <v>3570</v>
      </c>
      <c r="B3571">
        <f>HYPERLINK("https://stttt.dienbien.gov.vn/vi/about/danh-sach-nguoi-phat-ngon-tinh-dien-bien-nam-2018.html", "UBND Ủy ban nhân dân xã Nà Tấu  tỉnh Điện Biên")</f>
      </c>
      <c r="C3571" t="str">
        <v>https://stttt.dienbien.gov.vn/vi/about/danh-sach-nguoi-phat-ngon-tinh-dien-bien-nam-2018.html</v>
      </c>
      <c r="D3571" t="str">
        <v>-</v>
      </c>
      <c r="E3571" t="str">
        <v>-</v>
      </c>
      <c r="F3571" t="str">
        <v>-</v>
      </c>
      <c r="G3571" t="str">
        <v>-</v>
      </c>
    </row>
    <row r="3572">
      <c r="A3572">
        <v>3571</v>
      </c>
      <c r="B3572">
        <f>HYPERLINK("https://www.facebook.com/conganxananhan/", "Công an xã Nà Nhạn  tỉnh Điện Biên")</f>
      </c>
      <c r="C3572" t="str">
        <v>https://www.facebook.com/conganxananhan/</v>
      </c>
      <c r="D3572" t="str">
        <v>-</v>
      </c>
      <c r="E3572" t="str">
        <v/>
      </c>
      <c r="F3572" t="str">
        <v>-</v>
      </c>
      <c r="G3572" t="str">
        <v>-</v>
      </c>
    </row>
    <row r="3573">
      <c r="A3573">
        <v>3572</v>
      </c>
      <c r="B3573">
        <f>HYPERLINK("https://stttt.dienbien.gov.vn/vi/about/danh-sach-nguoi-phat-ngon-tinh-dien-bien-nam-2018.html", "UBND Ủy ban nhân dân xã Nà Nhạn  tỉnh Điện Biên")</f>
      </c>
      <c r="C3573" t="str">
        <v>https://stttt.dienbien.gov.vn/vi/about/danh-sach-nguoi-phat-ngon-tinh-dien-bien-nam-2018.html</v>
      </c>
      <c r="D3573" t="str">
        <v>-</v>
      </c>
      <c r="E3573" t="str">
        <v>-</v>
      </c>
      <c r="F3573" t="str">
        <v>-</v>
      </c>
      <c r="G3573" t="str">
        <v>-</v>
      </c>
    </row>
    <row r="3574">
      <c r="A3574">
        <v>3573</v>
      </c>
      <c r="B3574" t="str">
        <v>Công an xã Mường Pồn  tỉnh Điện Biên</v>
      </c>
      <c r="C3574" t="str">
        <v>-</v>
      </c>
      <c r="D3574" t="str">
        <v>-</v>
      </c>
      <c r="E3574" t="str">
        <v/>
      </c>
      <c r="F3574" t="str">
        <v>-</v>
      </c>
      <c r="G3574" t="str">
        <v>-</v>
      </c>
    </row>
    <row r="3575">
      <c r="A3575">
        <v>3574</v>
      </c>
      <c r="B3575">
        <f>HYPERLINK("https://huyendienbien.dienbien.gov.vn/Tintuc/One/Xa-Muong-Pon", "UBND Ủy ban nhân dân xã Mường Pồn  tỉnh Điện Biên")</f>
      </c>
      <c r="C3575" t="str">
        <v>https://huyendienbien.dienbien.gov.vn/Tintuc/One/Xa-Muong-Pon</v>
      </c>
      <c r="D3575" t="str">
        <v>-</v>
      </c>
      <c r="E3575" t="str">
        <v>-</v>
      </c>
      <c r="F3575" t="str">
        <v>-</v>
      </c>
      <c r="G3575" t="str">
        <v>-</v>
      </c>
    </row>
    <row r="3576">
      <c r="A3576">
        <v>3575</v>
      </c>
      <c r="B3576">
        <f>HYPERLINK("https://www.facebook.com/TuoiTreCongAnDienBien/", "Công an xã Thanh Nưa  tỉnh Điện Biên")</f>
      </c>
      <c r="C3576" t="str">
        <v>https://www.facebook.com/TuoiTreCongAnDienBien/</v>
      </c>
      <c r="D3576" t="str">
        <v>-</v>
      </c>
      <c r="E3576" t="str">
        <v/>
      </c>
      <c r="F3576" t="str">
        <v>-</v>
      </c>
      <c r="G3576" t="str">
        <v>-</v>
      </c>
    </row>
    <row r="3577">
      <c r="A3577">
        <v>3576</v>
      </c>
      <c r="B3577">
        <f>HYPERLINK("https://huyendienbien.dienbien.gov.vn/thanhnua/", "UBND Ủy ban nhân dân xã Thanh Nưa  tỉnh Điện Biên")</f>
      </c>
      <c r="C3577" t="str">
        <v>https://huyendienbien.dienbien.gov.vn/thanhnua/</v>
      </c>
      <c r="D3577" t="str">
        <v>-</v>
      </c>
      <c r="E3577" t="str">
        <v>-</v>
      </c>
      <c r="F3577" t="str">
        <v>-</v>
      </c>
      <c r="G3577" t="str">
        <v>-</v>
      </c>
    </row>
    <row r="3578">
      <c r="A3578">
        <v>3577</v>
      </c>
      <c r="B3578" t="str">
        <v>Công an xã Hua Thanh  tỉnh Điện Biên</v>
      </c>
      <c r="C3578" t="str">
        <v>-</v>
      </c>
      <c r="D3578" t="str">
        <v>-</v>
      </c>
      <c r="E3578" t="str">
        <v/>
      </c>
      <c r="F3578" t="str">
        <v>-</v>
      </c>
      <c r="G3578" t="str">
        <v>-</v>
      </c>
    </row>
    <row r="3579">
      <c r="A3579">
        <v>3578</v>
      </c>
      <c r="B3579">
        <f>HYPERLINK("https://huyendienbien.dienbien.gov.vn/muongnha/T/Xa-Hua-Thanh", "UBND Ủy ban nhân dân xã Hua Thanh  tỉnh Điện Biên")</f>
      </c>
      <c r="C3579" t="str">
        <v>https://huyendienbien.dienbien.gov.vn/muongnha/T/Xa-Hua-Thanh</v>
      </c>
      <c r="D3579" t="str">
        <v>-</v>
      </c>
      <c r="E3579" t="str">
        <v>-</v>
      </c>
      <c r="F3579" t="str">
        <v>-</v>
      </c>
      <c r="G3579" t="str">
        <v>-</v>
      </c>
    </row>
    <row r="3580">
      <c r="A3580">
        <v>3579</v>
      </c>
      <c r="B3580" t="str">
        <v>Công an xã Mường Phăng  tỉnh Điện Biên</v>
      </c>
      <c r="C3580" t="str">
        <v>-</v>
      </c>
      <c r="D3580" t="str">
        <v>-</v>
      </c>
      <c r="E3580" t="str">
        <v/>
      </c>
      <c r="F3580" t="str">
        <v>-</v>
      </c>
      <c r="G3580" t="str">
        <v>-</v>
      </c>
    </row>
    <row r="3581">
      <c r="A3581">
        <v>3580</v>
      </c>
      <c r="B3581">
        <f>HYPERLINK("https://stttt.dienbien.gov.vn/vi/about/danh-sach-nguoi-phat-ngon-tinh-dien-bien-nam-2018.html", "UBND Ủy ban nhân dân xã Mường Phăng  tỉnh Điện Biên")</f>
      </c>
      <c r="C3581" t="str">
        <v>https://stttt.dienbien.gov.vn/vi/about/danh-sach-nguoi-phat-ngon-tinh-dien-bien-nam-2018.html</v>
      </c>
      <c r="D3581" t="str">
        <v>-</v>
      </c>
      <c r="E3581" t="str">
        <v>-</v>
      </c>
      <c r="F3581" t="str">
        <v>-</v>
      </c>
      <c r="G3581" t="str">
        <v>-</v>
      </c>
    </row>
    <row r="3582">
      <c r="A3582">
        <v>3581</v>
      </c>
      <c r="B3582" t="str">
        <v>Công an xã Pá Khoang  tỉnh Điện Biên</v>
      </c>
      <c r="C3582" t="str">
        <v>-</v>
      </c>
      <c r="D3582" t="str">
        <v>-</v>
      </c>
      <c r="E3582" t="str">
        <v/>
      </c>
      <c r="F3582" t="str">
        <v>-</v>
      </c>
      <c r="G3582" t="str">
        <v>-</v>
      </c>
    </row>
    <row r="3583">
      <c r="A3583">
        <v>3582</v>
      </c>
      <c r="B3583">
        <f>HYPERLINK("https://stttt.dienbien.gov.vn/vi/about/danh-sach-nguoi-phat-ngon-tinh-dien-bien-nam-2018.html", "UBND Ủy ban nhân dân xã Pá Khoang  tỉnh Điện Biên")</f>
      </c>
      <c r="C3583" t="str">
        <v>https://stttt.dienbien.gov.vn/vi/about/danh-sach-nguoi-phat-ngon-tinh-dien-bien-nam-2018.html</v>
      </c>
      <c r="D3583" t="str">
        <v>-</v>
      </c>
      <c r="E3583" t="str">
        <v>-</v>
      </c>
      <c r="F3583" t="str">
        <v>-</v>
      </c>
      <c r="G3583" t="str">
        <v>-</v>
      </c>
    </row>
    <row r="3584">
      <c r="A3584">
        <v>3583</v>
      </c>
      <c r="B3584">
        <f>HYPERLINK("https://www.facebook.com/p/C%C3%B4ng-an-x%C3%A3-Thanh-Lu%C3%B4ng-100079946075752/", "Công an xã Thanh Luông  tỉnh Điện Biên")</f>
      </c>
      <c r="C3584" t="str">
        <v>https://www.facebook.com/p/C%C3%B4ng-an-x%C3%A3-Thanh-Lu%C3%B4ng-100079946075752/</v>
      </c>
      <c r="D3584" t="str">
        <v>-</v>
      </c>
      <c r="E3584" t="str">
        <v/>
      </c>
      <c r="F3584" t="str">
        <v>-</v>
      </c>
      <c r="G3584" t="str">
        <v>-</v>
      </c>
    </row>
    <row r="3585">
      <c r="A3585">
        <v>3584</v>
      </c>
      <c r="B3585">
        <f>HYPERLINK("https://huyendienbien.dienbien.gov.vn/thanhluong/", "UBND Ủy ban nhân dân xã Thanh Luông  tỉnh Điện Biên")</f>
      </c>
      <c r="C3585" t="str">
        <v>https://huyendienbien.dienbien.gov.vn/thanhluong/</v>
      </c>
      <c r="D3585" t="str">
        <v>-</v>
      </c>
      <c r="E3585" t="str">
        <v>-</v>
      </c>
      <c r="F3585" t="str">
        <v>-</v>
      </c>
      <c r="G3585" t="str">
        <v>-</v>
      </c>
    </row>
    <row r="3586">
      <c r="A3586">
        <v>3585</v>
      </c>
      <c r="B3586" t="str">
        <v>Công an xã Thanh Hưng  tỉnh Điện Biên</v>
      </c>
      <c r="C3586" t="str">
        <v>-</v>
      </c>
      <c r="D3586" t="str">
        <v>-</v>
      </c>
      <c r="E3586" t="str">
        <v/>
      </c>
      <c r="F3586" t="str">
        <v>-</v>
      </c>
      <c r="G3586" t="str">
        <v>-</v>
      </c>
    </row>
    <row r="3587">
      <c r="A3587">
        <v>3586</v>
      </c>
      <c r="B3587">
        <f>HYPERLINK("https://huyendienbien.dienbien.gov.vn/thanhhung/", "UBND Ủy ban nhân dân xã Thanh Hưng  tỉnh Điện Biên")</f>
      </c>
      <c r="C3587" t="str">
        <v>https://huyendienbien.dienbien.gov.vn/thanhhung/</v>
      </c>
      <c r="D3587" t="str">
        <v>-</v>
      </c>
      <c r="E3587" t="str">
        <v>-</v>
      </c>
      <c r="F3587" t="str">
        <v>-</v>
      </c>
      <c r="G3587" t="str">
        <v>-</v>
      </c>
    </row>
    <row r="3588">
      <c r="A3588">
        <v>3587</v>
      </c>
      <c r="B3588">
        <f>HYPERLINK("https://www.facebook.com/p/C%C3%B4ng-an-x%C3%A3-Thanh-X%C6%B0%C6%A1ng-huy%E1%BB%87n-%C4%90i%E1%BB%87n-Bi%C3%AAn-100076513581198/", "Công an xã Thanh Xương  tỉnh Điện Biên")</f>
      </c>
      <c r="C3588" t="str">
        <v>https://www.facebook.com/p/C%C3%B4ng-an-x%C3%A3-Thanh-X%C6%B0%C6%A1ng-huy%E1%BB%87n-%C4%90i%E1%BB%87n-Bi%C3%AAn-100076513581198/</v>
      </c>
      <c r="D3588" t="str">
        <v>-</v>
      </c>
      <c r="E3588" t="str">
        <v/>
      </c>
      <c r="F3588" t="str">
        <v>-</v>
      </c>
      <c r="G3588" t="str">
        <v>-</v>
      </c>
    </row>
    <row r="3589">
      <c r="A3589">
        <v>3588</v>
      </c>
      <c r="B3589">
        <f>HYPERLINK("https://huyendienbien.dienbien.gov.vn/T/Xa-Thanh-Xuong", "UBND Ủy ban nhân dân xã Thanh Xương  tỉnh Điện Biên")</f>
      </c>
      <c r="C3589" t="str">
        <v>https://huyendienbien.dienbien.gov.vn/T/Xa-Thanh-Xuong</v>
      </c>
      <c r="D3589" t="str">
        <v>-</v>
      </c>
      <c r="E3589" t="str">
        <v>-</v>
      </c>
      <c r="F3589" t="str">
        <v>-</v>
      </c>
      <c r="G3589" t="str">
        <v>-</v>
      </c>
    </row>
    <row r="3590">
      <c r="A3590">
        <v>3589</v>
      </c>
      <c r="B3590" t="str">
        <v>Công an xã Thanh Chăn  tỉnh Điện Biên</v>
      </c>
      <c r="C3590" t="str">
        <v>-</v>
      </c>
      <c r="D3590" t="str">
        <v>-</v>
      </c>
      <c r="E3590" t="str">
        <v/>
      </c>
      <c r="F3590" t="str">
        <v>-</v>
      </c>
      <c r="G3590" t="str">
        <v>-</v>
      </c>
    </row>
    <row r="3591">
      <c r="A3591">
        <v>3590</v>
      </c>
      <c r="B3591">
        <f>HYPERLINK("https://stttt.dienbien.gov.vn/vi/about/danh-sach-nguoi-phat-ngon-tinh-dien-bien-nam-2018.html", "UBND Ủy ban nhân dân xã Thanh Chăn  tỉnh Điện Biên")</f>
      </c>
      <c r="C3591" t="str">
        <v>https://stttt.dienbien.gov.vn/vi/about/danh-sach-nguoi-phat-ngon-tinh-dien-bien-nam-2018.html</v>
      </c>
      <c r="D3591" t="str">
        <v>-</v>
      </c>
      <c r="E3591" t="str">
        <v>-</v>
      </c>
      <c r="F3591" t="str">
        <v>-</v>
      </c>
      <c r="G3591" t="str">
        <v>-</v>
      </c>
    </row>
    <row r="3592">
      <c r="A3592">
        <v>3591</v>
      </c>
      <c r="B3592" t="str">
        <v>Công an xã Pa Thơm  tỉnh Điện Biên</v>
      </c>
      <c r="C3592" t="str">
        <v>-</v>
      </c>
      <c r="D3592" t="str">
        <v>-</v>
      </c>
      <c r="E3592" t="str">
        <v/>
      </c>
      <c r="F3592" t="str">
        <v>-</v>
      </c>
      <c r="G3592" t="str">
        <v>-</v>
      </c>
    </row>
    <row r="3593">
      <c r="A3593">
        <v>3592</v>
      </c>
      <c r="B3593">
        <f>HYPERLINK("https://huyendienbien.dienbien.gov.vn/muongnha/T/Xa-Pa-Thom-", "UBND Ủy ban nhân dân xã Pa Thơm  tỉnh Điện Biên")</f>
      </c>
      <c r="C3593" t="str">
        <v>https://huyendienbien.dienbien.gov.vn/muongnha/T/Xa-Pa-Thom-</v>
      </c>
      <c r="D3593" t="str">
        <v>-</v>
      </c>
      <c r="E3593" t="str">
        <v>-</v>
      </c>
      <c r="F3593" t="str">
        <v>-</v>
      </c>
      <c r="G3593" t="str">
        <v>-</v>
      </c>
    </row>
    <row r="3594">
      <c r="A3594">
        <v>3593</v>
      </c>
      <c r="B3594">
        <f>HYPERLINK("https://www.facebook.com/TuoiTreCongAnDienBien/", "Công an xã Thanh An  tỉnh Điện Biên")</f>
      </c>
      <c r="C3594" t="str">
        <v>https://www.facebook.com/TuoiTreCongAnDienBien/</v>
      </c>
      <c r="D3594" t="str">
        <v>-</v>
      </c>
      <c r="E3594" t="str">
        <v/>
      </c>
      <c r="F3594" t="str">
        <v>-</v>
      </c>
      <c r="G3594" t="str">
        <v>-</v>
      </c>
    </row>
    <row r="3595">
      <c r="A3595">
        <v>3594</v>
      </c>
      <c r="B3595">
        <f>HYPERLINK("https://stttt.dienbien.gov.vn/vi/about/danh-sach-nguoi-phat-ngon-tinh-dien-bien-nam-2018.html", "UBND Ủy ban nhân dân xã Thanh An  tỉnh Điện Biên")</f>
      </c>
      <c r="C3595" t="str">
        <v>https://stttt.dienbien.gov.vn/vi/about/danh-sach-nguoi-phat-ngon-tinh-dien-bien-nam-2018.html</v>
      </c>
      <c r="D3595" t="str">
        <v>-</v>
      </c>
      <c r="E3595" t="str">
        <v>-</v>
      </c>
      <c r="F3595" t="str">
        <v>-</v>
      </c>
      <c r="G3595" t="str">
        <v>-</v>
      </c>
    </row>
    <row r="3596">
      <c r="A3596">
        <v>3595</v>
      </c>
      <c r="B3596" t="str">
        <v>Công an xã Thanh Yên  tỉnh Điện Biên</v>
      </c>
      <c r="C3596" t="str">
        <v>-</v>
      </c>
      <c r="D3596" t="str">
        <v>-</v>
      </c>
      <c r="E3596" t="str">
        <v/>
      </c>
      <c r="F3596" t="str">
        <v>-</v>
      </c>
      <c r="G3596" t="str">
        <v>-</v>
      </c>
    </row>
    <row r="3597">
      <c r="A3597">
        <v>3596</v>
      </c>
      <c r="B3597">
        <f>HYPERLINK("https://huyendienbien.dienbien.gov.vn/muongnha/T/Xa-Thanh-yen", "UBND Ủy ban nhân dân xã Thanh Yên  tỉnh Điện Biên")</f>
      </c>
      <c r="C3597" t="str">
        <v>https://huyendienbien.dienbien.gov.vn/muongnha/T/Xa-Thanh-yen</v>
      </c>
      <c r="D3597" t="str">
        <v>-</v>
      </c>
      <c r="E3597" t="str">
        <v>-</v>
      </c>
      <c r="F3597" t="str">
        <v>-</v>
      </c>
      <c r="G3597" t="str">
        <v>-</v>
      </c>
    </row>
    <row r="3598">
      <c r="A3598">
        <v>3597</v>
      </c>
      <c r="B3598" t="str">
        <v>Công an xã Noong Luống  tỉnh Điện Biên</v>
      </c>
      <c r="C3598" t="str">
        <v>-</v>
      </c>
      <c r="D3598" t="str">
        <v>-</v>
      </c>
      <c r="E3598" t="str">
        <v/>
      </c>
      <c r="F3598" t="str">
        <v>-</v>
      </c>
      <c r="G3598" t="str">
        <v>-</v>
      </c>
    </row>
    <row r="3599">
      <c r="A3599">
        <v>3598</v>
      </c>
      <c r="B3599">
        <f>HYPERLINK("https://huyendienbien.dienbien.gov.vn/noonghet/Tintuc/One/Xa-Noong-Luong", "UBND Ủy ban nhân dân xã Noong Luống  tỉnh Điện Biên")</f>
      </c>
      <c r="C3599" t="str">
        <v>https://huyendienbien.dienbien.gov.vn/noonghet/Tintuc/One/Xa-Noong-Luong</v>
      </c>
      <c r="D3599" t="str">
        <v>-</v>
      </c>
      <c r="E3599" t="str">
        <v>-</v>
      </c>
      <c r="F3599" t="str">
        <v>-</v>
      </c>
      <c r="G3599" t="str">
        <v>-</v>
      </c>
    </row>
    <row r="3600">
      <c r="A3600">
        <v>3599</v>
      </c>
      <c r="B3600" t="str">
        <v>Công an xã Noọng Hẹt  tỉnh Điện Biên</v>
      </c>
      <c r="C3600" t="str">
        <v>-</v>
      </c>
      <c r="D3600" t="str">
        <v>-</v>
      </c>
      <c r="E3600" t="str">
        <v/>
      </c>
      <c r="F3600" t="str">
        <v>-</v>
      </c>
      <c r="G3600" t="str">
        <v>-</v>
      </c>
    </row>
    <row r="3601">
      <c r="A3601">
        <v>3600</v>
      </c>
      <c r="B3601">
        <f>HYPERLINK("https://huyendienbien.dienbien.gov.vn/Noonghet", "UBND Ủy ban nhân dân xã Noọng Hẹt  tỉnh Điện Biên")</f>
      </c>
      <c r="C3601" t="str">
        <v>https://huyendienbien.dienbien.gov.vn/Noonghet</v>
      </c>
      <c r="D3601" t="str">
        <v>-</v>
      </c>
      <c r="E3601" t="str">
        <v>-</v>
      </c>
      <c r="F3601" t="str">
        <v>-</v>
      </c>
      <c r="G3601" t="str">
        <v>-</v>
      </c>
    </row>
    <row r="3602">
      <c r="A3602">
        <v>3601</v>
      </c>
      <c r="B3602" t="str">
        <v>Công an xã Sam Mứn  tỉnh Điện Biên</v>
      </c>
      <c r="C3602" t="str">
        <v>-</v>
      </c>
      <c r="D3602" t="str">
        <v>-</v>
      </c>
      <c r="E3602" t="str">
        <v/>
      </c>
      <c r="F3602" t="str">
        <v>-</v>
      </c>
      <c r="G3602" t="str">
        <v>-</v>
      </c>
    </row>
    <row r="3603">
      <c r="A3603">
        <v>3602</v>
      </c>
      <c r="B3603">
        <f>HYPERLINK("https://huyendienbien.dienbien.gov.vn/muongnha/Tintuc/One/Xa-Sam-Mun", "UBND Ủy ban nhân dân xã Sam Mứn  tỉnh Điện Biên")</f>
      </c>
      <c r="C3603" t="str">
        <v>https://huyendienbien.dienbien.gov.vn/muongnha/Tintuc/One/Xa-Sam-Mun</v>
      </c>
      <c r="D3603" t="str">
        <v>-</v>
      </c>
      <c r="E3603" t="str">
        <v>-</v>
      </c>
      <c r="F3603" t="str">
        <v>-</v>
      </c>
      <c r="G3603" t="str">
        <v>-</v>
      </c>
    </row>
    <row r="3604">
      <c r="A3604">
        <v>3603</v>
      </c>
      <c r="B3604" t="str">
        <v>Công an xã Pom Lót  tỉnh Điện Biên</v>
      </c>
      <c r="C3604" t="str">
        <v>-</v>
      </c>
      <c r="D3604" t="str">
        <v>-</v>
      </c>
      <c r="E3604" t="str">
        <v/>
      </c>
      <c r="F3604" t="str">
        <v>-</v>
      </c>
      <c r="G3604" t="str">
        <v>-</v>
      </c>
    </row>
    <row r="3605">
      <c r="A3605">
        <v>3604</v>
      </c>
      <c r="B3605">
        <f>HYPERLINK("https://huyendienbien.dienbien.gov.vn/pomlot/", "UBND Ủy ban nhân dân xã Pom Lót  tỉnh Điện Biên")</f>
      </c>
      <c r="C3605" t="str">
        <v>https://huyendienbien.dienbien.gov.vn/pomlot/</v>
      </c>
      <c r="D3605" t="str">
        <v>-</v>
      </c>
      <c r="E3605" t="str">
        <v>-</v>
      </c>
      <c r="F3605" t="str">
        <v>-</v>
      </c>
      <c r="G3605" t="str">
        <v>-</v>
      </c>
    </row>
    <row r="3606">
      <c r="A3606">
        <v>3605</v>
      </c>
      <c r="B3606" t="str">
        <v>Công an xã Núa Ngam  tỉnh Điện Biên</v>
      </c>
      <c r="C3606" t="str">
        <v>-</v>
      </c>
      <c r="D3606" t="str">
        <v>-</v>
      </c>
      <c r="E3606" t="str">
        <v/>
      </c>
      <c r="F3606" t="str">
        <v>-</v>
      </c>
      <c r="G3606" t="str">
        <v>-</v>
      </c>
    </row>
    <row r="3607">
      <c r="A3607">
        <v>3606</v>
      </c>
      <c r="B3607">
        <f>HYPERLINK("https://huyendienbien.dienbien.gov.vn/PaThom/Tintuc/One/-Xa-Nua-Ngam", "UBND Ủy ban nhân dân xã Núa Ngam  tỉnh Điện Biên")</f>
      </c>
      <c r="C3607" t="str">
        <v>https://huyendienbien.dienbien.gov.vn/PaThom/Tintuc/One/-Xa-Nua-Ngam</v>
      </c>
      <c r="D3607" t="str">
        <v>-</v>
      </c>
      <c r="E3607" t="str">
        <v>-</v>
      </c>
      <c r="F3607" t="str">
        <v>-</v>
      </c>
      <c r="G3607" t="str">
        <v>-</v>
      </c>
    </row>
    <row r="3608">
      <c r="A3608">
        <v>3607</v>
      </c>
      <c r="B3608" t="str">
        <v>Công an xã Hẹ Muông  tỉnh Điện Biên</v>
      </c>
      <c r="C3608" t="str">
        <v>-</v>
      </c>
      <c r="D3608" t="str">
        <v>-</v>
      </c>
      <c r="E3608" t="str">
        <v/>
      </c>
      <c r="F3608" t="str">
        <v>-</v>
      </c>
      <c r="G3608" t="str">
        <v>-</v>
      </c>
    </row>
    <row r="3609">
      <c r="A3609">
        <v>3608</v>
      </c>
      <c r="B3609">
        <f>HYPERLINK("https://huyendienbien.dienbien.gov.vn/muongnha/T/-Xa-He-Muong-", "UBND Ủy ban nhân dân xã Hẹ Muông  tỉnh Điện Biên")</f>
      </c>
      <c r="C3609" t="str">
        <v>https://huyendienbien.dienbien.gov.vn/muongnha/T/-Xa-He-Muong-</v>
      </c>
      <c r="D3609" t="str">
        <v>-</v>
      </c>
      <c r="E3609" t="str">
        <v>-</v>
      </c>
      <c r="F3609" t="str">
        <v>-</v>
      </c>
      <c r="G3609" t="str">
        <v>-</v>
      </c>
    </row>
    <row r="3610">
      <c r="A3610">
        <v>3609</v>
      </c>
      <c r="B3610" t="str">
        <v>Công an xã Na Ư  tỉnh Điện Biên</v>
      </c>
      <c r="C3610" t="str">
        <v>-</v>
      </c>
      <c r="D3610" t="str">
        <v>-</v>
      </c>
      <c r="E3610" t="str">
        <v/>
      </c>
      <c r="F3610" t="str">
        <v>-</v>
      </c>
      <c r="G3610" t="str">
        <v>-</v>
      </c>
    </row>
    <row r="3611">
      <c r="A3611">
        <v>3610</v>
      </c>
      <c r="B3611">
        <f>HYPERLINK("https://stttt.dienbien.gov.vn/vi/about/danh-sach-nguoi-phat-ngon-tinh-dien-bien-nam-2018.html", "UBND Ủy ban nhân dân xã Na Ư  tỉnh Điện Biên")</f>
      </c>
      <c r="C3611" t="str">
        <v>https://stttt.dienbien.gov.vn/vi/about/danh-sach-nguoi-phat-ngon-tinh-dien-bien-nam-2018.html</v>
      </c>
      <c r="D3611" t="str">
        <v>-</v>
      </c>
      <c r="E3611" t="str">
        <v>-</v>
      </c>
      <c r="F3611" t="str">
        <v>-</v>
      </c>
      <c r="G3611" t="str">
        <v>-</v>
      </c>
    </row>
    <row r="3612">
      <c r="A3612">
        <v>3611</v>
      </c>
      <c r="B3612" t="str">
        <v>Công an xã Mường Nhà  tỉnh Điện Biên</v>
      </c>
      <c r="C3612" t="str">
        <v>-</v>
      </c>
      <c r="D3612" t="str">
        <v>-</v>
      </c>
      <c r="E3612" t="str">
        <v/>
      </c>
      <c r="F3612" t="str">
        <v>-</v>
      </c>
      <c r="G3612" t="str">
        <v>-</v>
      </c>
    </row>
    <row r="3613">
      <c r="A3613">
        <v>3612</v>
      </c>
      <c r="B3613">
        <f>HYPERLINK("https://stttt.dienbien.gov.vn/vi/about/danh-sach-nguoi-phat-ngon-tinh-dien-bien-nam-2018.html", "UBND Ủy ban nhân dân xã Mường Nhà  tỉnh Điện Biên")</f>
      </c>
      <c r="C3613" t="str">
        <v>https://stttt.dienbien.gov.vn/vi/about/danh-sach-nguoi-phat-ngon-tinh-dien-bien-nam-2018.html</v>
      </c>
      <c r="D3613" t="str">
        <v>-</v>
      </c>
      <c r="E3613" t="str">
        <v>-</v>
      </c>
      <c r="F3613" t="str">
        <v>-</v>
      </c>
      <c r="G3613" t="str">
        <v>-</v>
      </c>
    </row>
    <row r="3614">
      <c r="A3614">
        <v>3613</v>
      </c>
      <c r="B3614" t="str">
        <v>Công an xã Na Tông  tỉnh Điện Biên</v>
      </c>
      <c r="C3614" t="str">
        <v>-</v>
      </c>
      <c r="D3614" t="str">
        <v>-</v>
      </c>
      <c r="E3614" t="str">
        <v/>
      </c>
      <c r="F3614" t="str">
        <v>-</v>
      </c>
      <c r="G3614" t="str">
        <v>-</v>
      </c>
    </row>
    <row r="3615">
      <c r="A3615">
        <v>3614</v>
      </c>
      <c r="B3615">
        <f>HYPERLINK("https://stttt.dienbien.gov.vn/vi/about/danh-sach-nguoi-phat-ngon-tinh-dien-bien-nam-2018.html", "UBND Ủy ban nhân dân xã Na Tông  tỉnh Điện Biên")</f>
      </c>
      <c r="C3615" t="str">
        <v>https://stttt.dienbien.gov.vn/vi/about/danh-sach-nguoi-phat-ngon-tinh-dien-bien-nam-2018.html</v>
      </c>
      <c r="D3615" t="str">
        <v>-</v>
      </c>
      <c r="E3615" t="str">
        <v>-</v>
      </c>
      <c r="F3615" t="str">
        <v>-</v>
      </c>
      <c r="G3615" t="str">
        <v>-</v>
      </c>
    </row>
    <row r="3616">
      <c r="A3616">
        <v>3615</v>
      </c>
      <c r="B3616" t="str">
        <v>Công an xã Mường Lói  tỉnh Điện Biên</v>
      </c>
      <c r="C3616" t="str">
        <v>-</v>
      </c>
      <c r="D3616" t="str">
        <v>-</v>
      </c>
      <c r="E3616" t="str">
        <v/>
      </c>
      <c r="F3616" t="str">
        <v>-</v>
      </c>
      <c r="G3616" t="str">
        <v>-</v>
      </c>
    </row>
    <row r="3617">
      <c r="A3617">
        <v>3616</v>
      </c>
      <c r="B3617">
        <f>HYPERLINK("https://huyendienbien.dienbien.gov.vn/muongloi/T/HUYEN-DOAN-DIEN-BIEN-DANG-UY-UBND-DOAN-XA-MUONG-LOI-PHOI-HOP-LIEN-CHI-DOAN-KHOA-QUAN-TR", "UBND Ủy ban nhân dân xã Mường Lói  tỉnh Điện Biên")</f>
      </c>
      <c r="C3617" t="str">
        <v>https://huyendienbien.dienbien.gov.vn/muongloi/T/HUYEN-DOAN-DIEN-BIEN-DANG-UY-UBND-DOAN-XA-MUONG-LOI-PHOI-HOP-LIEN-CHI-DOAN-KHOA-QUAN-TR</v>
      </c>
      <c r="D3617" t="str">
        <v>-</v>
      </c>
      <c r="E3617" t="str">
        <v>-</v>
      </c>
      <c r="F3617" t="str">
        <v>-</v>
      </c>
      <c r="G3617" t="str">
        <v>-</v>
      </c>
    </row>
    <row r="3618">
      <c r="A3618">
        <v>3617</v>
      </c>
      <c r="B3618">
        <f>HYPERLINK("https://www.facebook.com/TuoiTreCongAnDienBien/", "Công an xã Phu Luông  tỉnh Điện Biên")</f>
      </c>
      <c r="C3618" t="str">
        <v>https://www.facebook.com/TuoiTreCongAnDienBien/</v>
      </c>
      <c r="D3618" t="str">
        <v>-</v>
      </c>
      <c r="E3618" t="str">
        <v/>
      </c>
      <c r="F3618" t="str">
        <v>-</v>
      </c>
      <c r="G3618" t="str">
        <v>-</v>
      </c>
    </row>
    <row r="3619">
      <c r="A3619">
        <v>3618</v>
      </c>
      <c r="B3619">
        <f>HYPERLINK("https://huyendienbien.dienbien.gov.vn/phuluong/", "UBND Ủy ban nhân dân xã Phu Luông  tỉnh Điện Biên")</f>
      </c>
      <c r="C3619" t="str">
        <v>https://huyendienbien.dienbien.gov.vn/phuluong/</v>
      </c>
      <c r="D3619" t="str">
        <v>-</v>
      </c>
      <c r="E3619" t="str">
        <v>-</v>
      </c>
      <c r="F3619" t="str">
        <v>-</v>
      </c>
      <c r="G3619" t="str">
        <v>-</v>
      </c>
    </row>
    <row r="3620">
      <c r="A3620">
        <v>3619</v>
      </c>
      <c r="B3620">
        <f>HYPERLINK("https://www.facebook.com/TuoiTreCongAnDienBien/", "Công an thị trấn Điện Biên Đông  tỉnh Điện Biên")</f>
      </c>
      <c r="C3620" t="str">
        <v>https://www.facebook.com/TuoiTreCongAnDienBien/</v>
      </c>
      <c r="D3620" t="str">
        <v>-</v>
      </c>
      <c r="E3620" t="str">
        <v/>
      </c>
      <c r="F3620" t="str">
        <v>-</v>
      </c>
      <c r="G3620" t="str">
        <v>-</v>
      </c>
    </row>
    <row r="3621">
      <c r="A3621">
        <v>3620</v>
      </c>
      <c r="B3621">
        <f>HYPERLINK("https://dienbiendong.dienbien.gov.vn/", "UBND Ủy ban nhân dân thị trấn Điện Biên Đông  tỉnh Điện Biên")</f>
      </c>
      <c r="C3621" t="str">
        <v>https://dienbiendong.dienbien.gov.vn/</v>
      </c>
      <c r="D3621" t="str">
        <v>-</v>
      </c>
      <c r="E3621" t="str">
        <v>-</v>
      </c>
      <c r="F3621" t="str">
        <v>-</v>
      </c>
      <c r="G3621" t="str">
        <v>-</v>
      </c>
    </row>
    <row r="3622">
      <c r="A3622">
        <v>3621</v>
      </c>
      <c r="B3622">
        <f>HYPERLINK("https://www.facebook.com/tuoitrecongansonla/", "Công an xã Na Son  tỉnh Điện Biên")</f>
      </c>
      <c r="C3622" t="str">
        <v>https://www.facebook.com/tuoitrecongansonla/</v>
      </c>
      <c r="D3622" t="str">
        <v>-</v>
      </c>
      <c r="E3622" t="str">
        <v/>
      </c>
      <c r="F3622" t="str">
        <v>-</v>
      </c>
      <c r="G3622" t="str">
        <v>-</v>
      </c>
    </row>
    <row r="3623">
      <c r="A3623">
        <v>3622</v>
      </c>
      <c r="B3623">
        <f>HYPERLINK("https://stttt.dienbien.gov.vn/vi/about/danh-sach-nguoi-phat-ngon-tinh-dien-bien-nam-2018.html", "UBND Ủy ban nhân dân xã Na Son  tỉnh Điện Biên")</f>
      </c>
      <c r="C3623" t="str">
        <v>https://stttt.dienbien.gov.vn/vi/about/danh-sach-nguoi-phat-ngon-tinh-dien-bien-nam-2018.html</v>
      </c>
      <c r="D3623" t="str">
        <v>-</v>
      </c>
      <c r="E3623" t="str">
        <v>-</v>
      </c>
      <c r="F3623" t="str">
        <v>-</v>
      </c>
      <c r="G3623" t="str">
        <v>-</v>
      </c>
    </row>
    <row r="3624">
      <c r="A3624">
        <v>3623</v>
      </c>
      <c r="B3624" t="str">
        <v>Công an xã Phì Nhừ  tỉnh Điện Biên</v>
      </c>
      <c r="C3624" t="str">
        <v>-</v>
      </c>
      <c r="D3624" t="str">
        <v>-</v>
      </c>
      <c r="E3624" t="str">
        <v/>
      </c>
      <c r="F3624" t="str">
        <v>-</v>
      </c>
      <c r="G3624" t="str">
        <v>-</v>
      </c>
    </row>
    <row r="3625">
      <c r="A3625">
        <v>3624</v>
      </c>
      <c r="B3625">
        <f>HYPERLINK("https://stttt.dienbien.gov.vn/vi/about/danh-sach-nguoi-phat-ngon-tinh-dien-bien-nam-2018.html", "UBND Ủy ban nhân dân xã Phì Nhừ  tỉnh Điện Biên")</f>
      </c>
      <c r="C3625" t="str">
        <v>https://stttt.dienbien.gov.vn/vi/about/danh-sach-nguoi-phat-ngon-tinh-dien-bien-nam-2018.html</v>
      </c>
      <c r="D3625" t="str">
        <v>-</v>
      </c>
      <c r="E3625" t="str">
        <v>-</v>
      </c>
      <c r="F3625" t="str">
        <v>-</v>
      </c>
      <c r="G3625" t="str">
        <v>-</v>
      </c>
    </row>
    <row r="3626">
      <c r="A3626">
        <v>3625</v>
      </c>
      <c r="B3626" t="str">
        <v>Công an xã Chiềng Sơ  tỉnh Điện Biên</v>
      </c>
      <c r="C3626" t="str">
        <v>-</v>
      </c>
      <c r="D3626" t="str">
        <v>-</v>
      </c>
      <c r="E3626" t="str">
        <v/>
      </c>
      <c r="F3626" t="str">
        <v>-</v>
      </c>
      <c r="G3626" t="str">
        <v>-</v>
      </c>
    </row>
    <row r="3627">
      <c r="A3627">
        <v>3626</v>
      </c>
      <c r="B3627">
        <f>HYPERLINK("https://stttt.dienbien.gov.vn/vi/about/danh-sach-nguoi-phat-ngon-tinh-dien-bien-nam-2018.html", "UBND Ủy ban nhân dân xã Chiềng Sơ  tỉnh Điện Biên")</f>
      </c>
      <c r="C3627" t="str">
        <v>https://stttt.dienbien.gov.vn/vi/about/danh-sach-nguoi-phat-ngon-tinh-dien-bien-nam-2018.html</v>
      </c>
      <c r="D3627" t="str">
        <v>-</v>
      </c>
      <c r="E3627" t="str">
        <v>-</v>
      </c>
      <c r="F3627" t="str">
        <v>-</v>
      </c>
      <c r="G3627" t="str">
        <v>-</v>
      </c>
    </row>
    <row r="3628">
      <c r="A3628">
        <v>3627</v>
      </c>
      <c r="B3628" t="str">
        <v>Công an xã Mường Luân  tỉnh Điện Biên</v>
      </c>
      <c r="C3628" t="str">
        <v>-</v>
      </c>
      <c r="D3628" t="str">
        <v>-</v>
      </c>
      <c r="E3628" t="str">
        <v/>
      </c>
      <c r="F3628" t="str">
        <v>-</v>
      </c>
      <c r="G3628" t="str">
        <v>-</v>
      </c>
    </row>
    <row r="3629">
      <c r="A3629">
        <v>3628</v>
      </c>
      <c r="B3629">
        <f>HYPERLINK("https://stttt.dienbien.gov.vn/vi/about/danh-sach-nguoi-phat-ngon-tinh-dien-bien-nam-2018.html", "UBND Ủy ban nhân dân xã Mường Luân  tỉnh Điện Biên")</f>
      </c>
      <c r="C3629" t="str">
        <v>https://stttt.dienbien.gov.vn/vi/about/danh-sach-nguoi-phat-ngon-tinh-dien-bien-nam-2018.html</v>
      </c>
      <c r="D3629" t="str">
        <v>-</v>
      </c>
      <c r="E3629" t="str">
        <v>-</v>
      </c>
      <c r="F3629" t="str">
        <v>-</v>
      </c>
      <c r="G3629" t="str">
        <v>-</v>
      </c>
    </row>
    <row r="3630">
      <c r="A3630">
        <v>3629</v>
      </c>
      <c r="B3630" t="str">
        <v>Công an xã Pú Nhi  tỉnh Điện Biên</v>
      </c>
      <c r="C3630" t="str">
        <v>-</v>
      </c>
      <c r="D3630" t="str">
        <v>-</v>
      </c>
      <c r="E3630" t="str">
        <v/>
      </c>
      <c r="F3630" t="str">
        <v>-</v>
      </c>
      <c r="G3630" t="str">
        <v>-</v>
      </c>
    </row>
    <row r="3631">
      <c r="A3631">
        <v>3630</v>
      </c>
      <c r="B3631">
        <f>HYPERLINK("https://stttt.dienbien.gov.vn/vi/about/danh-sach-nguoi-phat-ngon-tinh-dien-bien-nam-2018.html", "UBND Ủy ban nhân dân xã Pú Nhi  tỉnh Điện Biên")</f>
      </c>
      <c r="C3631" t="str">
        <v>https://stttt.dienbien.gov.vn/vi/about/danh-sach-nguoi-phat-ngon-tinh-dien-bien-nam-2018.html</v>
      </c>
      <c r="D3631" t="str">
        <v>-</v>
      </c>
      <c r="E3631" t="str">
        <v>-</v>
      </c>
      <c r="F3631" t="str">
        <v>-</v>
      </c>
      <c r="G3631" t="str">
        <v>-</v>
      </c>
    </row>
    <row r="3632">
      <c r="A3632">
        <v>3631</v>
      </c>
      <c r="B3632">
        <f>HYPERLINK("https://www.facebook.com/conganBaTri/", "Công an xã Nong U  tỉnh Điện Biên")</f>
      </c>
      <c r="C3632" t="str">
        <v>https://www.facebook.com/conganBaTri/</v>
      </c>
      <c r="D3632" t="str">
        <v>-</v>
      </c>
      <c r="E3632" t="str">
        <v/>
      </c>
      <c r="F3632" t="str">
        <v>-</v>
      </c>
      <c r="G3632" t="str">
        <v>-</v>
      </c>
    </row>
    <row r="3633">
      <c r="A3633">
        <v>3632</v>
      </c>
      <c r="B3633">
        <f>HYPERLINK("https://stttt.dienbien.gov.vn/vi/about/danh-sach-nguoi-phat-ngon-tinh-dien-bien-nam-2018.html", "UBND Ủy ban nhân dân xã Nong U  tỉnh Điện Biên")</f>
      </c>
      <c r="C3633" t="str">
        <v>https://stttt.dienbien.gov.vn/vi/about/danh-sach-nguoi-phat-ngon-tinh-dien-bien-nam-2018.html</v>
      </c>
      <c r="D3633" t="str">
        <v>-</v>
      </c>
      <c r="E3633" t="str">
        <v>-</v>
      </c>
      <c r="F3633" t="str">
        <v>-</v>
      </c>
      <c r="G3633" t="str">
        <v>-</v>
      </c>
    </row>
    <row r="3634">
      <c r="A3634">
        <v>3633</v>
      </c>
      <c r="B3634" t="str">
        <v>Công an xã Xa Dung  tỉnh Điện Biên</v>
      </c>
      <c r="C3634" t="str">
        <v>-</v>
      </c>
      <c r="D3634" t="str">
        <v>-</v>
      </c>
      <c r="E3634" t="str">
        <v/>
      </c>
      <c r="F3634" t="str">
        <v>-</v>
      </c>
      <c r="G3634" t="str">
        <v>-</v>
      </c>
    </row>
    <row r="3635">
      <c r="A3635">
        <v>3634</v>
      </c>
      <c r="B3635">
        <f>HYPERLINK("https://stttt.dienbien.gov.vn/vi/about/danh-sach-nguoi-phat-ngon-tinh-dien-bien-nam-2018.html", "UBND Ủy ban nhân dân xã Xa Dung  tỉnh Điện Biên")</f>
      </c>
      <c r="C3635" t="str">
        <v>https://stttt.dienbien.gov.vn/vi/about/danh-sach-nguoi-phat-ngon-tinh-dien-bien-nam-2018.html</v>
      </c>
      <c r="D3635" t="str">
        <v>-</v>
      </c>
      <c r="E3635" t="str">
        <v>-</v>
      </c>
      <c r="F3635" t="str">
        <v>-</v>
      </c>
      <c r="G3635" t="str">
        <v>-</v>
      </c>
    </row>
    <row r="3636">
      <c r="A3636">
        <v>3635</v>
      </c>
      <c r="B3636" t="str">
        <v>Công an xã Keo Lôm  tỉnh Điện Biên</v>
      </c>
      <c r="C3636" t="str">
        <v>-</v>
      </c>
      <c r="D3636" t="str">
        <v>-</v>
      </c>
      <c r="E3636" t="str">
        <v/>
      </c>
      <c r="F3636" t="str">
        <v>-</v>
      </c>
      <c r="G3636" t="str">
        <v>-</v>
      </c>
    </row>
    <row r="3637">
      <c r="A3637">
        <v>3636</v>
      </c>
      <c r="B3637">
        <f>HYPERLINK("https://stttt.dienbien.gov.vn/vi/about/danh-sach-nguoi-phat-ngon-tinh-dien-bien-nam-2018.html", "UBND Ủy ban nhân dân xã Keo Lôm  tỉnh Điện Biên")</f>
      </c>
      <c r="C3637" t="str">
        <v>https://stttt.dienbien.gov.vn/vi/about/danh-sach-nguoi-phat-ngon-tinh-dien-bien-nam-2018.html</v>
      </c>
      <c r="D3637" t="str">
        <v>-</v>
      </c>
      <c r="E3637" t="str">
        <v>-</v>
      </c>
      <c r="F3637" t="str">
        <v>-</v>
      </c>
      <c r="G3637" t="str">
        <v>-</v>
      </c>
    </row>
    <row r="3638">
      <c r="A3638">
        <v>3637</v>
      </c>
      <c r="B3638" t="str">
        <v>Công an xã Luân Giới  tỉnh Điện Biên</v>
      </c>
      <c r="C3638" t="str">
        <v>-</v>
      </c>
      <c r="D3638" t="str">
        <v>-</v>
      </c>
      <c r="E3638" t="str">
        <v/>
      </c>
      <c r="F3638" t="str">
        <v>-</v>
      </c>
      <c r="G3638" t="str">
        <v>-</v>
      </c>
    </row>
    <row r="3639">
      <c r="A3639">
        <v>3638</v>
      </c>
      <c r="B3639">
        <f>HYPERLINK("https://stttt.dienbien.gov.vn/vi/about/danh-sach-nguoi-phat-ngon-tinh-dien-bien-nam-2018.html", "UBND Ủy ban nhân dân xã Luân Giới  tỉnh Điện Biên")</f>
      </c>
      <c r="C3639" t="str">
        <v>https://stttt.dienbien.gov.vn/vi/about/danh-sach-nguoi-phat-ngon-tinh-dien-bien-nam-2018.html</v>
      </c>
      <c r="D3639" t="str">
        <v>-</v>
      </c>
      <c r="E3639" t="str">
        <v>-</v>
      </c>
      <c r="F3639" t="str">
        <v>-</v>
      </c>
      <c r="G3639" t="str">
        <v>-</v>
      </c>
    </row>
    <row r="3640">
      <c r="A3640">
        <v>3639</v>
      </c>
      <c r="B3640" t="str">
        <v>Công an xã Phình Giàng  tỉnh Điện Biên</v>
      </c>
      <c r="C3640" t="str">
        <v>-</v>
      </c>
      <c r="D3640" t="str">
        <v>-</v>
      </c>
      <c r="E3640" t="str">
        <v/>
      </c>
      <c r="F3640" t="str">
        <v>-</v>
      </c>
      <c r="G3640" t="str">
        <v>-</v>
      </c>
    </row>
    <row r="3641">
      <c r="A3641">
        <v>3640</v>
      </c>
      <c r="B3641">
        <f>HYPERLINK("https://stttt.dienbien.gov.vn/vi/about/danh-sach-nguoi-phat-ngon-tinh-dien-bien-nam-2018.html", "UBND Ủy ban nhân dân xã Phình Giàng  tỉnh Điện Biên")</f>
      </c>
      <c r="C3641" t="str">
        <v>https://stttt.dienbien.gov.vn/vi/about/danh-sach-nguoi-phat-ngon-tinh-dien-bien-nam-2018.html</v>
      </c>
      <c r="D3641" t="str">
        <v>-</v>
      </c>
      <c r="E3641" t="str">
        <v>-</v>
      </c>
      <c r="F3641" t="str">
        <v>-</v>
      </c>
      <c r="G3641" t="str">
        <v>-</v>
      </c>
    </row>
    <row r="3642">
      <c r="A3642">
        <v>3641</v>
      </c>
      <c r="B3642">
        <f>HYPERLINK("https://www.facebook.com/caxpuhongdbd/", "Công an xã Pú Hồng  tỉnh Điện Biên")</f>
      </c>
      <c r="C3642" t="str">
        <v>https://www.facebook.com/caxpuhongdbd/</v>
      </c>
      <c r="D3642" t="str">
        <v>-</v>
      </c>
      <c r="E3642" t="str">
        <v/>
      </c>
      <c r="F3642" t="str">
        <v>-</v>
      </c>
      <c r="G3642" t="str">
        <v>-</v>
      </c>
    </row>
    <row r="3643">
      <c r="A3643">
        <v>3642</v>
      </c>
      <c r="B3643">
        <f>HYPERLINK("https://stttt.dienbien.gov.vn/vi/about/danh-sach-nguoi-phat-ngon-tinh-dien-bien-nam-2018.html", "UBND Ủy ban nhân dân xã Pú Hồng  tỉnh Điện Biên")</f>
      </c>
      <c r="C3643" t="str">
        <v>https://stttt.dienbien.gov.vn/vi/about/danh-sach-nguoi-phat-ngon-tinh-dien-bien-nam-2018.html</v>
      </c>
      <c r="D3643" t="str">
        <v>-</v>
      </c>
      <c r="E3643" t="str">
        <v>-</v>
      </c>
      <c r="F3643" t="str">
        <v>-</v>
      </c>
      <c r="G3643" t="str">
        <v>-</v>
      </c>
    </row>
    <row r="3644">
      <c r="A3644">
        <v>3643</v>
      </c>
      <c r="B3644" t="str">
        <v>Công an xã Tìa Dình  tỉnh Điện Biên</v>
      </c>
      <c r="C3644" t="str">
        <v>-</v>
      </c>
      <c r="D3644" t="str">
        <v>-</v>
      </c>
      <c r="E3644" t="str">
        <v/>
      </c>
      <c r="F3644" t="str">
        <v>-</v>
      </c>
      <c r="G3644" t="str">
        <v>-</v>
      </c>
    </row>
    <row r="3645">
      <c r="A3645">
        <v>3644</v>
      </c>
      <c r="B3645">
        <f>HYPERLINK("https://stttt.dienbien.gov.vn/vi/about/danh-sach-nguoi-phat-ngon-tinh-dien-bien-nam-2018.html", "UBND Ủy ban nhân dân xã Tìa Dình  tỉnh Điện Biên")</f>
      </c>
      <c r="C3645" t="str">
        <v>https://stttt.dienbien.gov.vn/vi/about/danh-sach-nguoi-phat-ngon-tinh-dien-bien-nam-2018.html</v>
      </c>
      <c r="D3645" t="str">
        <v>-</v>
      </c>
      <c r="E3645" t="str">
        <v>-</v>
      </c>
      <c r="F3645" t="str">
        <v>-</v>
      </c>
      <c r="G3645" t="str">
        <v>-</v>
      </c>
    </row>
    <row r="3646">
      <c r="A3646">
        <v>3645</v>
      </c>
      <c r="B3646">
        <f>HYPERLINK("https://www.facebook.com/132318358393646", "Công an xã Háng Lìa  tỉnh Điện Biên")</f>
      </c>
      <c r="C3646" t="str">
        <v>https://www.facebook.com/132318358393646</v>
      </c>
      <c r="D3646" t="str">
        <v>-</v>
      </c>
      <c r="E3646" t="str">
        <v/>
      </c>
      <c r="F3646" t="str">
        <v>-</v>
      </c>
      <c r="G3646" t="str">
        <v>-</v>
      </c>
    </row>
    <row r="3647">
      <c r="A3647">
        <v>3646</v>
      </c>
      <c r="B3647">
        <f>HYPERLINK("https://stttt.dienbien.gov.vn/vi/about/danh-sach-nguoi-phat-ngon-tinh-dien-bien-nam-2018.html", "UBND Ủy ban nhân dân xã Háng Lìa  tỉnh Điện Biên")</f>
      </c>
      <c r="C3647" t="str">
        <v>https://stttt.dienbien.gov.vn/vi/about/danh-sach-nguoi-phat-ngon-tinh-dien-bien-nam-2018.html</v>
      </c>
      <c r="D3647" t="str">
        <v>-</v>
      </c>
      <c r="E3647" t="str">
        <v>-</v>
      </c>
      <c r="F3647" t="str">
        <v>-</v>
      </c>
      <c r="G3647" t="str">
        <v>-</v>
      </c>
    </row>
    <row r="3648">
      <c r="A3648">
        <v>3647</v>
      </c>
      <c r="B3648">
        <f>HYPERLINK("https://www.facebook.com/p/C%C3%B4ng-an-huy%E1%BB%87n-M%C6%B0%E1%BB%9Dng-%E1%BA%A2ng-100057664320652/", "Công an thị trấn Mường Ảng  tỉnh Điện Biên")</f>
      </c>
      <c r="C3648" t="str">
        <v>https://www.facebook.com/p/C%C3%B4ng-an-huy%E1%BB%87n-M%C6%B0%E1%BB%9Dng-%E1%BA%A2ng-100057664320652/</v>
      </c>
      <c r="D3648" t="str">
        <v>-</v>
      </c>
      <c r="E3648" t="str">
        <v/>
      </c>
      <c r="F3648" t="str">
        <v>-</v>
      </c>
      <c r="G3648" t="str">
        <v>-</v>
      </c>
    </row>
    <row r="3649">
      <c r="A3649">
        <v>3648</v>
      </c>
      <c r="B3649">
        <f>HYPERLINK("https://muongang.dienbien.gov.vn/", "UBND Ủy ban nhân dân thị trấn Mường Ảng  tỉnh Điện Biên")</f>
      </c>
      <c r="C3649" t="str">
        <v>https://muongang.dienbien.gov.vn/</v>
      </c>
      <c r="D3649" t="str">
        <v>-</v>
      </c>
      <c r="E3649" t="str">
        <v>-</v>
      </c>
      <c r="F3649" t="str">
        <v>-</v>
      </c>
      <c r="G3649" t="str">
        <v>-</v>
      </c>
    </row>
    <row r="3650">
      <c r="A3650">
        <v>3649</v>
      </c>
      <c r="B3650" t="str">
        <v>Công an xã Mường Đăng  tỉnh Điện Biên</v>
      </c>
      <c r="C3650" t="str">
        <v>-</v>
      </c>
      <c r="D3650" t="str">
        <v>-</v>
      </c>
      <c r="E3650" t="str">
        <v/>
      </c>
      <c r="F3650" t="str">
        <v>-</v>
      </c>
      <c r="G3650" t="str">
        <v>-</v>
      </c>
    </row>
    <row r="3651">
      <c r="A3651">
        <v>3650</v>
      </c>
      <c r="B3651">
        <f>HYPERLINK("https://stttt.dienbien.gov.vn/vi/about/danh-sach-nguoi-phat-ngon-tinh-dien-bien-nam-2018.html", "UBND Ủy ban nhân dân xã Mường Đăng  tỉnh Điện Biên")</f>
      </c>
      <c r="C3651" t="str">
        <v>https://stttt.dienbien.gov.vn/vi/about/danh-sach-nguoi-phat-ngon-tinh-dien-bien-nam-2018.html</v>
      </c>
      <c r="D3651" t="str">
        <v>-</v>
      </c>
      <c r="E3651" t="str">
        <v>-</v>
      </c>
      <c r="F3651" t="str">
        <v>-</v>
      </c>
      <c r="G3651" t="str">
        <v>-</v>
      </c>
    </row>
    <row r="3652">
      <c r="A3652">
        <v>3651</v>
      </c>
      <c r="B3652" t="str">
        <v>Công an xã Ngối Cáy  tỉnh Điện Biên</v>
      </c>
      <c r="C3652" t="str">
        <v>-</v>
      </c>
      <c r="D3652" t="str">
        <v>-</v>
      </c>
      <c r="E3652" t="str">
        <v/>
      </c>
      <c r="F3652" t="str">
        <v>-</v>
      </c>
      <c r="G3652" t="str">
        <v>-</v>
      </c>
    </row>
    <row r="3653">
      <c r="A3653">
        <v>3652</v>
      </c>
      <c r="B3653">
        <f>HYPERLINK("https://stttt.dienbien.gov.vn/vi/about/danh-sach-nguoi-phat-ngon-tinh-dien-bien-nam-2018.html", "UBND Ủy ban nhân dân xã Ngối Cáy  tỉnh Điện Biên")</f>
      </c>
      <c r="C3653" t="str">
        <v>https://stttt.dienbien.gov.vn/vi/about/danh-sach-nguoi-phat-ngon-tinh-dien-bien-nam-2018.html</v>
      </c>
      <c r="D3653" t="str">
        <v>-</v>
      </c>
      <c r="E3653" t="str">
        <v>-</v>
      </c>
      <c r="F3653" t="str">
        <v>-</v>
      </c>
      <c r="G3653" t="str">
        <v>-</v>
      </c>
    </row>
    <row r="3654">
      <c r="A3654">
        <v>3653</v>
      </c>
      <c r="B3654" t="str">
        <v>Công an xã Ẳng Tở  tỉnh Điện Biên</v>
      </c>
      <c r="C3654" t="str">
        <v>-</v>
      </c>
      <c r="D3654" t="str">
        <v>-</v>
      </c>
      <c r="E3654" t="str">
        <v/>
      </c>
      <c r="F3654" t="str">
        <v>-</v>
      </c>
      <c r="G3654" t="str">
        <v>-</v>
      </c>
    </row>
    <row r="3655">
      <c r="A3655">
        <v>3654</v>
      </c>
      <c r="B3655">
        <f>HYPERLINK("https://stttt.dienbien.gov.vn/vi/about/danh-sach-nguoi-phat-ngon-tinh-dien-bien-nam-2018.html", "UBND Ủy ban nhân dân xã Ẳng Tở  tỉnh Điện Biên")</f>
      </c>
      <c r="C3655" t="str">
        <v>https://stttt.dienbien.gov.vn/vi/about/danh-sach-nguoi-phat-ngon-tinh-dien-bien-nam-2018.html</v>
      </c>
      <c r="D3655" t="str">
        <v>-</v>
      </c>
      <c r="E3655" t="str">
        <v>-</v>
      </c>
      <c r="F3655" t="str">
        <v>-</v>
      </c>
      <c r="G3655" t="str">
        <v>-</v>
      </c>
    </row>
    <row r="3656">
      <c r="A3656">
        <v>3655</v>
      </c>
      <c r="B3656">
        <f>HYPERLINK("https://www.facebook.com/xabunglao/", "Công an xã Búng Lao  tỉnh Điện Biên")</f>
      </c>
      <c r="C3656" t="str">
        <v>https://www.facebook.com/xabunglao/</v>
      </c>
      <c r="D3656" t="str">
        <v>-</v>
      </c>
      <c r="E3656" t="str">
        <v/>
      </c>
      <c r="F3656" t="str">
        <v>-</v>
      </c>
      <c r="G3656" t="str">
        <v>-</v>
      </c>
    </row>
    <row r="3657">
      <c r="A3657">
        <v>3656</v>
      </c>
      <c r="B3657">
        <f>HYPERLINK("https://stttt.dienbien.gov.vn/vi/about/danh-sach-nguoi-phat-ngon-tinh-dien-bien-nam-2018.html", "UBND Ủy ban nhân dân xã Búng Lao  tỉnh Điện Biên")</f>
      </c>
      <c r="C3657" t="str">
        <v>https://stttt.dienbien.gov.vn/vi/about/danh-sach-nguoi-phat-ngon-tinh-dien-bien-nam-2018.html</v>
      </c>
      <c r="D3657" t="str">
        <v>-</v>
      </c>
      <c r="E3657" t="str">
        <v>-</v>
      </c>
      <c r="F3657" t="str">
        <v>-</v>
      </c>
      <c r="G3657" t="str">
        <v>-</v>
      </c>
    </row>
    <row r="3658">
      <c r="A3658">
        <v>3657</v>
      </c>
      <c r="B3658">
        <f>HYPERLINK("https://www.facebook.com/p/C%C3%B4ng-an-x%C3%A3-Xu%C3%A2n-Lao-100058435895075/", "Công an xã Xuân Lao  tỉnh Điện Biên")</f>
      </c>
      <c r="C3658" t="str">
        <v>https://www.facebook.com/p/C%C3%B4ng-an-x%C3%A3-Xu%C3%A2n-Lao-100058435895075/</v>
      </c>
      <c r="D3658" t="str">
        <v>-</v>
      </c>
      <c r="E3658" t="str">
        <v/>
      </c>
      <c r="F3658" t="str">
        <v>-</v>
      </c>
      <c r="G3658" t="str">
        <v>-</v>
      </c>
    </row>
    <row r="3659">
      <c r="A3659">
        <v>3658</v>
      </c>
      <c r="B3659">
        <f>HYPERLINK("https://stttt.dienbien.gov.vn/vi/about/danh-sach-nguoi-phat-ngon-tinh-dien-bien-nam-2018.html", "UBND Ủy ban nhân dân xã Xuân Lao  tỉnh Điện Biên")</f>
      </c>
      <c r="C3659" t="str">
        <v>https://stttt.dienbien.gov.vn/vi/about/danh-sach-nguoi-phat-ngon-tinh-dien-bien-nam-2018.html</v>
      </c>
      <c r="D3659" t="str">
        <v>-</v>
      </c>
      <c r="E3659" t="str">
        <v>-</v>
      </c>
      <c r="F3659" t="str">
        <v>-</v>
      </c>
      <c r="G3659" t="str">
        <v>-</v>
      </c>
    </row>
    <row r="3660">
      <c r="A3660">
        <v>3659</v>
      </c>
      <c r="B3660" t="str">
        <v>Công an xã Ẳng Nưa  tỉnh Điện Biên</v>
      </c>
      <c r="C3660" t="str">
        <v>-</v>
      </c>
      <c r="D3660" t="str">
        <v>-</v>
      </c>
      <c r="E3660" t="str">
        <v/>
      </c>
      <c r="F3660" t="str">
        <v>-</v>
      </c>
      <c r="G3660" t="str">
        <v>-</v>
      </c>
    </row>
    <row r="3661">
      <c r="A3661">
        <v>3660</v>
      </c>
      <c r="B3661">
        <f>HYPERLINK("https://stttt.dienbien.gov.vn/vi/about/danh-sach-nguoi-phat-ngon-tinh-dien-bien-nam-2018.html", "UBND Ủy ban nhân dân xã Ẳng Nưa  tỉnh Điện Biên")</f>
      </c>
      <c r="C3661" t="str">
        <v>https://stttt.dienbien.gov.vn/vi/about/danh-sach-nguoi-phat-ngon-tinh-dien-bien-nam-2018.html</v>
      </c>
      <c r="D3661" t="str">
        <v>-</v>
      </c>
      <c r="E3661" t="str">
        <v>-</v>
      </c>
      <c r="F3661" t="str">
        <v>-</v>
      </c>
      <c r="G3661" t="str">
        <v>-</v>
      </c>
    </row>
    <row r="3662">
      <c r="A3662">
        <v>3661</v>
      </c>
      <c r="B3662" t="str">
        <v>Công an xã Ẳng Cang  tỉnh Điện Biên</v>
      </c>
      <c r="C3662" t="str">
        <v>-</v>
      </c>
      <c r="D3662" t="str">
        <v>-</v>
      </c>
      <c r="E3662" t="str">
        <v/>
      </c>
      <c r="F3662" t="str">
        <v>-</v>
      </c>
      <c r="G3662" t="str">
        <v>-</v>
      </c>
    </row>
    <row r="3663">
      <c r="A3663">
        <v>3662</v>
      </c>
      <c r="B3663">
        <f>HYPERLINK("https://muongang.dienbien.gov.vn/", "UBND Ủy ban nhân dân xã Ẳng Cang  tỉnh Điện Biên")</f>
      </c>
      <c r="C3663" t="str">
        <v>https://muongang.dienbien.gov.vn/</v>
      </c>
      <c r="D3663" t="str">
        <v>-</v>
      </c>
      <c r="E3663" t="str">
        <v>-</v>
      </c>
      <c r="F3663" t="str">
        <v>-</v>
      </c>
      <c r="G3663" t="str">
        <v>-</v>
      </c>
    </row>
    <row r="3664">
      <c r="A3664">
        <v>3663</v>
      </c>
      <c r="B3664">
        <f>HYPERLINK("https://www.facebook.com/LoQuyfanpage/", "Công an xã Nặm Lịch  tỉnh Điện Biên")</f>
      </c>
      <c r="C3664" t="str">
        <v>https://www.facebook.com/LoQuyfanpage/</v>
      </c>
      <c r="D3664" t="str">
        <v>-</v>
      </c>
      <c r="E3664" t="str">
        <v/>
      </c>
      <c r="F3664" t="str">
        <v>-</v>
      </c>
      <c r="G3664" t="str">
        <v>-</v>
      </c>
    </row>
    <row r="3665">
      <c r="A3665">
        <v>3664</v>
      </c>
      <c r="B3665">
        <f>HYPERLINK("https://stttt.dienbien.gov.vn/vi/about/danh-sach-nguoi-phat-ngon-tinh-dien-bien-nam-2018.html", "UBND Ủy ban nhân dân xã Nặm Lịch  tỉnh Điện Biên")</f>
      </c>
      <c r="C3665" t="str">
        <v>https://stttt.dienbien.gov.vn/vi/about/danh-sach-nguoi-phat-ngon-tinh-dien-bien-nam-2018.html</v>
      </c>
      <c r="D3665" t="str">
        <v>-</v>
      </c>
      <c r="E3665" t="str">
        <v>-</v>
      </c>
      <c r="F3665" t="str">
        <v>-</v>
      </c>
      <c r="G3665" t="str">
        <v>-</v>
      </c>
    </row>
    <row r="3666">
      <c r="A3666">
        <v>3665</v>
      </c>
      <c r="B3666">
        <f>HYPERLINK("https://www.facebook.com/p/C%C3%B4ng-an-x%C3%A3-M%C6%B0%E1%BB%9Dng-L%E1%BA%A1n-huy%E1%BB%87n-M%C6%B0%E1%BB%9Dng-%E1%BA%A2ng-100080294753297/", "Công an xã Mường Lạn  tỉnh Điện Biên")</f>
      </c>
      <c r="C3666" t="str">
        <v>https://www.facebook.com/p/C%C3%B4ng-an-x%C3%A3-M%C6%B0%E1%BB%9Dng-L%E1%BA%A1n-huy%E1%BB%87n-M%C6%B0%E1%BB%9Dng-%E1%BA%A2ng-100080294753297/</v>
      </c>
      <c r="D3666" t="str">
        <v>-</v>
      </c>
      <c r="E3666" t="str">
        <v/>
      </c>
      <c r="F3666" t="str">
        <v>-</v>
      </c>
      <c r="G3666" t="str">
        <v>-</v>
      </c>
    </row>
    <row r="3667">
      <c r="A3667">
        <v>3666</v>
      </c>
      <c r="B3667">
        <f>HYPERLINK("https://stttt.dienbien.gov.vn/vi/about/danh-sach-nguoi-phat-ngon-tinh-dien-bien-nam-2018.html", "UBND Ủy ban nhân dân xã Mường Lạn  tỉnh Điện Biên")</f>
      </c>
      <c r="C3667" t="str">
        <v>https://stttt.dienbien.gov.vn/vi/about/danh-sach-nguoi-phat-ngon-tinh-dien-bien-nam-2018.html</v>
      </c>
      <c r="D3667" t="str">
        <v>-</v>
      </c>
      <c r="E3667" t="str">
        <v>-</v>
      </c>
      <c r="F3667" t="str">
        <v>-</v>
      </c>
      <c r="G3667" t="str">
        <v>-</v>
      </c>
    </row>
    <row r="3668">
      <c r="A3668">
        <v>3667</v>
      </c>
      <c r="B3668" t="str">
        <v>Công an xã Nậm Tin  tỉnh Điện Biên</v>
      </c>
      <c r="C3668" t="str">
        <v>-</v>
      </c>
      <c r="D3668" t="str">
        <v>-</v>
      </c>
      <c r="E3668" t="str">
        <v/>
      </c>
      <c r="F3668" t="str">
        <v>-</v>
      </c>
      <c r="G3668" t="str">
        <v>-</v>
      </c>
    </row>
    <row r="3669">
      <c r="A3669">
        <v>3668</v>
      </c>
      <c r="B3669">
        <f>HYPERLINK("https://stttt.dienbien.gov.vn/vi/about/danh-sach-nguoi-phat-ngon-tinh-dien-bien-nam-2018.html", "UBND Ủy ban nhân dân xã Nậm Tin  tỉnh Điện Biên")</f>
      </c>
      <c r="C3669" t="str">
        <v>https://stttt.dienbien.gov.vn/vi/about/danh-sach-nguoi-phat-ngon-tinh-dien-bien-nam-2018.html</v>
      </c>
      <c r="D3669" t="str">
        <v>-</v>
      </c>
      <c r="E3669" t="str">
        <v>-</v>
      </c>
      <c r="F3669" t="str">
        <v>-</v>
      </c>
      <c r="G3669" t="str">
        <v>-</v>
      </c>
    </row>
    <row r="3670">
      <c r="A3670">
        <v>3669</v>
      </c>
      <c r="B3670" t="str">
        <v>Công an xã Pa Tần  tỉnh Điện Biên</v>
      </c>
      <c r="C3670" t="str">
        <v>-</v>
      </c>
      <c r="D3670" t="str">
        <v>-</v>
      </c>
      <c r="E3670" t="str">
        <v/>
      </c>
      <c r="F3670" t="str">
        <v>-</v>
      </c>
      <c r="G3670" t="str">
        <v>-</v>
      </c>
    </row>
    <row r="3671">
      <c r="A3671">
        <v>3670</v>
      </c>
      <c r="B3671">
        <f>HYPERLINK("https://stttt.dienbien.gov.vn/vi/about/danh-sach-nguoi-phat-ngon-tinh-dien-bien-nam-2018.html", "UBND Ủy ban nhân dân xã Pa Tần  tỉnh Điện Biên")</f>
      </c>
      <c r="C3671" t="str">
        <v>https://stttt.dienbien.gov.vn/vi/about/danh-sach-nguoi-phat-ngon-tinh-dien-bien-nam-2018.html</v>
      </c>
      <c r="D3671" t="str">
        <v>-</v>
      </c>
      <c r="E3671" t="str">
        <v>-</v>
      </c>
      <c r="F3671" t="str">
        <v>-</v>
      </c>
      <c r="G3671" t="str">
        <v>-</v>
      </c>
    </row>
    <row r="3672">
      <c r="A3672">
        <v>3671</v>
      </c>
      <c r="B3672">
        <f>HYPERLINK("https://www.facebook.com/100034128877957", "Công an xã Chà Cang  tỉnh Điện Biên")</f>
      </c>
      <c r="C3672" t="str">
        <v>https://www.facebook.com/100034128877957</v>
      </c>
      <c r="D3672" t="str">
        <v>-</v>
      </c>
      <c r="E3672" t="str">
        <v/>
      </c>
      <c r="F3672" t="str">
        <v>-</v>
      </c>
      <c r="G3672" t="str">
        <v>-</v>
      </c>
    </row>
    <row r="3673">
      <c r="A3673">
        <v>3672</v>
      </c>
      <c r="B3673">
        <f>HYPERLINK("https://stttt.dienbien.gov.vn/vi/about/danh-sach-nguoi-phat-ngon-tinh-dien-bien-nam-2018.html", "UBND Ủy ban nhân dân xã Chà Cang  tỉnh Điện Biên")</f>
      </c>
      <c r="C3673" t="str">
        <v>https://stttt.dienbien.gov.vn/vi/about/danh-sach-nguoi-phat-ngon-tinh-dien-bien-nam-2018.html</v>
      </c>
      <c r="D3673" t="str">
        <v>-</v>
      </c>
      <c r="E3673" t="str">
        <v>-</v>
      </c>
      <c r="F3673" t="str">
        <v>-</v>
      </c>
      <c r="G3673" t="str">
        <v>-</v>
      </c>
    </row>
    <row r="3674">
      <c r="A3674">
        <v>3673</v>
      </c>
      <c r="B3674">
        <f>HYPERLINK("https://www.facebook.com/ConganxaNaCoSa/", "Công an xã Na Cô Sa  tỉnh Điện Biên")</f>
      </c>
      <c r="C3674" t="str">
        <v>https://www.facebook.com/ConganxaNaCoSa/</v>
      </c>
      <c r="D3674" t="str">
        <v>-</v>
      </c>
      <c r="E3674" t="str">
        <v/>
      </c>
      <c r="F3674" t="str">
        <v>-</v>
      </c>
      <c r="G3674" t="str">
        <v>-</v>
      </c>
    </row>
    <row r="3675">
      <c r="A3675">
        <v>3674</v>
      </c>
      <c r="B3675">
        <f>HYPERLINK("https://stttt.dienbien.gov.vn/vi/about/danh-sach-nguoi-phat-ngon-tinh-dien-bien-nam-2018.html", "UBND Ủy ban nhân dân xã Na Cô Sa  tỉnh Điện Biên")</f>
      </c>
      <c r="C3675" t="str">
        <v>https://stttt.dienbien.gov.vn/vi/about/danh-sach-nguoi-phat-ngon-tinh-dien-bien-nam-2018.html</v>
      </c>
      <c r="D3675" t="str">
        <v>-</v>
      </c>
      <c r="E3675" t="str">
        <v>-</v>
      </c>
      <c r="F3675" t="str">
        <v>-</v>
      </c>
      <c r="G3675" t="str">
        <v>-</v>
      </c>
    </row>
    <row r="3676">
      <c r="A3676">
        <v>3675</v>
      </c>
      <c r="B3676">
        <f>HYPERLINK("https://www.facebook.com/TuoiTreCongAnDienBien/", "Công an xã Nà Khoa  tỉnh Điện Biên")</f>
      </c>
      <c r="C3676" t="str">
        <v>https://www.facebook.com/TuoiTreCongAnDienBien/</v>
      </c>
      <c r="D3676" t="str">
        <v>-</v>
      </c>
      <c r="E3676" t="str">
        <v/>
      </c>
      <c r="F3676" t="str">
        <v>-</v>
      </c>
      <c r="G3676" t="str">
        <v>-</v>
      </c>
    </row>
    <row r="3677">
      <c r="A3677">
        <v>3676</v>
      </c>
      <c r="B3677">
        <f>HYPERLINK("https://stttt.dienbien.gov.vn/vi/about/danh-sach-nguoi-phat-ngon-tinh-dien-bien-nam-2018.html", "UBND Ủy ban nhân dân xã Nà Khoa  tỉnh Điện Biên")</f>
      </c>
      <c r="C3677" t="str">
        <v>https://stttt.dienbien.gov.vn/vi/about/danh-sach-nguoi-phat-ngon-tinh-dien-bien-nam-2018.html</v>
      </c>
      <c r="D3677" t="str">
        <v>-</v>
      </c>
      <c r="E3677" t="str">
        <v>-</v>
      </c>
      <c r="F3677" t="str">
        <v>-</v>
      </c>
      <c r="G3677" t="str">
        <v>-</v>
      </c>
    </row>
    <row r="3678">
      <c r="A3678">
        <v>3677</v>
      </c>
      <c r="B3678" t="str">
        <v>Công an xã Nà Hỳ  tỉnh Điện Biên</v>
      </c>
      <c r="C3678" t="str">
        <v>-</v>
      </c>
      <c r="D3678" t="str">
        <v>-</v>
      </c>
      <c r="E3678" t="str">
        <v/>
      </c>
      <c r="F3678" t="str">
        <v>-</v>
      </c>
      <c r="G3678" t="str">
        <v>-</v>
      </c>
    </row>
    <row r="3679">
      <c r="A3679">
        <v>3678</v>
      </c>
      <c r="B3679">
        <f>HYPERLINK("https://stttt.dienbien.gov.vn/vi/about/danh-sach-nguoi-phat-ngon-tinh-dien-bien-nam-2018.html", "UBND Ủy ban nhân dân xã Nà Hỳ  tỉnh Điện Biên")</f>
      </c>
      <c r="C3679" t="str">
        <v>https://stttt.dienbien.gov.vn/vi/about/danh-sach-nguoi-phat-ngon-tinh-dien-bien-nam-2018.html</v>
      </c>
      <c r="D3679" t="str">
        <v>-</v>
      </c>
      <c r="E3679" t="str">
        <v>-</v>
      </c>
      <c r="F3679" t="str">
        <v>-</v>
      </c>
      <c r="G3679" t="str">
        <v>-</v>
      </c>
    </row>
    <row r="3680">
      <c r="A3680">
        <v>3679</v>
      </c>
      <c r="B3680" t="str">
        <v>Công an xã Nà Bủng  tỉnh Điện Biên</v>
      </c>
      <c r="C3680" t="str">
        <v>-</v>
      </c>
      <c r="D3680" t="str">
        <v>-</v>
      </c>
      <c r="E3680" t="str">
        <v/>
      </c>
      <c r="F3680" t="str">
        <v>-</v>
      </c>
      <c r="G3680" t="str">
        <v>-</v>
      </c>
    </row>
    <row r="3681">
      <c r="A3681">
        <v>3680</v>
      </c>
      <c r="B3681">
        <f>HYPERLINK("https://stttt.dienbien.gov.vn/vi/about/danh-sach-nguoi-phat-ngon-tinh-dien-bien-nam-2018.html", "UBND Ủy ban nhân dân xã Nà Bủng  tỉnh Điện Biên")</f>
      </c>
      <c r="C3681" t="str">
        <v>https://stttt.dienbien.gov.vn/vi/about/danh-sach-nguoi-phat-ngon-tinh-dien-bien-nam-2018.html</v>
      </c>
      <c r="D3681" t="str">
        <v>-</v>
      </c>
      <c r="E3681" t="str">
        <v>-</v>
      </c>
      <c r="F3681" t="str">
        <v>-</v>
      </c>
      <c r="G3681" t="str">
        <v>-</v>
      </c>
    </row>
    <row r="3682">
      <c r="A3682">
        <v>3681</v>
      </c>
      <c r="B3682">
        <f>HYPERLINK("https://www.facebook.com/tuoitrecongansonla/?locale=hu_HU", "Công an xã Nậm Nhừ  tỉnh Điện Biên")</f>
      </c>
      <c r="C3682" t="str">
        <v>https://www.facebook.com/tuoitrecongansonla/?locale=hu_HU</v>
      </c>
      <c r="D3682" t="str">
        <v>-</v>
      </c>
      <c r="E3682" t="str">
        <v/>
      </c>
      <c r="F3682" t="str">
        <v>-</v>
      </c>
      <c r="G3682" t="str">
        <v>-</v>
      </c>
    </row>
    <row r="3683">
      <c r="A3683">
        <v>3682</v>
      </c>
      <c r="B3683">
        <f>HYPERLINK("https://stttt.dienbien.gov.vn/vi/about/danh-sach-nguoi-phat-ngon-tinh-dien-bien-nam-2018.html", "UBND Ủy ban nhân dân xã Nậm Nhừ  tỉnh Điện Biên")</f>
      </c>
      <c r="C3683" t="str">
        <v>https://stttt.dienbien.gov.vn/vi/about/danh-sach-nguoi-phat-ngon-tinh-dien-bien-nam-2018.html</v>
      </c>
      <c r="D3683" t="str">
        <v>-</v>
      </c>
      <c r="E3683" t="str">
        <v>-</v>
      </c>
      <c r="F3683" t="str">
        <v>-</v>
      </c>
      <c r="G3683" t="str">
        <v>-</v>
      </c>
    </row>
    <row r="3684">
      <c r="A3684">
        <v>3683</v>
      </c>
      <c r="B3684" t="str">
        <v>Công an xã Nậm Chua  tỉnh Điện Biên</v>
      </c>
      <c r="C3684" t="str">
        <v>-</v>
      </c>
      <c r="D3684" t="str">
        <v>-</v>
      </c>
      <c r="E3684" t="str">
        <v/>
      </c>
      <c r="F3684" t="str">
        <v>-</v>
      </c>
      <c r="G3684" t="str">
        <v>-</v>
      </c>
    </row>
    <row r="3685">
      <c r="A3685">
        <v>3684</v>
      </c>
      <c r="B3685">
        <f>HYPERLINK("https://stttt.dienbien.gov.vn/vi/about/danh-sach-nguoi-phat-ngon-tinh-dien-bien-nam-2018.html", "UBND Ủy ban nhân dân xã Nậm Chua  tỉnh Điện Biên")</f>
      </c>
      <c r="C3685" t="str">
        <v>https://stttt.dienbien.gov.vn/vi/about/danh-sach-nguoi-phat-ngon-tinh-dien-bien-nam-2018.html</v>
      </c>
      <c r="D3685" t="str">
        <v>-</v>
      </c>
      <c r="E3685" t="str">
        <v>-</v>
      </c>
      <c r="F3685" t="str">
        <v>-</v>
      </c>
      <c r="G3685" t="str">
        <v>-</v>
      </c>
    </row>
    <row r="3686">
      <c r="A3686">
        <v>3685</v>
      </c>
      <c r="B3686" t="str">
        <v>Công an xã Nậm Khăn  tỉnh Điện Biên</v>
      </c>
      <c r="C3686" t="str">
        <v>-</v>
      </c>
      <c r="D3686" t="str">
        <v>-</v>
      </c>
      <c r="E3686" t="str">
        <v/>
      </c>
      <c r="F3686" t="str">
        <v>-</v>
      </c>
      <c r="G3686" t="str">
        <v>-</v>
      </c>
    </row>
    <row r="3687">
      <c r="A3687">
        <v>3686</v>
      </c>
      <c r="B3687">
        <f>HYPERLINK("https://stttt.dienbien.gov.vn/vi/about/danh-sach-nguoi-phat-ngon-tinh-dien-bien-nam-2018.html", "UBND Ủy ban nhân dân xã Nậm Khăn  tỉnh Điện Biên")</f>
      </c>
      <c r="C3687" t="str">
        <v>https://stttt.dienbien.gov.vn/vi/about/danh-sach-nguoi-phat-ngon-tinh-dien-bien-nam-2018.html</v>
      </c>
      <c r="D3687" t="str">
        <v>-</v>
      </c>
      <c r="E3687" t="str">
        <v>-</v>
      </c>
      <c r="F3687" t="str">
        <v>-</v>
      </c>
      <c r="G3687" t="str">
        <v>-</v>
      </c>
    </row>
    <row r="3688">
      <c r="A3688">
        <v>3687</v>
      </c>
      <c r="B3688">
        <f>HYPERLINK("https://www.facebook.com/TuoiTreCongAnDienBien/", "Công an xã Chà Tở  tỉnh Điện Biên")</f>
      </c>
      <c r="C3688" t="str">
        <v>https://www.facebook.com/TuoiTreCongAnDienBien/</v>
      </c>
      <c r="D3688" t="str">
        <v>-</v>
      </c>
      <c r="E3688" t="str">
        <v/>
      </c>
      <c r="F3688" t="str">
        <v>-</v>
      </c>
      <c r="G3688" t="str">
        <v>-</v>
      </c>
    </row>
    <row r="3689">
      <c r="A3689">
        <v>3688</v>
      </c>
      <c r="B3689">
        <f>HYPERLINK("https://stttt.dienbien.gov.vn/vi/about/danh-sach-nguoi-phat-ngon-tinh-dien-bien-nam-2018.html", "UBND Ủy ban nhân dân xã Chà Tở  tỉnh Điện Biên")</f>
      </c>
      <c r="C3689" t="str">
        <v>https://stttt.dienbien.gov.vn/vi/about/danh-sach-nguoi-phat-ngon-tinh-dien-bien-nam-2018.html</v>
      </c>
      <c r="D3689" t="str">
        <v>-</v>
      </c>
      <c r="E3689" t="str">
        <v>-</v>
      </c>
      <c r="F3689" t="str">
        <v>-</v>
      </c>
      <c r="G3689" t="str">
        <v>-</v>
      </c>
    </row>
    <row r="3690">
      <c r="A3690">
        <v>3689</v>
      </c>
      <c r="B3690" t="str">
        <v>Công an xã Vàng Đán  tỉnh Điện Biên</v>
      </c>
      <c r="C3690" t="str">
        <v>-</v>
      </c>
      <c r="D3690" t="str">
        <v>-</v>
      </c>
      <c r="E3690" t="str">
        <v/>
      </c>
      <c r="F3690" t="str">
        <v>-</v>
      </c>
      <c r="G3690" t="str">
        <v>-</v>
      </c>
    </row>
    <row r="3691">
      <c r="A3691">
        <v>3690</v>
      </c>
      <c r="B3691">
        <f>HYPERLINK("https://stttt.dienbien.gov.vn/vi/about/danh-sach-nguoi-phat-ngon-tinh-dien-bien-nam-2018.html", "UBND Ủy ban nhân dân xã Vàng Đán  tỉnh Điện Biên")</f>
      </c>
      <c r="C3691" t="str">
        <v>https://stttt.dienbien.gov.vn/vi/about/danh-sach-nguoi-phat-ngon-tinh-dien-bien-nam-2018.html</v>
      </c>
      <c r="D3691" t="str">
        <v>-</v>
      </c>
      <c r="E3691" t="str">
        <v>-</v>
      </c>
      <c r="F3691" t="str">
        <v>-</v>
      </c>
      <c r="G3691" t="str">
        <v>-</v>
      </c>
    </row>
    <row r="3692">
      <c r="A3692">
        <v>3691</v>
      </c>
      <c r="B3692">
        <f>HYPERLINK("https://www.facebook.com/TuoiTreCongAnDienBien/", "Công an xã Chà Nưa  tỉnh Điện Biên")</f>
      </c>
      <c r="C3692" t="str">
        <v>https://www.facebook.com/TuoiTreCongAnDienBien/</v>
      </c>
      <c r="D3692" t="str">
        <v>-</v>
      </c>
      <c r="E3692" t="str">
        <v/>
      </c>
      <c r="F3692" t="str">
        <v>-</v>
      </c>
      <c r="G3692" t="str">
        <v>-</v>
      </c>
    </row>
    <row r="3693">
      <c r="A3693">
        <v>3692</v>
      </c>
      <c r="B3693">
        <f>HYPERLINK("https://stttt.dienbien.gov.vn/vi/about/danh-sach-nguoi-phat-ngon-tinh-dien-bien-nam-2018.html", "UBND Ủy ban nhân dân xã Chà Nưa  tỉnh Điện Biên")</f>
      </c>
      <c r="C3693" t="str">
        <v>https://stttt.dienbien.gov.vn/vi/about/danh-sach-nguoi-phat-ngon-tinh-dien-bien-nam-2018.html</v>
      </c>
      <c r="D3693" t="str">
        <v>-</v>
      </c>
      <c r="E3693" t="str">
        <v>-</v>
      </c>
      <c r="F3693" t="str">
        <v>-</v>
      </c>
      <c r="G3693" t="str">
        <v>-</v>
      </c>
    </row>
    <row r="3694">
      <c r="A3694">
        <v>3693</v>
      </c>
      <c r="B3694">
        <f>HYPERLINK("https://www.facebook.com/tuoitrecongansonla/?locale=ms_MY", "Công an xã Phìn Hồ  tỉnh Điện Biên")</f>
      </c>
      <c r="C3694" t="str">
        <v>https://www.facebook.com/tuoitrecongansonla/?locale=ms_MY</v>
      </c>
      <c r="D3694" t="str">
        <v>-</v>
      </c>
      <c r="E3694" t="str">
        <v/>
      </c>
      <c r="F3694" t="str">
        <v>-</v>
      </c>
      <c r="G3694" t="str">
        <v>-</v>
      </c>
    </row>
    <row r="3695">
      <c r="A3695">
        <v>3694</v>
      </c>
      <c r="B3695">
        <f>HYPERLINK("https://stttt.dienbien.gov.vn/vi/about/danh-sach-nguoi-phat-ngon-tinh-dien-bien-nam-2018.html", "UBND Ủy ban nhân dân xã Phìn Hồ  tỉnh Điện Biên")</f>
      </c>
      <c r="C3695" t="str">
        <v>https://stttt.dienbien.gov.vn/vi/about/danh-sach-nguoi-phat-ngon-tinh-dien-bien-nam-2018.html</v>
      </c>
      <c r="D3695" t="str">
        <v>-</v>
      </c>
      <c r="E3695" t="str">
        <v>-</v>
      </c>
      <c r="F3695" t="str">
        <v>-</v>
      </c>
      <c r="G3695" t="str">
        <v>-</v>
      </c>
    </row>
    <row r="3696">
      <c r="A3696">
        <v>3695</v>
      </c>
      <c r="B3696">
        <f>HYPERLINK("https://www.facebook.com/4407292999304144", "Công an xã Si Pa Phìn  tỉnh Điện Biên")</f>
      </c>
      <c r="C3696" t="str">
        <v>https://www.facebook.com/4407292999304144</v>
      </c>
      <c r="D3696" t="str">
        <v>-</v>
      </c>
      <c r="E3696" t="str">
        <v/>
      </c>
      <c r="F3696" t="str">
        <v>-</v>
      </c>
      <c r="G3696" t="str">
        <v>-</v>
      </c>
    </row>
    <row r="3697">
      <c r="A3697">
        <v>3696</v>
      </c>
      <c r="B3697">
        <f>HYPERLINK("https://stttt.dienbien.gov.vn/vi/about/danh-sach-nguoi-phat-ngon-tinh-dien-bien-nam-2018.html", "UBND Ủy ban nhân dân xã Si Pa Phìn  tỉnh Điện Biên")</f>
      </c>
      <c r="C3697" t="str">
        <v>https://stttt.dienbien.gov.vn/vi/about/danh-sach-nguoi-phat-ngon-tinh-dien-bien-nam-2018.html</v>
      </c>
      <c r="D3697" t="str">
        <v>-</v>
      </c>
      <c r="E3697" t="str">
        <v>-</v>
      </c>
      <c r="F3697" t="str">
        <v>-</v>
      </c>
      <c r="G3697" t="str">
        <v>-</v>
      </c>
    </row>
    <row r="3698">
      <c r="A3698">
        <v>3697</v>
      </c>
      <c r="B3698" t="str">
        <v>Công an phường Quyết Thắng  tỉnh Lai Châu</v>
      </c>
      <c r="C3698" t="str">
        <v>-</v>
      </c>
      <c r="D3698" t="str">
        <v>-</v>
      </c>
      <c r="E3698" t="str">
        <v/>
      </c>
      <c r="F3698" t="str">
        <v>-</v>
      </c>
      <c r="G3698" t="str">
        <v>-</v>
      </c>
    </row>
    <row r="3699">
      <c r="A3699">
        <v>3698</v>
      </c>
      <c r="B3699">
        <f>HYPERLINK("http://quyetthang.thanhpho.laichau.gov.vn/", "UBND Ủy ban nhân dân phường Quyết Thắng  tỉnh Lai Châu")</f>
      </c>
      <c r="C3699" t="str">
        <v>http://quyetthang.thanhpho.laichau.gov.vn/</v>
      </c>
      <c r="D3699" t="str">
        <v>-</v>
      </c>
      <c r="E3699" t="str">
        <v>-</v>
      </c>
      <c r="F3699" t="str">
        <v>-</v>
      </c>
      <c r="G3699" t="str">
        <v>-</v>
      </c>
    </row>
    <row r="3700">
      <c r="A3700">
        <v>3699</v>
      </c>
      <c r="B3700" t="str">
        <v>Công an phường Tân Phong  tỉnh Lai Châu</v>
      </c>
      <c r="C3700" t="str">
        <v>-</v>
      </c>
      <c r="D3700" t="str">
        <v>-</v>
      </c>
      <c r="E3700" t="str">
        <v/>
      </c>
      <c r="F3700" t="str">
        <v>-</v>
      </c>
      <c r="G3700" t="str">
        <v>-</v>
      </c>
    </row>
    <row r="3701">
      <c r="A3701">
        <v>3700</v>
      </c>
      <c r="B3701">
        <f>HYPERLINK("http://tanphong.thanhpho.laichau.gov.vn/", "UBND Ủy ban nhân dân phường Tân Phong  tỉnh Lai Châu")</f>
      </c>
      <c r="C3701" t="str">
        <v>http://tanphong.thanhpho.laichau.gov.vn/</v>
      </c>
      <c r="D3701" t="str">
        <v>-</v>
      </c>
      <c r="E3701" t="str">
        <v>-</v>
      </c>
      <c r="F3701" t="str">
        <v>-</v>
      </c>
      <c r="G3701" t="str">
        <v>-</v>
      </c>
    </row>
    <row r="3702">
      <c r="A3702">
        <v>3701</v>
      </c>
      <c r="B3702" t="str">
        <v>Công an phường Quyết Tiến  tỉnh Lai Châu</v>
      </c>
      <c r="C3702" t="str">
        <v>-</v>
      </c>
      <c r="D3702" t="str">
        <v>-</v>
      </c>
      <c r="E3702" t="str">
        <v/>
      </c>
      <c r="F3702" t="str">
        <v>-</v>
      </c>
      <c r="G3702" t="str">
        <v>-</v>
      </c>
    </row>
    <row r="3703">
      <c r="A3703">
        <v>3702</v>
      </c>
      <c r="B3703">
        <f>HYPERLINK("http://quyettien.thanhpho.laichau.gov.vn/", "UBND Ủy ban nhân dân phường Quyết Tiến  tỉnh Lai Châu")</f>
      </c>
      <c r="C3703" t="str">
        <v>http://quyettien.thanhpho.laichau.gov.vn/</v>
      </c>
      <c r="D3703" t="str">
        <v>-</v>
      </c>
      <c r="E3703" t="str">
        <v>-</v>
      </c>
      <c r="F3703" t="str">
        <v>-</v>
      </c>
      <c r="G3703" t="str">
        <v>-</v>
      </c>
    </row>
    <row r="3704">
      <c r="A3704">
        <v>3703</v>
      </c>
      <c r="B3704" t="str">
        <v>Công an phường Đoàn Kết  tỉnh Lai Châu</v>
      </c>
      <c r="C3704" t="str">
        <v>-</v>
      </c>
      <c r="D3704" t="str">
        <v>-</v>
      </c>
      <c r="E3704" t="str">
        <v/>
      </c>
      <c r="F3704" t="str">
        <v>-</v>
      </c>
      <c r="G3704" t="str">
        <v>-</v>
      </c>
    </row>
    <row r="3705">
      <c r="A3705">
        <v>3704</v>
      </c>
      <c r="B3705">
        <f>HYPERLINK("http://doanket.thanhpho.laichau.gov.vn/", "UBND Ủy ban nhân dân phường Đoàn Kết  tỉnh Lai Châu")</f>
      </c>
      <c r="C3705" t="str">
        <v>http://doanket.thanhpho.laichau.gov.vn/</v>
      </c>
      <c r="D3705" t="str">
        <v>-</v>
      </c>
      <c r="E3705" t="str">
        <v>-</v>
      </c>
      <c r="F3705" t="str">
        <v>-</v>
      </c>
      <c r="G3705" t="str">
        <v>-</v>
      </c>
    </row>
    <row r="3706">
      <c r="A3706">
        <v>3705</v>
      </c>
      <c r="B3706" t="str">
        <v>Công an xã Nậm Loỏng  tỉnh Lai Châu</v>
      </c>
      <c r="C3706" t="str">
        <v>-</v>
      </c>
      <c r="D3706" t="str">
        <v>-</v>
      </c>
      <c r="E3706" t="str">
        <v/>
      </c>
      <c r="F3706" t="str">
        <v>-</v>
      </c>
      <c r="G3706" t="str">
        <v>-</v>
      </c>
    </row>
    <row r="3707">
      <c r="A3707">
        <v>3706</v>
      </c>
      <c r="B3707">
        <f>HYPERLINK("https://laichau.gov.vn/danh-muc/hoat-dong-trong-tinh/tin-cac-dia-phuong/le-cong-bo-sap-nhap-2-xa-sung-phai-va-nam-loong.html", "UBND Ủy ban nhân dân xã Nậm Loỏng  tỉnh Lai Châu")</f>
      </c>
      <c r="C3707" t="str">
        <v>https://laichau.gov.vn/danh-muc/hoat-dong-trong-tinh/tin-cac-dia-phuong/le-cong-bo-sap-nhap-2-xa-sung-phai-va-nam-loong.html</v>
      </c>
      <c r="D3707" t="str">
        <v>-</v>
      </c>
      <c r="E3707" t="str">
        <v>-</v>
      </c>
      <c r="F3707" t="str">
        <v>-</v>
      </c>
      <c r="G3707" t="str">
        <v>-</v>
      </c>
    </row>
    <row r="3708">
      <c r="A3708">
        <v>3707</v>
      </c>
      <c r="B3708" t="str">
        <v>Công an phường Đông Phong  tỉnh Lai Châu</v>
      </c>
      <c r="C3708" t="str">
        <v>-</v>
      </c>
      <c r="D3708" t="str">
        <v>-</v>
      </c>
      <c r="E3708" t="str">
        <v/>
      </c>
      <c r="F3708" t="str">
        <v>-</v>
      </c>
      <c r="G3708" t="str">
        <v>-</v>
      </c>
    </row>
    <row r="3709">
      <c r="A3709">
        <v>3708</v>
      </c>
      <c r="B3709">
        <f>HYPERLINK("http://dongphong.thanhpho.laichau.gov.vn/", "UBND Ủy ban nhân dân phường Đông Phong  tỉnh Lai Châu")</f>
      </c>
      <c r="C3709" t="str">
        <v>http://dongphong.thanhpho.laichau.gov.vn/</v>
      </c>
      <c r="D3709" t="str">
        <v>-</v>
      </c>
      <c r="E3709" t="str">
        <v>-</v>
      </c>
      <c r="F3709" t="str">
        <v>-</v>
      </c>
      <c r="G3709" t="str">
        <v>-</v>
      </c>
    </row>
    <row r="3710">
      <c r="A3710">
        <v>3709</v>
      </c>
      <c r="B3710" t="str">
        <v>Công an xã San Thàng  tỉnh Lai Châu</v>
      </c>
      <c r="C3710" t="str">
        <v>-</v>
      </c>
      <c r="D3710" t="str">
        <v>-</v>
      </c>
      <c r="E3710" t="str">
        <v/>
      </c>
      <c r="F3710" t="str">
        <v>-</v>
      </c>
      <c r="G3710" t="str">
        <v>-</v>
      </c>
    </row>
    <row r="3711">
      <c r="A3711">
        <v>3710</v>
      </c>
      <c r="B3711">
        <f>HYPERLINK("http://santhang.thanhpho.laichau.gov.vn/", "UBND Ủy ban nhân dân xã San Thàng  tỉnh Lai Châu")</f>
      </c>
      <c r="C3711" t="str">
        <v>http://santhang.thanhpho.laichau.gov.vn/</v>
      </c>
      <c r="D3711" t="str">
        <v>-</v>
      </c>
      <c r="E3711" t="str">
        <v>-</v>
      </c>
      <c r="F3711" t="str">
        <v>-</v>
      </c>
      <c r="G3711" t="str">
        <v>-</v>
      </c>
    </row>
    <row r="3712">
      <c r="A3712">
        <v>3711</v>
      </c>
      <c r="B3712" t="str">
        <v>Công an thị trấn Tam Đường  tỉnh Lai Châu</v>
      </c>
      <c r="C3712" t="str">
        <v>-</v>
      </c>
      <c r="D3712" t="str">
        <v>-</v>
      </c>
      <c r="E3712" t="str">
        <v/>
      </c>
      <c r="F3712" t="str">
        <v>-</v>
      </c>
      <c r="G3712" t="str">
        <v>-</v>
      </c>
    </row>
    <row r="3713">
      <c r="A3713">
        <v>3712</v>
      </c>
      <c r="B3713">
        <f>HYPERLINK("https://tamduong.laichau.gov.vn/", "UBND Ủy ban nhân dân thị trấn Tam Đường  tỉnh Lai Châu")</f>
      </c>
      <c r="C3713" t="str">
        <v>https://tamduong.laichau.gov.vn/</v>
      </c>
      <c r="D3713" t="str">
        <v>-</v>
      </c>
      <c r="E3713" t="str">
        <v>-</v>
      </c>
      <c r="F3713" t="str">
        <v>-</v>
      </c>
      <c r="G3713" t="str">
        <v>-</v>
      </c>
    </row>
    <row r="3714">
      <c r="A3714">
        <v>3713</v>
      </c>
      <c r="B3714">
        <f>HYPERLINK("https://www.facebook.com/Congantinhlaichau/?locale=cs_CZ", "Công an xã Thèn Sin  tỉnh Lai Châu")</f>
      </c>
      <c r="C3714" t="str">
        <v>https://www.facebook.com/Congantinhlaichau/?locale=cs_CZ</v>
      </c>
      <c r="D3714" t="str">
        <v>-</v>
      </c>
      <c r="E3714" t="str">
        <v/>
      </c>
      <c r="F3714" t="str">
        <v>-</v>
      </c>
      <c r="G3714" t="str">
        <v>-</v>
      </c>
    </row>
    <row r="3715">
      <c r="A3715">
        <v>3714</v>
      </c>
      <c r="B3715">
        <f>HYPERLINK("https://tamduong.laichau.gov.vn/index.php/he-thong-to-chuc/xa-thi-tran/Xa-Then-Sin-8.html", "UBND Ủy ban nhân dân xã Thèn Sin  tỉnh Lai Châu")</f>
      </c>
      <c r="C3715" t="str">
        <v>https://tamduong.laichau.gov.vn/index.php/he-thong-to-chuc/xa-thi-tran/Xa-Then-Sin-8.html</v>
      </c>
      <c r="D3715" t="str">
        <v>-</v>
      </c>
      <c r="E3715" t="str">
        <v>-</v>
      </c>
      <c r="F3715" t="str">
        <v>-</v>
      </c>
      <c r="G3715" t="str">
        <v>-</v>
      </c>
    </row>
    <row r="3716">
      <c r="A3716">
        <v>3715</v>
      </c>
      <c r="B3716" t="str">
        <v>Công an xã Sùng Phài  tỉnh Lai Châu</v>
      </c>
      <c r="C3716" t="str">
        <v>-</v>
      </c>
      <c r="D3716" t="str">
        <v>-</v>
      </c>
      <c r="E3716" t="str">
        <v/>
      </c>
      <c r="F3716" t="str">
        <v>-</v>
      </c>
      <c r="G3716" t="str">
        <v>-</v>
      </c>
    </row>
    <row r="3717">
      <c r="A3717">
        <v>3716</v>
      </c>
      <c r="B3717">
        <f>HYPERLINK("http://sungphai.thanhpho.laichau.gov.vn/", "UBND Ủy ban nhân dân xã Sùng Phài  tỉnh Lai Châu")</f>
      </c>
      <c r="C3717" t="str">
        <v>http://sungphai.thanhpho.laichau.gov.vn/</v>
      </c>
      <c r="D3717" t="str">
        <v>-</v>
      </c>
      <c r="E3717" t="str">
        <v>-</v>
      </c>
      <c r="F3717" t="str">
        <v>-</v>
      </c>
      <c r="G3717" t="str">
        <v>-</v>
      </c>
    </row>
    <row r="3718">
      <c r="A3718">
        <v>3717</v>
      </c>
      <c r="B3718" t="str">
        <v>Công an xã Tả Lèng  tỉnh Lai Châu</v>
      </c>
      <c r="C3718" t="str">
        <v>-</v>
      </c>
      <c r="D3718" t="str">
        <v>-</v>
      </c>
      <c r="E3718" t="str">
        <v/>
      </c>
      <c r="F3718" t="str">
        <v>-</v>
      </c>
      <c r="G3718" t="str">
        <v>-</v>
      </c>
    </row>
    <row r="3719">
      <c r="A3719">
        <v>3718</v>
      </c>
      <c r="B3719">
        <f>HYPERLINK("https://laichau.gov.vn/du-khach/doi-thong-ta-leng-diem-check-in-sieu-lang-man.html", "UBND Ủy ban nhân dân xã Tả Lèng  tỉnh Lai Châu")</f>
      </c>
      <c r="C3719" t="str">
        <v>https://laichau.gov.vn/du-khach/doi-thong-ta-leng-diem-check-in-sieu-lang-man.html</v>
      </c>
      <c r="D3719" t="str">
        <v>-</v>
      </c>
      <c r="E3719" t="str">
        <v>-</v>
      </c>
      <c r="F3719" t="str">
        <v>-</v>
      </c>
      <c r="G3719" t="str">
        <v>-</v>
      </c>
    </row>
    <row r="3720">
      <c r="A3720">
        <v>3719</v>
      </c>
      <c r="B3720" t="str">
        <v>Công an xã Giang Ma  tỉnh Lai Châu</v>
      </c>
      <c r="C3720" t="str">
        <v>-</v>
      </c>
      <c r="D3720" t="str">
        <v>-</v>
      </c>
      <c r="E3720" t="str">
        <v/>
      </c>
      <c r="F3720" t="str">
        <v>-</v>
      </c>
      <c r="G3720" t="str">
        <v>-</v>
      </c>
    </row>
    <row r="3721">
      <c r="A3721">
        <v>3720</v>
      </c>
      <c r="B3721">
        <f>HYPERLINK("https://laichau.gov.vn/tin-tuc-su-kien/so-nganh-huyen-thanh-pho/hop-bao-dot-xuat-cung-cap-thong-tin-ve-vu-viec-nghi-ngo-doc-tai-truong-mam-non-xa-giang-ma-huyen-tam-duong.html", "UBND Ủy ban nhân dân xã Giang Ma  tỉnh Lai Châu")</f>
      </c>
      <c r="C3721" t="str">
        <v>https://laichau.gov.vn/tin-tuc-su-kien/so-nganh-huyen-thanh-pho/hop-bao-dot-xuat-cung-cap-thong-tin-ve-vu-viec-nghi-ngo-doc-tai-truong-mam-non-xa-giang-ma-huyen-tam-duong.html</v>
      </c>
      <c r="D3721" t="str">
        <v>-</v>
      </c>
      <c r="E3721" t="str">
        <v>-</v>
      </c>
      <c r="F3721" t="str">
        <v>-</v>
      </c>
      <c r="G3721" t="str">
        <v>-</v>
      </c>
    </row>
    <row r="3722">
      <c r="A3722">
        <v>3721</v>
      </c>
      <c r="B3722" t="str">
        <v>Công an xã Hồ Thầu  tỉnh Lai Châu</v>
      </c>
      <c r="C3722" t="str">
        <v>-</v>
      </c>
      <c r="D3722" t="str">
        <v>-</v>
      </c>
      <c r="E3722" t="str">
        <v/>
      </c>
      <c r="F3722" t="str">
        <v>-</v>
      </c>
      <c r="G3722" t="str">
        <v>-</v>
      </c>
    </row>
    <row r="3723">
      <c r="A3723">
        <v>3722</v>
      </c>
      <c r="B3723">
        <f>HYPERLINK("https://tamduong.laichau.gov.vn/index.php/he-thong-to-chuc/xa-thi-tran/Xa-Ho-Thau-12.html", "UBND Ủy ban nhân dân xã Hồ Thầu  tỉnh Lai Châu")</f>
      </c>
      <c r="C3723" t="str">
        <v>https://tamduong.laichau.gov.vn/index.php/he-thong-to-chuc/xa-thi-tran/Xa-Ho-Thau-12.html</v>
      </c>
      <c r="D3723" t="str">
        <v>-</v>
      </c>
      <c r="E3723" t="str">
        <v>-</v>
      </c>
      <c r="F3723" t="str">
        <v>-</v>
      </c>
      <c r="G3723" t="str">
        <v>-</v>
      </c>
    </row>
    <row r="3724">
      <c r="A3724">
        <v>3723</v>
      </c>
      <c r="B3724" t="str">
        <v>Công an xã Bình Lư  tỉnh Lai Châu</v>
      </c>
      <c r="C3724" t="str">
        <v>-</v>
      </c>
      <c r="D3724" t="str">
        <v>-</v>
      </c>
      <c r="E3724" t="str">
        <v/>
      </c>
      <c r="F3724" t="str">
        <v>-</v>
      </c>
      <c r="G3724" t="str">
        <v>-</v>
      </c>
    </row>
    <row r="3725">
      <c r="A3725">
        <v>3724</v>
      </c>
      <c r="B3725">
        <f>HYPERLINK("https://tamduong.laichau.gov.vn/index.php/he-thong-to-chuc/xa-thi-tran/Xa-Binh-Lu-13.html", "UBND Ủy ban nhân dân xã Bình Lư  tỉnh Lai Châu")</f>
      </c>
      <c r="C3725" t="str">
        <v>https://tamduong.laichau.gov.vn/index.php/he-thong-to-chuc/xa-thi-tran/Xa-Binh-Lu-13.html</v>
      </c>
      <c r="D3725" t="str">
        <v>-</v>
      </c>
      <c r="E3725" t="str">
        <v>-</v>
      </c>
      <c r="F3725" t="str">
        <v>-</v>
      </c>
      <c r="G3725" t="str">
        <v>-</v>
      </c>
    </row>
    <row r="3726">
      <c r="A3726">
        <v>3725</v>
      </c>
      <c r="B3726">
        <f>HYPERLINK("https://www.facebook.com/p/%C4%90%E1%BA%A3ng-%E1%BB%A7y-H%C4%90ND-UBND-x%C3%A3-S%C6%A1n-B%C3%ACnh-huy%E1%BB%87n-Tam-%C4%90%C6%B0%E1%BB%9Dng-t%E1%BB%89nh-Lai-Ch%C3%A2u-100076236188633/", "Công an xã Sơn Bình  tỉnh Lai Châu")</f>
      </c>
      <c r="C3726" t="str">
        <v>https://www.facebook.com/p/%C4%90%E1%BA%A3ng-%E1%BB%A7y-H%C4%90ND-UBND-x%C3%A3-S%C6%A1n-B%C3%ACnh-huy%E1%BB%87n-Tam-%C4%90%C6%B0%E1%BB%9Dng-t%E1%BB%89nh-Lai-Ch%C3%A2u-100076236188633/</v>
      </c>
      <c r="D3726" t="str">
        <v>-</v>
      </c>
      <c r="E3726" t="str">
        <v/>
      </c>
      <c r="F3726" t="str">
        <v>-</v>
      </c>
      <c r="G3726" t="str">
        <v>-</v>
      </c>
    </row>
    <row r="3727">
      <c r="A3727">
        <v>3726</v>
      </c>
      <c r="B3727">
        <f>HYPERLINK("https://sonbinh.chauduc.baria-vungtau.gov.vn/gioi-thieu-chung/", "UBND Ủy ban nhân dân xã Sơn Bình  tỉnh Lai Châu")</f>
      </c>
      <c r="C3727" t="str">
        <v>https://sonbinh.chauduc.baria-vungtau.gov.vn/gioi-thieu-chung/</v>
      </c>
      <c r="D3727" t="str">
        <v>-</v>
      </c>
      <c r="E3727" t="str">
        <v>-</v>
      </c>
      <c r="F3727" t="str">
        <v>-</v>
      </c>
      <c r="G3727" t="str">
        <v>-</v>
      </c>
    </row>
    <row r="3728">
      <c r="A3728">
        <v>3727</v>
      </c>
      <c r="B3728" t="str">
        <v>Công an xã Nùng Nàng  tỉnh Lai Châu</v>
      </c>
      <c r="C3728" t="str">
        <v>-</v>
      </c>
      <c r="D3728" t="str">
        <v>-</v>
      </c>
      <c r="E3728" t="str">
        <v/>
      </c>
      <c r="F3728" t="str">
        <v>-</v>
      </c>
      <c r="G3728" t="str">
        <v>-</v>
      </c>
    </row>
    <row r="3729">
      <c r="A3729">
        <v>3728</v>
      </c>
      <c r="B3729">
        <f>HYPERLINK("https://laichau.gov.vn/tin-tuc-su-kien/hoat-dong-cua-lanh-dao-tinh/bi-thu-tinh-uy-giang-pao-my-tiep-xuc-cu-tri-tai-xa-nung-nang.html", "UBND Ủy ban nhân dân xã Nùng Nàng  tỉnh Lai Châu")</f>
      </c>
      <c r="C3729" t="str">
        <v>https://laichau.gov.vn/tin-tuc-su-kien/hoat-dong-cua-lanh-dao-tinh/bi-thu-tinh-uy-giang-pao-my-tiep-xuc-cu-tri-tai-xa-nung-nang.html</v>
      </c>
      <c r="D3729" t="str">
        <v>-</v>
      </c>
      <c r="E3729" t="str">
        <v>-</v>
      </c>
      <c r="F3729" t="str">
        <v>-</v>
      </c>
      <c r="G3729" t="str">
        <v>-</v>
      </c>
    </row>
    <row r="3730">
      <c r="A3730">
        <v>3729</v>
      </c>
      <c r="B3730">
        <f>HYPERLINK("https://www.facebook.com/tuoitrecongansonla/?locale=ms_MY", "Công an xã Bản Giang  tỉnh Lai Châu")</f>
      </c>
      <c r="C3730" t="str">
        <v>https://www.facebook.com/tuoitrecongansonla/?locale=ms_MY</v>
      </c>
      <c r="D3730" t="str">
        <v>-</v>
      </c>
      <c r="E3730" t="str">
        <v/>
      </c>
      <c r="F3730" t="str">
        <v>-</v>
      </c>
      <c r="G3730" t="str">
        <v>-</v>
      </c>
    </row>
    <row r="3731">
      <c r="A3731">
        <v>3730</v>
      </c>
      <c r="B3731">
        <f>HYPERLINK("https://tamduong.laichau.gov.vn/index.php/he-thong-to-chuc/xa-thi-tran/Xa-Ban-Giang-7.html", "UBND Ủy ban nhân dân xã Bản Giang  tỉnh Lai Châu")</f>
      </c>
      <c r="C3731" t="str">
        <v>https://tamduong.laichau.gov.vn/index.php/he-thong-to-chuc/xa-thi-tran/Xa-Ban-Giang-7.html</v>
      </c>
      <c r="D3731" t="str">
        <v>-</v>
      </c>
      <c r="E3731" t="str">
        <v>-</v>
      </c>
      <c r="F3731" t="str">
        <v>-</v>
      </c>
      <c r="G3731" t="str">
        <v>-</v>
      </c>
    </row>
    <row r="3732">
      <c r="A3732">
        <v>3731</v>
      </c>
      <c r="B3732">
        <f>HYPERLINK("https://www.facebook.com/tuoitrecongansonla/", "Công an xã Bản Hon  tỉnh Lai Châu")</f>
      </c>
      <c r="C3732" t="str">
        <v>https://www.facebook.com/tuoitrecongansonla/</v>
      </c>
      <c r="D3732" t="str">
        <v>-</v>
      </c>
      <c r="E3732" t="str">
        <v/>
      </c>
      <c r="F3732" t="str">
        <v>-</v>
      </c>
      <c r="G3732" t="str">
        <v>-</v>
      </c>
    </row>
    <row r="3733">
      <c r="A3733">
        <v>3732</v>
      </c>
      <c r="B3733">
        <f>HYPERLINK("https://tamduong.laichau.gov.vn/index.php/he-thong-to-chuc/xa-thi-tran/Xa-Ban-Hon-2.html", "UBND Ủy ban nhân dân xã Bản Hon  tỉnh Lai Châu")</f>
      </c>
      <c r="C3733" t="str">
        <v>https://tamduong.laichau.gov.vn/index.php/he-thong-to-chuc/xa-thi-tran/Xa-Ban-Hon-2.html</v>
      </c>
      <c r="D3733" t="str">
        <v>-</v>
      </c>
      <c r="E3733" t="str">
        <v>-</v>
      </c>
      <c r="F3733" t="str">
        <v>-</v>
      </c>
      <c r="G3733" t="str">
        <v>-</v>
      </c>
    </row>
    <row r="3734">
      <c r="A3734">
        <v>3733</v>
      </c>
      <c r="B3734" t="str">
        <v>Công an xã Bản Bo  tỉnh Lai Châu</v>
      </c>
      <c r="C3734" t="str">
        <v>-</v>
      </c>
      <c r="D3734" t="str">
        <v>-</v>
      </c>
      <c r="E3734" t="str">
        <v/>
      </c>
      <c r="F3734" t="str">
        <v>-</v>
      </c>
      <c r="G3734" t="str">
        <v>-</v>
      </c>
    </row>
    <row r="3735">
      <c r="A3735">
        <v>3734</v>
      </c>
      <c r="B3735">
        <f>HYPERLINK("https://tamduong.laichau.gov.vn/index.php/he-thong-to-chuc/xa-thi-tran/Xa-Ban-Bo-6.html", "UBND Ủy ban nhân dân xã Bản Bo  tỉnh Lai Châu")</f>
      </c>
      <c r="C3735" t="str">
        <v>https://tamduong.laichau.gov.vn/index.php/he-thong-to-chuc/xa-thi-tran/Xa-Ban-Bo-6.html</v>
      </c>
      <c r="D3735" t="str">
        <v>-</v>
      </c>
      <c r="E3735" t="str">
        <v>-</v>
      </c>
      <c r="F3735" t="str">
        <v>-</v>
      </c>
      <c r="G3735" t="str">
        <v>-</v>
      </c>
    </row>
    <row r="3736">
      <c r="A3736">
        <v>3735</v>
      </c>
      <c r="B3736" t="str">
        <v>Công an xã Nà Tăm  tỉnh Lai Châu</v>
      </c>
      <c r="C3736" t="str">
        <v>-</v>
      </c>
      <c r="D3736" t="str">
        <v>-</v>
      </c>
      <c r="E3736" t="str">
        <v/>
      </c>
      <c r="F3736" t="str">
        <v>-</v>
      </c>
      <c r="G3736" t="str">
        <v>-</v>
      </c>
    </row>
    <row r="3737">
      <c r="A3737">
        <v>3736</v>
      </c>
      <c r="B3737">
        <f>HYPERLINK("https://tamduong.laichau.gov.vn/index.php/he-thong-to-chuc/xa-thi-tran/Xa-Na-Tam-11.html", "UBND Ủy ban nhân dân xã Nà Tăm  tỉnh Lai Châu")</f>
      </c>
      <c r="C3737" t="str">
        <v>https://tamduong.laichau.gov.vn/index.php/he-thong-to-chuc/xa-thi-tran/Xa-Na-Tam-11.html</v>
      </c>
      <c r="D3737" t="str">
        <v>-</v>
      </c>
      <c r="E3737" t="str">
        <v>-</v>
      </c>
      <c r="F3737" t="str">
        <v>-</v>
      </c>
      <c r="G3737" t="str">
        <v>-</v>
      </c>
    </row>
    <row r="3738">
      <c r="A3738">
        <v>3737</v>
      </c>
      <c r="B3738" t="str">
        <v>Công an xã Khun Há  tỉnh Lai Châu</v>
      </c>
      <c r="C3738" t="str">
        <v>-</v>
      </c>
      <c r="D3738" t="str">
        <v>-</v>
      </c>
      <c r="E3738" t="str">
        <v/>
      </c>
      <c r="F3738" t="str">
        <v>-</v>
      </c>
      <c r="G3738" t="str">
        <v>-</v>
      </c>
    </row>
    <row r="3739">
      <c r="A3739">
        <v>3738</v>
      </c>
      <c r="B3739">
        <f>HYPERLINK("https://tamduong.laichau.gov.vn/laws/subject/UBND-xa-Khun-Ha/", "UBND Ủy ban nhân dân xã Khun Há  tỉnh Lai Châu")</f>
      </c>
      <c r="C3739" t="str">
        <v>https://tamduong.laichau.gov.vn/laws/subject/UBND-xa-Khun-Ha/</v>
      </c>
      <c r="D3739" t="str">
        <v>-</v>
      </c>
      <c r="E3739" t="str">
        <v>-</v>
      </c>
      <c r="F3739" t="str">
        <v>-</v>
      </c>
      <c r="G3739" t="str">
        <v>-</v>
      </c>
    </row>
    <row r="3740">
      <c r="A3740">
        <v>3739</v>
      </c>
      <c r="B3740" t="str">
        <v>Công an thị trấn Mường Tè  tỉnh Lai Châu</v>
      </c>
      <c r="C3740" t="str">
        <v>-</v>
      </c>
      <c r="D3740" t="str">
        <v>-</v>
      </c>
      <c r="E3740" t="str">
        <v/>
      </c>
      <c r="F3740" t="str">
        <v>-</v>
      </c>
      <c r="G3740" t="str">
        <v>-</v>
      </c>
    </row>
    <row r="3741">
      <c r="A3741">
        <v>3740</v>
      </c>
      <c r="B3741">
        <f>HYPERLINK("https://muongte.laichau.gov.vn/", "UBND Ủy ban nhân dân thị trấn Mường Tè  tỉnh Lai Châu")</f>
      </c>
      <c r="C3741" t="str">
        <v>https://muongte.laichau.gov.vn/</v>
      </c>
      <c r="D3741" t="str">
        <v>-</v>
      </c>
      <c r="E3741" t="str">
        <v>-</v>
      </c>
      <c r="F3741" t="str">
        <v>-</v>
      </c>
      <c r="G3741" t="str">
        <v>-</v>
      </c>
    </row>
    <row r="3742">
      <c r="A3742">
        <v>3741</v>
      </c>
      <c r="B3742" t="str">
        <v>Công an xã Thu Lũm  tỉnh Lai Châu</v>
      </c>
      <c r="C3742" t="str">
        <v>-</v>
      </c>
      <c r="D3742" t="str">
        <v>-</v>
      </c>
      <c r="E3742" t="str">
        <v/>
      </c>
      <c r="F3742" t="str">
        <v>-</v>
      </c>
      <c r="G3742" t="str">
        <v>-</v>
      </c>
    </row>
    <row r="3743">
      <c r="A3743">
        <v>3742</v>
      </c>
      <c r="B3743">
        <f>HYPERLINK("https://muongte.laichau.gov.vn/", "UBND Ủy ban nhân dân xã Thu Lũm  tỉnh Lai Châu")</f>
      </c>
      <c r="C3743" t="str">
        <v>https://muongte.laichau.gov.vn/</v>
      </c>
      <c r="D3743" t="str">
        <v>-</v>
      </c>
      <c r="E3743" t="str">
        <v>-</v>
      </c>
      <c r="F3743" t="str">
        <v>-</v>
      </c>
      <c r="G3743" t="str">
        <v>-</v>
      </c>
    </row>
    <row r="3744">
      <c r="A3744">
        <v>3743</v>
      </c>
      <c r="B3744" t="str">
        <v>Công an xã Ka Lăng  tỉnh Lai Châu</v>
      </c>
      <c r="C3744" t="str">
        <v>-</v>
      </c>
      <c r="D3744" t="str">
        <v>-</v>
      </c>
      <c r="E3744" t="str">
        <v/>
      </c>
      <c r="F3744" t="str">
        <v>-</v>
      </c>
      <c r="G3744" t="str">
        <v>-</v>
      </c>
    </row>
    <row r="3745">
      <c r="A3745">
        <v>3744</v>
      </c>
      <c r="B3745">
        <f>HYPERLINK("https://muongte.laichau.gov.vn/co-cau-to-chuc/vieworg/Xa-Ka-Lang-55/", "UBND Ủy ban nhân dân xã Ka Lăng  tỉnh Lai Châu")</f>
      </c>
      <c r="C3745" t="str">
        <v>https://muongte.laichau.gov.vn/co-cau-to-chuc/vieworg/Xa-Ka-Lang-55/</v>
      </c>
      <c r="D3745" t="str">
        <v>-</v>
      </c>
      <c r="E3745" t="str">
        <v>-</v>
      </c>
      <c r="F3745" t="str">
        <v>-</v>
      </c>
      <c r="G3745" t="str">
        <v>-</v>
      </c>
    </row>
    <row r="3746">
      <c r="A3746">
        <v>3745</v>
      </c>
      <c r="B3746">
        <f>HYPERLINK("https://www.facebook.com/tuoitrecongansonla/?locale=ms_MY", "Công an xã Tá Bạ  tỉnh Lai Châu")</f>
      </c>
      <c r="C3746" t="str">
        <v>https://www.facebook.com/tuoitrecongansonla/?locale=ms_MY</v>
      </c>
      <c r="D3746" t="str">
        <v>-</v>
      </c>
      <c r="E3746" t="str">
        <v/>
      </c>
      <c r="F3746" t="str">
        <v>-</v>
      </c>
      <c r="G3746" t="str">
        <v>-</v>
      </c>
    </row>
    <row r="3747">
      <c r="A3747">
        <v>3746</v>
      </c>
      <c r="B3747">
        <f>HYPERLINK("https://muongte.laichau.gov.vn/co-cau-to-chuc/vieworg/Xa-Ta-Ba-62/", "UBND Ủy ban nhân dân xã Tá Bạ  tỉnh Lai Châu")</f>
      </c>
      <c r="C3747" t="str">
        <v>https://muongte.laichau.gov.vn/co-cau-to-chuc/vieworg/Xa-Ta-Ba-62/</v>
      </c>
      <c r="D3747" t="str">
        <v>-</v>
      </c>
      <c r="E3747" t="str">
        <v>-</v>
      </c>
      <c r="F3747" t="str">
        <v>-</v>
      </c>
      <c r="G3747" t="str">
        <v>-</v>
      </c>
    </row>
    <row r="3748">
      <c r="A3748">
        <v>3747</v>
      </c>
      <c r="B3748" t="str">
        <v>Công an xã Pa ủ  tỉnh Lai Châu</v>
      </c>
      <c r="C3748" t="str">
        <v>-</v>
      </c>
      <c r="D3748" t="str">
        <v>-</v>
      </c>
      <c r="E3748" t="str">
        <v/>
      </c>
      <c r="F3748" t="str">
        <v>-</v>
      </c>
      <c r="G3748" t="str">
        <v>-</v>
      </c>
    </row>
    <row r="3749">
      <c r="A3749">
        <v>3748</v>
      </c>
      <c r="B3749">
        <f>HYPERLINK("https://muongte.laichau.gov.vn/", "UBND Ủy ban nhân dân xã Pa ủ  tỉnh Lai Châu")</f>
      </c>
      <c r="C3749" t="str">
        <v>https://muongte.laichau.gov.vn/</v>
      </c>
      <c r="D3749" t="str">
        <v>-</v>
      </c>
      <c r="E3749" t="str">
        <v>-</v>
      </c>
      <c r="F3749" t="str">
        <v>-</v>
      </c>
      <c r="G3749" t="str">
        <v>-</v>
      </c>
    </row>
    <row r="3750">
      <c r="A3750">
        <v>3749</v>
      </c>
      <c r="B3750" t="str">
        <v>Công an xã Mường Tè  tỉnh Lai Châu</v>
      </c>
      <c r="C3750" t="str">
        <v>-</v>
      </c>
      <c r="D3750" t="str">
        <v>-</v>
      </c>
      <c r="E3750" t="str">
        <v/>
      </c>
      <c r="F3750" t="str">
        <v>-</v>
      </c>
      <c r="G3750" t="str">
        <v>-</v>
      </c>
    </row>
    <row r="3751">
      <c r="A3751">
        <v>3750</v>
      </c>
      <c r="B3751">
        <f>HYPERLINK("https://muongte.laichau.gov.vn/", "UBND Ủy ban nhân dân xã Mường Tè  tỉnh Lai Châu")</f>
      </c>
      <c r="C3751" t="str">
        <v>https://muongte.laichau.gov.vn/</v>
      </c>
      <c r="D3751" t="str">
        <v>-</v>
      </c>
      <c r="E3751" t="str">
        <v>-</v>
      </c>
      <c r="F3751" t="str">
        <v>-</v>
      </c>
      <c r="G3751" t="str">
        <v>-</v>
      </c>
    </row>
    <row r="3752">
      <c r="A3752">
        <v>3751</v>
      </c>
      <c r="B3752" t="str">
        <v>Công an xã Pa Vệ Sử  tỉnh Lai Châu</v>
      </c>
      <c r="C3752" t="str">
        <v>-</v>
      </c>
      <c r="D3752" t="str">
        <v>-</v>
      </c>
      <c r="E3752" t="str">
        <v/>
      </c>
      <c r="F3752" t="str">
        <v>-</v>
      </c>
      <c r="G3752" t="str">
        <v>-</v>
      </c>
    </row>
    <row r="3753">
      <c r="A3753">
        <v>3752</v>
      </c>
      <c r="B3753">
        <f>HYPERLINK("https://muongte.laichau.gov.vn/co-cau-to-chuc/vieworg/Xa-Pa-Ve-Su-61/", "UBND Ủy ban nhân dân xã Pa Vệ Sử  tỉnh Lai Châu")</f>
      </c>
      <c r="C3753" t="str">
        <v>https://muongte.laichau.gov.vn/co-cau-to-chuc/vieworg/Xa-Pa-Ve-Su-61/</v>
      </c>
      <c r="D3753" t="str">
        <v>-</v>
      </c>
      <c r="E3753" t="str">
        <v>-</v>
      </c>
      <c r="F3753" t="str">
        <v>-</v>
      </c>
      <c r="G3753" t="str">
        <v>-</v>
      </c>
    </row>
    <row r="3754">
      <c r="A3754">
        <v>3753</v>
      </c>
      <c r="B3754" t="str">
        <v>Công an xã Mù Cả  tỉnh Lai Châu</v>
      </c>
      <c r="C3754" t="str">
        <v>-</v>
      </c>
      <c r="D3754" t="str">
        <v>-</v>
      </c>
      <c r="E3754" t="str">
        <v/>
      </c>
      <c r="F3754" t="str">
        <v>-</v>
      </c>
      <c r="G3754" t="str">
        <v>-</v>
      </c>
    </row>
    <row r="3755">
      <c r="A3755">
        <v>3754</v>
      </c>
      <c r="B3755">
        <f>HYPERLINK("https://laichau.gov.vn/tin-tuc-su-kien/so-nganh-huyen-thanh-pho/chuong-trinh-xuan-bien-phong-am-long-dan-ban-tai-ban-to-kho-xa-mu-ca-huyen-muong-te.html", "UBND Ủy ban nhân dân xã Mù Cả  tỉnh Lai Châu")</f>
      </c>
      <c r="C3755" t="str">
        <v>https://laichau.gov.vn/tin-tuc-su-kien/so-nganh-huyen-thanh-pho/chuong-trinh-xuan-bien-phong-am-long-dan-ban-tai-ban-to-kho-xa-mu-ca-huyen-muong-te.html</v>
      </c>
      <c r="D3755" t="str">
        <v>-</v>
      </c>
      <c r="E3755" t="str">
        <v>-</v>
      </c>
      <c r="F3755" t="str">
        <v>-</v>
      </c>
      <c r="G3755" t="str">
        <v>-</v>
      </c>
    </row>
    <row r="3756">
      <c r="A3756">
        <v>3755</v>
      </c>
      <c r="B3756" t="str">
        <v>Công an xã Bum Tở  tỉnh Lai Châu</v>
      </c>
      <c r="C3756" t="str">
        <v>-</v>
      </c>
      <c r="D3756" t="str">
        <v>-</v>
      </c>
      <c r="E3756" t="str">
        <v/>
      </c>
      <c r="F3756" t="str">
        <v>-</v>
      </c>
      <c r="G3756" t="str">
        <v>-</v>
      </c>
    </row>
    <row r="3757">
      <c r="A3757">
        <v>3756</v>
      </c>
      <c r="B3757">
        <f>HYPERLINK("https://muongte.laichau.gov.vn/", "UBND Ủy ban nhân dân xã Bum Tở  tỉnh Lai Châu")</f>
      </c>
      <c r="C3757" t="str">
        <v>https://muongte.laichau.gov.vn/</v>
      </c>
      <c r="D3757" t="str">
        <v>-</v>
      </c>
      <c r="E3757" t="str">
        <v>-</v>
      </c>
      <c r="F3757" t="str">
        <v>-</v>
      </c>
      <c r="G3757" t="str">
        <v>-</v>
      </c>
    </row>
    <row r="3758">
      <c r="A3758">
        <v>3757</v>
      </c>
      <c r="B3758" t="str">
        <v>Công an xã Nậm Khao  tỉnh Lai Châu</v>
      </c>
      <c r="C3758" t="str">
        <v>-</v>
      </c>
      <c r="D3758" t="str">
        <v>-</v>
      </c>
      <c r="E3758" t="str">
        <v/>
      </c>
      <c r="F3758" t="str">
        <v>-</v>
      </c>
      <c r="G3758" t="str">
        <v>-</v>
      </c>
    </row>
    <row r="3759">
      <c r="A3759">
        <v>3758</v>
      </c>
      <c r="B3759">
        <f>HYPERLINK("https://muongte.laichau.gov.vn/co-cau-to-chuc/vieworg/Xa-Nam-Khao-59/", "UBND Ủy ban nhân dân xã Nậm Khao  tỉnh Lai Châu")</f>
      </c>
      <c r="C3759" t="str">
        <v>https://muongte.laichau.gov.vn/co-cau-to-chuc/vieworg/Xa-Nam-Khao-59/</v>
      </c>
      <c r="D3759" t="str">
        <v>-</v>
      </c>
      <c r="E3759" t="str">
        <v>-</v>
      </c>
      <c r="F3759" t="str">
        <v>-</v>
      </c>
      <c r="G3759" t="str">
        <v>-</v>
      </c>
    </row>
    <row r="3760">
      <c r="A3760">
        <v>3759</v>
      </c>
      <c r="B3760">
        <f>HYPERLINK("https://www.facebook.com/tuoitrecongansonla/?locale=ms_MY", "Công an xã Tà Tổng  tỉnh Lai Châu")</f>
      </c>
      <c r="C3760" t="str">
        <v>https://www.facebook.com/tuoitrecongansonla/?locale=ms_MY</v>
      </c>
      <c r="D3760" t="str">
        <v>-</v>
      </c>
      <c r="E3760" t="str">
        <v/>
      </c>
      <c r="F3760" t="str">
        <v>-</v>
      </c>
      <c r="G3760" t="str">
        <v>-</v>
      </c>
    </row>
    <row r="3761">
      <c r="A3761">
        <v>3760</v>
      </c>
      <c r="B3761">
        <f>HYPERLINK("https://laichau.gov.vn/tin-tuc-su-kien/hoat-dong-cua-lanh-dao-tinh/pho-chu-tich-thuong-truc-ubnd-tinh-tong-thanh-hai-du-ngay-hoi-toan-dan-bao-ve-an-ninh-to-quoc-nam-2024-tai-xa-ta-tong-hu2.html", "UBND Ủy ban nhân dân xã Tà Tổng  tỉnh Lai Châu")</f>
      </c>
      <c r="C3761" t="str">
        <v>https://laichau.gov.vn/tin-tuc-su-kien/hoat-dong-cua-lanh-dao-tinh/pho-chu-tich-thuong-truc-ubnd-tinh-tong-thanh-hai-du-ngay-hoi-toan-dan-bao-ve-an-ninh-to-quoc-nam-2024-tai-xa-ta-tong-hu2.html</v>
      </c>
      <c r="D3761" t="str">
        <v>-</v>
      </c>
      <c r="E3761" t="str">
        <v>-</v>
      </c>
      <c r="F3761" t="str">
        <v>-</v>
      </c>
      <c r="G3761" t="str">
        <v>-</v>
      </c>
    </row>
    <row r="3762">
      <c r="A3762">
        <v>3761</v>
      </c>
      <c r="B3762" t="str">
        <v>Công an xã Bum Nưa  tỉnh Lai Châu</v>
      </c>
      <c r="C3762" t="str">
        <v>-</v>
      </c>
      <c r="D3762" t="str">
        <v>-</v>
      </c>
      <c r="E3762" t="str">
        <v/>
      </c>
      <c r="F3762" t="str">
        <v>-</v>
      </c>
      <c r="G3762" t="str">
        <v>-</v>
      </c>
    </row>
    <row r="3763">
      <c r="A3763">
        <v>3762</v>
      </c>
      <c r="B3763">
        <f>HYPERLINK("https://muongte.laichau.gov.vn/co-cau-to-chuc/vieworg/Xa-Bum-Nua-53/", "UBND Ủy ban nhân dân xã Bum Nưa  tỉnh Lai Châu")</f>
      </c>
      <c r="C3763" t="str">
        <v>https://muongte.laichau.gov.vn/co-cau-to-chuc/vieworg/Xa-Bum-Nua-53/</v>
      </c>
      <c r="D3763" t="str">
        <v>-</v>
      </c>
      <c r="E3763" t="str">
        <v>-</v>
      </c>
      <c r="F3763" t="str">
        <v>-</v>
      </c>
      <c r="G3763" t="str">
        <v>-</v>
      </c>
    </row>
    <row r="3764">
      <c r="A3764">
        <v>3763</v>
      </c>
      <c r="B3764" t="str">
        <v>Công an xã Vàng San  tỉnh Lai Châu</v>
      </c>
      <c r="C3764" t="str">
        <v>-</v>
      </c>
      <c r="D3764" t="str">
        <v>-</v>
      </c>
      <c r="E3764" t="str">
        <v/>
      </c>
      <c r="F3764" t="str">
        <v>-</v>
      </c>
      <c r="G3764" t="str">
        <v>-</v>
      </c>
    </row>
    <row r="3765">
      <c r="A3765">
        <v>3764</v>
      </c>
      <c r="B3765">
        <f>HYPERLINK("https://muongte.laichau.gov.vn/", "UBND Ủy ban nhân dân xã Vàng San  tỉnh Lai Châu")</f>
      </c>
      <c r="C3765" t="str">
        <v>https://muongte.laichau.gov.vn/</v>
      </c>
      <c r="D3765" t="str">
        <v>-</v>
      </c>
      <c r="E3765" t="str">
        <v>-</v>
      </c>
      <c r="F3765" t="str">
        <v>-</v>
      </c>
      <c r="G3765" t="str">
        <v>-</v>
      </c>
    </row>
    <row r="3766">
      <c r="A3766">
        <v>3765</v>
      </c>
      <c r="B3766" t="str">
        <v>Công an xã Kan Hồ  tỉnh Lai Châu</v>
      </c>
      <c r="C3766" t="str">
        <v>-</v>
      </c>
      <c r="D3766" t="str">
        <v>-</v>
      </c>
      <c r="E3766" t="str">
        <v/>
      </c>
      <c r="F3766" t="str">
        <v>-</v>
      </c>
      <c r="G3766" t="str">
        <v>-</v>
      </c>
    </row>
    <row r="3767">
      <c r="A3767">
        <v>3766</v>
      </c>
      <c r="B3767">
        <f>HYPERLINK("https://laichau.gov.vn/", "UBND Ủy ban nhân dân xã Kan Hồ  tỉnh Lai Châu")</f>
      </c>
      <c r="C3767" t="str">
        <v>https://laichau.gov.vn/</v>
      </c>
      <c r="D3767" t="str">
        <v>-</v>
      </c>
      <c r="E3767" t="str">
        <v>-</v>
      </c>
      <c r="F3767" t="str">
        <v>-</v>
      </c>
      <c r="G3767" t="str">
        <v>-</v>
      </c>
    </row>
    <row r="3768">
      <c r="A3768">
        <v>3767</v>
      </c>
      <c r="B3768">
        <f>HYPERLINK("https://www.facebook.com/conganhuyensinho/", "Công an thị trấn Sìn Hồ  tỉnh Lai Châu")</f>
      </c>
      <c r="C3768" t="str">
        <v>https://www.facebook.com/conganhuyensinho/</v>
      </c>
      <c r="D3768" t="str">
        <v>-</v>
      </c>
      <c r="E3768" t="str">
        <v/>
      </c>
      <c r="F3768" t="str">
        <v>-</v>
      </c>
      <c r="G3768" t="str">
        <v>-</v>
      </c>
    </row>
    <row r="3769">
      <c r="A3769">
        <v>3768</v>
      </c>
      <c r="B3769">
        <f>HYPERLINK("https://sinho.laichau.gov.vn/", "UBND Ủy ban nhân dân thị trấn Sìn Hồ  tỉnh Lai Châu")</f>
      </c>
      <c r="C3769" t="str">
        <v>https://sinho.laichau.gov.vn/</v>
      </c>
      <c r="D3769" t="str">
        <v>-</v>
      </c>
      <c r="E3769" t="str">
        <v>-</v>
      </c>
      <c r="F3769" t="str">
        <v>-</v>
      </c>
      <c r="G3769" t="str">
        <v>-</v>
      </c>
    </row>
    <row r="3770">
      <c r="A3770">
        <v>3769</v>
      </c>
      <c r="B3770" t="str">
        <v>Công an xã Chăn Nưa  tỉnh Lai Châu</v>
      </c>
      <c r="C3770" t="str">
        <v>-</v>
      </c>
      <c r="D3770" t="str">
        <v>-</v>
      </c>
      <c r="E3770" t="str">
        <v/>
      </c>
      <c r="F3770" t="str">
        <v>-</v>
      </c>
      <c r="G3770" t="str">
        <v>-</v>
      </c>
    </row>
    <row r="3771">
      <c r="A3771">
        <v>3770</v>
      </c>
      <c r="B3771">
        <f>HYPERLINK("https://sinho.laichau.gov.vn/", "UBND Ủy ban nhân dân xã Chăn Nưa  tỉnh Lai Châu")</f>
      </c>
      <c r="C3771" t="str">
        <v>https://sinho.laichau.gov.vn/</v>
      </c>
      <c r="D3771" t="str">
        <v>-</v>
      </c>
      <c r="E3771" t="str">
        <v>-</v>
      </c>
      <c r="F3771" t="str">
        <v>-</v>
      </c>
      <c r="G3771" t="str">
        <v>-</v>
      </c>
    </row>
    <row r="3772">
      <c r="A3772">
        <v>3771</v>
      </c>
      <c r="B3772">
        <f>HYPERLINK("https://www.facebook.com/tuoitrecongansonla/", "Công an xã Pa Tần  tỉnh Lai Châu")</f>
      </c>
      <c r="C3772" t="str">
        <v>https://www.facebook.com/tuoitrecongansonla/</v>
      </c>
      <c r="D3772" t="str">
        <v>-</v>
      </c>
      <c r="E3772" t="str">
        <v/>
      </c>
      <c r="F3772" t="str">
        <v>-</v>
      </c>
      <c r="G3772" t="str">
        <v>-</v>
      </c>
    </row>
    <row r="3773">
      <c r="A3773">
        <v>3772</v>
      </c>
      <c r="B3773">
        <f>HYPERLINK("https://laichau.gov.vn/thong-tin-tra-cuu/dau-thau-mua-sam-cong/thong-bao-dau-gia-quyen-su-dung-dat-o-nong-thon-tai-xa-pa-tan-huyen-sin-ho-tinh-lai-chau-dau-gia-lan-thu-hai-.html", "UBND Ủy ban nhân dân xã Pa Tần  tỉnh Lai Châu")</f>
      </c>
      <c r="C3773" t="str">
        <v>https://laichau.gov.vn/thong-tin-tra-cuu/dau-thau-mua-sam-cong/thong-bao-dau-gia-quyen-su-dung-dat-o-nong-thon-tai-xa-pa-tan-huyen-sin-ho-tinh-lai-chau-dau-gia-lan-thu-hai-.html</v>
      </c>
      <c r="D3773" t="str">
        <v>-</v>
      </c>
      <c r="E3773" t="str">
        <v>-</v>
      </c>
      <c r="F3773" t="str">
        <v>-</v>
      </c>
      <c r="G3773" t="str">
        <v>-</v>
      </c>
    </row>
    <row r="3774">
      <c r="A3774">
        <v>3773</v>
      </c>
      <c r="B3774">
        <f>HYPERLINK("https://www.facebook.com/tuoitrecongansonla/?locale=ms_MY", "Công an xã Phìn Hồ  tỉnh Lai Châu")</f>
      </c>
      <c r="C3774" t="str">
        <v>https://www.facebook.com/tuoitrecongansonla/?locale=ms_MY</v>
      </c>
      <c r="D3774" t="str">
        <v>-</v>
      </c>
      <c r="E3774" t="str">
        <v/>
      </c>
      <c r="F3774" t="str">
        <v>-</v>
      </c>
      <c r="G3774" t="str">
        <v>-</v>
      </c>
    </row>
    <row r="3775">
      <c r="A3775">
        <v>3774</v>
      </c>
      <c r="B3775">
        <f>HYPERLINK("https://sinho.laichau.gov.vn/", "UBND Ủy ban nhân dân xã Phìn Hồ  tỉnh Lai Châu")</f>
      </c>
      <c r="C3775" t="str">
        <v>https://sinho.laichau.gov.vn/</v>
      </c>
      <c r="D3775" t="str">
        <v>-</v>
      </c>
      <c r="E3775" t="str">
        <v>-</v>
      </c>
      <c r="F3775" t="str">
        <v>-</v>
      </c>
      <c r="G3775" t="str">
        <v>-</v>
      </c>
    </row>
    <row r="3776">
      <c r="A3776">
        <v>3775</v>
      </c>
      <c r="B3776">
        <f>HYPERLINK("https://www.facebook.com/tuoitredongthap/", "Công an xã Hồng Thu  tỉnh Lai Châu")</f>
      </c>
      <c r="C3776" t="str">
        <v>https://www.facebook.com/tuoitredongthap/</v>
      </c>
      <c r="D3776" t="str">
        <v>-</v>
      </c>
      <c r="E3776" t="str">
        <v/>
      </c>
      <c r="F3776" t="str">
        <v>-</v>
      </c>
      <c r="G3776" t="str">
        <v>-</v>
      </c>
    </row>
    <row r="3777">
      <c r="A3777">
        <v>3776</v>
      </c>
      <c r="B3777">
        <f>HYPERLINK("https://laichau.gov.vn/", "UBND Ủy ban nhân dân xã Hồng Thu  tỉnh Lai Châu")</f>
      </c>
      <c r="C3777" t="str">
        <v>https://laichau.gov.vn/</v>
      </c>
      <c r="D3777" t="str">
        <v>-</v>
      </c>
      <c r="E3777" t="str">
        <v>-</v>
      </c>
      <c r="F3777" t="str">
        <v>-</v>
      </c>
      <c r="G3777" t="str">
        <v>-</v>
      </c>
    </row>
    <row r="3778">
      <c r="A3778">
        <v>3777</v>
      </c>
      <c r="B3778">
        <f>HYPERLINK("https://www.facebook.com/tuoitrecongansonla/", "Công an xã Phăng Sô Lin  tỉnh Lai Châu")</f>
      </c>
      <c r="C3778" t="str">
        <v>https://www.facebook.com/tuoitrecongansonla/</v>
      </c>
      <c r="D3778" t="str">
        <v>-</v>
      </c>
      <c r="E3778" t="str">
        <v/>
      </c>
      <c r="F3778" t="str">
        <v>-</v>
      </c>
      <c r="G3778" t="str">
        <v>-</v>
      </c>
    </row>
    <row r="3779">
      <c r="A3779">
        <v>3778</v>
      </c>
      <c r="B3779">
        <f>HYPERLINK("https://sinho.laichau.gov.vn/", "UBND Ủy ban nhân dân xã Phăng Sô Lin  tỉnh Lai Châu")</f>
      </c>
      <c r="C3779" t="str">
        <v>https://sinho.laichau.gov.vn/</v>
      </c>
      <c r="D3779" t="str">
        <v>-</v>
      </c>
      <c r="E3779" t="str">
        <v>-</v>
      </c>
      <c r="F3779" t="str">
        <v>-</v>
      </c>
      <c r="G3779" t="str">
        <v>-</v>
      </c>
    </row>
    <row r="3780">
      <c r="A3780">
        <v>3779</v>
      </c>
      <c r="B3780" t="str">
        <v>Công an xã Ma Quai  tỉnh Lai Châu</v>
      </c>
      <c r="C3780" t="str">
        <v>-</v>
      </c>
      <c r="D3780" t="str">
        <v>-</v>
      </c>
      <c r="E3780" t="str">
        <v/>
      </c>
      <c r="F3780" t="str">
        <v>-</v>
      </c>
      <c r="G3780" t="str">
        <v>-</v>
      </c>
    </row>
    <row r="3781">
      <c r="A3781">
        <v>3780</v>
      </c>
      <c r="B3781">
        <f>HYPERLINK("https://laichau.gov.vn/tin-tuc-su-kien/hoat-dong-cua-lanh-dao-tinh/chuong-trinh-xuan-gan-ket-tet-nong-dan-nam-2024-tai-ban-can-ty-xa-ma-quai-huyen-sin-ho.html", "UBND Ủy ban nhân dân xã Ma Quai  tỉnh Lai Châu")</f>
      </c>
      <c r="C3781" t="str">
        <v>https://laichau.gov.vn/tin-tuc-su-kien/hoat-dong-cua-lanh-dao-tinh/chuong-trinh-xuan-gan-ket-tet-nong-dan-nam-2024-tai-ban-can-ty-xa-ma-quai-huyen-sin-ho.html</v>
      </c>
      <c r="D3781" t="str">
        <v>-</v>
      </c>
      <c r="E3781" t="str">
        <v>-</v>
      </c>
      <c r="F3781" t="str">
        <v>-</v>
      </c>
      <c r="G3781" t="str">
        <v>-</v>
      </c>
    </row>
    <row r="3782">
      <c r="A3782">
        <v>3781</v>
      </c>
      <c r="B3782" t="str">
        <v>Công an xã Lùng Thàng  tỉnh Lai Châu</v>
      </c>
      <c r="C3782" t="str">
        <v>-</v>
      </c>
      <c r="D3782" t="str">
        <v>-</v>
      </c>
      <c r="E3782" t="str">
        <v/>
      </c>
      <c r="F3782" t="str">
        <v>-</v>
      </c>
      <c r="G3782" t="str">
        <v>-</v>
      </c>
    </row>
    <row r="3783">
      <c r="A3783">
        <v>3782</v>
      </c>
      <c r="B3783">
        <f>HYPERLINK("http://sinho.laichau.gov.vn/phuong-xa/ubnd-xa-lung-thang", "UBND Ủy ban nhân dân xã Lùng Thàng  tỉnh Lai Châu")</f>
      </c>
      <c r="C3783" t="str">
        <v>http://sinho.laichau.gov.vn/phuong-xa/ubnd-xa-lung-thang</v>
      </c>
      <c r="D3783" t="str">
        <v>-</v>
      </c>
      <c r="E3783" t="str">
        <v>-</v>
      </c>
      <c r="F3783" t="str">
        <v>-</v>
      </c>
      <c r="G3783" t="str">
        <v>-</v>
      </c>
    </row>
    <row r="3784">
      <c r="A3784">
        <v>3783</v>
      </c>
      <c r="B3784">
        <f>HYPERLINK("https://www.facebook.com/tuoitrecongansonla/?locale=ms_MY", "Công an xã Tả Phìn  tỉnh Lai Châu")</f>
      </c>
      <c r="C3784" t="str">
        <v>https://www.facebook.com/tuoitrecongansonla/?locale=ms_MY</v>
      </c>
      <c r="D3784" t="str">
        <v>-</v>
      </c>
      <c r="E3784" t="str">
        <v/>
      </c>
      <c r="F3784" t="str">
        <v>-</v>
      </c>
      <c r="G3784" t="str">
        <v>-</v>
      </c>
    </row>
    <row r="3785">
      <c r="A3785">
        <v>3784</v>
      </c>
      <c r="B3785">
        <f>HYPERLINK("https://dichvucong.laichau.gov.vn/dich-vu-cong/tiep-nhan-online/thanh-toan-truc-tuyen?sid=189707&amp;ma-ho-so=648832", "UBND Ủy ban nhân dân xã Tả Phìn  tỉnh Lai Châu")</f>
      </c>
      <c r="C3785" t="str">
        <v>https://dichvucong.laichau.gov.vn/dich-vu-cong/tiep-nhan-online/thanh-toan-truc-tuyen?sid=189707&amp;ma-ho-so=648832</v>
      </c>
      <c r="D3785" t="str">
        <v>-</v>
      </c>
      <c r="E3785" t="str">
        <v>-</v>
      </c>
      <c r="F3785" t="str">
        <v>-</v>
      </c>
      <c r="G3785" t="str">
        <v>-</v>
      </c>
    </row>
    <row r="3786">
      <c r="A3786">
        <v>3785</v>
      </c>
      <c r="B3786" t="str">
        <v>Công an xã Sà Dề Phìn  tỉnh Lai Châu</v>
      </c>
      <c r="C3786" t="str">
        <v>-</v>
      </c>
      <c r="D3786" t="str">
        <v>-</v>
      </c>
      <c r="E3786" t="str">
        <v/>
      </c>
      <c r="F3786" t="str">
        <v>-</v>
      </c>
      <c r="G3786" t="str">
        <v>-</v>
      </c>
    </row>
    <row r="3787">
      <c r="A3787">
        <v>3786</v>
      </c>
      <c r="B3787">
        <f>HYPERLINK("https://laichau.gov.vn/du-khach/trai-nghiem-dem-sa-de-phin-tren-cao-nguyen-sin-ho.html", "UBND Ủy ban nhân dân xã Sà Dề Phìn  tỉnh Lai Châu")</f>
      </c>
      <c r="C3787" t="str">
        <v>https://laichau.gov.vn/du-khach/trai-nghiem-dem-sa-de-phin-tren-cao-nguyen-sin-ho.html</v>
      </c>
      <c r="D3787" t="str">
        <v>-</v>
      </c>
      <c r="E3787" t="str">
        <v>-</v>
      </c>
      <c r="F3787" t="str">
        <v>-</v>
      </c>
      <c r="G3787" t="str">
        <v>-</v>
      </c>
    </row>
    <row r="3788">
      <c r="A3788">
        <v>3787</v>
      </c>
      <c r="B3788" t="str">
        <v>Công an xã Nậm Tăm  tỉnh Lai Châu</v>
      </c>
      <c r="C3788" t="str">
        <v>-</v>
      </c>
      <c r="D3788" t="str">
        <v>-</v>
      </c>
      <c r="E3788" t="str">
        <v/>
      </c>
      <c r="F3788" t="str">
        <v>-</v>
      </c>
      <c r="G3788" t="str">
        <v>-</v>
      </c>
    </row>
    <row r="3789">
      <c r="A3789">
        <v>3788</v>
      </c>
      <c r="B3789">
        <f>HYPERLINK("https://laichau.gov.vn/thong-tin-nguoi-phat-ngon", "UBND Ủy ban nhân dân xã Nậm Tăm  tỉnh Lai Châu")</f>
      </c>
      <c r="C3789" t="str">
        <v>https://laichau.gov.vn/thong-tin-nguoi-phat-ngon</v>
      </c>
      <c r="D3789" t="str">
        <v>-</v>
      </c>
      <c r="E3789" t="str">
        <v>-</v>
      </c>
      <c r="F3789" t="str">
        <v>-</v>
      </c>
      <c r="G3789" t="str">
        <v>-</v>
      </c>
    </row>
    <row r="3790">
      <c r="A3790">
        <v>3789</v>
      </c>
      <c r="B3790">
        <f>HYPERLINK("https://www.facebook.com/tuoitrecongansonla/?locale=ms_MY", "Công an xã Tả Ngảo  tỉnh Lai Châu")</f>
      </c>
      <c r="C3790" t="str">
        <v>https://www.facebook.com/tuoitrecongansonla/?locale=ms_MY</v>
      </c>
      <c r="D3790" t="str">
        <v>-</v>
      </c>
      <c r="E3790" t="str">
        <v/>
      </c>
      <c r="F3790" t="str">
        <v>-</v>
      </c>
      <c r="G3790" t="str">
        <v>-</v>
      </c>
    </row>
    <row r="3791">
      <c r="A3791">
        <v>3790</v>
      </c>
      <c r="B3791">
        <f>HYPERLINK("https://dichvucong.laichau.gov.vn/dich-vu-cong/tiep-nhan-online/thanh-toan-truc-tuyen?sid=189039&amp;ma-ho-so=650028", "UBND Ủy ban nhân dân xã Tả Ngảo  tỉnh Lai Châu")</f>
      </c>
      <c r="C3791" t="str">
        <v>https://dichvucong.laichau.gov.vn/dich-vu-cong/tiep-nhan-online/thanh-toan-truc-tuyen?sid=189039&amp;ma-ho-so=650028</v>
      </c>
      <c r="D3791" t="str">
        <v>-</v>
      </c>
      <c r="E3791" t="str">
        <v>-</v>
      </c>
      <c r="F3791" t="str">
        <v>-</v>
      </c>
      <c r="G3791" t="str">
        <v>-</v>
      </c>
    </row>
    <row r="3792">
      <c r="A3792">
        <v>3791</v>
      </c>
      <c r="B3792" t="str">
        <v>Công an xã Pu Sam Cáp  tỉnh Lai Châu</v>
      </c>
      <c r="C3792" t="str">
        <v>-</v>
      </c>
      <c r="D3792" t="str">
        <v>-</v>
      </c>
      <c r="E3792" t="str">
        <v/>
      </c>
      <c r="F3792" t="str">
        <v>-</v>
      </c>
      <c r="G3792" t="str">
        <v>-</v>
      </c>
    </row>
    <row r="3793">
      <c r="A3793">
        <v>3792</v>
      </c>
      <c r="B3793">
        <f>HYPERLINK("https://sinho.laichau.gov.vn/", "UBND Ủy ban nhân dân xã Pu Sam Cáp  tỉnh Lai Châu")</f>
      </c>
      <c r="C3793" t="str">
        <v>https://sinho.laichau.gov.vn/</v>
      </c>
      <c r="D3793" t="str">
        <v>-</v>
      </c>
      <c r="E3793" t="str">
        <v>-</v>
      </c>
      <c r="F3793" t="str">
        <v>-</v>
      </c>
      <c r="G3793" t="str">
        <v>-</v>
      </c>
    </row>
    <row r="3794">
      <c r="A3794">
        <v>3793</v>
      </c>
      <c r="B3794" t="str">
        <v>Công an xã Nậm Cha  tỉnh Lai Châu</v>
      </c>
      <c r="C3794" t="str">
        <v>-</v>
      </c>
      <c r="D3794" t="str">
        <v>-</v>
      </c>
      <c r="E3794" t="str">
        <v/>
      </c>
      <c r="F3794" t="str">
        <v>-</v>
      </c>
      <c r="G3794" t="str">
        <v>-</v>
      </c>
    </row>
    <row r="3795">
      <c r="A3795">
        <v>3794</v>
      </c>
      <c r="B3795">
        <f>HYPERLINK("https://namnhun.laichau.gov.vn/", "UBND Ủy ban nhân dân xã Nậm Cha  tỉnh Lai Châu")</f>
      </c>
      <c r="C3795" t="str">
        <v>https://namnhun.laichau.gov.vn/</v>
      </c>
      <c r="D3795" t="str">
        <v>-</v>
      </c>
      <c r="E3795" t="str">
        <v>-</v>
      </c>
      <c r="F3795" t="str">
        <v>-</v>
      </c>
      <c r="G3795" t="str">
        <v>-</v>
      </c>
    </row>
    <row r="3796">
      <c r="A3796">
        <v>3795</v>
      </c>
      <c r="B3796" t="str">
        <v>Công an xã Pa Khoá  tỉnh Lai Châu</v>
      </c>
      <c r="C3796" t="str">
        <v>-</v>
      </c>
      <c r="D3796" t="str">
        <v>-</v>
      </c>
      <c r="E3796" t="str">
        <v/>
      </c>
      <c r="F3796" t="str">
        <v>-</v>
      </c>
      <c r="G3796" t="str">
        <v>-</v>
      </c>
    </row>
    <row r="3797">
      <c r="A3797">
        <v>3796</v>
      </c>
      <c r="B3797">
        <f>HYPERLINK("https://laichau.gov.vn/", "UBND Ủy ban nhân dân xã Pa Khoá  tỉnh Lai Châu")</f>
      </c>
      <c r="C3797" t="str">
        <v>https://laichau.gov.vn/</v>
      </c>
      <c r="D3797" t="str">
        <v>-</v>
      </c>
      <c r="E3797" t="str">
        <v>-</v>
      </c>
      <c r="F3797" t="str">
        <v>-</v>
      </c>
      <c r="G3797" t="str">
        <v>-</v>
      </c>
    </row>
    <row r="3798">
      <c r="A3798">
        <v>3797</v>
      </c>
      <c r="B3798" t="str">
        <v>Công an xã Làng Mô  tỉnh Lai Châu</v>
      </c>
      <c r="C3798" t="str">
        <v>-</v>
      </c>
      <c r="D3798" t="str">
        <v>-</v>
      </c>
      <c r="E3798" t="str">
        <v/>
      </c>
      <c r="F3798" t="str">
        <v>-</v>
      </c>
      <c r="G3798" t="str">
        <v>-</v>
      </c>
    </row>
    <row r="3799">
      <c r="A3799">
        <v>3798</v>
      </c>
      <c r="B3799">
        <f>HYPERLINK("https://laichau.gov.vn/thong-tin-nguoi-phat-ngon", "UBND Ủy ban nhân dân xã Làng Mô  tỉnh Lai Châu")</f>
      </c>
      <c r="C3799" t="str">
        <v>https://laichau.gov.vn/thong-tin-nguoi-phat-ngon</v>
      </c>
      <c r="D3799" t="str">
        <v>-</v>
      </c>
      <c r="E3799" t="str">
        <v>-</v>
      </c>
      <c r="F3799" t="str">
        <v>-</v>
      </c>
      <c r="G3799" t="str">
        <v>-</v>
      </c>
    </row>
    <row r="3800">
      <c r="A3800">
        <v>3799</v>
      </c>
      <c r="B3800" t="str">
        <v>Công an xã Noong Hẻo  tỉnh Lai Châu</v>
      </c>
      <c r="C3800" t="str">
        <v>-</v>
      </c>
      <c r="D3800" t="str">
        <v>-</v>
      </c>
      <c r="E3800" t="str">
        <v/>
      </c>
      <c r="F3800" t="str">
        <v>-</v>
      </c>
      <c r="G3800" t="str">
        <v>-</v>
      </c>
    </row>
    <row r="3801">
      <c r="A3801">
        <v>3800</v>
      </c>
      <c r="B3801">
        <f>HYPERLINK("https://laichau.gov.vn/tin-tuc-su-kien/hoat-dong-cua-lanh-dao-tinh/pho-chu-tich-ubnd-tinh-ha-trong-hai-tham-du-ngay-hoi-dai-doan-ket-toan-dan-toc-lien-ban-xa-noong-heo-huyen-sin-ho-nam-20.html", "UBND Ủy ban nhân dân xã Noong Hẻo  tỉnh Lai Châu")</f>
      </c>
      <c r="C3801" t="str">
        <v>https://laichau.gov.vn/tin-tuc-su-kien/hoat-dong-cua-lanh-dao-tinh/pho-chu-tich-ubnd-tinh-ha-trong-hai-tham-du-ngay-hoi-dai-doan-ket-toan-dan-toc-lien-ban-xa-noong-heo-huyen-sin-ho-nam-20.html</v>
      </c>
      <c r="D3801" t="str">
        <v>-</v>
      </c>
      <c r="E3801" t="str">
        <v>-</v>
      </c>
      <c r="F3801" t="str">
        <v>-</v>
      </c>
      <c r="G3801" t="str">
        <v>-</v>
      </c>
    </row>
    <row r="3802">
      <c r="A3802">
        <v>3801</v>
      </c>
      <c r="B3802" t="str">
        <v>Công an xã Nậm Mạ  tỉnh Lai Châu</v>
      </c>
      <c r="C3802" t="str">
        <v>-</v>
      </c>
      <c r="D3802" t="str">
        <v>-</v>
      </c>
      <c r="E3802" t="str">
        <v/>
      </c>
      <c r="F3802" t="str">
        <v>-</v>
      </c>
      <c r="G3802" t="str">
        <v>-</v>
      </c>
    </row>
    <row r="3803">
      <c r="A3803">
        <v>3802</v>
      </c>
      <c r="B3803">
        <f>HYPERLINK("https://laichau.gov.vn/danh-muc/hoat-dong-trong-tinh/tin-cac-dia-phuong/nam-ma-day-manh-nang-cao-doi-song-vat-chat-cho-nguoi-dan.html", "UBND Ủy ban nhân dân xã Nậm Mạ  tỉnh Lai Châu")</f>
      </c>
      <c r="C3803" t="str">
        <v>https://laichau.gov.vn/danh-muc/hoat-dong-trong-tinh/tin-cac-dia-phuong/nam-ma-day-manh-nang-cao-doi-song-vat-chat-cho-nguoi-dan.html</v>
      </c>
      <c r="D3803" t="str">
        <v>-</v>
      </c>
      <c r="E3803" t="str">
        <v>-</v>
      </c>
      <c r="F3803" t="str">
        <v>-</v>
      </c>
      <c r="G3803" t="str">
        <v>-</v>
      </c>
    </row>
    <row r="3804">
      <c r="A3804">
        <v>3803</v>
      </c>
      <c r="B3804">
        <f>HYPERLINK("https://www.facebook.com/Congantinhlaichau/?locale=vi_VN", "Công an xã Căn Co  tỉnh Lai Châu")</f>
      </c>
      <c r="C3804" t="str">
        <v>https://www.facebook.com/Congantinhlaichau/?locale=vi_VN</v>
      </c>
      <c r="D3804" t="str">
        <v>-</v>
      </c>
      <c r="E3804" t="str">
        <v/>
      </c>
      <c r="F3804" t="str">
        <v>-</v>
      </c>
      <c r="G3804" t="str">
        <v>-</v>
      </c>
    </row>
    <row r="3805">
      <c r="A3805">
        <v>3804</v>
      </c>
      <c r="B3805">
        <f>HYPERLINK("https://sinho.laichau.gov.vn/", "UBND Ủy ban nhân dân xã Căn Co  tỉnh Lai Châu")</f>
      </c>
      <c r="C3805" t="str">
        <v>https://sinho.laichau.gov.vn/</v>
      </c>
      <c r="D3805" t="str">
        <v>-</v>
      </c>
      <c r="E3805" t="str">
        <v>-</v>
      </c>
      <c r="F3805" t="str">
        <v>-</v>
      </c>
      <c r="G3805" t="str">
        <v>-</v>
      </c>
    </row>
    <row r="3806">
      <c r="A3806">
        <v>3805</v>
      </c>
      <c r="B3806" t="str">
        <v>Công an xã Tủa Sín Chải  tỉnh Lai Châu</v>
      </c>
      <c r="C3806" t="str">
        <v>-</v>
      </c>
      <c r="D3806" t="str">
        <v>-</v>
      </c>
      <c r="E3806" t="str">
        <v/>
      </c>
      <c r="F3806" t="str">
        <v>-</v>
      </c>
      <c r="G3806" t="str">
        <v>-</v>
      </c>
    </row>
    <row r="3807">
      <c r="A3807">
        <v>3806</v>
      </c>
      <c r="B3807">
        <f>HYPERLINK("https://sinho.laichau.gov.vn/", "UBND Ủy ban nhân dân xã Tủa Sín Chải  tỉnh Lai Châu")</f>
      </c>
      <c r="C3807" t="str">
        <v>https://sinho.laichau.gov.vn/</v>
      </c>
      <c r="D3807" t="str">
        <v>-</v>
      </c>
      <c r="E3807" t="str">
        <v>-</v>
      </c>
      <c r="F3807" t="str">
        <v>-</v>
      </c>
      <c r="G3807" t="str">
        <v>-</v>
      </c>
    </row>
    <row r="3808">
      <c r="A3808">
        <v>3807</v>
      </c>
      <c r="B3808" t="str">
        <v>Công an xã Nậm Cuổi  tỉnh Lai Châu</v>
      </c>
      <c r="C3808" t="str">
        <v>-</v>
      </c>
      <c r="D3808" t="str">
        <v>-</v>
      </c>
      <c r="E3808" t="str">
        <v/>
      </c>
      <c r="F3808" t="str">
        <v>-</v>
      </c>
      <c r="G3808" t="str">
        <v>-</v>
      </c>
    </row>
    <row r="3809">
      <c r="A3809">
        <v>3808</v>
      </c>
      <c r="B3809">
        <f>HYPERLINK("https://sinho.laichau.gov.vn/", "UBND Ủy ban nhân dân xã Nậm Cuổi  tỉnh Lai Châu")</f>
      </c>
      <c r="C3809" t="str">
        <v>https://sinho.laichau.gov.vn/</v>
      </c>
      <c r="D3809" t="str">
        <v>-</v>
      </c>
      <c r="E3809" t="str">
        <v>-</v>
      </c>
      <c r="F3809" t="str">
        <v>-</v>
      </c>
      <c r="G3809" t="str">
        <v>-</v>
      </c>
    </row>
    <row r="3810">
      <c r="A3810">
        <v>3809</v>
      </c>
      <c r="B3810">
        <f>HYPERLINK("https://www.facebook.com/tuoitreconganninhbinh/?locale=be_BY", "Công an xã Nậm Hăn  tỉnh Lai Châu")</f>
      </c>
      <c r="C3810" t="str">
        <v>https://www.facebook.com/tuoitreconganninhbinh/?locale=be_BY</v>
      </c>
      <c r="D3810" t="str">
        <v>-</v>
      </c>
      <c r="E3810" t="str">
        <v/>
      </c>
      <c r="F3810" t="str">
        <v>-</v>
      </c>
      <c r="G3810" t="str">
        <v>-</v>
      </c>
    </row>
    <row r="3811">
      <c r="A3811">
        <v>3810</v>
      </c>
      <c r="B3811">
        <f>HYPERLINK("https://laichau.gov.vn/thong-tin-nguoi-phat-ngon", "UBND Ủy ban nhân dân xã Nậm Hăn  tỉnh Lai Châu")</f>
      </c>
      <c r="C3811" t="str">
        <v>https://laichau.gov.vn/thong-tin-nguoi-phat-ngon</v>
      </c>
      <c r="D3811" t="str">
        <v>-</v>
      </c>
      <c r="E3811" t="str">
        <v>-</v>
      </c>
      <c r="F3811" t="str">
        <v>-</v>
      </c>
      <c r="G3811" t="str">
        <v>-</v>
      </c>
    </row>
    <row r="3812">
      <c r="A3812">
        <v>3811</v>
      </c>
      <c r="B3812">
        <f>HYPERLINK("https://www.facebook.com/Congantinhlaichau/?locale=cs_CZ", "Công an xã Lả Nhì Thàng  tỉnh Lai Châu")</f>
      </c>
      <c r="C3812" t="str">
        <v>https://www.facebook.com/Congantinhlaichau/?locale=cs_CZ</v>
      </c>
      <c r="D3812" t="str">
        <v>-</v>
      </c>
      <c r="E3812" t="str">
        <v/>
      </c>
      <c r="F3812" t="str">
        <v>-</v>
      </c>
      <c r="G3812" t="str">
        <v>-</v>
      </c>
    </row>
    <row r="3813">
      <c r="A3813">
        <v>3812</v>
      </c>
      <c r="B3813">
        <f>HYPERLINK("https://laichau.gov.vn/danh-muc/tong-quan-lai-chau/cac-huyen-xa-thuoc-tinh/huyen-phong-tho2.html", "UBND Ủy ban nhân dân xã Lả Nhì Thàng  tỉnh Lai Châu")</f>
      </c>
      <c r="C3813" t="str">
        <v>https://laichau.gov.vn/danh-muc/tong-quan-lai-chau/cac-huyen-xa-thuoc-tinh/huyen-phong-tho2.html</v>
      </c>
      <c r="D3813" t="str">
        <v>-</v>
      </c>
      <c r="E3813" t="str">
        <v>-</v>
      </c>
      <c r="F3813" t="str">
        <v>-</v>
      </c>
      <c r="G3813" t="str">
        <v>-</v>
      </c>
    </row>
    <row r="3814">
      <c r="A3814">
        <v>3813</v>
      </c>
      <c r="B3814">
        <f>HYPERLINK("https://www.facebook.com/882374069185830", "Công an xã Huổi Luông  tỉnh Lai Châu")</f>
      </c>
      <c r="C3814" t="str">
        <v>https://www.facebook.com/882374069185830</v>
      </c>
      <c r="D3814" t="str">
        <v>-</v>
      </c>
      <c r="E3814" t="str">
        <v/>
      </c>
      <c r="F3814" t="str">
        <v>-</v>
      </c>
      <c r="G3814" t="str">
        <v>-</v>
      </c>
    </row>
    <row r="3815">
      <c r="A3815">
        <v>3814</v>
      </c>
      <c r="B3815">
        <f>HYPERLINK("https://laichau.gov.vn/tin-tuc-su-kien/chuyen-de/thong-tin-bien-gioi/ban-ho-thau-xa-bien-gioi-huoi-luong-don-tet-som.html", "UBND Ủy ban nhân dân xã Huổi Luông  tỉnh Lai Châu")</f>
      </c>
      <c r="C3815" t="str">
        <v>https://laichau.gov.vn/tin-tuc-su-kien/chuyen-de/thong-tin-bien-gioi/ban-ho-thau-xa-bien-gioi-huoi-luong-don-tet-som.html</v>
      </c>
      <c r="D3815" t="str">
        <v>-</v>
      </c>
      <c r="E3815" t="str">
        <v>-</v>
      </c>
      <c r="F3815" t="str">
        <v>-</v>
      </c>
      <c r="G3815" t="str">
        <v>-</v>
      </c>
    </row>
    <row r="3816">
      <c r="A3816">
        <v>3815</v>
      </c>
      <c r="B3816">
        <f>HYPERLINK("https://www.facebook.com/p/C%C3%B4ng-an-huy%E1%BB%87n-Phong-Th%E1%BB%95-t%E1%BB%89nh-Lai-Ch%C3%A2u-100067685321517/", "Công an thị trấn Phong Thổ  tỉnh Lai Châu")</f>
      </c>
      <c r="C3816" t="str">
        <v>https://www.facebook.com/p/C%C3%B4ng-an-huy%E1%BB%87n-Phong-Th%E1%BB%95-t%E1%BB%89nh-Lai-Ch%C3%A2u-100067685321517/</v>
      </c>
      <c r="D3816" t="str">
        <v>-</v>
      </c>
      <c r="E3816" t="str">
        <v/>
      </c>
      <c r="F3816" t="str">
        <v>-</v>
      </c>
      <c r="G3816" t="str">
        <v>-</v>
      </c>
    </row>
    <row r="3817">
      <c r="A3817">
        <v>3816</v>
      </c>
      <c r="B3817">
        <f>HYPERLINK("https://phongtho.laichau.gov.vn/", "UBND Ủy ban nhân dân thị trấn Phong Thổ  tỉnh Lai Châu")</f>
      </c>
      <c r="C3817" t="str">
        <v>https://phongtho.laichau.gov.vn/</v>
      </c>
      <c r="D3817" t="str">
        <v>-</v>
      </c>
      <c r="E3817" t="str">
        <v>-</v>
      </c>
      <c r="F3817" t="str">
        <v>-</v>
      </c>
      <c r="G3817" t="str">
        <v>-</v>
      </c>
    </row>
    <row r="3818">
      <c r="A3818">
        <v>3817</v>
      </c>
      <c r="B3818">
        <f>HYPERLINK("https://www.facebook.com/727507881261278", "Công an xã Sì Lờ Lầu  tỉnh Lai Châu")</f>
      </c>
      <c r="C3818" t="str">
        <v>https://www.facebook.com/727507881261278</v>
      </c>
      <c r="D3818" t="str">
        <v>-</v>
      </c>
      <c r="E3818" t="str">
        <v/>
      </c>
      <c r="F3818" t="str">
        <v>-</v>
      </c>
      <c r="G3818" t="str">
        <v>-</v>
      </c>
    </row>
    <row r="3819">
      <c r="A3819">
        <v>3818</v>
      </c>
      <c r="B3819">
        <f>HYPERLINK("https://phongtho.laichau.gov.vn/phuong-xa/ubnd-xa-si-lo-lau", "UBND Ủy ban nhân dân xã Sì Lờ Lầu  tỉnh Lai Châu")</f>
      </c>
      <c r="C3819" t="str">
        <v>https://phongtho.laichau.gov.vn/phuong-xa/ubnd-xa-si-lo-lau</v>
      </c>
      <c r="D3819" t="str">
        <v>-</v>
      </c>
      <c r="E3819" t="str">
        <v>-</v>
      </c>
      <c r="F3819" t="str">
        <v>-</v>
      </c>
      <c r="G3819" t="str">
        <v>-</v>
      </c>
    </row>
    <row r="3820">
      <c r="A3820">
        <v>3819</v>
      </c>
      <c r="B3820" t="str">
        <v>Công an xã Mồ Sì San  tỉnh Lai Châu</v>
      </c>
      <c r="C3820" t="str">
        <v>-</v>
      </c>
      <c r="D3820" t="str">
        <v>-</v>
      </c>
      <c r="E3820" t="str">
        <v/>
      </c>
      <c r="F3820" t="str">
        <v>-</v>
      </c>
      <c r="G3820" t="str">
        <v>-</v>
      </c>
    </row>
    <row r="3821">
      <c r="A3821">
        <v>3820</v>
      </c>
      <c r="B3821">
        <f>HYPERLINK("https://laichau.gov.vn/tin-tuc-su-kien/hoat-dong-cua-lanh-dao-tinh/pho-bi-thu-thuong-truc-tinh-uy-vu-manh-ha-du-chuong-trinh-xuan-bien-phong-am-long-dan-ban-.html", "UBND Ủy ban nhân dân xã Mồ Sì San  tỉnh Lai Châu")</f>
      </c>
      <c r="C3821" t="str">
        <v>https://laichau.gov.vn/tin-tuc-su-kien/hoat-dong-cua-lanh-dao-tinh/pho-bi-thu-thuong-truc-tinh-uy-vu-manh-ha-du-chuong-trinh-xuan-bien-phong-am-long-dan-ban-.html</v>
      </c>
      <c r="D3821" t="str">
        <v>-</v>
      </c>
      <c r="E3821" t="str">
        <v>-</v>
      </c>
      <c r="F3821" t="str">
        <v>-</v>
      </c>
      <c r="G3821" t="str">
        <v>-</v>
      </c>
    </row>
    <row r="3822">
      <c r="A3822">
        <v>3821</v>
      </c>
      <c r="B3822" t="str">
        <v>Công an xã Ma Li Chải  tỉnh Lai Châu</v>
      </c>
      <c r="C3822" t="str">
        <v>-</v>
      </c>
      <c r="D3822" t="str">
        <v>-</v>
      </c>
      <c r="E3822" t="str">
        <v/>
      </c>
      <c r="F3822" t="str">
        <v>-</v>
      </c>
      <c r="G3822" t="str">
        <v>-</v>
      </c>
    </row>
    <row r="3823">
      <c r="A3823">
        <v>3822</v>
      </c>
      <c r="B3823">
        <f>HYPERLINK("https://laichau.gov.vn/danh-muc/hoat-dong-trong-tinh/tin-cac-dia-phuong/huyen-phong-tho-cong-bo-sat-nhap-2-xa-si-lo-lau-va-ma-ly-cha.html", "UBND Ủy ban nhân dân xã Ma Li Chải  tỉnh Lai Châu")</f>
      </c>
      <c r="C3823" t="str">
        <v>https://laichau.gov.vn/danh-muc/hoat-dong-trong-tinh/tin-cac-dia-phuong/huyen-phong-tho-cong-bo-sat-nhap-2-xa-si-lo-lau-va-ma-ly-cha.html</v>
      </c>
      <c r="D3823" t="str">
        <v>-</v>
      </c>
      <c r="E3823" t="str">
        <v>-</v>
      </c>
      <c r="F3823" t="str">
        <v>-</v>
      </c>
      <c r="G3823" t="str">
        <v>-</v>
      </c>
    </row>
    <row r="3824">
      <c r="A3824">
        <v>3823</v>
      </c>
      <c r="B3824" t="str">
        <v>Công an xã Pa Vây Sử  tỉnh Lai Châu</v>
      </c>
      <c r="C3824" t="str">
        <v>-</v>
      </c>
      <c r="D3824" t="str">
        <v>-</v>
      </c>
      <c r="E3824" t="str">
        <v/>
      </c>
      <c r="F3824" t="str">
        <v>-</v>
      </c>
      <c r="G3824" t="str">
        <v>-</v>
      </c>
    </row>
    <row r="3825">
      <c r="A3825">
        <v>3824</v>
      </c>
      <c r="B3825">
        <f>HYPERLINK("https://phongtho.laichau.gov.vn/phuong-xa/ubnd-xa-pa-vay-su", "UBND Ủy ban nhân dân xã Pa Vây Sử  tỉnh Lai Châu")</f>
      </c>
      <c r="C3825" t="str">
        <v>https://phongtho.laichau.gov.vn/phuong-xa/ubnd-xa-pa-vay-su</v>
      </c>
      <c r="D3825" t="str">
        <v>-</v>
      </c>
      <c r="E3825" t="str">
        <v>-</v>
      </c>
      <c r="F3825" t="str">
        <v>-</v>
      </c>
      <c r="G3825" t="str">
        <v>-</v>
      </c>
    </row>
    <row r="3826">
      <c r="A3826">
        <v>3825</v>
      </c>
      <c r="B3826" t="str">
        <v>Công an xã Vàng Ma Chải  tỉnh Lai Châu</v>
      </c>
      <c r="C3826" t="str">
        <v>-</v>
      </c>
      <c r="D3826" t="str">
        <v>-</v>
      </c>
      <c r="E3826" t="str">
        <v/>
      </c>
      <c r="F3826" t="str">
        <v>-</v>
      </c>
      <c r="G3826" t="str">
        <v>-</v>
      </c>
    </row>
    <row r="3827">
      <c r="A3827">
        <v>3826</v>
      </c>
      <c r="B3827">
        <f>HYPERLINK("https://laichau.gov.vn/tin-tuc-su-kien/chuyen-de/bau-cu-dai-bieu-quoc-hoi-va-dai-bieu-hdnd-cac-cap/vang-ma-chai-khan-truong-chuan-bi-bau-cu-dai-bieu-quoc-hoi-v.html", "UBND Ủy ban nhân dân xã Vàng Ma Chải  tỉnh Lai Châu")</f>
      </c>
      <c r="C3827" t="str">
        <v>https://laichau.gov.vn/tin-tuc-su-kien/chuyen-de/bau-cu-dai-bieu-quoc-hoi-va-dai-bieu-hdnd-cac-cap/vang-ma-chai-khan-truong-chuan-bi-bau-cu-dai-bieu-quoc-hoi-v.html</v>
      </c>
      <c r="D3827" t="str">
        <v>-</v>
      </c>
      <c r="E3827" t="str">
        <v>-</v>
      </c>
      <c r="F3827" t="str">
        <v>-</v>
      </c>
      <c r="G3827" t="str">
        <v>-</v>
      </c>
    </row>
    <row r="3828">
      <c r="A3828">
        <v>3827</v>
      </c>
      <c r="B3828" t="str">
        <v>Công an xã Tông Qua Lìn  tỉnh Lai Châu</v>
      </c>
      <c r="C3828" t="str">
        <v>-</v>
      </c>
      <c r="D3828" t="str">
        <v>-</v>
      </c>
      <c r="E3828" t="str">
        <v/>
      </c>
      <c r="F3828" t="str">
        <v>-</v>
      </c>
      <c r="G3828" t="str">
        <v>-</v>
      </c>
    </row>
    <row r="3829">
      <c r="A3829">
        <v>3828</v>
      </c>
      <c r="B3829">
        <f>HYPERLINK("https://phongtho.laichau.gov.vn/tin-tuc-su-kien/xa-tung-qua-lin-to-chuc-le-hoi-cung-rung-xuan-giap-thin-nam-2024.html", "UBND Ủy ban nhân dân xã Tông Qua Lìn  tỉnh Lai Châu")</f>
      </c>
      <c r="C3829" t="str">
        <v>https://phongtho.laichau.gov.vn/tin-tuc-su-kien/xa-tung-qua-lin-to-chuc-le-hoi-cung-rung-xuan-giap-thin-nam-2024.html</v>
      </c>
      <c r="D3829" t="str">
        <v>-</v>
      </c>
      <c r="E3829" t="str">
        <v>-</v>
      </c>
      <c r="F3829" t="str">
        <v>-</v>
      </c>
      <c r="G3829" t="str">
        <v>-</v>
      </c>
    </row>
    <row r="3830">
      <c r="A3830">
        <v>3829</v>
      </c>
      <c r="B3830" t="str">
        <v>Công an xã Mù Sang  tỉnh Lai Châu</v>
      </c>
      <c r="C3830" t="str">
        <v>-</v>
      </c>
      <c r="D3830" t="str">
        <v>-</v>
      </c>
      <c r="E3830" t="str">
        <v/>
      </c>
      <c r="F3830" t="str">
        <v>-</v>
      </c>
      <c r="G3830" t="str">
        <v>-</v>
      </c>
    </row>
    <row r="3831">
      <c r="A3831">
        <v>3830</v>
      </c>
      <c r="B3831">
        <f>HYPERLINK("https://laichau.gov.vn/thong-tin-nguoi-phat-ngon", "UBND Ủy ban nhân dân xã Mù Sang  tỉnh Lai Châu")</f>
      </c>
      <c r="C3831" t="str">
        <v>https://laichau.gov.vn/thong-tin-nguoi-phat-ngon</v>
      </c>
      <c r="D3831" t="str">
        <v>-</v>
      </c>
      <c r="E3831" t="str">
        <v>-</v>
      </c>
      <c r="F3831" t="str">
        <v>-</v>
      </c>
      <c r="G3831" t="str">
        <v>-</v>
      </c>
    </row>
    <row r="3832">
      <c r="A3832">
        <v>3831</v>
      </c>
      <c r="B3832" t="str">
        <v>Công an xã Dào San  tỉnh Lai Châu</v>
      </c>
      <c r="C3832" t="str">
        <v>-</v>
      </c>
      <c r="D3832" t="str">
        <v>-</v>
      </c>
      <c r="E3832" t="str">
        <v/>
      </c>
      <c r="F3832" t="str">
        <v>-</v>
      </c>
      <c r="G3832" t="str">
        <v>-</v>
      </c>
    </row>
    <row r="3833">
      <c r="A3833">
        <v>3832</v>
      </c>
      <c r="B3833">
        <f>HYPERLINK("https://vksndlaichau.gov.vn/vien-kiem-sat-nhan-dan-huyen-phong-tho-truc-tiep-kiem-sat-thi-hanh-an-hinh-su-tai-uy-ban-nhan-dan-cac-xa-si-lo-lau-xa-vang-ma-chai-xa-dao-san-huyen-phong-tho", "UBND Ủy ban nhân dân xã Dào San  tỉnh Lai Châu")</f>
      </c>
      <c r="C3833" t="str">
        <v>https://vksndlaichau.gov.vn/vien-kiem-sat-nhan-dan-huyen-phong-tho-truc-tiep-kiem-sat-thi-hanh-an-hinh-su-tai-uy-ban-nhan-dan-cac-xa-si-lo-lau-xa-vang-ma-chai-xa-dao-san-huyen-phong-tho</v>
      </c>
      <c r="D3833" t="str">
        <v>-</v>
      </c>
      <c r="E3833" t="str">
        <v>-</v>
      </c>
      <c r="F3833" t="str">
        <v>-</v>
      </c>
      <c r="G3833" t="str">
        <v>-</v>
      </c>
    </row>
    <row r="3834">
      <c r="A3834">
        <v>3833</v>
      </c>
      <c r="B3834">
        <f>HYPERLINK("https://www.facebook.com/tuoitrecongansonla/", "Công an xã Ma Ly Pho  tỉnh Lai Châu")</f>
      </c>
      <c r="C3834" t="str">
        <v>https://www.facebook.com/tuoitrecongansonla/</v>
      </c>
      <c r="D3834" t="str">
        <v>-</v>
      </c>
      <c r="E3834" t="str">
        <v/>
      </c>
      <c r="F3834" t="str">
        <v>-</v>
      </c>
      <c r="G3834" t="str">
        <v>-</v>
      </c>
    </row>
    <row r="3835">
      <c r="A3835">
        <v>3834</v>
      </c>
      <c r="B3835">
        <f>HYPERLINK("https://phongtho.laichau.gov.vn/phuong-xa/ubnd-xa-trung-dong/ubnd-xa-ma-li-pho", "UBND Ủy ban nhân dân xã Ma Ly Pho  tỉnh Lai Châu")</f>
      </c>
      <c r="C3835" t="str">
        <v>https://phongtho.laichau.gov.vn/phuong-xa/ubnd-xa-trung-dong/ubnd-xa-ma-li-pho</v>
      </c>
      <c r="D3835" t="str">
        <v>-</v>
      </c>
      <c r="E3835" t="str">
        <v>-</v>
      </c>
      <c r="F3835" t="str">
        <v>-</v>
      </c>
      <c r="G3835" t="str">
        <v>-</v>
      </c>
    </row>
    <row r="3836">
      <c r="A3836">
        <v>3835</v>
      </c>
      <c r="B3836">
        <f>HYPERLINK("https://www.facebook.com/tuoitrecongansonla/?locale=ms_MY", "Công an xã Bản Lang  tỉnh Lai Châu")</f>
      </c>
      <c r="C3836" t="str">
        <v>https://www.facebook.com/tuoitrecongansonla/?locale=ms_MY</v>
      </c>
      <c r="D3836" t="str">
        <v>-</v>
      </c>
      <c r="E3836" t="str">
        <v/>
      </c>
      <c r="F3836" t="str">
        <v>-</v>
      </c>
      <c r="G3836" t="str">
        <v>-</v>
      </c>
    </row>
    <row r="3837">
      <c r="A3837">
        <v>3836</v>
      </c>
      <c r="B3837">
        <f>HYPERLINK("https://phongtho.laichau.gov.vn/phuong-xa/ubnd-xa-nam-can", "UBND Ủy ban nhân dân xã Bản Lang  tỉnh Lai Châu")</f>
      </c>
      <c r="C3837" t="str">
        <v>https://phongtho.laichau.gov.vn/phuong-xa/ubnd-xa-nam-can</v>
      </c>
      <c r="D3837" t="str">
        <v>-</v>
      </c>
      <c r="E3837" t="str">
        <v>-</v>
      </c>
      <c r="F3837" t="str">
        <v>-</v>
      </c>
      <c r="G3837" t="str">
        <v>-</v>
      </c>
    </row>
    <row r="3838">
      <c r="A3838">
        <v>3837</v>
      </c>
      <c r="B3838">
        <f>HYPERLINK("https://www.facebook.com/truongDaihocKinhte.VNU/", "Công an xã Hoang Thèn  tỉnh Lai Châu")</f>
      </c>
      <c r="C3838" t="str">
        <v>https://www.facebook.com/truongDaihocKinhte.VNU/</v>
      </c>
      <c r="D3838" t="str">
        <v>-</v>
      </c>
      <c r="E3838" t="str">
        <v/>
      </c>
      <c r="F3838" t="str">
        <v>-</v>
      </c>
      <c r="G3838" t="str">
        <v>-</v>
      </c>
    </row>
    <row r="3839">
      <c r="A3839">
        <v>3838</v>
      </c>
      <c r="B3839">
        <f>HYPERLINK("https://phongtho.laichau.gov.vn/", "UBND Ủy ban nhân dân xã Hoang Thèn  tỉnh Lai Châu")</f>
      </c>
      <c r="C3839" t="str">
        <v>https://phongtho.laichau.gov.vn/</v>
      </c>
      <c r="D3839" t="str">
        <v>-</v>
      </c>
      <c r="E3839" t="str">
        <v>-</v>
      </c>
      <c r="F3839" t="str">
        <v>-</v>
      </c>
      <c r="G3839" t="str">
        <v>-</v>
      </c>
    </row>
    <row r="3840">
      <c r="A3840">
        <v>3839</v>
      </c>
      <c r="B3840" t="str">
        <v>Công an xã Khổng Lào  tỉnh Lai Châu</v>
      </c>
      <c r="C3840" t="str">
        <v>-</v>
      </c>
      <c r="D3840" t="str">
        <v>-</v>
      </c>
      <c r="E3840" t="str">
        <v/>
      </c>
      <c r="F3840" t="str">
        <v>-</v>
      </c>
      <c r="G3840" t="str">
        <v>-</v>
      </c>
    </row>
    <row r="3841">
      <c r="A3841">
        <v>3840</v>
      </c>
      <c r="B3841">
        <f>HYPERLINK("https://laichau.gov.vn/danh-muc/tong-quan-lai-chau/cac-huyen-xa-thuoc-tinh/huyen-phong-tho2.html", "UBND Ủy ban nhân dân xã Khổng Lào  tỉnh Lai Châu")</f>
      </c>
      <c r="C3841" t="str">
        <v>https://laichau.gov.vn/danh-muc/tong-quan-lai-chau/cac-huyen-xa-thuoc-tinh/huyen-phong-tho2.html</v>
      </c>
      <c r="D3841" t="str">
        <v>-</v>
      </c>
      <c r="E3841" t="str">
        <v>-</v>
      </c>
      <c r="F3841" t="str">
        <v>-</v>
      </c>
      <c r="G3841" t="str">
        <v>-</v>
      </c>
    </row>
    <row r="3842">
      <c r="A3842">
        <v>3841</v>
      </c>
      <c r="B3842">
        <f>HYPERLINK("https://www.facebook.com/daitruyenhinhlaichau.daitruyenhinh/?locale=zh_CN", "Công an xã Nậm Xe  tỉnh Lai Châu")</f>
      </c>
      <c r="C3842" t="str">
        <v>https://www.facebook.com/daitruyenhinhlaichau.daitruyenhinh/?locale=zh_CN</v>
      </c>
      <c r="D3842" t="str">
        <v>-</v>
      </c>
      <c r="E3842" t="str">
        <v/>
      </c>
      <c r="F3842" t="str">
        <v>-</v>
      </c>
      <c r="G3842" t="str">
        <v>-</v>
      </c>
    </row>
    <row r="3843">
      <c r="A3843">
        <v>3842</v>
      </c>
      <c r="B3843">
        <f>HYPERLINK("https://phongtho.laichau.gov.vn/phuong-xa/ubnd-xa-nam-xe", "UBND Ủy ban nhân dân xã Nậm Xe  tỉnh Lai Châu")</f>
      </c>
      <c r="C3843" t="str">
        <v>https://phongtho.laichau.gov.vn/phuong-xa/ubnd-xa-nam-xe</v>
      </c>
      <c r="D3843" t="str">
        <v>-</v>
      </c>
      <c r="E3843" t="str">
        <v>-</v>
      </c>
      <c r="F3843" t="str">
        <v>-</v>
      </c>
      <c r="G3843" t="str">
        <v>-</v>
      </c>
    </row>
    <row r="3844">
      <c r="A3844">
        <v>3843</v>
      </c>
      <c r="B3844" t="str">
        <v>Công an xã Mường So  tỉnh Lai Châu</v>
      </c>
      <c r="C3844" t="str">
        <v>-</v>
      </c>
      <c r="D3844" t="str">
        <v>-</v>
      </c>
      <c r="E3844" t="str">
        <v/>
      </c>
      <c r="F3844" t="str">
        <v>-</v>
      </c>
      <c r="G3844" t="str">
        <v>-</v>
      </c>
    </row>
    <row r="3845">
      <c r="A3845">
        <v>3844</v>
      </c>
      <c r="B3845">
        <f>HYPERLINK("https://muongte.laichau.gov.vn/", "UBND Ủy ban nhân dân xã Mường So  tỉnh Lai Châu")</f>
      </c>
      <c r="C3845" t="str">
        <v>https://muongte.laichau.gov.vn/</v>
      </c>
      <c r="D3845" t="str">
        <v>-</v>
      </c>
      <c r="E3845" t="str">
        <v>-</v>
      </c>
      <c r="F3845" t="str">
        <v>-</v>
      </c>
      <c r="G3845" t="str">
        <v>-</v>
      </c>
    </row>
    <row r="3846">
      <c r="A3846">
        <v>3845</v>
      </c>
      <c r="B3846" t="str">
        <v>Công an xã Sin Suối Hồ  tỉnh Lai Châu</v>
      </c>
      <c r="C3846" t="str">
        <v>-</v>
      </c>
      <c r="D3846" t="str">
        <v>-</v>
      </c>
      <c r="E3846" t="str">
        <v/>
      </c>
      <c r="F3846" t="str">
        <v>-</v>
      </c>
      <c r="G3846" t="str">
        <v>-</v>
      </c>
    </row>
    <row r="3847">
      <c r="A3847">
        <v>3846</v>
      </c>
      <c r="B3847">
        <f>HYPERLINK("https://laichau.gov.vn/du-khach/sin-suoi-ho-duoc-nhan-giai-thuong-du-lich-cong-dong-asean-2023.html", "UBND Ủy ban nhân dân xã Sin Suối Hồ  tỉnh Lai Châu")</f>
      </c>
      <c r="C3847" t="str">
        <v>https://laichau.gov.vn/du-khach/sin-suoi-ho-duoc-nhan-giai-thuong-du-lich-cong-dong-asean-2023.html</v>
      </c>
      <c r="D3847" t="str">
        <v>-</v>
      </c>
      <c r="E3847" t="str">
        <v>-</v>
      </c>
      <c r="F3847" t="str">
        <v>-</v>
      </c>
      <c r="G3847" t="str">
        <v>-</v>
      </c>
    </row>
    <row r="3848">
      <c r="A3848">
        <v>3847</v>
      </c>
      <c r="B3848">
        <f>HYPERLINK("https://www.facebook.com/p/C%C3%B4ng-an-huy%E1%BB%87n-Than-Uy%C3%AAn-100066600894446/", "Công an thị trấn Than Uyên  tỉnh Lai Châu")</f>
      </c>
      <c r="C3848" t="str">
        <v>https://www.facebook.com/p/C%C3%B4ng-an-huy%E1%BB%87n-Than-Uy%C3%AAn-100066600894446/</v>
      </c>
      <c r="D3848" t="str">
        <v>-</v>
      </c>
      <c r="E3848" t="str">
        <v/>
      </c>
      <c r="F3848" t="str">
        <v>-</v>
      </c>
      <c r="G3848" t="str">
        <v>-</v>
      </c>
    </row>
    <row r="3849">
      <c r="A3849">
        <v>3848</v>
      </c>
      <c r="B3849">
        <f>HYPERLINK("https://thanuyen.laichau.gov.vn/", "UBND Ủy ban nhân dân thị trấn Than Uyên  tỉnh Lai Châu")</f>
      </c>
      <c r="C3849" t="str">
        <v>https://thanuyen.laichau.gov.vn/</v>
      </c>
      <c r="D3849" t="str">
        <v>-</v>
      </c>
      <c r="E3849" t="str">
        <v>-</v>
      </c>
      <c r="F3849" t="str">
        <v>-</v>
      </c>
      <c r="G3849" t="str">
        <v>-</v>
      </c>
    </row>
    <row r="3850">
      <c r="A3850">
        <v>3849</v>
      </c>
      <c r="B3850">
        <f>HYPERLINK("https://www.facebook.com/THCSPHUCTHAN/", "Công an xã Phúc Than  tỉnh Lai Châu")</f>
      </c>
      <c r="C3850" t="str">
        <v>https://www.facebook.com/THCSPHUCTHAN/</v>
      </c>
      <c r="D3850" t="str">
        <v>-</v>
      </c>
      <c r="E3850" t="str">
        <v/>
      </c>
      <c r="F3850" t="str">
        <v>-</v>
      </c>
      <c r="G3850" t="str">
        <v>-</v>
      </c>
    </row>
    <row r="3851">
      <c r="A3851">
        <v>3850</v>
      </c>
      <c r="B3851">
        <f>HYPERLINK("https://thanuyen.laichau.gov.vn/", "UBND Ủy ban nhân dân xã Phúc Than  tỉnh Lai Châu")</f>
      </c>
      <c r="C3851" t="str">
        <v>https://thanuyen.laichau.gov.vn/</v>
      </c>
      <c r="D3851" t="str">
        <v>-</v>
      </c>
      <c r="E3851" t="str">
        <v>-</v>
      </c>
      <c r="F3851" t="str">
        <v>-</v>
      </c>
      <c r="G3851" t="str">
        <v>-</v>
      </c>
    </row>
    <row r="3852">
      <c r="A3852">
        <v>3851</v>
      </c>
      <c r="B3852" t="str">
        <v>Công an xã Mường Than  tỉnh Lai Châu</v>
      </c>
      <c r="C3852" t="str">
        <v>-</v>
      </c>
      <c r="D3852" t="str">
        <v>-</v>
      </c>
      <c r="E3852" t="str">
        <v/>
      </c>
      <c r="F3852" t="str">
        <v>-</v>
      </c>
      <c r="G3852" t="str">
        <v>-</v>
      </c>
    </row>
    <row r="3853">
      <c r="A3853">
        <v>3852</v>
      </c>
      <c r="B3853">
        <f>HYPERLINK("https://thanuyen.laichau.gov.vn/muongthan/", "UBND Ủy ban nhân dân xã Mường Than  tỉnh Lai Châu")</f>
      </c>
      <c r="C3853" t="str">
        <v>https://thanuyen.laichau.gov.vn/muongthan/</v>
      </c>
      <c r="D3853" t="str">
        <v>-</v>
      </c>
      <c r="E3853" t="str">
        <v>-</v>
      </c>
      <c r="F3853" t="str">
        <v>-</v>
      </c>
      <c r="G3853" t="str">
        <v>-</v>
      </c>
    </row>
    <row r="3854">
      <c r="A3854">
        <v>3853</v>
      </c>
      <c r="B3854" t="str">
        <v>Công an xã Mường Mít  tỉnh Lai Châu</v>
      </c>
      <c r="C3854" t="str">
        <v>-</v>
      </c>
      <c r="D3854" t="str">
        <v>-</v>
      </c>
      <c r="E3854" t="str">
        <v/>
      </c>
      <c r="F3854" t="str">
        <v>-</v>
      </c>
      <c r="G3854" t="str">
        <v>-</v>
      </c>
    </row>
    <row r="3855">
      <c r="A3855">
        <v>3854</v>
      </c>
      <c r="B3855">
        <f>HYPERLINK("https://laichau.gov.vn/thong-tin-nguoi-phat-ngon", "UBND Ủy ban nhân dân xã Mường Mít  tỉnh Lai Châu")</f>
      </c>
      <c r="C3855" t="str">
        <v>https://laichau.gov.vn/thong-tin-nguoi-phat-ngon</v>
      </c>
      <c r="D3855" t="str">
        <v>-</v>
      </c>
      <c r="E3855" t="str">
        <v>-</v>
      </c>
      <c r="F3855" t="str">
        <v>-</v>
      </c>
      <c r="G3855" t="str">
        <v>-</v>
      </c>
    </row>
    <row r="3856">
      <c r="A3856">
        <v>3855</v>
      </c>
      <c r="B3856" t="str">
        <v>Công an xã Pha Mu  tỉnh Lai Châu</v>
      </c>
      <c r="C3856" t="str">
        <v>-</v>
      </c>
      <c r="D3856" t="str">
        <v>-</v>
      </c>
      <c r="E3856" t="str">
        <v/>
      </c>
      <c r="F3856" t="str">
        <v>-</v>
      </c>
      <c r="G3856" t="str">
        <v>-</v>
      </c>
    </row>
    <row r="3857">
      <c r="A3857">
        <v>3856</v>
      </c>
      <c r="B3857">
        <f>HYPERLINK("https://laichau.gov.vn/du-khach/vinh-pa-khom-duoc-cong-nhan-la-diem-du-lich-tren-dia-ban-tinh-lai-chau.html", "UBND Ủy ban nhân dân xã Pha Mu  tỉnh Lai Châu")</f>
      </c>
      <c r="C3857" t="str">
        <v>https://laichau.gov.vn/du-khach/vinh-pa-khom-duoc-cong-nhan-la-diem-du-lich-tren-dia-ban-tinh-lai-chau.html</v>
      </c>
      <c r="D3857" t="str">
        <v>-</v>
      </c>
      <c r="E3857" t="str">
        <v>-</v>
      </c>
      <c r="F3857" t="str">
        <v>-</v>
      </c>
      <c r="G3857" t="str">
        <v>-</v>
      </c>
    </row>
    <row r="3858">
      <c r="A3858">
        <v>3857</v>
      </c>
      <c r="B3858" t="str">
        <v>Công an xã Mường Cang  tỉnh Lai Châu</v>
      </c>
      <c r="C3858" t="str">
        <v>-</v>
      </c>
      <c r="D3858" t="str">
        <v>-</v>
      </c>
      <c r="E3858" t="str">
        <v/>
      </c>
      <c r="F3858" t="str">
        <v>-</v>
      </c>
      <c r="G3858" t="str">
        <v>-</v>
      </c>
    </row>
    <row r="3859">
      <c r="A3859">
        <v>3858</v>
      </c>
      <c r="B3859">
        <f>HYPERLINK("https://muongte.laichau.gov.vn/", "UBND Ủy ban nhân dân xã Mường Cang  tỉnh Lai Châu")</f>
      </c>
      <c r="C3859" t="str">
        <v>https://muongte.laichau.gov.vn/</v>
      </c>
      <c r="D3859" t="str">
        <v>-</v>
      </c>
      <c r="E3859" t="str">
        <v>-</v>
      </c>
      <c r="F3859" t="str">
        <v>-</v>
      </c>
      <c r="G3859" t="str">
        <v>-</v>
      </c>
    </row>
    <row r="3860">
      <c r="A3860">
        <v>3859</v>
      </c>
      <c r="B3860">
        <f>HYPERLINK("https://www.facebook.com/daitruyenhinhlaichau.daitruyenhinh/?locale=zh_CN", "Công an xã Hua Nà  tỉnh Lai Châu")</f>
      </c>
      <c r="C3860" t="str">
        <v>https://www.facebook.com/daitruyenhinhlaichau.daitruyenhinh/?locale=zh_CN</v>
      </c>
      <c r="D3860" t="str">
        <v>-</v>
      </c>
      <c r="E3860" t="str">
        <v/>
      </c>
      <c r="F3860" t="str">
        <v>-</v>
      </c>
      <c r="G3860" t="str">
        <v>-</v>
      </c>
    </row>
    <row r="3861">
      <c r="A3861">
        <v>3860</v>
      </c>
      <c r="B3861">
        <f>HYPERLINK("https://laichau.gov.vn/danh-muc/tong-quan-lai-chau/cac-huyen-xa-thuoc-tinh/huyen-than-uyen2.html", "UBND Ủy ban nhân dân xã Hua Nà  tỉnh Lai Châu")</f>
      </c>
      <c r="C3861" t="str">
        <v>https://laichau.gov.vn/danh-muc/tong-quan-lai-chau/cac-huyen-xa-thuoc-tinh/huyen-than-uyen2.html</v>
      </c>
      <c r="D3861" t="str">
        <v>-</v>
      </c>
      <c r="E3861" t="str">
        <v>-</v>
      </c>
      <c r="F3861" t="str">
        <v>-</v>
      </c>
      <c r="G3861" t="str">
        <v>-</v>
      </c>
    </row>
    <row r="3862">
      <c r="A3862">
        <v>3861</v>
      </c>
      <c r="B3862" t="str">
        <v>Công an xã Tà Hừa  tỉnh Lai Châu</v>
      </c>
      <c r="C3862" t="str">
        <v>-</v>
      </c>
      <c r="D3862" t="str">
        <v>-</v>
      </c>
      <c r="E3862" t="str">
        <v/>
      </c>
      <c r="F3862" t="str">
        <v>-</v>
      </c>
      <c r="G3862" t="str">
        <v>-</v>
      </c>
    </row>
    <row r="3863">
      <c r="A3863">
        <v>3862</v>
      </c>
      <c r="B3863">
        <f>HYPERLINK("https://congan.laichau.gov.vn/index.php/hoat-dong-cua-ca-lai-chau/giam-doc-cong-an-tinh-du-ngay-hoi-dai-doan-ket-toan-dan-toc-ban-cap-na-2-2531.html", "UBND Ủy ban nhân dân xã Tà Hừa  tỉnh Lai Châu")</f>
      </c>
      <c r="C3863" t="str">
        <v>https://congan.laichau.gov.vn/index.php/hoat-dong-cua-ca-lai-chau/giam-doc-cong-an-tinh-du-ngay-hoi-dai-doan-ket-toan-dan-toc-ban-cap-na-2-2531.html</v>
      </c>
      <c r="D3863" t="str">
        <v>-</v>
      </c>
      <c r="E3863" t="str">
        <v>-</v>
      </c>
      <c r="F3863" t="str">
        <v>-</v>
      </c>
      <c r="G3863" t="str">
        <v>-</v>
      </c>
    </row>
    <row r="3864">
      <c r="A3864">
        <v>3863</v>
      </c>
      <c r="B3864" t="str">
        <v>Công an xã Mường Kim  tỉnh Lai Châu</v>
      </c>
      <c r="C3864" t="str">
        <v>-</v>
      </c>
      <c r="D3864" t="str">
        <v>-</v>
      </c>
      <c r="E3864" t="str">
        <v/>
      </c>
      <c r="F3864" t="str">
        <v>-</v>
      </c>
      <c r="G3864" t="str">
        <v>-</v>
      </c>
    </row>
    <row r="3865">
      <c r="A3865">
        <v>3864</v>
      </c>
      <c r="B3865">
        <f>HYPERLINK("https://laichau.gov.vn/he-thong-van-ban/quyet-dinh-cong-nhan-ban-tham-phe-xa-muong-kim-huyen-than-uyen-la-diem-du-lich-tren-dia-ban-tinh-lai-chau.html", "UBND Ủy ban nhân dân xã Mường Kim  tỉnh Lai Châu")</f>
      </c>
      <c r="C3865" t="str">
        <v>https://laichau.gov.vn/he-thong-van-ban/quyet-dinh-cong-nhan-ban-tham-phe-xa-muong-kim-huyen-than-uyen-la-diem-du-lich-tren-dia-ban-tinh-lai-chau.html</v>
      </c>
      <c r="D3865" t="str">
        <v>-</v>
      </c>
      <c r="E3865" t="str">
        <v>-</v>
      </c>
      <c r="F3865" t="str">
        <v>-</v>
      </c>
      <c r="G3865" t="str">
        <v>-</v>
      </c>
    </row>
    <row r="3866">
      <c r="A3866">
        <v>3865</v>
      </c>
      <c r="B3866">
        <f>HYPERLINK("https://www.facebook.com/Ptdtbt.thcs.xa.tamung/", "Công an xã Tà Mung  tỉnh Lai Châu")</f>
      </c>
      <c r="C3866" t="str">
        <v>https://www.facebook.com/Ptdtbt.thcs.xa.tamung/</v>
      </c>
      <c r="D3866" t="str">
        <v>-</v>
      </c>
      <c r="E3866" t="str">
        <v/>
      </c>
      <c r="F3866" t="str">
        <v>-</v>
      </c>
      <c r="G3866" t="str">
        <v>-</v>
      </c>
    </row>
    <row r="3867">
      <c r="A3867">
        <v>3866</v>
      </c>
      <c r="B3867">
        <f>HYPERLINK("https://thanuyen.laichau.gov.vn/", "UBND Ủy ban nhân dân xã Tà Mung  tỉnh Lai Châu")</f>
      </c>
      <c r="C3867" t="str">
        <v>https://thanuyen.laichau.gov.vn/</v>
      </c>
      <c r="D3867" t="str">
        <v>-</v>
      </c>
      <c r="E3867" t="str">
        <v>-</v>
      </c>
      <c r="F3867" t="str">
        <v>-</v>
      </c>
      <c r="G3867" t="str">
        <v>-</v>
      </c>
    </row>
    <row r="3868">
      <c r="A3868">
        <v>3867</v>
      </c>
      <c r="B3868">
        <f>HYPERLINK("https://www.facebook.com/tuoitrecongansonla/?locale=ms_MY", "Công an xã Tà Gia  tỉnh Lai Châu")</f>
      </c>
      <c r="C3868" t="str">
        <v>https://www.facebook.com/tuoitrecongansonla/?locale=ms_MY</v>
      </c>
      <c r="D3868" t="str">
        <v>-</v>
      </c>
      <c r="E3868" t="str">
        <v/>
      </c>
      <c r="F3868" t="str">
        <v>-</v>
      </c>
      <c r="G3868" t="str">
        <v>-</v>
      </c>
    </row>
    <row r="3869">
      <c r="A3869">
        <v>3868</v>
      </c>
      <c r="B3869">
        <f>HYPERLINK("https://laichau.gov.vn/tin-tuc-su-kien/hoat-dong-cua-lanh-dao-tinh/pho-chu-tich-thuong-truc-ubnd-tinh-tong-thanh-hai-du-ngay-hoi-toan-dan-bao-ve-an-ninh-to-quoc-nam-2024-tai-xa-ta-tong-hu2.html", "UBND Ủy ban nhân dân xã Tà Gia  tỉnh Lai Châu")</f>
      </c>
      <c r="C3869" t="str">
        <v>https://laichau.gov.vn/tin-tuc-su-kien/hoat-dong-cua-lanh-dao-tinh/pho-chu-tich-thuong-truc-ubnd-tinh-tong-thanh-hai-du-ngay-hoi-toan-dan-bao-ve-an-ninh-to-quoc-nam-2024-tai-xa-ta-tong-hu2.html</v>
      </c>
      <c r="D3869" t="str">
        <v>-</v>
      </c>
      <c r="E3869" t="str">
        <v>-</v>
      </c>
      <c r="F3869" t="str">
        <v>-</v>
      </c>
      <c r="G3869" t="str">
        <v>-</v>
      </c>
    </row>
    <row r="3870">
      <c r="A3870">
        <v>3869</v>
      </c>
      <c r="B3870" t="str">
        <v>Công an xã Khoen On  tỉnh Lai Châu</v>
      </c>
      <c r="C3870" t="str">
        <v>-</v>
      </c>
      <c r="D3870" t="str">
        <v>-</v>
      </c>
      <c r="E3870" t="str">
        <v/>
      </c>
      <c r="F3870" t="str">
        <v>-</v>
      </c>
      <c r="G3870" t="str">
        <v>-</v>
      </c>
    </row>
    <row r="3871">
      <c r="A3871">
        <v>3870</v>
      </c>
      <c r="B3871">
        <f>HYPERLINK("https://thanuyen.laichau.gov.vn/", "UBND Ủy ban nhân dân xã Khoen On  tỉnh Lai Châu")</f>
      </c>
      <c r="C3871" t="str">
        <v>https://thanuyen.laichau.gov.vn/</v>
      </c>
      <c r="D3871" t="str">
        <v>-</v>
      </c>
      <c r="E3871" t="str">
        <v>-</v>
      </c>
      <c r="F3871" t="str">
        <v>-</v>
      </c>
      <c r="G3871" t="str">
        <v>-</v>
      </c>
    </row>
    <row r="3872">
      <c r="A3872">
        <v>3871</v>
      </c>
      <c r="B3872">
        <f>HYPERLINK("https://www.facebook.com/ConganhuyenTanUyen/", "Công an thị trấn Tân Uyên  tỉnh Lai Châu")</f>
      </c>
      <c r="C3872" t="str">
        <v>https://www.facebook.com/ConganhuyenTanUyen/</v>
      </c>
      <c r="D3872" t="str">
        <v>-</v>
      </c>
      <c r="E3872" t="str">
        <v/>
      </c>
      <c r="F3872" t="str">
        <v>-</v>
      </c>
      <c r="G3872" t="str">
        <v>-</v>
      </c>
    </row>
    <row r="3873">
      <c r="A3873">
        <v>3872</v>
      </c>
      <c r="B3873">
        <f>HYPERLINK("https://tanuyen.laichau.gov.vn/he-thong-to-chuc/don-vi-hanh-chinh/ubnd-thi-tran-tan-uyen.html", "UBND Ủy ban nhân dân thị trấn Tân Uyên  tỉnh Lai Châu")</f>
      </c>
      <c r="C3873" t="str">
        <v>https://tanuyen.laichau.gov.vn/he-thong-to-chuc/don-vi-hanh-chinh/ubnd-thi-tran-tan-uyen.html</v>
      </c>
      <c r="D3873" t="str">
        <v>-</v>
      </c>
      <c r="E3873" t="str">
        <v>-</v>
      </c>
      <c r="F3873" t="str">
        <v>-</v>
      </c>
      <c r="G3873" t="str">
        <v>-</v>
      </c>
    </row>
    <row r="3874">
      <c r="A3874">
        <v>3873</v>
      </c>
      <c r="B3874">
        <f>HYPERLINK("https://www.facebook.com/p/X%C3%A3-M%C6%B0%E1%BB%9Dng-Khoa-huy%E1%BB%87n-T%C3%A2n-Uy%C3%AAn-t%E1%BB%89nh-Lai-Ch%C3%A2u-100091088211803/", "Công an xã Mường Khoa  tỉnh Lai Châu")</f>
      </c>
      <c r="C3874" t="str">
        <v>https://www.facebook.com/p/X%C3%A3-M%C6%B0%E1%BB%9Dng-Khoa-huy%E1%BB%87n-T%C3%A2n-Uy%C3%AAn-t%E1%BB%89nh-Lai-Ch%C3%A2u-100091088211803/</v>
      </c>
      <c r="D3874" t="str">
        <v>-</v>
      </c>
      <c r="E3874" t="str">
        <v/>
      </c>
      <c r="F3874" t="str">
        <v>-</v>
      </c>
      <c r="G3874" t="str">
        <v>-</v>
      </c>
    </row>
    <row r="3875">
      <c r="A3875">
        <v>3874</v>
      </c>
      <c r="B3875">
        <f>HYPERLINK("https://tanuyen.laichau.gov.vn/he-thong-to-chuc/don-vi-hanh-chinh/ubnd-xa-muong-khoa.html", "UBND Ủy ban nhân dân xã Mường Khoa  tỉnh Lai Châu")</f>
      </c>
      <c r="C3875" t="str">
        <v>https://tanuyen.laichau.gov.vn/he-thong-to-chuc/don-vi-hanh-chinh/ubnd-xa-muong-khoa.html</v>
      </c>
      <c r="D3875" t="str">
        <v>-</v>
      </c>
      <c r="E3875" t="str">
        <v>-</v>
      </c>
      <c r="F3875" t="str">
        <v>-</v>
      </c>
      <c r="G3875" t="str">
        <v>-</v>
      </c>
    </row>
    <row r="3876">
      <c r="A3876">
        <v>3875</v>
      </c>
      <c r="B3876">
        <f>HYPERLINK("https://www.facebook.com/tuoitrecongansonla/", "Công an xã Phúc Khoa  tỉnh Lai Châu")</f>
      </c>
      <c r="C3876" t="str">
        <v>https://www.facebook.com/tuoitrecongansonla/</v>
      </c>
      <c r="D3876" t="str">
        <v>-</v>
      </c>
      <c r="E3876" t="str">
        <v/>
      </c>
      <c r="F3876" t="str">
        <v>-</v>
      </c>
      <c r="G3876" t="str">
        <v>-</v>
      </c>
    </row>
    <row r="3877">
      <c r="A3877">
        <v>3876</v>
      </c>
      <c r="B3877">
        <f>HYPERLINK("https://tanuyen.laichau.gov.vn/he-thong-to-chuc/don-vi-hanh-chinh/ubnd-xa-phuc-khoa.html", "UBND Ủy ban nhân dân xã Phúc Khoa  tỉnh Lai Châu")</f>
      </c>
      <c r="C3877" t="str">
        <v>https://tanuyen.laichau.gov.vn/he-thong-to-chuc/don-vi-hanh-chinh/ubnd-xa-phuc-khoa.html</v>
      </c>
      <c r="D3877" t="str">
        <v>-</v>
      </c>
      <c r="E3877" t="str">
        <v>-</v>
      </c>
      <c r="F3877" t="str">
        <v>-</v>
      </c>
      <c r="G3877" t="str">
        <v>-</v>
      </c>
    </row>
    <row r="3878">
      <c r="A3878">
        <v>3877</v>
      </c>
      <c r="B3878" t="str">
        <v>Công an xã Thân Thuộc  tỉnh Lai Châu</v>
      </c>
      <c r="C3878" t="str">
        <v>-</v>
      </c>
      <c r="D3878" t="str">
        <v>-</v>
      </c>
      <c r="E3878" t="str">
        <v/>
      </c>
      <c r="F3878" t="str">
        <v>-</v>
      </c>
      <c r="G3878" t="str">
        <v>-</v>
      </c>
    </row>
    <row r="3879">
      <c r="A3879">
        <v>3878</v>
      </c>
      <c r="B3879">
        <f>HYPERLINK("https://tanuyen.laichau.gov.vn/he-thong-to-chuc/don-vi-hanh-chinh/ubnd-xa-than-thuoc.html", "UBND Ủy ban nhân dân xã Thân Thuộc  tỉnh Lai Châu")</f>
      </c>
      <c r="C3879" t="str">
        <v>https://tanuyen.laichau.gov.vn/he-thong-to-chuc/don-vi-hanh-chinh/ubnd-xa-than-thuoc.html</v>
      </c>
      <c r="D3879" t="str">
        <v>-</v>
      </c>
      <c r="E3879" t="str">
        <v>-</v>
      </c>
      <c r="F3879" t="str">
        <v>-</v>
      </c>
      <c r="G3879" t="str">
        <v>-</v>
      </c>
    </row>
    <row r="3880">
      <c r="A3880">
        <v>3879</v>
      </c>
      <c r="B3880" t="str">
        <v>Công an xã Trung Đồng  tỉnh Lai Châu</v>
      </c>
      <c r="C3880" t="str">
        <v>-</v>
      </c>
      <c r="D3880" t="str">
        <v>-</v>
      </c>
      <c r="E3880" t="str">
        <v/>
      </c>
      <c r="F3880" t="str">
        <v>-</v>
      </c>
      <c r="G3880" t="str">
        <v>-</v>
      </c>
    </row>
    <row r="3881">
      <c r="A3881">
        <v>3880</v>
      </c>
      <c r="B3881">
        <f>HYPERLINK("https://tanuyen.laichau.gov.vn/he-thong-to-chuc/don-vi-hanh-chinh/ubnd-xa-trung-dong.html", "UBND Ủy ban nhân dân xã Trung Đồng  tỉnh Lai Châu")</f>
      </c>
      <c r="C3881" t="str">
        <v>https://tanuyen.laichau.gov.vn/he-thong-to-chuc/don-vi-hanh-chinh/ubnd-xa-trung-dong.html</v>
      </c>
      <c r="D3881" t="str">
        <v>-</v>
      </c>
      <c r="E3881" t="str">
        <v>-</v>
      </c>
      <c r="F3881" t="str">
        <v>-</v>
      </c>
      <c r="G3881" t="str">
        <v>-</v>
      </c>
    </row>
    <row r="3882">
      <c r="A3882">
        <v>3881</v>
      </c>
      <c r="B3882" t="str">
        <v>Công an xã Hố Mít  tỉnh Lai Châu</v>
      </c>
      <c r="C3882" t="str">
        <v>-</v>
      </c>
      <c r="D3882" t="str">
        <v>-</v>
      </c>
      <c r="E3882" t="str">
        <v/>
      </c>
      <c r="F3882" t="str">
        <v>-</v>
      </c>
      <c r="G3882" t="str">
        <v>-</v>
      </c>
    </row>
    <row r="3883">
      <c r="A3883">
        <v>3882</v>
      </c>
      <c r="B3883">
        <f>HYPERLINK("https://tanuyen.laichau.gov.vn/he-thong-to-chuc/don-vi-hanh-chinh/ubnd-xa-ho-mit.html", "UBND Ủy ban nhân dân xã Hố Mít  tỉnh Lai Châu")</f>
      </c>
      <c r="C3883" t="str">
        <v>https://tanuyen.laichau.gov.vn/he-thong-to-chuc/don-vi-hanh-chinh/ubnd-xa-ho-mit.html</v>
      </c>
      <c r="D3883" t="str">
        <v>-</v>
      </c>
      <c r="E3883" t="str">
        <v>-</v>
      </c>
      <c r="F3883" t="str">
        <v>-</v>
      </c>
      <c r="G3883" t="str">
        <v>-</v>
      </c>
    </row>
    <row r="3884">
      <c r="A3884">
        <v>3883</v>
      </c>
      <c r="B3884">
        <f>HYPERLINK("https://www.facebook.com/Congantinhlaichau/?locale=vi_VN", "Công an xã Nậm Cần  tỉnh Lai Châu")</f>
      </c>
      <c r="C3884" t="str">
        <v>https://www.facebook.com/Congantinhlaichau/?locale=vi_VN</v>
      </c>
      <c r="D3884" t="str">
        <v>-</v>
      </c>
      <c r="E3884" t="str">
        <v/>
      </c>
      <c r="F3884" t="str">
        <v>-</v>
      </c>
      <c r="G3884" t="str">
        <v>-</v>
      </c>
    </row>
    <row r="3885">
      <c r="A3885">
        <v>3884</v>
      </c>
      <c r="B3885">
        <f>HYPERLINK("https://tanuyen.laichau.gov.vn/he-thong-to-chuc/don-vi-hanh-chinh/ubnd-xa-nam-can.html", "UBND Ủy ban nhân dân xã Nậm Cần  tỉnh Lai Châu")</f>
      </c>
      <c r="C3885" t="str">
        <v>https://tanuyen.laichau.gov.vn/he-thong-to-chuc/don-vi-hanh-chinh/ubnd-xa-nam-can.html</v>
      </c>
      <c r="D3885" t="str">
        <v>-</v>
      </c>
      <c r="E3885" t="str">
        <v>-</v>
      </c>
      <c r="F3885" t="str">
        <v>-</v>
      </c>
      <c r="G3885" t="str">
        <v>-</v>
      </c>
    </row>
    <row r="3886">
      <c r="A3886">
        <v>3885</v>
      </c>
      <c r="B3886" t="str">
        <v>Công an xã Nậm Sỏ  tỉnh Lai Châu</v>
      </c>
      <c r="C3886" t="str">
        <v>-</v>
      </c>
      <c r="D3886" t="str">
        <v>-</v>
      </c>
      <c r="E3886" t="str">
        <v/>
      </c>
      <c r="F3886" t="str">
        <v>-</v>
      </c>
      <c r="G3886" t="str">
        <v>-</v>
      </c>
    </row>
    <row r="3887">
      <c r="A3887">
        <v>3886</v>
      </c>
      <c r="B3887">
        <f>HYPERLINK("https://tanuyen.laichau.gov.vn/he-thong-to-chuc/don-vi-hanh-chinh/ubnd-xa-nam-so.html", "UBND Ủy ban nhân dân xã Nậm Sỏ  tỉnh Lai Châu")</f>
      </c>
      <c r="C3887" t="str">
        <v>https://tanuyen.laichau.gov.vn/he-thong-to-chuc/don-vi-hanh-chinh/ubnd-xa-nam-so.html</v>
      </c>
      <c r="D3887" t="str">
        <v>-</v>
      </c>
      <c r="E3887" t="str">
        <v>-</v>
      </c>
      <c r="F3887" t="str">
        <v>-</v>
      </c>
      <c r="G3887" t="str">
        <v>-</v>
      </c>
    </row>
    <row r="3888">
      <c r="A3888">
        <v>3887</v>
      </c>
      <c r="B3888" t="str">
        <v>Công an xã Pắc Ta  tỉnh Lai Châu</v>
      </c>
      <c r="C3888" t="str">
        <v>-</v>
      </c>
      <c r="D3888" t="str">
        <v>-</v>
      </c>
      <c r="E3888" t="str">
        <v/>
      </c>
      <c r="F3888" t="str">
        <v>-</v>
      </c>
      <c r="G3888" t="str">
        <v>-</v>
      </c>
    </row>
    <row r="3889">
      <c r="A3889">
        <v>3888</v>
      </c>
      <c r="B3889">
        <f>HYPERLINK("https://tanuyen.laichau.gov.vn/he-thong-to-chuc/don-vi-hanh-chinh/ubnd-xa-pac-ta.html", "UBND Ủy ban nhân dân xã Pắc Ta  tỉnh Lai Châu")</f>
      </c>
      <c r="C3889" t="str">
        <v>https://tanuyen.laichau.gov.vn/he-thong-to-chuc/don-vi-hanh-chinh/ubnd-xa-pac-ta.html</v>
      </c>
      <c r="D3889" t="str">
        <v>-</v>
      </c>
      <c r="E3889" t="str">
        <v>-</v>
      </c>
      <c r="F3889" t="str">
        <v>-</v>
      </c>
      <c r="G3889" t="str">
        <v>-</v>
      </c>
    </row>
    <row r="3890">
      <c r="A3890">
        <v>3889</v>
      </c>
      <c r="B3890" t="str">
        <v>Công an xã Tà Mít  tỉnh Lai Châu</v>
      </c>
      <c r="C3890" t="str">
        <v>-</v>
      </c>
      <c r="D3890" t="str">
        <v>-</v>
      </c>
      <c r="E3890" t="str">
        <v/>
      </c>
      <c r="F3890" t="str">
        <v>-</v>
      </c>
      <c r="G3890" t="str">
        <v>-</v>
      </c>
    </row>
    <row r="3891">
      <c r="A3891">
        <v>3890</v>
      </c>
      <c r="B3891">
        <f>HYPERLINK("https://tanuyen.laichau.gov.vn/he-thong-to-chuc/don-vi-hanh-chinh/bnd-xa-ta-mit.html", "UBND Ủy ban nhân dân xã Tà Mít  tỉnh Lai Châu")</f>
      </c>
      <c r="C3891" t="str">
        <v>https://tanuyen.laichau.gov.vn/he-thong-to-chuc/don-vi-hanh-chinh/bnd-xa-ta-mit.html</v>
      </c>
      <c r="D3891" t="str">
        <v>-</v>
      </c>
      <c r="E3891" t="str">
        <v>-</v>
      </c>
      <c r="F3891" t="str">
        <v>-</v>
      </c>
      <c r="G3891" t="str">
        <v>-</v>
      </c>
    </row>
    <row r="3892">
      <c r="A3892">
        <v>3891</v>
      </c>
      <c r="B3892" t="str">
        <v>Công an thị trấn Nậm Nhùn  tỉnh Lai Châu</v>
      </c>
      <c r="C3892" t="str">
        <v>-</v>
      </c>
      <c r="D3892" t="str">
        <v>-</v>
      </c>
      <c r="E3892" t="str">
        <v/>
      </c>
      <c r="F3892" t="str">
        <v>-</v>
      </c>
      <c r="G3892" t="str">
        <v>-</v>
      </c>
    </row>
    <row r="3893">
      <c r="A3893">
        <v>3892</v>
      </c>
      <c r="B3893">
        <f>HYPERLINK("https://namnhun.laichau.gov.vn/", "UBND Ủy ban nhân dân thị trấn Nậm Nhùn  tỉnh Lai Châu")</f>
      </c>
      <c r="C3893" t="str">
        <v>https://namnhun.laichau.gov.vn/</v>
      </c>
      <c r="D3893" t="str">
        <v>-</v>
      </c>
      <c r="E3893" t="str">
        <v>-</v>
      </c>
      <c r="F3893" t="str">
        <v>-</v>
      </c>
      <c r="G3893" t="str">
        <v>-</v>
      </c>
    </row>
    <row r="3894">
      <c r="A3894">
        <v>3893</v>
      </c>
      <c r="B3894" t="str">
        <v>Công an xã Hua Bun  tỉnh Lai Châu</v>
      </c>
      <c r="C3894" t="str">
        <v>-</v>
      </c>
      <c r="D3894" t="str">
        <v>-</v>
      </c>
      <c r="E3894" t="str">
        <v/>
      </c>
      <c r="F3894" t="str">
        <v>-</v>
      </c>
      <c r="G3894" t="str">
        <v>-</v>
      </c>
    </row>
    <row r="3895">
      <c r="A3895">
        <v>3894</v>
      </c>
      <c r="B3895">
        <f>HYPERLINK("https://laichau.gov.vn/thong-tin-tra-cuu/bao-cao-va-giay-phep-moi-truong.../giay-phep-moi-truong-cua-co-so-thuy-dien-hua-bun-thuc-hien-tai-xa-nam-ban-huyen-nam-nhun-tinh-lai-chau.html", "UBND Ủy ban nhân dân xã Hua Bun  tỉnh Lai Châu")</f>
      </c>
      <c r="C3895" t="str">
        <v>https://laichau.gov.vn/thong-tin-tra-cuu/bao-cao-va-giay-phep-moi-truong.../giay-phep-moi-truong-cua-co-so-thuy-dien-hua-bun-thuc-hien-tai-xa-nam-ban-huyen-nam-nhun-tinh-lai-chau.html</v>
      </c>
      <c r="D3895" t="str">
        <v>-</v>
      </c>
      <c r="E3895" t="str">
        <v>-</v>
      </c>
      <c r="F3895" t="str">
        <v>-</v>
      </c>
      <c r="G3895" t="str">
        <v>-</v>
      </c>
    </row>
    <row r="3896">
      <c r="A3896">
        <v>3895</v>
      </c>
      <c r="B3896" t="str">
        <v>Công an xã Mường Mô  tỉnh Lai Châu</v>
      </c>
      <c r="C3896" t="str">
        <v>-</v>
      </c>
      <c r="D3896" t="str">
        <v>-</v>
      </c>
      <c r="E3896" t="str">
        <v/>
      </c>
      <c r="F3896" t="str">
        <v>-</v>
      </c>
      <c r="G3896" t="str">
        <v>-</v>
      </c>
    </row>
    <row r="3897">
      <c r="A3897">
        <v>3896</v>
      </c>
      <c r="B3897">
        <f>HYPERLINK("https://laichau.gov.vn/tin-tuc-su-kien/hoat-dong-cua-lanh-dao-tinh/pho-chu-tich-thuong-truc-ubnd-tinh-tham-mo-hinh-phat-trien-kinh-te-tai-xa-muong-te-huyen-muong-te.html", "UBND Ủy ban nhân dân xã Mường Mô  tỉnh Lai Châu")</f>
      </c>
      <c r="C3897" t="str">
        <v>https://laichau.gov.vn/tin-tuc-su-kien/hoat-dong-cua-lanh-dao-tinh/pho-chu-tich-thuong-truc-ubnd-tinh-tham-mo-hinh-phat-trien-kinh-te-tai-xa-muong-te-huyen-muong-te.html</v>
      </c>
      <c r="D3897" t="str">
        <v>-</v>
      </c>
      <c r="E3897" t="str">
        <v>-</v>
      </c>
      <c r="F3897" t="str">
        <v>-</v>
      </c>
      <c r="G3897" t="str">
        <v>-</v>
      </c>
    </row>
    <row r="3898">
      <c r="A3898">
        <v>3897</v>
      </c>
      <c r="B3898" t="str">
        <v>Công an xã Nậm Chà  tỉnh Lai Châu</v>
      </c>
      <c r="C3898" t="str">
        <v>-</v>
      </c>
      <c r="D3898" t="str">
        <v>-</v>
      </c>
      <c r="E3898" t="str">
        <v/>
      </c>
      <c r="F3898" t="str">
        <v>-</v>
      </c>
      <c r="G3898" t="str">
        <v>-</v>
      </c>
    </row>
    <row r="3899">
      <c r="A3899">
        <v>3898</v>
      </c>
      <c r="B3899">
        <f>HYPERLINK("https://namnhun.laichau.gov.vn/", "UBND Ủy ban nhân dân xã Nậm Chà  tỉnh Lai Châu")</f>
      </c>
      <c r="C3899" t="str">
        <v>https://namnhun.laichau.gov.vn/</v>
      </c>
      <c r="D3899" t="str">
        <v>-</v>
      </c>
      <c r="E3899" t="str">
        <v>-</v>
      </c>
      <c r="F3899" t="str">
        <v>-</v>
      </c>
      <c r="G3899" t="str">
        <v>-</v>
      </c>
    </row>
    <row r="3900">
      <c r="A3900">
        <v>3899</v>
      </c>
      <c r="B3900">
        <f>HYPERLINK("https://www.facebook.com/tuoitrecongansonla/?locale=ms_MY", "Công an xã Nậm Manh  tỉnh Lai Châu")</f>
      </c>
      <c r="C3900" t="str">
        <v>https://www.facebook.com/tuoitrecongansonla/?locale=ms_MY</v>
      </c>
      <c r="D3900" t="str">
        <v>-</v>
      </c>
      <c r="E3900" t="str">
        <v/>
      </c>
      <c r="F3900" t="str">
        <v>-</v>
      </c>
      <c r="G3900" t="str">
        <v>-</v>
      </c>
    </row>
    <row r="3901">
      <c r="A3901">
        <v>3900</v>
      </c>
      <c r="B3901">
        <f>HYPERLINK("https://namnhun.laichau.gov.vn/", "UBND Ủy ban nhân dân xã Nậm Manh  tỉnh Lai Châu")</f>
      </c>
      <c r="C3901" t="str">
        <v>https://namnhun.laichau.gov.vn/</v>
      </c>
      <c r="D3901" t="str">
        <v>-</v>
      </c>
      <c r="E3901" t="str">
        <v>-</v>
      </c>
      <c r="F3901" t="str">
        <v>-</v>
      </c>
      <c r="G3901" t="str">
        <v>-</v>
      </c>
    </row>
    <row r="3902">
      <c r="A3902">
        <v>3901</v>
      </c>
      <c r="B3902" t="str">
        <v>Công an xã Nậm Hàng  tỉnh Lai Châu</v>
      </c>
      <c r="C3902" t="str">
        <v>-</v>
      </c>
      <c r="D3902" t="str">
        <v>-</v>
      </c>
      <c r="E3902" t="str">
        <v/>
      </c>
      <c r="F3902" t="str">
        <v>-</v>
      </c>
      <c r="G3902" t="str">
        <v>-</v>
      </c>
    </row>
    <row r="3903">
      <c r="A3903">
        <v>3902</v>
      </c>
      <c r="B3903">
        <f>HYPERLINK("https://namnhun.laichau.gov.vn/", "UBND Ủy ban nhân dân xã Nậm Hàng  tỉnh Lai Châu")</f>
      </c>
      <c r="C3903" t="str">
        <v>https://namnhun.laichau.gov.vn/</v>
      </c>
      <c r="D3903" t="str">
        <v>-</v>
      </c>
      <c r="E3903" t="str">
        <v>-</v>
      </c>
      <c r="F3903" t="str">
        <v>-</v>
      </c>
      <c r="G3903" t="str">
        <v>-</v>
      </c>
    </row>
    <row r="3904">
      <c r="A3904">
        <v>3903</v>
      </c>
      <c r="B3904" t="str">
        <v>Công an xã Lê Lợi  tỉnh Lai Châu</v>
      </c>
      <c r="C3904" t="str">
        <v>-</v>
      </c>
      <c r="D3904" t="str">
        <v>-</v>
      </c>
      <c r="E3904" t="str">
        <v/>
      </c>
      <c r="F3904" t="str">
        <v>-</v>
      </c>
      <c r="G3904" t="str">
        <v>-</v>
      </c>
    </row>
    <row r="3905">
      <c r="A3905">
        <v>3904</v>
      </c>
      <c r="B3905">
        <f>HYPERLINK("https://laichau.gov.vn/danh-muc/hoat-dong-trong-tinh/tin-cac-dia-phuong/loi-ich-tu-du-an-trong-cay-mac-ca-tai-xa-le-loi.html", "UBND Ủy ban nhân dân xã Lê Lợi  tỉnh Lai Châu")</f>
      </c>
      <c r="C3905" t="str">
        <v>https://laichau.gov.vn/danh-muc/hoat-dong-trong-tinh/tin-cac-dia-phuong/loi-ich-tu-du-an-trong-cay-mac-ca-tai-xa-le-loi.html</v>
      </c>
      <c r="D3905" t="str">
        <v>-</v>
      </c>
      <c r="E3905" t="str">
        <v>-</v>
      </c>
      <c r="F3905" t="str">
        <v>-</v>
      </c>
      <c r="G3905" t="str">
        <v>-</v>
      </c>
    </row>
    <row r="3906">
      <c r="A3906">
        <v>3905</v>
      </c>
      <c r="B3906" t="str">
        <v>Công an xã Pú Đao  tỉnh Lai Châu</v>
      </c>
      <c r="C3906" t="str">
        <v>-</v>
      </c>
      <c r="D3906" t="str">
        <v>-</v>
      </c>
      <c r="E3906" t="str">
        <v/>
      </c>
      <c r="F3906" t="str">
        <v>-</v>
      </c>
      <c r="G3906" t="str">
        <v>-</v>
      </c>
    </row>
    <row r="3907">
      <c r="A3907">
        <v>3906</v>
      </c>
      <c r="B3907">
        <f>HYPERLINK("https://namnhun.laichau.gov.vn/", "UBND Ủy ban nhân dân xã Pú Đao  tỉnh Lai Châu")</f>
      </c>
      <c r="C3907" t="str">
        <v>https://namnhun.laichau.gov.vn/</v>
      </c>
      <c r="D3907" t="str">
        <v>-</v>
      </c>
      <c r="E3907" t="str">
        <v>-</v>
      </c>
      <c r="F3907" t="str">
        <v>-</v>
      </c>
      <c r="G3907" t="str">
        <v>-</v>
      </c>
    </row>
    <row r="3908">
      <c r="A3908">
        <v>3907</v>
      </c>
      <c r="B3908" t="str">
        <v>Công an xã Nậm Pì  tỉnh Lai Châu</v>
      </c>
      <c r="C3908" t="str">
        <v>-</v>
      </c>
      <c r="D3908" t="str">
        <v>-</v>
      </c>
      <c r="E3908" t="str">
        <v/>
      </c>
      <c r="F3908" t="str">
        <v>-</v>
      </c>
      <c r="G3908" t="str">
        <v>-</v>
      </c>
    </row>
    <row r="3909">
      <c r="A3909">
        <v>3908</v>
      </c>
      <c r="B3909">
        <f>HYPERLINK("https://namnhun.laichau.gov.vn/", "UBND Ủy ban nhân dân xã Nậm Pì  tỉnh Lai Châu")</f>
      </c>
      <c r="C3909" t="str">
        <v>https://namnhun.laichau.gov.vn/</v>
      </c>
      <c r="D3909" t="str">
        <v>-</v>
      </c>
      <c r="E3909" t="str">
        <v>-</v>
      </c>
      <c r="F3909" t="str">
        <v>-</v>
      </c>
      <c r="G3909" t="str">
        <v>-</v>
      </c>
    </row>
    <row r="3910">
      <c r="A3910">
        <v>3909</v>
      </c>
      <c r="B3910">
        <f>HYPERLINK("https://www.facebook.com/Congantinhlaichau/?locale=vi_VN", "Công an xã Nậm Ban  tỉnh Lai Châu")</f>
      </c>
      <c r="C3910" t="str">
        <v>https://www.facebook.com/Congantinhlaichau/?locale=vi_VN</v>
      </c>
      <c r="D3910" t="str">
        <v>-</v>
      </c>
      <c r="E3910" t="str">
        <v/>
      </c>
      <c r="F3910" t="str">
        <v>-</v>
      </c>
      <c r="G3910" t="str">
        <v>-</v>
      </c>
    </row>
    <row r="3911">
      <c r="A3911">
        <v>3910</v>
      </c>
      <c r="B3911">
        <f>HYPERLINK("https://laichau.gov.vn/tin-tuc-su-kien/hoat-dong-cua-lanh-dao-tinh/chu-tich-ubnd-tinh-kiem-tra-thuc-dia-truong-ptdt-ban-tru-tieu-hoc-va-thcs-nam-ban-hien-trang-cau-tai-km10-300-duong-tinh.html", "UBND Ủy ban nhân dân xã Nậm Ban  tỉnh Lai Châu")</f>
      </c>
      <c r="C3911" t="str">
        <v>https://laichau.gov.vn/tin-tuc-su-kien/hoat-dong-cua-lanh-dao-tinh/chu-tich-ubnd-tinh-kiem-tra-thuc-dia-truong-ptdt-ban-tru-tieu-hoc-va-thcs-nam-ban-hien-trang-cau-tai-km10-300-duong-tinh.html</v>
      </c>
      <c r="D3911" t="str">
        <v>-</v>
      </c>
      <c r="E3911" t="str">
        <v>-</v>
      </c>
      <c r="F3911" t="str">
        <v>-</v>
      </c>
      <c r="G3911" t="str">
        <v>-</v>
      </c>
    </row>
    <row r="3912">
      <c r="A3912">
        <v>3911</v>
      </c>
      <c r="B3912" t="str">
        <v>Công an xã Trung Chải  tỉnh Lai Châu</v>
      </c>
      <c r="C3912" t="str">
        <v>-</v>
      </c>
      <c r="D3912" t="str">
        <v>-</v>
      </c>
      <c r="E3912" t="str">
        <v/>
      </c>
      <c r="F3912" t="str">
        <v>-</v>
      </c>
      <c r="G3912" t="str">
        <v>-</v>
      </c>
    </row>
    <row r="3913">
      <c r="A3913">
        <v>3912</v>
      </c>
      <c r="B3913">
        <f>HYPERLINK("https://namnhun.laichau.gov.vn/", "UBND Ủy ban nhân dân xã Trung Chải  tỉnh Lai Châu")</f>
      </c>
      <c r="C3913" t="str">
        <v>https://namnhun.laichau.gov.vn/</v>
      </c>
      <c r="D3913" t="str">
        <v>-</v>
      </c>
      <c r="E3913" t="str">
        <v>-</v>
      </c>
      <c r="F3913" t="str">
        <v>-</v>
      </c>
      <c r="G3913" t="str">
        <v>-</v>
      </c>
    </row>
    <row r="3914">
      <c r="A3914">
        <v>3913</v>
      </c>
      <c r="B3914">
        <f>HYPERLINK("https://www.facebook.com/capchiengle/", "Công an phường Chiềng Lề  tỉnh Sơn La")</f>
      </c>
      <c r="C3914" t="str">
        <v>https://www.facebook.com/capchiengle/</v>
      </c>
      <c r="D3914" t="str">
        <v>-</v>
      </c>
      <c r="E3914" t="str">
        <v/>
      </c>
      <c r="F3914" t="str">
        <v>-</v>
      </c>
      <c r="G3914" t="str">
        <v>-</v>
      </c>
    </row>
    <row r="3915">
      <c r="A3915">
        <v>3914</v>
      </c>
      <c r="B3915">
        <f>HYPERLINK("https://chiengle.thanhpho.sonla.gov.vn/", "UBND Ủy ban nhân dân phường Chiềng Lề  tỉnh Sơn La")</f>
      </c>
      <c r="C3915" t="str">
        <v>https://chiengle.thanhpho.sonla.gov.vn/</v>
      </c>
      <c r="D3915" t="str">
        <v>-</v>
      </c>
      <c r="E3915" t="str">
        <v>-</v>
      </c>
      <c r="F3915" t="str">
        <v>-</v>
      </c>
      <c r="G3915" t="str">
        <v>-</v>
      </c>
    </row>
    <row r="3916">
      <c r="A3916">
        <v>3915</v>
      </c>
      <c r="B3916">
        <f>HYPERLINK("https://www.facebook.com/p/C%C3%B4ng-an-ph%C6%B0%E1%BB%9Dng-T%C3%B4-Hi%E1%BB%87u-th%C3%A0nh-ph%E1%BB%91-S%C6%A1n-La-100068333843932/", "Công an phường Tô Hiệu  tỉnh Sơn La")</f>
      </c>
      <c r="C3916" t="str">
        <v>https://www.facebook.com/p/C%C3%B4ng-an-ph%C6%B0%E1%BB%9Dng-T%C3%B4-Hi%E1%BB%87u-th%C3%A0nh-ph%E1%BB%91-S%C6%A1n-La-100068333843932/</v>
      </c>
      <c r="D3916" t="str">
        <v>-</v>
      </c>
      <c r="E3916" t="str">
        <v/>
      </c>
      <c r="F3916" t="str">
        <v>-</v>
      </c>
      <c r="G3916" t="str">
        <v>-</v>
      </c>
    </row>
    <row r="3917">
      <c r="A3917">
        <v>3916</v>
      </c>
      <c r="B3917">
        <f>HYPERLINK("https://tohieu.thanhpho.sonla.gov.vn/", "UBND Ủy ban nhân dân phường Tô Hiệu  tỉnh Sơn La")</f>
      </c>
      <c r="C3917" t="str">
        <v>https://tohieu.thanhpho.sonla.gov.vn/</v>
      </c>
      <c r="D3917" t="str">
        <v>-</v>
      </c>
      <c r="E3917" t="str">
        <v>-</v>
      </c>
      <c r="F3917" t="str">
        <v>-</v>
      </c>
      <c r="G3917" t="str">
        <v>-</v>
      </c>
    </row>
    <row r="3918">
      <c r="A3918">
        <v>3917</v>
      </c>
      <c r="B3918">
        <f>HYPERLINK("https://www.facebook.com/tuoitrecongansonla/", "Công an phường Quyết Thắng  tỉnh Sơn La")</f>
      </c>
      <c r="C3918" t="str">
        <v>https://www.facebook.com/tuoitrecongansonla/</v>
      </c>
      <c r="D3918" t="str">
        <v>-</v>
      </c>
      <c r="E3918" t="str">
        <v/>
      </c>
      <c r="F3918" t="str">
        <v>-</v>
      </c>
      <c r="G3918" t="str">
        <v>-</v>
      </c>
    </row>
    <row r="3919">
      <c r="A3919">
        <v>3918</v>
      </c>
      <c r="B3919">
        <f>HYPERLINK("https://quyetthang.thanhpho.sonla.gov.vn/van-hoa-xa-hoi-kinh-te/uy-ban-nhan-dan-phuong-quyet-thang-to-chuc-phien-hop-thu-40-833127", "UBND Ủy ban nhân dân phường Quyết Thắng  tỉnh Sơn La")</f>
      </c>
      <c r="C3919" t="str">
        <v>https://quyetthang.thanhpho.sonla.gov.vn/van-hoa-xa-hoi-kinh-te/uy-ban-nhan-dan-phuong-quyet-thang-to-chuc-phien-hop-thu-40-833127</v>
      </c>
      <c r="D3919" t="str">
        <v>-</v>
      </c>
      <c r="E3919" t="str">
        <v>-</v>
      </c>
      <c r="F3919" t="str">
        <v>-</v>
      </c>
      <c r="G3919" t="str">
        <v>-</v>
      </c>
    </row>
    <row r="3920">
      <c r="A3920">
        <v>3919</v>
      </c>
      <c r="B3920">
        <f>HYPERLINK("https://www.facebook.com/p/C%C3%B4ng-an-ph%C6%B0%E1%BB%9Dng-Quy%E1%BA%BFt-T%C3%A2m-th%C3%A0nh-ph%E1%BB%91-S%C6%A1n-La-100077408314272/", "Công an phường Quyết Tâm  tỉnh Sơn La")</f>
      </c>
      <c r="C3920" t="str">
        <v>https://www.facebook.com/p/C%C3%B4ng-an-ph%C6%B0%E1%BB%9Dng-Quy%E1%BA%BFt-T%C3%A2m-th%C3%A0nh-ph%E1%BB%91-S%C6%A1n-La-100077408314272/</v>
      </c>
      <c r="D3920" t="str">
        <v>-</v>
      </c>
      <c r="E3920" t="str">
        <v/>
      </c>
      <c r="F3920" t="str">
        <v>-</v>
      </c>
      <c r="G3920" t="str">
        <v>-</v>
      </c>
    </row>
    <row r="3921">
      <c r="A3921">
        <v>3920</v>
      </c>
      <c r="B3921">
        <f>HYPERLINK("https://quyettam.thanhpho.sonla.gov.vn/", "UBND Ủy ban nhân dân phường Quyết Tâm  tỉnh Sơn La")</f>
      </c>
      <c r="C3921" t="str">
        <v>https://quyettam.thanhpho.sonla.gov.vn/</v>
      </c>
      <c r="D3921" t="str">
        <v>-</v>
      </c>
      <c r="E3921" t="str">
        <v>-</v>
      </c>
      <c r="F3921" t="str">
        <v>-</v>
      </c>
      <c r="G3921" t="str">
        <v>-</v>
      </c>
    </row>
    <row r="3922">
      <c r="A3922">
        <v>3921</v>
      </c>
      <c r="B3922" t="str">
        <v>Công an xã Chiềng Cọ  tỉnh Sơn La</v>
      </c>
      <c r="C3922" t="str">
        <v>-</v>
      </c>
      <c r="D3922" t="str">
        <v>-</v>
      </c>
      <c r="E3922" t="str">
        <v/>
      </c>
      <c r="F3922" t="str">
        <v>-</v>
      </c>
      <c r="G3922" t="str">
        <v>-</v>
      </c>
    </row>
    <row r="3923">
      <c r="A3923">
        <v>3922</v>
      </c>
      <c r="B3923">
        <f>HYPERLINK("https://chiengco.thanhpho.sonla.gov.vn/", "UBND Ủy ban nhân dân xã Chiềng Cọ  tỉnh Sơn La")</f>
      </c>
      <c r="C3923" t="str">
        <v>https://chiengco.thanhpho.sonla.gov.vn/</v>
      </c>
      <c r="D3923" t="str">
        <v>-</v>
      </c>
      <c r="E3923" t="str">
        <v>-</v>
      </c>
      <c r="F3923" t="str">
        <v>-</v>
      </c>
      <c r="G3923" t="str">
        <v>-</v>
      </c>
    </row>
    <row r="3924">
      <c r="A3924">
        <v>3923</v>
      </c>
      <c r="B3924">
        <f>HYPERLINK("https://www.facebook.com/tuoitrecongansonla/", "Công an xã Chiềng Đen  tỉnh Sơn La")</f>
      </c>
      <c r="C3924" t="str">
        <v>https://www.facebook.com/tuoitrecongansonla/</v>
      </c>
      <c r="D3924" t="str">
        <v>-</v>
      </c>
      <c r="E3924" t="str">
        <v/>
      </c>
      <c r="F3924" t="str">
        <v>-</v>
      </c>
      <c r="G3924" t="str">
        <v>-</v>
      </c>
    </row>
    <row r="3925">
      <c r="A3925">
        <v>3924</v>
      </c>
      <c r="B3925">
        <f>HYPERLINK("https://chiengden.thanhpho.sonla.gov.vn/", "UBND Ủy ban nhân dân xã Chiềng Đen  tỉnh Sơn La")</f>
      </c>
      <c r="C3925" t="str">
        <v>https://chiengden.thanhpho.sonla.gov.vn/</v>
      </c>
      <c r="D3925" t="str">
        <v>-</v>
      </c>
      <c r="E3925" t="str">
        <v>-</v>
      </c>
      <c r="F3925" t="str">
        <v>-</v>
      </c>
      <c r="G3925" t="str">
        <v>-</v>
      </c>
    </row>
    <row r="3926">
      <c r="A3926">
        <v>3925</v>
      </c>
      <c r="B3926" t="str">
        <v>Công an xã Chiềng Xôm  tỉnh Sơn La</v>
      </c>
      <c r="C3926" t="str">
        <v>-</v>
      </c>
      <c r="D3926" t="str">
        <v>-</v>
      </c>
      <c r="E3926" t="str">
        <v/>
      </c>
      <c r="F3926" t="str">
        <v>-</v>
      </c>
      <c r="G3926" t="str">
        <v>-</v>
      </c>
    </row>
    <row r="3927">
      <c r="A3927">
        <v>3926</v>
      </c>
      <c r="B3927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Xôm  tỉnh Sơn La")</f>
      </c>
      <c r="C3927" t="str">
        <v>https://sonoivu.sonla.gov.vn/Default.aspx?sid=1282&amp;pageid=30665&amp;catid=64562&amp;id=537895&amp;catname=thong-tin-tuyen-truyen&amp;title=quyet-dinh-dieu-chinh-phan-loai-don-vi-hanh-chinh-cac-xa-phuong-thi-tran-tren-dia-ban-tinh-son-l</v>
      </c>
      <c r="D3927" t="str">
        <v>-</v>
      </c>
      <c r="E3927" t="str">
        <v>-</v>
      </c>
      <c r="F3927" t="str">
        <v>-</v>
      </c>
      <c r="G3927" t="str">
        <v>-</v>
      </c>
    </row>
    <row r="3928">
      <c r="A3928">
        <v>3927</v>
      </c>
      <c r="B3928">
        <f>HYPERLINK("https://www.facebook.com/capchiengle/", "Công an phường Chiềng An  tỉnh Sơn La")</f>
      </c>
      <c r="C3928" t="str">
        <v>https://www.facebook.com/capchiengle/</v>
      </c>
      <c r="D3928" t="str">
        <v>-</v>
      </c>
      <c r="E3928" t="str">
        <v/>
      </c>
      <c r="F3928" t="str">
        <v>-</v>
      </c>
      <c r="G3928" t="str">
        <v>-</v>
      </c>
    </row>
    <row r="3929">
      <c r="A3929">
        <v>3928</v>
      </c>
      <c r="B3929">
        <f>HYPERLINK("https://sonla.gov.vn/tin-van-ban", "UBND Ủy ban nhân dân phường Chiềng An  tỉnh Sơn La")</f>
      </c>
      <c r="C3929" t="str">
        <v>https://sonla.gov.vn/tin-van-ban</v>
      </c>
      <c r="D3929" t="str">
        <v>-</v>
      </c>
      <c r="E3929" t="str">
        <v>-</v>
      </c>
      <c r="F3929" t="str">
        <v>-</v>
      </c>
      <c r="G3929" t="str">
        <v>-</v>
      </c>
    </row>
    <row r="3930">
      <c r="A3930">
        <v>3929</v>
      </c>
      <c r="B3930">
        <f>HYPERLINK("https://www.facebook.com/CAPCHIENGCOI/", "Công an phường Chiềng Cơi  tỉnh Sơn La")</f>
      </c>
      <c r="C3930" t="str">
        <v>https://www.facebook.com/CAPCHIENGCOI/</v>
      </c>
      <c r="D3930" t="str">
        <v>-</v>
      </c>
      <c r="E3930" t="str">
        <v/>
      </c>
      <c r="F3930" t="str">
        <v>-</v>
      </c>
      <c r="G3930" t="str">
        <v>-</v>
      </c>
    </row>
    <row r="3931">
      <c r="A3931">
        <v>3930</v>
      </c>
      <c r="B3931">
        <f>HYPERLINK("https://sonla.gov.vn/gioi-thieu-chung/gioi-thieu-chung-537763", "UBND Ủy ban nhân dân phường Chiềng Cơi  tỉnh Sơn La")</f>
      </c>
      <c r="C3931" t="str">
        <v>https://sonla.gov.vn/gioi-thieu-chung/gioi-thieu-chung-537763</v>
      </c>
      <c r="D3931" t="str">
        <v>-</v>
      </c>
      <c r="E3931" t="str">
        <v>-</v>
      </c>
      <c r="F3931" t="str">
        <v>-</v>
      </c>
      <c r="G3931" t="str">
        <v>-</v>
      </c>
    </row>
    <row r="3932">
      <c r="A3932">
        <v>3931</v>
      </c>
      <c r="B3932">
        <f>HYPERLINK("https://www.facebook.com/p/C%C3%B4ng-an-x%C3%A3-Chi%E1%BB%81ng-Ng%E1%BA%A7n-th%C3%A0nh-ph%E1%BB%91-S%C6%A1n-La-100069300605644/", "Công an xã Chiềng Ngần  tỉnh Sơn La")</f>
      </c>
      <c r="C3932" t="str">
        <v>https://www.facebook.com/p/C%C3%B4ng-an-x%C3%A3-Chi%E1%BB%81ng-Ng%E1%BA%A7n-th%C3%A0nh-ph%E1%BB%91-S%C6%A1n-La-100069300605644/</v>
      </c>
      <c r="D3932" t="str">
        <v>-</v>
      </c>
      <c r="E3932" t="str">
        <v/>
      </c>
      <c r="F3932" t="str">
        <v>-</v>
      </c>
      <c r="G3932" t="str">
        <v>-</v>
      </c>
    </row>
    <row r="3933">
      <c r="A3933">
        <v>3932</v>
      </c>
      <c r="B3933">
        <f>HYPERLINK("https://congbao.sonla.gov.vn/congbao.nsf/3C6A1819EB84F77347258B95000336E4/$file/QD%20so%201864.pdf", "UBND Ủy ban nhân dân xã Chiềng Ngần  tỉnh Sơn La")</f>
      </c>
      <c r="C3933" t="str">
        <v>https://congbao.sonla.gov.vn/congbao.nsf/3C6A1819EB84F77347258B95000336E4/$file/QD%20so%201864.pdf</v>
      </c>
      <c r="D3933" t="str">
        <v>-</v>
      </c>
      <c r="E3933" t="str">
        <v>-</v>
      </c>
      <c r="F3933" t="str">
        <v>-</v>
      </c>
      <c r="G3933" t="str">
        <v>-</v>
      </c>
    </row>
    <row r="3934">
      <c r="A3934">
        <v>3933</v>
      </c>
      <c r="B3934">
        <f>HYPERLINK("https://www.facebook.com/tuoitrecongansonla/", "Công an xã Hua La  tỉnh Sơn La")</f>
      </c>
      <c r="C3934" t="str">
        <v>https://www.facebook.com/tuoitrecongansonla/</v>
      </c>
      <c r="D3934" t="str">
        <v>-</v>
      </c>
      <c r="E3934" t="str">
        <v/>
      </c>
      <c r="F3934" t="str">
        <v>-</v>
      </c>
      <c r="G3934" t="str">
        <v>-</v>
      </c>
    </row>
    <row r="3935">
      <c r="A3935">
        <v>3934</v>
      </c>
      <c r="B3935">
        <f>HYPERLINK("https://thanhpho.sonla.gov.vn/van-hoa-xa-hoi/le-phat-dong-huong-ung-ngay-moi-truong-the-gioi-5-6-thang-hanh-dong-vi-moi-truong-nam-2023-712970", "UBND Ủy ban nhân dân xã Hua La  tỉnh Sơn La")</f>
      </c>
      <c r="C3935" t="str">
        <v>https://thanhpho.sonla.gov.vn/van-hoa-xa-hoi/le-phat-dong-huong-ung-ngay-moi-truong-the-gioi-5-6-thang-hanh-dong-vi-moi-truong-nam-2023-712970</v>
      </c>
      <c r="D3935" t="str">
        <v>-</v>
      </c>
      <c r="E3935" t="str">
        <v>-</v>
      </c>
      <c r="F3935" t="str">
        <v>-</v>
      </c>
      <c r="G3935" t="str">
        <v>-</v>
      </c>
    </row>
    <row r="3936">
      <c r="A3936">
        <v>3935</v>
      </c>
      <c r="B3936">
        <f>HYPERLINK("https://www.facebook.com/cachiengsinh/", "Công an phường Chiềng Sinh  tỉnh Sơn La")</f>
      </c>
      <c r="C3936" t="str">
        <v>https://www.facebook.com/cachiengsinh/</v>
      </c>
      <c r="D3936" t="str">
        <v>-</v>
      </c>
      <c r="E3936" t="str">
        <v/>
      </c>
      <c r="F3936" t="str">
        <v>-</v>
      </c>
      <c r="G3936" t="str">
        <v>-</v>
      </c>
    </row>
    <row r="3937">
      <c r="A3937">
        <v>3936</v>
      </c>
      <c r="B3937">
        <f>HYPERLINK("https://thanhpho.sonla.gov.vn/cong-khai-dau-gia-tai-san/cong-khai-lua-chon-to-chuc-dau-gia-tai-san-quyen-su-dung-02-thua-dat-thuoc-lo-dat-quy-hoach-dat--656896", "UBND Ủy ban nhân dân phường Chiềng Sinh  tỉnh Sơn La")</f>
      </c>
      <c r="C3937" t="str">
        <v>https://thanhpho.sonla.gov.vn/cong-khai-dau-gia-tai-san/cong-khai-lua-chon-to-chuc-dau-gia-tai-san-quyen-su-dung-02-thua-dat-thuoc-lo-dat-quy-hoach-dat--656896</v>
      </c>
      <c r="D3937" t="str">
        <v>-</v>
      </c>
      <c r="E3937" t="str">
        <v>-</v>
      </c>
      <c r="F3937" t="str">
        <v>-</v>
      </c>
      <c r="G3937" t="str">
        <v>-</v>
      </c>
    </row>
    <row r="3938">
      <c r="A3938">
        <v>3937</v>
      </c>
      <c r="B3938">
        <f>HYPERLINK("https://www.facebook.com/tuoitrecongansonla/", "Công an xã Mường Chiên  tỉnh Sơn La")</f>
      </c>
      <c r="C3938" t="str">
        <v>https://www.facebook.com/tuoitrecongansonla/</v>
      </c>
      <c r="D3938" t="str">
        <v>-</v>
      </c>
      <c r="E3938" t="str">
        <v/>
      </c>
      <c r="F3938" t="str">
        <v>-</v>
      </c>
      <c r="G3938" t="str">
        <v>-</v>
      </c>
    </row>
    <row r="3939">
      <c r="A3939">
        <v>3938</v>
      </c>
      <c r="B3939">
        <f>HYPERLINK("https://sonla.gov.vn/SiteFolders/hquynhmai/4787/VB/thi%20dua%20khen%20thuong/1309%20QD%20UBND.pdf", "UBND Ủy ban nhân dân xã Mường Chiên  tỉnh Sơn La")</f>
      </c>
      <c r="C3939" t="str">
        <v>https://sonla.gov.vn/SiteFolders/hquynhmai/4787/VB/thi%20dua%20khen%20thuong/1309%20QD%20UBND.pdf</v>
      </c>
      <c r="D3939" t="str">
        <v>-</v>
      </c>
      <c r="E3939" t="str">
        <v>-</v>
      </c>
      <c r="F3939" t="str">
        <v>-</v>
      </c>
      <c r="G3939" t="str">
        <v>-</v>
      </c>
    </row>
    <row r="3940">
      <c r="A3940">
        <v>3939</v>
      </c>
      <c r="B3940">
        <f>HYPERLINK("https://www.facebook.com/tuoitrecongansonla/", "Công an xã Cà Nàng  tỉnh Sơn La")</f>
      </c>
      <c r="C3940" t="str">
        <v>https://www.facebook.com/tuoitrecongansonla/</v>
      </c>
      <c r="D3940" t="str">
        <v>-</v>
      </c>
      <c r="E3940" t="str">
        <v/>
      </c>
      <c r="F3940" t="str">
        <v>-</v>
      </c>
      <c r="G3940" t="str">
        <v>-</v>
      </c>
    </row>
    <row r="3941">
      <c r="A3941">
        <v>3940</v>
      </c>
      <c r="B3941">
        <f>HYPERLINK("https://sonla.gov.vn/doi-ngoai-nhan-dan", "UBND Ủy ban nhân dân xã Cà Nàng  tỉnh Sơn La")</f>
      </c>
      <c r="C3941" t="str">
        <v>https://sonla.gov.vn/doi-ngoai-nhan-dan</v>
      </c>
      <c r="D3941" t="str">
        <v>-</v>
      </c>
      <c r="E3941" t="str">
        <v>-</v>
      </c>
      <c r="F3941" t="str">
        <v>-</v>
      </c>
      <c r="G3941" t="str">
        <v>-</v>
      </c>
    </row>
    <row r="3942">
      <c r="A3942">
        <v>3941</v>
      </c>
      <c r="B3942">
        <f>HYPERLINK("https://www.facebook.com/people/C%C3%B4ng-an-x%C3%A3-Chi%E1%BB%81ng-Khay-Qu%E1%BB%B3nh-Nhai-S%C6%A1n-La/100067357356576/", "Công an xã Chiềng Khay  tỉnh Sơn La")</f>
      </c>
      <c r="C3942" t="str">
        <v>https://www.facebook.com/people/C%C3%B4ng-an-x%C3%A3-Chi%E1%BB%81ng-Khay-Qu%E1%BB%B3nh-Nhai-S%C6%A1n-La/100067357356576/</v>
      </c>
      <c r="D3942" t="str">
        <v>-</v>
      </c>
      <c r="E3942" t="str">
        <v>0972447667</v>
      </c>
      <c r="F3942" t="str">
        <v>chinhtuan99@gmail.com</v>
      </c>
      <c r="G3942" t="str">
        <v>-</v>
      </c>
    </row>
    <row r="3943">
      <c r="A3943">
        <v>3942</v>
      </c>
      <c r="B3943">
        <f>HYPERLINK("https://sonla.gov.vn/4/469/61724/541498/tin-van-hoa-xa-hoi/gia-ban-giang-a-tao-nguoi-cao-tuoi-co-uy-tin-o-ban-khau-pum", "UBND Ủy ban nhân dân xã Chiềng Khay  tỉnh Sơn La")</f>
      </c>
      <c r="C3943" t="str">
        <v>https://sonla.gov.vn/4/469/61724/541498/tin-van-hoa-xa-hoi/gia-ban-giang-a-tao-nguoi-cao-tuoi-co-uy-tin-o-ban-khau-pum</v>
      </c>
      <c r="D3943" t="str">
        <v>-</v>
      </c>
      <c r="E3943" t="str">
        <v>-</v>
      </c>
      <c r="F3943" t="str">
        <v>-</v>
      </c>
      <c r="G3943" t="str">
        <v>-</v>
      </c>
    </row>
    <row r="3944">
      <c r="A3944">
        <v>3943</v>
      </c>
      <c r="B3944" t="str">
        <v>Công an xã Mường Giôn  tỉnh Sơn La</v>
      </c>
      <c r="C3944" t="str">
        <v>-</v>
      </c>
      <c r="D3944" t="str">
        <v>-</v>
      </c>
      <c r="E3944" t="str">
        <v/>
      </c>
      <c r="F3944" t="str">
        <v>-</v>
      </c>
      <c r="G3944" t="str">
        <v>-</v>
      </c>
    </row>
    <row r="3945">
      <c r="A3945">
        <v>3944</v>
      </c>
      <c r="B3945">
        <f>HYPERLINK("https://sonla.gov.vn/tin-van-hoa-xa-hoi/dong-chi-pho-bi-thu-thuong-truc-huyen-uy-quynh-nhai-du-ngay-hoi-dai-doan-ket-toan-dan-toc-ban-ph-735545", "UBND Ủy ban nhân dân xã Mường Giôn  tỉnh Sơn La")</f>
      </c>
      <c r="C3945" t="str">
        <v>https://sonla.gov.vn/tin-van-hoa-xa-hoi/dong-chi-pho-bi-thu-thuong-truc-huyen-uy-quynh-nhai-du-ngay-hoi-dai-doan-ket-toan-dan-toc-ban-ph-735545</v>
      </c>
      <c r="D3945" t="str">
        <v>-</v>
      </c>
      <c r="E3945" t="str">
        <v>-</v>
      </c>
      <c r="F3945" t="str">
        <v>-</v>
      </c>
      <c r="G3945" t="str">
        <v>-</v>
      </c>
    </row>
    <row r="3946">
      <c r="A3946">
        <v>3945</v>
      </c>
      <c r="B3946">
        <f>HYPERLINK("https://www.facebook.com/tuoitrecongansonla/", "Công an xã Pá Ma Pha Khinh  tỉnh Sơn La")</f>
      </c>
      <c r="C3946" t="str">
        <v>https://www.facebook.com/tuoitrecongansonla/</v>
      </c>
      <c r="D3946" t="str">
        <v>-</v>
      </c>
      <c r="E3946" t="str">
        <v/>
      </c>
      <c r="F3946" t="str">
        <v>-</v>
      </c>
      <c r="G3946" t="str">
        <v>-</v>
      </c>
    </row>
    <row r="3947">
      <c r="A3947">
        <v>3946</v>
      </c>
      <c r="B3947">
        <f>HYPERLINK("https://quynhnhai.sonla.gov.vn/xa-pa-ma-pha-khinh/moi-tham-gia-cuoc-thi-anh-dep-ve-trai-cay-trong-chuong-trinh-festival-trai-cay-va-thuong-hieu-sa-633545", "UBND Ủy ban nhân dân xã Pá Ma Pha Khinh  tỉnh Sơn La")</f>
      </c>
      <c r="C3947" t="str">
        <v>https://quynhnhai.sonla.gov.vn/xa-pa-ma-pha-khinh/moi-tham-gia-cuoc-thi-anh-dep-ve-trai-cay-trong-chuong-trinh-festival-trai-cay-va-thuong-hieu-sa-633545</v>
      </c>
      <c r="D3947" t="str">
        <v>-</v>
      </c>
      <c r="E3947" t="str">
        <v>-</v>
      </c>
      <c r="F3947" t="str">
        <v>-</v>
      </c>
      <c r="G3947" t="str">
        <v>-</v>
      </c>
    </row>
    <row r="3948">
      <c r="A3948">
        <v>3947</v>
      </c>
      <c r="B3948" t="str">
        <v>Công an xã Chiềng Ơn  tỉnh Sơn La</v>
      </c>
      <c r="C3948" t="str">
        <v>-</v>
      </c>
      <c r="D3948" t="str">
        <v>-</v>
      </c>
      <c r="E3948" t="str">
        <v/>
      </c>
      <c r="F3948" t="str">
        <v>-</v>
      </c>
      <c r="G3948" t="str">
        <v>-</v>
      </c>
    </row>
    <row r="3949">
      <c r="A3949">
        <v>3948</v>
      </c>
      <c r="B3949">
        <f>HYPERLINK("https://quynhnhai.sonla.gov.vn/1308/31875/60516/613172/hoat-dong-huyen-uy-hdnd-ubnd-huyen/kiem-tra-nam-bat-tinh-hinh-phat-trien-kinh-te-xa-hoi-tai-xa-chieng-on", "UBND Ủy ban nhân dân xã Chiềng Ơn  tỉnh Sơn La")</f>
      </c>
      <c r="C3949" t="str">
        <v>https://quynhnhai.sonla.gov.vn/1308/31875/60516/613172/hoat-dong-huyen-uy-hdnd-ubnd-huyen/kiem-tra-nam-bat-tinh-hinh-phat-trien-kinh-te-xa-hoi-tai-xa-chieng-on</v>
      </c>
      <c r="D3949" t="str">
        <v>-</v>
      </c>
      <c r="E3949" t="str">
        <v>-</v>
      </c>
      <c r="F3949" t="str">
        <v>-</v>
      </c>
      <c r="G3949" t="str">
        <v>-</v>
      </c>
    </row>
    <row r="3950">
      <c r="A3950">
        <v>3949</v>
      </c>
      <c r="B3950">
        <f>HYPERLINK("https://www.facebook.com/tuoitrecongansonla/", "Công an xã Mường Giàng  tỉnh Sơn La")</f>
      </c>
      <c r="C3950" t="str">
        <v>https://www.facebook.com/tuoitrecongansonla/</v>
      </c>
      <c r="D3950" t="str">
        <v>-</v>
      </c>
      <c r="E3950" t="str">
        <v/>
      </c>
      <c r="F3950" t="str">
        <v>-</v>
      </c>
      <c r="G3950" t="str">
        <v>-</v>
      </c>
    </row>
    <row r="3951">
      <c r="A3951">
        <v>3950</v>
      </c>
      <c r="B3951">
        <f>HYPERLINK("https://songma.sonla.gov.vn/1362/39828/75885/van-hoa-xa-hoi", "UBND Ủy ban nhân dân xã Mường Giàng  tỉnh Sơn La")</f>
      </c>
      <c r="C3951" t="str">
        <v>https://songma.sonla.gov.vn/1362/39828/75885/van-hoa-xa-hoi</v>
      </c>
      <c r="D3951" t="str">
        <v>-</v>
      </c>
      <c r="E3951" t="str">
        <v>-</v>
      </c>
      <c r="F3951" t="str">
        <v>-</v>
      </c>
      <c r="G3951" t="str">
        <v>-</v>
      </c>
    </row>
    <row r="3952">
      <c r="A3952">
        <v>3951</v>
      </c>
      <c r="B3952" t="str">
        <v>Công an xã Chiềng Bằng  tỉnh Sơn La</v>
      </c>
      <c r="C3952" t="str">
        <v>-</v>
      </c>
      <c r="D3952" t="str">
        <v>-</v>
      </c>
      <c r="E3952" t="str">
        <v/>
      </c>
      <c r="F3952" t="str">
        <v>-</v>
      </c>
      <c r="G3952" t="str">
        <v>-</v>
      </c>
    </row>
    <row r="3953">
      <c r="A3953">
        <v>3952</v>
      </c>
      <c r="B3953">
        <f>HYPERLINK("https://sonoivu.sonla.gov.vn/xay-dung-chinh-quyen-cong-tac-thanh-nien/le-cong-bo-xa-chieng-mung-huyen-mai-son-dat-chuan-nong-thon-moi-662887", "UBND Ủy ban nhân dân xã Chiềng Bằng  tỉnh Sơn La")</f>
      </c>
      <c r="C3953" t="str">
        <v>https://sonoivu.sonla.gov.vn/xay-dung-chinh-quyen-cong-tac-thanh-nien/le-cong-bo-xa-chieng-mung-huyen-mai-son-dat-chuan-nong-thon-moi-662887</v>
      </c>
      <c r="D3953" t="str">
        <v>-</v>
      </c>
      <c r="E3953" t="str">
        <v>-</v>
      </c>
      <c r="F3953" t="str">
        <v>-</v>
      </c>
      <c r="G3953" t="str">
        <v>-</v>
      </c>
    </row>
    <row r="3954">
      <c r="A3954">
        <v>3953</v>
      </c>
      <c r="B3954">
        <f>HYPERLINK("https://www.facebook.com/tuoitrecongansonla/", "Công an xã Mường Sại  tỉnh Sơn La")</f>
      </c>
      <c r="C3954" t="str">
        <v>https://www.facebook.com/tuoitrecongansonla/</v>
      </c>
      <c r="D3954" t="str">
        <v>-</v>
      </c>
      <c r="E3954" t="str">
        <v/>
      </c>
      <c r="F3954" t="str">
        <v>-</v>
      </c>
      <c r="G3954" t="str">
        <v>-</v>
      </c>
    </row>
    <row r="3955">
      <c r="A3955">
        <v>3954</v>
      </c>
      <c r="B3955">
        <f>HYPERLINK("https://quynhnhai.sonla.gov.vn/Default.aspx?sid=1364&amp;pageid=40104", "UBND Ủy ban nhân dân xã Mường Sại  tỉnh Sơn La")</f>
      </c>
      <c r="C3955" t="str">
        <v>https://quynhnhai.sonla.gov.vn/Default.aspx?sid=1364&amp;pageid=40104</v>
      </c>
      <c r="D3955" t="str">
        <v>-</v>
      </c>
      <c r="E3955" t="str">
        <v>-</v>
      </c>
      <c r="F3955" t="str">
        <v>-</v>
      </c>
      <c r="G3955" t="str">
        <v>-</v>
      </c>
    </row>
    <row r="3956">
      <c r="A3956">
        <v>3955</v>
      </c>
      <c r="B3956">
        <f>HYPERLINK("https://www.facebook.com/tuoitrecongansonla/", "Công an xã Nậm ét  tỉnh Sơn La")</f>
      </c>
      <c r="C3956" t="str">
        <v>https://www.facebook.com/tuoitrecongansonla/</v>
      </c>
      <c r="D3956" t="str">
        <v>-</v>
      </c>
      <c r="E3956" t="str">
        <v/>
      </c>
      <c r="F3956" t="str">
        <v>-</v>
      </c>
      <c r="G3956" t="str">
        <v>-</v>
      </c>
    </row>
    <row r="3957">
      <c r="A3957">
        <v>3956</v>
      </c>
      <c r="B3957">
        <f>HYPERLINK("https://snv.bacgiang.gov.vn/chi-tiet-tin-tuc/-/asset_publisher/aRIn3er4plGA/content/hoi-nghi-tong-ket-du-an-thi-iem-tuyen-chon-600-tri-thuc-tre-uu-tu-co-trinh-o-ai-hoc-tang-cuong-ve-lam-pho-chu-tich-uy-ban-nhan-dan-xa-thuoc-64-huyen-n/pop_up?_101_INSTANCE_aRIn3er4plGA_viewMode=print&amp;_101_INSTANCE_aRIn3er4plGA_languageId=vi_VN", "UBND Ủy ban nhân dân xã Nậm ét  tỉnh Sơn La")</f>
      </c>
      <c r="C3957" t="str">
        <v>https://snv.bacgiang.gov.vn/chi-tiet-tin-tuc/-/asset_publisher/aRIn3er4plGA/content/hoi-nghi-tong-ket-du-an-thi-iem-tuyen-chon-600-tri-thuc-tre-uu-tu-co-trinh-o-ai-hoc-tang-cuong-ve-lam-pho-chu-tich-uy-ban-nhan-dan-xa-thuoc-64-huyen-n/pop_up?_101_INSTANCE_aRIn3er4plGA_viewMode=print&amp;_101_INSTANCE_aRIn3er4plGA_languageId=vi_VN</v>
      </c>
      <c r="D3957" t="str">
        <v>-</v>
      </c>
      <c r="E3957" t="str">
        <v>-</v>
      </c>
      <c r="F3957" t="str">
        <v>-</v>
      </c>
      <c r="G3957" t="str">
        <v>-</v>
      </c>
    </row>
    <row r="3958">
      <c r="A3958">
        <v>3957</v>
      </c>
      <c r="B3958" t="str">
        <v>Công an xã Chiềng Khoang  tỉnh Sơn La</v>
      </c>
      <c r="C3958" t="str">
        <v>-</v>
      </c>
      <c r="D3958" t="str">
        <v>-</v>
      </c>
      <c r="E3958" t="str">
        <v/>
      </c>
      <c r="F3958" t="str">
        <v>-</v>
      </c>
      <c r="G3958" t="str">
        <v>-</v>
      </c>
    </row>
    <row r="3959">
      <c r="A3959">
        <v>3958</v>
      </c>
      <c r="B3959">
        <f>HYPERLINK("https://sonla.gov.vn/?pageid=27160&amp;p_steering=86820", "UBND Ủy ban nhân dân xã Chiềng Khoang  tỉnh Sơn La")</f>
      </c>
      <c r="C3959" t="str">
        <v>https://sonla.gov.vn/?pageid=27160&amp;p_steering=86820</v>
      </c>
      <c r="D3959" t="str">
        <v>-</v>
      </c>
      <c r="E3959" t="str">
        <v>-</v>
      </c>
      <c r="F3959" t="str">
        <v>-</v>
      </c>
      <c r="G3959" t="str">
        <v>-</v>
      </c>
    </row>
    <row r="3960">
      <c r="A3960">
        <v>3959</v>
      </c>
      <c r="B3960">
        <f>HYPERLINK("https://www.facebook.com/p/C%C3%B4ng-an-huy%E1%BB%87n-Thu%E1%BA%ADn-Ch%C3%A2u-t%E1%BB%89nh-S%C6%A1n-La-100064903382297/", "Công an thị trấn Thuận Châu  tỉnh Sơn La")</f>
      </c>
      <c r="C3960" t="str">
        <v>https://www.facebook.com/p/C%C3%B4ng-an-huy%E1%BB%87n-Thu%E1%BA%ADn-Ch%C3%A2u-t%E1%BB%89nh-S%C6%A1n-La-100064903382297/</v>
      </c>
      <c r="D3960" t="str">
        <v>-</v>
      </c>
      <c r="E3960" t="str">
        <v/>
      </c>
      <c r="F3960" t="str">
        <v>-</v>
      </c>
      <c r="G3960" t="str">
        <v>-</v>
      </c>
    </row>
    <row r="3961">
      <c r="A3961">
        <v>3960</v>
      </c>
      <c r="B3961">
        <f>HYPERLINK("https://thuanchau.sonla.gov.vn/", "UBND Ủy ban nhân dân thị trấn Thuận Châu  tỉnh Sơn La")</f>
      </c>
      <c r="C3961" t="str">
        <v>https://thuanchau.sonla.gov.vn/</v>
      </c>
      <c r="D3961" t="str">
        <v>-</v>
      </c>
      <c r="E3961" t="str">
        <v>-</v>
      </c>
      <c r="F3961" t="str">
        <v>-</v>
      </c>
      <c r="G3961" t="str">
        <v>-</v>
      </c>
    </row>
    <row r="3962">
      <c r="A3962">
        <v>3961</v>
      </c>
      <c r="B3962">
        <f>HYPERLINK("https://www.facebook.com/tuoitrecongansonla/", "Công an xã Phổng Lái  tỉnh Sơn La")</f>
      </c>
      <c r="C3962" t="str">
        <v>https://www.facebook.com/tuoitrecongansonla/</v>
      </c>
      <c r="D3962" t="str">
        <v>-</v>
      </c>
      <c r="E3962" t="str">
        <v/>
      </c>
      <c r="F3962" t="str">
        <v>-</v>
      </c>
      <c r="G3962" t="str">
        <v>-</v>
      </c>
    </row>
    <row r="3963">
      <c r="A3963">
        <v>3962</v>
      </c>
      <c r="B3963">
        <f>HYPERLINK("http://tansonnhi.tanphu.hochiminhcity.gov.vn/uy-ban-nhan-dan/phuong-tan-son-nhi-huong-ve-dong-bao-dan-toc-tay-bac-cmobile777-2295.aspx", "UBND Ủy ban nhân dân xã Phổng Lái  tỉnh Sơn La")</f>
      </c>
      <c r="C3963" t="str">
        <v>http://tansonnhi.tanphu.hochiminhcity.gov.vn/uy-ban-nhan-dan/phuong-tan-son-nhi-huong-ve-dong-bao-dan-toc-tay-bac-cmobile777-2295.aspx</v>
      </c>
      <c r="D3963" t="str">
        <v>-</v>
      </c>
      <c r="E3963" t="str">
        <v>-</v>
      </c>
      <c r="F3963" t="str">
        <v>-</v>
      </c>
      <c r="G3963" t="str">
        <v>-</v>
      </c>
    </row>
    <row r="3964">
      <c r="A3964">
        <v>3963</v>
      </c>
      <c r="B3964">
        <f>HYPERLINK("https://www.facebook.com/tuoitrecongansonla/", "Công an xã Mường é  tỉnh Sơn La")</f>
      </c>
      <c r="C3964" t="str">
        <v>https://www.facebook.com/tuoitrecongansonla/</v>
      </c>
      <c r="D3964" t="str">
        <v>-</v>
      </c>
      <c r="E3964" t="str">
        <v/>
      </c>
      <c r="F3964" t="str">
        <v>-</v>
      </c>
      <c r="G3964" t="str">
        <v>-</v>
      </c>
    </row>
    <row r="3965">
      <c r="A3965">
        <v>3964</v>
      </c>
      <c r="B3965">
        <f>HYPERLINK("https://sonla.gov.vn/Default.aspx?sid=4&amp;pageid=27160&amp;p_steering=68965", "UBND Ủy ban nhân dân xã Mường é  tỉnh Sơn La")</f>
      </c>
      <c r="C3965" t="str">
        <v>https://sonla.gov.vn/Default.aspx?sid=4&amp;pageid=27160&amp;p_steering=68965</v>
      </c>
      <c r="D3965" t="str">
        <v>-</v>
      </c>
      <c r="E3965" t="str">
        <v>-</v>
      </c>
      <c r="F3965" t="str">
        <v>-</v>
      </c>
      <c r="G3965" t="str">
        <v>-</v>
      </c>
    </row>
    <row r="3966">
      <c r="A3966">
        <v>3965</v>
      </c>
      <c r="B3966" t="str">
        <v>Công an xã Chiềng Pha  tỉnh Sơn La</v>
      </c>
      <c r="C3966" t="str">
        <v>-</v>
      </c>
      <c r="D3966" t="str">
        <v>-</v>
      </c>
      <c r="E3966" t="str">
        <v/>
      </c>
      <c r="F3966" t="str">
        <v>-</v>
      </c>
      <c r="G3966" t="str">
        <v>-</v>
      </c>
    </row>
    <row r="3967">
      <c r="A3967">
        <v>3966</v>
      </c>
      <c r="B3967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Chiềng Pha  tỉnh Sơn La")</f>
      </c>
      <c r="C3967" t="str">
        <v>https://sonoivu.sonla.gov.vn/Default.aspx?sid=1282&amp;pageid=30665&amp;catid=64562&amp;id=537895&amp;catname=thong-tin-tuyen-truyen&amp;title=quyet-dinh-dieu-chinh-phan-loai-don-vi-hanh-chinh-cac-xa-phuong-thi-tran-tren-dia-ban-tinh-son-l</v>
      </c>
      <c r="D3967" t="str">
        <v>-</v>
      </c>
      <c r="E3967" t="str">
        <v>-</v>
      </c>
      <c r="F3967" t="str">
        <v>-</v>
      </c>
      <c r="G3967" t="str">
        <v>-</v>
      </c>
    </row>
    <row r="3968">
      <c r="A3968">
        <v>3967</v>
      </c>
      <c r="B3968" t="str">
        <v>Công an xã Chiềng La  tỉnh Sơn La</v>
      </c>
      <c r="C3968" t="str">
        <v>-</v>
      </c>
      <c r="D3968" t="str">
        <v>-</v>
      </c>
      <c r="E3968" t="str">
        <v/>
      </c>
      <c r="F3968" t="str">
        <v>-</v>
      </c>
      <c r="G3968" t="str">
        <v>-</v>
      </c>
    </row>
    <row r="3969">
      <c r="A3969">
        <v>3968</v>
      </c>
      <c r="B3969">
        <f>HYPERLINK("http://chiengsonmocchau.sonla.gov.vn/index.php?module=tochuc&amp;act=view&amp;id=17", "UBND Ủy ban nhân dân xã Chiềng La  tỉnh Sơn La")</f>
      </c>
      <c r="C3969" t="str">
        <v>http://chiengsonmocchau.sonla.gov.vn/index.php?module=tochuc&amp;act=view&amp;id=17</v>
      </c>
      <c r="D3969" t="str">
        <v>-</v>
      </c>
      <c r="E3969" t="str">
        <v>-</v>
      </c>
      <c r="F3969" t="str">
        <v>-</v>
      </c>
      <c r="G3969" t="str">
        <v>-</v>
      </c>
    </row>
    <row r="3970">
      <c r="A3970">
        <v>3969</v>
      </c>
      <c r="B3970">
        <f>HYPERLINK("https://www.facebook.com/p/C%C3%B4ng-an-x%C3%A3-Chi%E1%BB%81ng-Ng%C3%A0m-100063216250467/?locale=eu_ES", "Công an xã Chiềng Ngàm  tỉnh Sơn La")</f>
      </c>
      <c r="C3970" t="str">
        <v>https://www.facebook.com/p/C%C3%B4ng-an-x%C3%A3-Chi%E1%BB%81ng-Ng%C3%A0m-100063216250467/?locale=eu_ES</v>
      </c>
      <c r="D3970" t="str">
        <v>-</v>
      </c>
      <c r="E3970" t="str">
        <v/>
      </c>
      <c r="F3970" t="str">
        <v>-</v>
      </c>
      <c r="G3970" t="str">
        <v>-</v>
      </c>
    </row>
    <row r="3971">
      <c r="A3971">
        <v>3970</v>
      </c>
      <c r="B3971">
        <f>HYPERLINK("https://dichvucong.gov.vn/p/home/dvc-tthc-co-quan-chi-tiet.html?id=369314", "UBND Ủy ban nhân dân xã Chiềng Ngàm  tỉnh Sơn La")</f>
      </c>
      <c r="C3971" t="str">
        <v>https://dichvucong.gov.vn/p/home/dvc-tthc-co-quan-chi-tiet.html?id=369314</v>
      </c>
      <c r="D3971" t="str">
        <v>-</v>
      </c>
      <c r="E3971" t="str">
        <v>-</v>
      </c>
      <c r="F3971" t="str">
        <v>-</v>
      </c>
      <c r="G3971" t="str">
        <v>-</v>
      </c>
    </row>
    <row r="3972">
      <c r="A3972">
        <v>3971</v>
      </c>
      <c r="B3972" t="str">
        <v>Công an xã Liệp Tè  tỉnh Sơn La</v>
      </c>
      <c r="C3972" t="str">
        <v>-</v>
      </c>
      <c r="D3972" t="str">
        <v>-</v>
      </c>
      <c r="E3972" t="str">
        <v/>
      </c>
      <c r="F3972" t="str">
        <v>-</v>
      </c>
      <c r="G3972" t="str">
        <v>-</v>
      </c>
    </row>
    <row r="3973">
      <c r="A3973">
        <v>3972</v>
      </c>
      <c r="B3973">
        <f>HYPERLINK("https://sonla.gov.vn/tin-chinh-tri/dong-chi-truong-ban-tuyen-giao-tinh-uy-du-sinh-hoat-chi-bo-ban-hien-xa-liep-te-huyen-thuan-chau-761528", "UBND Ủy ban nhân dân xã Liệp Tè  tỉnh Sơn La")</f>
      </c>
      <c r="C3973" t="str">
        <v>https://sonla.gov.vn/tin-chinh-tri/dong-chi-truong-ban-tuyen-giao-tinh-uy-du-sinh-hoat-chi-bo-ban-hien-xa-liep-te-huyen-thuan-chau-761528</v>
      </c>
      <c r="D3973" t="str">
        <v>-</v>
      </c>
      <c r="E3973" t="str">
        <v>-</v>
      </c>
      <c r="F3973" t="str">
        <v>-</v>
      </c>
      <c r="G3973" t="str">
        <v>-</v>
      </c>
    </row>
    <row r="3974">
      <c r="A3974">
        <v>3973</v>
      </c>
      <c r="B3974">
        <f>HYPERLINK("https://www.facebook.com/p/C%C3%B4ng-an-x%C3%A3-%C3%89-T%C3%B2ng-100076076161585/?locale=fr_FR", "Công an xã é Tòng  tỉnh Sơn La")</f>
      </c>
      <c r="C3974" t="str">
        <v>https://www.facebook.com/p/C%C3%B4ng-an-x%C3%A3-%C3%89-T%C3%B2ng-100076076161585/?locale=fr_FR</v>
      </c>
      <c r="D3974" t="str">
        <v>-</v>
      </c>
      <c r="E3974" t="str">
        <v/>
      </c>
      <c r="F3974" t="str">
        <v>-</v>
      </c>
      <c r="G3974" t="str">
        <v>-</v>
      </c>
    </row>
    <row r="3975">
      <c r="A3975">
        <v>3974</v>
      </c>
      <c r="B3975">
        <f>HYPERLINK("https://congbao.sonla.gov.vn/congbao.nsf/3AAC65CFC3E5D1F547258BBE0031D1EB/$file/QD%202174.pdf", "UBND Ủy ban nhân dân xã é Tòng  tỉnh Sơn La")</f>
      </c>
      <c r="C3975" t="str">
        <v>https://congbao.sonla.gov.vn/congbao.nsf/3AAC65CFC3E5D1F547258BBE0031D1EB/$file/QD%202174.pdf</v>
      </c>
      <c r="D3975" t="str">
        <v>-</v>
      </c>
      <c r="E3975" t="str">
        <v>-</v>
      </c>
      <c r="F3975" t="str">
        <v>-</v>
      </c>
      <c r="G3975" t="str">
        <v>-</v>
      </c>
    </row>
    <row r="3976">
      <c r="A3976">
        <v>3975</v>
      </c>
      <c r="B3976">
        <f>HYPERLINK("https://www.facebook.com/tuoitrecongansonla/", "Công an xã Phổng Lập  tỉnh Sơn La")</f>
      </c>
      <c r="C3976" t="str">
        <v>https://www.facebook.com/tuoitrecongansonla/</v>
      </c>
      <c r="D3976" t="str">
        <v>-</v>
      </c>
      <c r="E3976" t="str">
        <v/>
      </c>
      <c r="F3976" t="str">
        <v>-</v>
      </c>
      <c r="G3976" t="str">
        <v>-</v>
      </c>
    </row>
    <row r="3977">
      <c r="A3977">
        <v>3976</v>
      </c>
      <c r="B3977">
        <f>HYPERLINK("https://sonla.gov.vn/tin-van-ban", "UBND Ủy ban nhân dân xã Phổng Lập  tỉnh Sơn La")</f>
      </c>
      <c r="C3977" t="str">
        <v>https://sonla.gov.vn/tin-van-ban</v>
      </c>
      <c r="D3977" t="str">
        <v>-</v>
      </c>
      <c r="E3977" t="str">
        <v>-</v>
      </c>
      <c r="F3977" t="str">
        <v>-</v>
      </c>
      <c r="G3977" t="str">
        <v>-</v>
      </c>
    </row>
    <row r="3978">
      <c r="A3978">
        <v>3977</v>
      </c>
      <c r="B3978" t="str">
        <v>Công an xã Phổng Lăng  tỉnh Sơn La</v>
      </c>
      <c r="C3978" t="str">
        <v>-</v>
      </c>
      <c r="D3978" t="str">
        <v>-</v>
      </c>
      <c r="E3978" t="str">
        <v/>
      </c>
      <c r="F3978" t="str">
        <v>-</v>
      </c>
      <c r="G3978" t="str">
        <v>-</v>
      </c>
    </row>
    <row r="3979">
      <c r="A3979">
        <v>3978</v>
      </c>
      <c r="B3979">
        <f>HYPERLINK("https://langson.gov.vn/", "UBND Ủy ban nhân dân xã Phổng Lăng  tỉnh Sơn La")</f>
      </c>
      <c r="C3979" t="str">
        <v>https://langson.gov.vn/</v>
      </c>
      <c r="D3979" t="str">
        <v>-</v>
      </c>
      <c r="E3979" t="str">
        <v>-</v>
      </c>
      <c r="F3979" t="str">
        <v>-</v>
      </c>
      <c r="G3979" t="str">
        <v>-</v>
      </c>
    </row>
    <row r="3980">
      <c r="A3980">
        <v>3979</v>
      </c>
      <c r="B3980" t="str">
        <v>Công an xã Chiềng Ly  tỉnh Sơn La</v>
      </c>
      <c r="C3980" t="str">
        <v>-</v>
      </c>
      <c r="D3980" t="str">
        <v>-</v>
      </c>
      <c r="E3980" t="str">
        <v/>
      </c>
      <c r="F3980" t="str">
        <v>-</v>
      </c>
      <c r="G3980" t="str">
        <v>-</v>
      </c>
    </row>
    <row r="3981">
      <c r="A3981">
        <v>3980</v>
      </c>
      <c r="B3981">
        <f>HYPERLINK("https://mocchau.sonla.gov.vn/thong-tin-chi-dao-dieu-hanh/tb-xa-chieng-son-du-dieu-kien-de-nghi-ubnd-tinh-son-la-482771", "UBND Ủy ban nhân dân xã Chiềng Ly  tỉnh Sơn La")</f>
      </c>
      <c r="C3981" t="str">
        <v>https://mocchau.sonla.gov.vn/thong-tin-chi-dao-dieu-hanh/tb-xa-chieng-son-du-dieu-kien-de-nghi-ubnd-tinh-son-la-482771</v>
      </c>
      <c r="D3981" t="str">
        <v>-</v>
      </c>
      <c r="E3981" t="str">
        <v>-</v>
      </c>
      <c r="F3981" t="str">
        <v>-</v>
      </c>
      <c r="G3981" t="str">
        <v>-</v>
      </c>
    </row>
    <row r="3982">
      <c r="A3982">
        <v>3981</v>
      </c>
      <c r="B3982">
        <f>HYPERLINK("https://www.facebook.com/tuoitrecongansonla/", "Công an xã Noong Lay  tỉnh Sơn La")</f>
      </c>
      <c r="C3982" t="str">
        <v>https://www.facebook.com/tuoitrecongansonla/</v>
      </c>
      <c r="D3982" t="str">
        <v>-</v>
      </c>
      <c r="E3982" t="str">
        <v/>
      </c>
      <c r="F3982" t="str">
        <v>-</v>
      </c>
      <c r="G3982" t="str">
        <v>-</v>
      </c>
    </row>
    <row r="3983">
      <c r="A3983">
        <v>3982</v>
      </c>
      <c r="B3983">
        <f>HYPERLINK("https://nongson.quangnam.gov.vn/webcenter/portal/nongson", "UBND Ủy ban nhân dân xã Noong Lay  tỉnh Sơn La")</f>
      </c>
      <c r="C3983" t="str">
        <v>https://nongson.quangnam.gov.vn/webcenter/portal/nongson</v>
      </c>
      <c r="D3983" t="str">
        <v>-</v>
      </c>
      <c r="E3983" t="str">
        <v>-</v>
      </c>
      <c r="F3983" t="str">
        <v>-</v>
      </c>
      <c r="G3983" t="str">
        <v>-</v>
      </c>
    </row>
    <row r="3984">
      <c r="A3984">
        <v>3983</v>
      </c>
      <c r="B3984">
        <f>HYPERLINK("https://www.facebook.com/conganxamuongkhieng/", "Công an xã Mường Khiêng  tỉnh Sơn La")</f>
      </c>
      <c r="C3984" t="str">
        <v>https://www.facebook.com/conganxamuongkhieng/</v>
      </c>
      <c r="D3984" t="str">
        <v>-</v>
      </c>
      <c r="E3984" t="str">
        <v/>
      </c>
      <c r="F3984" t="str">
        <v>-</v>
      </c>
      <c r="G3984" t="str">
        <v>-</v>
      </c>
    </row>
    <row r="3985">
      <c r="A3985">
        <v>3984</v>
      </c>
      <c r="B3985">
        <f>HYPERLINK("https://sonla.gov.vn/thong-tin-hoat-dong-73260/chung-tay-ho-tro-khac-phuc-thien-tai-tai-ban-phe-hang-xa-muong-khieng-huyen-thuan-chau-tinh-son--718350", "UBND Ủy ban nhân dân xã Mường Khiêng  tỉnh Sơn La")</f>
      </c>
      <c r="C3985" t="str">
        <v>https://sonla.gov.vn/thong-tin-hoat-dong-73260/chung-tay-ho-tro-khac-phuc-thien-tai-tai-ban-phe-hang-xa-muong-khieng-huyen-thuan-chau-tinh-son--718350</v>
      </c>
      <c r="D3985" t="str">
        <v>-</v>
      </c>
      <c r="E3985" t="str">
        <v>-</v>
      </c>
      <c r="F3985" t="str">
        <v>-</v>
      </c>
      <c r="G3985" t="str">
        <v>-</v>
      </c>
    </row>
    <row r="3986">
      <c r="A3986">
        <v>3985</v>
      </c>
      <c r="B3986">
        <f>HYPERLINK("https://www.facebook.com/tuoitrecongansonla/", "Công an xã Mường Bám  tỉnh Sơn La")</f>
      </c>
      <c r="C3986" t="str">
        <v>https://www.facebook.com/tuoitrecongansonla/</v>
      </c>
      <c r="D3986" t="str">
        <v>-</v>
      </c>
      <c r="E3986" t="str">
        <v/>
      </c>
      <c r="F3986" t="str">
        <v>-</v>
      </c>
      <c r="G3986" t="str">
        <v>-</v>
      </c>
    </row>
    <row r="3987">
      <c r="A3987">
        <v>3986</v>
      </c>
      <c r="B3987">
        <f>HYPERLINK("https://muongnoc.quephong.nghean.gov.vn/", "UBND Ủy ban nhân dân xã Mường Bám  tỉnh Sơn La")</f>
      </c>
      <c r="C3987" t="str">
        <v>https://muongnoc.quephong.nghean.gov.vn/</v>
      </c>
      <c r="D3987" t="str">
        <v>-</v>
      </c>
      <c r="E3987" t="str">
        <v>-</v>
      </c>
      <c r="F3987" t="str">
        <v>-</v>
      </c>
      <c r="G3987" t="str">
        <v>-</v>
      </c>
    </row>
    <row r="3988">
      <c r="A3988">
        <v>3987</v>
      </c>
      <c r="B3988">
        <f>HYPERLINK("https://www.facebook.com/p/C%C3%B4ng-an-x%C3%A3-Long-H%E1%BA%B9-100083108713200/", "Công an xã Long Hẹ  tỉnh Sơn La")</f>
      </c>
      <c r="C3988" t="str">
        <v>https://www.facebook.com/p/C%C3%B4ng-an-x%C3%A3-Long-H%E1%BA%B9-100083108713200/</v>
      </c>
      <c r="D3988" t="str">
        <v>-</v>
      </c>
      <c r="E3988" t="str">
        <v/>
      </c>
      <c r="F3988" t="str">
        <v>-</v>
      </c>
      <c r="G3988" t="str">
        <v>-</v>
      </c>
    </row>
    <row r="3989">
      <c r="A3989">
        <v>3988</v>
      </c>
      <c r="B3989">
        <f>HYPERLINK("https://sonla.gov.vn/4/469/61715/478330/hoi-dong-nhan-dan-tinh/danh-sach-thuong-truc-hdnd-tinh-son-la-khoa-xiv-nhiem-ky-2016-2021", "UBND Ủy ban nhân dân xã Long Hẹ  tỉnh Sơn La")</f>
      </c>
      <c r="C3989" t="str">
        <v>https://sonla.gov.vn/4/469/61715/478330/hoi-dong-nhan-dan-tinh/danh-sach-thuong-truc-hdnd-tinh-son-la-khoa-xiv-nhiem-ky-2016-2021</v>
      </c>
      <c r="D3989" t="str">
        <v>-</v>
      </c>
      <c r="E3989" t="str">
        <v>-</v>
      </c>
      <c r="F3989" t="str">
        <v>-</v>
      </c>
      <c r="G3989" t="str">
        <v>-</v>
      </c>
    </row>
    <row r="3990">
      <c r="A3990">
        <v>3989</v>
      </c>
      <c r="B3990">
        <f>HYPERLINK("https://www.facebook.com/p/C%C3%B4ng-an-x%C3%A3-Chi%E1%BB%81ng-B%C3%B4m-100070855406051/", "Công an xã Chiềng Bôm  tỉnh Sơn La")</f>
      </c>
      <c r="C3990" t="str">
        <v>https://www.facebook.com/p/C%C3%B4ng-an-x%C3%A3-Chi%E1%BB%81ng-B%C3%B4m-100070855406051/</v>
      </c>
      <c r="D3990" t="str">
        <v>-</v>
      </c>
      <c r="E3990" t="str">
        <v/>
      </c>
      <c r="F3990" t="str">
        <v>-</v>
      </c>
      <c r="G3990" t="str">
        <v>-</v>
      </c>
    </row>
    <row r="3991">
      <c r="A3991">
        <v>3990</v>
      </c>
      <c r="B3991">
        <f>HYPERLINK("https://chiengco.thanhpho.sonla.gov.vn/", "UBND Ủy ban nhân dân xã Chiềng Bôm  tỉnh Sơn La")</f>
      </c>
      <c r="C3991" t="str">
        <v>https://chiengco.thanhpho.sonla.gov.vn/</v>
      </c>
      <c r="D3991" t="str">
        <v>-</v>
      </c>
      <c r="E3991" t="str">
        <v>-</v>
      </c>
      <c r="F3991" t="str">
        <v>-</v>
      </c>
      <c r="G3991" t="str">
        <v>-</v>
      </c>
    </row>
    <row r="3992">
      <c r="A3992">
        <v>3991</v>
      </c>
      <c r="B3992">
        <f>HYPERLINK("https://www.facebook.com/tuoitrecongansonla/", "Công an xã Thôm Mòn  tỉnh Sơn La")</f>
      </c>
      <c r="C3992" t="str">
        <v>https://www.facebook.com/tuoitrecongansonla/</v>
      </c>
      <c r="D3992" t="str">
        <v>-</v>
      </c>
      <c r="E3992" t="str">
        <v/>
      </c>
      <c r="F3992" t="str">
        <v>-</v>
      </c>
      <c r="G3992" t="str">
        <v>-</v>
      </c>
    </row>
    <row r="3993">
      <c r="A3993">
        <v>3992</v>
      </c>
      <c r="B3993">
        <f>HYPERLINK("https://sonla.gov.vn/4/469/61715/478330/hoi-dong-nhan-dan-tinh/danh-sach-thuong-truc-hdnd-tinh-son-la-khoa-xiv-nhiem-ky-2016-2021", "UBND Ủy ban nhân dân xã Thôm Mòn  tỉnh Sơn La")</f>
      </c>
      <c r="C3993" t="str">
        <v>https://sonla.gov.vn/4/469/61715/478330/hoi-dong-nhan-dan-tinh/danh-sach-thuong-truc-hdnd-tinh-son-la-khoa-xiv-nhiem-ky-2016-2021</v>
      </c>
      <c r="D3993" t="str">
        <v>-</v>
      </c>
      <c r="E3993" t="str">
        <v>-</v>
      </c>
      <c r="F3993" t="str">
        <v>-</v>
      </c>
      <c r="G3993" t="str">
        <v>-</v>
      </c>
    </row>
    <row r="3994">
      <c r="A3994">
        <v>3993</v>
      </c>
      <c r="B3994" t="str">
        <v>Công an xã Tông Lạnh  tỉnh Sơn La</v>
      </c>
      <c r="C3994" t="str">
        <v>-</v>
      </c>
      <c r="D3994" t="str">
        <v>-</v>
      </c>
      <c r="E3994" t="str">
        <v/>
      </c>
      <c r="F3994" t="str">
        <v>-</v>
      </c>
      <c r="G3994" t="str">
        <v>-</v>
      </c>
    </row>
    <row r="3995">
      <c r="A3995">
        <v>3994</v>
      </c>
      <c r="B3995">
        <f>HYPERLINK("https://congbao.sonla.gov.vn/congbao.nsf/6E68F6D2C36B6DFF47257EC700335D7D/$file/QD%20so%202048.doc", "UBND Ủy ban nhân dân xã Tông Lạnh  tỉnh Sơn La")</f>
      </c>
      <c r="C3995" t="str">
        <v>https://congbao.sonla.gov.vn/congbao.nsf/6E68F6D2C36B6DFF47257EC700335D7D/$file/QD%20so%202048.doc</v>
      </c>
      <c r="D3995" t="str">
        <v>-</v>
      </c>
      <c r="E3995" t="str">
        <v>-</v>
      </c>
      <c r="F3995" t="str">
        <v>-</v>
      </c>
      <c r="G3995" t="str">
        <v>-</v>
      </c>
    </row>
    <row r="3996">
      <c r="A3996">
        <v>3995</v>
      </c>
      <c r="B3996">
        <f>HYPERLINK("https://www.facebook.com/tuoitrecongansonla/", "Công an xã Tông Cọ  tỉnh Sơn La")</f>
      </c>
      <c r="C3996" t="str">
        <v>https://www.facebook.com/tuoitrecongansonla/</v>
      </c>
      <c r="D3996" t="str">
        <v>-</v>
      </c>
      <c r="E3996" t="str">
        <v/>
      </c>
      <c r="F3996" t="str">
        <v>-</v>
      </c>
      <c r="G3996" t="str">
        <v>-</v>
      </c>
    </row>
    <row r="3997">
      <c r="A3997">
        <v>3996</v>
      </c>
      <c r="B3997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Tông Cọ  tỉnh Sơn La")</f>
      </c>
      <c r="C3997" t="str">
        <v>https://sonoivu.sonla.gov.vn/Default.aspx?sid=1282&amp;pageid=30665&amp;catid=64562&amp;id=537895&amp;catname=thong-tin-tuyen-truyen&amp;title=quyet-dinh-dieu-chinh-phan-loai-don-vi-hanh-chinh-cac-xa-phuong-thi-tran-tren-dia-ban-tinh-son-l</v>
      </c>
      <c r="D3997" t="str">
        <v>-</v>
      </c>
      <c r="E3997" t="str">
        <v>-</v>
      </c>
      <c r="F3997" t="str">
        <v>-</v>
      </c>
      <c r="G3997" t="str">
        <v>-</v>
      </c>
    </row>
    <row r="3998">
      <c r="A3998">
        <v>3997</v>
      </c>
      <c r="B3998">
        <f>HYPERLINK("https://www.facebook.com/p/C%C3%B4ng-an-x%C3%A3-B%C3%B3-M%C6%B0%E1%BB%9Di-huy%E1%BB%87n-Thu%E1%BA%ADn-Ch%C3%A2u-t%E1%BB%89nh-S%C6%A1n-La-100080279806332/", "Công an xã Bó Mười  tỉnh Sơn La")</f>
      </c>
      <c r="C3998" t="str">
        <v>https://www.facebook.com/p/C%C3%B4ng-an-x%C3%A3-B%C3%B3-M%C6%B0%E1%BB%9Di-huy%E1%BB%87n-Thu%E1%BA%ADn-Ch%C3%A2u-t%E1%BB%89nh-S%C6%A1n-La-100080279806332/</v>
      </c>
      <c r="D3998" t="str">
        <v>-</v>
      </c>
      <c r="E3998" t="str">
        <v/>
      </c>
      <c r="F3998" t="str">
        <v>-</v>
      </c>
      <c r="G3998" t="str">
        <v>-</v>
      </c>
    </row>
    <row r="3999">
      <c r="A3999">
        <v>3998</v>
      </c>
      <c r="B3999">
        <f>HYPERLINK("https://congbao.sonla.gov.vn/congbao.nsf/3AD7270D77081CEB4725856E0036043D/$file/QD%20so%20996.pdf", "UBND Ủy ban nhân dân xã Bó Mười  tỉnh Sơn La")</f>
      </c>
      <c r="C3999" t="str">
        <v>https://congbao.sonla.gov.vn/congbao.nsf/3AD7270D77081CEB4725856E0036043D/$file/QD%20so%20996.pdf</v>
      </c>
      <c r="D3999" t="str">
        <v>-</v>
      </c>
      <c r="E3999" t="str">
        <v>-</v>
      </c>
      <c r="F3999" t="str">
        <v>-</v>
      </c>
      <c r="G3999" t="str">
        <v>-</v>
      </c>
    </row>
    <row r="4000">
      <c r="A4000">
        <v>3999</v>
      </c>
      <c r="B4000">
        <f>HYPERLINK("https://www.facebook.com/tuoitrecongansonla/", "Công an xã Co Mạ  tỉnh Sơn La")</f>
      </c>
      <c r="C4000" t="str">
        <v>https://www.facebook.com/tuoitrecongansonla/</v>
      </c>
      <c r="D4000" t="str">
        <v>-</v>
      </c>
      <c r="E4000" t="str">
        <v/>
      </c>
      <c r="F4000" t="str">
        <v>-</v>
      </c>
      <c r="G4000" t="str">
        <v>-</v>
      </c>
    </row>
    <row r="4001">
      <c r="A4001">
        <v>4000</v>
      </c>
      <c r="B4001">
        <f>HYPERLINK("https://sonla.gov.vn/van-ban-61751/ke-hoach-trien-khai-phong-trao-thi-dua-toan-dan-tham-gia-phong-chong-ma-tuy-tren-dia-ban-tinh-so-664820", "UBND Ủy ban nhân dân xã Co Mạ  tỉnh Sơn La")</f>
      </c>
      <c r="C4001" t="str">
        <v>https://sonla.gov.vn/van-ban-61751/ke-hoach-trien-khai-phong-trao-thi-dua-toan-dan-tham-gia-phong-chong-ma-tuy-tren-dia-ban-tinh-so-664820</v>
      </c>
      <c r="D4001" t="str">
        <v>-</v>
      </c>
      <c r="E4001" t="str">
        <v>-</v>
      </c>
      <c r="F4001" t="str">
        <v>-</v>
      </c>
      <c r="G4001" t="str">
        <v>-</v>
      </c>
    </row>
    <row r="4002">
      <c r="A4002">
        <v>4001</v>
      </c>
      <c r="B4002" t="str">
        <v>Công an xã Púng Tra  tỉnh Sơn La</v>
      </c>
      <c r="C4002" t="str">
        <v>-</v>
      </c>
      <c r="D4002" t="str">
        <v>-</v>
      </c>
      <c r="E4002" t="str">
        <v/>
      </c>
      <c r="F4002" t="str">
        <v>-</v>
      </c>
      <c r="G4002" t="str">
        <v>-</v>
      </c>
    </row>
    <row r="4003">
      <c r="A4003">
        <v>4002</v>
      </c>
      <c r="B4003">
        <f>HYPERLINK("https://sopcop.sonla.gov.vn/hoi-dap", "UBND Ủy ban nhân dân xã Púng Tra  tỉnh Sơn La")</f>
      </c>
      <c r="C4003" t="str">
        <v>https://sopcop.sonla.gov.vn/hoi-dap</v>
      </c>
      <c r="D4003" t="str">
        <v>-</v>
      </c>
      <c r="E4003" t="str">
        <v>-</v>
      </c>
      <c r="F4003" t="str">
        <v>-</v>
      </c>
      <c r="G4003" t="str">
        <v>-</v>
      </c>
    </row>
    <row r="4004">
      <c r="A4004">
        <v>4003</v>
      </c>
      <c r="B4004" t="str">
        <v>Công an xã Chiềng Pấc  tỉnh Sơn La</v>
      </c>
      <c r="C4004" t="str">
        <v>-</v>
      </c>
      <c r="D4004" t="str">
        <v>-</v>
      </c>
      <c r="E4004" t="str">
        <v/>
      </c>
      <c r="F4004" t="str">
        <v>-</v>
      </c>
      <c r="G4004" t="str">
        <v>-</v>
      </c>
    </row>
    <row r="4005">
      <c r="A4005">
        <v>4004</v>
      </c>
      <c r="B4005">
        <f>HYPERLINK("https://sonla.gov.vn/tin-van-hoa-xa-hoi/chung-tay-xoa-nha-tam-cho-gia-dinh-co-hoan-canh-dac-biet-kho-khan-tai-xa-chieng-pac-huyen-thuan--719567", "UBND Ủy ban nhân dân xã Chiềng Pấc  tỉnh Sơn La")</f>
      </c>
      <c r="C4005" t="str">
        <v>https://sonla.gov.vn/tin-van-hoa-xa-hoi/chung-tay-xoa-nha-tam-cho-gia-dinh-co-hoan-canh-dac-biet-kho-khan-tai-xa-chieng-pac-huyen-thuan--719567</v>
      </c>
      <c r="D4005" t="str">
        <v>-</v>
      </c>
      <c r="E4005" t="str">
        <v>-</v>
      </c>
      <c r="F4005" t="str">
        <v>-</v>
      </c>
      <c r="G4005" t="str">
        <v>-</v>
      </c>
    </row>
    <row r="4006">
      <c r="A4006">
        <v>4005</v>
      </c>
      <c r="B4006">
        <f>HYPERLINK("https://www.facebook.com/luongchien246/?locale=vi_VN", "Công an xã Nậm Lầu  tỉnh Sơn La")</f>
      </c>
      <c r="C4006" t="str">
        <v>https://www.facebook.com/luongchien246/?locale=vi_VN</v>
      </c>
      <c r="D4006" t="str">
        <v>-</v>
      </c>
      <c r="E4006" t="str">
        <v/>
      </c>
      <c r="F4006" t="str">
        <v>-</v>
      </c>
      <c r="G4006" t="str">
        <v>-</v>
      </c>
    </row>
    <row r="4007">
      <c r="A4007">
        <v>4006</v>
      </c>
      <c r="B4007">
        <f>HYPERLINK("http://tansonnhi.tanphu.hochiminhcity.gov.vn/uy-ban-nhan-dan/phuong-tan-son-nhi-huong-ve-dong-bao-dan-toc-tay-bac-cmobile777-2295.aspx", "UBND Ủy ban nhân dân xã Nậm Lầu  tỉnh Sơn La")</f>
      </c>
      <c r="C4007" t="str">
        <v>http://tansonnhi.tanphu.hochiminhcity.gov.vn/uy-ban-nhan-dan/phuong-tan-son-nhi-huong-ve-dong-bao-dan-toc-tay-bac-cmobile777-2295.aspx</v>
      </c>
      <c r="D4007" t="str">
        <v>-</v>
      </c>
      <c r="E4007" t="str">
        <v>-</v>
      </c>
      <c r="F4007" t="str">
        <v>-</v>
      </c>
      <c r="G4007" t="str">
        <v>-</v>
      </c>
    </row>
    <row r="4008">
      <c r="A4008">
        <v>4007</v>
      </c>
      <c r="B4008">
        <f>HYPERLINK("https://www.facebook.com/CAXBONPHANG/", "Công an xã Bon Phặng  tỉnh Sơn La")</f>
      </c>
      <c r="C4008" t="str">
        <v>https://www.facebook.com/CAXBONPHANG/</v>
      </c>
      <c r="D4008" t="str">
        <v>-</v>
      </c>
      <c r="E4008" t="str">
        <v/>
      </c>
      <c r="F4008" t="str">
        <v>-</v>
      </c>
      <c r="G4008" t="str">
        <v>-</v>
      </c>
    </row>
    <row r="4009">
      <c r="A4009">
        <v>4008</v>
      </c>
      <c r="B4009">
        <f>HYPERLINK("https://sonla.gov.vn/hoi-dong-nhan-dan-tinh/danh-sach-dai-bieu-hdnd-tinh-nhiem-ky-2011-2016-tai-huyen-thuan-chau-464536", "UBND Ủy ban nhân dân xã Bon Phặng  tỉnh Sơn La")</f>
      </c>
      <c r="C4009" t="str">
        <v>https://sonla.gov.vn/hoi-dong-nhan-dan-tinh/danh-sach-dai-bieu-hdnd-tinh-nhiem-ky-2011-2016-tai-huyen-thuan-chau-464536</v>
      </c>
      <c r="D4009" t="str">
        <v>-</v>
      </c>
      <c r="E4009" t="str">
        <v>-</v>
      </c>
      <c r="F4009" t="str">
        <v>-</v>
      </c>
      <c r="G4009" t="str">
        <v>-</v>
      </c>
    </row>
    <row r="4010">
      <c r="A4010">
        <v>4009</v>
      </c>
      <c r="B4010">
        <f>HYPERLINK("https://www.facebook.com/tuoitrecongansonla/", "Công an xã Co Tòng  tỉnh Sơn La")</f>
      </c>
      <c r="C4010" t="str">
        <v>https://www.facebook.com/tuoitrecongansonla/</v>
      </c>
      <c r="D4010" t="str">
        <v>-</v>
      </c>
      <c r="E4010" t="str">
        <v/>
      </c>
      <c r="F4010" t="str">
        <v>-</v>
      </c>
      <c r="G4010" t="str">
        <v>-</v>
      </c>
    </row>
    <row r="4011">
      <c r="A4011">
        <v>4010</v>
      </c>
      <c r="B4011">
        <f>HYPERLINK("https://tamdao.vinhphuc.gov.vn/ct/cms/hethongchinhtri/uybanhuyen/Lists/xathitran/View_Detail.aspx?ItemID=27", "UBND Ủy ban nhân dân xã Co Tòng  tỉnh Sơn La")</f>
      </c>
      <c r="C4011" t="str">
        <v>https://tamdao.vinhphuc.gov.vn/ct/cms/hethongchinhtri/uybanhuyen/Lists/xathitran/View_Detail.aspx?ItemID=27</v>
      </c>
      <c r="D4011" t="str">
        <v>-</v>
      </c>
      <c r="E4011" t="str">
        <v>-</v>
      </c>
      <c r="F4011" t="str">
        <v>-</v>
      </c>
      <c r="G4011" t="str">
        <v>-</v>
      </c>
    </row>
    <row r="4012">
      <c r="A4012">
        <v>4011</v>
      </c>
      <c r="B4012">
        <f>HYPERLINK("https://www.facebook.com/100066315203520", "Công an xã Muổi Nọi  tỉnh Sơn La")</f>
      </c>
      <c r="C4012" t="str">
        <v>https://www.facebook.com/100066315203520</v>
      </c>
      <c r="D4012" t="str">
        <v>-</v>
      </c>
      <c r="E4012" t="str">
        <v/>
      </c>
      <c r="F4012" t="str">
        <v>-</v>
      </c>
      <c r="G4012" t="str">
        <v>-</v>
      </c>
    </row>
    <row r="4013">
      <c r="A4013">
        <v>4012</v>
      </c>
      <c r="B4013">
        <f>HYPERLINK("http://cosodieutringhienmatuysonla.gov.vn/Bai-viet/Tang-qua-ubnd-xa-muoi-noi-huyen-thuan-chau-1328", "UBND Ủy ban nhân dân xã Muổi Nọi  tỉnh Sơn La")</f>
      </c>
      <c r="C4013" t="str">
        <v>http://cosodieutringhienmatuysonla.gov.vn/Bai-viet/Tang-qua-ubnd-xa-muoi-noi-huyen-thuan-chau-1328</v>
      </c>
      <c r="D4013" t="str">
        <v>-</v>
      </c>
      <c r="E4013" t="str">
        <v>-</v>
      </c>
      <c r="F4013" t="str">
        <v>-</v>
      </c>
      <c r="G4013" t="str">
        <v>-</v>
      </c>
    </row>
    <row r="4014">
      <c r="A4014">
        <v>4013</v>
      </c>
      <c r="B4014">
        <f>HYPERLINK("https://www.facebook.com/tuoitrecongansonla/", "Công an xã Pá Lông  tỉnh Sơn La")</f>
      </c>
      <c r="C4014" t="str">
        <v>https://www.facebook.com/tuoitrecongansonla/</v>
      </c>
      <c r="D4014" t="str">
        <v>-</v>
      </c>
      <c r="E4014" t="str">
        <v/>
      </c>
      <c r="F4014" t="str">
        <v>-</v>
      </c>
      <c r="G4014" t="str">
        <v>-</v>
      </c>
    </row>
    <row r="4015">
      <c r="A4015">
        <v>4014</v>
      </c>
      <c r="B4015">
        <f>HYPERLINK("https://sonla.gov.vn/tin-chinh-tri/dong-chi-bi-thu-huyen-uy-trao-huy-hieu-dang-60-nam-tai-xa-pa-long-769013", "UBND Ủy ban nhân dân xã Pá Lông  tỉnh Sơn La")</f>
      </c>
      <c r="C4015" t="str">
        <v>https://sonla.gov.vn/tin-chinh-tri/dong-chi-bi-thu-huyen-uy-trao-huy-hieu-dang-60-nam-tai-xa-pa-long-769013</v>
      </c>
      <c r="D4015" t="str">
        <v>-</v>
      </c>
      <c r="E4015" t="str">
        <v>-</v>
      </c>
      <c r="F4015" t="str">
        <v>-</v>
      </c>
      <c r="G4015" t="str">
        <v>-</v>
      </c>
    </row>
    <row r="4016">
      <c r="A4016">
        <v>4015</v>
      </c>
      <c r="B4016">
        <f>HYPERLINK("https://www.facebook.com/tuoitrecongansonla/", "Công an xã Bản Lầm  tỉnh Sơn La")</f>
      </c>
      <c r="C4016" t="str">
        <v>https://www.facebook.com/tuoitrecongansonla/</v>
      </c>
      <c r="D4016" t="str">
        <v>-</v>
      </c>
      <c r="E4016" t="str">
        <v/>
      </c>
      <c r="F4016" t="str">
        <v>-</v>
      </c>
      <c r="G4016" t="str">
        <v>-</v>
      </c>
    </row>
    <row r="4017">
      <c r="A4017">
        <v>4016</v>
      </c>
      <c r="B4017">
        <f>HYPERLINK("https://sonla.gov.vn/tin-van-hoa-xa-hoi/dong-chi-truong-ban-tuyen-giao-tinh-uy-trao-tang-huy-hieu-60-nam-tuoi-dang-tai-huyen-thuan-chau--710023", "UBND Ủy ban nhân dân xã Bản Lầm  tỉnh Sơn La")</f>
      </c>
      <c r="C4017" t="str">
        <v>https://sonla.gov.vn/tin-van-hoa-xa-hoi/dong-chi-truong-ban-tuyen-giao-tinh-uy-trao-tang-huy-hieu-60-nam-tuoi-dang-tai-huyen-thuan-chau--710023</v>
      </c>
      <c r="D4017" t="str">
        <v>-</v>
      </c>
      <c r="E4017" t="str">
        <v>-</v>
      </c>
      <c r="F4017" t="str">
        <v>-</v>
      </c>
      <c r="G4017" t="str">
        <v>-</v>
      </c>
    </row>
    <row r="4018">
      <c r="A4018">
        <v>4017</v>
      </c>
      <c r="B4018">
        <f>HYPERLINK("https://www.facebook.com/p/C%C3%B4ng-An-Th%E1%BB%8B-Tr%E1%BA%A5n-%C3%8Dt-Ong-100067801098096/", "Công an thị trấn Ít Ong  tỉnh Sơn La")</f>
      </c>
      <c r="C4018" t="str">
        <v>https://www.facebook.com/p/C%C3%B4ng-An-Th%E1%BB%8B-Tr%E1%BA%A5n-%C3%8Dt-Ong-100067801098096/</v>
      </c>
      <c r="D4018" t="str">
        <v>-</v>
      </c>
      <c r="E4018" t="str">
        <v/>
      </c>
      <c r="F4018" t="str">
        <v>-</v>
      </c>
      <c r="G4018" t="str">
        <v>-</v>
      </c>
    </row>
    <row r="4019">
      <c r="A4019">
        <v>4018</v>
      </c>
      <c r="B4019">
        <f>HYPERLINK("https://quyhoach.xaydung.gov.vn/Images/Quyhoach/fileDK/0cbdfa52-1057-42cc-bbfe-6287cd6d9cfa_390%20qd%20pd%20qhc%20muong%20la%203%202020.pdf", "UBND Ủy ban nhân dân thị trấn Ít Ong  tỉnh Sơn La")</f>
      </c>
      <c r="C4019" t="str">
        <v>https://quyhoach.xaydung.gov.vn/Images/Quyhoach/fileDK/0cbdfa52-1057-42cc-bbfe-6287cd6d9cfa_390%20qd%20pd%20qhc%20muong%20la%203%202020.pdf</v>
      </c>
      <c r="D4019" t="str">
        <v>-</v>
      </c>
      <c r="E4019" t="str">
        <v>-</v>
      </c>
      <c r="F4019" t="str">
        <v>-</v>
      </c>
      <c r="G4019" t="str">
        <v>-</v>
      </c>
    </row>
    <row r="4020">
      <c r="A4020">
        <v>4019</v>
      </c>
      <c r="B4020">
        <f>HYPERLINK("https://www.facebook.com/tuoitrecongansonla/", "Công an xã Nậm Giôn  tỉnh Sơn La")</f>
      </c>
      <c r="C4020" t="str">
        <v>https://www.facebook.com/tuoitrecongansonla/</v>
      </c>
      <c r="D4020" t="str">
        <v>-</v>
      </c>
      <c r="E4020" t="str">
        <v/>
      </c>
      <c r="F4020" t="str">
        <v>-</v>
      </c>
      <c r="G4020" t="str">
        <v>-</v>
      </c>
    </row>
    <row r="4021">
      <c r="A4021">
        <v>4020</v>
      </c>
      <c r="B4021">
        <f>HYPERLINK("https://sonla.gov.vn/4/469/61715/478330/hoi-dong-nhan-dan-tinh/danh-sach-thuong-truc-hdnd-tinh-son-la-khoa-xiv-nhiem-ky-2016-2021", "UBND Ủy ban nhân dân xã Nậm Giôn  tỉnh Sơn La")</f>
      </c>
      <c r="C4021" t="str">
        <v>https://sonla.gov.vn/4/469/61715/478330/hoi-dong-nhan-dan-tinh/danh-sach-thuong-truc-hdnd-tinh-son-la-khoa-xiv-nhiem-ky-2016-2021</v>
      </c>
      <c r="D4021" t="str">
        <v>-</v>
      </c>
      <c r="E4021" t="str">
        <v>-</v>
      </c>
      <c r="F4021" t="str">
        <v>-</v>
      </c>
      <c r="G4021" t="str">
        <v>-</v>
      </c>
    </row>
    <row r="4022">
      <c r="A4022">
        <v>4021</v>
      </c>
      <c r="B4022" t="str">
        <v>Công an xã Chiềng Lao  tỉnh Sơn La</v>
      </c>
      <c r="C4022" t="str">
        <v>-</v>
      </c>
      <c r="D4022" t="str">
        <v>-</v>
      </c>
      <c r="E4022" t="str">
        <v/>
      </c>
      <c r="F4022" t="str">
        <v>-</v>
      </c>
      <c r="G4022" t="str">
        <v>-</v>
      </c>
    </row>
    <row r="4023">
      <c r="A4023">
        <v>4022</v>
      </c>
      <c r="B4023">
        <f>HYPERLINK("http://chiengsonmocchau.sonla.gov.vn/index.php?module=tochuc&amp;act=view&amp;id=17", "UBND Ủy ban nhân dân xã Chiềng Lao  tỉnh Sơn La")</f>
      </c>
      <c r="C4023" t="str">
        <v>http://chiengsonmocchau.sonla.gov.vn/index.php?module=tochuc&amp;act=view&amp;id=17</v>
      </c>
      <c r="D4023" t="str">
        <v>-</v>
      </c>
      <c r="E4023" t="str">
        <v>-</v>
      </c>
      <c r="F4023" t="str">
        <v>-</v>
      </c>
      <c r="G4023" t="str">
        <v>-</v>
      </c>
    </row>
    <row r="4024">
      <c r="A4024">
        <v>4023</v>
      </c>
      <c r="B4024">
        <f>HYPERLINK("https://www.facebook.com/tuoitrecongansonla/", "Công an xã Hua Trai  tỉnh Sơn La")</f>
      </c>
      <c r="C4024" t="str">
        <v>https://www.facebook.com/tuoitrecongansonla/</v>
      </c>
      <c r="D4024" t="str">
        <v>-</v>
      </c>
      <c r="E4024" t="str">
        <v/>
      </c>
      <c r="F4024" t="str">
        <v>-</v>
      </c>
      <c r="G4024" t="str">
        <v>-</v>
      </c>
    </row>
    <row r="4025">
      <c r="A4025">
        <v>4024</v>
      </c>
      <c r="B4025">
        <f>HYPERLINK("https://sonla.toaan.gov.vn/webcenter/portal/sonla/chitiettin?dDocName=TAND214354", "UBND Ủy ban nhân dân xã Hua Trai  tỉnh Sơn La")</f>
      </c>
      <c r="C4025" t="str">
        <v>https://sonla.toaan.gov.vn/webcenter/portal/sonla/chitiettin?dDocName=TAND214354</v>
      </c>
      <c r="D4025" t="str">
        <v>-</v>
      </c>
      <c r="E4025" t="str">
        <v>-</v>
      </c>
      <c r="F4025" t="str">
        <v>-</v>
      </c>
      <c r="G4025" t="str">
        <v>-</v>
      </c>
    </row>
    <row r="4026">
      <c r="A4026">
        <v>4025</v>
      </c>
      <c r="B4026">
        <f>HYPERLINK("https://www.facebook.com/tuoitrecongansonla/", "Công an xã Ngọc Chiến  tỉnh Sơn La")</f>
      </c>
      <c r="C4026" t="str">
        <v>https://www.facebook.com/tuoitrecongansonla/</v>
      </c>
      <c r="D4026" t="str">
        <v>-</v>
      </c>
      <c r="E4026" t="str">
        <v/>
      </c>
      <c r="F4026" t="str">
        <v>-</v>
      </c>
      <c r="G4026" t="str">
        <v>-</v>
      </c>
    </row>
    <row r="4027">
      <c r="A4027">
        <v>4026</v>
      </c>
      <c r="B4027">
        <f>HYPERLINK("https://mattran.sonla.gov.vn/content-1548-xa-ngoc-chien-dat-chuan-nong-thon-moi.html", "UBND Ủy ban nhân dân xã Ngọc Chiến  tỉnh Sơn La")</f>
      </c>
      <c r="C4027" t="str">
        <v>https://mattran.sonla.gov.vn/content-1548-xa-ngoc-chien-dat-chuan-nong-thon-moi.html</v>
      </c>
      <c r="D4027" t="str">
        <v>-</v>
      </c>
      <c r="E4027" t="str">
        <v>-</v>
      </c>
      <c r="F4027" t="str">
        <v>-</v>
      </c>
      <c r="G4027" t="str">
        <v>-</v>
      </c>
    </row>
    <row r="4028">
      <c r="A4028">
        <v>4027</v>
      </c>
      <c r="B4028">
        <f>HYPERLINK("https://www.facebook.com/tuoitrecongansonla/", "Công an xã Mường Trai  tỉnh Sơn La")</f>
      </c>
      <c r="C4028" t="str">
        <v>https://www.facebook.com/tuoitrecongansonla/</v>
      </c>
      <c r="D4028" t="str">
        <v>-</v>
      </c>
      <c r="E4028" t="str">
        <v/>
      </c>
      <c r="F4028" t="str">
        <v>-</v>
      </c>
      <c r="G4028" t="str">
        <v>-</v>
      </c>
    </row>
    <row r="4029">
      <c r="A4029">
        <v>4028</v>
      </c>
      <c r="B4029">
        <f>HYPERLINK("https://sonla.gov.vn/4/469/61812/545638/xay-dung-nong-thon-moi/admin", "UBND Ủy ban nhân dân xã Mường Trai  tỉnh Sơn La")</f>
      </c>
      <c r="C4029" t="str">
        <v>https://sonla.gov.vn/4/469/61812/545638/xay-dung-nong-thon-moi/admin</v>
      </c>
      <c r="D4029" t="str">
        <v>-</v>
      </c>
      <c r="E4029" t="str">
        <v>-</v>
      </c>
      <c r="F4029" t="str">
        <v>-</v>
      </c>
      <c r="G4029" t="str">
        <v>-</v>
      </c>
    </row>
    <row r="4030">
      <c r="A4030">
        <v>4029</v>
      </c>
      <c r="B4030" t="str">
        <v>Công an xã Nậm Păm  tỉnh Sơn La</v>
      </c>
      <c r="C4030" t="str">
        <v>-</v>
      </c>
      <c r="D4030" t="str">
        <v>-</v>
      </c>
      <c r="E4030" t="str">
        <v/>
      </c>
      <c r="F4030" t="str">
        <v>-</v>
      </c>
      <c r="G4030" t="str">
        <v>-</v>
      </c>
    </row>
    <row r="4031">
      <c r="A4031">
        <v>4030</v>
      </c>
      <c r="B4031">
        <f>HYPERLINK("https://sonla.toaan.gov.vn/webcenter/portal/sonla/chitiettin?dDocName=TAND051105", "UBND Ủy ban nhân dân xã Nậm Păm  tỉnh Sơn La")</f>
      </c>
      <c r="C4031" t="str">
        <v>https://sonla.toaan.gov.vn/webcenter/portal/sonla/chitiettin?dDocName=TAND051105</v>
      </c>
      <c r="D4031" t="str">
        <v>-</v>
      </c>
      <c r="E4031" t="str">
        <v>-</v>
      </c>
      <c r="F4031" t="str">
        <v>-</v>
      </c>
      <c r="G4031" t="str">
        <v>-</v>
      </c>
    </row>
    <row r="4032">
      <c r="A4032">
        <v>4031</v>
      </c>
      <c r="B4032" t="str">
        <v>Công an xã Chiềng Muôn  tỉnh Sơn La</v>
      </c>
      <c r="C4032" t="str">
        <v>-</v>
      </c>
      <c r="D4032" t="str">
        <v>-</v>
      </c>
      <c r="E4032" t="str">
        <v/>
      </c>
      <c r="F4032" t="str">
        <v>-</v>
      </c>
      <c r="G4032" t="str">
        <v>-</v>
      </c>
    </row>
    <row r="4033">
      <c r="A4033">
        <v>4032</v>
      </c>
      <c r="B4033">
        <f>HYPERLINK("https://daibieudancusonla.gov.vn/cong-tac-dan-nguyen/doan-dai-bieu-quoc-hoi-tinh-tiep-xuc-cu-tri-truoc-ky-hop-thu-sau-quoc-hoi-khoa-xv-tai-03-xa-vung-728117", "UBND Ủy ban nhân dân xã Chiềng Muôn  tỉnh Sơn La")</f>
      </c>
      <c r="C4033" t="str">
        <v>https://daibieudancusonla.gov.vn/cong-tac-dan-nguyen/doan-dai-bieu-quoc-hoi-tinh-tiep-xuc-cu-tri-truoc-ky-hop-thu-sau-quoc-hoi-khoa-xv-tai-03-xa-vung-728117</v>
      </c>
      <c r="D4033" t="str">
        <v>-</v>
      </c>
      <c r="E4033" t="str">
        <v>-</v>
      </c>
      <c r="F4033" t="str">
        <v>-</v>
      </c>
      <c r="G4033" t="str">
        <v>-</v>
      </c>
    </row>
    <row r="4034">
      <c r="A4034">
        <v>4033</v>
      </c>
      <c r="B4034" t="str">
        <v>Công an xã Chiềng Ân  tỉnh Sơn La</v>
      </c>
      <c r="C4034" t="str">
        <v>-</v>
      </c>
      <c r="D4034" t="str">
        <v>-</v>
      </c>
      <c r="E4034" t="str">
        <v/>
      </c>
      <c r="F4034" t="str">
        <v>-</v>
      </c>
      <c r="G4034" t="str">
        <v>-</v>
      </c>
    </row>
    <row r="4035">
      <c r="A4035">
        <v>4034</v>
      </c>
      <c r="B4035">
        <f>HYPERLINK("http://chiengsonmocchau.sonla.gov.vn/index.php?module=tochuc&amp;act=view&amp;id=17", "UBND Ủy ban nhân dân xã Chiềng Ân  tỉnh Sơn La")</f>
      </c>
      <c r="C4035" t="str">
        <v>http://chiengsonmocchau.sonla.gov.vn/index.php?module=tochuc&amp;act=view&amp;id=17</v>
      </c>
      <c r="D4035" t="str">
        <v>-</v>
      </c>
      <c r="E4035" t="str">
        <v>-</v>
      </c>
      <c r="F4035" t="str">
        <v>-</v>
      </c>
      <c r="G4035" t="str">
        <v>-</v>
      </c>
    </row>
    <row r="4036">
      <c r="A4036">
        <v>4035</v>
      </c>
      <c r="B4036">
        <f>HYPERLINK("https://www.facebook.com/tuoitrecongansonla/", "Công an xã Pi Toong  tỉnh Sơn La")</f>
      </c>
      <c r="C4036" t="str">
        <v>https://www.facebook.com/tuoitrecongansonla/</v>
      </c>
      <c r="D4036" t="str">
        <v>-</v>
      </c>
      <c r="E4036" t="str">
        <v/>
      </c>
      <c r="F4036" t="str">
        <v>-</v>
      </c>
      <c r="G4036" t="str">
        <v>-</v>
      </c>
    </row>
    <row r="4037">
      <c r="A4037">
        <v>4036</v>
      </c>
      <c r="B4037">
        <f>HYPERLINK("https://vkssonla.gov.vn/index.php?module=tinhoatdong&amp;act=view&amp;cat=40&amp;id=2052", "UBND Ủy ban nhân dân xã Pi Toong  tỉnh Sơn La")</f>
      </c>
      <c r="C4037" t="str">
        <v>https://vkssonla.gov.vn/index.php?module=tinhoatdong&amp;act=view&amp;cat=40&amp;id=2052</v>
      </c>
      <c r="D4037" t="str">
        <v>-</v>
      </c>
      <c r="E4037" t="str">
        <v>-</v>
      </c>
      <c r="F4037" t="str">
        <v>-</v>
      </c>
      <c r="G4037" t="str">
        <v>-</v>
      </c>
    </row>
    <row r="4038">
      <c r="A4038">
        <v>4037</v>
      </c>
      <c r="B4038" t="str">
        <v>Công an xã Chiềng Công  tỉnh Sơn La</v>
      </c>
      <c r="C4038" t="str">
        <v>-</v>
      </c>
      <c r="D4038" t="str">
        <v>-</v>
      </c>
      <c r="E4038" t="str">
        <v/>
      </c>
      <c r="F4038" t="str">
        <v>-</v>
      </c>
      <c r="G4038" t="str">
        <v>-</v>
      </c>
    </row>
    <row r="4039">
      <c r="A4039">
        <v>4038</v>
      </c>
      <c r="B4039">
        <f>HYPERLINK("http://chiengsonmocchau.sonla.gov.vn/index.php?module=tochuc&amp;act=view&amp;id=17", "UBND Ủy ban nhân dân xã Chiềng Công  tỉnh Sơn La")</f>
      </c>
      <c r="C4039" t="str">
        <v>http://chiengsonmocchau.sonla.gov.vn/index.php?module=tochuc&amp;act=view&amp;id=17</v>
      </c>
      <c r="D4039" t="str">
        <v>-</v>
      </c>
      <c r="E4039" t="str">
        <v>-</v>
      </c>
      <c r="F4039" t="str">
        <v>-</v>
      </c>
      <c r="G4039" t="str">
        <v>-</v>
      </c>
    </row>
    <row r="4040">
      <c r="A4040">
        <v>4039</v>
      </c>
      <c r="B4040">
        <f>HYPERLINK("https://www.facebook.com/p/C%C3%B4ng-an-x%C3%A3-T%E1%BA%A1-B%C3%BA-huy%E1%BB%87n-M%C6%B0%E1%BB%9Dng-La-t%E1%BB%89nh-S%C6%A1n-La-100066851919738/", "Công an xã Tạ Bú  tỉnh Sơn La")</f>
      </c>
      <c r="C4040" t="str">
        <v>https://www.facebook.com/p/C%C3%B4ng-an-x%C3%A3-T%E1%BA%A1-B%C3%BA-huy%E1%BB%87n-M%C6%B0%E1%BB%9Dng-La-t%E1%BB%89nh-S%C6%A1n-La-100066851919738/</v>
      </c>
      <c r="D4040" t="str">
        <v>-</v>
      </c>
      <c r="E4040" t="str">
        <v/>
      </c>
      <c r="F4040" t="str">
        <v>-</v>
      </c>
      <c r="G4040" t="str">
        <v>-</v>
      </c>
    </row>
    <row r="4041">
      <c r="A4041">
        <v>4040</v>
      </c>
      <c r="B4041">
        <f>HYPERLINK("https://lamdong.dms.gov.vn/web/guest/tin-chi-tiet?p_p_id=com_soft_cms_detail_DetailControllerPortlet&amp;p_p_lifecycle=0&amp;p_p_state=pop_up&amp;p_p_mode=view&amp;_com_soft_cms_detail_DetailControllerPortlet_mvcPath=%2Fprint_cms.jsp&amp;_com_soft_cms_detail_DetailControllerPortlet_articleId=39734", "UBND Ủy ban nhân dân xã Tạ Bú  tỉnh Sơn La")</f>
      </c>
      <c r="C4041" t="str">
        <v>https://lamdong.dms.gov.vn/web/guest/tin-chi-tiet?p_p_id=com_soft_cms_detail_DetailControllerPortlet&amp;p_p_lifecycle=0&amp;p_p_state=pop_up&amp;p_p_mode=view&amp;_com_soft_cms_detail_DetailControllerPortlet_mvcPath=%2Fprint_cms.jsp&amp;_com_soft_cms_detail_DetailControllerPortlet_articleId=39734</v>
      </c>
      <c r="D4041" t="str">
        <v>-</v>
      </c>
      <c r="E4041" t="str">
        <v>-</v>
      </c>
      <c r="F4041" t="str">
        <v>-</v>
      </c>
      <c r="G4041" t="str">
        <v>-</v>
      </c>
    </row>
    <row r="4042">
      <c r="A4042">
        <v>4041</v>
      </c>
      <c r="B4042" t="str">
        <v>Công an xã Chiềng San  tỉnh Sơn La</v>
      </c>
      <c r="C4042" t="str">
        <v>-</v>
      </c>
      <c r="D4042" t="str">
        <v>-</v>
      </c>
      <c r="E4042" t="str">
        <v/>
      </c>
      <c r="F4042" t="str">
        <v>-</v>
      </c>
      <c r="G4042" t="str">
        <v>-</v>
      </c>
    </row>
    <row r="4043">
      <c r="A4043">
        <v>4042</v>
      </c>
      <c r="B4043">
        <f>HYPERLINK("https://chiengco.thanhpho.sonla.gov.vn/ubnd-xa-chieng-co/uy-ban-nhan-dan-xa-chieng-co-chi-tra-ho-tro-cho-cac-ho-gia-dinh-co-dien-tich-cay-trong-thuy-san--830325", "UBND Ủy ban nhân dân xã Chiềng San  tỉnh Sơn La")</f>
      </c>
      <c r="C4043" t="str">
        <v>https://chiengco.thanhpho.sonla.gov.vn/ubnd-xa-chieng-co/uy-ban-nhan-dan-xa-chieng-co-chi-tra-ho-tro-cho-cac-ho-gia-dinh-co-dien-tich-cay-trong-thuy-san--830325</v>
      </c>
      <c r="D4043" t="str">
        <v>-</v>
      </c>
      <c r="E4043" t="str">
        <v>-</v>
      </c>
      <c r="F4043" t="str">
        <v>-</v>
      </c>
      <c r="G4043" t="str">
        <v>-</v>
      </c>
    </row>
    <row r="4044">
      <c r="A4044">
        <v>4043</v>
      </c>
      <c r="B4044" t="str">
        <v>Công an xã Mường Bú  tỉnh Sơn La</v>
      </c>
      <c r="C4044" t="str">
        <v>-</v>
      </c>
      <c r="D4044" t="str">
        <v>-</v>
      </c>
      <c r="E4044" t="str">
        <v/>
      </c>
      <c r="F4044" t="str">
        <v>-</v>
      </c>
      <c r="G4044" t="str">
        <v>-</v>
      </c>
    </row>
    <row r="4045">
      <c r="A4045">
        <v>4044</v>
      </c>
      <c r="B4045">
        <f>HYPERLINK("https://daibieudancusonla.gov.vn/tin-tuc-su-kien/dong-chi-chu-tich-ubnd-tinh-du-ngay-hoi-dai-doan-ket-toan-dan-toc-tai-ban-muong-bu-734380", "UBND Ủy ban nhân dân xã Mường Bú  tỉnh Sơn La")</f>
      </c>
      <c r="C4045" t="str">
        <v>https://daibieudancusonla.gov.vn/tin-tuc-su-kien/dong-chi-chu-tich-ubnd-tinh-du-ngay-hoi-dai-doan-ket-toan-dan-toc-tai-ban-muong-bu-734380</v>
      </c>
      <c r="D4045" t="str">
        <v>-</v>
      </c>
      <c r="E4045" t="str">
        <v>-</v>
      </c>
      <c r="F4045" t="str">
        <v>-</v>
      </c>
      <c r="G4045" t="str">
        <v>-</v>
      </c>
    </row>
    <row r="4046">
      <c r="A4046">
        <v>4045</v>
      </c>
      <c r="B4046" t="str">
        <v>Công an xã Chiềng Hoa  tỉnh Sơn La</v>
      </c>
      <c r="C4046" t="str">
        <v>-</v>
      </c>
      <c r="D4046" t="str">
        <v>-</v>
      </c>
      <c r="E4046" t="str">
        <v/>
      </c>
      <c r="F4046" t="str">
        <v>-</v>
      </c>
      <c r="G4046" t="str">
        <v>-</v>
      </c>
    </row>
    <row r="4047">
      <c r="A4047">
        <v>4046</v>
      </c>
      <c r="B4047">
        <f>HYPERLINK("https://sonla.gov.vn/dai-hoi-dai-bieu-cac-dan-toc-thieu-so-tinh-son-la-lan-ii-nam-2014/xa-chieng-ban-phat-huy-vai-tro-cua-uy-ban-mat-tran-to-quoc-trong-thuc-hien-chuong-trinh-muc-tieu-475140", "UBND Ủy ban nhân dân xã Chiềng Hoa  tỉnh Sơn La")</f>
      </c>
      <c r="C4047" t="str">
        <v>https://sonla.gov.vn/dai-hoi-dai-bieu-cac-dan-toc-thieu-so-tinh-son-la-lan-ii-nam-2014/xa-chieng-ban-phat-huy-vai-tro-cua-uy-ban-mat-tran-to-quoc-trong-thuc-hien-chuong-trinh-muc-tieu-475140</v>
      </c>
      <c r="D4047" t="str">
        <v>-</v>
      </c>
      <c r="E4047" t="str">
        <v>-</v>
      </c>
      <c r="F4047" t="str">
        <v>-</v>
      </c>
      <c r="G4047" t="str">
        <v>-</v>
      </c>
    </row>
    <row r="4048">
      <c r="A4048">
        <v>4047</v>
      </c>
      <c r="B4048" t="str">
        <v>Công an xã Mường Chùm  tỉnh Sơn La</v>
      </c>
      <c r="C4048" t="str">
        <v>-</v>
      </c>
      <c r="D4048" t="str">
        <v>-</v>
      </c>
      <c r="E4048" t="str">
        <v/>
      </c>
      <c r="F4048" t="str">
        <v>-</v>
      </c>
      <c r="G4048" t="str">
        <v>-</v>
      </c>
    </row>
    <row r="4049">
      <c r="A4049">
        <v>4048</v>
      </c>
      <c r="B4049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Chùm  tỉnh Sơn La")</f>
      </c>
      <c r="C4049" t="str">
        <v>https://sonoivu.sonla.gov.vn/Default.aspx?sid=1282&amp;pageid=30665&amp;catid=64562&amp;id=537895&amp;catname=thong-tin-tuyen-truyen&amp;title=quyet-dinh-dieu-chinh-phan-loai-don-vi-hanh-chinh-cac-xa-phuong-thi-tran-tren-dia-ban-tinh-son-l</v>
      </c>
      <c r="D4049" t="str">
        <v>-</v>
      </c>
      <c r="E4049" t="str">
        <v>-</v>
      </c>
      <c r="F4049" t="str">
        <v>-</v>
      </c>
      <c r="G4049" t="str">
        <v>-</v>
      </c>
    </row>
    <row r="4050">
      <c r="A4050">
        <v>4049</v>
      </c>
      <c r="B4050">
        <f>HYPERLINK("https://www.facebook.com/p/C%C3%B4ng-an-huy%E1%BB%87n-B%E1%BA%AFc-Y%C3%AAn-t%E1%BB%89nh-S%C6%A1n-La-100061229988068/", "Công an thị trấn Bắc Yên  tỉnh Sơn La")</f>
      </c>
      <c r="C4050" t="str">
        <v>https://www.facebook.com/p/C%C3%B4ng-an-huy%E1%BB%87n-B%E1%BA%AFc-Y%C3%AAn-t%E1%BB%89nh-S%C6%A1n-La-100061229988068/</v>
      </c>
      <c r="D4050" t="str">
        <v>-</v>
      </c>
      <c r="E4050" t="str">
        <v/>
      </c>
      <c r="F4050" t="str">
        <v>-</v>
      </c>
      <c r="G4050" t="str">
        <v>-</v>
      </c>
    </row>
    <row r="4051">
      <c r="A4051">
        <v>4050</v>
      </c>
      <c r="B4051">
        <f>HYPERLINK("https://bacyen.sonla.gov.vn/", "UBND Ủy ban nhân dân thị trấn Bắc Yên  tỉnh Sơn La")</f>
      </c>
      <c r="C4051" t="str">
        <v>https://bacyen.sonla.gov.vn/</v>
      </c>
      <c r="D4051" t="str">
        <v>-</v>
      </c>
      <c r="E4051" t="str">
        <v>-</v>
      </c>
      <c r="F4051" t="str">
        <v>-</v>
      </c>
      <c r="G4051" t="str">
        <v>-</v>
      </c>
    </row>
    <row r="4052">
      <c r="A4052">
        <v>4051</v>
      </c>
      <c r="B4052" t="str">
        <v>Công an xã Phiêng Ban  tỉnh Sơn La</v>
      </c>
      <c r="C4052" t="str">
        <v>-</v>
      </c>
      <c r="D4052" t="str">
        <v>-</v>
      </c>
      <c r="E4052" t="str">
        <v/>
      </c>
      <c r="F4052" t="str">
        <v>-</v>
      </c>
      <c r="G4052" t="str">
        <v>-</v>
      </c>
    </row>
    <row r="4053">
      <c r="A4053">
        <v>4052</v>
      </c>
      <c r="B4053">
        <f>HYPERLINK("https://sonla.gov.vn/dan-so-61780/ban-dan-toc-to-chuc-hoat-dong-tuyen-truyen-nham-giam-thieu-tinh-trang-tao-hon-va-hon-nhan-can-hu-474273", "UBND Ủy ban nhân dân xã Phiêng Ban  tỉnh Sơn La")</f>
      </c>
      <c r="C4053" t="str">
        <v>https://sonla.gov.vn/dan-so-61780/ban-dan-toc-to-chuc-hoat-dong-tuyen-truyen-nham-giam-thieu-tinh-trang-tao-hon-va-hon-nhan-can-hu-474273</v>
      </c>
      <c r="D4053" t="str">
        <v>-</v>
      </c>
      <c r="E4053" t="str">
        <v>-</v>
      </c>
      <c r="F4053" t="str">
        <v>-</v>
      </c>
      <c r="G4053" t="str">
        <v>-</v>
      </c>
    </row>
    <row r="4054">
      <c r="A4054">
        <v>4053</v>
      </c>
      <c r="B4054">
        <f>HYPERLINK("https://www.facebook.com/tuoitrecongansonla/", "Công an xã Hang Chú  tỉnh Sơn La")</f>
      </c>
      <c r="C4054" t="str">
        <v>https://www.facebook.com/tuoitrecongansonla/</v>
      </c>
      <c r="D4054" t="str">
        <v>-</v>
      </c>
      <c r="E4054" t="str">
        <v/>
      </c>
      <c r="F4054" t="str">
        <v>-</v>
      </c>
      <c r="G4054" t="str">
        <v>-</v>
      </c>
    </row>
    <row r="4055">
      <c r="A4055">
        <v>4054</v>
      </c>
      <c r="B4055">
        <f>HYPERLINK("http://chiengsonmocchau.sonla.gov.vn/index.php?module=tochuc&amp;act=view&amp;id=36", "UBND Ủy ban nhân dân xã Hang Chú  tỉnh Sơn La")</f>
      </c>
      <c r="C4055" t="str">
        <v>http://chiengsonmocchau.sonla.gov.vn/index.php?module=tochuc&amp;act=view&amp;id=36</v>
      </c>
      <c r="D4055" t="str">
        <v>-</v>
      </c>
      <c r="E4055" t="str">
        <v>-</v>
      </c>
      <c r="F4055" t="str">
        <v>-</v>
      </c>
      <c r="G4055" t="str">
        <v>-</v>
      </c>
    </row>
    <row r="4056">
      <c r="A4056">
        <v>4055</v>
      </c>
      <c r="B4056">
        <f>HYPERLINK("https://www.facebook.com/tuoitrecongansonla/", "Công an xã Xím Vàng  tỉnh Sơn La")</f>
      </c>
      <c r="C4056" t="str">
        <v>https://www.facebook.com/tuoitrecongansonla/</v>
      </c>
      <c r="D4056" t="str">
        <v>-</v>
      </c>
      <c r="E4056" t="str">
        <v/>
      </c>
      <c r="F4056" t="str">
        <v>-</v>
      </c>
      <c r="G4056" t="str">
        <v>-</v>
      </c>
    </row>
    <row r="4057">
      <c r="A4057">
        <v>4056</v>
      </c>
      <c r="B4057">
        <f>HYPERLINK("https://ubdt.gov.vn/tin-tuc/tin-hoat-dong/uy-ban-dan-toc-voi-dia-phuong/uy-ban-dan-toc-trien-khai-du-an-bao-ve-moi-truong-tai-xa-xim-vang-nam-2016.htm", "UBND Ủy ban nhân dân xã Xím Vàng  tỉnh Sơn La")</f>
      </c>
      <c r="C4057" t="str">
        <v>https://ubdt.gov.vn/tin-tuc/tin-hoat-dong/uy-ban-dan-toc-voi-dia-phuong/uy-ban-dan-toc-trien-khai-du-an-bao-ve-moi-truong-tai-xa-xim-vang-nam-2016.htm</v>
      </c>
      <c r="D4057" t="str">
        <v>-</v>
      </c>
      <c r="E4057" t="str">
        <v>-</v>
      </c>
      <c r="F4057" t="str">
        <v>-</v>
      </c>
      <c r="G4057" t="str">
        <v>-</v>
      </c>
    </row>
    <row r="4058">
      <c r="A4058">
        <v>4057</v>
      </c>
      <c r="B4058" t="str">
        <v>Công an xã Tà Xùa  tỉnh Sơn La</v>
      </c>
      <c r="C4058" t="str">
        <v>-</v>
      </c>
      <c r="D4058" t="str">
        <v>-</v>
      </c>
      <c r="E4058" t="str">
        <v/>
      </c>
      <c r="F4058" t="str">
        <v>-</v>
      </c>
      <c r="G4058" t="str">
        <v>-</v>
      </c>
    </row>
    <row r="4059">
      <c r="A4059">
        <v>4058</v>
      </c>
      <c r="B4059">
        <f>HYPERLINK("https://sonla.gov.vn/thong-tin-ket-luan-thanh-tra/ta-xua-thuc-hien-ket-luan-thanh-tra-so-10-kl-ubnd-726476", "UBND Ủy ban nhân dân xã Tà Xùa  tỉnh Sơn La")</f>
      </c>
      <c r="C4059" t="str">
        <v>https://sonla.gov.vn/thong-tin-ket-luan-thanh-tra/ta-xua-thuc-hien-ket-luan-thanh-tra-so-10-kl-ubnd-726476</v>
      </c>
      <c r="D4059" t="str">
        <v>-</v>
      </c>
      <c r="E4059" t="str">
        <v>-</v>
      </c>
      <c r="F4059" t="str">
        <v>-</v>
      </c>
      <c r="G4059" t="str">
        <v>-</v>
      </c>
    </row>
    <row r="4060">
      <c r="A4060">
        <v>4059</v>
      </c>
      <c r="B4060">
        <f>HYPERLINK("https://www.facebook.com/tuoitrecongansonla/", "Công an xã Háng Đồng  tỉnh Sơn La")</f>
      </c>
      <c r="C4060" t="str">
        <v>https://www.facebook.com/tuoitrecongansonla/</v>
      </c>
      <c r="D4060" t="str">
        <v>-</v>
      </c>
      <c r="E4060" t="str">
        <v/>
      </c>
      <c r="F4060" t="str">
        <v>-</v>
      </c>
      <c r="G4060" t="str">
        <v>-</v>
      </c>
    </row>
    <row r="4061">
      <c r="A4061">
        <v>4060</v>
      </c>
      <c r="B4061">
        <f>HYPERLINK("https://hangdong.bacyen.sonla.gov.vn/", "UBND Ủy ban nhân dân xã Háng Đồng  tỉnh Sơn La")</f>
      </c>
      <c r="C4061" t="str">
        <v>https://hangdong.bacyen.sonla.gov.vn/</v>
      </c>
      <c r="D4061" t="str">
        <v>-</v>
      </c>
      <c r="E4061" t="str">
        <v>-</v>
      </c>
      <c r="F4061" t="str">
        <v>-</v>
      </c>
      <c r="G4061" t="str">
        <v>-</v>
      </c>
    </row>
    <row r="4062">
      <c r="A4062">
        <v>4061</v>
      </c>
      <c r="B4062" t="str">
        <v>Công an xã Pắc Ngà  tỉnh Sơn La</v>
      </c>
      <c r="C4062" t="str">
        <v>-</v>
      </c>
      <c r="D4062" t="str">
        <v>-</v>
      </c>
      <c r="E4062" t="str">
        <v/>
      </c>
      <c r="F4062" t="str">
        <v>-</v>
      </c>
      <c r="G4062" t="str">
        <v>-</v>
      </c>
    </row>
    <row r="4063">
      <c r="A4063">
        <v>4062</v>
      </c>
      <c r="B4063">
        <f>HYPERLINK("https://bacyen.sonla.gov.vn/thong-tin-chi-dao-dieu-hanh", "UBND Ủy ban nhân dân xã Pắc Ngà  tỉnh Sơn La")</f>
      </c>
      <c r="C4063" t="str">
        <v>https://bacyen.sonla.gov.vn/thong-tin-chi-dao-dieu-hanh</v>
      </c>
      <c r="D4063" t="str">
        <v>-</v>
      </c>
      <c r="E4063" t="str">
        <v>-</v>
      </c>
      <c r="F4063" t="str">
        <v>-</v>
      </c>
      <c r="G4063" t="str">
        <v>-</v>
      </c>
    </row>
    <row r="4064">
      <c r="A4064">
        <v>4063</v>
      </c>
      <c r="B4064" t="str">
        <v>Công an xã Làng Chếu  tỉnh Sơn La</v>
      </c>
      <c r="C4064" t="str">
        <v>-</v>
      </c>
      <c r="D4064" t="str">
        <v>-</v>
      </c>
      <c r="E4064" t="str">
        <v/>
      </c>
      <c r="F4064" t="str">
        <v>-</v>
      </c>
      <c r="G4064" t="str">
        <v>-</v>
      </c>
    </row>
    <row r="4065">
      <c r="A4065">
        <v>4064</v>
      </c>
      <c r="B4065">
        <f>HYPERLINK("https://langcheu.bacyen.sonla.gov.vn/he-thong-van-ban", "UBND Ủy ban nhân dân xã Làng Chếu  tỉnh Sơn La")</f>
      </c>
      <c r="C4065" t="str">
        <v>https://langcheu.bacyen.sonla.gov.vn/he-thong-van-ban</v>
      </c>
      <c r="D4065" t="str">
        <v>-</v>
      </c>
      <c r="E4065" t="str">
        <v>-</v>
      </c>
      <c r="F4065" t="str">
        <v>-</v>
      </c>
      <c r="G4065" t="str">
        <v>-</v>
      </c>
    </row>
    <row r="4066">
      <c r="A4066">
        <v>4065</v>
      </c>
      <c r="B4066">
        <f>HYPERLINK("https://www.facebook.com/p/C%C3%B4ng-An-X%C3%A3-Chim-V%C3%A0n-100069188385933/?locale=ko_KR", "Công an xã Chim Vàn  tỉnh Sơn La")</f>
      </c>
      <c r="C4066" t="str">
        <v>https://www.facebook.com/p/C%C3%B4ng-An-X%C3%A3-Chim-V%C3%A0n-100069188385933/?locale=ko_KR</v>
      </c>
      <c r="D4066" t="str">
        <v>-</v>
      </c>
      <c r="E4066" t="str">
        <v/>
      </c>
      <c r="F4066" t="str">
        <v>-</v>
      </c>
      <c r="G4066" t="str">
        <v>-</v>
      </c>
    </row>
    <row r="4067">
      <c r="A4067">
        <v>4066</v>
      </c>
      <c r="B4067">
        <f>HYPERLINK("https://chimvan.bacyen.sonla.gov.vn/", "UBND Ủy ban nhân dân xã Chim Vàn  tỉnh Sơn La")</f>
      </c>
      <c r="C4067" t="str">
        <v>https://chimvan.bacyen.sonla.gov.vn/</v>
      </c>
      <c r="D4067" t="str">
        <v>-</v>
      </c>
      <c r="E4067" t="str">
        <v>-</v>
      </c>
      <c r="F4067" t="str">
        <v>-</v>
      </c>
      <c r="G4067" t="str">
        <v>-</v>
      </c>
    </row>
    <row r="4068">
      <c r="A4068">
        <v>4067</v>
      </c>
      <c r="B4068">
        <f>HYPERLINK("https://www.facebook.com/caxmuongkhoa/", "Công an xã Mường Khoa  tỉnh Sơn La")</f>
      </c>
      <c r="C4068" t="str">
        <v>https://www.facebook.com/caxmuongkhoa/</v>
      </c>
      <c r="D4068" t="str">
        <v>-</v>
      </c>
      <c r="E4068" t="str">
        <v/>
      </c>
      <c r="F4068" t="str">
        <v>-</v>
      </c>
      <c r="G4068" t="str">
        <v>-</v>
      </c>
    </row>
    <row r="4069">
      <c r="A4069">
        <v>4068</v>
      </c>
      <c r="B4069">
        <f>HYPERLINK("https://sonla.gov.vn/tin-kinh-te/dong-chi-pho-chu-tich-ubnd-tinh-doi-thoai-voi-nhan-dan-xa-muong-lum-huyen-yen-chau-892179", "UBND Ủy ban nhân dân xã Mường Khoa  tỉnh Sơn La")</f>
      </c>
      <c r="C4069" t="str">
        <v>https://sonla.gov.vn/tin-kinh-te/dong-chi-pho-chu-tich-ubnd-tinh-doi-thoai-voi-nhan-dan-xa-muong-lum-huyen-yen-chau-892179</v>
      </c>
      <c r="D4069" t="str">
        <v>-</v>
      </c>
      <c r="E4069" t="str">
        <v>-</v>
      </c>
      <c r="F4069" t="str">
        <v>-</v>
      </c>
      <c r="G4069" t="str">
        <v>-</v>
      </c>
    </row>
    <row r="4070">
      <c r="A4070">
        <v>4069</v>
      </c>
      <c r="B4070">
        <f>HYPERLINK("https://www.facebook.com/tuoitrecongansonla/", "Công an xã Song Pe  tỉnh Sơn La")</f>
      </c>
      <c r="C4070" t="str">
        <v>https://www.facebook.com/tuoitrecongansonla/</v>
      </c>
      <c r="D4070" t="str">
        <v>-</v>
      </c>
      <c r="E4070" t="str">
        <v/>
      </c>
      <c r="F4070" t="str">
        <v>-</v>
      </c>
      <c r="G4070" t="str">
        <v>-</v>
      </c>
    </row>
    <row r="4071">
      <c r="A4071">
        <v>4070</v>
      </c>
      <c r="B4071">
        <f>HYPERLINK("https://songpe.bacyen.sonla.gov.vn/uy-ban-nhan-dan", "UBND Ủy ban nhân dân xã Song Pe  tỉnh Sơn La")</f>
      </c>
      <c r="C4071" t="str">
        <v>https://songpe.bacyen.sonla.gov.vn/uy-ban-nhan-dan</v>
      </c>
      <c r="D4071" t="str">
        <v>-</v>
      </c>
      <c r="E4071" t="str">
        <v>-</v>
      </c>
      <c r="F4071" t="str">
        <v>-</v>
      </c>
      <c r="G4071" t="str">
        <v>-</v>
      </c>
    </row>
    <row r="4072">
      <c r="A4072">
        <v>4071</v>
      </c>
      <c r="B4072">
        <f>HYPERLINK("https://www.facebook.com/p/C%C3%B4ng-an-x%C3%A3-H%E1%BB%93ng-Ng%C3%A0i-huy%E1%BB%87n-B%E1%BA%AFc-Y%C3%AAn-t%E1%BB%89nh-S%C6%A1n-La-100070586079138/", "Công an xã Hồng Ngài  tỉnh Sơn La")</f>
      </c>
      <c r="C4072" t="str">
        <v>https://www.facebook.com/p/C%C3%B4ng-an-x%C3%A3-H%E1%BB%93ng-Ng%C3%A0i-huy%E1%BB%87n-B%E1%BA%AFc-Y%C3%AAn-t%E1%BB%89nh-S%C6%A1n-La-100070586079138/</v>
      </c>
      <c r="D4072" t="str">
        <v>-</v>
      </c>
      <c r="E4072" t="str">
        <v/>
      </c>
      <c r="F4072" t="str">
        <v>-</v>
      </c>
      <c r="G4072" t="str">
        <v>-</v>
      </c>
    </row>
    <row r="4073">
      <c r="A4073">
        <v>4072</v>
      </c>
      <c r="B4073">
        <f>HYPERLINK("https://hongngai.bacyen.sonla.gov.vn/", "UBND Ủy ban nhân dân xã Hồng Ngài  tỉnh Sơn La")</f>
      </c>
      <c r="C4073" t="str">
        <v>https://hongngai.bacyen.sonla.gov.vn/</v>
      </c>
      <c r="D4073" t="str">
        <v>-</v>
      </c>
      <c r="E4073" t="str">
        <v>-</v>
      </c>
      <c r="F4073" t="str">
        <v>-</v>
      </c>
      <c r="G4073" t="str">
        <v>-</v>
      </c>
    </row>
    <row r="4074">
      <c r="A4074">
        <v>4073</v>
      </c>
      <c r="B4074">
        <f>HYPERLINK("https://www.facebook.com/tuoitrecongansonla/", "Công an xã Tạ Khoa  tỉnh Sơn La")</f>
      </c>
      <c r="C4074" t="str">
        <v>https://www.facebook.com/tuoitrecongansonla/</v>
      </c>
      <c r="D4074" t="str">
        <v>-</v>
      </c>
      <c r="E4074" t="str">
        <v/>
      </c>
      <c r="F4074" t="str">
        <v>-</v>
      </c>
      <c r="G4074" t="str">
        <v>-</v>
      </c>
    </row>
    <row r="4075">
      <c r="A4075">
        <v>4074</v>
      </c>
      <c r="B4075">
        <f>HYPERLINK("http://chiengsonmocchau.sonla.gov.vn/index.php?module=tochuc&amp;act=view&amp;id=46", "UBND Ủy ban nhân dân xã Tạ Khoa  tỉnh Sơn La")</f>
      </c>
      <c r="C4075" t="str">
        <v>http://chiengsonmocchau.sonla.gov.vn/index.php?module=tochuc&amp;act=view&amp;id=46</v>
      </c>
      <c r="D4075" t="str">
        <v>-</v>
      </c>
      <c r="E4075" t="str">
        <v>-</v>
      </c>
      <c r="F4075" t="str">
        <v>-</v>
      </c>
      <c r="G4075" t="str">
        <v>-</v>
      </c>
    </row>
    <row r="4076">
      <c r="A4076">
        <v>4075</v>
      </c>
      <c r="B4076">
        <f>HYPERLINK("https://www.facebook.com/tuoitrecongansonla/", "Công an xã Hua Nhàn  tỉnh Sơn La")</f>
      </c>
      <c r="C4076" t="str">
        <v>https://www.facebook.com/tuoitrecongansonla/</v>
      </c>
      <c r="D4076" t="str">
        <v>-</v>
      </c>
      <c r="E4076" t="str">
        <v/>
      </c>
      <c r="F4076" t="str">
        <v>-</v>
      </c>
      <c r="G4076" t="str">
        <v>-</v>
      </c>
    </row>
    <row r="4077">
      <c r="A4077">
        <v>4076</v>
      </c>
      <c r="B4077">
        <f>HYPERLINK("https://data.sonla.gov.vn/detail_data/du-lieu-thong-bao-ket-qua-thuc-hien-ket-luan-thanh-tra-cua-chanh-thanh-tra-huyen-773", "UBND Ủy ban nhân dân xã Hua Nhàn  tỉnh Sơn La")</f>
      </c>
      <c r="C4077" t="str">
        <v>https://data.sonla.gov.vn/detail_data/du-lieu-thong-bao-ket-qua-thuc-hien-ket-luan-thanh-tra-cua-chanh-thanh-tra-huyen-773</v>
      </c>
      <c r="D4077" t="str">
        <v>-</v>
      </c>
      <c r="E4077" t="str">
        <v>-</v>
      </c>
      <c r="F4077" t="str">
        <v>-</v>
      </c>
      <c r="G4077" t="str">
        <v>-</v>
      </c>
    </row>
    <row r="4078">
      <c r="A4078">
        <v>4077</v>
      </c>
      <c r="B4078">
        <f>HYPERLINK("https://www.facebook.com/tuoitrecongansonla/", "Công an xã Phiêng Côn  tỉnh Sơn La")</f>
      </c>
      <c r="C4078" t="str">
        <v>https://www.facebook.com/tuoitrecongansonla/</v>
      </c>
      <c r="D4078" t="str">
        <v>-</v>
      </c>
      <c r="E4078" t="str">
        <v/>
      </c>
      <c r="F4078" t="str">
        <v>-</v>
      </c>
      <c r="G4078" t="str">
        <v>-</v>
      </c>
    </row>
    <row r="4079">
      <c r="A4079">
        <v>4078</v>
      </c>
      <c r="B4079">
        <f>HYPERLINK("https://bacyen.sonla.gov.vn/thong-bao-ket-luan-thanh-tra/ket-luan-thanh-tra-cong-tac-quan-ly-dieu-hanh-ngan-sach-doi-voi-uy-ban-nhan-dan-xa-chim-van-tu-n-713185", "UBND Ủy ban nhân dân xã Phiêng Côn  tỉnh Sơn La")</f>
      </c>
      <c r="C4079" t="str">
        <v>https://bacyen.sonla.gov.vn/thong-bao-ket-luan-thanh-tra/ket-luan-thanh-tra-cong-tac-quan-ly-dieu-hanh-ngan-sach-doi-voi-uy-ban-nhan-dan-xa-chim-van-tu-n-713185</v>
      </c>
      <c r="D4079" t="str">
        <v>-</v>
      </c>
      <c r="E4079" t="str">
        <v>-</v>
      </c>
      <c r="F4079" t="str">
        <v>-</v>
      </c>
      <c r="G4079" t="str">
        <v>-</v>
      </c>
    </row>
    <row r="4080">
      <c r="A4080">
        <v>4079</v>
      </c>
      <c r="B4080" t="str">
        <v>Công an xã Chiềng Sại  tỉnh Sơn La</v>
      </c>
      <c r="C4080" t="str">
        <v>-</v>
      </c>
      <c r="D4080" t="str">
        <v>-</v>
      </c>
      <c r="E4080" t="str">
        <v/>
      </c>
      <c r="F4080" t="str">
        <v>-</v>
      </c>
      <c r="G4080" t="str">
        <v>-</v>
      </c>
    </row>
    <row r="4081">
      <c r="A4081">
        <v>4080</v>
      </c>
      <c r="B4081">
        <f>HYPERLINK("https://sonla.gov.vn/dai-hoi-dai-bieu-cac-dan-toc-thieu-so-tinh-son-la-lan-ii-nam-2014/xa-chieng-ban-phat-huy-vai-tro-cua-uy-ban-mat-tran-to-quoc-trong-thuc-hien-chuong-trinh-muc-tieu-475140", "UBND Ủy ban nhân dân xã Chiềng Sại  tỉnh Sơn La")</f>
      </c>
      <c r="C4081" t="str">
        <v>https://sonla.gov.vn/dai-hoi-dai-bieu-cac-dan-toc-thieu-so-tinh-son-la-lan-ii-nam-2014/xa-chieng-ban-phat-huy-vai-tro-cua-uy-ban-mat-tran-to-quoc-trong-thuc-hien-chuong-trinh-muc-tieu-475140</v>
      </c>
      <c r="D4081" t="str">
        <v>-</v>
      </c>
      <c r="E4081" t="str">
        <v>-</v>
      </c>
      <c r="F4081" t="str">
        <v>-</v>
      </c>
      <c r="G4081" t="str">
        <v>-</v>
      </c>
    </row>
    <row r="4082">
      <c r="A4082">
        <v>4081</v>
      </c>
      <c r="B4082">
        <f>HYPERLINK("https://www.facebook.com/conganhuyenphuyen/?locale=vi_VN", "Công an thị trấn Phù Yên  tỉnh Sơn La")</f>
      </c>
      <c r="C4082" t="str">
        <v>https://www.facebook.com/conganhuyenphuyen/?locale=vi_VN</v>
      </c>
      <c r="D4082" t="str">
        <v>-</v>
      </c>
      <c r="E4082" t="str">
        <v/>
      </c>
      <c r="F4082" t="str">
        <v>-</v>
      </c>
      <c r="G4082" t="str">
        <v>-</v>
      </c>
    </row>
    <row r="4083">
      <c r="A4083">
        <v>4082</v>
      </c>
      <c r="B4083">
        <f>HYPERLINK("https://congbobanan.toaan.gov.vn/5ta1467363t1cvn/QD_Mai_Van_T.pdf", "UBND Ủy ban nhân dân thị trấn Phù Yên  tỉnh Sơn La")</f>
      </c>
      <c r="C4083" t="str">
        <v>https://congbobanan.toaan.gov.vn/5ta1467363t1cvn/QD_Mai_Van_T.pdf</v>
      </c>
      <c r="D4083" t="str">
        <v>-</v>
      </c>
      <c r="E4083" t="str">
        <v>-</v>
      </c>
      <c r="F4083" t="str">
        <v>-</v>
      </c>
      <c r="G4083" t="str">
        <v>-</v>
      </c>
    </row>
    <row r="4084">
      <c r="A4084">
        <v>4083</v>
      </c>
      <c r="B4084" t="str">
        <v>Công an xã Suối Tọ  tỉnh Sơn La</v>
      </c>
      <c r="C4084" t="str">
        <v>-</v>
      </c>
      <c r="D4084" t="str">
        <v>-</v>
      </c>
      <c r="E4084" t="str">
        <v/>
      </c>
      <c r="F4084" t="str">
        <v>-</v>
      </c>
      <c r="G4084" t="str">
        <v>-</v>
      </c>
    </row>
    <row r="4085">
      <c r="A4085">
        <v>4084</v>
      </c>
      <c r="B4085">
        <f>HYPERLINK("https://sonla.gov.vn/thong-tin-tu-so-nganh-dia-phuong/ngay-hoi-toan-dan-bao-ve-an-ninh-to-quoc-huyen-phu-yen-nam-2024-825630", "UBND Ủy ban nhân dân xã Suối Tọ  tỉnh Sơn La")</f>
      </c>
      <c r="C4085" t="str">
        <v>https://sonla.gov.vn/thong-tin-tu-so-nganh-dia-phuong/ngay-hoi-toan-dan-bao-ve-an-ninh-to-quoc-huyen-phu-yen-nam-2024-825630</v>
      </c>
      <c r="D4085" t="str">
        <v>-</v>
      </c>
      <c r="E4085" t="str">
        <v>-</v>
      </c>
      <c r="F4085" t="str">
        <v>-</v>
      </c>
      <c r="G4085" t="str">
        <v>-</v>
      </c>
    </row>
    <row r="4086">
      <c r="A4086">
        <v>4085</v>
      </c>
      <c r="B4086">
        <f>HYPERLINK("https://www.facebook.com/p/C%C3%B4ng-an-x%C3%A3-M%C6%B0%E1%BB%9Dng-Th%E1%BA%A3i-huy%E1%BB%87n-Ph%C3%B9-Y%C3%AAn-t%E1%BB%89nh-S%C6%A1n-La-100069603542275/", "Công an xã Mường Thải  tỉnh Sơn La")</f>
      </c>
      <c r="C4086" t="str">
        <v>https://www.facebook.com/p/C%C3%B4ng-an-x%C3%A3-M%C6%B0%E1%BB%9Dng-Th%E1%BA%A3i-huy%E1%BB%87n-Ph%C3%B9-Y%C3%AAn-t%E1%BB%89nh-S%C6%A1n-La-100069603542275/</v>
      </c>
      <c r="D4086" t="str">
        <v>-</v>
      </c>
      <c r="E4086" t="str">
        <v/>
      </c>
      <c r="F4086" t="str">
        <v>-</v>
      </c>
      <c r="G4086" t="str">
        <v>-</v>
      </c>
    </row>
    <row r="4087">
      <c r="A4087">
        <v>4086</v>
      </c>
      <c r="B4087">
        <f>HYPERLINK("https://sonla.gov.vn/tin-van-hoa-xa-hoi/doan-cong-tac-ban-tuyen-giao-tinh-uy-tham-lam-viec-tai-xa-muong-thai-704612", "UBND Ủy ban nhân dân xã Mường Thải  tỉnh Sơn La")</f>
      </c>
      <c r="C4087" t="str">
        <v>https://sonla.gov.vn/tin-van-hoa-xa-hoi/doan-cong-tac-ban-tuyen-giao-tinh-uy-tham-lam-viec-tai-xa-muong-thai-704612</v>
      </c>
      <c r="D4087" t="str">
        <v>-</v>
      </c>
      <c r="E4087" t="str">
        <v>-</v>
      </c>
      <c r="F4087" t="str">
        <v>-</v>
      </c>
      <c r="G4087" t="str">
        <v>-</v>
      </c>
    </row>
    <row r="4088">
      <c r="A4088">
        <v>4087</v>
      </c>
      <c r="B4088">
        <f>HYPERLINK("https://www.facebook.com/tuoitrecongansonla/", "Công an xã Mường Cơi  tỉnh Sơn La")</f>
      </c>
      <c r="C4088" t="str">
        <v>https://www.facebook.com/tuoitrecongansonla/</v>
      </c>
      <c r="D4088" t="str">
        <v>-</v>
      </c>
      <c r="E4088" t="str">
        <v/>
      </c>
      <c r="F4088" t="str">
        <v>-</v>
      </c>
      <c r="G4088" t="str">
        <v>-</v>
      </c>
    </row>
    <row r="4089">
      <c r="A4089">
        <v>4088</v>
      </c>
      <c r="B4089">
        <f>HYPERLINK("https://muongcoi.phuyen.sonla.gov.vn/uy-ban-nhan-dan", "UBND Ủy ban nhân dân xã Mường Cơi  tỉnh Sơn La")</f>
      </c>
      <c r="C4089" t="str">
        <v>https://muongcoi.phuyen.sonla.gov.vn/uy-ban-nhan-dan</v>
      </c>
      <c r="D4089" t="str">
        <v>-</v>
      </c>
      <c r="E4089" t="str">
        <v>-</v>
      </c>
      <c r="F4089" t="str">
        <v>-</v>
      </c>
      <c r="G4089" t="str">
        <v>-</v>
      </c>
    </row>
    <row r="4090">
      <c r="A4090">
        <v>4089</v>
      </c>
      <c r="B4090">
        <f>HYPERLINK("https://www.facebook.com/p/C%C3%B4ng-an-x%C3%A3-Quang-Huy-huy%E1%BB%87n-Ph%C3%B9-Y%C3%AAn-t%E1%BB%89nh-S%C6%A1n-La-100069297526108/", "Công an xã Quang Huy  tỉnh Sơn La")</f>
      </c>
      <c r="C4090" t="str">
        <v>https://www.facebook.com/p/C%C3%B4ng-an-x%C3%A3-Quang-Huy-huy%E1%BB%87n-Ph%C3%B9-Y%C3%AAn-t%E1%BB%89nh-S%C6%A1n-La-100069297526108/</v>
      </c>
      <c r="D4090" t="str">
        <v>-</v>
      </c>
      <c r="E4090" t="str">
        <v/>
      </c>
      <c r="F4090" t="str">
        <v>-</v>
      </c>
      <c r="G4090" t="str">
        <v>-</v>
      </c>
    </row>
    <row r="4091">
      <c r="A4091">
        <v>4090</v>
      </c>
      <c r="B4091">
        <f>HYPERLINK("https://dichvucong.gov.vn/p/phananhkiennghi/pakn-detail.html?id=176194", "UBND Ủy ban nhân dân xã Quang Huy  tỉnh Sơn La")</f>
      </c>
      <c r="C4091" t="str">
        <v>https://dichvucong.gov.vn/p/phananhkiennghi/pakn-detail.html?id=176194</v>
      </c>
      <c r="D4091" t="str">
        <v>-</v>
      </c>
      <c r="E4091" t="str">
        <v>-</v>
      </c>
      <c r="F4091" t="str">
        <v>-</v>
      </c>
      <c r="G4091" t="str">
        <v>-</v>
      </c>
    </row>
    <row r="4092">
      <c r="A4092">
        <v>4091</v>
      </c>
      <c r="B4092">
        <f>HYPERLINK("https://www.facebook.com/tuoitrecongansonla/", "Công an xã Huy Bắc  tỉnh Sơn La")</f>
      </c>
      <c r="C4092" t="str">
        <v>https://www.facebook.com/tuoitrecongansonla/</v>
      </c>
      <c r="D4092" t="str">
        <v>-</v>
      </c>
      <c r="E4092" t="str">
        <v/>
      </c>
      <c r="F4092" t="str">
        <v>-</v>
      </c>
      <c r="G4092" t="str">
        <v>-</v>
      </c>
    </row>
    <row r="4093">
      <c r="A4093">
        <v>4092</v>
      </c>
      <c r="B4093">
        <f>HYPERLINK("https://moha.gov.vn/nong-thon-moi/tin-tuc/Pages/listbnv.aspx?CateID=32&amp;ItemID=2330", "UBND Ủy ban nhân dân xã Huy Bắc  tỉnh Sơn La")</f>
      </c>
      <c r="C4093" t="str">
        <v>https://moha.gov.vn/nong-thon-moi/tin-tuc/Pages/listbnv.aspx?CateID=32&amp;ItemID=2330</v>
      </c>
      <c r="D4093" t="str">
        <v>-</v>
      </c>
      <c r="E4093" t="str">
        <v>-</v>
      </c>
      <c r="F4093" t="str">
        <v>-</v>
      </c>
      <c r="G4093" t="str">
        <v>-</v>
      </c>
    </row>
    <row r="4094">
      <c r="A4094">
        <v>4093</v>
      </c>
      <c r="B4094" t="str">
        <v>Công an xã Huy Thượng  tỉnh Sơn La</v>
      </c>
      <c r="C4094" t="str">
        <v>-</v>
      </c>
      <c r="D4094" t="str">
        <v>-</v>
      </c>
      <c r="E4094" t="str">
        <v/>
      </c>
      <c r="F4094" t="str">
        <v>-</v>
      </c>
      <c r="G4094" t="str">
        <v>-</v>
      </c>
    </row>
    <row r="4095">
      <c r="A4095">
        <v>4094</v>
      </c>
      <c r="B4095">
        <f>HYPERLINK("https://thanhtra.sonla.gov.vn/hoat-dong-doan-the/dong-chi-chanh-thanh-tra-tinh-du-sinh-hoat-chi-bo-khu-dan-cu-thang-9-nam-2024-833606", "UBND Ủy ban nhân dân xã Huy Thượng  tỉnh Sơn La")</f>
      </c>
      <c r="C4095" t="str">
        <v>https://thanhtra.sonla.gov.vn/hoat-dong-doan-the/dong-chi-chanh-thanh-tra-tinh-du-sinh-hoat-chi-bo-khu-dan-cu-thang-9-nam-2024-833606</v>
      </c>
      <c r="D4095" t="str">
        <v>-</v>
      </c>
      <c r="E4095" t="str">
        <v>-</v>
      </c>
      <c r="F4095" t="str">
        <v>-</v>
      </c>
      <c r="G4095" t="str">
        <v>-</v>
      </c>
    </row>
    <row r="4096">
      <c r="A4096">
        <v>4095</v>
      </c>
      <c r="B4096">
        <f>HYPERLINK("https://www.facebook.com/p/C%C3%B4ng-an-x%C3%A3-T%C3%A2n-Lang-Ph%C3%B9-Y%C3%AAn-S%C6%A1n-La-100069494266272/", "Công an xã Tân Lang  tỉnh Sơn La")</f>
      </c>
      <c r="C4096" t="str">
        <v>https://www.facebook.com/p/C%C3%B4ng-an-x%C3%A3-T%C3%A2n-Lang-Ph%C3%B9-Y%C3%AAn-S%C6%A1n-La-100069494266272/</v>
      </c>
      <c r="D4096" t="str">
        <v>-</v>
      </c>
      <c r="E4096" t="str">
        <v/>
      </c>
      <c r="F4096" t="str">
        <v>-</v>
      </c>
      <c r="G4096" t="str">
        <v>-</v>
      </c>
    </row>
    <row r="4097">
      <c r="A4097">
        <v>4096</v>
      </c>
      <c r="B4097">
        <f>HYPERLINK("https://donghy.thainguyen.gov.vn/xa-tan-long", "UBND Ủy ban nhân dân xã Tân Lang  tỉnh Sơn La")</f>
      </c>
      <c r="C4097" t="str">
        <v>https://donghy.thainguyen.gov.vn/xa-tan-long</v>
      </c>
      <c r="D4097" t="str">
        <v>-</v>
      </c>
      <c r="E4097" t="str">
        <v>-</v>
      </c>
      <c r="F4097" t="str">
        <v>-</v>
      </c>
      <c r="G4097" t="str">
        <v>-</v>
      </c>
    </row>
    <row r="4098">
      <c r="A4098">
        <v>4097</v>
      </c>
      <c r="B4098">
        <f>HYPERLINK("https://www.facebook.com/tuoitrecongansonla/", "Công an xã Gia Phù  tỉnh Sơn La")</f>
      </c>
      <c r="C4098" t="str">
        <v>https://www.facebook.com/tuoitrecongansonla/</v>
      </c>
      <c r="D4098" t="str">
        <v>-</v>
      </c>
      <c r="E4098" t="str">
        <v/>
      </c>
      <c r="F4098" t="str">
        <v>-</v>
      </c>
      <c r="G4098" t="str">
        <v>-</v>
      </c>
    </row>
    <row r="4099">
      <c r="A4099">
        <v>4098</v>
      </c>
      <c r="B4099">
        <f>HYPERLINK("https://giaphu.phuyen.sonla.gov.vn/uy-ban-nhan-dan/lanh-dao-dang-uy-hdnd-ubnd-va-mot-so-ban-nganh-doan-the-xa-cung-lanh-dao-ubnd-huyen-tham-quan-mo-893033", "UBND Ủy ban nhân dân xã Gia Phù  tỉnh Sơn La")</f>
      </c>
      <c r="C4099" t="str">
        <v>https://giaphu.phuyen.sonla.gov.vn/uy-ban-nhan-dan/lanh-dao-dang-uy-hdnd-ubnd-va-mot-so-ban-nganh-doan-the-xa-cung-lanh-dao-ubnd-huyen-tham-quan-mo-893033</v>
      </c>
      <c r="D4099" t="str">
        <v>-</v>
      </c>
      <c r="E4099" t="str">
        <v>-</v>
      </c>
      <c r="F4099" t="str">
        <v>-</v>
      </c>
      <c r="G4099" t="str">
        <v>-</v>
      </c>
    </row>
    <row r="4100">
      <c r="A4100">
        <v>4099</v>
      </c>
      <c r="B4100">
        <f>HYPERLINK("https://www.facebook.com/p/C%C3%B4ng-an-x%C3%A3-T%C6%B0%E1%BB%9Dng-Ph%C3%B9-huy%E1%BB%87n-Ph%C3%B9-Y%C3%AAn-t%E1%BB%89nh-S%C6%A1n-La-100071062324000/", "Công an xã Tường Phù  tỉnh Sơn La")</f>
      </c>
      <c r="C4100" t="str">
        <v>https://www.facebook.com/p/C%C3%B4ng-an-x%C3%A3-T%C6%B0%E1%BB%9Dng-Ph%C3%B9-huy%E1%BB%87n-Ph%C3%B9-Y%C3%AAn-t%E1%BB%89nh-S%C6%A1n-La-100071062324000/</v>
      </c>
      <c r="D4100" t="str">
        <v>-</v>
      </c>
      <c r="E4100" t="str">
        <v/>
      </c>
      <c r="F4100" t="str">
        <v>-</v>
      </c>
      <c r="G4100" t="str">
        <v>-</v>
      </c>
    </row>
    <row r="4101">
      <c r="A4101">
        <v>4100</v>
      </c>
      <c r="B4101">
        <f>HYPERLINK("https://sonla.gov.vn/tin-van-hoa-xa-hoi/nhung-thiet-hai-do-anh-huong-bao-so-3-tren-dia-ban-huyen-phu-yen-829956", "UBND Ủy ban nhân dân xã Tường Phù  tỉnh Sơn La")</f>
      </c>
      <c r="C4101" t="str">
        <v>https://sonla.gov.vn/tin-van-hoa-xa-hoi/nhung-thiet-hai-do-anh-huong-bao-so-3-tren-dia-ban-huyen-phu-yen-829956</v>
      </c>
      <c r="D4101" t="str">
        <v>-</v>
      </c>
      <c r="E4101" t="str">
        <v>-</v>
      </c>
      <c r="F4101" t="str">
        <v>-</v>
      </c>
      <c r="G4101" t="str">
        <v>-</v>
      </c>
    </row>
    <row r="4102">
      <c r="A4102">
        <v>4101</v>
      </c>
      <c r="B4102">
        <f>HYPERLINK("https://www.facebook.com/tuoitrecongansonla/", "Công an xã Huy Hạ  tỉnh Sơn La")</f>
      </c>
      <c r="C4102" t="str">
        <v>https://www.facebook.com/tuoitrecongansonla/</v>
      </c>
      <c r="D4102" t="str">
        <v>-</v>
      </c>
      <c r="E4102" t="str">
        <v/>
      </c>
      <c r="F4102" t="str">
        <v>-</v>
      </c>
      <c r="G4102" t="str">
        <v>-</v>
      </c>
    </row>
    <row r="4103">
      <c r="A4103">
        <v>4102</v>
      </c>
      <c r="B4103">
        <f>HYPERLINK("https://sonla.gov.vn/thong-tin-to-chuc-can-bo-73332/huyen-uy-phu-yen-cong-bo-quyet-dinh-ve-cong-tac-can-bo-833423", "UBND Ủy ban nhân dân xã Huy Hạ  tỉnh Sơn La")</f>
      </c>
      <c r="C4103" t="str">
        <v>https://sonla.gov.vn/thong-tin-to-chuc-can-bo-73332/huyen-uy-phu-yen-cong-bo-quyet-dinh-ve-cong-tac-can-bo-833423</v>
      </c>
      <c r="D4103" t="str">
        <v>-</v>
      </c>
      <c r="E4103" t="str">
        <v>-</v>
      </c>
      <c r="F4103" t="str">
        <v>-</v>
      </c>
      <c r="G4103" t="str">
        <v>-</v>
      </c>
    </row>
    <row r="4104">
      <c r="A4104">
        <v>4103</v>
      </c>
      <c r="B4104">
        <f>HYPERLINK("https://www.facebook.com/p/C%C3%B4ng-an-x%C3%A3-Huy-T%C3%A2n-huy%E1%BB%87n-Ph%C3%B9-Y%C3%AAn-t%E1%BB%89nh-S%C6%A1n-La-100071167916873/", "Công an xã Huy Tân  tỉnh Sơn La")</f>
      </c>
      <c r="C4104" t="str">
        <v>https://www.facebook.com/p/C%C3%B4ng-an-x%C3%A3-Huy-T%C3%A2n-huy%E1%BB%87n-Ph%C3%B9-Y%C3%AAn-t%E1%BB%89nh-S%C6%A1n-La-100071167916873/</v>
      </c>
      <c r="D4104" t="str">
        <v>-</v>
      </c>
      <c r="E4104" t="str">
        <v/>
      </c>
      <c r="F4104" t="str">
        <v>-</v>
      </c>
      <c r="G4104" t="str">
        <v>-</v>
      </c>
    </row>
    <row r="4105">
      <c r="A4105">
        <v>4104</v>
      </c>
      <c r="B4105">
        <f>HYPERLINK("https://sonla.gov.vn/tin-van-hoa-xa-hoi/nhung-thiet-hai-do-anh-huong-bao-so-3-tren-dia-ban-huyen-phu-yen-829956", "UBND Ủy ban nhân dân xã Huy Tân  tỉnh Sơn La")</f>
      </c>
      <c r="C4105" t="str">
        <v>https://sonla.gov.vn/tin-van-hoa-xa-hoi/nhung-thiet-hai-do-anh-huong-bao-so-3-tren-dia-ban-huyen-phu-yen-829956</v>
      </c>
      <c r="D4105" t="str">
        <v>-</v>
      </c>
      <c r="E4105" t="str">
        <v>-</v>
      </c>
      <c r="F4105" t="str">
        <v>-</v>
      </c>
      <c r="G4105" t="str">
        <v>-</v>
      </c>
    </row>
    <row r="4106">
      <c r="A4106">
        <v>4105</v>
      </c>
      <c r="B4106" t="str">
        <v>Công an xã Mường Lang  tỉnh Sơn La</v>
      </c>
      <c r="C4106" t="str">
        <v>-</v>
      </c>
      <c r="D4106" t="str">
        <v>-</v>
      </c>
      <c r="E4106" t="str">
        <v/>
      </c>
      <c r="F4106" t="str">
        <v>-</v>
      </c>
      <c r="G4106" t="str">
        <v>-</v>
      </c>
    </row>
    <row r="4107">
      <c r="A4107">
        <v>4106</v>
      </c>
      <c r="B4107">
        <f>HYPERLINK("https://qbvptrsonla.gov.vn/Hoat-dong-doan-the/chi-doan-quy-bao-ve-va-phat-trien-rung-to-chuc-cac-hoat-dong-tinh-nguyen-trong-thang-thanh-nien-378161", "UBND Ủy ban nhân dân xã Mường Lang  tỉnh Sơn La")</f>
      </c>
      <c r="C4107" t="str">
        <v>https://qbvptrsonla.gov.vn/Hoat-dong-doan-the/chi-doan-quy-bao-ve-va-phat-trien-rung-to-chuc-cac-hoat-dong-tinh-nguyen-trong-thang-thanh-nien-378161</v>
      </c>
      <c r="D4107" t="str">
        <v>-</v>
      </c>
      <c r="E4107" t="str">
        <v>-</v>
      </c>
      <c r="F4107" t="str">
        <v>-</v>
      </c>
      <c r="G4107" t="str">
        <v>-</v>
      </c>
    </row>
    <row r="4108">
      <c r="A4108">
        <v>4107</v>
      </c>
      <c r="B4108" t="str">
        <v>Công an xã Suối Bau  tỉnh Sơn La</v>
      </c>
      <c r="C4108" t="str">
        <v>-</v>
      </c>
      <c r="D4108" t="str">
        <v>-</v>
      </c>
      <c r="E4108" t="str">
        <v/>
      </c>
      <c r="F4108" t="str">
        <v>-</v>
      </c>
      <c r="G4108" t="str">
        <v>-</v>
      </c>
    </row>
    <row r="4109">
      <c r="A4109">
        <v>4108</v>
      </c>
      <c r="B4109">
        <f>HYPERLINK("https://suoibau.phuyen.sonla.gov.vn/uy-ban-nhan-dan", "UBND Ủy ban nhân dân xã Suối Bau  tỉnh Sơn La")</f>
      </c>
      <c r="C4109" t="str">
        <v>https://suoibau.phuyen.sonla.gov.vn/uy-ban-nhan-dan</v>
      </c>
      <c r="D4109" t="str">
        <v>-</v>
      </c>
      <c r="E4109" t="str">
        <v>-</v>
      </c>
      <c r="F4109" t="str">
        <v>-</v>
      </c>
      <c r="G4109" t="str">
        <v>-</v>
      </c>
    </row>
    <row r="4110">
      <c r="A4110">
        <v>4109</v>
      </c>
      <c r="B4110">
        <f>HYPERLINK("https://www.facebook.com/tuoitrecongansonla/", "Công an xã Huy Tường  tỉnh Sơn La")</f>
      </c>
      <c r="C4110" t="str">
        <v>https://www.facebook.com/tuoitrecongansonla/</v>
      </c>
      <c r="D4110" t="str">
        <v>-</v>
      </c>
      <c r="E4110" t="str">
        <v/>
      </c>
      <c r="F4110" t="str">
        <v>-</v>
      </c>
      <c r="G4110" t="str">
        <v>-</v>
      </c>
    </row>
    <row r="4111">
      <c r="A4111">
        <v>4110</v>
      </c>
      <c r="B4111">
        <f>HYPERLINK("https://sonoivu.sonla.gov.vn/1282/30665/64448/624718/thanh-tra-cong-vu/-hoi-nghi-doi-thoai-truc-tiep-giua-giam-doc-so-noi-vu-voi-nhan-dan-xa-huy-tuong-huyen-phu-yen", "UBND Ủy ban nhân dân xã Huy Tường  tỉnh Sơn La")</f>
      </c>
      <c r="C4111" t="str">
        <v>https://sonoivu.sonla.gov.vn/1282/30665/64448/624718/thanh-tra-cong-vu/-hoi-nghi-doi-thoai-truc-tiep-giua-giam-doc-so-noi-vu-voi-nhan-dan-xa-huy-tuong-huyen-phu-yen</v>
      </c>
      <c r="D4111" t="str">
        <v>-</v>
      </c>
      <c r="E4111" t="str">
        <v>-</v>
      </c>
      <c r="F4111" t="str">
        <v>-</v>
      </c>
      <c r="G4111" t="str">
        <v>-</v>
      </c>
    </row>
    <row r="4112">
      <c r="A4112">
        <v>4111</v>
      </c>
      <c r="B4112">
        <f>HYPERLINK("https://www.facebook.com/tuoitrecongansonla/", "Công an xã Mường Do  tỉnh Sơn La")</f>
      </c>
      <c r="C4112" t="str">
        <v>https://www.facebook.com/tuoitrecongansonla/</v>
      </c>
      <c r="D4112" t="str">
        <v>-</v>
      </c>
      <c r="E4112" t="str">
        <v/>
      </c>
      <c r="F4112" t="str">
        <v>-</v>
      </c>
      <c r="G4112" t="str">
        <v>-</v>
      </c>
    </row>
    <row r="4113">
      <c r="A4113">
        <v>4112</v>
      </c>
      <c r="B4113">
        <f>HYPERLINK("https://sonla.gov.vn/tin-kinh-te/dong-chi-pho-chu-tich-ubnd-tinh-doi-thoai-voi-nhan-dan-xa-muong-lum-huyen-yen-chau-892179", "UBND Ủy ban nhân dân xã Mường Do  tỉnh Sơn La")</f>
      </c>
      <c r="C4113" t="str">
        <v>https://sonla.gov.vn/tin-kinh-te/dong-chi-pho-chu-tich-ubnd-tinh-doi-thoai-voi-nhan-dan-xa-muong-lum-huyen-yen-chau-892179</v>
      </c>
      <c r="D4113" t="str">
        <v>-</v>
      </c>
      <c r="E4113" t="str">
        <v>-</v>
      </c>
      <c r="F4113" t="str">
        <v>-</v>
      </c>
      <c r="G4113" t="str">
        <v>-</v>
      </c>
    </row>
    <row r="4114">
      <c r="A4114">
        <v>4113</v>
      </c>
      <c r="B4114">
        <f>HYPERLINK("https://www.facebook.com/tuoitrecongansonla/", "Công an xã Sập Xa  tỉnh Sơn La")</f>
      </c>
      <c r="C4114" t="str">
        <v>https://www.facebook.com/tuoitrecongansonla/</v>
      </c>
      <c r="D4114" t="str">
        <v>-</v>
      </c>
      <c r="E4114" t="str">
        <v/>
      </c>
      <c r="F4114" t="str">
        <v>-</v>
      </c>
      <c r="G4114" t="str">
        <v>-</v>
      </c>
    </row>
    <row r="4115">
      <c r="A4115">
        <v>4114</v>
      </c>
      <c r="B4115">
        <f>HYPERLINK("https://sonla.gov.vn/tin-van-hoa-xa-hoi/nhung-thiet-hai-do-anh-huong-bao-so-3-tren-dia-ban-huyen-phu-yen-829956", "UBND Ủy ban nhân dân xã Sập Xa  tỉnh Sơn La")</f>
      </c>
      <c r="C4115" t="str">
        <v>https://sonla.gov.vn/tin-van-hoa-xa-hoi/nhung-thiet-hai-do-anh-huong-bao-so-3-tren-dia-ban-huyen-phu-yen-829956</v>
      </c>
      <c r="D4115" t="str">
        <v>-</v>
      </c>
      <c r="E4115" t="str">
        <v>-</v>
      </c>
      <c r="F4115" t="str">
        <v>-</v>
      </c>
      <c r="G4115" t="str">
        <v>-</v>
      </c>
    </row>
    <row r="4116">
      <c r="A4116">
        <v>4115</v>
      </c>
      <c r="B4116" t="str">
        <v>Công an xã Tường Thượng  tỉnh Sơn La</v>
      </c>
      <c r="C4116" t="str">
        <v>-</v>
      </c>
      <c r="D4116" t="str">
        <v>-</v>
      </c>
      <c r="E4116" t="str">
        <v/>
      </c>
      <c r="F4116" t="str">
        <v>-</v>
      </c>
      <c r="G4116" t="str">
        <v>-</v>
      </c>
    </row>
    <row r="4117">
      <c r="A4117">
        <v>4116</v>
      </c>
      <c r="B4117">
        <f>HYPERLINK("https://tuongthuong.phuyen.sonla.gov.vn/doan-thanh-nien/dai-hoi-hoi-lien-hiep-thanh-nien-viet-nam-xa-tuong-thuong-xa-nhiem-ky-2024-2029-821748", "UBND Ủy ban nhân dân xã Tường Thượng  tỉnh Sơn La")</f>
      </c>
      <c r="C4117" t="str">
        <v>https://tuongthuong.phuyen.sonla.gov.vn/doan-thanh-nien/dai-hoi-hoi-lien-hiep-thanh-nien-viet-nam-xa-tuong-thuong-xa-nhiem-ky-2024-2029-821748</v>
      </c>
      <c r="D4117" t="str">
        <v>-</v>
      </c>
      <c r="E4117" t="str">
        <v>-</v>
      </c>
      <c r="F4117" t="str">
        <v>-</v>
      </c>
      <c r="G4117" t="str">
        <v>-</v>
      </c>
    </row>
    <row r="4118">
      <c r="A4118">
        <v>4117</v>
      </c>
      <c r="B4118">
        <f>HYPERLINK("https://www.facebook.com/tuoitrecongansonla/", "Công an xã Tường Tiến  tỉnh Sơn La")</f>
      </c>
      <c r="C4118" t="str">
        <v>https://www.facebook.com/tuoitrecongansonla/</v>
      </c>
      <c r="D4118" t="str">
        <v>-</v>
      </c>
      <c r="E4118" t="str">
        <v/>
      </c>
      <c r="F4118" t="str">
        <v>-</v>
      </c>
      <c r="G4118" t="str">
        <v>-</v>
      </c>
    </row>
    <row r="4119">
      <c r="A4119">
        <v>4118</v>
      </c>
      <c r="B4119">
        <f>HYPERLINK("https://tuongtien.phuyen.sonla.gov.vn/", "UBND Ủy ban nhân dân xã Tường Tiến  tỉnh Sơn La")</f>
      </c>
      <c r="C4119" t="str">
        <v>https://tuongtien.phuyen.sonla.gov.vn/</v>
      </c>
      <c r="D4119" t="str">
        <v>-</v>
      </c>
      <c r="E4119" t="str">
        <v>-</v>
      </c>
      <c r="F4119" t="str">
        <v>-</v>
      </c>
      <c r="G4119" t="str">
        <v>-</v>
      </c>
    </row>
    <row r="4120">
      <c r="A4120">
        <v>4119</v>
      </c>
      <c r="B4120">
        <f>HYPERLINK("https://www.facebook.com/tuoitrecongansonla/", "Công an xã Tường Phong  tỉnh Sơn La")</f>
      </c>
      <c r="C4120" t="str">
        <v>https://www.facebook.com/tuoitrecongansonla/</v>
      </c>
      <c r="D4120" t="str">
        <v>-</v>
      </c>
      <c r="E4120" t="str">
        <v/>
      </c>
      <c r="F4120" t="str">
        <v>-</v>
      </c>
      <c r="G4120" t="str">
        <v>-</v>
      </c>
    </row>
    <row r="4121">
      <c r="A4121">
        <v>4120</v>
      </c>
      <c r="B4121">
        <f>HYPERLINK("https://anhson.nghean.gov.vn/tuong-son", "UBND Ủy ban nhân dân xã Tường Phong  tỉnh Sơn La")</f>
      </c>
      <c r="C4121" t="str">
        <v>https://anhson.nghean.gov.vn/tuong-son</v>
      </c>
      <c r="D4121" t="str">
        <v>-</v>
      </c>
      <c r="E4121" t="str">
        <v>-</v>
      </c>
      <c r="F4121" t="str">
        <v>-</v>
      </c>
      <c r="G4121" t="str">
        <v>-</v>
      </c>
    </row>
    <row r="4122">
      <c r="A4122">
        <v>4121</v>
      </c>
      <c r="B4122">
        <f>HYPERLINK("https://www.facebook.com/tuoitrecongansonla/", "Công an xã Tường Hạ  tỉnh Sơn La")</f>
      </c>
      <c r="C4122" t="str">
        <v>https://www.facebook.com/tuoitrecongansonla/</v>
      </c>
      <c r="D4122" t="str">
        <v>-</v>
      </c>
      <c r="E4122" t="str">
        <v/>
      </c>
      <c r="F4122" t="str">
        <v>-</v>
      </c>
      <c r="G4122" t="str">
        <v>-</v>
      </c>
    </row>
    <row r="4123">
      <c r="A4123">
        <v>4122</v>
      </c>
      <c r="B4123">
        <f>HYPERLINK("https://vkssonla.gov.vn/index.php?module=tinhoatdong&amp;act=view&amp;id=2317&amp;cat=40", "UBND Ủy ban nhân dân xã Tường Hạ  tỉnh Sơn La")</f>
      </c>
      <c r="C4123" t="str">
        <v>https://vkssonla.gov.vn/index.php?module=tinhoatdong&amp;act=view&amp;id=2317&amp;cat=40</v>
      </c>
      <c r="D4123" t="str">
        <v>-</v>
      </c>
      <c r="E4123" t="str">
        <v>-</v>
      </c>
      <c r="F4123" t="str">
        <v>-</v>
      </c>
      <c r="G4123" t="str">
        <v>-</v>
      </c>
    </row>
    <row r="4124">
      <c r="A4124">
        <v>4123</v>
      </c>
      <c r="B4124">
        <f>HYPERLINK("https://www.facebook.com/tuoitrecongansonla/", "Công an xã Kim Bon  tỉnh Sơn La")</f>
      </c>
      <c r="C4124" t="str">
        <v>https://www.facebook.com/tuoitrecongansonla/</v>
      </c>
      <c r="D4124" t="str">
        <v>-</v>
      </c>
      <c r="E4124" t="str">
        <v/>
      </c>
      <c r="F4124" t="str">
        <v>-</v>
      </c>
      <c r="G4124" t="str">
        <v>-</v>
      </c>
    </row>
    <row r="4125">
      <c r="A4125">
        <v>4124</v>
      </c>
      <c r="B4125">
        <f>HYPERLINK("https://kimson.sontay.hanoi.gov.vn/tin-chi-tiet/-/chi-tiet/uy-ban-nhan-dan-xa-kim-son-6047-1307.html", "UBND Ủy ban nhân dân xã Kim Bon  tỉnh Sơn La")</f>
      </c>
      <c r="C4125" t="str">
        <v>https://kimson.sontay.hanoi.gov.vn/tin-chi-tiet/-/chi-tiet/uy-ban-nhan-dan-xa-kim-son-6047-1307.html</v>
      </c>
      <c r="D4125" t="str">
        <v>-</v>
      </c>
      <c r="E4125" t="str">
        <v>-</v>
      </c>
      <c r="F4125" t="str">
        <v>-</v>
      </c>
      <c r="G4125" t="str">
        <v>-</v>
      </c>
    </row>
    <row r="4126">
      <c r="A4126">
        <v>4125</v>
      </c>
      <c r="B4126">
        <f>HYPERLINK("https://www.facebook.com/tuoitrecongansonla/", "Công an xã Mường Bang  tỉnh Sơn La")</f>
      </c>
      <c r="C4126" t="str">
        <v>https://www.facebook.com/tuoitrecongansonla/</v>
      </c>
      <c r="D4126" t="str">
        <v>-</v>
      </c>
      <c r="E4126" t="str">
        <v/>
      </c>
      <c r="F4126" t="str">
        <v>-</v>
      </c>
      <c r="G4126" t="str">
        <v>-</v>
      </c>
    </row>
    <row r="4127">
      <c r="A4127">
        <v>4126</v>
      </c>
      <c r="B4127">
        <f>HYPERLINK("https://sonla.gov.vn/thong-tin-van-ban-da-duoc-chung-thuc-nhung-khong-co-gia-tri-phap-ly/thong-bao-so-01-tb-ubnd-cua-ubnd-xa-muong-bang-ve-viec-huy-bo-gia-tri-phap-ly-cua-van-ban-chung--627820", "UBND Ủy ban nhân dân xã Mường Bang  tỉnh Sơn La")</f>
      </c>
      <c r="C4127" t="str">
        <v>https://sonla.gov.vn/thong-tin-van-ban-da-duoc-chung-thuc-nhung-khong-co-gia-tri-phap-ly/thong-bao-so-01-tb-ubnd-cua-ubnd-xa-muong-bang-ve-viec-huy-bo-gia-tri-phap-ly-cua-van-ban-chung--627820</v>
      </c>
      <c r="D4127" t="str">
        <v>-</v>
      </c>
      <c r="E4127" t="str">
        <v>-</v>
      </c>
      <c r="F4127" t="str">
        <v>-</v>
      </c>
      <c r="G4127" t="str">
        <v>-</v>
      </c>
    </row>
    <row r="4128">
      <c r="A4128">
        <v>4127</v>
      </c>
      <c r="B4128">
        <f>HYPERLINK("https://www.facebook.com/p/C%C3%B4ng-an-x%C3%A3-%C4%90%C3%A1-%C4%90%E1%BB%8F-huy%E1%BB%87n-Ph%C3%B9-Y%C3%AAn-t%E1%BB%89nh-S%C6%A1n-La-100069499724470/?locale=nn_NO", "Công an xã Đá Đỏ  tỉnh Sơn La")</f>
      </c>
      <c r="C4128" t="str">
        <v>https://www.facebook.com/p/C%C3%B4ng-an-x%C3%A3-%C4%90%C3%A1-%C4%90%E1%BB%8F-huy%E1%BB%87n-Ph%C3%B9-Y%C3%AAn-t%E1%BB%89nh-S%C6%A1n-La-100069499724470/?locale=nn_NO</v>
      </c>
      <c r="D4128" t="str">
        <v>-</v>
      </c>
      <c r="E4128" t="str">
        <v/>
      </c>
      <c r="F4128" t="str">
        <v>-</v>
      </c>
      <c r="G4128" t="str">
        <v>-</v>
      </c>
    </row>
    <row r="4129">
      <c r="A4129">
        <v>4128</v>
      </c>
      <c r="B4129">
        <f>HYPERLINK("https://sonla.gov.vn/4/467/38179/hoi-dap/", "UBND Ủy ban nhân dân xã Đá Đỏ  tỉnh Sơn La")</f>
      </c>
      <c r="C4129" t="str">
        <v>https://sonla.gov.vn/4/467/38179/hoi-dap/</v>
      </c>
      <c r="D4129" t="str">
        <v>-</v>
      </c>
      <c r="E4129" t="str">
        <v>-</v>
      </c>
      <c r="F4129" t="str">
        <v>-</v>
      </c>
      <c r="G4129" t="str">
        <v>-</v>
      </c>
    </row>
    <row r="4130">
      <c r="A4130">
        <v>4129</v>
      </c>
      <c r="B4130">
        <f>HYPERLINK("https://www.facebook.com/tuoitrecongansonla/", "Công an xã Tân Phong  tỉnh Sơn La")</f>
      </c>
      <c r="C4130" t="str">
        <v>https://www.facebook.com/tuoitrecongansonla/</v>
      </c>
      <c r="D4130" t="str">
        <v>-</v>
      </c>
      <c r="E4130" t="str">
        <v/>
      </c>
      <c r="F4130" t="str">
        <v>-</v>
      </c>
      <c r="G4130" t="str">
        <v>-</v>
      </c>
    </row>
    <row r="4131">
      <c r="A4131">
        <v>4130</v>
      </c>
      <c r="B4131">
        <f>HYPERLINK("https://kienthuy.haiphong.gov.vn/cac-xa-thi-tran/xa-tan-phong-308383", "UBND Ủy ban nhân dân xã Tân Phong  tỉnh Sơn La")</f>
      </c>
      <c r="C4131" t="str">
        <v>https://kienthuy.haiphong.gov.vn/cac-xa-thi-tran/xa-tan-phong-308383</v>
      </c>
      <c r="D4131" t="str">
        <v>-</v>
      </c>
      <c r="E4131" t="str">
        <v>-</v>
      </c>
      <c r="F4131" t="str">
        <v>-</v>
      </c>
      <c r="G4131" t="str">
        <v>-</v>
      </c>
    </row>
    <row r="4132">
      <c r="A4132">
        <v>4131</v>
      </c>
      <c r="B4132">
        <f>HYPERLINK("https://www.facebook.com/tuoitrecongansonla/", "Công an xã Nam Phong  tỉnh Sơn La")</f>
      </c>
      <c r="C4132" t="str">
        <v>https://www.facebook.com/tuoitrecongansonla/</v>
      </c>
      <c r="D4132" t="str">
        <v>-</v>
      </c>
      <c r="E4132" t="str">
        <v/>
      </c>
      <c r="F4132" t="str">
        <v>-</v>
      </c>
      <c r="G4132" t="str">
        <v>-</v>
      </c>
    </row>
    <row r="4133">
      <c r="A4133">
        <v>4132</v>
      </c>
      <c r="B4133">
        <f>HYPERLINK("https://xananhnghe.hoabinh.gov.vn/index.php/tin-t-c-s-ki-n/chinh-tr/267-a-ng-a-y-a-y-ban-nha-n-da-n-xa-na-nh-ngha-giao-l-u-v-n-ha-a-v-n-ngha-cha-o-ma-ng-79-n-m-nga-y-ca-ch-ma-ng-tha-ng-ta-m-tha-nh-ca-ng-va-qua-c-kha-nh-2-9-2024-va-i-xa-nam-phong-huya-n-pha-ya-n-ta-nh-s-n-la", "UBND Ủy ban nhân dân xã Nam Phong  tỉnh Sơn La")</f>
      </c>
      <c r="C4133" t="str">
        <v>https://xananhnghe.hoabinh.gov.vn/index.php/tin-t-c-s-ki-n/chinh-tr/267-a-ng-a-y-a-y-ban-nha-n-da-n-xa-na-nh-ngha-giao-l-u-v-n-ha-a-v-n-ngha-cha-o-ma-ng-79-n-m-nga-y-ca-ch-ma-ng-tha-ng-ta-m-tha-nh-ca-ng-va-qua-c-kha-nh-2-9-2024-va-i-xa-nam-phong-huya-n-pha-ya-n-ta-nh-s-n-la</v>
      </c>
      <c r="D4133" t="str">
        <v>-</v>
      </c>
      <c r="E4133" t="str">
        <v>-</v>
      </c>
      <c r="F4133" t="str">
        <v>-</v>
      </c>
      <c r="G4133" t="str">
        <v>-</v>
      </c>
    </row>
    <row r="4134">
      <c r="A4134">
        <v>4133</v>
      </c>
      <c r="B4134">
        <f>HYPERLINK("https://www.facebook.com/p/C%C3%B4ng-an-x%C3%A3-B%E1%BA%AFc-Phong-huy%E1%BB%87n-Ph%C3%B9-Y%C3%AAn-t%E1%BB%89nh-S%C6%A1n-La-100069354649996/", "Công an xã Bắc Phong  tỉnh Sơn La")</f>
      </c>
      <c r="C4134" t="str">
        <v>https://www.facebook.com/p/C%C3%B4ng-an-x%C3%A3-B%E1%BA%AFc-Phong-huy%E1%BB%87n-Ph%C3%B9-Y%C3%AAn-t%E1%BB%89nh-S%C6%A1n-La-100069354649996/</v>
      </c>
      <c r="D4134" t="str">
        <v>-</v>
      </c>
      <c r="E4134" t="str">
        <v/>
      </c>
      <c r="F4134" t="str">
        <v>-</v>
      </c>
      <c r="G4134" t="str">
        <v>-</v>
      </c>
    </row>
    <row r="4135">
      <c r="A4135">
        <v>4134</v>
      </c>
      <c r="B4135">
        <f>HYPERLINK("https://thuanbac.ninhthuan.gov.vn/portal/Pages/UBND-xa.aspx", "UBND Ủy ban nhân dân xã Bắc Phong  tỉnh Sơn La")</f>
      </c>
      <c r="C4135" t="str">
        <v>https://thuanbac.ninhthuan.gov.vn/portal/Pages/UBND-xa.aspx</v>
      </c>
      <c r="D4135" t="str">
        <v>-</v>
      </c>
      <c r="E4135" t="str">
        <v>-</v>
      </c>
      <c r="F4135" t="str">
        <v>-</v>
      </c>
      <c r="G4135" t="str">
        <v>-</v>
      </c>
    </row>
    <row r="4136">
      <c r="A4136">
        <v>4135</v>
      </c>
      <c r="B4136">
        <f>HYPERLINK("https://www.facebook.com/ConganhuyenMocChau/?locale=vi_VN", "Công an thị trấn Mộc Châu  tỉnh Sơn La")</f>
      </c>
      <c r="C4136" t="str">
        <v>https://www.facebook.com/ConganhuyenMocChau/?locale=vi_VN</v>
      </c>
      <c r="D4136" t="str">
        <v>-</v>
      </c>
      <c r="E4136" t="str">
        <v/>
      </c>
      <c r="F4136" t="str">
        <v>-</v>
      </c>
      <c r="G4136" t="str">
        <v>-</v>
      </c>
    </row>
    <row r="4137">
      <c r="A4137">
        <v>4136</v>
      </c>
      <c r="B4137">
        <f>HYPERLINK("https://thitranmocchau.sonla.gov.vn/", "UBND Ủy ban nhân dân thị trấn Mộc Châu  tỉnh Sơn La")</f>
      </c>
      <c r="C4137" t="str">
        <v>https://thitranmocchau.sonla.gov.vn/</v>
      </c>
      <c r="D4137" t="str">
        <v>-</v>
      </c>
      <c r="E4137" t="str">
        <v>-</v>
      </c>
      <c r="F4137" t="str">
        <v>-</v>
      </c>
      <c r="G4137" t="str">
        <v>-</v>
      </c>
    </row>
    <row r="4138">
      <c r="A4138">
        <v>4137</v>
      </c>
      <c r="B4138">
        <f>HYPERLINK("https://www.facebook.com/p/C%C3%B4ng-an-Th%E1%BB%8B-tr%E1%BA%A5n-N%C3%B4ng-Tr%C6%B0%E1%BB%9Dng-M%E1%BB%99c-Ch%C3%A2u-huy%E1%BB%87n-M%E1%BB%99c-Ch%C3%A2u-t%E1%BB%89nh-S%C6%A1n-La-100067745424776/", "Công an thị trấn NT Mộc Châu  tỉnh Sơn La")</f>
      </c>
      <c r="C4138" t="str">
        <v>https://www.facebook.com/p/C%C3%B4ng-an-Th%E1%BB%8B-tr%E1%BA%A5n-N%C3%B4ng-Tr%C6%B0%E1%BB%9Dng-M%E1%BB%99c-Ch%C3%A2u-huy%E1%BB%87n-M%E1%BB%99c-Ch%C3%A2u-t%E1%BB%89nh-S%C6%A1n-La-100067745424776/</v>
      </c>
      <c r="D4138" t="str">
        <v>-</v>
      </c>
      <c r="E4138" t="str">
        <v/>
      </c>
      <c r="F4138" t="str">
        <v>-</v>
      </c>
      <c r="G4138" t="str">
        <v>-</v>
      </c>
    </row>
    <row r="4139">
      <c r="A4139">
        <v>4138</v>
      </c>
      <c r="B4139">
        <f>HYPERLINK("https://thitranmocchau.sonla.gov.vn/", "UBND Ủy ban nhân dân thị trấn NT Mộc Châu  tỉnh Sơn La")</f>
      </c>
      <c r="C4139" t="str">
        <v>https://thitranmocchau.sonla.gov.vn/</v>
      </c>
      <c r="D4139" t="str">
        <v>-</v>
      </c>
      <c r="E4139" t="str">
        <v>-</v>
      </c>
      <c r="F4139" t="str">
        <v>-</v>
      </c>
      <c r="G4139" t="str">
        <v>-</v>
      </c>
    </row>
    <row r="4140">
      <c r="A4140">
        <v>4139</v>
      </c>
      <c r="B4140" t="str">
        <v>Công an xã Chiềng Sơn  tỉnh Sơn La</v>
      </c>
      <c r="C4140" t="str">
        <v>-</v>
      </c>
      <c r="D4140" t="str">
        <v>-</v>
      </c>
      <c r="E4140" t="str">
        <v/>
      </c>
      <c r="F4140" t="str">
        <v>-</v>
      </c>
      <c r="G4140" t="str">
        <v>-</v>
      </c>
    </row>
    <row r="4141">
      <c r="A4141">
        <v>4140</v>
      </c>
      <c r="B4141">
        <f>HYPERLINK("http://chiengsonmocchau.sonla.gov.vn/index.php?module=tochuc&amp;act=view&amp;id=17", "UBND Ủy ban nhân dân xã Chiềng Sơn  tỉnh Sơn La")</f>
      </c>
      <c r="C4141" t="str">
        <v>http://chiengsonmocchau.sonla.gov.vn/index.php?module=tochuc&amp;act=view&amp;id=17</v>
      </c>
      <c r="D4141" t="str">
        <v>-</v>
      </c>
      <c r="E4141" t="str">
        <v>-</v>
      </c>
      <c r="F4141" t="str">
        <v>-</v>
      </c>
      <c r="G4141" t="str">
        <v>-</v>
      </c>
    </row>
    <row r="4142">
      <c r="A4142">
        <v>4141</v>
      </c>
      <c r="B4142">
        <f>HYPERLINK("https://www.facebook.com/tuoitrecongansonla/", "Công an xã Tân Hợp  tỉnh Sơn La")</f>
      </c>
      <c r="C4142" t="str">
        <v>https://www.facebook.com/tuoitrecongansonla/</v>
      </c>
      <c r="D4142" t="str">
        <v>-</v>
      </c>
      <c r="E4142" t="str">
        <v/>
      </c>
      <c r="F4142" t="str">
        <v>-</v>
      </c>
      <c r="G4142" t="str">
        <v>-</v>
      </c>
    </row>
    <row r="4143">
      <c r="A4143">
        <v>4142</v>
      </c>
      <c r="B4143">
        <f>HYPERLINK("http://www.yenbai.gov.vn/noidung/tintuc/Pages/chi-tiet-tin-tuc.aspx?ItemID=160&amp;l=Ditichcaptinh", "UBND Ủy ban nhân dân xã Tân Hợp  tỉnh Sơn La")</f>
      </c>
      <c r="C4143" t="str">
        <v>http://www.yenbai.gov.vn/noidung/tintuc/Pages/chi-tiet-tin-tuc.aspx?ItemID=160&amp;l=Ditichcaptinh</v>
      </c>
      <c r="D4143" t="str">
        <v>-</v>
      </c>
      <c r="E4143" t="str">
        <v>-</v>
      </c>
      <c r="F4143" t="str">
        <v>-</v>
      </c>
      <c r="G4143" t="str">
        <v>-</v>
      </c>
    </row>
    <row r="4144">
      <c r="A4144">
        <v>4143</v>
      </c>
      <c r="B4144">
        <f>HYPERLINK("https://www.facebook.com/tuoitrecongansonla/", "Công an xã Qui Hướng  tỉnh Sơn La")</f>
      </c>
      <c r="C4144" t="str">
        <v>https://www.facebook.com/tuoitrecongansonla/</v>
      </c>
      <c r="D4144" t="str">
        <v>-</v>
      </c>
      <c r="E4144" t="str">
        <v/>
      </c>
      <c r="F4144" t="str">
        <v>-</v>
      </c>
      <c r="G4144" t="str">
        <v>-</v>
      </c>
    </row>
    <row r="4145">
      <c r="A4145">
        <v>4144</v>
      </c>
      <c r="B4145">
        <f>HYPERLINK("https://sonla.gov.vn/Default.aspx?sid=4&amp;pageid=33896&amp;p_cate=6769", "UBND Ủy ban nhân dân xã Qui Hướng  tỉnh Sơn La")</f>
      </c>
      <c r="C4145" t="str">
        <v>https://sonla.gov.vn/Default.aspx?sid=4&amp;pageid=33896&amp;p_cate=6769</v>
      </c>
      <c r="D4145" t="str">
        <v>-</v>
      </c>
      <c r="E4145" t="str">
        <v>-</v>
      </c>
      <c r="F4145" t="str">
        <v>-</v>
      </c>
      <c r="G4145" t="str">
        <v>-</v>
      </c>
    </row>
    <row r="4146">
      <c r="A4146">
        <v>4145</v>
      </c>
      <c r="B4146">
        <f>HYPERLINK("https://www.facebook.com/ConganxaTanLapMocChau/", "Công an xã Tân Lập  tỉnh Sơn La")</f>
      </c>
      <c r="C4146" t="str">
        <v>https://www.facebook.com/ConganxaTanLapMocChau/</v>
      </c>
      <c r="D4146" t="str">
        <v>-</v>
      </c>
      <c r="E4146" t="str">
        <v/>
      </c>
      <c r="F4146" t="str">
        <v>-</v>
      </c>
      <c r="G4146" t="str">
        <v>-</v>
      </c>
    </row>
    <row r="4147">
      <c r="A4147">
        <v>4146</v>
      </c>
      <c r="B4147">
        <f>HYPERLINK("https://tanlap.tinhbien.angiang.gov.vn/danh-ba-0", "UBND Ủy ban nhân dân xã Tân Lập  tỉnh Sơn La")</f>
      </c>
      <c r="C4147" t="str">
        <v>https://tanlap.tinhbien.angiang.gov.vn/danh-ba-0</v>
      </c>
      <c r="D4147" t="str">
        <v>-</v>
      </c>
      <c r="E4147" t="str">
        <v>-</v>
      </c>
      <c r="F4147" t="str">
        <v>-</v>
      </c>
      <c r="G4147" t="str">
        <v>-</v>
      </c>
    </row>
    <row r="4148">
      <c r="A4148">
        <v>4147</v>
      </c>
      <c r="B4148">
        <f>HYPERLINK("https://www.facebook.com/3319821981390291/", "Công an xã Nà Mường  tỉnh Sơn La")</f>
      </c>
      <c r="C4148" t="str">
        <v>https://www.facebook.com/3319821981390291/</v>
      </c>
      <c r="D4148" t="str">
        <v>-</v>
      </c>
      <c r="E4148" t="str">
        <v/>
      </c>
      <c r="F4148" t="str">
        <v>-</v>
      </c>
      <c r="G4148" t="str">
        <v>-</v>
      </c>
    </row>
    <row r="4149">
      <c r="A4149">
        <v>4148</v>
      </c>
      <c r="B4149">
        <f>HYPERLINK("https://stttt.dienbien.gov.vn/vi/about/danh-sach-nguoi-phat-ngon-tinh-dien-bien-nam-2018.html", "UBND Ủy ban nhân dân xã Nà Mường  tỉnh Sơn La")</f>
      </c>
      <c r="C4149" t="str">
        <v>https://stttt.dienbien.gov.vn/vi/about/danh-sach-nguoi-phat-ngon-tinh-dien-bien-nam-2018.html</v>
      </c>
      <c r="D4149" t="str">
        <v>-</v>
      </c>
      <c r="E4149" t="str">
        <v>-</v>
      </c>
      <c r="F4149" t="str">
        <v>-</v>
      </c>
      <c r="G4149" t="str">
        <v>-</v>
      </c>
    </row>
    <row r="4150">
      <c r="A4150">
        <v>4149</v>
      </c>
      <c r="B4150">
        <f>HYPERLINK("https://www.facebook.com/tuoitrecongansonla/", "Công an xã Tà Lai  tỉnh Sơn La")</f>
      </c>
      <c r="C4150" t="str">
        <v>https://www.facebook.com/tuoitrecongansonla/</v>
      </c>
      <c r="D4150" t="str">
        <v>-</v>
      </c>
      <c r="E4150" t="str">
        <v/>
      </c>
      <c r="F4150" t="str">
        <v>-</v>
      </c>
      <c r="G4150" t="str">
        <v>-</v>
      </c>
    </row>
    <row r="4151">
      <c r="A4151">
        <v>4150</v>
      </c>
      <c r="B4151">
        <f>HYPERLINK("https://tanuyen.laichau.gov.vn/he-thong-to-chuc/don-vi-hanh-chinh/bnd-xa-ta-mit.html", "UBND Ủy ban nhân dân xã Tà Lai  tỉnh Sơn La")</f>
      </c>
      <c r="C4151" t="str">
        <v>https://tanuyen.laichau.gov.vn/he-thong-to-chuc/don-vi-hanh-chinh/bnd-xa-ta-mit.html</v>
      </c>
      <c r="D4151" t="str">
        <v>-</v>
      </c>
      <c r="E4151" t="str">
        <v>-</v>
      </c>
      <c r="F4151" t="str">
        <v>-</v>
      </c>
      <c r="G4151" t="str">
        <v>-</v>
      </c>
    </row>
    <row r="4152">
      <c r="A4152">
        <v>4151</v>
      </c>
      <c r="B4152" t="str">
        <v>Công an xã Chiềng Hắc  tỉnh Sơn La</v>
      </c>
      <c r="C4152" t="str">
        <v>-</v>
      </c>
      <c r="D4152" t="str">
        <v>-</v>
      </c>
      <c r="E4152" t="str">
        <v/>
      </c>
      <c r="F4152" t="str">
        <v>-</v>
      </c>
      <c r="G4152" t="str">
        <v>-</v>
      </c>
    </row>
    <row r="4153">
      <c r="A4153">
        <v>4152</v>
      </c>
      <c r="B4153">
        <f>HYPERLINK("http://chienghacmocchau.sonla.gov.vn/", "UBND Ủy ban nhân dân xã Chiềng Hắc  tỉnh Sơn La")</f>
      </c>
      <c r="C4153" t="str">
        <v>http://chienghacmocchau.sonla.gov.vn/</v>
      </c>
      <c r="D4153" t="str">
        <v>-</v>
      </c>
      <c r="E4153" t="str">
        <v>-</v>
      </c>
      <c r="F4153" t="str">
        <v>-</v>
      </c>
      <c r="G4153" t="str">
        <v>-</v>
      </c>
    </row>
    <row r="4154">
      <c r="A4154">
        <v>4153</v>
      </c>
      <c r="B4154">
        <f>HYPERLINK("https://www.facebook.com/tuoitrecongansonla/", "Công an xã Hua Păng  tỉnh Sơn La")</f>
      </c>
      <c r="C4154" t="str">
        <v>https://www.facebook.com/tuoitrecongansonla/</v>
      </c>
      <c r="D4154" t="str">
        <v>-</v>
      </c>
      <c r="E4154" t="str">
        <v/>
      </c>
      <c r="F4154" t="str">
        <v>-</v>
      </c>
      <c r="G4154" t="str">
        <v>-</v>
      </c>
    </row>
    <row r="4155">
      <c r="A4155">
        <v>4154</v>
      </c>
      <c r="B4155">
        <f>HYPERLINK("https://sonla.gov.vn/tin-van-hoa-xa-hoi/le-don-nhan-ban-giao-truy-dieu-va-an-tang-hai-cot-liet-si-quan-tinh-nguyen-viet-nam-hy-sinh-tai--714097", "UBND Ủy ban nhân dân xã Hua Păng  tỉnh Sơn La")</f>
      </c>
      <c r="C4155" t="str">
        <v>https://sonla.gov.vn/tin-van-hoa-xa-hoi/le-don-nhan-ban-giao-truy-dieu-va-an-tang-hai-cot-liet-si-quan-tinh-nguyen-viet-nam-hy-sinh-tai--714097</v>
      </c>
      <c r="D4155" t="str">
        <v>-</v>
      </c>
      <c r="E4155" t="str">
        <v>-</v>
      </c>
      <c r="F4155" t="str">
        <v>-</v>
      </c>
      <c r="G4155" t="str">
        <v>-</v>
      </c>
    </row>
    <row r="4156">
      <c r="A4156">
        <v>4155</v>
      </c>
      <c r="B4156" t="str">
        <v>Công an xã Chiềng Khừa  tỉnh Sơn La</v>
      </c>
      <c r="C4156" t="str">
        <v>-</v>
      </c>
      <c r="D4156" t="str">
        <v>-</v>
      </c>
      <c r="E4156" t="str">
        <v/>
      </c>
      <c r="F4156" t="str">
        <v>-</v>
      </c>
      <c r="G4156" t="str">
        <v>-</v>
      </c>
    </row>
    <row r="4157">
      <c r="A4157">
        <v>4156</v>
      </c>
      <c r="B4157">
        <f>HYPERLINK("https://mocchau.sonla.gov.vn/tuyen-truyen-pho-bien-thuc-hien-phap-luat", "UBND Ủy ban nhân dân xã Chiềng Khừa  tỉnh Sơn La")</f>
      </c>
      <c r="C4157" t="str">
        <v>https://mocchau.sonla.gov.vn/tuyen-truyen-pho-bien-thuc-hien-phap-luat</v>
      </c>
      <c r="D4157" t="str">
        <v>-</v>
      </c>
      <c r="E4157" t="str">
        <v>-</v>
      </c>
      <c r="F4157" t="str">
        <v>-</v>
      </c>
      <c r="G4157" t="str">
        <v>-</v>
      </c>
    </row>
    <row r="4158">
      <c r="A4158">
        <v>4157</v>
      </c>
      <c r="B4158">
        <f>HYPERLINK("https://www.facebook.com/tuoitrecongansonla/", "Công an xã Mường Sang  tỉnh Sơn La")</f>
      </c>
      <c r="C4158" t="str">
        <v>https://www.facebook.com/tuoitrecongansonla/</v>
      </c>
      <c r="D4158" t="str">
        <v>-</v>
      </c>
      <c r="E4158" t="str">
        <v/>
      </c>
      <c r="F4158" t="str">
        <v>-</v>
      </c>
      <c r="G4158" t="str">
        <v>-</v>
      </c>
    </row>
    <row r="4159">
      <c r="A4159">
        <v>4158</v>
      </c>
      <c r="B4159">
        <f>HYPERLINK("https://sonla.gov.vn/4/469/61812/550605/xay-dung-nong-thon-moi/xa-muong-sang-huyen-moc-chau-nang-cao-thu-nhap-cho-nhan-dan-tu-xay-dung-nong-thon-moi", "UBND Ủy ban nhân dân xã Mường Sang  tỉnh Sơn La")</f>
      </c>
      <c r="C4159" t="str">
        <v>https://sonla.gov.vn/4/469/61812/550605/xay-dung-nong-thon-moi/xa-muong-sang-huyen-moc-chau-nang-cao-thu-nhap-cho-nhan-dan-tu-xay-dung-nong-thon-moi</v>
      </c>
      <c r="D4159" t="str">
        <v>-</v>
      </c>
      <c r="E4159" t="str">
        <v>-</v>
      </c>
      <c r="F4159" t="str">
        <v>-</v>
      </c>
      <c r="G4159" t="str">
        <v>-</v>
      </c>
    </row>
    <row r="4160">
      <c r="A4160">
        <v>4159</v>
      </c>
      <c r="B4160">
        <f>HYPERLINK("https://www.facebook.com/p/C%C3%B4ng-an-x%C3%A3-%C4%90%C3%B4ng-Sang-huy%E1%BB%87n-M%E1%BB%99c-Ch%C3%A2u-100069242317075/", "Công an xã Đông Sang  tỉnh Sơn La")</f>
      </c>
      <c r="C4160" t="str">
        <v>https://www.facebook.com/p/C%C3%B4ng-an-x%C3%A3-%C4%90%C3%B4ng-Sang-huy%E1%BB%87n-M%E1%BB%99c-Ch%C3%A2u-100069242317075/</v>
      </c>
      <c r="D4160" t="str">
        <v>-</v>
      </c>
      <c r="E4160" t="str">
        <v/>
      </c>
      <c r="F4160" t="str">
        <v>-</v>
      </c>
      <c r="G4160" t="str">
        <v>-</v>
      </c>
    </row>
    <row r="4161">
      <c r="A4161">
        <v>4160</v>
      </c>
      <c r="B4161">
        <f>HYPERLINK("https://dongson.thanhhoa.gov.vn/", "UBND Ủy ban nhân dân xã Đông Sang  tỉnh Sơn La")</f>
      </c>
      <c r="C4161" t="str">
        <v>https://dongson.thanhhoa.gov.vn/</v>
      </c>
      <c r="D4161" t="str">
        <v>-</v>
      </c>
      <c r="E4161" t="str">
        <v>-</v>
      </c>
      <c r="F4161" t="str">
        <v>-</v>
      </c>
      <c r="G4161" t="str">
        <v>-</v>
      </c>
    </row>
    <row r="4162">
      <c r="A4162">
        <v>4161</v>
      </c>
      <c r="B4162">
        <f>HYPERLINK("https://www.facebook.com/tuoitrecongansonla/", "Công an xã Phiêng Luông  tỉnh Sơn La")</f>
      </c>
      <c r="C4162" t="str">
        <v>https://www.facebook.com/tuoitrecongansonla/</v>
      </c>
      <c r="D4162" t="str">
        <v>-</v>
      </c>
      <c r="E4162" t="str">
        <v/>
      </c>
      <c r="F4162" t="str">
        <v>-</v>
      </c>
      <c r="G4162" t="str">
        <v>-</v>
      </c>
    </row>
    <row r="4163">
      <c r="A4163">
        <v>4162</v>
      </c>
      <c r="B4163">
        <f>HYPERLINK("http://hoinongdan.sonla.gov.vn/index.php?module=tinhoatdong&amp;act=view&amp;id=726&amp;cat=67", "UBND Ủy ban nhân dân xã Phiêng Luông  tỉnh Sơn La")</f>
      </c>
      <c r="C4163" t="str">
        <v>http://hoinongdan.sonla.gov.vn/index.php?module=tinhoatdong&amp;act=view&amp;id=726&amp;cat=67</v>
      </c>
      <c r="D4163" t="str">
        <v>-</v>
      </c>
      <c r="E4163" t="str">
        <v>-</v>
      </c>
      <c r="F4163" t="str">
        <v>-</v>
      </c>
      <c r="G4163" t="str">
        <v>-</v>
      </c>
    </row>
    <row r="4164">
      <c r="A4164">
        <v>4163</v>
      </c>
      <c r="B4164" t="str">
        <v>Công an xã Lóng Sập  tỉnh Sơn La</v>
      </c>
      <c r="C4164" t="str">
        <v>-</v>
      </c>
      <c r="D4164" t="str">
        <v>-</v>
      </c>
      <c r="E4164" t="str">
        <v/>
      </c>
      <c r="F4164" t="str">
        <v>-</v>
      </c>
      <c r="G4164" t="str">
        <v>-</v>
      </c>
    </row>
    <row r="4165">
      <c r="A4165">
        <v>4164</v>
      </c>
      <c r="B4165">
        <f>HYPERLINK("https://mocchau.sonla.gov.vn/tuyen-truyen-pho-bien-thuc-hien-phap-luat", "UBND Ủy ban nhân dân xã Lóng Sập  tỉnh Sơn La")</f>
      </c>
      <c r="C4165" t="str">
        <v>https://mocchau.sonla.gov.vn/tuyen-truyen-pho-bien-thuc-hien-phap-luat</v>
      </c>
      <c r="D4165" t="str">
        <v>-</v>
      </c>
      <c r="E4165" t="str">
        <v>-</v>
      </c>
      <c r="F4165" t="str">
        <v>-</v>
      </c>
      <c r="G4165" t="str">
        <v>-</v>
      </c>
    </row>
    <row r="4166">
      <c r="A4166">
        <v>4165</v>
      </c>
      <c r="B4166">
        <f>HYPERLINK("https://www.facebook.com/p/C%C3%B4ng-an-huy%E1%BB%87n-Y%C3%AAn-Ch%C3%A2u-t%E1%BB%89nh-S%C6%A1n-La-100067882819020/", "Công an thị trấn Yên Châu  tỉnh Sơn La")</f>
      </c>
      <c r="C4166" t="str">
        <v>https://www.facebook.com/p/C%C3%B4ng-an-huy%E1%BB%87n-Y%C3%AAn-Ch%C3%A2u-t%E1%BB%89nh-S%C6%A1n-La-100067882819020/</v>
      </c>
      <c r="D4166" t="str">
        <v>-</v>
      </c>
      <c r="E4166" t="str">
        <v/>
      </c>
      <c r="F4166" t="str">
        <v>-</v>
      </c>
      <c r="G4166" t="str">
        <v>-</v>
      </c>
    </row>
    <row r="4167">
      <c r="A4167">
        <v>4166</v>
      </c>
      <c r="B4167">
        <f>HYPERLINK("https://yenchau.sonla.gov.vn/", "UBND Ủy ban nhân dân thị trấn Yên Châu  tỉnh Sơn La")</f>
      </c>
      <c r="C4167" t="str">
        <v>https://yenchau.sonla.gov.vn/</v>
      </c>
      <c r="D4167" t="str">
        <v>-</v>
      </c>
      <c r="E4167" t="str">
        <v>-</v>
      </c>
      <c r="F4167" t="str">
        <v>-</v>
      </c>
      <c r="G4167" t="str">
        <v>-</v>
      </c>
    </row>
    <row r="4168">
      <c r="A4168">
        <v>4167</v>
      </c>
      <c r="B4168" t="str">
        <v>Công an xã Chiềng Đông  tỉnh Sơn La</v>
      </c>
      <c r="C4168" t="str">
        <v>-</v>
      </c>
      <c r="D4168" t="str">
        <v>-</v>
      </c>
      <c r="E4168" t="str">
        <v/>
      </c>
      <c r="F4168" t="str">
        <v>-</v>
      </c>
      <c r="G4168" t="str">
        <v>-</v>
      </c>
    </row>
    <row r="4169">
      <c r="A4169">
        <v>4168</v>
      </c>
      <c r="B4169">
        <f>HYPERLINK("http://chiengsonmocchau.sonla.gov.vn/index.php?module=tochuc&amp;act=view&amp;id=17", "UBND Ủy ban nhân dân xã Chiềng Đông  tỉnh Sơn La")</f>
      </c>
      <c r="C4169" t="str">
        <v>http://chiengsonmocchau.sonla.gov.vn/index.php?module=tochuc&amp;act=view&amp;id=17</v>
      </c>
      <c r="D4169" t="str">
        <v>-</v>
      </c>
      <c r="E4169" t="str">
        <v>-</v>
      </c>
      <c r="F4169" t="str">
        <v>-</v>
      </c>
      <c r="G4169" t="str">
        <v>-</v>
      </c>
    </row>
    <row r="4170">
      <c r="A4170">
        <v>4169</v>
      </c>
      <c r="B4170" t="str">
        <v>Công an xã Sập Vạt  tỉnh Sơn La</v>
      </c>
      <c r="C4170" t="str">
        <v>-</v>
      </c>
      <c r="D4170" t="str">
        <v>-</v>
      </c>
      <c r="E4170" t="str">
        <v/>
      </c>
      <c r="F4170" t="str">
        <v>-</v>
      </c>
      <c r="G4170" t="str">
        <v>-</v>
      </c>
    </row>
    <row r="4171">
      <c r="A4171">
        <v>4170</v>
      </c>
      <c r="B4171">
        <f>HYPERLINK("https://sonla.gov.vn/4/469/63286/619655/thong-tin-dau-gia/thong-bao-so-131-tb-dgtt-cong-khai-dau-gia-quyen-khai-thac-khoang-san-lam-vat-lieu-xay-dung-thon", "UBND Ủy ban nhân dân xã Sập Vạt  tỉnh Sơn La")</f>
      </c>
      <c r="C4171" t="str">
        <v>https://sonla.gov.vn/4/469/63286/619655/thong-tin-dau-gia/thong-bao-so-131-tb-dgtt-cong-khai-dau-gia-quyen-khai-thac-khoang-san-lam-vat-lieu-xay-dung-thon</v>
      </c>
      <c r="D4171" t="str">
        <v>-</v>
      </c>
      <c r="E4171" t="str">
        <v>-</v>
      </c>
      <c r="F4171" t="str">
        <v>-</v>
      </c>
      <c r="G4171" t="str">
        <v>-</v>
      </c>
    </row>
    <row r="4172">
      <c r="A4172">
        <v>4171</v>
      </c>
      <c r="B4172" t="str">
        <v>Công an xã Chiềng Sàng  tỉnh Sơn La</v>
      </c>
      <c r="C4172" t="str">
        <v>-</v>
      </c>
      <c r="D4172" t="str">
        <v>-</v>
      </c>
      <c r="E4172" t="str">
        <v/>
      </c>
      <c r="F4172" t="str">
        <v>-</v>
      </c>
      <c r="G4172" t="str">
        <v>-</v>
      </c>
    </row>
    <row r="4173">
      <c r="A4173">
        <v>4172</v>
      </c>
      <c r="B4173">
        <f>HYPERLINK("https://yenchau.sonla.gov.vn/?pageid=31385&amp;p_steering=95417", "UBND Ủy ban nhân dân xã Chiềng Sàng  tỉnh Sơn La")</f>
      </c>
      <c r="C4173" t="str">
        <v>https://yenchau.sonla.gov.vn/?pageid=31385&amp;p_steering=95417</v>
      </c>
      <c r="D4173" t="str">
        <v>-</v>
      </c>
      <c r="E4173" t="str">
        <v>-</v>
      </c>
      <c r="F4173" t="str">
        <v>-</v>
      </c>
      <c r="G4173" t="str">
        <v>-</v>
      </c>
    </row>
    <row r="4174">
      <c r="A4174">
        <v>4173</v>
      </c>
      <c r="B4174">
        <f>HYPERLINK("https://www.facebook.com/100086136145393", "Công an xã Chiềng Pằn  tỉnh Sơn La")</f>
      </c>
      <c r="C4174" t="str">
        <v>https://www.facebook.com/100086136145393</v>
      </c>
      <c r="D4174" t="str">
        <v>0353198007</v>
      </c>
      <c r="E4174" t="str">
        <v>-</v>
      </c>
      <c r="F4174" t="str">
        <v>truongththcschiengpanyc@gmail.com</v>
      </c>
      <c r="G4174" t="str">
        <v>Chiềng Pằn - Yên Châu, Son La, Vietnam</v>
      </c>
    </row>
    <row r="4175">
      <c r="A4175">
        <v>4174</v>
      </c>
      <c r="B4175">
        <f>HYPERLINK("https://yenchau.sonla.gov.vn/?pageid=31385&amp;p_steering=95420", "UBND Ủy ban nhân dân xã Chiềng Pằn  tỉnh Sơn La")</f>
      </c>
      <c r="C4175" t="str">
        <v>https://yenchau.sonla.gov.vn/?pageid=31385&amp;p_steering=95420</v>
      </c>
      <c r="D4175" t="str">
        <v>-</v>
      </c>
      <c r="E4175" t="str">
        <v>-</v>
      </c>
      <c r="F4175" t="str">
        <v>-</v>
      </c>
      <c r="G4175" t="str">
        <v>-</v>
      </c>
    </row>
    <row r="4176">
      <c r="A4176">
        <v>4175</v>
      </c>
      <c r="B4176">
        <f>HYPERLINK("https://www.facebook.com/tuoitrecongansonla/", "Công an xã Viêng Lán  tỉnh Sơn La")</f>
      </c>
      <c r="C4176" t="str">
        <v>https://www.facebook.com/tuoitrecongansonla/</v>
      </c>
      <c r="D4176" t="str">
        <v>-</v>
      </c>
      <c r="E4176" t="str">
        <v/>
      </c>
      <c r="F4176" t="str">
        <v>-</v>
      </c>
      <c r="G4176" t="str">
        <v>-</v>
      </c>
    </row>
    <row r="4177">
      <c r="A4177">
        <v>4176</v>
      </c>
      <c r="B4177">
        <f>HYPERLINK("https://yenchau.sonla.gov.vn/?pageid=31386&amp;p_field=3758", "UBND Ủy ban nhân dân xã Viêng Lán  tỉnh Sơn La")</f>
      </c>
      <c r="C4177" t="str">
        <v>https://yenchau.sonla.gov.vn/?pageid=31386&amp;p_field=3758</v>
      </c>
      <c r="D4177" t="str">
        <v>-</v>
      </c>
      <c r="E4177" t="str">
        <v>-</v>
      </c>
      <c r="F4177" t="str">
        <v>-</v>
      </c>
      <c r="G4177" t="str">
        <v>-</v>
      </c>
    </row>
    <row r="4178">
      <c r="A4178">
        <v>4177</v>
      </c>
      <c r="B4178" t="str">
        <v>Công an xã Chiềng Hặc  tỉnh Sơn La</v>
      </c>
      <c r="C4178" t="str">
        <v>-</v>
      </c>
      <c r="D4178" t="str">
        <v>-</v>
      </c>
      <c r="E4178" t="str">
        <v/>
      </c>
      <c r="F4178" t="str">
        <v>-</v>
      </c>
      <c r="G4178" t="str">
        <v>-</v>
      </c>
    </row>
    <row r="4179">
      <c r="A4179">
        <v>4178</v>
      </c>
      <c r="B4179">
        <f>HYPERLINK("http://chienghacmocchau.sonla.gov.vn/", "UBND Ủy ban nhân dân xã Chiềng Hặc  tỉnh Sơn La")</f>
      </c>
      <c r="C4179" t="str">
        <v>http://chienghacmocchau.sonla.gov.vn/</v>
      </c>
      <c r="D4179" t="str">
        <v>-</v>
      </c>
      <c r="E4179" t="str">
        <v>-</v>
      </c>
      <c r="F4179" t="str">
        <v>-</v>
      </c>
      <c r="G4179" t="str">
        <v>-</v>
      </c>
    </row>
    <row r="4180">
      <c r="A4180">
        <v>4179</v>
      </c>
      <c r="B4180" t="str">
        <v>Công an xã Mường Lựm  tỉnh Sơn La</v>
      </c>
      <c r="C4180" t="str">
        <v>-</v>
      </c>
      <c r="D4180" t="str">
        <v>-</v>
      </c>
      <c r="E4180" t="str">
        <v/>
      </c>
      <c r="F4180" t="str">
        <v>-</v>
      </c>
      <c r="G4180" t="str">
        <v>-</v>
      </c>
    </row>
    <row r="4181">
      <c r="A4181">
        <v>4180</v>
      </c>
      <c r="B4181">
        <f>HYPERLINK("https://sonla.gov.vn/tin-kinh-te/dong-chi-pho-chu-tich-ubnd-tinh-doi-thoai-voi-nhan-dan-xa-muong-lum-huyen-yen-chau-892179", "UBND Ủy ban nhân dân xã Mường Lựm  tỉnh Sơn La")</f>
      </c>
      <c r="C4181" t="str">
        <v>https://sonla.gov.vn/tin-kinh-te/dong-chi-pho-chu-tich-ubnd-tinh-doi-thoai-voi-nhan-dan-xa-muong-lum-huyen-yen-chau-892179</v>
      </c>
      <c r="D4181" t="str">
        <v>-</v>
      </c>
      <c r="E4181" t="str">
        <v>-</v>
      </c>
      <c r="F4181" t="str">
        <v>-</v>
      </c>
      <c r="G4181" t="str">
        <v>-</v>
      </c>
    </row>
    <row r="4182">
      <c r="A4182">
        <v>4181</v>
      </c>
      <c r="B4182" t="str">
        <v>Công an xã Chiềng On  tỉnh Sơn La</v>
      </c>
      <c r="C4182" t="str">
        <v>-</v>
      </c>
      <c r="D4182" t="str">
        <v>-</v>
      </c>
      <c r="E4182" t="str">
        <v/>
      </c>
      <c r="F4182" t="str">
        <v>-</v>
      </c>
      <c r="G4182" t="str">
        <v>-</v>
      </c>
    </row>
    <row r="4183">
      <c r="A4183">
        <v>4182</v>
      </c>
      <c r="B4183">
        <f>HYPERLINK("http://chiengsonmocchau.sonla.gov.vn/index.php?module=tochuc&amp;act=view&amp;id=17", "UBND Ủy ban nhân dân xã Chiềng On  tỉnh Sơn La")</f>
      </c>
      <c r="C4183" t="str">
        <v>http://chiengsonmocchau.sonla.gov.vn/index.php?module=tochuc&amp;act=view&amp;id=17</v>
      </c>
      <c r="D4183" t="str">
        <v>-</v>
      </c>
      <c r="E4183" t="str">
        <v>-</v>
      </c>
      <c r="F4183" t="str">
        <v>-</v>
      </c>
      <c r="G4183" t="str">
        <v>-</v>
      </c>
    </row>
    <row r="4184">
      <c r="A4184">
        <v>4183</v>
      </c>
      <c r="B4184">
        <f>HYPERLINK("https://www.facebook.com/p/C%C3%B4ng-an-huy%E1%BB%87n-Y%C3%AAn-Ch%C3%A2u-t%E1%BB%89nh-S%C6%A1n-La-100067882819020/", "Công an xã Yên Sơn  tỉnh Sơn La")</f>
      </c>
      <c r="C4184" t="str">
        <v>https://www.facebook.com/p/C%C3%B4ng-an-huy%E1%BB%87n-Y%C3%AAn-Ch%C3%A2u-t%E1%BB%89nh-S%C6%A1n-La-100067882819020/</v>
      </c>
      <c r="D4184" t="str">
        <v>-</v>
      </c>
      <c r="E4184" t="str">
        <v/>
      </c>
      <c r="F4184" t="str">
        <v>-</v>
      </c>
      <c r="G4184" t="str">
        <v>-</v>
      </c>
    </row>
    <row r="4185">
      <c r="A4185">
        <v>4184</v>
      </c>
      <c r="B4185">
        <f>HYPERLINK("https://yenson.tuyenquang.gov.vn/", "UBND Ủy ban nhân dân xã Yên Sơn  tỉnh Sơn La")</f>
      </c>
      <c r="C4185" t="str">
        <v>https://yenson.tuyenquang.gov.vn/</v>
      </c>
      <c r="D4185" t="str">
        <v>-</v>
      </c>
      <c r="E4185" t="str">
        <v>-</v>
      </c>
      <c r="F4185" t="str">
        <v>-</v>
      </c>
      <c r="G4185" t="str">
        <v>-</v>
      </c>
    </row>
    <row r="4186">
      <c r="A4186">
        <v>4185</v>
      </c>
      <c r="B4186" t="str">
        <v>Công an xã Chiềng Khoi  tỉnh Sơn La</v>
      </c>
      <c r="C4186" t="str">
        <v>-</v>
      </c>
      <c r="D4186" t="str">
        <v>-</v>
      </c>
      <c r="E4186" t="str">
        <v/>
      </c>
      <c r="F4186" t="str">
        <v>-</v>
      </c>
      <c r="G4186" t="str">
        <v>-</v>
      </c>
    </row>
    <row r="4187">
      <c r="A4187">
        <v>4186</v>
      </c>
      <c r="B4187">
        <f>HYPERLINK("https://yenchau.sonla.gov.vn/?pageid=31386&amp;p_field=3758", "UBND Ủy ban nhân dân xã Chiềng Khoi  tỉnh Sơn La")</f>
      </c>
      <c r="C4187" t="str">
        <v>https://yenchau.sonla.gov.vn/?pageid=31386&amp;p_field=3758</v>
      </c>
      <c r="D4187" t="str">
        <v>-</v>
      </c>
      <c r="E4187" t="str">
        <v>-</v>
      </c>
      <c r="F4187" t="str">
        <v>-</v>
      </c>
      <c r="G4187" t="str">
        <v>-</v>
      </c>
    </row>
    <row r="4188">
      <c r="A4188">
        <v>4187</v>
      </c>
      <c r="B4188">
        <f>HYPERLINK("https://www.facebook.com/tuoitrecongansonla/", "Công an xã Tú Nang  tỉnh Sơn La")</f>
      </c>
      <c r="C4188" t="str">
        <v>https://www.facebook.com/tuoitrecongansonla/</v>
      </c>
      <c r="D4188" t="str">
        <v>-</v>
      </c>
      <c r="E4188" t="str">
        <v/>
      </c>
      <c r="F4188" t="str">
        <v>-</v>
      </c>
      <c r="G4188" t="str">
        <v>-</v>
      </c>
    </row>
    <row r="4189">
      <c r="A4189">
        <v>4188</v>
      </c>
      <c r="B4189">
        <f>HYPERLINK("https://sonla.gov.vn/tin-bai", "UBND Ủy ban nhân dân xã Tú Nang  tỉnh Sơn La")</f>
      </c>
      <c r="C4189" t="str">
        <v>https://sonla.gov.vn/tin-bai</v>
      </c>
      <c r="D4189" t="str">
        <v>-</v>
      </c>
      <c r="E4189" t="str">
        <v>-</v>
      </c>
      <c r="F4189" t="str">
        <v>-</v>
      </c>
      <c r="G4189" t="str">
        <v>-</v>
      </c>
    </row>
    <row r="4190">
      <c r="A4190">
        <v>4189</v>
      </c>
      <c r="B4190" t="str">
        <v>Công an xã Lóng Phiêng  tỉnh Sơn La</v>
      </c>
      <c r="C4190" t="str">
        <v>-</v>
      </c>
      <c r="D4190" t="str">
        <v>-</v>
      </c>
      <c r="E4190" t="str">
        <v/>
      </c>
      <c r="F4190" t="str">
        <v>-</v>
      </c>
      <c r="G4190" t="str">
        <v>-</v>
      </c>
    </row>
    <row r="4191">
      <c r="A4191">
        <v>4190</v>
      </c>
      <c r="B4191">
        <f>HYPERLINK("https://sonla.gov.vn/tin-van-hoa-xa-hoi/xa-long-phieng-phat-trien-kinh-te-tu-trong-cay-an-qua-659220", "UBND Ủy ban nhân dân xã Lóng Phiêng  tỉnh Sơn La")</f>
      </c>
      <c r="C4191" t="str">
        <v>https://sonla.gov.vn/tin-van-hoa-xa-hoi/xa-long-phieng-phat-trien-kinh-te-tu-trong-cay-an-qua-659220</v>
      </c>
      <c r="D4191" t="str">
        <v>-</v>
      </c>
      <c r="E4191" t="str">
        <v>-</v>
      </c>
      <c r="F4191" t="str">
        <v>-</v>
      </c>
      <c r="G4191" t="str">
        <v>-</v>
      </c>
    </row>
    <row r="4192">
      <c r="A4192">
        <v>4191</v>
      </c>
      <c r="B4192">
        <f>HYPERLINK("https://www.facebook.com/100072053905062", "Công an xã Phiêng Khoài  tỉnh Sơn La")</f>
      </c>
      <c r="C4192" t="str">
        <v>https://www.facebook.com/100072053905062</v>
      </c>
      <c r="D4192" t="str">
        <v>-</v>
      </c>
      <c r="E4192" t="str">
        <v/>
      </c>
      <c r="F4192" t="str">
        <v>-</v>
      </c>
      <c r="G4192" t="str">
        <v>-</v>
      </c>
    </row>
    <row r="4193">
      <c r="A4193">
        <v>4192</v>
      </c>
      <c r="B4193">
        <f>HYPERLINK("https://sonla.gov.vn/thong-tin-tu-so-nganh-dia-phuong/ban-dan-van-trung-uong-khao-sat-cong-tac-dan-toc-tai-xa-phieng-khoai-yen-chau-891625", "UBND Ủy ban nhân dân xã Phiêng Khoài  tỉnh Sơn La")</f>
      </c>
      <c r="C4193" t="str">
        <v>https://sonla.gov.vn/thong-tin-tu-so-nganh-dia-phuong/ban-dan-van-trung-uong-khao-sat-cong-tac-dan-toc-tai-xa-phieng-khoai-yen-chau-891625</v>
      </c>
      <c r="D4193" t="str">
        <v>-</v>
      </c>
      <c r="E4193" t="str">
        <v>-</v>
      </c>
      <c r="F4193" t="str">
        <v>-</v>
      </c>
      <c r="G4193" t="str">
        <v>-</v>
      </c>
    </row>
    <row r="4194">
      <c r="A4194">
        <v>4193</v>
      </c>
      <c r="B4194" t="str">
        <v>Công an xã Chiềng Tương  tỉnh Sơn La</v>
      </c>
      <c r="C4194" t="str">
        <v>-</v>
      </c>
      <c r="D4194" t="str">
        <v>-</v>
      </c>
      <c r="E4194" t="str">
        <v/>
      </c>
      <c r="F4194" t="str">
        <v>-</v>
      </c>
      <c r="G4194" t="str">
        <v>-</v>
      </c>
    </row>
    <row r="4195">
      <c r="A4195">
        <v>4194</v>
      </c>
      <c r="B4195">
        <f>HYPERLINK("https://sonla.gov.vn/tin-chinh-tri/dong-chi-chu-tich-ubnd-huyen-yen-chau-lam-viec-tai-xa-chieng-tuong-825999", "UBND Ủy ban nhân dân xã Chiềng Tương  tỉnh Sơn La")</f>
      </c>
      <c r="C4195" t="str">
        <v>https://sonla.gov.vn/tin-chinh-tri/dong-chi-chu-tich-ubnd-huyen-yen-chau-lam-viec-tai-xa-chieng-tuong-825999</v>
      </c>
      <c r="D4195" t="str">
        <v>-</v>
      </c>
      <c r="E4195" t="str">
        <v>-</v>
      </c>
      <c r="F4195" t="str">
        <v>-</v>
      </c>
      <c r="G4195" t="str">
        <v>-</v>
      </c>
    </row>
    <row r="4196">
      <c r="A4196">
        <v>4195</v>
      </c>
      <c r="B4196" t="str">
        <v>Công an thị trấn Hát Lót  tỉnh Sơn La</v>
      </c>
      <c r="C4196" t="str">
        <v>-</v>
      </c>
      <c r="D4196" t="str">
        <v>-</v>
      </c>
      <c r="E4196" t="str">
        <v/>
      </c>
      <c r="F4196" t="str">
        <v>-</v>
      </c>
      <c r="G4196" t="str">
        <v>-</v>
      </c>
    </row>
    <row r="4197">
      <c r="A4197">
        <v>4196</v>
      </c>
      <c r="B4197">
        <f>HYPERLINK("https://sonla.gov.vn/thong-tin-tu-so-nganh-dia-phuong/ngay-hoi-dai-doan-ket-toan-dan-toc-tai-tieu-khu-17-thi-tran-hat-lot-893162", "UBND Ủy ban nhân dân thị trấn Hát Lót  tỉnh Sơn La")</f>
      </c>
      <c r="C4197" t="str">
        <v>https://sonla.gov.vn/thong-tin-tu-so-nganh-dia-phuong/ngay-hoi-dai-doan-ket-toan-dan-toc-tai-tieu-khu-17-thi-tran-hat-lot-893162</v>
      </c>
      <c r="D4197" t="str">
        <v>-</v>
      </c>
      <c r="E4197" t="str">
        <v>-</v>
      </c>
      <c r="F4197" t="str">
        <v>-</v>
      </c>
      <c r="G4197" t="str">
        <v>-</v>
      </c>
    </row>
    <row r="4198">
      <c r="A4198">
        <v>4197</v>
      </c>
      <c r="B4198" t="str">
        <v>Công an xã Chiềng Sung  tỉnh Sơn La</v>
      </c>
      <c r="C4198" t="str">
        <v>-</v>
      </c>
      <c r="D4198" t="str">
        <v>-</v>
      </c>
      <c r="E4198" t="str">
        <v/>
      </c>
      <c r="F4198" t="str">
        <v>-</v>
      </c>
      <c r="G4198" t="str">
        <v>-</v>
      </c>
    </row>
    <row r="4199">
      <c r="A4199">
        <v>4198</v>
      </c>
      <c r="B4199">
        <f>HYPERLINK("https://sonla.gov.vn/4/469/61721/550610/tin-chinh-tri/dai-hoi-dang-bo-xa-chieng-sung-khoa-xxii-nhiem-ky-2020-2025", "UBND Ủy ban nhân dân xã Chiềng Sung  tỉnh Sơn La")</f>
      </c>
      <c r="C4199" t="str">
        <v>https://sonla.gov.vn/4/469/61721/550610/tin-chinh-tri/dai-hoi-dang-bo-xa-chieng-sung-khoa-xxii-nhiem-ky-2020-2025</v>
      </c>
      <c r="D4199" t="str">
        <v>-</v>
      </c>
      <c r="E4199" t="str">
        <v>-</v>
      </c>
      <c r="F4199" t="str">
        <v>-</v>
      </c>
      <c r="G4199" t="str">
        <v>-</v>
      </c>
    </row>
    <row r="4200">
      <c r="A4200">
        <v>4199</v>
      </c>
      <c r="B4200">
        <f>HYPERLINK("https://www.facebook.com/tuoitrecongansonla/", "Công an xã Mường Bằng  tỉnh Sơn La")</f>
      </c>
      <c r="C4200" t="str">
        <v>https://www.facebook.com/tuoitrecongansonla/</v>
      </c>
      <c r="D4200" t="str">
        <v>-</v>
      </c>
      <c r="E4200" t="str">
        <v/>
      </c>
      <c r="F4200" t="str">
        <v>-</v>
      </c>
      <c r="G4200" t="str">
        <v>-</v>
      </c>
    </row>
    <row r="4201">
      <c r="A4201">
        <v>4200</v>
      </c>
      <c r="B4201">
        <f>HYPERLINK("https://sonla.gov.vn/thong-tin-van-ban-da-duoc-chung-thuc-nhung-khong-co-gia-tri-phap-ly/thong-bao-so-01-tb-ubnd-cua-ubnd-xa-muong-bang-ve-viec-huy-bo-gia-tri-phap-ly-cua-van-ban-chung--627820", "UBND Ủy ban nhân dân xã Mường Bằng  tỉnh Sơn La")</f>
      </c>
      <c r="C4201" t="str">
        <v>https://sonla.gov.vn/thong-tin-van-ban-da-duoc-chung-thuc-nhung-khong-co-gia-tri-phap-ly/thong-bao-so-01-tb-ubnd-cua-ubnd-xa-muong-bang-ve-viec-huy-bo-gia-tri-phap-ly-cua-van-ban-chung--627820</v>
      </c>
      <c r="D4201" t="str">
        <v>-</v>
      </c>
      <c r="E4201" t="str">
        <v>-</v>
      </c>
      <c r="F4201" t="str">
        <v>-</v>
      </c>
      <c r="G4201" t="str">
        <v>-</v>
      </c>
    </row>
    <row r="4202">
      <c r="A4202">
        <v>4201</v>
      </c>
      <c r="B4202" t="str">
        <v>Công an xã Chiềng Chăn  tỉnh Sơn La</v>
      </c>
      <c r="C4202" t="str">
        <v>-</v>
      </c>
      <c r="D4202" t="str">
        <v>-</v>
      </c>
      <c r="E4202" t="str">
        <v/>
      </c>
      <c r="F4202" t="str">
        <v>-</v>
      </c>
      <c r="G4202" t="str">
        <v>-</v>
      </c>
    </row>
    <row r="4203">
      <c r="A4203">
        <v>4202</v>
      </c>
      <c r="B4203">
        <f>HYPERLINK("https://sonla.gov.vn/thong-tin-tu-so-nganh-dia-phuong/dong-chi-bi-thu-huyen-uy-du-ngay-hoi-dai-doan-ket-tai-ban-tong-tai-b-xa-chieng-chan-892857", "UBND Ủy ban nhân dân xã Chiềng Chăn  tỉnh Sơn La")</f>
      </c>
      <c r="C4203" t="str">
        <v>https://sonla.gov.vn/thong-tin-tu-so-nganh-dia-phuong/dong-chi-bi-thu-huyen-uy-du-ngay-hoi-dai-doan-ket-tai-ban-tong-tai-b-xa-chieng-chan-892857</v>
      </c>
      <c r="D4203" t="str">
        <v>-</v>
      </c>
      <c r="E4203" t="str">
        <v>-</v>
      </c>
      <c r="F4203" t="str">
        <v>-</v>
      </c>
      <c r="G4203" t="str">
        <v>-</v>
      </c>
    </row>
    <row r="4204">
      <c r="A4204">
        <v>4203</v>
      </c>
      <c r="B4204">
        <f>HYPERLINK("https://www.facebook.com/tuoitrecongansonla/", "Công an xã Mương Chanh  tỉnh Sơn La")</f>
      </c>
      <c r="C4204" t="str">
        <v>https://www.facebook.com/tuoitrecongansonla/</v>
      </c>
      <c r="D4204" t="str">
        <v>-</v>
      </c>
      <c r="E4204" t="str">
        <v/>
      </c>
      <c r="F4204" t="str">
        <v>-</v>
      </c>
      <c r="G4204" t="str">
        <v>-</v>
      </c>
    </row>
    <row r="4205">
      <c r="A4205">
        <v>4204</v>
      </c>
      <c r="B4205">
        <f>HYPERLINK("https://sonla.gov.vn/tin-kinh-te/dong-chi-pho-chu-tich-ubnd-tinh-doi-thoai-voi-nhan-dan-xa-muong-lum-huyen-yen-chau-892179", "UBND Ủy ban nhân dân xã Mương Chanh  tỉnh Sơn La")</f>
      </c>
      <c r="C4205" t="str">
        <v>https://sonla.gov.vn/tin-kinh-te/dong-chi-pho-chu-tich-ubnd-tinh-doi-thoai-voi-nhan-dan-xa-muong-lum-huyen-yen-chau-892179</v>
      </c>
      <c r="D4205" t="str">
        <v>-</v>
      </c>
      <c r="E4205" t="str">
        <v>-</v>
      </c>
      <c r="F4205" t="str">
        <v>-</v>
      </c>
      <c r="G4205" t="str">
        <v>-</v>
      </c>
    </row>
    <row r="4206">
      <c r="A4206">
        <v>4205</v>
      </c>
      <c r="B4206" t="str">
        <v>Công an xã Chiềng Ban  tỉnh Sơn La</v>
      </c>
      <c r="C4206" t="str">
        <v>-</v>
      </c>
      <c r="D4206" t="str">
        <v>-</v>
      </c>
      <c r="E4206" t="str">
        <v/>
      </c>
      <c r="F4206" t="str">
        <v>-</v>
      </c>
      <c r="G4206" t="str">
        <v>-</v>
      </c>
    </row>
    <row r="4207">
      <c r="A4207">
        <v>4206</v>
      </c>
      <c r="B4207">
        <f>HYPERLINK("https://sonla.gov.vn/dai-hoi-dai-bieu-cac-dan-toc-thieu-so-tinh-son-la-lan-ii-nam-2014/xa-chieng-ban-phat-huy-vai-tro-cua-uy-ban-mat-tran-to-quoc-trong-thuc-hien-chuong-trinh-muc-tieu-475140", "UBND Ủy ban nhân dân xã Chiềng Ban  tỉnh Sơn La")</f>
      </c>
      <c r="C4207" t="str">
        <v>https://sonla.gov.vn/dai-hoi-dai-bieu-cac-dan-toc-thieu-so-tinh-son-la-lan-ii-nam-2014/xa-chieng-ban-phat-huy-vai-tro-cua-uy-ban-mat-tran-to-quoc-trong-thuc-hien-chuong-trinh-muc-tieu-475140</v>
      </c>
      <c r="D4207" t="str">
        <v>-</v>
      </c>
      <c r="E4207" t="str">
        <v>-</v>
      </c>
      <c r="F4207" t="str">
        <v>-</v>
      </c>
      <c r="G4207" t="str">
        <v>-</v>
      </c>
    </row>
    <row r="4208">
      <c r="A4208">
        <v>4207</v>
      </c>
      <c r="B4208">
        <f>HYPERLINK("https://www.facebook.com/100072269261381", "Công an xã Chiềng Mung  tỉnh Sơn La")</f>
      </c>
      <c r="C4208" t="str">
        <v>https://www.facebook.com/100072269261381</v>
      </c>
      <c r="D4208" t="str">
        <v>-</v>
      </c>
      <c r="E4208" t="str">
        <v/>
      </c>
      <c r="F4208" t="str">
        <v>-</v>
      </c>
      <c r="G4208" t="str">
        <v>-</v>
      </c>
    </row>
    <row r="4209">
      <c r="A4209">
        <v>4208</v>
      </c>
      <c r="B4209">
        <f>HYPERLINK("https://sonoivu.sonla.gov.vn/xay-dung-chinh-quyen-cong-tac-thanh-nien/le-cong-bo-xa-chieng-mung-huyen-mai-son-dat-chuan-nong-thon-moi-662887", "UBND Ủy ban nhân dân xã Chiềng Mung  tỉnh Sơn La")</f>
      </c>
      <c r="C4209" t="str">
        <v>https://sonoivu.sonla.gov.vn/xay-dung-chinh-quyen-cong-tac-thanh-nien/le-cong-bo-xa-chieng-mung-huyen-mai-son-dat-chuan-nong-thon-moi-662887</v>
      </c>
      <c r="D4209" t="str">
        <v>-</v>
      </c>
      <c r="E4209" t="str">
        <v>-</v>
      </c>
      <c r="F4209" t="str">
        <v>-</v>
      </c>
      <c r="G4209" t="str">
        <v>-</v>
      </c>
    </row>
    <row r="4210">
      <c r="A4210">
        <v>4209</v>
      </c>
      <c r="B4210">
        <f>HYPERLINK("https://www.facebook.com/tuoitrecongansonla/", "Công an xã Mường Bon  tỉnh Sơn La")</f>
      </c>
      <c r="C4210" t="str">
        <v>https://www.facebook.com/tuoitrecongansonla/</v>
      </c>
      <c r="D4210" t="str">
        <v>-</v>
      </c>
      <c r="E4210" t="str">
        <v/>
      </c>
      <c r="F4210" t="str">
        <v>-</v>
      </c>
      <c r="G4210" t="str">
        <v>-</v>
      </c>
    </row>
    <row r="4211">
      <c r="A4211">
        <v>4210</v>
      </c>
      <c r="B4211">
        <f>HYPERLINK("https://sonoivu.sonla.gov.vn/Default.aspx?sid=1282&amp;pageid=30665&amp;catid=64562&amp;id=537895&amp;catname=thong-tin-tuyen-truyen&amp;title=quyet-dinh-dieu-chinh-phan-loai-don-vi-hanh-chinh-cac-xa-phuong-thi-tran-tren-dia-ban-tinh-son-l", "UBND Ủy ban nhân dân xã Mường Bon  tỉnh Sơn La")</f>
      </c>
      <c r="C4211" t="str">
        <v>https://sonoivu.sonla.gov.vn/Default.aspx?sid=1282&amp;pageid=30665&amp;catid=64562&amp;id=537895&amp;catname=thong-tin-tuyen-truyen&amp;title=quyet-dinh-dieu-chinh-phan-loai-don-vi-hanh-chinh-cac-xa-phuong-thi-tran-tren-dia-ban-tinh-son-l</v>
      </c>
      <c r="D4211" t="str">
        <v>-</v>
      </c>
      <c r="E4211" t="str">
        <v>-</v>
      </c>
      <c r="F4211" t="str">
        <v>-</v>
      </c>
      <c r="G4211" t="str">
        <v>-</v>
      </c>
    </row>
    <row r="4212">
      <c r="A4212">
        <v>4211</v>
      </c>
      <c r="B4212" t="str">
        <v>Công an xã Chiềng Chung  tỉnh Sơn La</v>
      </c>
      <c r="C4212" t="str">
        <v>-</v>
      </c>
      <c r="D4212" t="str">
        <v>-</v>
      </c>
      <c r="E4212" t="str">
        <v/>
      </c>
      <c r="F4212" t="str">
        <v>-</v>
      </c>
      <c r="G4212" t="str">
        <v>-</v>
      </c>
    </row>
    <row r="4213">
      <c r="A4213">
        <v>4212</v>
      </c>
      <c r="B4213">
        <f>HYPERLINK("https://sonla.gov.vn/dai-hoi-dai-bieu-cac-dan-toc-thieu-so-tinh-son-la-lan-ii-nam-2014/xa-chieng-ban-phat-huy-vai-tro-cua-uy-ban-mat-tran-to-quoc-trong-thuc-hien-chuong-trinh-muc-tieu-475140", "UBND Ủy ban nhân dân xã Chiềng Chung  tỉnh Sơn La")</f>
      </c>
      <c r="C4213" t="str">
        <v>https://sonla.gov.vn/dai-hoi-dai-bieu-cac-dan-toc-thieu-so-tinh-son-la-lan-ii-nam-2014/xa-chieng-ban-phat-huy-vai-tro-cua-uy-ban-mat-tran-to-quoc-trong-thuc-hien-chuong-trinh-muc-tieu-475140</v>
      </c>
      <c r="D4213" t="str">
        <v>-</v>
      </c>
      <c r="E4213" t="str">
        <v>-</v>
      </c>
      <c r="F4213" t="str">
        <v>-</v>
      </c>
      <c r="G4213" t="str">
        <v>-</v>
      </c>
    </row>
    <row r="4214">
      <c r="A4214">
        <v>4213</v>
      </c>
      <c r="B4214" t="str">
        <v>Công an xã Chiềng Mai  tỉnh Sơn La</v>
      </c>
      <c r="C4214" t="str">
        <v>-</v>
      </c>
      <c r="D4214" t="str">
        <v>-</v>
      </c>
      <c r="E4214" t="str">
        <v/>
      </c>
      <c r="F4214" t="str">
        <v>-</v>
      </c>
      <c r="G4214" t="str">
        <v>-</v>
      </c>
    </row>
    <row r="4215">
      <c r="A4215">
        <v>4214</v>
      </c>
      <c r="B4215">
        <f>HYPERLINK("https://sonoivu.sonla.gov.vn/xay-dung-chinh-quyen-cong-tac-thanh-nien/le-cong-bo-xa-chieng-mung-huyen-mai-son-dat-chuan-nong-thon-moi-662887", "UBND Ủy ban nhân dân xã Chiềng Mai  tỉnh Sơn La")</f>
      </c>
      <c r="C4215" t="str">
        <v>https://sonoivu.sonla.gov.vn/xay-dung-chinh-quyen-cong-tac-thanh-nien/le-cong-bo-xa-chieng-mung-huyen-mai-son-dat-chuan-nong-thon-moi-662887</v>
      </c>
      <c r="D4215" t="str">
        <v>-</v>
      </c>
      <c r="E4215" t="str">
        <v>-</v>
      </c>
      <c r="F4215" t="str">
        <v>-</v>
      </c>
      <c r="G4215" t="str">
        <v>-</v>
      </c>
    </row>
    <row r="4216">
      <c r="A4216">
        <v>4215</v>
      </c>
      <c r="B4216" t="str">
        <v>Công an xã Hát Lót  tỉnh Sơn La</v>
      </c>
      <c r="C4216" t="str">
        <v>-</v>
      </c>
      <c r="D4216" t="str">
        <v>-</v>
      </c>
      <c r="E4216" t="str">
        <v/>
      </c>
      <c r="F4216" t="str">
        <v>-</v>
      </c>
      <c r="G4216" t="str">
        <v>-</v>
      </c>
    </row>
    <row r="4217">
      <c r="A4217">
        <v>4216</v>
      </c>
      <c r="B4217">
        <f>HYPERLINK("https://sonla.gov.vn/4/469/61723/636649/tin-kinh-te/thu-tuong-chinh-phu-tham-mo-hinh-nong-nghiep-tai-huyen-mai-son", "UBND Ủy ban nhân dân xã Hát Lót  tỉnh Sơn La")</f>
      </c>
      <c r="C4217" t="str">
        <v>https://sonla.gov.vn/4/469/61723/636649/tin-kinh-te/thu-tuong-chinh-phu-tham-mo-hinh-nong-nghiep-tai-huyen-mai-son</v>
      </c>
      <c r="D4217" t="str">
        <v>-</v>
      </c>
      <c r="E4217" t="str">
        <v>-</v>
      </c>
      <c r="F4217" t="str">
        <v>-</v>
      </c>
      <c r="G4217" t="str">
        <v>-</v>
      </c>
    </row>
    <row r="4218">
      <c r="A4218">
        <v>4217</v>
      </c>
      <c r="B4218">
        <f>HYPERLINK("https://www.facebook.com/tuoitrecongansonla/", "Công an xã Nà Pó  tỉnh Sơn La")</f>
      </c>
      <c r="C4218" t="str">
        <v>https://www.facebook.com/tuoitrecongansonla/</v>
      </c>
      <c r="D4218" t="str">
        <v>-</v>
      </c>
      <c r="E4218" t="str">
        <v/>
      </c>
      <c r="F4218" t="str">
        <v>-</v>
      </c>
      <c r="G4218" t="str">
        <v>-</v>
      </c>
    </row>
    <row r="4219">
      <c r="A4219">
        <v>4218</v>
      </c>
      <c r="B4219">
        <f>HYPERLINK("https://stttt.dienbien.gov.vn/vi/about/danh-sach-nguoi-phat-ngon-tinh-dien-bien-nam-2018.html", "UBND Ủy ban nhân dân xã Nà Pó  tỉnh Sơn La")</f>
      </c>
      <c r="C4219" t="str">
        <v>https://stttt.dienbien.gov.vn/vi/about/danh-sach-nguoi-phat-ngon-tinh-dien-bien-nam-2018.html</v>
      </c>
      <c r="D4219" t="str">
        <v>-</v>
      </c>
      <c r="E4219" t="str">
        <v>-</v>
      </c>
      <c r="F4219" t="str">
        <v>-</v>
      </c>
      <c r="G4219" t="str">
        <v>-</v>
      </c>
    </row>
    <row r="4220">
      <c r="A4220">
        <v>4219</v>
      </c>
      <c r="B4220">
        <f>HYPERLINK("https://www.facebook.com/tuoitrecongansonla/", "Công an xã Cò  Nòi  tỉnh Sơn La")</f>
      </c>
      <c r="C4220" t="str">
        <v>https://www.facebook.com/tuoitrecongansonla/</v>
      </c>
      <c r="D4220" t="str">
        <v>-</v>
      </c>
      <c r="E4220" t="str">
        <v/>
      </c>
      <c r="F4220" t="str">
        <v>-</v>
      </c>
      <c r="G4220" t="str">
        <v>-</v>
      </c>
    </row>
    <row r="4221">
      <c r="A4221">
        <v>4220</v>
      </c>
      <c r="B4221">
        <f>HYPERLINK("https://sonla.gov.vn/tin-van-hoa-xa-hoi/dong-chi-chu-tich-ubnd-huyen-du-ngay-hoi-dai-doan-ket-toan-dan-toc-tai-ban-me-lech-xa-co-noi-735712", "UBND Ủy ban nhân dân xã Cò  Nòi  tỉnh Sơn La")</f>
      </c>
      <c r="C4221" t="str">
        <v>https://sonla.gov.vn/tin-van-hoa-xa-hoi/dong-chi-chu-tich-ubnd-huyen-du-ngay-hoi-dai-doan-ket-toan-dan-toc-tai-ban-me-lech-xa-co-noi-735712</v>
      </c>
      <c r="D4221" t="str">
        <v>-</v>
      </c>
      <c r="E4221" t="str">
        <v>-</v>
      </c>
      <c r="F4221" t="str">
        <v>-</v>
      </c>
      <c r="G4221" t="str">
        <v>-</v>
      </c>
    </row>
    <row r="4222">
      <c r="A4222">
        <v>4221</v>
      </c>
      <c r="B4222" t="str">
        <v>Công an xã Chiềng Nơi  tỉnh Sơn La</v>
      </c>
      <c r="C4222" t="str">
        <v>-</v>
      </c>
      <c r="D4222" t="str">
        <v>-</v>
      </c>
      <c r="E4222" t="str">
        <v/>
      </c>
      <c r="F4222" t="str">
        <v>-</v>
      </c>
      <c r="G4222" t="str">
        <v>-</v>
      </c>
    </row>
    <row r="4223">
      <c r="A4223">
        <v>4222</v>
      </c>
      <c r="B4223">
        <f>HYPERLINK("https://sonla.gov.vn/thong-tin-tu-so-nganh-dia-phuong/trung-uong-doan-tham-tang-qua-cho-nhan-dan-bi-anh-huong-do-mua-lu-xa-chieng-noi-huyen-mai-son-825904", "UBND Ủy ban nhân dân xã Chiềng Nơi  tỉnh Sơn La")</f>
      </c>
      <c r="C4223" t="str">
        <v>https://sonla.gov.vn/thong-tin-tu-so-nganh-dia-phuong/trung-uong-doan-tham-tang-qua-cho-nhan-dan-bi-anh-huong-do-mua-lu-xa-chieng-noi-huyen-mai-son-825904</v>
      </c>
      <c r="D4223" t="str">
        <v>-</v>
      </c>
      <c r="E4223" t="str">
        <v>-</v>
      </c>
      <c r="F4223" t="str">
        <v>-</v>
      </c>
      <c r="G4223" t="str">
        <v>-</v>
      </c>
    </row>
    <row r="4224">
      <c r="A4224">
        <v>4223</v>
      </c>
      <c r="B4224">
        <f>HYPERLINK("https://www.facebook.com/p/C%C3%B4ng-an-x%C3%A3-Phi%C3%AAng-C%E1%BA%B1m-huy%E1%BB%87n-Mai-S%C6%A1n-t%E1%BB%89nh-S%C6%A1n-La-100081656375955/", "Công an xã Phiêng Cằm  tỉnh Sơn La")</f>
      </c>
      <c r="C4224" t="str">
        <v>https://www.facebook.com/p/C%C3%B4ng-an-x%C3%A3-Phi%C3%AAng-C%E1%BA%B1m-huy%E1%BB%87n-Mai-S%C6%A1n-t%E1%BB%89nh-S%C6%A1n-La-100081656375955/</v>
      </c>
      <c r="D4224" t="str">
        <v>-</v>
      </c>
      <c r="E4224" t="str">
        <v/>
      </c>
      <c r="F4224" t="str">
        <v>-</v>
      </c>
      <c r="G4224" t="str">
        <v>-</v>
      </c>
    </row>
    <row r="4225">
      <c r="A4225">
        <v>4224</v>
      </c>
      <c r="B4225">
        <f>HYPERLINK("https://sonla.gov.vn/4/469/63579/560147/thong-tin-tu-so-nganh-dia-phuong/dong-chi-cha-a-cua-truong-ban-dan-van-tinh-uy-son-la-lam-viec-tai-ban-long-hom-xa-phieng-cam-huy", "UBND Ủy ban nhân dân xã Phiêng Cằm  tỉnh Sơn La")</f>
      </c>
      <c r="C4225" t="str">
        <v>https://sonla.gov.vn/4/469/63579/560147/thong-tin-tu-so-nganh-dia-phuong/dong-chi-cha-a-cua-truong-ban-dan-van-tinh-uy-son-la-lam-viec-tai-ban-long-hom-xa-phieng-cam-huy</v>
      </c>
      <c r="D4225" t="str">
        <v>-</v>
      </c>
      <c r="E4225" t="str">
        <v>-</v>
      </c>
      <c r="F4225" t="str">
        <v>-</v>
      </c>
      <c r="G4225" t="str">
        <v>-</v>
      </c>
    </row>
    <row r="4226">
      <c r="A4226">
        <v>4225</v>
      </c>
      <c r="B4226" t="str">
        <v>Công an xã Chiềng Dong  tỉnh Sơn La</v>
      </c>
      <c r="C4226" t="str">
        <v>-</v>
      </c>
      <c r="D4226" t="str">
        <v>-</v>
      </c>
      <c r="E4226" t="str">
        <v/>
      </c>
      <c r="F4226" t="str">
        <v>-</v>
      </c>
      <c r="G4226" t="str">
        <v>-</v>
      </c>
    </row>
    <row r="4227">
      <c r="A4227">
        <v>4226</v>
      </c>
      <c r="B4227">
        <f>HYPERLINK("http://chiengsonmocchau.sonla.gov.vn/index.php?module=tochuc&amp;act=view&amp;id=17", "UBND Ủy ban nhân dân xã Chiềng Dong  tỉnh Sơn La")</f>
      </c>
      <c r="C4227" t="str">
        <v>http://chiengsonmocchau.sonla.gov.vn/index.php?module=tochuc&amp;act=view&amp;id=17</v>
      </c>
      <c r="D4227" t="str">
        <v>-</v>
      </c>
      <c r="E4227" t="str">
        <v>-</v>
      </c>
      <c r="F4227" t="str">
        <v>-</v>
      </c>
      <c r="G4227" t="str">
        <v>-</v>
      </c>
    </row>
    <row r="4228">
      <c r="A4228">
        <v>4227</v>
      </c>
      <c r="B4228">
        <f>HYPERLINK("https://www.facebook.com/100068616713485", "Công an xã Chiềng Kheo  tỉnh Sơn La")</f>
      </c>
      <c r="C4228" t="str">
        <v>https://www.facebook.com/100068616713485</v>
      </c>
      <c r="D4228" t="str">
        <v>-</v>
      </c>
      <c r="E4228" t="str">
        <v/>
      </c>
      <c r="F4228" t="str">
        <v>caxchiengkheo.maison@gmail.com</v>
      </c>
      <c r="G4228" t="str">
        <v>QL4G, Mai Son, Vietnam</v>
      </c>
    </row>
    <row r="4229">
      <c r="A4229">
        <v>4228</v>
      </c>
      <c r="B4229">
        <f>HYPERLINK("https://bacyen.sonla.gov.vn/1394/44065/77776/654995/chinh-tri/ngay-23-thang-10-nam-2022-xa-chieng-kheo-to-chuc-bau-tin-nhiem-truong-ban-pho-ban-nhiem-ky-2023-", "UBND Ủy ban nhân dân xã Chiềng Kheo  tỉnh Sơn La")</f>
      </c>
      <c r="C4229" t="str">
        <v>https://bacyen.sonla.gov.vn/1394/44065/77776/654995/chinh-tri/ngay-23-thang-10-nam-2022-xa-chieng-kheo-to-chuc-bau-tin-nhiem-truong-ban-pho-ban-nhiem-ky-2023-</v>
      </c>
      <c r="D4229" t="str">
        <v>-</v>
      </c>
      <c r="E4229" t="str">
        <v>-</v>
      </c>
      <c r="F4229" t="str">
        <v>-</v>
      </c>
      <c r="G4229" t="str">
        <v>-</v>
      </c>
    </row>
    <row r="4230">
      <c r="A4230">
        <v>4229</v>
      </c>
      <c r="B4230" t="str">
        <v>Công an xã Chiềng Ve  tỉnh Sơn La</v>
      </c>
      <c r="C4230" t="str">
        <v>-</v>
      </c>
      <c r="D4230" t="str">
        <v>-</v>
      </c>
      <c r="E4230" t="str">
        <v/>
      </c>
      <c r="F4230" t="str">
        <v>-</v>
      </c>
      <c r="G4230" t="str">
        <v>-</v>
      </c>
    </row>
    <row r="4231">
      <c r="A4231">
        <v>4230</v>
      </c>
      <c r="B4231">
        <f>HYPERLINK("http://chiengsonmocchau.sonla.gov.vn/index.php?module=tochuc&amp;act=view&amp;id=17", "UBND Ủy ban nhân dân xã Chiềng Ve  tỉnh Sơn La")</f>
      </c>
      <c r="C4231" t="str">
        <v>http://chiengsonmocchau.sonla.gov.vn/index.php?module=tochuc&amp;act=view&amp;id=17</v>
      </c>
      <c r="D4231" t="str">
        <v>-</v>
      </c>
      <c r="E4231" t="str">
        <v>-</v>
      </c>
      <c r="F4231" t="str">
        <v>-</v>
      </c>
      <c r="G4231" t="str">
        <v>-</v>
      </c>
    </row>
    <row r="4232">
      <c r="A4232">
        <v>4231</v>
      </c>
      <c r="B4232" t="str">
        <v>Công an xã Chiềng Lương  tỉnh Sơn La</v>
      </c>
      <c r="C4232" t="str">
        <v>-</v>
      </c>
      <c r="D4232" t="str">
        <v>-</v>
      </c>
      <c r="E4232" t="str">
        <v/>
      </c>
      <c r="F4232" t="str">
        <v>-</v>
      </c>
      <c r="G4232" t="str">
        <v>-</v>
      </c>
    </row>
    <row r="4233">
      <c r="A4233">
        <v>4232</v>
      </c>
      <c r="B4233">
        <f>HYPERLINK("https://sonoivu.sonla.gov.vn/xay-dung-chinh-quyen-cong-tac-thanh-nien/le-cong-bo-xa-chieng-mung-huyen-mai-son-dat-chuan-nong-thon-moi-662887", "UBND Ủy ban nhân dân xã Chiềng Lương  tỉnh Sơn La")</f>
      </c>
      <c r="C4233" t="str">
        <v>https://sonoivu.sonla.gov.vn/xay-dung-chinh-quyen-cong-tac-thanh-nien/le-cong-bo-xa-chieng-mung-huyen-mai-son-dat-chuan-nong-thon-moi-662887</v>
      </c>
      <c r="D4233" t="str">
        <v>-</v>
      </c>
      <c r="E4233" t="str">
        <v>-</v>
      </c>
      <c r="F4233" t="str">
        <v>-</v>
      </c>
      <c r="G4233" t="str">
        <v>-</v>
      </c>
    </row>
    <row r="4234">
      <c r="A4234">
        <v>4233</v>
      </c>
      <c r="B4234" t="str">
        <v>Công an xã Phiêng Pằn  tỉnh Sơn La</v>
      </c>
      <c r="C4234" t="str">
        <v>-</v>
      </c>
      <c r="D4234" t="str">
        <v>-</v>
      </c>
      <c r="E4234" t="str">
        <v/>
      </c>
      <c r="F4234" t="str">
        <v>-</v>
      </c>
      <c r="G4234" t="str">
        <v>-</v>
      </c>
    </row>
    <row r="4235">
      <c r="A4235">
        <v>4234</v>
      </c>
      <c r="B4235">
        <f>HYPERLINK("https://sonla.gov.vn/thong-tin-tu-so-nganh-dia-phuong/ngay-hoi-diem-toan-dan-bao-ve-antq-nam-2024-tai-xa-phieng-pan-825130", "UBND Ủy ban nhân dân xã Phiêng Pằn  tỉnh Sơn La")</f>
      </c>
      <c r="C4235" t="str">
        <v>https://sonla.gov.vn/thong-tin-tu-so-nganh-dia-phuong/ngay-hoi-diem-toan-dan-bao-ve-antq-nam-2024-tai-xa-phieng-pan-825130</v>
      </c>
      <c r="D4235" t="str">
        <v>-</v>
      </c>
      <c r="E4235" t="str">
        <v>-</v>
      </c>
      <c r="F4235" t="str">
        <v>-</v>
      </c>
      <c r="G4235" t="str">
        <v>-</v>
      </c>
    </row>
    <row r="4236">
      <c r="A4236">
        <v>4235</v>
      </c>
      <c r="B4236">
        <f>HYPERLINK("https://www.facebook.com/tuoitrecongansonla/", "Công an xã Nà Ơt  tỉnh Sơn La")</f>
      </c>
      <c r="C4236" t="str">
        <v>https://www.facebook.com/tuoitrecongansonla/</v>
      </c>
      <c r="D4236" t="str">
        <v>-</v>
      </c>
      <c r="E4236" t="str">
        <v/>
      </c>
      <c r="F4236" t="str">
        <v>-</v>
      </c>
      <c r="G4236" t="str">
        <v>-</v>
      </c>
    </row>
    <row r="4237">
      <c r="A4237">
        <v>4236</v>
      </c>
      <c r="B4237">
        <f>HYPERLINK("https://sonla.gov.vn/doi-ngoai-nhan-dan", "UBND Ủy ban nhân dân xã Nà Ơt  tỉnh Sơn La")</f>
      </c>
      <c r="C4237" t="str">
        <v>https://sonla.gov.vn/doi-ngoai-nhan-dan</v>
      </c>
      <c r="D4237" t="str">
        <v>-</v>
      </c>
      <c r="E4237" t="str">
        <v>-</v>
      </c>
      <c r="F4237" t="str">
        <v>-</v>
      </c>
      <c r="G4237" t="str">
        <v>-</v>
      </c>
    </row>
    <row r="4238">
      <c r="A4238">
        <v>4237</v>
      </c>
      <c r="B4238">
        <f>HYPERLINK("https://www.facebook.com/p/C%C3%B4ng-an-x%C3%A3-T%C3%A0-H%E1%BB%99c-huy%E1%BB%87n-Mai-S%C6%A1n-100069725104307/", "Công an xã Tà Hộc  tỉnh Sơn La")</f>
      </c>
      <c r="C4238" t="str">
        <v>https://www.facebook.com/p/C%C3%B4ng-an-x%C3%A3-T%C3%A0-H%E1%BB%99c-huy%E1%BB%87n-Mai-S%C6%A1n-100069725104307/</v>
      </c>
      <c r="D4238" t="str">
        <v>-</v>
      </c>
      <c r="E4238" t="str">
        <v/>
      </c>
      <c r="F4238" t="str">
        <v>-</v>
      </c>
      <c r="G4238" t="str">
        <v>-</v>
      </c>
    </row>
    <row r="4239">
      <c r="A4239">
        <v>4238</v>
      </c>
      <c r="B4239">
        <f>HYPERLINK("https://muasamcong.mpi.gov.vn/edoc-oldproxy-service/api/download/file/browser?filePath=/WAS/%2Fe-doc%2FBID%2FRESFILE%2F2018%2F11%2F20181142996%2F2157591%2FThong+bao+trung+thau+xi+b%E1%BA%A3n+Lu%E1%BB%93n.docx", "UBND Ủy ban nhân dân xã Tà Hộc  tỉnh Sơn La")</f>
      </c>
      <c r="C4239" t="str">
        <v>https://muasamcong.mpi.gov.vn/edoc-oldproxy-service/api/download/file/browser?filePath=/WAS/%2Fe-doc%2FBID%2FRESFILE%2F2018%2F11%2F20181142996%2F2157591%2FThong+bao+trung+thau+xi+b%E1%BA%A3n+Lu%E1%BB%93n.docx</v>
      </c>
      <c r="D4239" t="str">
        <v>-</v>
      </c>
      <c r="E4239" t="str">
        <v>-</v>
      </c>
      <c r="F4239" t="str">
        <v>-</v>
      </c>
      <c r="G4239" t="str">
        <v>-</v>
      </c>
    </row>
    <row r="4240">
      <c r="A4240">
        <v>4239</v>
      </c>
      <c r="B4240">
        <f>HYPERLINK("https://www.facebook.com/togiactoiphamsongma/?locale=vi_VN", "Công an thị trấn Sông Mã  tỉnh Sơn La")</f>
      </c>
      <c r="C4240" t="str">
        <v>https://www.facebook.com/togiactoiphamsongma/?locale=vi_VN</v>
      </c>
      <c r="D4240" t="str">
        <v>-</v>
      </c>
      <c r="E4240" t="str">
        <v/>
      </c>
      <c r="F4240" t="str">
        <v>-</v>
      </c>
      <c r="G4240" t="str">
        <v>-</v>
      </c>
    </row>
    <row r="4241">
      <c r="A4241">
        <v>4240</v>
      </c>
      <c r="B4241">
        <f>HYPERLINK("https://songma.sonla.gov.vn/", "UBND Ủy ban nhân dân thị trấn Sông Mã  tỉnh Sơn La")</f>
      </c>
      <c r="C4241" t="str">
        <v>https://songma.sonla.gov.vn/</v>
      </c>
      <c r="D4241" t="str">
        <v>-</v>
      </c>
      <c r="E4241" t="str">
        <v>-</v>
      </c>
      <c r="F4241" t="str">
        <v>-</v>
      </c>
      <c r="G4241" t="str">
        <v>-</v>
      </c>
    </row>
    <row r="4242">
      <c r="A4242">
        <v>4241</v>
      </c>
      <c r="B4242">
        <f>HYPERLINK("https://www.facebook.com/tuoitrecongansonla/", "Công an xã Bó Sinh  tỉnh Sơn La")</f>
      </c>
      <c r="C4242" t="str">
        <v>https://www.facebook.com/tuoitrecongansonla/</v>
      </c>
      <c r="D4242" t="str">
        <v>-</v>
      </c>
      <c r="E4242" t="str">
        <v/>
      </c>
      <c r="F4242" t="str">
        <v>-</v>
      </c>
      <c r="G4242" t="str">
        <v>-</v>
      </c>
    </row>
    <row r="4243">
      <c r="A4243">
        <v>4242</v>
      </c>
      <c r="B4243">
        <f>HYPERLINK("https://www.vkssonla.gov.vn/index.php?module=tinhoatdong&amp;act=view&amp;cat=40&amp;id=2398", "UBND Ủy ban nhân dân xã Bó Sinh  tỉnh Sơn La")</f>
      </c>
      <c r="C4243" t="str">
        <v>https://www.vkssonla.gov.vn/index.php?module=tinhoatdong&amp;act=view&amp;cat=40&amp;id=2398</v>
      </c>
      <c r="D4243" t="str">
        <v>-</v>
      </c>
      <c r="E4243" t="str">
        <v>-</v>
      </c>
      <c r="F4243" t="str">
        <v>-</v>
      </c>
      <c r="G4243" t="str">
        <v>-</v>
      </c>
    </row>
    <row r="4244">
      <c r="A4244">
        <v>4243</v>
      </c>
      <c r="B4244" t="str">
        <v>Công an xã Pú Pẩu  tỉnh Sơn La</v>
      </c>
      <c r="C4244" t="str">
        <v>-</v>
      </c>
      <c r="D4244" t="str">
        <v>-</v>
      </c>
      <c r="E4244" t="str">
        <v/>
      </c>
      <c r="F4244" t="str">
        <v>-</v>
      </c>
      <c r="G4244" t="str">
        <v>-</v>
      </c>
    </row>
    <row r="4245">
      <c r="A4245">
        <v>4244</v>
      </c>
      <c r="B4245">
        <f>HYPERLINK("https://congbao.sonla.gov.vn/congbao.nsf/591D30311B3BAB3B4725864F003751A5/$file/QD%20so%202481_signed.pdf", "UBND Ủy ban nhân dân xã Pú Pẩu  tỉnh Sơn La")</f>
      </c>
      <c r="C4245" t="str">
        <v>https://congbao.sonla.gov.vn/congbao.nsf/591D30311B3BAB3B4725864F003751A5/$file/QD%20so%202481_signed.pdf</v>
      </c>
      <c r="D4245" t="str">
        <v>-</v>
      </c>
      <c r="E4245" t="str">
        <v>-</v>
      </c>
      <c r="F4245" t="str">
        <v>-</v>
      </c>
      <c r="G4245" t="str">
        <v>-</v>
      </c>
    </row>
    <row r="4246">
      <c r="A4246">
        <v>4245</v>
      </c>
      <c r="B4246">
        <f>HYPERLINK("https://www.facebook.com/conganxachiengphung/?locale=vi_VN", "Công an xã Chiềng Phung  tỉnh Sơn La")</f>
      </c>
      <c r="C4246" t="str">
        <v>https://www.facebook.com/conganxachiengphung/?locale=vi_VN</v>
      </c>
      <c r="D4246" t="str">
        <v>-</v>
      </c>
      <c r="E4246" t="str">
        <v/>
      </c>
      <c r="F4246" t="str">
        <v>-</v>
      </c>
      <c r="G4246" t="str">
        <v>-</v>
      </c>
    </row>
    <row r="4247">
      <c r="A4247">
        <v>4246</v>
      </c>
      <c r="B4247">
        <f>HYPERLINK("https://congbao.sonla.gov.vn/congbao.nsf/CD90B592AE60E70547258BD600100F90/$file/QD%202404.pdf", "UBND Ủy ban nhân dân xã Chiềng Phung  tỉnh Sơn La")</f>
      </c>
      <c r="C4247" t="str">
        <v>https://congbao.sonla.gov.vn/congbao.nsf/CD90B592AE60E70547258BD600100F90/$file/QD%202404.pdf</v>
      </c>
      <c r="D4247" t="str">
        <v>-</v>
      </c>
      <c r="E4247" t="str">
        <v>-</v>
      </c>
      <c r="F4247" t="str">
        <v>-</v>
      </c>
      <c r="G4247" t="str">
        <v>-</v>
      </c>
    </row>
    <row r="4248">
      <c r="A4248">
        <v>4247</v>
      </c>
      <c r="B4248" t="str">
        <v>Công an xã Chiềng En  tỉnh Sơn La</v>
      </c>
      <c r="C4248" t="str">
        <v>-</v>
      </c>
      <c r="D4248" t="str">
        <v>-</v>
      </c>
      <c r="E4248" t="str">
        <v/>
      </c>
      <c r="F4248" t="str">
        <v>-</v>
      </c>
      <c r="G4248" t="str">
        <v>-</v>
      </c>
    </row>
    <row r="4249">
      <c r="A4249">
        <v>4248</v>
      </c>
      <c r="B4249">
        <f>HYPERLINK("http://chiengsonmocchau.sonla.gov.vn/index.php?module=tochuc&amp;act=view&amp;id=17", "UBND Ủy ban nhân dân xã Chiềng En  tỉnh Sơn La")</f>
      </c>
      <c r="C4249" t="str">
        <v>http://chiengsonmocchau.sonla.gov.vn/index.php?module=tochuc&amp;act=view&amp;id=17</v>
      </c>
      <c r="D4249" t="str">
        <v>-</v>
      </c>
      <c r="E4249" t="str">
        <v>-</v>
      </c>
      <c r="F4249" t="str">
        <v>-</v>
      </c>
      <c r="G4249" t="str">
        <v>-</v>
      </c>
    </row>
    <row r="4250">
      <c r="A4250">
        <v>4249</v>
      </c>
      <c r="B4250" t="str">
        <v>Công an xã Mường Lầm  tỉnh Sơn La</v>
      </c>
      <c r="C4250" t="str">
        <v>-</v>
      </c>
      <c r="D4250" t="str">
        <v>-</v>
      </c>
      <c r="E4250" t="str">
        <v/>
      </c>
      <c r="F4250" t="str">
        <v>-</v>
      </c>
      <c r="G4250" t="str">
        <v>-</v>
      </c>
    </row>
    <row r="4251">
      <c r="A4251">
        <v>4250</v>
      </c>
      <c r="B4251">
        <f>HYPERLINK("https://sonla.gov.vn/tin-van-hoa-xa-hoi/cong-bo-xa-muong-lam-dat-chuan-nong-thon-moi-nam-2022-700988", "UBND Ủy ban nhân dân xã Mường Lầm  tỉnh Sơn La")</f>
      </c>
      <c r="C4251" t="str">
        <v>https://sonla.gov.vn/tin-van-hoa-xa-hoi/cong-bo-xa-muong-lam-dat-chuan-nong-thon-moi-nam-2022-700988</v>
      </c>
      <c r="D4251" t="str">
        <v>-</v>
      </c>
      <c r="E4251" t="str">
        <v>-</v>
      </c>
      <c r="F4251" t="str">
        <v>-</v>
      </c>
      <c r="G4251" t="str">
        <v>-</v>
      </c>
    </row>
    <row r="4252">
      <c r="A4252">
        <v>4251</v>
      </c>
      <c r="B4252">
        <f>HYPERLINK("https://www.facebook.com/tuoitrecongansonla/", "Công an xã Nậm Ty  tỉnh Sơn La")</f>
      </c>
      <c r="C4252" t="str">
        <v>https://www.facebook.com/tuoitrecongansonla/</v>
      </c>
      <c r="D4252" t="str">
        <v>-</v>
      </c>
      <c r="E4252" t="str">
        <v/>
      </c>
      <c r="F4252" t="str">
        <v>-</v>
      </c>
      <c r="G4252" t="str">
        <v>-</v>
      </c>
    </row>
    <row r="4253">
      <c r="A4253">
        <v>4252</v>
      </c>
      <c r="B4253">
        <f>HYPERLINK("https://songma.sonla.gov.vn/nguoi-dan/ban-giao-he-thong-chieu-sang-nang-luong-mat-troi-cho-2-xa-nam-ty-na-nghiu-630383", "UBND Ủy ban nhân dân xã Nậm Ty  tỉnh Sơn La")</f>
      </c>
      <c r="C4253" t="str">
        <v>https://songma.sonla.gov.vn/nguoi-dan/ban-giao-he-thong-chieu-sang-nang-luong-mat-troi-cho-2-xa-nam-ty-na-nghiu-630383</v>
      </c>
      <c r="D4253" t="str">
        <v>-</v>
      </c>
      <c r="E4253" t="str">
        <v>-</v>
      </c>
      <c r="F4253" t="str">
        <v>-</v>
      </c>
      <c r="G4253" t="str">
        <v>-</v>
      </c>
    </row>
    <row r="4254">
      <c r="A4254">
        <v>4253</v>
      </c>
      <c r="B4254">
        <f>HYPERLINK("https://www.facebook.com/people/C%C3%B4ng-an-x%C3%A3-%C4%90%E1%BB%A9a-M%C3%B2n-huy%E1%BB%87n-S%C3%B4ng-M%C3%A3-t%E1%BB%89nh-S%C6%A1n-La/100066531168216/", "Công an xã Đứa Mòn  tỉnh Sơn La")</f>
      </c>
      <c r="C4254" t="str">
        <v>https://www.facebook.com/people/C%C3%B4ng-an-x%C3%A3-%C4%90%E1%BB%A9a-M%C3%B2n-huy%E1%BB%87n-S%C3%B4ng-M%C3%A3-t%E1%BB%89nh-S%C6%A1n-La/100066531168216/</v>
      </c>
      <c r="D4254" t="str">
        <v>0828270888</v>
      </c>
      <c r="E4254" t="str">
        <v>-</v>
      </c>
      <c r="F4254" t="str">
        <v>conganxaduamon@gmail.com</v>
      </c>
      <c r="G4254" t="str">
        <v>Bản Nộc Cốc II, xã Đứa Mòn, huyện Sông Mã, tỉnh Sơn La, Son La, Vietnam</v>
      </c>
    </row>
    <row r="4255">
      <c r="A4255">
        <v>4254</v>
      </c>
      <c r="B4255">
        <f>HYPERLINK("http://nguyentrai.hadong.hanoi.gov.vn/chuong-trinh-tinh-nguyen-mua-dong-suoi-am-nhan-dan-vung-cao-huyen-song-ma-tinh-son-la", "UBND Ủy ban nhân dân xã Đứa Mòn  tỉnh Sơn La")</f>
      </c>
      <c r="C4255" t="str">
        <v>http://nguyentrai.hadong.hanoi.gov.vn/chuong-trinh-tinh-nguyen-mua-dong-suoi-am-nhan-dan-vung-cao-huyen-song-ma-tinh-son-la</v>
      </c>
      <c r="D4255" t="str">
        <v>-</v>
      </c>
      <c r="E4255" t="str">
        <v>-</v>
      </c>
      <c r="F4255" t="str">
        <v>-</v>
      </c>
      <c r="G4255" t="str">
        <v>-</v>
      </c>
    </row>
    <row r="4256">
      <c r="A4256">
        <v>4255</v>
      </c>
      <c r="B4256">
        <f>HYPERLINK("https://www.facebook.com/tuoitrecongansonla/", "Công an xã Yên Hưng  tỉnh Sơn La")</f>
      </c>
      <c r="C4256" t="str">
        <v>https://www.facebook.com/tuoitrecongansonla/</v>
      </c>
      <c r="D4256" t="str">
        <v>-</v>
      </c>
      <c r="E4256" t="str">
        <v/>
      </c>
      <c r="F4256" t="str">
        <v>-</v>
      </c>
      <c r="G4256" t="str">
        <v>-</v>
      </c>
    </row>
    <row r="4257">
      <c r="A4257">
        <v>4256</v>
      </c>
      <c r="B4257">
        <f>HYPERLINK("https://songma.sonla.gov.vn/1344/37342/72598/578824/uy-ban-mttq-viet-nam-xa/phat-dong-quyen-gop-ung-ho-dong-bao-mien-trung-tay-nguyen-khac-phuc-thiet-hai-do-thien-tai-gay-r", "UBND Ủy ban nhân dân xã Yên Hưng  tỉnh Sơn La")</f>
      </c>
      <c r="C4257" t="str">
        <v>https://songma.sonla.gov.vn/1344/37342/72598/578824/uy-ban-mttq-viet-nam-xa/phat-dong-quyen-gop-ung-ho-dong-bao-mien-trung-tay-nguyen-khac-phuc-thiet-hai-do-thien-tai-gay-r</v>
      </c>
      <c r="D4257" t="str">
        <v>-</v>
      </c>
      <c r="E4257" t="str">
        <v>-</v>
      </c>
      <c r="F4257" t="str">
        <v>-</v>
      </c>
      <c r="G4257" t="str">
        <v>-</v>
      </c>
    </row>
    <row r="4258">
      <c r="A4258">
        <v>4257</v>
      </c>
      <c r="B4258" t="str">
        <v>Công an xã Chiềng Sơ  tỉnh Sơn La</v>
      </c>
      <c r="C4258" t="str">
        <v>-</v>
      </c>
      <c r="D4258" t="str">
        <v>-</v>
      </c>
      <c r="E4258" t="str">
        <v/>
      </c>
      <c r="F4258" t="str">
        <v>-</v>
      </c>
      <c r="G4258" t="str">
        <v>-</v>
      </c>
    </row>
    <row r="4259">
      <c r="A4259">
        <v>4258</v>
      </c>
      <c r="B4259">
        <f>HYPERLINK("http://chiengsonmocchau.sonla.gov.vn/index.php?module=tochuc&amp;act=view&amp;id=17", "UBND Ủy ban nhân dân xã Chiềng Sơ  tỉnh Sơn La")</f>
      </c>
      <c r="C4259" t="str">
        <v>http://chiengsonmocchau.sonla.gov.vn/index.php?module=tochuc&amp;act=view&amp;id=17</v>
      </c>
      <c r="D4259" t="str">
        <v>-</v>
      </c>
      <c r="E4259" t="str">
        <v>-</v>
      </c>
      <c r="F4259" t="str">
        <v>-</v>
      </c>
      <c r="G4259" t="str">
        <v>-</v>
      </c>
    </row>
    <row r="4260">
      <c r="A4260">
        <v>4259</v>
      </c>
      <c r="B4260">
        <f>HYPERLINK("https://www.facebook.com/tuoitrecongansonla/?locale=hu_HU", "Công an xã Nà Ngựu  tỉnh Sơn La")</f>
      </c>
      <c r="C4260" t="str">
        <v>https://www.facebook.com/tuoitrecongansonla/?locale=hu_HU</v>
      </c>
      <c r="D4260" t="str">
        <v>-</v>
      </c>
      <c r="E4260" t="str">
        <v/>
      </c>
      <c r="F4260" t="str">
        <v>-</v>
      </c>
      <c r="G4260" t="str">
        <v>-</v>
      </c>
    </row>
    <row r="4261">
      <c r="A4261">
        <v>4260</v>
      </c>
      <c r="B4261">
        <f>HYPERLINK("https://mocchau.sonla.gov.vn/an-ninh-quoc-phong-64051/cong-an-huyen-pha-nhanh-2-vu-trom-cap-va-bat-doi-tuong-trong-nguoi-thi-hanh-cong-vu-482230", "UBND Ủy ban nhân dân xã Nà Ngựu  tỉnh Sơn La")</f>
      </c>
      <c r="C4261" t="str">
        <v>https://mocchau.sonla.gov.vn/an-ninh-quoc-phong-64051/cong-an-huyen-pha-nhanh-2-vu-trom-cap-va-bat-doi-tuong-trong-nguoi-thi-hanh-cong-vu-482230</v>
      </c>
      <c r="D4261" t="str">
        <v>-</v>
      </c>
      <c r="E4261" t="str">
        <v>-</v>
      </c>
      <c r="F4261" t="str">
        <v>-</v>
      </c>
      <c r="G4261" t="str">
        <v>-</v>
      </c>
    </row>
    <row r="4262">
      <c r="A4262">
        <v>4261</v>
      </c>
      <c r="B4262">
        <f>HYPERLINK("https://www.facebook.com/p/C%C3%B4ng-an-x%C3%A3-N%E1%BA%ADm-M%E1%BA%B1n-S%C3%B4ng-M%C3%A3-S%C6%A1n-La-100069996588344/?locale=ca_ES", "Công an xã Nậm Mằn  tỉnh Sơn La")</f>
      </c>
      <c r="C4262" t="str">
        <v>https://www.facebook.com/p/C%C3%B4ng-an-x%C3%A3-N%E1%BA%ADm-M%E1%BA%B1n-S%C3%B4ng-M%C3%A3-S%C6%A1n-La-100069996588344/?locale=ca_ES</v>
      </c>
      <c r="D4262" t="str">
        <v>-</v>
      </c>
      <c r="E4262" t="str">
        <v/>
      </c>
      <c r="F4262" t="str">
        <v>-</v>
      </c>
      <c r="G4262" t="str">
        <v>-</v>
      </c>
    </row>
    <row r="4263">
      <c r="A4263">
        <v>4262</v>
      </c>
      <c r="B4263">
        <f>HYPERLINK("https://songma.sonla.gov.vn/1347/37736/72753/doan-thanh-nien", "UBND Ủy ban nhân dân xã Nậm Mằn  tỉnh Sơn La")</f>
      </c>
      <c r="C4263" t="str">
        <v>https://songma.sonla.gov.vn/1347/37736/72753/doan-thanh-nien</v>
      </c>
      <c r="D4263" t="str">
        <v>-</v>
      </c>
      <c r="E4263" t="str">
        <v>-</v>
      </c>
      <c r="F4263" t="str">
        <v>-</v>
      </c>
      <c r="G4263" t="str">
        <v>-</v>
      </c>
    </row>
    <row r="4264">
      <c r="A4264">
        <v>4263</v>
      </c>
      <c r="B4264" t="str">
        <v>Công an xã Chiềng Khoong  tỉnh Sơn La</v>
      </c>
      <c r="C4264" t="str">
        <v>-</v>
      </c>
      <c r="D4264" t="str">
        <v>-</v>
      </c>
      <c r="E4264" t="str">
        <v/>
      </c>
      <c r="F4264" t="str">
        <v>-</v>
      </c>
      <c r="G4264" t="str">
        <v>-</v>
      </c>
    </row>
    <row r="4265">
      <c r="A4265">
        <v>4264</v>
      </c>
      <c r="B4265">
        <f>HYPERLINK("https://sonla.gov.vn/4/469/61723/624703/tin-kinh-te/nong-dan-chieng-khoong-doan-ket-giup-nhau-phat-trien-kinh-te", "UBND Ủy ban nhân dân xã Chiềng Khoong  tỉnh Sơn La")</f>
      </c>
      <c r="C4265" t="str">
        <v>https://sonla.gov.vn/4/469/61723/624703/tin-kinh-te/nong-dan-chieng-khoong-doan-ket-giup-nhau-phat-trien-kinh-te</v>
      </c>
      <c r="D4265" t="str">
        <v>-</v>
      </c>
      <c r="E4265" t="str">
        <v>-</v>
      </c>
      <c r="F4265" t="str">
        <v>-</v>
      </c>
      <c r="G4265" t="str">
        <v>-</v>
      </c>
    </row>
    <row r="4266">
      <c r="A4266">
        <v>4265</v>
      </c>
      <c r="B4266" t="str">
        <v>Công an xã Chiềng Cang  tỉnh Sơn La</v>
      </c>
      <c r="C4266" t="str">
        <v>-</v>
      </c>
      <c r="D4266" t="str">
        <v>-</v>
      </c>
      <c r="E4266" t="str">
        <v/>
      </c>
      <c r="F4266" t="str">
        <v>-</v>
      </c>
      <c r="G4266" t="str">
        <v>-</v>
      </c>
    </row>
    <row r="4267">
      <c r="A4267">
        <v>4266</v>
      </c>
      <c r="B4267">
        <f>HYPERLINK("https://sonla.gov.vn/dai-hoi-dai-bieu-cac-dan-toc-thieu-so-tinh-son-la-lan-ii-nam-2014/xa-chieng-ban-phat-huy-vai-tro-cua-uy-ban-mat-tran-to-quoc-trong-thuc-hien-chuong-trinh-muc-tieu-475140", "UBND Ủy ban nhân dân xã Chiềng Cang  tỉnh Sơn La")</f>
      </c>
      <c r="C4267" t="str">
        <v>https://sonla.gov.vn/dai-hoi-dai-bieu-cac-dan-toc-thieu-so-tinh-son-la-lan-ii-nam-2014/xa-chieng-ban-phat-huy-vai-tro-cua-uy-ban-mat-tran-to-quoc-trong-thuc-hien-chuong-trinh-muc-tieu-475140</v>
      </c>
      <c r="D4267" t="str">
        <v>-</v>
      </c>
      <c r="E4267" t="str">
        <v>-</v>
      </c>
      <c r="F4267" t="str">
        <v>-</v>
      </c>
      <c r="G4267" t="str">
        <v>-</v>
      </c>
    </row>
    <row r="4268">
      <c r="A4268">
        <v>4267</v>
      </c>
      <c r="B4268" t="str">
        <v>Công an xã Huổi Một  tỉnh Sơn La</v>
      </c>
      <c r="C4268" t="str">
        <v>-</v>
      </c>
      <c r="D4268" t="str">
        <v>-</v>
      </c>
      <c r="E4268" t="str">
        <v/>
      </c>
      <c r="F4268" t="str">
        <v>-</v>
      </c>
      <c r="G4268" t="str">
        <v>-</v>
      </c>
    </row>
    <row r="4269">
      <c r="A4269">
        <v>4268</v>
      </c>
      <c r="B4269">
        <f>HYPERLINK("https://congbao.sonla.gov.vn/congbao.nsf/$DocsByCate?OpenForm&amp;view=DocumentsByType2&amp;RestrictToCategory=Quy%E1%BA%BFt%20%C4%91%E1%BB%8Bnh%20c%E1%BB%A7a%20UBND%20t%E1%BB%89nh", "UBND Ủy ban nhân dân xã Huổi Một  tỉnh Sơn La")</f>
      </c>
      <c r="C4269" t="str">
        <v>https://congbao.sonla.gov.vn/congbao.nsf/$DocsByCate?OpenForm&amp;view=DocumentsByType2&amp;RestrictToCategory=Quy%E1%BA%BFt%20%C4%91%E1%BB%8Bnh%20c%E1%BB%A7a%20UBND%20t%E1%BB%89nh</v>
      </c>
      <c r="D4269" t="str">
        <v>-</v>
      </c>
      <c r="E4269" t="str">
        <v>-</v>
      </c>
      <c r="F4269" t="str">
        <v>-</v>
      </c>
      <c r="G4269" t="str">
        <v>-</v>
      </c>
    </row>
    <row r="4270">
      <c r="A4270">
        <v>4269</v>
      </c>
      <c r="B4270">
        <f>HYPERLINK("https://www.facebook.com/tuoitrecongansonla/", "Công an xã Mường Sai  tỉnh Sơn La")</f>
      </c>
      <c r="C4270" t="str">
        <v>https://www.facebook.com/tuoitrecongansonla/</v>
      </c>
      <c r="D4270" t="str">
        <v>-</v>
      </c>
      <c r="E4270" t="str">
        <v/>
      </c>
      <c r="F4270" t="str">
        <v>-</v>
      </c>
      <c r="G4270" t="str">
        <v>-</v>
      </c>
    </row>
    <row r="4271">
      <c r="A4271">
        <v>4270</v>
      </c>
      <c r="B4271">
        <f>HYPERLINK("https://quynhnhai.sonla.gov.vn/Default.aspx?sid=1364&amp;pageid=40104", "UBND Ủy ban nhân dân xã Mường Sai  tỉnh Sơn La")</f>
      </c>
      <c r="C4271" t="str">
        <v>https://quynhnhai.sonla.gov.vn/Default.aspx?sid=1364&amp;pageid=40104</v>
      </c>
      <c r="D4271" t="str">
        <v>-</v>
      </c>
      <c r="E4271" t="str">
        <v>-</v>
      </c>
      <c r="F4271" t="str">
        <v>-</v>
      </c>
      <c r="G4271" t="str">
        <v>-</v>
      </c>
    </row>
    <row r="4272">
      <c r="A4272">
        <v>4271</v>
      </c>
      <c r="B4272">
        <f>HYPERLINK("https://www.facebook.com/tuoitrecongansonla/", "Công an xã Mường Cai  tỉnh Sơn La")</f>
      </c>
      <c r="C4272" t="str">
        <v>https://www.facebook.com/tuoitrecongansonla/</v>
      </c>
      <c r="D4272" t="str">
        <v>-</v>
      </c>
      <c r="E4272" t="str">
        <v/>
      </c>
      <c r="F4272" t="str">
        <v>-</v>
      </c>
      <c r="G4272" t="str">
        <v>-</v>
      </c>
    </row>
    <row r="4273">
      <c r="A4273">
        <v>4272</v>
      </c>
      <c r="B4273">
        <f>HYPERLINK("https://sonla.gov.vn/tin-van-hoa-xa-hoi/hoi-nghi-doi-thoai-giua-bi-thu-huyen-uy-voi-nhan-dan-xa-muong-cai-718784", "UBND Ủy ban nhân dân xã Mường Cai  tỉnh Sơn La")</f>
      </c>
      <c r="C4273" t="str">
        <v>https://sonla.gov.vn/tin-van-hoa-xa-hoi/hoi-nghi-doi-thoai-giua-bi-thu-huyen-uy-voi-nhan-dan-xa-muong-cai-718784</v>
      </c>
      <c r="D4273" t="str">
        <v>-</v>
      </c>
      <c r="E4273" t="str">
        <v>-</v>
      </c>
      <c r="F4273" t="str">
        <v>-</v>
      </c>
      <c r="G4273" t="str">
        <v>-</v>
      </c>
    </row>
    <row r="4274">
      <c r="A4274">
        <v>4273</v>
      </c>
      <c r="B4274">
        <f>HYPERLINK("https://www.facebook.com/tuoitrecongansonla/", "Công an xã Mường Hung  tỉnh Sơn La")</f>
      </c>
      <c r="C4274" t="str">
        <v>https://www.facebook.com/tuoitrecongansonla/</v>
      </c>
      <c r="D4274" t="str">
        <v>-</v>
      </c>
      <c r="E4274" t="str">
        <v/>
      </c>
      <c r="F4274" t="str">
        <v>-</v>
      </c>
      <c r="G4274" t="str">
        <v>-</v>
      </c>
    </row>
    <row r="4275">
      <c r="A4275">
        <v>4274</v>
      </c>
      <c r="B4275">
        <f>HYPERLINK("https://muongnoc.quephong.nghean.gov.vn/", "UBND Ủy ban nhân dân xã Mường Hung  tỉnh Sơn La")</f>
      </c>
      <c r="C4275" t="str">
        <v>https://muongnoc.quephong.nghean.gov.vn/</v>
      </c>
      <c r="D4275" t="str">
        <v>-</v>
      </c>
      <c r="E4275" t="str">
        <v>-</v>
      </c>
      <c r="F4275" t="str">
        <v>-</v>
      </c>
      <c r="G4275" t="str">
        <v>-</v>
      </c>
    </row>
    <row r="4276">
      <c r="A4276">
        <v>4275</v>
      </c>
      <c r="B4276">
        <f>HYPERLINK("https://www.facebook.com/p/C%C3%B4ng-an-x%C3%A3-Chi%E1%BB%81ng-Kh%C6%B0%C6%A1ng-S%C3%B4ng-M%C3%A3-S%C6%A1n-La-100076339473768/", "Công an xã Chiềng Khương  tỉnh Sơn La")</f>
      </c>
      <c r="C4276" t="str">
        <v>https://www.facebook.com/p/C%C3%B4ng-an-x%C3%A3-Chi%E1%BB%81ng-Kh%C6%B0%C6%A1ng-S%C3%B4ng-M%C3%A3-S%C6%A1n-La-100076339473768/</v>
      </c>
      <c r="D4276" t="str">
        <v>-</v>
      </c>
      <c r="E4276" t="str">
        <v/>
      </c>
      <c r="F4276" t="str">
        <v>-</v>
      </c>
      <c r="G4276" t="str">
        <v>-</v>
      </c>
    </row>
    <row r="4277">
      <c r="A4277">
        <v>4276</v>
      </c>
      <c r="B4277">
        <f>HYPERLINK("https://sonla.gov.vn/tin-hoat-dong-67517", "UBND Ủy ban nhân dân xã Chiềng Khương  tỉnh Sơn La")</f>
      </c>
      <c r="C4277" t="str">
        <v>https://sonla.gov.vn/tin-hoat-dong-67517</v>
      </c>
      <c r="D4277" t="str">
        <v>-</v>
      </c>
      <c r="E4277" t="str">
        <v>-</v>
      </c>
      <c r="F4277" t="str">
        <v>-</v>
      </c>
      <c r="G4277" t="str">
        <v>-</v>
      </c>
    </row>
    <row r="4278">
      <c r="A4278">
        <v>4277</v>
      </c>
      <c r="B4278" t="str">
        <v>Công an xã Sam Kha  tỉnh Sơn La</v>
      </c>
      <c r="C4278" t="str">
        <v>-</v>
      </c>
      <c r="D4278" t="str">
        <v>-</v>
      </c>
      <c r="E4278" t="str">
        <v/>
      </c>
      <c r="F4278" t="str">
        <v>-</v>
      </c>
      <c r="G4278" t="str">
        <v>-</v>
      </c>
    </row>
    <row r="4279">
      <c r="A4279">
        <v>4278</v>
      </c>
      <c r="B4279">
        <f>HYPERLINK("https://sonla.gov.vn/tin-chinh-tri/dong-chi-pho-bi-thu-thuong-truc-huyen-uy-chu-tich-hdnd-huyen-du-sinh-hoat-chi-bo-ban-sam-kha-xa--839172", "UBND Ủy ban nhân dân xã Sam Kha  tỉnh Sơn La")</f>
      </c>
      <c r="C4279" t="str">
        <v>https://sonla.gov.vn/tin-chinh-tri/dong-chi-pho-bi-thu-thuong-truc-huyen-uy-chu-tich-hdnd-huyen-du-sinh-hoat-chi-bo-ban-sam-kha-xa--839172</v>
      </c>
      <c r="D4279" t="str">
        <v>-</v>
      </c>
      <c r="E4279" t="str">
        <v>-</v>
      </c>
      <c r="F4279" t="str">
        <v>-</v>
      </c>
      <c r="G4279" t="str">
        <v>-</v>
      </c>
    </row>
    <row r="4280">
      <c r="A4280">
        <v>4279</v>
      </c>
      <c r="B4280" t="str">
        <v>Công an xã Púng Bánh  tỉnh Sơn La</v>
      </c>
      <c r="C4280" t="str">
        <v>-</v>
      </c>
      <c r="D4280" t="str">
        <v>-</v>
      </c>
      <c r="E4280" t="str">
        <v/>
      </c>
      <c r="F4280" t="str">
        <v>-</v>
      </c>
      <c r="G4280" t="str">
        <v>-</v>
      </c>
    </row>
    <row r="4281">
      <c r="A4281">
        <v>4280</v>
      </c>
      <c r="B4281">
        <f>HYPERLINK("https://sonla.gov.vn/tin-chinh-tri/dong-chi-pho-bi-thu-thuong-truc-huyen-uy-trao-huy-hieu-60-nam-40-nam-tuoi-dang-tai-xa-pung-banh-891774", "UBND Ủy ban nhân dân xã Púng Bánh  tỉnh Sơn La")</f>
      </c>
      <c r="C4281" t="str">
        <v>https://sonla.gov.vn/tin-chinh-tri/dong-chi-pho-bi-thu-thuong-truc-huyen-uy-trao-huy-hieu-60-nam-40-nam-tuoi-dang-tai-xa-pung-banh-891774</v>
      </c>
      <c r="D4281" t="str">
        <v>-</v>
      </c>
      <c r="E4281" t="str">
        <v>-</v>
      </c>
      <c r="F4281" t="str">
        <v>-</v>
      </c>
      <c r="G4281" t="str">
        <v>-</v>
      </c>
    </row>
    <row r="4282">
      <c r="A4282">
        <v>4281</v>
      </c>
      <c r="B4282" t="str">
        <v>Công an xã Sốp Cộp  tỉnh Sơn La</v>
      </c>
      <c r="C4282" t="str">
        <v>-</v>
      </c>
      <c r="D4282" t="str">
        <v>-</v>
      </c>
      <c r="E4282" t="str">
        <v/>
      </c>
      <c r="F4282" t="str">
        <v>-</v>
      </c>
      <c r="G4282" t="str">
        <v>-</v>
      </c>
    </row>
    <row r="4283">
      <c r="A4283">
        <v>4282</v>
      </c>
      <c r="B4283">
        <f>HYPERLINK("https://sopcop.sonla.gov.vn/", "UBND Ủy ban nhân dân xã Sốp Cộp  tỉnh Sơn La")</f>
      </c>
      <c r="C4283" t="str">
        <v>https://sopcop.sonla.gov.vn/</v>
      </c>
      <c r="D4283" t="str">
        <v>-</v>
      </c>
      <c r="E4283" t="str">
        <v>-</v>
      </c>
      <c r="F4283" t="str">
        <v>-</v>
      </c>
      <c r="G4283" t="str">
        <v>-</v>
      </c>
    </row>
    <row r="4284">
      <c r="A4284">
        <v>4283</v>
      </c>
      <c r="B4284">
        <f>HYPERLINK("https://www.facebook.com/tuoitrecongansonla/", "Công an xã Dồm Cang  tỉnh Sơn La")</f>
      </c>
      <c r="C4284" t="str">
        <v>https://www.facebook.com/tuoitrecongansonla/</v>
      </c>
      <c r="D4284" t="str">
        <v>-</v>
      </c>
      <c r="E4284" t="str">
        <v/>
      </c>
      <c r="F4284" t="str">
        <v>-</v>
      </c>
      <c r="G4284" t="str">
        <v>-</v>
      </c>
    </row>
    <row r="4285">
      <c r="A4285">
        <v>4284</v>
      </c>
      <c r="B4285">
        <f>HYPERLINK("https://sopcop.sonla.gov.vn/hoc-tap-va-lam-theo-tu-tuong-dao-duc-phong-cach-ho-chi-minh/guong-sang-nong-dan-san-xuat-kinh-doanh-gioi-o-dom-cang-762034", "UBND Ủy ban nhân dân xã Dồm Cang  tỉnh Sơn La")</f>
      </c>
      <c r="C4285" t="str">
        <v>https://sopcop.sonla.gov.vn/hoc-tap-va-lam-theo-tu-tuong-dao-duc-phong-cach-ho-chi-minh/guong-sang-nong-dan-san-xuat-kinh-doanh-gioi-o-dom-cang-762034</v>
      </c>
      <c r="D4285" t="str">
        <v>-</v>
      </c>
      <c r="E4285" t="str">
        <v>-</v>
      </c>
      <c r="F4285" t="str">
        <v>-</v>
      </c>
      <c r="G4285" t="str">
        <v>-</v>
      </c>
    </row>
    <row r="4286">
      <c r="A4286">
        <v>4285</v>
      </c>
      <c r="B4286">
        <f>HYPERLINK("https://www.facebook.com/people/C%C3%B4ng-an-x%C3%A3-N%E1%BA%ADm-L%E1%BA%A1nh-huy%E1%BB%87n-S%E1%BB%91p-C%E1%BB%99p-t%E1%BB%89nh-S%C6%A1n-La/100068015739935/", "Công an xã Nậm Lạnh  tỉnh Sơn La")</f>
      </c>
      <c r="C4286" t="str">
        <v>https://www.facebook.com/people/C%C3%B4ng-an-x%C3%A3-N%E1%BA%ADm-L%E1%BA%A1nh-huy%E1%BB%87n-S%E1%BB%91p-C%E1%BB%99p-t%E1%BB%89nh-S%C6%A1n-La/100068015739935/</v>
      </c>
      <c r="D4286" t="str">
        <v>-</v>
      </c>
      <c r="E4286" t="str">
        <v>0977060379</v>
      </c>
      <c r="F4286" t="str">
        <v>Tongquaniphone5s@gmail.com</v>
      </c>
      <c r="G4286" t="str">
        <v>-</v>
      </c>
    </row>
    <row r="4287">
      <c r="A4287">
        <v>4286</v>
      </c>
      <c r="B4287">
        <f>HYPERLINK("https://sonla.gov.vn/tin-tuc-72067/huyen-sop-cop-to-chuc-ngay-hoi-toan-dan-bao-ve-an-ninh-to-quoc-nam-2024-825994", "UBND Ủy ban nhân dân xã Nậm Lạnh  tỉnh Sơn La")</f>
      </c>
      <c r="C4287" t="str">
        <v>https://sonla.gov.vn/tin-tuc-72067/huyen-sop-cop-to-chuc-ngay-hoi-toan-dan-bao-ve-an-ninh-to-quoc-nam-2024-825994</v>
      </c>
      <c r="D4287" t="str">
        <v>-</v>
      </c>
      <c r="E4287" t="str">
        <v>-</v>
      </c>
      <c r="F4287" t="str">
        <v>-</v>
      </c>
      <c r="G4287" t="str">
        <v>-</v>
      </c>
    </row>
    <row r="4288">
      <c r="A4288">
        <v>4287</v>
      </c>
      <c r="B4288" t="str">
        <v>Công an xã Mường Lèo  tỉnh Sơn La</v>
      </c>
      <c r="C4288" t="str">
        <v>-</v>
      </c>
      <c r="D4288" t="str">
        <v>-</v>
      </c>
      <c r="E4288" t="str">
        <v/>
      </c>
      <c r="F4288" t="str">
        <v>-</v>
      </c>
      <c r="G4288" t="str">
        <v>-</v>
      </c>
    </row>
    <row r="4289">
      <c r="A4289">
        <v>4288</v>
      </c>
      <c r="B4289">
        <f>HYPERLINK("https://sopcop.sonla.gov.vn/hoat-dong-huyen-uy-hdnd-ubnd/hoi-nghi-tiep-xuc-cu-tri-truoc-ky-hop-thu-chin-hoi-dong-nhan-dan-huyen-khoa-iv-tai-xa-muong-leo-893075", "UBND Ủy ban nhân dân xã Mường Lèo  tỉnh Sơn La")</f>
      </c>
      <c r="C4289" t="str">
        <v>https://sopcop.sonla.gov.vn/hoat-dong-huyen-uy-hdnd-ubnd/hoi-nghi-tiep-xuc-cu-tri-truoc-ky-hop-thu-chin-hoi-dong-nhan-dan-huyen-khoa-iv-tai-xa-muong-leo-893075</v>
      </c>
      <c r="D4289" t="str">
        <v>-</v>
      </c>
      <c r="E4289" t="str">
        <v>-</v>
      </c>
      <c r="F4289" t="str">
        <v>-</v>
      </c>
      <c r="G4289" t="str">
        <v>-</v>
      </c>
    </row>
    <row r="4290">
      <c r="A4290">
        <v>4289</v>
      </c>
      <c r="B4290">
        <f>HYPERLINK("https://www.facebook.com/tuoitrecongansonla/", "Công an xã Mường Và  tỉnh Sơn La")</f>
      </c>
      <c r="C4290" t="str">
        <v>https://www.facebook.com/tuoitrecongansonla/</v>
      </c>
      <c r="D4290" t="str">
        <v>-</v>
      </c>
      <c r="E4290" t="str">
        <v/>
      </c>
      <c r="F4290" t="str">
        <v>-</v>
      </c>
      <c r="G4290" t="str">
        <v>-</v>
      </c>
    </row>
    <row r="4291">
      <c r="A4291">
        <v>4290</v>
      </c>
      <c r="B4291">
        <f>HYPERLINK("https://muongnoc.quephong.nghean.gov.vn/", "UBND Ủy ban nhân dân xã Mường Và  tỉnh Sơn La")</f>
      </c>
      <c r="C4291" t="str">
        <v>https://muongnoc.quephong.nghean.gov.vn/</v>
      </c>
      <c r="D4291" t="str">
        <v>-</v>
      </c>
      <c r="E4291" t="str">
        <v>-</v>
      </c>
      <c r="F4291" t="str">
        <v>-</v>
      </c>
      <c r="G4291" t="str">
        <v>-</v>
      </c>
    </row>
    <row r="4292">
      <c r="A4292">
        <v>4291</v>
      </c>
      <c r="B4292">
        <f>HYPERLINK("https://www.facebook.com/ConganxaMuonglan/", "Công an xã Mường Lạn  tỉnh Sơn La")</f>
      </c>
      <c r="C4292" t="str">
        <v>https://www.facebook.com/ConganxaMuonglan/</v>
      </c>
      <c r="D4292" t="str">
        <v>-</v>
      </c>
      <c r="E4292" t="str">
        <v/>
      </c>
      <c r="F4292" t="str">
        <v>-</v>
      </c>
      <c r="G4292" t="str">
        <v>-</v>
      </c>
    </row>
    <row r="4293">
      <c r="A4293">
        <v>4292</v>
      </c>
      <c r="B4293">
        <f>HYPERLINK("https://sopcop.sonla.gov.vn/kinh-te/sat-taluy-duong-gay-thiet-hai-02-nha-tai-ban-poi-lanh-xa-muong-va-830398", "UBND Ủy ban nhân dân xã Mường Lạn  tỉnh Sơn La")</f>
      </c>
      <c r="C4293" t="str">
        <v>https://sopcop.sonla.gov.vn/kinh-te/sat-taluy-duong-gay-thiet-hai-02-nha-tai-ban-poi-lanh-xa-muong-va-830398</v>
      </c>
      <c r="D4293" t="str">
        <v>-</v>
      </c>
      <c r="E4293" t="str">
        <v>-</v>
      </c>
      <c r="F4293" t="str">
        <v>-</v>
      </c>
      <c r="G4293" t="str">
        <v>-</v>
      </c>
    </row>
    <row r="4294">
      <c r="A4294">
        <v>4293</v>
      </c>
      <c r="B4294" t="str">
        <v>Công an xã Suối Bàng  tỉnh Sơn La</v>
      </c>
      <c r="C4294" t="str">
        <v>-</v>
      </c>
      <c r="D4294" t="str">
        <v>-</v>
      </c>
      <c r="E4294" t="str">
        <v/>
      </c>
      <c r="F4294" t="str">
        <v>-</v>
      </c>
      <c r="G4294" t="str">
        <v>-</v>
      </c>
    </row>
    <row r="4295">
      <c r="A4295">
        <v>4294</v>
      </c>
      <c r="B4295">
        <f>HYPERLINK("https://sonla.gov.vn/?pageid=27160&amp;p_steering=91265", "UBND Ủy ban nhân dân xã Suối Bàng  tỉnh Sơn La")</f>
      </c>
      <c r="C4295" t="str">
        <v>https://sonla.gov.vn/?pageid=27160&amp;p_steering=91265</v>
      </c>
      <c r="D4295" t="str">
        <v>-</v>
      </c>
      <c r="E4295" t="str">
        <v>-</v>
      </c>
      <c r="F4295" t="str">
        <v>-</v>
      </c>
      <c r="G4295" t="str">
        <v>-</v>
      </c>
    </row>
    <row r="4296">
      <c r="A4296">
        <v>4295</v>
      </c>
      <c r="B4296" t="str">
        <v>Công an xã Song Khủa  tỉnh Sơn La</v>
      </c>
      <c r="C4296" t="str">
        <v>-</v>
      </c>
      <c r="D4296" t="str">
        <v>-</v>
      </c>
      <c r="E4296" t="str">
        <v/>
      </c>
      <c r="F4296" t="str">
        <v>-</v>
      </c>
      <c r="G4296" t="str">
        <v>-</v>
      </c>
    </row>
    <row r="4297">
      <c r="A4297">
        <v>4296</v>
      </c>
      <c r="B4297">
        <f>HYPERLINK("https://sonla.gov.vn/tin-van-hoa-xa-hoi/hiep-hoi-doanh-nghiep-tinh-tham-va-tang-qua-tai-xa-song-khua-745460", "UBND Ủy ban nhân dân xã Song Khủa  tỉnh Sơn La")</f>
      </c>
      <c r="C4297" t="str">
        <v>https://sonla.gov.vn/tin-van-hoa-xa-hoi/hiep-hoi-doanh-nghiep-tinh-tham-va-tang-qua-tai-xa-song-khua-745460</v>
      </c>
      <c r="D4297" t="str">
        <v>-</v>
      </c>
      <c r="E4297" t="str">
        <v>-</v>
      </c>
      <c r="F4297" t="str">
        <v>-</v>
      </c>
      <c r="G4297" t="str">
        <v>-</v>
      </c>
    </row>
    <row r="4298">
      <c r="A4298">
        <v>4297</v>
      </c>
      <c r="B4298">
        <f>HYPERLINK("https://www.facebook.com/tuoitrecongansonla/", "Công an xã Liên Hoà  tỉnh Sơn La")</f>
      </c>
      <c r="C4298" t="str">
        <v>https://www.facebook.com/tuoitrecongansonla/</v>
      </c>
      <c r="D4298" t="str">
        <v>-</v>
      </c>
      <c r="E4298" t="str">
        <v/>
      </c>
      <c r="F4298" t="str">
        <v>-</v>
      </c>
      <c r="G4298" t="str">
        <v>-</v>
      </c>
    </row>
    <row r="4299">
      <c r="A4299">
        <v>4298</v>
      </c>
      <c r="B4299">
        <f>HYPERLINK("https://www.quangninh.gov.vn/donvi/TXQuangYen/Trang/ChiTietBVGioiThieu.aspx?bvid=202", "UBND Ủy ban nhân dân xã Liên Hoà  tỉnh Sơn La")</f>
      </c>
      <c r="C4299" t="str">
        <v>https://www.quangninh.gov.vn/donvi/TXQuangYen/Trang/ChiTietBVGioiThieu.aspx?bvid=202</v>
      </c>
      <c r="D4299" t="str">
        <v>-</v>
      </c>
      <c r="E4299" t="str">
        <v>-</v>
      </c>
      <c r="F4299" t="str">
        <v>-</v>
      </c>
      <c r="G4299" t="str">
        <v>-</v>
      </c>
    </row>
    <row r="4300">
      <c r="A4300">
        <v>4299</v>
      </c>
      <c r="B4300">
        <f>HYPERLINK("https://www.facebook.com/p/UBND-x%C3%A3-T%C3%B4-M%C3%BAa-100057380593082/", "Công an xã Tô Múa  tỉnh Sơn La")</f>
      </c>
      <c r="C4300" t="str">
        <v>https://www.facebook.com/p/UBND-x%C3%A3-T%C3%B4-M%C3%BAa-100057380593082/</v>
      </c>
      <c r="D4300" t="str">
        <v>-</v>
      </c>
      <c r="E4300" t="str">
        <v/>
      </c>
      <c r="F4300" t="str">
        <v>-</v>
      </c>
      <c r="G4300" t="str">
        <v>-</v>
      </c>
    </row>
    <row r="4301">
      <c r="A4301">
        <v>4300</v>
      </c>
      <c r="B4301">
        <f>HYPERLINK("https://sonla.gov.vn/tin-chinh-tri/ban-thuong-vu-huyen-uy-van-ho-lam-viec-tai-xa-to-mua-776843", "UBND Ủy ban nhân dân xã Tô Múa  tỉnh Sơn La")</f>
      </c>
      <c r="C4301" t="str">
        <v>https://sonla.gov.vn/tin-chinh-tri/ban-thuong-vu-huyen-uy-van-ho-lam-viec-tai-xa-to-mua-776843</v>
      </c>
      <c r="D4301" t="str">
        <v>-</v>
      </c>
      <c r="E4301" t="str">
        <v>-</v>
      </c>
      <c r="F4301" t="str">
        <v>-</v>
      </c>
      <c r="G4301" t="str">
        <v>-</v>
      </c>
    </row>
    <row r="4302">
      <c r="A4302">
        <v>4301</v>
      </c>
      <c r="B4302">
        <f>HYPERLINK("https://www.facebook.com/tuoitrecongansonla/", "Công an xã Mường Tè  tỉnh Sơn La")</f>
      </c>
      <c r="C4302" t="str">
        <v>https://www.facebook.com/tuoitrecongansonla/</v>
      </c>
      <c r="D4302" t="str">
        <v>-</v>
      </c>
      <c r="E4302" t="str">
        <v/>
      </c>
      <c r="F4302" t="str">
        <v>-</v>
      </c>
      <c r="G4302" t="str">
        <v>-</v>
      </c>
    </row>
    <row r="4303">
      <c r="A4303">
        <v>4302</v>
      </c>
      <c r="B4303">
        <f>HYPERLINK("https://muongte.laichau.gov.vn/", "UBND Ủy ban nhân dân xã Mường Tè  tỉnh Sơn La")</f>
      </c>
      <c r="C4303" t="str">
        <v>https://muongte.laichau.gov.vn/</v>
      </c>
      <c r="D4303" t="str">
        <v>-</v>
      </c>
      <c r="E4303" t="str">
        <v>-</v>
      </c>
      <c r="F4303" t="str">
        <v>-</v>
      </c>
      <c r="G4303" t="str">
        <v>-</v>
      </c>
    </row>
    <row r="4304">
      <c r="A4304">
        <v>4303</v>
      </c>
      <c r="B4304" t="str">
        <v>Công an xã Chiềng Khoa  tỉnh Sơn La</v>
      </c>
      <c r="C4304" t="str">
        <v>-</v>
      </c>
      <c r="D4304" t="str">
        <v>-</v>
      </c>
      <c r="E4304" t="str">
        <v/>
      </c>
      <c r="F4304" t="str">
        <v>-</v>
      </c>
      <c r="G4304" t="str">
        <v>-</v>
      </c>
    </row>
    <row r="4305">
      <c r="A4305">
        <v>4304</v>
      </c>
      <c r="B4305">
        <f>HYPERLINK("https://yenchau.sonla.gov.vn/?pageid=31386&amp;p_field=3758", "UBND Ủy ban nhân dân xã Chiềng Khoa  tỉnh Sơn La")</f>
      </c>
      <c r="C4305" t="str">
        <v>https://yenchau.sonla.gov.vn/?pageid=31386&amp;p_field=3758</v>
      </c>
      <c r="D4305" t="str">
        <v>-</v>
      </c>
      <c r="E4305" t="str">
        <v>-</v>
      </c>
      <c r="F4305" t="str">
        <v>-</v>
      </c>
      <c r="G4305" t="str">
        <v>-</v>
      </c>
    </row>
    <row r="4306">
      <c r="A4306">
        <v>4305</v>
      </c>
      <c r="B4306">
        <f>HYPERLINK("https://www.facebook.com/tuoitrecongansonla/", "Công an xã Mường Men  tỉnh Sơn La")</f>
      </c>
      <c r="C4306" t="str">
        <v>https://www.facebook.com/tuoitrecongansonla/</v>
      </c>
      <c r="D4306" t="str">
        <v>-</v>
      </c>
      <c r="E4306" t="str">
        <v/>
      </c>
      <c r="F4306" t="str">
        <v>-</v>
      </c>
      <c r="G4306" t="str">
        <v>-</v>
      </c>
    </row>
    <row r="4307">
      <c r="A4307">
        <v>4306</v>
      </c>
      <c r="B4307">
        <f>HYPERLINK("https://sonla.gov.vn/tin-kinh-te/ubnd-huyen-van-ho-lam-viec-voi-2-xa-muong-men-long-luong-va-cong-ty-cp-che-bien-thuc-pham-sach-v-727494", "UBND Ủy ban nhân dân xã Mường Men  tỉnh Sơn La")</f>
      </c>
      <c r="C4307" t="str">
        <v>https://sonla.gov.vn/tin-kinh-te/ubnd-huyen-van-ho-lam-viec-voi-2-xa-muong-men-long-luong-va-cong-ty-cp-che-bien-thuc-pham-sach-v-727494</v>
      </c>
      <c r="D4307" t="str">
        <v>-</v>
      </c>
      <c r="E4307" t="str">
        <v>-</v>
      </c>
      <c r="F4307" t="str">
        <v>-</v>
      </c>
      <c r="G4307" t="str">
        <v>-</v>
      </c>
    </row>
    <row r="4308">
      <c r="A4308">
        <v>4307</v>
      </c>
      <c r="B4308">
        <f>HYPERLINK("https://www.facebook.com/tuoitrecongansonla/", "Công an xã Quang Minh  tỉnh Sơn La")</f>
      </c>
      <c r="C4308" t="str">
        <v>https://www.facebook.com/tuoitrecongansonla/</v>
      </c>
      <c r="D4308" t="str">
        <v>-</v>
      </c>
      <c r="E4308" t="str">
        <v/>
      </c>
      <c r="F4308" t="str">
        <v>-</v>
      </c>
      <c r="G4308" t="str">
        <v>-</v>
      </c>
    </row>
    <row r="4309">
      <c r="A4309">
        <v>4308</v>
      </c>
      <c r="B4309">
        <f>HYPERLINK("https://haiha.quangninh.gov.vn/Trang/ChiTietBVGioiThieu.aspx?bvid=128", "UBND Ủy ban nhân dân xã Quang Minh  tỉnh Sơn La")</f>
      </c>
      <c r="C4309" t="str">
        <v>https://haiha.quangninh.gov.vn/Trang/ChiTietBVGioiThieu.aspx?bvid=128</v>
      </c>
      <c r="D4309" t="str">
        <v>-</v>
      </c>
      <c r="E4309" t="str">
        <v>-</v>
      </c>
      <c r="F4309" t="str">
        <v>-</v>
      </c>
      <c r="G4309" t="str">
        <v>-</v>
      </c>
    </row>
    <row r="4310">
      <c r="A4310">
        <v>4309</v>
      </c>
      <c r="B4310">
        <f>HYPERLINK("https://www.facebook.com/tuoitrecongansonla/", "Công an xã Vân Hồ  tỉnh Sơn La")</f>
      </c>
      <c r="C4310" t="str">
        <v>https://www.facebook.com/tuoitrecongansonla/</v>
      </c>
      <c r="D4310" t="str">
        <v>-</v>
      </c>
      <c r="E4310" t="str">
        <v/>
      </c>
      <c r="F4310" t="str">
        <v>-</v>
      </c>
      <c r="G4310" t="str">
        <v>-</v>
      </c>
    </row>
    <row r="4311">
      <c r="A4311">
        <v>4310</v>
      </c>
      <c r="B4311">
        <f>HYPERLINK("https://vanho.sonla.gov.vn/", "UBND Ủy ban nhân dân xã Vân Hồ  tỉnh Sơn La")</f>
      </c>
      <c r="C4311" t="str">
        <v>https://vanho.sonla.gov.vn/</v>
      </c>
      <c r="D4311" t="str">
        <v>-</v>
      </c>
      <c r="E4311" t="str">
        <v>-</v>
      </c>
      <c r="F4311" t="str">
        <v>-</v>
      </c>
      <c r="G4311" t="str">
        <v>-</v>
      </c>
    </row>
    <row r="4312">
      <c r="A4312">
        <v>4311</v>
      </c>
      <c r="B4312" t="str">
        <v>Công an xã Lóng Luông  tỉnh Sơn La</v>
      </c>
      <c r="C4312" t="str">
        <v>-</v>
      </c>
      <c r="D4312" t="str">
        <v>-</v>
      </c>
      <c r="E4312" t="str">
        <v/>
      </c>
      <c r="F4312" t="str">
        <v>-</v>
      </c>
      <c r="G4312" t="str">
        <v>-</v>
      </c>
    </row>
    <row r="4313">
      <c r="A4313">
        <v>4312</v>
      </c>
      <c r="B4313">
        <f>HYPERLINK("http://www.bocongan.gov.vn/tin-tuc/bo-cong-an---ubnd-tinh-son-la-so-ket-1-nam-thuc-hien-phuong-an-279-tai-xa-long-luong-huyen-van-ho-t17123.html", "UBND Ủy ban nhân dân xã Lóng Luông  tỉnh Sơn La")</f>
      </c>
      <c r="C4313" t="str">
        <v>http://www.bocongan.gov.vn/tin-tuc/bo-cong-an---ubnd-tinh-son-la-so-ket-1-nam-thuc-hien-phuong-an-279-tai-xa-long-luong-huyen-van-ho-t17123.html</v>
      </c>
      <c r="D4313" t="str">
        <v>-</v>
      </c>
      <c r="E4313" t="str">
        <v>-</v>
      </c>
      <c r="F4313" t="str">
        <v>-</v>
      </c>
      <c r="G4313" t="str">
        <v>-</v>
      </c>
    </row>
    <row r="4314">
      <c r="A4314">
        <v>4313</v>
      </c>
      <c r="B4314" t="str">
        <v>Công an xã Chiềng Yên  tỉnh Sơn La</v>
      </c>
      <c r="C4314" t="str">
        <v>-</v>
      </c>
      <c r="D4314" t="str">
        <v>-</v>
      </c>
      <c r="E4314" t="str">
        <v/>
      </c>
      <c r="F4314" t="str">
        <v>-</v>
      </c>
      <c r="G4314" t="str">
        <v>-</v>
      </c>
    </row>
    <row r="4315">
      <c r="A4315">
        <v>4314</v>
      </c>
      <c r="B4315">
        <f>HYPERLINK("https://yenchau.sonla.gov.vn/?pageid=31386&amp;p_field=3758", "UBND Ủy ban nhân dân xã Chiềng Yên  tỉnh Sơn La")</f>
      </c>
      <c r="C4315" t="str">
        <v>https://yenchau.sonla.gov.vn/?pageid=31386&amp;p_field=3758</v>
      </c>
      <c r="D4315" t="str">
        <v>-</v>
      </c>
      <c r="E4315" t="str">
        <v>-</v>
      </c>
      <c r="F4315" t="str">
        <v>-</v>
      </c>
      <c r="G4315" t="str">
        <v>-</v>
      </c>
    </row>
    <row r="4316">
      <c r="A4316">
        <v>4315</v>
      </c>
      <c r="B4316" t="str">
        <v>Công an xã Chiềng Xuân  tỉnh Sơn La</v>
      </c>
      <c r="C4316" t="str">
        <v>-</v>
      </c>
      <c r="D4316" t="str">
        <v>-</v>
      </c>
      <c r="E4316" t="str">
        <v/>
      </c>
      <c r="F4316" t="str">
        <v>-</v>
      </c>
      <c r="G4316" t="str">
        <v>-</v>
      </c>
    </row>
    <row r="4317">
      <c r="A4317">
        <v>4316</v>
      </c>
      <c r="B4317">
        <f>HYPERLINK("https://sonla.gov.vn/tin-tuc-hoat-dong/van-phong-ubnd-tinh-lam-viec-tai-xa-chieng-xuan-745669", "UBND Ủy ban nhân dân xã Chiềng Xuân  tỉnh Sơn La")</f>
      </c>
      <c r="C4317" t="str">
        <v>https://sonla.gov.vn/tin-tuc-hoat-dong/van-phong-ubnd-tinh-lam-viec-tai-xa-chieng-xuan-745669</v>
      </c>
      <c r="D4317" t="str">
        <v>-</v>
      </c>
      <c r="E4317" t="str">
        <v>-</v>
      </c>
      <c r="F4317" t="str">
        <v>-</v>
      </c>
      <c r="G4317" t="str">
        <v>-</v>
      </c>
    </row>
    <row r="4318">
      <c r="A4318">
        <v>4317</v>
      </c>
      <c r="B4318" t="str">
        <v>Công an xã Xuân Nha  tỉnh Sơn La</v>
      </c>
      <c r="C4318" t="str">
        <v>-</v>
      </c>
      <c r="D4318" t="str">
        <v>-</v>
      </c>
      <c r="E4318" t="str">
        <v/>
      </c>
      <c r="F4318" t="str">
        <v>-</v>
      </c>
      <c r="G4318" t="str">
        <v>-</v>
      </c>
    </row>
    <row r="4319">
      <c r="A4319">
        <v>4318</v>
      </c>
      <c r="B4319">
        <f>HYPERLINK("https://xuanson.vanninh.khanhhoa.gov.vn/Default.aspx?TopicId=b8532918-60a1-4f64-a29c-753156a1d54a", "UBND Ủy ban nhân dân xã Xuân Nha  tỉnh Sơn La")</f>
      </c>
      <c r="C4319" t="str">
        <v>https://xuanson.vanninh.khanhhoa.gov.vn/Default.aspx?TopicId=b8532918-60a1-4f64-a29c-753156a1d54a</v>
      </c>
      <c r="D4319" t="str">
        <v>-</v>
      </c>
      <c r="E4319" t="str">
        <v>-</v>
      </c>
      <c r="F4319" t="str">
        <v>-</v>
      </c>
      <c r="G4319" t="str">
        <v>-</v>
      </c>
    </row>
    <row r="4320">
      <c r="A4320">
        <v>4319</v>
      </c>
      <c r="B4320">
        <f>HYPERLINK("https://www.facebook.com/conganBaTri/", "Công an xã Tân Xuân  tỉnh Sơn La")</f>
      </c>
      <c r="C4320" t="str">
        <v>https://www.facebook.com/conganBaTri/</v>
      </c>
      <c r="D4320" t="str">
        <v>-</v>
      </c>
      <c r="E4320" t="str">
        <v/>
      </c>
      <c r="F4320" t="str">
        <v>-</v>
      </c>
      <c r="G4320" t="str">
        <v>-</v>
      </c>
    </row>
    <row r="4321">
      <c r="A4321">
        <v>4320</v>
      </c>
      <c r="B4321">
        <f>HYPERLINK("https://congan.sonla.gov.vn/cong-an-tinh-son-la-trien-khai-ke-hoach-phu-trach-giup-do-xa-tan-xuan-huyen-van-ho-giai-doan-2021-2026/", "UBND Ủy ban nhân dân xã Tân Xuân  tỉnh Sơn La")</f>
      </c>
      <c r="C4321" t="str">
        <v>https://congan.sonla.gov.vn/cong-an-tinh-son-la-trien-khai-ke-hoach-phu-trach-giup-do-xa-tan-xuan-huyen-van-ho-giai-doan-2021-2026/</v>
      </c>
      <c r="D4321" t="str">
        <v>-</v>
      </c>
      <c r="E4321" t="str">
        <v>-</v>
      </c>
      <c r="F4321" t="str">
        <v>-</v>
      </c>
      <c r="G4321" t="str">
        <v>-</v>
      </c>
    </row>
    <row r="4322">
      <c r="A4322">
        <v>4321</v>
      </c>
      <c r="B4322">
        <f>HYPERLINK("https://www.facebook.com/p/C%C3%B4ng-an-ph%C6%B0%E1%BB%9Dng-Y%C3%AAn-Th%E1%BB%8Bnh-TpY%C3%AAn-B%C3%A1i-100066352763035/", "Công an phường Yên Thịnh  tỉnh Yên Bái")</f>
      </c>
      <c r="C4322" t="str">
        <v>https://www.facebook.com/p/C%C3%B4ng-an-ph%C6%B0%E1%BB%9Dng-Y%C3%AAn-Th%E1%BB%8Bnh-TpY%C3%AAn-B%C3%A1i-100066352763035/</v>
      </c>
      <c r="D4322" t="str">
        <v>-</v>
      </c>
      <c r="E4322" t="str">
        <v/>
      </c>
      <c r="F4322" t="str">
        <v>-</v>
      </c>
      <c r="G4322" t="str">
        <v>-</v>
      </c>
    </row>
    <row r="4323">
      <c r="A4323">
        <v>4322</v>
      </c>
      <c r="B4323">
        <f>HYPERLINK("https://yenthinh.thanhphoyenbai.yenbai.gov.vn/", "UBND Ủy ban nhân dân phường Yên Thịnh  tỉnh Yên Bái")</f>
      </c>
      <c r="C4323" t="str">
        <v>https://yenthinh.thanhphoyenbai.yenbai.gov.vn/</v>
      </c>
      <c r="D4323" t="str">
        <v>-</v>
      </c>
      <c r="E4323" t="str">
        <v>-</v>
      </c>
      <c r="F4323" t="str">
        <v>-</v>
      </c>
      <c r="G4323" t="str">
        <v>-</v>
      </c>
    </row>
    <row r="4324">
      <c r="A4324">
        <v>4323</v>
      </c>
      <c r="B4324">
        <f>HYPERLINK("https://www.facebook.com/p/C%C3%B4ng-an-ph%C6%B0%E1%BB%9Dng-Y%C3%AAn-Ninh-TP-Y%C3%AAn-B%C3%A1i-100068122816914/", "Công an phường Yên Ninh  tỉnh Yên Bái")</f>
      </c>
      <c r="C4324" t="str">
        <v>https://www.facebook.com/p/C%C3%B4ng-an-ph%C6%B0%E1%BB%9Dng-Y%C3%AAn-Ninh-TP-Y%C3%AAn-B%C3%A1i-100068122816914/</v>
      </c>
      <c r="D4324" t="str">
        <v>-</v>
      </c>
      <c r="E4324" t="str">
        <v/>
      </c>
      <c r="F4324" t="str">
        <v>-</v>
      </c>
      <c r="G4324" t="str">
        <v>-</v>
      </c>
    </row>
    <row r="4325">
      <c r="A4325">
        <v>4324</v>
      </c>
      <c r="B4325">
        <f>HYPERLINK("https://yenninh.thanhphoyenbai.yenbai.gov.vn/", "UBND Ủy ban nhân dân phường Yên Ninh  tỉnh Yên Bái")</f>
      </c>
      <c r="C4325" t="str">
        <v>https://yenninh.thanhphoyenbai.yenbai.gov.vn/</v>
      </c>
      <c r="D4325" t="str">
        <v>-</v>
      </c>
      <c r="E4325" t="str">
        <v>-</v>
      </c>
      <c r="F4325" t="str">
        <v>-</v>
      </c>
      <c r="G4325" t="str">
        <v>-</v>
      </c>
    </row>
    <row r="4326">
      <c r="A4326">
        <v>4325</v>
      </c>
      <c r="B4326">
        <f>HYPERLINK("https://www.facebook.com/CAPMinhTan/?locale=br_FR", "Công an phường Minh Tân  tỉnh Yên Bái")</f>
      </c>
      <c r="C4326" t="str">
        <v>https://www.facebook.com/CAPMinhTan/?locale=br_FR</v>
      </c>
      <c r="D4326" t="str">
        <v>-</v>
      </c>
      <c r="E4326" t="str">
        <v/>
      </c>
      <c r="F4326" t="str">
        <v>-</v>
      </c>
      <c r="G4326" t="str">
        <v>-</v>
      </c>
    </row>
    <row r="4327">
      <c r="A4327">
        <v>4326</v>
      </c>
      <c r="B4327">
        <f>HYPERLINK("http://minhtan.thanhphoyenbai.yenbai.gov.vn/?page_id=192", "UBND Ủy ban nhân dân phường Minh Tân  tỉnh Yên Bái")</f>
      </c>
      <c r="C4327" t="str">
        <v>http://minhtan.thanhphoyenbai.yenbai.gov.vn/?page_id=192</v>
      </c>
      <c r="D4327" t="str">
        <v>-</v>
      </c>
      <c r="E4327" t="str">
        <v>-</v>
      </c>
      <c r="F4327" t="str">
        <v>-</v>
      </c>
      <c r="G4327" t="str">
        <v>-</v>
      </c>
    </row>
    <row r="4328">
      <c r="A4328">
        <v>4327</v>
      </c>
      <c r="B4328">
        <f>HYPERLINK("https://www.facebook.com/p/C%C3%B4ng-an-ph%C6%B0%E1%BB%9Dng-Nguy%E1%BB%85n-Th%C3%A1i-H%E1%BB%8Dc-th%C3%A0nh-ph%E1%BB%91-Y%C3%AAn-B%C3%A1i-100070147893304/", "Công an phường Nguyễn Thái Học  tỉnh Yên Bái")</f>
      </c>
      <c r="C4328" t="str">
        <v>https://www.facebook.com/p/C%C3%B4ng-an-ph%C6%B0%E1%BB%9Dng-Nguy%E1%BB%85n-Th%C3%A1i-H%E1%BB%8Dc-th%C3%A0nh-ph%E1%BB%91-Y%C3%AAn-B%C3%A1i-100070147893304/</v>
      </c>
      <c r="D4328" t="str">
        <v>-</v>
      </c>
      <c r="E4328" t="str">
        <v/>
      </c>
      <c r="F4328" t="str">
        <v>-</v>
      </c>
      <c r="G4328" t="str">
        <v>-</v>
      </c>
    </row>
    <row r="4329">
      <c r="A4329">
        <v>4328</v>
      </c>
      <c r="B4329">
        <f>HYPERLINK("http://nguyenthaihoc.thanhphoyenbai.yenbai.gov.vn/", "UBND Ủy ban nhân dân phường Nguyễn Thái Học  tỉnh Yên Bái")</f>
      </c>
      <c r="C4329" t="str">
        <v>http://nguyenthaihoc.thanhphoyenbai.yenbai.gov.vn/</v>
      </c>
      <c r="D4329" t="str">
        <v>-</v>
      </c>
      <c r="E4329" t="str">
        <v>-</v>
      </c>
      <c r="F4329" t="str">
        <v>-</v>
      </c>
      <c r="G4329" t="str">
        <v>-</v>
      </c>
    </row>
    <row r="4330">
      <c r="A4330">
        <v>4329</v>
      </c>
      <c r="B4330">
        <f>HYPERLINK("https://www.facebook.com/p/C%C3%B4ng-an-ph%C6%B0%E1%BB%9Dng-%C4%90%E1%BB%93ng-T%C3%A2m-TP-Y%C3%AAn-B%C3%A1i-100067814406903/", "Công an phường Đồng Tâm  tỉnh Yên Bái")</f>
      </c>
      <c r="C4330" t="str">
        <v>https://www.facebook.com/p/C%C3%B4ng-an-ph%C6%B0%E1%BB%9Dng-%C4%90%E1%BB%93ng-T%C3%A2m-TP-Y%C3%AAn-B%C3%A1i-100067814406903/</v>
      </c>
      <c r="D4330" t="str">
        <v>-</v>
      </c>
      <c r="E4330" t="str">
        <v/>
      </c>
      <c r="F4330" t="str">
        <v>-</v>
      </c>
      <c r="G4330" t="str">
        <v>-</v>
      </c>
    </row>
    <row r="4331">
      <c r="A4331">
        <v>4330</v>
      </c>
      <c r="B4331">
        <f>HYPERLINK("https://thanhphoyenbai.yenbai.gov.vn/cac-xa-phuong/phuong-dong-tam-288583", "UBND Ủy ban nhân dân phường Đồng Tâm  tỉnh Yên Bái")</f>
      </c>
      <c r="C4331" t="str">
        <v>https://thanhphoyenbai.yenbai.gov.vn/cac-xa-phuong/phuong-dong-tam-288583</v>
      </c>
      <c r="D4331" t="str">
        <v>-</v>
      </c>
      <c r="E4331" t="str">
        <v>-</v>
      </c>
      <c r="F4331" t="str">
        <v>-</v>
      </c>
      <c r="G4331" t="str">
        <v>-</v>
      </c>
    </row>
    <row r="4332">
      <c r="A4332">
        <v>4331</v>
      </c>
      <c r="B4332">
        <f>HYPERLINK("https://www.facebook.com/p/C%C3%B4ng-an-ph%C6%B0%E1%BB%9Dng-Nguy%E1%BB%85n-Ph%C3%BAc-th%C3%A0nh-ph%E1%BB%91-Y%C3%AAn-B%C3%A1i-100071911672702/", "Công an phường Nguyễn Phúc  tỉnh Yên Bái")</f>
      </c>
      <c r="C4332" t="str">
        <v>https://www.facebook.com/p/C%C3%B4ng-an-ph%C6%B0%E1%BB%9Dng-Nguy%E1%BB%85n-Ph%C3%BAc-th%C3%A0nh-ph%E1%BB%91-Y%C3%AAn-B%C3%A1i-100071911672702/</v>
      </c>
      <c r="D4332" t="str">
        <v>-</v>
      </c>
      <c r="E4332" t="str">
        <v/>
      </c>
      <c r="F4332" t="str">
        <v>-</v>
      </c>
      <c r="G4332" t="str">
        <v>-</v>
      </c>
    </row>
    <row r="4333">
      <c r="A4333">
        <v>4332</v>
      </c>
      <c r="B4333">
        <f>HYPERLINK("https://nguyenphuc.thanhphoyenbai.yenbai.gov.vn/", "UBND Ủy ban nhân dân phường Nguyễn Phúc  tỉnh Yên Bái")</f>
      </c>
      <c r="C4333" t="str">
        <v>https://nguyenphuc.thanhphoyenbai.yenbai.gov.vn/</v>
      </c>
      <c r="D4333" t="str">
        <v>-</v>
      </c>
      <c r="E4333" t="str">
        <v>-</v>
      </c>
      <c r="F4333" t="str">
        <v>-</v>
      </c>
      <c r="G4333" t="str">
        <v>-</v>
      </c>
    </row>
    <row r="4334">
      <c r="A4334">
        <v>4333</v>
      </c>
      <c r="B4334">
        <f>HYPERLINK("https://www.facebook.com/p/C%C3%B4ng-an-ph%C6%B0%E1%BB%9Dng-H%E1%BB%93ng-H%C3%A0-Th%C3%A0nh-ph%E1%BB%91-Y%C3%AAn-B%C3%A1i-100066442728369/", "Công an phường Hồng Hà  tỉnh Yên Bái")</f>
      </c>
      <c r="C4334" t="str">
        <v>https://www.facebook.com/p/C%C3%B4ng-an-ph%C6%B0%E1%BB%9Dng-H%E1%BB%93ng-H%C3%A0-Th%C3%A0nh-ph%E1%BB%91-Y%C3%AAn-B%C3%A1i-100066442728369/</v>
      </c>
      <c r="D4334" t="str">
        <v>-</v>
      </c>
      <c r="E4334" t="str">
        <v/>
      </c>
      <c r="F4334" t="str">
        <v>-</v>
      </c>
      <c r="G4334" t="str">
        <v>-</v>
      </c>
    </row>
    <row r="4335">
      <c r="A4335">
        <v>4334</v>
      </c>
      <c r="B4335">
        <f>HYPERLINK("http://hongha.thanhphoyenbai.yenbai.gov.vn/", "UBND Ủy ban nhân dân phường Hồng Hà  tỉnh Yên Bái")</f>
      </c>
      <c r="C4335" t="str">
        <v>http://hongha.thanhphoyenbai.yenbai.gov.vn/</v>
      </c>
      <c r="D4335" t="str">
        <v>-</v>
      </c>
      <c r="E4335" t="str">
        <v>-</v>
      </c>
      <c r="F4335" t="str">
        <v>-</v>
      </c>
      <c r="G4335" t="str">
        <v>-</v>
      </c>
    </row>
    <row r="4336">
      <c r="A4336">
        <v>4335</v>
      </c>
      <c r="B4336">
        <f>HYPERLINK("https://www.facebook.com/p/C%C3%B4ng-an-x%C3%A3-Minh-B%E1%BA%A3o-th%C3%A0nh-ph%E1%BB%91-Y%C3%AAn-B%C3%A1i-100067402020480/", "Công an xã Minh Bảo  tỉnh Yên Bái")</f>
      </c>
      <c r="C4336" t="str">
        <v>https://www.facebook.com/p/C%C3%B4ng-an-x%C3%A3-Minh-B%E1%BA%A3o-th%C3%A0nh-ph%E1%BB%91-Y%C3%AAn-B%C3%A1i-100067402020480/</v>
      </c>
      <c r="D4336" t="str">
        <v>-</v>
      </c>
      <c r="E4336" t="str">
        <v/>
      </c>
      <c r="F4336" t="str">
        <v>-</v>
      </c>
      <c r="G4336" t="str">
        <v>-</v>
      </c>
    </row>
    <row r="4337">
      <c r="A4337">
        <v>4336</v>
      </c>
      <c r="B4337">
        <f>HYPERLINK("https://www.yenbai.gov.vn/", "UBND Ủy ban nhân dân xã Minh Bảo  tỉnh Yên Bái")</f>
      </c>
      <c r="C4337" t="str">
        <v>https://www.yenbai.gov.vn/</v>
      </c>
      <c r="D4337" t="str">
        <v>-</v>
      </c>
      <c r="E4337" t="str">
        <v>-</v>
      </c>
      <c r="F4337" t="str">
        <v>-</v>
      </c>
      <c r="G4337" t="str">
        <v>-</v>
      </c>
    </row>
    <row r="4338">
      <c r="A4338">
        <v>4337</v>
      </c>
      <c r="B4338">
        <f>HYPERLINK("https://www.facebook.com/conganpnamcuong/", "Công an phường Nam Cường  tỉnh Yên Bái")</f>
      </c>
      <c r="C4338" t="str">
        <v>https://www.facebook.com/conganpnamcuong/</v>
      </c>
      <c r="D4338" t="str">
        <v>-</v>
      </c>
      <c r="E4338" t="str">
        <v/>
      </c>
      <c r="F4338" t="str">
        <v>-</v>
      </c>
      <c r="G4338" t="str">
        <v>-</v>
      </c>
    </row>
    <row r="4339">
      <c r="A4339">
        <v>4338</v>
      </c>
      <c r="B4339">
        <f>HYPERLINK("http://namcuong.thanhphoyenbai.yenbai.gov.vn/", "UBND Ủy ban nhân dân phường Nam Cường  tỉnh Yên Bái")</f>
      </c>
      <c r="C4339" t="str">
        <v>http://namcuong.thanhphoyenbai.yenbai.gov.vn/</v>
      </c>
      <c r="D4339" t="str">
        <v>-</v>
      </c>
      <c r="E4339" t="str">
        <v>-</v>
      </c>
      <c r="F4339" t="str">
        <v>-</v>
      </c>
      <c r="G4339" t="str">
        <v>-</v>
      </c>
    </row>
    <row r="4340">
      <c r="A4340">
        <v>4339</v>
      </c>
      <c r="B4340" t="str">
        <v>Công an xã Tuy Lộc  tỉnh Yên Bái</v>
      </c>
      <c r="C4340" t="str">
        <v>-</v>
      </c>
      <c r="D4340" t="str">
        <v>-</v>
      </c>
      <c r="E4340" t="str">
        <v/>
      </c>
      <c r="F4340" t="str">
        <v>-</v>
      </c>
      <c r="G4340" t="str">
        <v>-</v>
      </c>
    </row>
    <row r="4341">
      <c r="A4341">
        <v>4340</v>
      </c>
      <c r="B4341">
        <f>HYPERLINK("https://thanhphoyenbai.yenbai.gov.vn/cac-xa-phuong/xa-tuy-loc-288595", "UBND Ủy ban nhân dân xã Tuy Lộc  tỉnh Yên Bái")</f>
      </c>
      <c r="C4341" t="str">
        <v>https://thanhphoyenbai.yenbai.gov.vn/cac-xa-phuong/xa-tuy-loc-288595</v>
      </c>
      <c r="D4341" t="str">
        <v>-</v>
      </c>
      <c r="E4341" t="str">
        <v>-</v>
      </c>
      <c r="F4341" t="str">
        <v>-</v>
      </c>
      <c r="G4341" t="str">
        <v>-</v>
      </c>
    </row>
    <row r="4342">
      <c r="A4342">
        <v>4341</v>
      </c>
      <c r="B4342">
        <f>HYPERLINK("https://www.facebook.com/conganxatanthinh/", "Công an xã Tân Thịnh  tỉnh Yên Bái")</f>
      </c>
      <c r="C4342" t="str">
        <v>https://www.facebook.com/conganxatanthinh/</v>
      </c>
      <c r="D4342" t="str">
        <v>-</v>
      </c>
      <c r="E4342" t="str">
        <v/>
      </c>
      <c r="F4342" t="str">
        <v>-</v>
      </c>
      <c r="G4342" t="str">
        <v>-</v>
      </c>
    </row>
    <row r="4343">
      <c r="A4343">
        <v>4342</v>
      </c>
      <c r="B4343">
        <f>HYPERLINK("https://hoilhpn.yenbai.gov.vn/noidung/tintuc/Pages/chi-tiet-tin-tuc.aspx?ItemID=458&amp;l=Tinhoatdong&amp;lv=5", "UBND Ủy ban nhân dân xã Tân Thịnh  tỉnh Yên Bái")</f>
      </c>
      <c r="C4343" t="str">
        <v>https://hoilhpn.yenbai.gov.vn/noidung/tintuc/Pages/chi-tiet-tin-tuc.aspx?ItemID=458&amp;l=Tinhoatdong&amp;lv=5</v>
      </c>
      <c r="D4343" t="str">
        <v>-</v>
      </c>
      <c r="E4343" t="str">
        <v>-</v>
      </c>
      <c r="F4343" t="str">
        <v>-</v>
      </c>
      <c r="G4343" t="str">
        <v>-</v>
      </c>
    </row>
    <row r="4344">
      <c r="A4344">
        <v>4343</v>
      </c>
      <c r="B4344" t="str">
        <v>Công an xã Âu Lâu  tỉnh Yên Bái</v>
      </c>
      <c r="C4344" t="str">
        <v>-</v>
      </c>
      <c r="D4344" t="str">
        <v>-</v>
      </c>
      <c r="E4344" t="str">
        <v/>
      </c>
      <c r="F4344" t="str">
        <v>-</v>
      </c>
      <c r="G4344" t="str">
        <v>-</v>
      </c>
    </row>
    <row r="4345">
      <c r="A4345">
        <v>4344</v>
      </c>
      <c r="B4345">
        <f>HYPERLINK("https://soldtbxh.yenbai.gov.vn/FAQ/Cong-dan-Nguyen-Ngoc-Hau-Dia-chi-thon-Nuoc-Mat-xa-Au-Lau-thanh-pho-Yen-Bai-tinh-Yen-B", "UBND Ủy ban nhân dân xã Âu Lâu  tỉnh Yên Bái")</f>
      </c>
      <c r="C4345" t="str">
        <v>https://soldtbxh.yenbai.gov.vn/FAQ/Cong-dan-Nguyen-Ngoc-Hau-Dia-chi-thon-Nuoc-Mat-xa-Au-Lau-thanh-pho-Yen-Bai-tinh-Yen-B</v>
      </c>
      <c r="D4345" t="str">
        <v>-</v>
      </c>
      <c r="E4345" t="str">
        <v>-</v>
      </c>
      <c r="F4345" t="str">
        <v>-</v>
      </c>
      <c r="G4345" t="str">
        <v>-</v>
      </c>
    </row>
    <row r="4346">
      <c r="A4346">
        <v>4345</v>
      </c>
      <c r="B4346" t="str">
        <v>Công an xã Giới Phiên  tỉnh Yên Bái</v>
      </c>
      <c r="C4346" t="str">
        <v>-</v>
      </c>
      <c r="D4346" t="str">
        <v>-</v>
      </c>
      <c r="E4346" t="str">
        <v/>
      </c>
      <c r="F4346" t="str">
        <v>-</v>
      </c>
      <c r="G4346" t="str">
        <v>-</v>
      </c>
    </row>
    <row r="4347">
      <c r="A4347">
        <v>4346</v>
      </c>
      <c r="B4347">
        <f>HYPERLINK("https://gioiphien.thanhphoyenbai.yenbai.gov.vn/", "UBND Ủy ban nhân dân xã Giới Phiên  tỉnh Yên Bái")</f>
      </c>
      <c r="C4347" t="str">
        <v>https://gioiphien.thanhphoyenbai.yenbai.gov.vn/</v>
      </c>
      <c r="D4347" t="str">
        <v>-</v>
      </c>
      <c r="E4347" t="str">
        <v>-</v>
      </c>
      <c r="F4347" t="str">
        <v>-</v>
      </c>
      <c r="G4347" t="str">
        <v>-</v>
      </c>
    </row>
    <row r="4348">
      <c r="A4348">
        <v>4347</v>
      </c>
      <c r="B4348">
        <f>HYPERLINK("https://www.facebook.com/caphopminh/", "Công an phường Hợp Minh  tỉnh Yên Bái")</f>
      </c>
      <c r="C4348" t="str">
        <v>https://www.facebook.com/caphopminh/</v>
      </c>
      <c r="D4348" t="str">
        <v>-</v>
      </c>
      <c r="E4348" t="str">
        <v/>
      </c>
      <c r="F4348" t="str">
        <v>-</v>
      </c>
      <c r="G4348" t="str">
        <v>-</v>
      </c>
    </row>
    <row r="4349">
      <c r="A4349">
        <v>4348</v>
      </c>
      <c r="B4349">
        <f>HYPERLINK("https://www.yenbai.gov.vn/", "UBND Ủy ban nhân dân phường Hợp Minh  tỉnh Yên Bái")</f>
      </c>
      <c r="C4349" t="str">
        <v>https://www.yenbai.gov.vn/</v>
      </c>
      <c r="D4349" t="str">
        <v>-</v>
      </c>
      <c r="E4349" t="str">
        <v>-</v>
      </c>
      <c r="F4349" t="str">
        <v>-</v>
      </c>
      <c r="G4349" t="str">
        <v>-</v>
      </c>
    </row>
    <row r="4350">
      <c r="A4350">
        <v>4349</v>
      </c>
      <c r="B4350" t="str">
        <v>Công an xã Văn Tiến  tỉnh Yên Bái</v>
      </c>
      <c r="C4350" t="str">
        <v>-</v>
      </c>
      <c r="D4350" t="str">
        <v>-</v>
      </c>
      <c r="E4350" t="str">
        <v/>
      </c>
      <c r="F4350" t="str">
        <v>-</v>
      </c>
      <c r="G4350" t="str">
        <v>-</v>
      </c>
    </row>
    <row r="4351">
      <c r="A4351">
        <v>4350</v>
      </c>
      <c r="B4351">
        <f>HYPERLINK("https://www.yenbai.gov.vn/noidung/tintuc/Pages/chi-tiet-tin-tuc.aspx?ItemID=147&amp;l=Ditichcaptinh", "UBND Ủy ban nhân dân xã Văn Tiến  tỉnh Yên Bái")</f>
      </c>
      <c r="C4351" t="str">
        <v>https://www.yenbai.gov.vn/noidung/tintuc/Pages/chi-tiet-tin-tuc.aspx?ItemID=147&amp;l=Ditichcaptinh</v>
      </c>
      <c r="D4351" t="str">
        <v>-</v>
      </c>
      <c r="E4351" t="str">
        <v>-</v>
      </c>
      <c r="F4351" t="str">
        <v>-</v>
      </c>
      <c r="G4351" t="str">
        <v>-</v>
      </c>
    </row>
    <row r="4352">
      <c r="A4352">
        <v>4351</v>
      </c>
      <c r="B4352" t="str">
        <v>Công an xã Phúc Lộc  tỉnh Yên Bái</v>
      </c>
      <c r="C4352" t="str">
        <v>-</v>
      </c>
      <c r="D4352" t="str">
        <v>-</v>
      </c>
      <c r="E4352" t="str">
        <v/>
      </c>
      <c r="F4352" t="str">
        <v>-</v>
      </c>
      <c r="G4352" t="str">
        <v>-</v>
      </c>
    </row>
    <row r="4353">
      <c r="A4353">
        <v>4352</v>
      </c>
      <c r="B4353">
        <f>HYPERLINK("https://www.yenbai.gov.vn/noidung/tintuc/Pages/gioi-thieu-chi-tiet.aspx?ItemID=119&amp;l=Ditichcaptinh&amp;lv=4", "UBND Ủy ban nhân dân xã Phúc Lộc  tỉnh Yên Bái")</f>
      </c>
      <c r="C4353" t="str">
        <v>https://www.yenbai.gov.vn/noidung/tintuc/Pages/gioi-thieu-chi-tiet.aspx?ItemID=119&amp;l=Ditichcaptinh&amp;lv=4</v>
      </c>
      <c r="D4353" t="str">
        <v>-</v>
      </c>
      <c r="E4353" t="str">
        <v>-</v>
      </c>
      <c r="F4353" t="str">
        <v>-</v>
      </c>
      <c r="G4353" t="str">
        <v>-</v>
      </c>
    </row>
    <row r="4354">
      <c r="A4354">
        <v>4353</v>
      </c>
      <c r="B4354">
        <f>HYPERLINK("https://www.facebook.com/p/C%C3%B4ng-an-x%C3%A3-V%C4%83n-Ph%C3%BA-TP-Y%C3%AAn-B%C3%A1i-100067045363307/", "Công an xã Văn Phú  tỉnh Yên Bái")</f>
      </c>
      <c r="C4354" t="str">
        <v>https://www.facebook.com/p/C%C3%B4ng-an-x%C3%A3-V%C4%83n-Ph%C3%BA-TP-Y%C3%AAn-B%C3%A1i-100067045363307/</v>
      </c>
      <c r="D4354" t="str">
        <v>-</v>
      </c>
      <c r="E4354" t="str">
        <v/>
      </c>
      <c r="F4354" t="str">
        <v>-</v>
      </c>
      <c r="G4354" t="str">
        <v>-</v>
      </c>
    </row>
    <row r="4355">
      <c r="A4355">
        <v>4354</v>
      </c>
      <c r="B4355">
        <f>HYPERLINK("http://vanphu.thanhphoyenbai.yenbai.gov.vn/", "UBND Ủy ban nhân dân xã Văn Phú  tỉnh Yên Bái")</f>
      </c>
      <c r="C4355" t="str">
        <v>http://vanphu.thanhphoyenbai.yenbai.gov.vn/</v>
      </c>
      <c r="D4355" t="str">
        <v>-</v>
      </c>
      <c r="E4355" t="str">
        <v>-</v>
      </c>
      <c r="F4355" t="str">
        <v>-</v>
      </c>
      <c r="G4355" t="str">
        <v>-</v>
      </c>
    </row>
    <row r="4356">
      <c r="A4356">
        <v>4355</v>
      </c>
      <c r="B4356">
        <f>HYPERLINK("https://www.facebook.com/people/Tu%E1%BB%95i-tr%E1%BA%BB-C%C3%B4ng-an-Ngh%C4%A9a-L%E1%BB%99/100081887170070/?locale=hi_IN", "Công an phường Pú Trạng  tỉnh Yên Bái")</f>
      </c>
      <c r="C4356" t="str">
        <v>https://www.facebook.com/people/Tu%E1%BB%95i-tr%E1%BA%BB-C%C3%B4ng-an-Ngh%C4%A9a-L%E1%BB%99/100081887170070/?locale=hi_IN</v>
      </c>
      <c r="D4356" t="str">
        <v>-</v>
      </c>
      <c r="E4356" t="str">
        <v>02163870423</v>
      </c>
      <c r="F4356" t="str">
        <v>-</v>
      </c>
      <c r="G4356" t="str">
        <v>phường Trung Tâm, Nghia Lo, Vietnam</v>
      </c>
    </row>
    <row r="4357">
      <c r="A4357">
        <v>4356</v>
      </c>
      <c r="B4357">
        <f>HYPERLINK("https://nghialo.yenbai.gov.vn/xa-phuong/phuong-pu-trang", "UBND Ủy ban nhân dân phường Pú Trạng  tỉnh Yên Bái")</f>
      </c>
      <c r="C4357" t="str">
        <v>https://nghialo.yenbai.gov.vn/xa-phuong/phuong-pu-trang</v>
      </c>
      <c r="D4357" t="str">
        <v>-</v>
      </c>
      <c r="E4357" t="str">
        <v>-</v>
      </c>
      <c r="F4357" t="str">
        <v>-</v>
      </c>
      <c r="G4357" t="str">
        <v>-</v>
      </c>
    </row>
    <row r="4358">
      <c r="A4358">
        <v>4357</v>
      </c>
      <c r="B4358" t="str">
        <v>Công an phường Trung Tâm  tỉnh Yên Bái</v>
      </c>
      <c r="C4358" t="str">
        <v>-</v>
      </c>
      <c r="D4358" t="str">
        <v>-</v>
      </c>
      <c r="E4358" t="str">
        <v/>
      </c>
      <c r="F4358" t="str">
        <v>-</v>
      </c>
      <c r="G4358" t="str">
        <v>-</v>
      </c>
    </row>
    <row r="4359">
      <c r="A4359">
        <v>4358</v>
      </c>
      <c r="B4359">
        <f>HYPERLINK("https://www.yenbai.gov.vn/", "UBND Ủy ban nhân dân phường Trung Tâm  tỉnh Yên Bái")</f>
      </c>
      <c r="C4359" t="str">
        <v>https://www.yenbai.gov.vn/</v>
      </c>
      <c r="D4359" t="str">
        <v>-</v>
      </c>
      <c r="E4359" t="str">
        <v>-</v>
      </c>
      <c r="F4359" t="str">
        <v>-</v>
      </c>
      <c r="G4359" t="str">
        <v>-</v>
      </c>
    </row>
    <row r="4360">
      <c r="A4360">
        <v>4359</v>
      </c>
      <c r="B4360">
        <f>HYPERLINK("https://www.facebook.com/p/Tu%E1%BB%95i-tr%E1%BA%BB-C%C3%B4ng-an-Ngh%C4%A9a-L%E1%BB%99-100081887170070/", "Công an phường Tân An  tỉnh Yên Bái")</f>
      </c>
      <c r="C4360" t="str">
        <v>https://www.facebook.com/p/Tu%E1%BB%95i-tr%E1%BA%BB-C%C3%B4ng-an-Ngh%C4%A9a-L%E1%BB%99-100081887170070/</v>
      </c>
      <c r="D4360" t="str">
        <v>-</v>
      </c>
      <c r="E4360" t="str">
        <v/>
      </c>
      <c r="F4360" t="str">
        <v>-</v>
      </c>
      <c r="G4360" t="str">
        <v>-</v>
      </c>
    </row>
    <row r="4361">
      <c r="A4361">
        <v>4360</v>
      </c>
      <c r="B4361">
        <f>HYPERLINK("https://nghialo.yenbai.gov.vn/xa-phuong/phuong-tan-an", "UBND Ủy ban nhân dân phường Tân An  tỉnh Yên Bái")</f>
      </c>
      <c r="C4361" t="str">
        <v>https://nghialo.yenbai.gov.vn/xa-phuong/phuong-tan-an</v>
      </c>
      <c r="D4361" t="str">
        <v>-</v>
      </c>
      <c r="E4361" t="str">
        <v>-</v>
      </c>
      <c r="F4361" t="str">
        <v>-</v>
      </c>
      <c r="G4361" t="str">
        <v>-</v>
      </c>
    </row>
    <row r="4362">
      <c r="A4362">
        <v>4361</v>
      </c>
      <c r="B4362">
        <f>HYPERLINK("https://www.facebook.com/p/C%C3%B4ng-an-ph%C6%B0%E1%BB%9Dng-C%E1%BA%A7u-Thia-100065344816176/", "Công an phường Cầu Thia  tỉnh Yên Bái")</f>
      </c>
      <c r="C4362" t="str">
        <v>https://www.facebook.com/p/C%C3%B4ng-an-ph%C6%B0%E1%BB%9Dng-C%E1%BA%A7u-Thia-100065344816176/</v>
      </c>
      <c r="D4362" t="str">
        <v>-</v>
      </c>
      <c r="E4362" t="str">
        <v/>
      </c>
      <c r="F4362" t="str">
        <v>-</v>
      </c>
      <c r="G4362" t="str">
        <v>-</v>
      </c>
    </row>
    <row r="4363">
      <c r="A4363">
        <v>4362</v>
      </c>
      <c r="B4363">
        <f>HYPERLINK("https://nghialo.yenbai.gov.vn/xa-phuong/phuong-cau-thia", "UBND Ủy ban nhân dân phường Cầu Thia  tỉnh Yên Bái")</f>
      </c>
      <c r="C4363" t="str">
        <v>https://nghialo.yenbai.gov.vn/xa-phuong/phuong-cau-thia</v>
      </c>
      <c r="D4363" t="str">
        <v>-</v>
      </c>
      <c r="E4363" t="str">
        <v>-</v>
      </c>
      <c r="F4363" t="str">
        <v>-</v>
      </c>
      <c r="G4363" t="str">
        <v>-</v>
      </c>
    </row>
    <row r="4364">
      <c r="A4364">
        <v>4363</v>
      </c>
      <c r="B4364">
        <f>HYPERLINK("https://www.facebook.com/p/Tu%E1%BB%95i-tr%E1%BA%BB-C%C3%B4ng-an-Ngh%C4%A9a-L%E1%BB%99-100081887170070/", "Công an xã Nghĩa Lợi  tỉnh Yên Bái")</f>
      </c>
      <c r="C4364" t="str">
        <v>https://www.facebook.com/p/Tu%E1%BB%95i-tr%E1%BA%BB-C%C3%B4ng-an-Ngh%C4%A9a-L%E1%BB%99-100081887170070/</v>
      </c>
      <c r="D4364" t="str">
        <v>-</v>
      </c>
      <c r="E4364" t="str">
        <v/>
      </c>
      <c r="F4364" t="str">
        <v>-</v>
      </c>
      <c r="G4364" t="str">
        <v>-</v>
      </c>
    </row>
    <row r="4365">
      <c r="A4365">
        <v>4364</v>
      </c>
      <c r="B4365">
        <f>HYPERLINK("https://nghialo.yenbai.gov.vn/xa-phuong/xa-nghia-loi", "UBND Ủy ban nhân dân xã Nghĩa Lợi  tỉnh Yên Bái")</f>
      </c>
      <c r="C4365" t="str">
        <v>https://nghialo.yenbai.gov.vn/xa-phuong/xa-nghia-loi</v>
      </c>
      <c r="D4365" t="str">
        <v>-</v>
      </c>
      <c r="E4365" t="str">
        <v>-</v>
      </c>
      <c r="F4365" t="str">
        <v>-</v>
      </c>
      <c r="G4365" t="str">
        <v>-</v>
      </c>
    </row>
    <row r="4366">
      <c r="A4366">
        <v>4365</v>
      </c>
      <c r="B4366">
        <f>HYPERLINK("https://www.facebook.com/p/Tu%E1%BB%95i-tr%E1%BA%BB-C%C3%B4ng-an-Ngh%C4%A9a-L%E1%BB%99-100081887170070/", "Công an xã Nghĩa Phúc  tỉnh Yên Bái")</f>
      </c>
      <c r="C4366" t="str">
        <v>https://www.facebook.com/p/Tu%E1%BB%95i-tr%E1%BA%BB-C%C3%B4ng-an-Ngh%C4%A9a-L%E1%BB%99-100081887170070/</v>
      </c>
      <c r="D4366" t="str">
        <v>-</v>
      </c>
      <c r="E4366" t="str">
        <v/>
      </c>
      <c r="F4366" t="str">
        <v>-</v>
      </c>
      <c r="G4366" t="str">
        <v>-</v>
      </c>
    </row>
    <row r="4367">
      <c r="A4367">
        <v>4366</v>
      </c>
      <c r="B4367">
        <f>HYPERLINK("https://nghialo.yenbai.gov.vn/xa-phuong/xa-nghia-phuc", "UBND Ủy ban nhân dân xã Nghĩa Phúc  tỉnh Yên Bái")</f>
      </c>
      <c r="C4367" t="str">
        <v>https://nghialo.yenbai.gov.vn/xa-phuong/xa-nghia-phuc</v>
      </c>
      <c r="D4367" t="str">
        <v>-</v>
      </c>
      <c r="E4367" t="str">
        <v>-</v>
      </c>
      <c r="F4367" t="str">
        <v>-</v>
      </c>
      <c r="G4367" t="str">
        <v>-</v>
      </c>
    </row>
    <row r="4368">
      <c r="A4368">
        <v>4367</v>
      </c>
      <c r="B4368">
        <f>HYPERLINK("https://www.facebook.com/p/Tu%E1%BB%95i-tr%E1%BA%BB-C%C3%B4ng-an-Ngh%C4%A9a-L%E1%BB%99-100081887170070/", "Công an xã Nghĩa An  tỉnh Yên Bái")</f>
      </c>
      <c r="C4368" t="str">
        <v>https://www.facebook.com/p/Tu%E1%BB%95i-tr%E1%BA%BB-C%C3%B4ng-an-Ngh%C4%A9a-L%E1%BB%99-100081887170070/</v>
      </c>
      <c r="D4368" t="str">
        <v>-</v>
      </c>
      <c r="E4368" t="str">
        <v/>
      </c>
      <c r="F4368" t="str">
        <v>-</v>
      </c>
      <c r="G4368" t="str">
        <v>-</v>
      </c>
    </row>
    <row r="4369">
      <c r="A4369">
        <v>4368</v>
      </c>
      <c r="B4369">
        <f>HYPERLINK("https://nghialo.yenbai.gov.vn/xa-phuong/xa-nghia-an", "UBND Ủy ban nhân dân xã Nghĩa An  tỉnh Yên Bái")</f>
      </c>
      <c r="C4369" t="str">
        <v>https://nghialo.yenbai.gov.vn/xa-phuong/xa-nghia-an</v>
      </c>
      <c r="D4369" t="str">
        <v>-</v>
      </c>
      <c r="E4369" t="str">
        <v>-</v>
      </c>
      <c r="F4369" t="str">
        <v>-</v>
      </c>
      <c r="G4369" t="str">
        <v>-</v>
      </c>
    </row>
    <row r="4370">
      <c r="A4370">
        <v>4369</v>
      </c>
      <c r="B4370" t="str">
        <v>Công an thị trấn Yên Thế  tỉnh Yên Bái</v>
      </c>
      <c r="C4370" t="str">
        <v>-</v>
      </c>
      <c r="D4370" t="str">
        <v>-</v>
      </c>
      <c r="E4370" t="str">
        <v/>
      </c>
      <c r="F4370" t="str">
        <v>-</v>
      </c>
      <c r="G4370" t="str">
        <v>-</v>
      </c>
    </row>
    <row r="4371">
      <c r="A4371">
        <v>4370</v>
      </c>
      <c r="B4371">
        <f>HYPERLINK("https://lucyen.yenbai.gov.vn/Articles/one/Thong-tin-thi-tran-Yen-The", "UBND Ủy ban nhân dân thị trấn Yên Thế  tỉnh Yên Bái")</f>
      </c>
      <c r="C4371" t="str">
        <v>https://lucyen.yenbai.gov.vn/Articles/one/Thong-tin-thi-tran-Yen-The</v>
      </c>
      <c r="D4371" t="str">
        <v>-</v>
      </c>
      <c r="E4371" t="str">
        <v>-</v>
      </c>
      <c r="F4371" t="str">
        <v>-</v>
      </c>
      <c r="G4371" t="str">
        <v>-</v>
      </c>
    </row>
    <row r="4372">
      <c r="A4372">
        <v>4371</v>
      </c>
      <c r="B4372" t="str">
        <v>Công an xã Tân Phượng  tỉnh Yên Bái</v>
      </c>
      <c r="C4372" t="str">
        <v>-</v>
      </c>
      <c r="D4372" t="str">
        <v>-</v>
      </c>
      <c r="E4372" t="str">
        <v/>
      </c>
      <c r="F4372" t="str">
        <v>-</v>
      </c>
      <c r="G4372" t="str">
        <v>-</v>
      </c>
    </row>
    <row r="4373">
      <c r="A4373">
        <v>4372</v>
      </c>
      <c r="B4373">
        <f>HYPERLINK("https://lucyen.yenbai.gov.vn/Articles/one/Thong-tin-xa-Tan-Phuong", "UBND Ủy ban nhân dân xã Tân Phượng  tỉnh Yên Bái")</f>
      </c>
      <c r="C4373" t="str">
        <v>https://lucyen.yenbai.gov.vn/Articles/one/Thong-tin-xa-Tan-Phuong</v>
      </c>
      <c r="D4373" t="str">
        <v>-</v>
      </c>
      <c r="E4373" t="str">
        <v>-</v>
      </c>
      <c r="F4373" t="str">
        <v>-</v>
      </c>
      <c r="G4373" t="str">
        <v>-</v>
      </c>
    </row>
    <row r="4374">
      <c r="A4374">
        <v>4373</v>
      </c>
      <c r="B4374">
        <f>HYPERLINK("https://www.facebook.com/p/C%C3%B4ng-an-x%C3%A3-L%C3%A2m-Th%C6%B0%E1%BB%A3ng-huy%E1%BB%87n-L%E1%BB%A5c-Y%C3%AAn-100078326869163/", "Công an xã Lâm Thượng  tỉnh Yên Bái")</f>
      </c>
      <c r="C4374" t="str">
        <v>https://www.facebook.com/p/C%C3%B4ng-an-x%C3%A3-L%C3%A2m-Th%C6%B0%E1%BB%A3ng-huy%E1%BB%87n-L%E1%BB%A5c-Y%C3%AAn-100078326869163/</v>
      </c>
      <c r="D4374" t="str">
        <v>-</v>
      </c>
      <c r="E4374" t="str">
        <v/>
      </c>
      <c r="F4374" t="str">
        <v>-</v>
      </c>
      <c r="G4374" t="str">
        <v>-</v>
      </c>
    </row>
    <row r="4375">
      <c r="A4375">
        <v>4374</v>
      </c>
      <c r="B4375">
        <f>HYPERLINK("https://lucyen.yenbai.gov.vn/Articles/one/Thong-tin-xa-Lam-Thuong", "UBND Ủy ban nhân dân xã Lâm Thượng  tỉnh Yên Bái")</f>
      </c>
      <c r="C4375" t="str">
        <v>https://lucyen.yenbai.gov.vn/Articles/one/Thong-tin-xa-Lam-Thuong</v>
      </c>
      <c r="D4375" t="str">
        <v>-</v>
      </c>
      <c r="E4375" t="str">
        <v>-</v>
      </c>
      <c r="F4375" t="str">
        <v>-</v>
      </c>
      <c r="G4375" t="str">
        <v>-</v>
      </c>
    </row>
    <row r="4376">
      <c r="A4376">
        <v>4375</v>
      </c>
      <c r="B4376">
        <f>HYPERLINK("https://www.facebook.com/p/C%C3%B4ng-an-x%C3%A3-Kh%C3%A1nh-Thi%E1%BB%87n-100069704581551/?locale=tr_TR", "Công an xã Khánh Thiện  tỉnh Yên Bái")</f>
      </c>
      <c r="C4376" t="str">
        <v>https://www.facebook.com/p/C%C3%B4ng-an-x%C3%A3-Kh%C3%A1nh-Thi%E1%BB%87n-100069704581551/?locale=tr_TR</v>
      </c>
      <c r="D4376" t="str">
        <v>-</v>
      </c>
      <c r="E4376" t="str">
        <v/>
      </c>
      <c r="F4376" t="str">
        <v>-</v>
      </c>
      <c r="G4376" t="str">
        <v>-</v>
      </c>
    </row>
    <row r="4377">
      <c r="A4377">
        <v>4376</v>
      </c>
      <c r="B4377">
        <f>HYPERLINK("https://khanhthien.yenkhanh.ninhbinh.gov.vn/", "UBND Ủy ban nhân dân xã Khánh Thiện  tỉnh Yên Bái")</f>
      </c>
      <c r="C4377" t="str">
        <v>https://khanhthien.yenkhanh.ninhbinh.gov.vn/</v>
      </c>
      <c r="D4377" t="str">
        <v>-</v>
      </c>
      <c r="E4377" t="str">
        <v>-</v>
      </c>
      <c r="F4377" t="str">
        <v>-</v>
      </c>
      <c r="G4377" t="str">
        <v>-</v>
      </c>
    </row>
    <row r="4378">
      <c r="A4378">
        <v>4377</v>
      </c>
      <c r="B4378" t="str">
        <v>Công an xã Minh Chuẩn  tỉnh Yên Bái</v>
      </c>
      <c r="C4378" t="str">
        <v>-</v>
      </c>
      <c r="D4378" t="str">
        <v>-</v>
      </c>
      <c r="E4378" t="str">
        <v/>
      </c>
      <c r="F4378" t="str">
        <v>-</v>
      </c>
      <c r="G4378" t="str">
        <v>-</v>
      </c>
    </row>
    <row r="4379">
      <c r="A4379">
        <v>4378</v>
      </c>
      <c r="B4379">
        <f>HYPERLINK("https://www.yenbai.gov.vn/", "UBND Ủy ban nhân dân xã Minh Chuẩn  tỉnh Yên Bái")</f>
      </c>
      <c r="C4379" t="str">
        <v>https://www.yenbai.gov.vn/</v>
      </c>
      <c r="D4379" t="str">
        <v>-</v>
      </c>
      <c r="E4379" t="str">
        <v>-</v>
      </c>
      <c r="F4379" t="str">
        <v>-</v>
      </c>
      <c r="G4379" t="str">
        <v>-</v>
      </c>
    </row>
    <row r="4380">
      <c r="A4380">
        <v>4379</v>
      </c>
      <c r="B4380">
        <f>HYPERLINK("https://www.facebook.com/p/C%C3%B4ng-an-x%C3%A3-Mai-S%C6%A1n-huy%E1%BB%87n-L%E1%BB%A5c-Y%C3%AAn-t%E1%BB%89nh-Y%C3%AAn-B%C3%A1i-100079591086068/", "Công an xã Mai Sơn  tỉnh Yên Bái")</f>
      </c>
      <c r="C4380" t="str">
        <v>https://www.facebook.com/p/C%C3%B4ng-an-x%C3%A3-Mai-S%C6%A1n-huy%E1%BB%87n-L%E1%BB%A5c-Y%C3%AAn-t%E1%BB%89nh-Y%C3%AAn-B%C3%A1i-100079591086068/</v>
      </c>
      <c r="D4380" t="str">
        <v>-</v>
      </c>
      <c r="E4380" t="str">
        <v/>
      </c>
      <c r="F4380" t="str">
        <v>-</v>
      </c>
      <c r="G4380" t="str">
        <v>-</v>
      </c>
    </row>
    <row r="4381">
      <c r="A4381">
        <v>4380</v>
      </c>
      <c r="B4381">
        <f>HYPERLINK("https://yenbai.gov.vn/nongthonmoi/noidung/tintuc/Pages/chi-tiet-tin-tuc.aspx?ItemID=870&amp;l=Tinhoatdong", "UBND Ủy ban nhân dân xã Mai Sơn  tỉnh Yên Bái")</f>
      </c>
      <c r="C4381" t="str">
        <v>https://yenbai.gov.vn/nongthonmoi/noidung/tintuc/Pages/chi-tiet-tin-tuc.aspx?ItemID=870&amp;l=Tinhoatdong</v>
      </c>
      <c r="D4381" t="str">
        <v>-</v>
      </c>
      <c r="E4381" t="str">
        <v>-</v>
      </c>
      <c r="F4381" t="str">
        <v>-</v>
      </c>
      <c r="G4381" t="str">
        <v>-</v>
      </c>
    </row>
    <row r="4382">
      <c r="A4382">
        <v>4381</v>
      </c>
      <c r="B4382">
        <f>HYPERLINK("https://www.facebook.com/DTNCATYB/", "Công an xã Khai Trung  tỉnh Yên Bái")</f>
      </c>
      <c r="C4382" t="str">
        <v>https://www.facebook.com/DTNCATYB/</v>
      </c>
      <c r="D4382" t="str">
        <v>-</v>
      </c>
      <c r="E4382" t="str">
        <v/>
      </c>
      <c r="F4382" t="str">
        <v>-</v>
      </c>
      <c r="G4382" t="str">
        <v>-</v>
      </c>
    </row>
    <row r="4383">
      <c r="A4383">
        <v>4382</v>
      </c>
      <c r="B4383">
        <f>HYPERLINK("https://www.yenbai.gov.vn/", "UBND Ủy ban nhân dân xã Khai Trung  tỉnh Yên Bái")</f>
      </c>
      <c r="C4383" t="str">
        <v>https://www.yenbai.gov.vn/</v>
      </c>
      <c r="D4383" t="str">
        <v>-</v>
      </c>
      <c r="E4383" t="str">
        <v>-</v>
      </c>
      <c r="F4383" t="str">
        <v>-</v>
      </c>
      <c r="G4383" t="str">
        <v>-</v>
      </c>
    </row>
    <row r="4384">
      <c r="A4384">
        <v>4383</v>
      </c>
      <c r="B4384" t="str">
        <v>Công an xã Mường Lai  tỉnh Yên Bái</v>
      </c>
      <c r="C4384" t="str">
        <v>-</v>
      </c>
      <c r="D4384" t="str">
        <v>-</v>
      </c>
      <c r="E4384" t="str">
        <v/>
      </c>
      <c r="F4384" t="str">
        <v>-</v>
      </c>
      <c r="G4384" t="str">
        <v>-</v>
      </c>
    </row>
    <row r="4385">
      <c r="A4385">
        <v>4384</v>
      </c>
      <c r="B4385">
        <f>HYPERLINK("https://lucyen.yenbai.gov.vn/xa-phuong/Xa-Muong-Lai", "UBND Ủy ban nhân dân xã Mường Lai  tỉnh Yên Bái")</f>
      </c>
      <c r="C4385" t="str">
        <v>https://lucyen.yenbai.gov.vn/xa-phuong/Xa-Muong-Lai</v>
      </c>
      <c r="D4385" t="str">
        <v>-</v>
      </c>
      <c r="E4385" t="str">
        <v>-</v>
      </c>
      <c r="F4385" t="str">
        <v>-</v>
      </c>
      <c r="G4385" t="str">
        <v>-</v>
      </c>
    </row>
    <row r="4386">
      <c r="A4386">
        <v>4385</v>
      </c>
      <c r="B4386">
        <f>HYPERLINK("https://www.facebook.com/p/Tu%E1%BB%95i-tr%E1%BA%BB-C%C3%B4ng-an-Ngh%C4%A9a-L%E1%BB%99-100081887170070/", "Công an xã An Lạc  tỉnh Yên Bái")</f>
      </c>
      <c r="C4386" t="str">
        <v>https://www.facebook.com/p/Tu%E1%BB%95i-tr%E1%BA%BB-C%C3%B4ng-an-Ngh%C4%A9a-L%E1%BB%99-100081887170070/</v>
      </c>
      <c r="D4386" t="str">
        <v>-</v>
      </c>
      <c r="E4386" t="str">
        <v/>
      </c>
      <c r="F4386" t="str">
        <v>-</v>
      </c>
      <c r="G4386" t="str">
        <v>-</v>
      </c>
    </row>
    <row r="4387">
      <c r="A4387">
        <v>4386</v>
      </c>
      <c r="B4387">
        <f>HYPERLINK("https://danguykhoicqvadn.yenbai.gov.vn/wp-content/uploads/2023/12/141-QD.pdf", "UBND Ủy ban nhân dân xã An Lạc  tỉnh Yên Bái")</f>
      </c>
      <c r="C4387" t="str">
        <v>https://danguykhoicqvadn.yenbai.gov.vn/wp-content/uploads/2023/12/141-QD.pdf</v>
      </c>
      <c r="D4387" t="str">
        <v>-</v>
      </c>
      <c r="E4387" t="str">
        <v>-</v>
      </c>
      <c r="F4387" t="str">
        <v>-</v>
      </c>
      <c r="G4387" t="str">
        <v>-</v>
      </c>
    </row>
    <row r="4388">
      <c r="A4388">
        <v>4387</v>
      </c>
      <c r="B4388">
        <f>HYPERLINK("https://www.facebook.com/xaNongthonmoiMinhXuan/?locale=vi_VN", "Công an xã Minh Xuân  tỉnh Yên Bái")</f>
      </c>
      <c r="C4388" t="str">
        <v>https://www.facebook.com/xaNongthonmoiMinhXuan/?locale=vi_VN</v>
      </c>
      <c r="D4388" t="str">
        <v>-</v>
      </c>
      <c r="E4388" t="str">
        <v/>
      </c>
      <c r="F4388" t="str">
        <v>-</v>
      </c>
      <c r="G4388" t="str">
        <v>-</v>
      </c>
    </row>
    <row r="4389">
      <c r="A4389">
        <v>4388</v>
      </c>
      <c r="B4389">
        <f>HYPERLINK("https://lucyen.yenbai.gov.vn/Articles/one/Thong-tin-xa-Minh-Xuan", "UBND Ủy ban nhân dân xã Minh Xuân  tỉnh Yên Bái")</f>
      </c>
      <c r="C4389" t="str">
        <v>https://lucyen.yenbai.gov.vn/Articles/one/Thong-tin-xa-Minh-Xuan</v>
      </c>
      <c r="D4389" t="str">
        <v>-</v>
      </c>
      <c r="E4389" t="str">
        <v>-</v>
      </c>
      <c r="F4389" t="str">
        <v>-</v>
      </c>
      <c r="G4389" t="str">
        <v>-</v>
      </c>
    </row>
    <row r="4390">
      <c r="A4390">
        <v>4389</v>
      </c>
      <c r="B4390">
        <f>HYPERLINK("https://www.facebook.com/p/T%C3%B4-M%E1%BA%ADu-24H-100066811125976/?locale=he_IL", "Công an xã Tô Mậu  tỉnh Yên Bái")</f>
      </c>
      <c r="C4390" t="str">
        <v>https://www.facebook.com/p/T%C3%B4-M%E1%BA%ADu-24H-100066811125976/?locale=he_IL</v>
      </c>
      <c r="D4390" t="str">
        <v>-</v>
      </c>
      <c r="E4390" t="str">
        <v/>
      </c>
      <c r="F4390" t="str">
        <v>-</v>
      </c>
      <c r="G4390" t="str">
        <v>-</v>
      </c>
    </row>
    <row r="4391">
      <c r="A4391">
        <v>4390</v>
      </c>
      <c r="B4391">
        <f>HYPERLINK("https://lucyen.yenbai.gov.vn/Articles/one/Thong-tin-xa-To-Mau", "UBND Ủy ban nhân dân xã Tô Mậu  tỉnh Yên Bái")</f>
      </c>
      <c r="C4391" t="str">
        <v>https://lucyen.yenbai.gov.vn/Articles/one/Thong-tin-xa-To-Mau</v>
      </c>
      <c r="D4391" t="str">
        <v>-</v>
      </c>
      <c r="E4391" t="str">
        <v>-</v>
      </c>
      <c r="F4391" t="str">
        <v>-</v>
      </c>
      <c r="G4391" t="str">
        <v>-</v>
      </c>
    </row>
    <row r="4392">
      <c r="A4392">
        <v>4391</v>
      </c>
      <c r="B4392" t="str">
        <v>Công an xã Tân Lĩnh  tỉnh Yên Bái</v>
      </c>
      <c r="C4392" t="str">
        <v>-</v>
      </c>
      <c r="D4392" t="str">
        <v>-</v>
      </c>
      <c r="E4392" t="str">
        <v/>
      </c>
      <c r="F4392" t="str">
        <v>-</v>
      </c>
      <c r="G4392" t="str">
        <v>-</v>
      </c>
    </row>
    <row r="4393">
      <c r="A4393">
        <v>4392</v>
      </c>
      <c r="B4393">
        <f>HYPERLINK("https://lucyen.yenbai.gov.vn/Articles/one/Thong-tin-xa-Tan-Linh", "UBND Ủy ban nhân dân xã Tân Lĩnh  tỉnh Yên Bái")</f>
      </c>
      <c r="C4393" t="str">
        <v>https://lucyen.yenbai.gov.vn/Articles/one/Thong-tin-xa-Tan-Linh</v>
      </c>
      <c r="D4393" t="str">
        <v>-</v>
      </c>
      <c r="E4393" t="str">
        <v>-</v>
      </c>
      <c r="F4393" t="str">
        <v>-</v>
      </c>
      <c r="G4393" t="str">
        <v>-</v>
      </c>
    </row>
    <row r="4394">
      <c r="A4394">
        <v>4393</v>
      </c>
      <c r="B4394">
        <f>HYPERLINK("https://www.facebook.com/p/C%C3%B4ng-An-X%C3%A3-Y%C3%AAn-Th%E1%BA%AFng-Huy%E1%BB%87n-L%E1%BB%A5c-Y%C3%AAn-T%E1%BB%89nh-Y%C3%AAn-B%C3%A1i-100069065312324/", "Công an xã Yên Thắng  tỉnh Yên Bái")</f>
      </c>
      <c r="C4394" t="str">
        <v>https://www.facebook.com/p/C%C3%B4ng-An-X%C3%A3-Y%C3%AAn-Th%E1%BA%AFng-Huy%E1%BB%87n-L%E1%BB%A5c-Y%C3%AAn-T%E1%BB%89nh-Y%C3%AAn-B%C3%A1i-100069065312324/</v>
      </c>
      <c r="D4394" t="str">
        <v>-</v>
      </c>
      <c r="E4394" t="str">
        <v/>
      </c>
      <c r="F4394" t="str">
        <v>-</v>
      </c>
      <c r="G4394" t="str">
        <v>-</v>
      </c>
    </row>
    <row r="4395">
      <c r="A4395">
        <v>4394</v>
      </c>
      <c r="B4395">
        <f>HYPERLINK("https://yenthang.namdinh.gov.vn/uy-ban-nhan-dan/ubnd-xa-yen-thang-218106", "UBND Ủy ban nhân dân xã Yên Thắng  tỉnh Yên Bái")</f>
      </c>
      <c r="C4395" t="str">
        <v>https://yenthang.namdinh.gov.vn/uy-ban-nhan-dan/ubnd-xa-yen-thang-218106</v>
      </c>
      <c r="D4395" t="str">
        <v>-</v>
      </c>
      <c r="E4395" t="str">
        <v>-</v>
      </c>
      <c r="F4395" t="str">
        <v>-</v>
      </c>
      <c r="G4395" t="str">
        <v>-</v>
      </c>
    </row>
    <row r="4396">
      <c r="A4396">
        <v>4395</v>
      </c>
      <c r="B4396" t="str">
        <v>Công an xã Khánh Hoà  tỉnh Yên Bái</v>
      </c>
      <c r="C4396" t="str">
        <v>-</v>
      </c>
      <c r="D4396" t="str">
        <v>-</v>
      </c>
      <c r="E4396" t="str">
        <v/>
      </c>
      <c r="F4396" t="str">
        <v>-</v>
      </c>
      <c r="G4396" t="str">
        <v>-</v>
      </c>
    </row>
    <row r="4397">
      <c r="A4397">
        <v>4396</v>
      </c>
      <c r="B4397">
        <f>HYPERLINK("https://lucyen.yenbai.gov.vn/Articles/one/Thong-tin-xa-Khanh-Hoa", "UBND Ủy ban nhân dân xã Khánh Hoà  tỉnh Yên Bái")</f>
      </c>
      <c r="C4397" t="str">
        <v>https://lucyen.yenbai.gov.vn/Articles/one/Thong-tin-xa-Khanh-Hoa</v>
      </c>
      <c r="D4397" t="str">
        <v>-</v>
      </c>
      <c r="E4397" t="str">
        <v>-</v>
      </c>
      <c r="F4397" t="str">
        <v>-</v>
      </c>
      <c r="G4397" t="str">
        <v>-</v>
      </c>
    </row>
    <row r="4398">
      <c r="A4398">
        <v>4397</v>
      </c>
      <c r="B4398">
        <f>HYPERLINK("https://www.facebook.com/p/C%C3%B4ng-an-x%C3%A3-V%C4%A9nh-L%E1%BA%A1c-100067585740322/", "Công an xã Vĩnh Lạc  tỉnh Yên Bái")</f>
      </c>
      <c r="C4398" t="str">
        <v>https://www.facebook.com/p/C%C3%B4ng-an-x%C3%A3-V%C4%A9nh-L%E1%BA%A1c-100067585740322/</v>
      </c>
      <c r="D4398" t="str">
        <v>-</v>
      </c>
      <c r="E4398" t="str">
        <v/>
      </c>
      <c r="F4398" t="str">
        <v>-</v>
      </c>
      <c r="G4398" t="str">
        <v>-</v>
      </c>
    </row>
    <row r="4399">
      <c r="A4399">
        <v>4398</v>
      </c>
      <c r="B4399">
        <f>HYPERLINK("https://lucyen.yenbai.gov.vn/xa-phuong/Xa-Vinh-Lac", "UBND Ủy ban nhân dân xã Vĩnh Lạc  tỉnh Yên Bái")</f>
      </c>
      <c r="C4399" t="str">
        <v>https://lucyen.yenbai.gov.vn/xa-phuong/Xa-Vinh-Lac</v>
      </c>
      <c r="D4399" t="str">
        <v>-</v>
      </c>
      <c r="E4399" t="str">
        <v>-</v>
      </c>
      <c r="F4399" t="str">
        <v>-</v>
      </c>
      <c r="G4399" t="str">
        <v>-</v>
      </c>
    </row>
    <row r="4400">
      <c r="A4400">
        <v>4399</v>
      </c>
      <c r="B4400">
        <f>HYPERLINK("https://www.facebook.com/p/C%C3%B4ng-an-x%C3%A3-Li%E1%BB%85u-%C4%90%C3%B4-huy%E1%BB%87n-L%E1%BB%A5c-Y%C3%AAn-t%E1%BB%89nh-Y%C3%AAn-B%C3%A1i-100082247046120/", "Công an xã Liễu Đô  tỉnh Yên Bái")</f>
      </c>
      <c r="C4400" t="str">
        <v>https://www.facebook.com/p/C%C3%B4ng-an-x%C3%A3-Li%E1%BB%85u-%C4%90%C3%B4-huy%E1%BB%87n-L%E1%BB%A5c-Y%C3%AAn-t%E1%BB%89nh-Y%C3%AAn-B%C3%A1i-100082247046120/</v>
      </c>
      <c r="D4400" t="str">
        <v>-</v>
      </c>
      <c r="E4400" t="str">
        <v/>
      </c>
      <c r="F4400" t="str">
        <v>-</v>
      </c>
      <c r="G4400" t="str">
        <v>-</v>
      </c>
    </row>
    <row r="4401">
      <c r="A4401">
        <v>4400</v>
      </c>
      <c r="B4401">
        <f>HYPERLINK("https://lucyen.yenbai.gov.vn/Articles/view/?UserKey=-Lieu-Do---xa-dau-tien-cua-huyen-Luc-Yen-dat-chuan-nong-thon-moi---Copy&amp;Category=P9Q24NUYJ3PNLEDK", "UBND Ủy ban nhân dân xã Liễu Đô  tỉnh Yên Bái")</f>
      </c>
      <c r="C4401" t="str">
        <v>https://lucyen.yenbai.gov.vn/Articles/view/?UserKey=-Lieu-Do---xa-dau-tien-cua-huyen-Luc-Yen-dat-chuan-nong-thon-moi---Copy&amp;Category=P9Q24NUYJ3PNLEDK</v>
      </c>
      <c r="D4401" t="str">
        <v>-</v>
      </c>
      <c r="E4401" t="str">
        <v>-</v>
      </c>
      <c r="F4401" t="str">
        <v>-</v>
      </c>
      <c r="G4401" t="str">
        <v>-</v>
      </c>
    </row>
    <row r="4402">
      <c r="A4402">
        <v>4401</v>
      </c>
      <c r="B4402">
        <f>HYPERLINK("https://www.facebook.com/p/C%E1%BB%99ng-%C4%91%E1%BB%93ng-x%C3%A3-%C4%90%E1%BB%99ng-Quan-huy%E1%BB%87n-L%E1%BB%A5c-Y%C3%AAn-t%E1%BB%89nh-Y%C3%AAn-B%C3%A1i-61555607968469/", "Công an xã Động Quan  tỉnh Yên Bái")</f>
      </c>
      <c r="C4402" t="str">
        <v>https://www.facebook.com/p/C%E1%BB%99ng-%C4%91%E1%BB%93ng-x%C3%A3-%C4%90%E1%BB%99ng-Quan-huy%E1%BB%87n-L%E1%BB%A5c-Y%C3%AAn-t%E1%BB%89nh-Y%C3%AAn-B%C3%A1i-61555607968469/</v>
      </c>
      <c r="D4402" t="str">
        <v>-</v>
      </c>
      <c r="E4402" t="str">
        <v/>
      </c>
      <c r="F4402" t="str">
        <v>-</v>
      </c>
      <c r="G4402" t="str">
        <v>-</v>
      </c>
    </row>
    <row r="4403">
      <c r="A4403">
        <v>4402</v>
      </c>
      <c r="B4403">
        <f>HYPERLINK("https://lucyen.yenbai.gov.vn/Articles/one/Thong-tin-xa-Dong-Quan", "UBND Ủy ban nhân dân xã Động Quan  tỉnh Yên Bái")</f>
      </c>
      <c r="C4403" t="str">
        <v>https://lucyen.yenbai.gov.vn/Articles/one/Thong-tin-xa-Dong-Quan</v>
      </c>
      <c r="D4403" t="str">
        <v>-</v>
      </c>
      <c r="E4403" t="str">
        <v>-</v>
      </c>
      <c r="F4403" t="str">
        <v>-</v>
      </c>
      <c r="G4403" t="str">
        <v>-</v>
      </c>
    </row>
    <row r="4404">
      <c r="A4404">
        <v>4403</v>
      </c>
      <c r="B4404">
        <f>HYPERLINK("https://www.facebook.com/p/C%C3%B4ng-an-x%C3%A3-T%C3%A2n-L%E1%BA%ADp-100083209962963/", "Công an xã Tân Lập  tỉnh Yên Bái")</f>
      </c>
      <c r="C4404" t="str">
        <v>https://www.facebook.com/p/C%C3%B4ng-an-x%C3%A3-T%C3%A2n-L%E1%BA%ADp-100083209962963/</v>
      </c>
      <c r="D4404" t="str">
        <v>-</v>
      </c>
      <c r="E4404" t="str">
        <v/>
      </c>
      <c r="F4404" t="str">
        <v>-</v>
      </c>
      <c r="G4404" t="str">
        <v>-</v>
      </c>
    </row>
    <row r="4405">
      <c r="A4405">
        <v>4404</v>
      </c>
      <c r="B4405">
        <f>HYPERLINK("https://lucyen.yenbai.gov.vn/Articles/view/?UserKey=Bi-thu-Huyen-uy-du-sinh-hoat-Chi-bo-thon-Cat-xa-Tan-Lap&amp;Category=GTCJ76WEHHR33MNU", "UBND Ủy ban nhân dân xã Tân Lập  tỉnh Yên Bái")</f>
      </c>
      <c r="C4405" t="str">
        <v>https://lucyen.yenbai.gov.vn/Articles/view/?UserKey=Bi-thu-Huyen-uy-du-sinh-hoat-Chi-bo-thon-Cat-xa-Tan-Lap&amp;Category=GTCJ76WEHHR33MNU</v>
      </c>
      <c r="D4405" t="str">
        <v>-</v>
      </c>
      <c r="E4405" t="str">
        <v>-</v>
      </c>
      <c r="F4405" t="str">
        <v>-</v>
      </c>
      <c r="G4405" t="str">
        <v>-</v>
      </c>
    </row>
    <row r="4406">
      <c r="A4406">
        <v>4405</v>
      </c>
      <c r="B4406">
        <f>HYPERLINK("https://www.facebook.com/p/C%C3%B4ng-an-x%C3%A3-Minh-Ti%E1%BA%BFn-100066697088090/", "Công an xã Minh Tiến  tỉnh Yên Bái")</f>
      </c>
      <c r="C4406" t="str">
        <v>https://www.facebook.com/p/C%C3%B4ng-an-x%C3%A3-Minh-Ti%E1%BA%BFn-100066697088090/</v>
      </c>
      <c r="D4406" t="str">
        <v>-</v>
      </c>
      <c r="E4406" t="str">
        <v/>
      </c>
      <c r="F4406" t="str">
        <v>-</v>
      </c>
      <c r="G4406" t="str">
        <v>-</v>
      </c>
    </row>
    <row r="4407">
      <c r="A4407">
        <v>4406</v>
      </c>
      <c r="B4407">
        <f>HYPERLINK("https://www.yenbai.gov.vn/noidung/tintuc/Pages/gioi-thieu-chi-tiet.aspx?ItemID=112&amp;l=Ditichcaptinh&amp;lv=4", "UBND Ủy ban nhân dân xã Minh Tiến  tỉnh Yên Bái")</f>
      </c>
      <c r="C4407" t="str">
        <v>https://www.yenbai.gov.vn/noidung/tintuc/Pages/gioi-thieu-chi-tiet.aspx?ItemID=112&amp;l=Ditichcaptinh&amp;lv=4</v>
      </c>
      <c r="D4407" t="str">
        <v>-</v>
      </c>
      <c r="E4407" t="str">
        <v>-</v>
      </c>
      <c r="F4407" t="str">
        <v>-</v>
      </c>
      <c r="G4407" t="str">
        <v>-</v>
      </c>
    </row>
    <row r="4408">
      <c r="A4408">
        <v>4407</v>
      </c>
      <c r="B4408">
        <f>HYPERLINK("https://www.facebook.com/p/C%C3%B4ng-an-x%C3%A3-Tr%C3%BAc-L%C3%A2u-100069220479532/", "Công an xã Trúc Lâu  tỉnh Yên Bái")</f>
      </c>
      <c r="C4408" t="str">
        <v>https://www.facebook.com/p/C%C3%B4ng-an-x%C3%A3-Tr%C3%BAc-L%C3%A2u-100069220479532/</v>
      </c>
      <c r="D4408" t="str">
        <v>-</v>
      </c>
      <c r="E4408" t="str">
        <v/>
      </c>
      <c r="F4408" t="str">
        <v>-</v>
      </c>
      <c r="G4408" t="str">
        <v>-</v>
      </c>
    </row>
    <row r="4409">
      <c r="A4409">
        <v>4408</v>
      </c>
      <c r="B4409">
        <f>HYPERLINK("https://lucyen.yenbai.gov.vn/Articles/one/Thong-tin-xa-Truc-Lau", "UBND Ủy ban nhân dân xã Trúc Lâu  tỉnh Yên Bái")</f>
      </c>
      <c r="C4409" t="str">
        <v>https://lucyen.yenbai.gov.vn/Articles/one/Thong-tin-xa-Truc-Lau</v>
      </c>
      <c r="D4409" t="str">
        <v>-</v>
      </c>
      <c r="E4409" t="str">
        <v>-</v>
      </c>
      <c r="F4409" t="str">
        <v>-</v>
      </c>
      <c r="G4409" t="str">
        <v>-</v>
      </c>
    </row>
    <row r="4410">
      <c r="A4410">
        <v>4409</v>
      </c>
      <c r="B4410" t="str">
        <v>Công an xã Phúc Lợi  tỉnh Yên Bái</v>
      </c>
      <c r="C4410" t="str">
        <v>-</v>
      </c>
      <c r="D4410" t="str">
        <v>-</v>
      </c>
      <c r="E4410" t="str">
        <v/>
      </c>
      <c r="F4410" t="str">
        <v>-</v>
      </c>
      <c r="G4410" t="str">
        <v>-</v>
      </c>
    </row>
    <row r="4411">
      <c r="A4411">
        <v>4410</v>
      </c>
      <c r="B4411">
        <f>HYPERLINK("https://lucyen.yenbai.gov.vn/xa-phuong/Xa-Phuc-Loi", "UBND Ủy ban nhân dân xã Phúc Lợi  tỉnh Yên Bái")</f>
      </c>
      <c r="C4411" t="str">
        <v>https://lucyen.yenbai.gov.vn/xa-phuong/Xa-Phuc-Loi</v>
      </c>
      <c r="D4411" t="str">
        <v>-</v>
      </c>
      <c r="E4411" t="str">
        <v>-</v>
      </c>
      <c r="F4411" t="str">
        <v>-</v>
      </c>
      <c r="G4411" t="str">
        <v>-</v>
      </c>
    </row>
    <row r="4412">
      <c r="A4412">
        <v>4411</v>
      </c>
      <c r="B4412" t="str">
        <v>Công an xã Phan Thanh  tỉnh Yên Bái</v>
      </c>
      <c r="C4412" t="str">
        <v>-</v>
      </c>
      <c r="D4412" t="str">
        <v>-</v>
      </c>
      <c r="E4412" t="str">
        <v/>
      </c>
      <c r="F4412" t="str">
        <v>-</v>
      </c>
      <c r="G4412" t="str">
        <v>-</v>
      </c>
    </row>
    <row r="4413">
      <c r="A4413">
        <v>4412</v>
      </c>
      <c r="B4413">
        <f>HYPERLINK("https://sotttt.yenbai.gov.vn/cong-nghe-va-chinh-quyen-so/detail/?article=So-Thong-tin-va-Truyen-thong-tham-va-tang-qua-tet-tai-xa-Phan-Thanh-huyen-Luc-Yen&amp;PageIndex=81", "UBND Ủy ban nhân dân xã Phan Thanh  tỉnh Yên Bái")</f>
      </c>
      <c r="C4413" t="str">
        <v>https://sotttt.yenbai.gov.vn/cong-nghe-va-chinh-quyen-so/detail/?article=So-Thong-tin-va-Truyen-thong-tham-va-tang-qua-tet-tai-xa-Phan-Thanh-huyen-Luc-Yen&amp;PageIndex=81</v>
      </c>
      <c r="D4413" t="str">
        <v>-</v>
      </c>
      <c r="E4413" t="str">
        <v>-</v>
      </c>
      <c r="F4413" t="str">
        <v>-</v>
      </c>
      <c r="G4413" t="str">
        <v>-</v>
      </c>
    </row>
    <row r="4414">
      <c r="A4414">
        <v>4413</v>
      </c>
      <c r="B4414">
        <f>HYPERLINK("https://www.facebook.com/p/C%C3%B4ng-an-x%C3%A3-An-Ph%C3%BA-huy%E1%BB%87n-L%E1%BB%A5c-Y%C3%AAn-t%E1%BB%89nh-Y%C3%AAn-B%C3%A1i-100081899742546/", "Công an xã An Phú  tỉnh Yên Bái")</f>
      </c>
      <c r="C4414" t="str">
        <v>https://www.facebook.com/p/C%C3%B4ng-an-x%C3%A3-An-Ph%C3%BA-huy%E1%BB%87n-L%E1%BB%A5c-Y%C3%AAn-t%E1%BB%89nh-Y%C3%AAn-B%C3%A1i-100081899742546/</v>
      </c>
      <c r="D4414" t="str">
        <v>-</v>
      </c>
      <c r="E4414" t="str">
        <v/>
      </c>
      <c r="F4414" t="str">
        <v>-</v>
      </c>
      <c r="G4414" t="str">
        <v>-</v>
      </c>
    </row>
    <row r="4415">
      <c r="A4415">
        <v>4414</v>
      </c>
      <c r="B4415">
        <f>HYPERLINK("https://www.yenbai.gov.vn/", "UBND Ủy ban nhân dân xã An Phú  tỉnh Yên Bái")</f>
      </c>
      <c r="C4415" t="str">
        <v>https://www.yenbai.gov.vn/</v>
      </c>
      <c r="D4415" t="str">
        <v>-</v>
      </c>
      <c r="E4415" t="str">
        <v>-</v>
      </c>
      <c r="F4415" t="str">
        <v>-</v>
      </c>
      <c r="G4415" t="str">
        <v>-</v>
      </c>
    </row>
    <row r="4416">
      <c r="A4416">
        <v>4415</v>
      </c>
      <c r="B4416" t="str">
        <v>Công an xã Trung Tâm  tỉnh Yên Bái</v>
      </c>
      <c r="C4416" t="str">
        <v>-</v>
      </c>
      <c r="D4416" t="str">
        <v>-</v>
      </c>
      <c r="E4416" t="str">
        <v/>
      </c>
      <c r="F4416" t="str">
        <v>-</v>
      </c>
      <c r="G4416" t="str">
        <v>-</v>
      </c>
    </row>
    <row r="4417">
      <c r="A4417">
        <v>4416</v>
      </c>
      <c r="B4417">
        <f>HYPERLINK("https://lucyen.yenbai.gov.vn/xa-phuong/Xa-Trung-Tam", "UBND Ủy ban nhân dân xã Trung Tâm  tỉnh Yên Bái")</f>
      </c>
      <c r="C4417" t="str">
        <v>https://lucyen.yenbai.gov.vn/xa-phuong/Xa-Trung-Tam</v>
      </c>
      <c r="D4417" t="str">
        <v>-</v>
      </c>
      <c r="E4417" t="str">
        <v>-</v>
      </c>
      <c r="F4417" t="str">
        <v>-</v>
      </c>
      <c r="G4417" t="str">
        <v>-</v>
      </c>
    </row>
    <row r="4418">
      <c r="A4418">
        <v>4417</v>
      </c>
      <c r="B4418">
        <f>HYPERLINK("https://www.facebook.com/p/C%C3%B4ng-an-th%E1%BB%8B-tr%E1%BA%A5n-M%E1%BA%ADu-A-100031786790979/", "Công an thị trấn Mậu A  tỉnh Yên Bái")</f>
      </c>
      <c r="C4418" t="str">
        <v>https://www.facebook.com/p/C%C3%B4ng-an-th%E1%BB%8B-tr%E1%BA%A5n-M%E1%BA%ADu-A-100031786790979/</v>
      </c>
      <c r="D4418" t="str">
        <v>-</v>
      </c>
      <c r="E4418" t="str">
        <v/>
      </c>
      <c r="F4418" t="str">
        <v>-</v>
      </c>
      <c r="G4418" t="str">
        <v>-</v>
      </c>
    </row>
    <row r="4419">
      <c r="A4419">
        <v>4418</v>
      </c>
      <c r="B4419">
        <f>HYPERLINK("https://vanyen.yenbai.gov.vn/to-chuc-bo-may/cac-xa-thi-tran/?UserKey=TT-Mau-A", "UBND Ủy ban nhân dân thị trấn Mậu A  tỉnh Yên Bái")</f>
      </c>
      <c r="C4419" t="str">
        <v>https://vanyen.yenbai.gov.vn/to-chuc-bo-may/cac-xa-thi-tran/?UserKey=TT-Mau-A</v>
      </c>
      <c r="D4419" t="str">
        <v>-</v>
      </c>
      <c r="E4419" t="str">
        <v>-</v>
      </c>
      <c r="F4419" t="str">
        <v>-</v>
      </c>
      <c r="G4419" t="str">
        <v>-</v>
      </c>
    </row>
    <row r="4420">
      <c r="A4420">
        <v>4419</v>
      </c>
      <c r="B4420">
        <f>HYPERLINK("https://www.facebook.com/groups/364862091536321/", "Công an xã Lang Thíp  tỉnh Yên Bái")</f>
      </c>
      <c r="C4420" t="str">
        <v>https://www.facebook.com/groups/364862091536321/</v>
      </c>
      <c r="D4420" t="str">
        <v>-</v>
      </c>
      <c r="E4420" t="str">
        <v/>
      </c>
      <c r="F4420" t="str">
        <v>-</v>
      </c>
      <c r="G4420" t="str">
        <v>-</v>
      </c>
    </row>
    <row r="4421">
      <c r="A4421">
        <v>4420</v>
      </c>
      <c r="B4421">
        <f>HYPERLINK("https://vanyen.yenbai.gov.vn/to-chuc-bo-may/cac-xa-thi-tran/?UserKey=Xa-Lang-Thip", "UBND Ủy ban nhân dân xã Lang Thíp  tỉnh Yên Bái")</f>
      </c>
      <c r="C4421" t="str">
        <v>https://vanyen.yenbai.gov.vn/to-chuc-bo-may/cac-xa-thi-tran/?UserKey=Xa-Lang-Thip</v>
      </c>
      <c r="D4421" t="str">
        <v>-</v>
      </c>
      <c r="E4421" t="str">
        <v>-</v>
      </c>
      <c r="F4421" t="str">
        <v>-</v>
      </c>
      <c r="G4421" t="str">
        <v>-</v>
      </c>
    </row>
    <row r="4422">
      <c r="A4422">
        <v>4421</v>
      </c>
      <c r="B4422">
        <f>HYPERLINK("https://www.facebook.com/groups/291164960990968/", "Công an xã Lâm Giang  tỉnh Yên Bái")</f>
      </c>
      <c r="C4422" t="str">
        <v>https://www.facebook.com/groups/291164960990968/</v>
      </c>
      <c r="D4422" t="str">
        <v>-</v>
      </c>
      <c r="E4422" t="str">
        <v/>
      </c>
      <c r="F4422" t="str">
        <v>-</v>
      </c>
      <c r="G4422" t="str">
        <v>-</v>
      </c>
    </row>
    <row r="4423">
      <c r="A4423">
        <v>4422</v>
      </c>
      <c r="B4423">
        <f>HYPERLINK("https://vanyen.yenbai.gov.vn/to-chuc-bo-may/cac-xa-thi-tran/?UserKey=Xa-Lam-Giang", "UBND Ủy ban nhân dân xã Lâm Giang  tỉnh Yên Bái")</f>
      </c>
      <c r="C4423" t="str">
        <v>https://vanyen.yenbai.gov.vn/to-chuc-bo-may/cac-xa-thi-tran/?UserKey=Xa-Lam-Giang</v>
      </c>
      <c r="D4423" t="str">
        <v>-</v>
      </c>
      <c r="E4423" t="str">
        <v>-</v>
      </c>
      <c r="F4423" t="str">
        <v>-</v>
      </c>
      <c r="G4423" t="str">
        <v>-</v>
      </c>
    </row>
    <row r="4424">
      <c r="A4424">
        <v>4423</v>
      </c>
      <c r="B4424">
        <f>HYPERLINK("https://www.facebook.com/p/C%C3%B4ng-an-x%C3%A3-Ch%C3%A2u-Qu%E1%BA%BF-Th%C6%B0%E1%BB%A3ng-huy%E1%BB%87n-V%C4%83n-Y%C3%AAn-t%E1%BB%89nh-Y%C3%AAn-B%C3%A1i-100066967336087/", "Công an xã Châu Quế Thượng  tỉnh Yên Bái")</f>
      </c>
      <c r="C4424" t="str">
        <v>https://www.facebook.com/p/C%C3%B4ng-an-x%C3%A3-Ch%C3%A2u-Qu%E1%BA%BF-Th%C6%B0%E1%BB%A3ng-huy%E1%BB%87n-V%C4%83n-Y%C3%AAn-t%E1%BB%89nh-Y%C3%AAn-B%C3%A1i-100066967336087/</v>
      </c>
      <c r="D4424" t="str">
        <v>-</v>
      </c>
      <c r="E4424" t="str">
        <v/>
      </c>
      <c r="F4424" t="str">
        <v>-</v>
      </c>
      <c r="G4424" t="str">
        <v>-</v>
      </c>
    </row>
    <row r="4425">
      <c r="A4425">
        <v>4424</v>
      </c>
      <c r="B4425">
        <f>HYPERLINK("https://sovhttdl.yenbai.gov.vn/noidung/tintuc/Pages/chi-tiet-tin-tuc.aspx?ItemID=943&amp;l=Tinhoatdong", "UBND Ủy ban nhân dân xã Châu Quế Thượng  tỉnh Yên Bái")</f>
      </c>
      <c r="C4425" t="str">
        <v>https://sovhttdl.yenbai.gov.vn/noidung/tintuc/Pages/chi-tiet-tin-tuc.aspx?ItemID=943&amp;l=Tinhoatdong</v>
      </c>
      <c r="D4425" t="str">
        <v>-</v>
      </c>
      <c r="E4425" t="str">
        <v>-</v>
      </c>
      <c r="F4425" t="str">
        <v>-</v>
      </c>
      <c r="G4425" t="str">
        <v>-</v>
      </c>
    </row>
    <row r="4426">
      <c r="A4426">
        <v>4425</v>
      </c>
      <c r="B4426">
        <f>HYPERLINK("https://www.facebook.com/chauquehavanyenyenbai/", "Công an xã Châu Quế Hạ  tỉnh Yên Bái")</f>
      </c>
      <c r="C4426" t="str">
        <v>https://www.facebook.com/chauquehavanyenyenbai/</v>
      </c>
      <c r="D4426" t="str">
        <v>-</v>
      </c>
      <c r="E4426" t="str">
        <v/>
      </c>
      <c r="F4426" t="str">
        <v>-</v>
      </c>
      <c r="G4426" t="str">
        <v>-</v>
      </c>
    </row>
    <row r="4427">
      <c r="A4427">
        <v>4426</v>
      </c>
      <c r="B4427">
        <f>HYPERLINK("https://vanyen.yenbai.gov.vn/to-chuc-bo-may/cac-xa-thi-tran/?UserKey=Xa-Chau-Que-Ha", "UBND Ủy ban nhân dân xã Châu Quế Hạ  tỉnh Yên Bái")</f>
      </c>
      <c r="C4427" t="str">
        <v>https://vanyen.yenbai.gov.vn/to-chuc-bo-may/cac-xa-thi-tran/?UserKey=Xa-Chau-Que-Ha</v>
      </c>
      <c r="D4427" t="str">
        <v>-</v>
      </c>
      <c r="E4427" t="str">
        <v>-</v>
      </c>
      <c r="F4427" t="str">
        <v>-</v>
      </c>
      <c r="G4427" t="str">
        <v>-</v>
      </c>
    </row>
    <row r="4428">
      <c r="A4428">
        <v>4427</v>
      </c>
      <c r="B4428">
        <f>HYPERLINK("https://www.facebook.com/p/Tu%E1%BB%95i-tr%E1%BA%BB-C%C3%B4ng-an-Ngh%C4%A9a-L%E1%BB%99-100081887170070/", "Công an xã An Bình  tỉnh Yên Bái")</f>
      </c>
      <c r="C4428" t="str">
        <v>https://www.facebook.com/p/Tu%E1%BB%95i-tr%E1%BA%BB-C%C3%B4ng-an-Ngh%C4%A9a-L%E1%BB%99-100081887170070/</v>
      </c>
      <c r="D4428" t="str">
        <v>-</v>
      </c>
      <c r="E4428" t="str">
        <v/>
      </c>
      <c r="F4428" t="str">
        <v>-</v>
      </c>
      <c r="G4428" t="str">
        <v>-</v>
      </c>
    </row>
    <row r="4429">
      <c r="A4429">
        <v>4428</v>
      </c>
      <c r="B4429">
        <f>HYPERLINK("https://vanyen.yenbai.gov.vn/to-chuc-bo-may/cac-xa-thi-tran/?UserKey=Xa-An-Binh", "UBND Ủy ban nhân dân xã An Bình  tỉnh Yên Bái")</f>
      </c>
      <c r="C4429" t="str">
        <v>https://vanyen.yenbai.gov.vn/to-chuc-bo-may/cac-xa-thi-tran/?UserKey=Xa-An-Binh</v>
      </c>
      <c r="D4429" t="str">
        <v>-</v>
      </c>
      <c r="E4429" t="str">
        <v>-</v>
      </c>
      <c r="F4429" t="str">
        <v>-</v>
      </c>
      <c r="G4429" t="str">
        <v>-</v>
      </c>
    </row>
    <row r="4430">
      <c r="A4430">
        <v>4429</v>
      </c>
      <c r="B4430">
        <f>HYPERLINK("https://www.facebook.com/p/C%C3%B4ng-an-x%C3%A3-Quang-Minh-100066478945818/", "Công an xã Quang Minh  tỉnh Yên Bái")</f>
      </c>
      <c r="C4430" t="str">
        <v>https://www.facebook.com/p/C%C3%B4ng-an-x%C3%A3-Quang-Minh-100066478945818/</v>
      </c>
      <c r="D4430" t="str">
        <v>-</v>
      </c>
      <c r="E4430" t="str">
        <v/>
      </c>
      <c r="F4430" t="str">
        <v>-</v>
      </c>
      <c r="G4430" t="str">
        <v>-</v>
      </c>
    </row>
    <row r="4431">
      <c r="A4431">
        <v>4430</v>
      </c>
      <c r="B4431">
        <f>HYPERLINK("https://haiha.quangninh.gov.vn/Trang/ChiTietBVGioiThieu.aspx?bvid=128", "UBND Ủy ban nhân dân xã Quang Minh  tỉnh Yên Bái")</f>
      </c>
      <c r="C4431" t="str">
        <v>https://haiha.quangninh.gov.vn/Trang/ChiTietBVGioiThieu.aspx?bvid=128</v>
      </c>
      <c r="D4431" t="str">
        <v>-</v>
      </c>
      <c r="E4431" t="str">
        <v>-</v>
      </c>
      <c r="F4431" t="str">
        <v>-</v>
      </c>
      <c r="G4431" t="str">
        <v>-</v>
      </c>
    </row>
    <row r="4432">
      <c r="A4432">
        <v>4431</v>
      </c>
      <c r="B4432">
        <f>HYPERLINK("https://www.facebook.com/p/Tu%E1%BB%95i-tr%E1%BA%BB-C%C3%B4ng-an-Ngh%C4%A9a-L%E1%BB%99-100081887170070/", "Công an xã Đông An  tỉnh Yên Bái")</f>
      </c>
      <c r="C4432" t="str">
        <v>https://www.facebook.com/p/Tu%E1%BB%95i-tr%E1%BA%BB-C%C3%B4ng-an-Ngh%C4%A9a-L%E1%BB%99-100081887170070/</v>
      </c>
      <c r="D4432" t="str">
        <v>-</v>
      </c>
      <c r="E4432" t="str">
        <v/>
      </c>
      <c r="F4432" t="str">
        <v>-</v>
      </c>
      <c r="G4432" t="str">
        <v>-</v>
      </c>
    </row>
    <row r="4433">
      <c r="A4433">
        <v>4432</v>
      </c>
      <c r="B4433">
        <f>HYPERLINK("https://vanyen.yenbai.gov.vn/to-chuc-bo-may/cac-xa-thi-tran/?UserKey=Xa-Dong-An", "UBND Ủy ban nhân dân xã Đông An  tỉnh Yên Bái")</f>
      </c>
      <c r="C4433" t="str">
        <v>https://vanyen.yenbai.gov.vn/to-chuc-bo-may/cac-xa-thi-tran/?UserKey=Xa-Dong-An</v>
      </c>
      <c r="D4433" t="str">
        <v>-</v>
      </c>
      <c r="E4433" t="str">
        <v>-</v>
      </c>
      <c r="F4433" t="str">
        <v>-</v>
      </c>
      <c r="G4433" t="str">
        <v>-</v>
      </c>
    </row>
    <row r="4434">
      <c r="A4434">
        <v>4433</v>
      </c>
      <c r="B4434">
        <f>HYPERLINK("https://www.facebook.com/p/Trang-th%C3%B4ng-tin-%C4%91i%E1%BB%87n-t%E1%BB%AD-x%C3%A3-%C4%90%C3%B4ng-Cu%C3%B4ng-100069122272588/", "Công an xã Đông Cuông  tỉnh Yên Bái")</f>
      </c>
      <c r="C4434" t="str">
        <v>https://www.facebook.com/p/Trang-th%C3%B4ng-tin-%C4%91i%E1%BB%87n-t%E1%BB%AD-x%C3%A3-%C4%90%C3%B4ng-Cu%C3%B4ng-100069122272588/</v>
      </c>
      <c r="D4434" t="str">
        <v>-</v>
      </c>
      <c r="E4434" t="str">
        <v/>
      </c>
      <c r="F4434" t="str">
        <v>-</v>
      </c>
      <c r="G4434" t="str">
        <v>-</v>
      </c>
    </row>
    <row r="4435">
      <c r="A4435">
        <v>4434</v>
      </c>
      <c r="B4435">
        <f>HYPERLINK("https://vanyen.yenbai.gov.vn/to-chuc-bo-may/cac-xa-thi-tran/?UserKey=Xa-Dong-Cuong", "UBND Ủy ban nhân dân xã Đông Cuông  tỉnh Yên Bái")</f>
      </c>
      <c r="C4435" t="str">
        <v>https://vanyen.yenbai.gov.vn/to-chuc-bo-may/cac-xa-thi-tran/?UserKey=Xa-Dong-Cuong</v>
      </c>
      <c r="D4435" t="str">
        <v>-</v>
      </c>
      <c r="E4435" t="str">
        <v>-</v>
      </c>
      <c r="F4435" t="str">
        <v>-</v>
      </c>
      <c r="G4435" t="str">
        <v>-</v>
      </c>
    </row>
    <row r="4436">
      <c r="A4436">
        <v>4435</v>
      </c>
      <c r="B4436" t="str">
        <v>Công an xã Phong Dụ Hạ  tỉnh Yên Bái</v>
      </c>
      <c r="C4436" t="str">
        <v>-</v>
      </c>
      <c r="D4436" t="str">
        <v>-</v>
      </c>
      <c r="E4436" t="str">
        <v/>
      </c>
      <c r="F4436" t="str">
        <v>-</v>
      </c>
      <c r="G4436" t="str">
        <v>-</v>
      </c>
    </row>
    <row r="4437">
      <c r="A4437">
        <v>4436</v>
      </c>
      <c r="B4437">
        <f>HYPERLINK("https://vanyen.yenbai.gov.vn/to-chuc-bo-may/cac-xa-thi-tran/?UserKey=Xa-Phong-Du-Ha", "UBND Ủy ban nhân dân xã Phong Dụ Hạ  tỉnh Yên Bái")</f>
      </c>
      <c r="C4437" t="str">
        <v>https://vanyen.yenbai.gov.vn/to-chuc-bo-may/cac-xa-thi-tran/?UserKey=Xa-Phong-Du-Ha</v>
      </c>
      <c r="D4437" t="str">
        <v>-</v>
      </c>
      <c r="E4437" t="str">
        <v>-</v>
      </c>
      <c r="F4437" t="str">
        <v>-</v>
      </c>
      <c r="G4437" t="str">
        <v>-</v>
      </c>
    </row>
    <row r="4438">
      <c r="A4438">
        <v>4437</v>
      </c>
      <c r="B4438">
        <f>HYPERLINK("https://www.facebook.com/p/C%C3%B4ng-an-x%C3%A3-M%E1%BA%ADu-%C4%90%C3%B4ng-100069042045492/", "Công an xã Mậu Đông  tỉnh Yên Bái")</f>
      </c>
      <c r="C4438" t="str">
        <v>https://www.facebook.com/p/C%C3%B4ng-an-x%C3%A3-M%E1%BA%ADu-%C4%90%C3%B4ng-100069042045492/</v>
      </c>
      <c r="D4438" t="str">
        <v>-</v>
      </c>
      <c r="E4438" t="str">
        <v/>
      </c>
      <c r="F4438" t="str">
        <v>-</v>
      </c>
      <c r="G4438" t="str">
        <v>-</v>
      </c>
    </row>
    <row r="4439">
      <c r="A4439">
        <v>4438</v>
      </c>
      <c r="B4439">
        <f>HYPERLINK("https://vanyen.yenbai.gov.vn/to-chuc-bo-may/cac-xa-thi-tran/?UserKey=Xa-Mau-Dong", "UBND Ủy ban nhân dân xã Mậu Đông  tỉnh Yên Bái")</f>
      </c>
      <c r="C4439" t="str">
        <v>https://vanyen.yenbai.gov.vn/to-chuc-bo-may/cac-xa-thi-tran/?UserKey=Xa-Mau-Dong</v>
      </c>
      <c r="D4439" t="str">
        <v>-</v>
      </c>
      <c r="E4439" t="str">
        <v>-</v>
      </c>
      <c r="F4439" t="str">
        <v>-</v>
      </c>
      <c r="G4439" t="str">
        <v>-</v>
      </c>
    </row>
    <row r="4440">
      <c r="A4440">
        <v>4439</v>
      </c>
      <c r="B4440">
        <f>HYPERLINK("https://www.facebook.com/p/Tu%E1%BB%95i-tr%E1%BA%BB-C%C3%B4ng-an-Ngh%C4%A9a-L%E1%BB%99-100081887170070/", "Công an xã Ngòi A  tỉnh Yên Bái")</f>
      </c>
      <c r="C4440" t="str">
        <v>https://www.facebook.com/p/Tu%E1%BB%95i-tr%E1%BA%BB-C%C3%B4ng-an-Ngh%C4%A9a-L%E1%BB%99-100081887170070/</v>
      </c>
      <c r="D4440" t="str">
        <v>-</v>
      </c>
      <c r="E4440" t="str">
        <v/>
      </c>
      <c r="F4440" t="str">
        <v>-</v>
      </c>
      <c r="G4440" t="str">
        <v>-</v>
      </c>
    </row>
    <row r="4441">
      <c r="A4441">
        <v>4440</v>
      </c>
      <c r="B4441">
        <f>HYPERLINK("https://vanyen.yenbai.gov.vn/to-chuc-bo-may/cac-xa-thi-tran/?UserKey=Xa-Ngoi-A", "UBND Ủy ban nhân dân xã Ngòi A  tỉnh Yên Bái")</f>
      </c>
      <c r="C4441" t="str">
        <v>https://vanyen.yenbai.gov.vn/to-chuc-bo-may/cac-xa-thi-tran/?UserKey=Xa-Ngoi-A</v>
      </c>
      <c r="D4441" t="str">
        <v>-</v>
      </c>
      <c r="E4441" t="str">
        <v>-</v>
      </c>
      <c r="F4441" t="str">
        <v>-</v>
      </c>
      <c r="G4441" t="str">
        <v>-</v>
      </c>
    </row>
    <row r="4442">
      <c r="A4442">
        <v>4441</v>
      </c>
      <c r="B4442">
        <f>HYPERLINK("https://www.facebook.com/p/C%C3%B4ng-an-x%C3%A3-Xu%C3%A2n-T%E1%BA%A7m-V%C4%83n-Y%C3%AAn-Y%C3%AAn-B%C3%A1i-100066508220191/", "Công an xã Xuân Tầm  tỉnh Yên Bái")</f>
      </c>
      <c r="C4442" t="str">
        <v>https://www.facebook.com/p/C%C3%B4ng-an-x%C3%A3-Xu%C3%A2n-T%E1%BA%A7m-V%C4%83n-Y%C3%AAn-Y%C3%AAn-B%C3%A1i-100066508220191/</v>
      </c>
      <c r="D4442" t="str">
        <v>-</v>
      </c>
      <c r="E4442" t="str">
        <v/>
      </c>
      <c r="F4442" t="str">
        <v>-</v>
      </c>
      <c r="G4442" t="str">
        <v>-</v>
      </c>
    </row>
    <row r="4443">
      <c r="A4443">
        <v>4442</v>
      </c>
      <c r="B4443">
        <f>HYPERLINK("https://yenbai.gov.vn/dai-hoi-dang-bo/noidung/tintuc/Pages/chi-tiet-tin-tuc.aspx?ItemID=952&amp;l=Tinhoatdong", "UBND Ủy ban nhân dân xã Xuân Tầm  tỉnh Yên Bái")</f>
      </c>
      <c r="C4443" t="str">
        <v>https://yenbai.gov.vn/dai-hoi-dang-bo/noidung/tintuc/Pages/chi-tiet-tin-tuc.aspx?ItemID=952&amp;l=Tinhoatdong</v>
      </c>
      <c r="D4443" t="str">
        <v>-</v>
      </c>
      <c r="E4443" t="str">
        <v>-</v>
      </c>
      <c r="F4443" t="str">
        <v>-</v>
      </c>
      <c r="G4443" t="str">
        <v>-</v>
      </c>
    </row>
    <row r="4444">
      <c r="A4444">
        <v>4443</v>
      </c>
      <c r="B4444">
        <f>HYPERLINK("https://www.facebook.com/ConganxaTanHop/", "Công an xã Tân Hợp  tỉnh Yên Bái")</f>
      </c>
      <c r="C4444" t="str">
        <v>https://www.facebook.com/ConganxaTanHop/</v>
      </c>
      <c r="D4444" t="str">
        <v>-</v>
      </c>
      <c r="E4444" t="str">
        <v/>
      </c>
      <c r="F4444" t="str">
        <v>-</v>
      </c>
      <c r="G4444" t="str">
        <v>-</v>
      </c>
    </row>
    <row r="4445">
      <c r="A4445">
        <v>4444</v>
      </c>
      <c r="B4445">
        <f>HYPERLINK("https://sotuphap.yenbai.gov.vn/noidung/tintuc/Pages/chi-tiet-tin-tuc.aspx?ItemID=364&amp;l=Tinhoatdong&amp;lv=25", "UBND Ủy ban nhân dân xã Tân Hợp  tỉnh Yên Bái")</f>
      </c>
      <c r="C4445" t="str">
        <v>https://sotuphap.yenbai.gov.vn/noidung/tintuc/Pages/chi-tiet-tin-tuc.aspx?ItemID=364&amp;l=Tinhoatdong&amp;lv=25</v>
      </c>
      <c r="D4445" t="str">
        <v>-</v>
      </c>
      <c r="E4445" t="str">
        <v>-</v>
      </c>
      <c r="F4445" t="str">
        <v>-</v>
      </c>
      <c r="G4445" t="str">
        <v>-</v>
      </c>
    </row>
    <row r="4446">
      <c r="A4446">
        <v>4445</v>
      </c>
      <c r="B4446">
        <f>HYPERLINK("https://www.facebook.com/p/Tu%E1%BB%95i-tr%E1%BA%BB-C%C3%B4ng-an-Ngh%C4%A9a-L%E1%BB%99-100081887170070/", "Công an xã An Thịnh  tỉnh Yên Bái")</f>
      </c>
      <c r="C4446" t="str">
        <v>https://www.facebook.com/p/Tu%E1%BB%95i-tr%E1%BA%BB-C%C3%B4ng-an-Ngh%C4%A9a-L%E1%BB%99-100081887170070/</v>
      </c>
      <c r="D4446" t="str">
        <v>-</v>
      </c>
      <c r="E4446" t="str">
        <v/>
      </c>
      <c r="F4446" t="str">
        <v>-</v>
      </c>
      <c r="G4446" t="str">
        <v>-</v>
      </c>
    </row>
    <row r="4447">
      <c r="A4447">
        <v>4446</v>
      </c>
      <c r="B4447">
        <f>HYPERLINK("https://vanyen.yenbai.gov.vn/", "UBND Ủy ban nhân dân xã An Thịnh  tỉnh Yên Bái")</f>
      </c>
      <c r="C4447" t="str">
        <v>https://vanyen.yenbai.gov.vn/</v>
      </c>
      <c r="D4447" t="str">
        <v>-</v>
      </c>
      <c r="E4447" t="str">
        <v>-</v>
      </c>
      <c r="F4447" t="str">
        <v>-</v>
      </c>
      <c r="G4447" t="str">
        <v>-</v>
      </c>
    </row>
    <row r="4448">
      <c r="A4448">
        <v>4447</v>
      </c>
      <c r="B4448">
        <f>HYPERLINK("https://www.facebook.com/DTNCATYB/", "Công an xã Yên Thái  tỉnh Yên Bái")</f>
      </c>
      <c r="C4448" t="str">
        <v>https://www.facebook.com/DTNCATYB/</v>
      </c>
      <c r="D4448" t="str">
        <v>-</v>
      </c>
      <c r="E4448" t="str">
        <v/>
      </c>
      <c r="F4448" t="str">
        <v>-</v>
      </c>
      <c r="G4448" t="str">
        <v>-</v>
      </c>
    </row>
    <row r="4449">
      <c r="A4449">
        <v>4448</v>
      </c>
      <c r="B4449">
        <f>HYPERLINK("https://vanyen.yenbai.gov.vn/to-chuc-bo-may/cac-xa-thi-tran/?UserKey=Xa-Yen-Thai", "UBND Ủy ban nhân dân xã Yên Thái  tỉnh Yên Bái")</f>
      </c>
      <c r="C4449" t="str">
        <v>https://vanyen.yenbai.gov.vn/to-chuc-bo-may/cac-xa-thi-tran/?UserKey=Xa-Yen-Thai</v>
      </c>
      <c r="D4449" t="str">
        <v>-</v>
      </c>
      <c r="E4449" t="str">
        <v>-</v>
      </c>
      <c r="F4449" t="str">
        <v>-</v>
      </c>
      <c r="G4449" t="str">
        <v>-</v>
      </c>
    </row>
    <row r="4450">
      <c r="A4450">
        <v>4449</v>
      </c>
      <c r="B4450" t="str">
        <v>Công an xã Phong Dụ Thượng  tỉnh Yên Bái</v>
      </c>
      <c r="C4450" t="str">
        <v>-</v>
      </c>
      <c r="D4450" t="str">
        <v>-</v>
      </c>
      <c r="E4450" t="str">
        <v/>
      </c>
      <c r="F4450" t="str">
        <v>-</v>
      </c>
      <c r="G4450" t="str">
        <v>-</v>
      </c>
    </row>
    <row r="4451">
      <c r="A4451">
        <v>4450</v>
      </c>
      <c r="B4451">
        <f>HYPERLINK("https://vanyen.yenbai.gov.vn/to-chuc-bo-may/cac-xa-thi-tran/?UserKey=Xa-Phong-Du-Thuong", "UBND Ủy ban nhân dân xã Phong Dụ Thượng  tỉnh Yên Bái")</f>
      </c>
      <c r="C4451" t="str">
        <v>https://vanyen.yenbai.gov.vn/to-chuc-bo-may/cac-xa-thi-tran/?UserKey=Xa-Phong-Du-Thuong</v>
      </c>
      <c r="D4451" t="str">
        <v>-</v>
      </c>
      <c r="E4451" t="str">
        <v>-</v>
      </c>
      <c r="F4451" t="str">
        <v>-</v>
      </c>
      <c r="G4451" t="str">
        <v>-</v>
      </c>
    </row>
    <row r="4452">
      <c r="A4452">
        <v>4451</v>
      </c>
      <c r="B4452" t="str">
        <v>Công an xã Yên Hợp  tỉnh Yên Bái</v>
      </c>
      <c r="C4452" t="str">
        <v>-</v>
      </c>
      <c r="D4452" t="str">
        <v>-</v>
      </c>
      <c r="E4452" t="str">
        <v/>
      </c>
      <c r="F4452" t="str">
        <v>-</v>
      </c>
      <c r="G4452" t="str">
        <v>-</v>
      </c>
    </row>
    <row r="4453">
      <c r="A4453">
        <v>4452</v>
      </c>
      <c r="B4453">
        <f>HYPERLINK("https://vanyen.yenbai.gov.vn/to-chuc-bo-may/cac-xa-thi-tran/?UserKey=Xa-Yen-Hop", "UBND Ủy ban nhân dân xã Yên Hợp  tỉnh Yên Bái")</f>
      </c>
      <c r="C4453" t="str">
        <v>https://vanyen.yenbai.gov.vn/to-chuc-bo-may/cac-xa-thi-tran/?UserKey=Xa-Yen-Hop</v>
      </c>
      <c r="D4453" t="str">
        <v>-</v>
      </c>
      <c r="E4453" t="str">
        <v>-</v>
      </c>
      <c r="F4453" t="str">
        <v>-</v>
      </c>
      <c r="G4453" t="str">
        <v>-</v>
      </c>
    </row>
    <row r="4454">
      <c r="A4454">
        <v>4453</v>
      </c>
      <c r="B4454">
        <f>HYPERLINK("https://www.facebook.com/p/Tu%E1%BB%95i-tr%E1%BA%BB-C%C3%B4ng-an-th%E1%BB%8B-x%C3%A3-S%C6%A1n-T%C3%A2y-100040884909606/", "Công an xã Đại Sơn  tỉnh Yên Bái")</f>
      </c>
      <c r="C4454" t="str">
        <v>https://www.facebook.com/p/Tu%E1%BB%95i-tr%E1%BA%BB-C%C3%B4ng-an-th%E1%BB%8B-x%C3%A3-S%C6%A1n-T%C3%A2y-100040884909606/</v>
      </c>
      <c r="D4454" t="str">
        <v>-</v>
      </c>
      <c r="E4454" t="str">
        <v/>
      </c>
      <c r="F4454" t="str">
        <v>-</v>
      </c>
      <c r="G4454" t="str">
        <v>-</v>
      </c>
    </row>
    <row r="4455">
      <c r="A4455">
        <v>4454</v>
      </c>
      <c r="B4455">
        <f>HYPERLINK("https://vanyen.yenbai.gov.vn/to-chuc-bo-may/cac-xa-thi-tran/?UserKey=Xa-Dai-Son", "UBND Ủy ban nhân dân xã Đại Sơn  tỉnh Yên Bái")</f>
      </c>
      <c r="C4455" t="str">
        <v>https://vanyen.yenbai.gov.vn/to-chuc-bo-may/cac-xa-thi-tran/?UserKey=Xa-Dai-Son</v>
      </c>
      <c r="D4455" t="str">
        <v>-</v>
      </c>
      <c r="E4455" t="str">
        <v>-</v>
      </c>
      <c r="F4455" t="str">
        <v>-</v>
      </c>
      <c r="G4455" t="str">
        <v>-</v>
      </c>
    </row>
    <row r="4456">
      <c r="A4456">
        <v>4455</v>
      </c>
      <c r="B4456" t="str">
        <v>Công an xã Yên Hưng  tỉnh Yên Bái</v>
      </c>
      <c r="C4456" t="str">
        <v>-</v>
      </c>
      <c r="D4456" t="str">
        <v>-</v>
      </c>
      <c r="E4456" t="str">
        <v/>
      </c>
      <c r="F4456" t="str">
        <v>-</v>
      </c>
      <c r="G4456" t="str">
        <v>-</v>
      </c>
    </row>
    <row r="4457">
      <c r="A4457">
        <v>4456</v>
      </c>
      <c r="B4457">
        <f>HYPERLINK("https://yenbai.gov.vn/noidung/tintuc/Pages/chi-tiet-tin-tuc.aspx?ItemID=2722&amp;l=TinSoNganhDiaphuong", "UBND Ủy ban nhân dân xã Yên Hưng  tỉnh Yên Bái")</f>
      </c>
      <c r="C4457" t="str">
        <v>https://yenbai.gov.vn/noidung/tintuc/Pages/chi-tiet-tin-tuc.aspx?ItemID=2722&amp;l=TinSoNganhDiaphuong</v>
      </c>
      <c r="D4457" t="str">
        <v>-</v>
      </c>
      <c r="E4457" t="str">
        <v>-</v>
      </c>
      <c r="F4457" t="str">
        <v>-</v>
      </c>
      <c r="G4457" t="str">
        <v>-</v>
      </c>
    </row>
    <row r="4458">
      <c r="A4458">
        <v>4457</v>
      </c>
      <c r="B4458" t="str">
        <v>Công an xã Đại Phác  tỉnh Yên Bái</v>
      </c>
      <c r="C4458" t="str">
        <v>-</v>
      </c>
      <c r="D4458" t="str">
        <v>-</v>
      </c>
      <c r="E4458" t="str">
        <v/>
      </c>
      <c r="F4458" t="str">
        <v>-</v>
      </c>
      <c r="G4458" t="str">
        <v>-</v>
      </c>
    </row>
    <row r="4459">
      <c r="A4459">
        <v>4458</v>
      </c>
      <c r="B4459">
        <f>HYPERLINK("https://vanyen.yenbai.gov.vn/to-chuc-bo-may/cac-xa-thi-tran/?UserKey=Xa-Dai-Phac", "UBND Ủy ban nhân dân xã Đại Phác  tỉnh Yên Bái")</f>
      </c>
      <c r="C4459" t="str">
        <v>https://vanyen.yenbai.gov.vn/to-chuc-bo-may/cac-xa-thi-tran/?UserKey=Xa-Dai-Phac</v>
      </c>
      <c r="D4459" t="str">
        <v>-</v>
      </c>
      <c r="E4459" t="str">
        <v>-</v>
      </c>
      <c r="F4459" t="str">
        <v>-</v>
      </c>
      <c r="G4459" t="str">
        <v>-</v>
      </c>
    </row>
    <row r="4460">
      <c r="A4460">
        <v>4459</v>
      </c>
      <c r="B4460">
        <f>HYPERLINK("https://www.facebook.com/p/C%C3%B4ng-an-x%C3%A3-Y%C3%AAn-Ph%C3%BA-100067050247117/", "Công an xã Yên Phú  tỉnh Yên Bái")</f>
      </c>
      <c r="C4460" t="str">
        <v>https://www.facebook.com/p/C%C3%B4ng-an-x%C3%A3-Y%C3%AAn-Ph%C3%BA-100067050247117/</v>
      </c>
      <c r="D4460" t="str">
        <v>-</v>
      </c>
      <c r="E4460" t="str">
        <v/>
      </c>
      <c r="F4460" t="str">
        <v>-</v>
      </c>
      <c r="G4460" t="str">
        <v>-</v>
      </c>
    </row>
    <row r="4461">
      <c r="A4461">
        <v>4460</v>
      </c>
      <c r="B4461">
        <f>HYPERLINK("https://bavi.hanoi.gov.vn/uy-ban-nhan-dan-xa-thi-tran/-/asset_publisher/BXvxOA8eYieu/content/xa-yen-bai", "UBND Ủy ban nhân dân xã Yên Phú  tỉnh Yên Bái")</f>
      </c>
      <c r="C4461" t="str">
        <v>https://bavi.hanoi.gov.vn/uy-ban-nhan-dan-xa-thi-tran/-/asset_publisher/BXvxOA8eYieu/content/xa-yen-bai</v>
      </c>
      <c r="D4461" t="str">
        <v>-</v>
      </c>
      <c r="E4461" t="str">
        <v>-</v>
      </c>
      <c r="F4461" t="str">
        <v>-</v>
      </c>
      <c r="G4461" t="str">
        <v>-</v>
      </c>
    </row>
    <row r="4462">
      <c r="A4462">
        <v>4461</v>
      </c>
      <c r="B4462">
        <f>HYPERLINK("https://www.facebook.com/groups/281377316495827/", "Công an xã Xuân Ái  tỉnh Yên Bái")</f>
      </c>
      <c r="C4462" t="str">
        <v>https://www.facebook.com/groups/281377316495827/</v>
      </c>
      <c r="D4462" t="str">
        <v>-</v>
      </c>
      <c r="E4462" t="str">
        <v/>
      </c>
      <c r="F4462" t="str">
        <v>-</v>
      </c>
      <c r="G4462" t="str">
        <v>-</v>
      </c>
    </row>
    <row r="4463">
      <c r="A4463">
        <v>4462</v>
      </c>
      <c r="B4463">
        <f>HYPERLINK("https://yenbai.gov.vn/noidung/tintuc/Pages/chi-tiet-tin-tuc.aspx?ItemID=14236&amp;l=Tintrongtinh%3Futm_source=ditatompel.com&amp;lv=5", "UBND Ủy ban nhân dân xã Xuân Ái  tỉnh Yên Bái")</f>
      </c>
      <c r="C4463" t="str">
        <v>https://yenbai.gov.vn/noidung/tintuc/Pages/chi-tiet-tin-tuc.aspx?ItemID=14236&amp;l=Tintrongtinh%3Futm_source=ditatompel.com&amp;lv=5</v>
      </c>
      <c r="D4463" t="str">
        <v>-</v>
      </c>
      <c r="E4463" t="str">
        <v>-</v>
      </c>
      <c r="F4463" t="str">
        <v>-</v>
      </c>
      <c r="G4463" t="str">
        <v>-</v>
      </c>
    </row>
    <row r="4464">
      <c r="A4464">
        <v>4463</v>
      </c>
      <c r="B4464" t="str">
        <v>Công an xã Hoàng Thắng  tỉnh Yên Bái</v>
      </c>
      <c r="C4464" t="str">
        <v>-</v>
      </c>
      <c r="D4464" t="str">
        <v>-</v>
      </c>
      <c r="E4464" t="str">
        <v/>
      </c>
      <c r="F4464" t="str">
        <v>-</v>
      </c>
      <c r="G4464" t="str">
        <v>-</v>
      </c>
    </row>
    <row r="4465">
      <c r="A4465">
        <v>4464</v>
      </c>
      <c r="B4465">
        <f>HYPERLINK("https://www.yenbai.gov.vn/noidung/tintuc/Pages/chi-tiet-tin-tuc.aspx?ItemID=18902&amp;l=Tintrongtinh/&amp;lv=11", "UBND Ủy ban nhân dân xã Hoàng Thắng  tỉnh Yên Bái")</f>
      </c>
      <c r="C4465" t="str">
        <v>https://www.yenbai.gov.vn/noidung/tintuc/Pages/chi-tiet-tin-tuc.aspx?ItemID=18902&amp;l=Tintrongtinh/&amp;lv=11</v>
      </c>
      <c r="D4465" t="str">
        <v>-</v>
      </c>
      <c r="E4465" t="str">
        <v>-</v>
      </c>
      <c r="F4465" t="str">
        <v>-</v>
      </c>
      <c r="G4465" t="str">
        <v>-</v>
      </c>
    </row>
    <row r="4466">
      <c r="A4466">
        <v>4465</v>
      </c>
      <c r="B4466" t="str">
        <v>Công an xã Viễn Sơn  tỉnh Yên Bái</v>
      </c>
      <c r="C4466" t="str">
        <v>-</v>
      </c>
      <c r="D4466" t="str">
        <v>-</v>
      </c>
      <c r="E4466" t="str">
        <v/>
      </c>
      <c r="F4466" t="str">
        <v>-</v>
      </c>
      <c r="G4466" t="str">
        <v>-</v>
      </c>
    </row>
    <row r="4467">
      <c r="A4467">
        <v>4466</v>
      </c>
      <c r="B4467">
        <f>HYPERLINK("https://vanyen.yenbai.gov.vn/to-chuc-bo-may/cac-xa-thi-tran/?UserKey=Xa-Vien-Son", "UBND Ủy ban nhân dân xã Viễn Sơn  tỉnh Yên Bái")</f>
      </c>
      <c r="C4467" t="str">
        <v>https://vanyen.yenbai.gov.vn/to-chuc-bo-may/cac-xa-thi-tran/?UserKey=Xa-Vien-Son</v>
      </c>
      <c r="D4467" t="str">
        <v>-</v>
      </c>
      <c r="E4467" t="str">
        <v>-</v>
      </c>
      <c r="F4467" t="str">
        <v>-</v>
      </c>
      <c r="G4467" t="str">
        <v>-</v>
      </c>
    </row>
    <row r="4468">
      <c r="A4468">
        <v>4467</v>
      </c>
      <c r="B4468" t="str">
        <v>Công an xã Mỏ Vàng  tỉnh Yên Bái</v>
      </c>
      <c r="C4468" t="str">
        <v>-</v>
      </c>
      <c r="D4468" t="str">
        <v>-</v>
      </c>
      <c r="E4468" t="str">
        <v/>
      </c>
      <c r="F4468" t="str">
        <v>-</v>
      </c>
      <c r="G4468" t="str">
        <v>-</v>
      </c>
    </row>
    <row r="4469">
      <c r="A4469">
        <v>4468</v>
      </c>
      <c r="B4469">
        <f>HYPERLINK("https://vanyen.yenbai.gov.vn/", "UBND Ủy ban nhân dân xã Mỏ Vàng  tỉnh Yên Bái")</f>
      </c>
      <c r="C4469" t="str">
        <v>https://vanyen.yenbai.gov.vn/</v>
      </c>
      <c r="D4469" t="str">
        <v>-</v>
      </c>
      <c r="E4469" t="str">
        <v>-</v>
      </c>
      <c r="F4469" t="str">
        <v>-</v>
      </c>
      <c r="G4469" t="str">
        <v>-</v>
      </c>
    </row>
    <row r="4470">
      <c r="A4470">
        <v>4469</v>
      </c>
      <c r="B4470">
        <f>HYPERLINK("https://www.facebook.com/anttnahau/", "Công an xã Nà Hẩu  tỉnh Yên Bái")</f>
      </c>
      <c r="C4470" t="str">
        <v>https://www.facebook.com/anttnahau/</v>
      </c>
      <c r="D4470" t="str">
        <v>-</v>
      </c>
      <c r="E4470" t="str">
        <v/>
      </c>
      <c r="F4470" t="str">
        <v>-</v>
      </c>
      <c r="G4470" t="str">
        <v>-</v>
      </c>
    </row>
    <row r="4471">
      <c r="A4471">
        <v>4470</v>
      </c>
      <c r="B4471">
        <f>HYPERLINK("https://vanyen.yenbai.gov.vn/to-chuc-bo-may/cac-xa-thi-tran/?UserKey=Xa-Na-Hau", "UBND Ủy ban nhân dân xã Nà Hẩu  tỉnh Yên Bái")</f>
      </c>
      <c r="C4471" t="str">
        <v>https://vanyen.yenbai.gov.vn/to-chuc-bo-may/cac-xa-thi-tran/?UserKey=Xa-Na-Hau</v>
      </c>
      <c r="D4471" t="str">
        <v>-</v>
      </c>
      <c r="E4471" t="str">
        <v>-</v>
      </c>
      <c r="F4471" t="str">
        <v>-</v>
      </c>
      <c r="G4471" t="str">
        <v>-</v>
      </c>
    </row>
    <row r="4472">
      <c r="A4472">
        <v>4471</v>
      </c>
      <c r="B4472" t="str">
        <v>Công an thị trấn Mù Căng Chải  tỉnh Yên Bái</v>
      </c>
      <c r="C4472" t="str">
        <v>-</v>
      </c>
      <c r="D4472" t="str">
        <v>-</v>
      </c>
      <c r="E4472" t="str">
        <v/>
      </c>
      <c r="F4472" t="str">
        <v>-</v>
      </c>
      <c r="G4472" t="str">
        <v>-</v>
      </c>
    </row>
    <row r="4473">
      <c r="A4473">
        <v>4472</v>
      </c>
      <c r="B4473">
        <f>HYPERLINK("https://mucangchai.yenbai.gov.vn/", "UBND Ủy ban nhân dân thị trấn Mù Căng Chải  tỉnh Yên Bái")</f>
      </c>
      <c r="C4473" t="str">
        <v>https://mucangchai.yenbai.gov.vn/</v>
      </c>
      <c r="D4473" t="str">
        <v>-</v>
      </c>
      <c r="E4473" t="str">
        <v>-</v>
      </c>
      <c r="F4473" t="str">
        <v>-</v>
      </c>
      <c r="G4473" t="str">
        <v>-</v>
      </c>
    </row>
    <row r="4474">
      <c r="A4474">
        <v>4473</v>
      </c>
      <c r="B4474" t="str">
        <v>Công an xã Hồ Bốn  tỉnh Yên Bái</v>
      </c>
      <c r="C4474" t="str">
        <v>-</v>
      </c>
      <c r="D4474" t="str">
        <v>-</v>
      </c>
      <c r="E4474" t="str">
        <v/>
      </c>
      <c r="F4474" t="str">
        <v>-</v>
      </c>
      <c r="G4474" t="str">
        <v>-</v>
      </c>
    </row>
    <row r="4475">
      <c r="A4475">
        <v>4474</v>
      </c>
      <c r="B4475">
        <f>HYPERLINK("https://mucangchai.yenbai.gov.vn/to-chuc-bo-may/cac-xa-thi-tran/?UserKey=XA-HO-BON", "UBND Ủy ban nhân dân xã Hồ Bốn  tỉnh Yên Bái")</f>
      </c>
      <c r="C4475" t="str">
        <v>https://mucangchai.yenbai.gov.vn/to-chuc-bo-may/cac-xa-thi-tran/?UserKey=XA-HO-BON</v>
      </c>
      <c r="D4475" t="str">
        <v>-</v>
      </c>
      <c r="E4475" t="str">
        <v>-</v>
      </c>
      <c r="F4475" t="str">
        <v>-</v>
      </c>
      <c r="G4475" t="str">
        <v>-</v>
      </c>
    </row>
    <row r="4476">
      <c r="A4476">
        <v>4475</v>
      </c>
      <c r="B4476" t="str">
        <v>Công an xã Nậm Có  tỉnh Yên Bái</v>
      </c>
      <c r="C4476" t="str">
        <v>-</v>
      </c>
      <c r="D4476" t="str">
        <v>-</v>
      </c>
      <c r="E4476" t="str">
        <v/>
      </c>
      <c r="F4476" t="str">
        <v>-</v>
      </c>
      <c r="G4476" t="str">
        <v>-</v>
      </c>
    </row>
    <row r="4477">
      <c r="A4477">
        <v>4476</v>
      </c>
      <c r="B4477">
        <f>HYPERLINK("https://www.yenbai.gov.vn/", "UBND Ủy ban nhân dân xã Nậm Có  tỉnh Yên Bái")</f>
      </c>
      <c r="C4477" t="str">
        <v>https://www.yenbai.gov.vn/</v>
      </c>
      <c r="D4477" t="str">
        <v>-</v>
      </c>
      <c r="E4477" t="str">
        <v>-</v>
      </c>
      <c r="F4477" t="str">
        <v>-</v>
      </c>
      <c r="G4477" t="str">
        <v>-</v>
      </c>
    </row>
    <row r="4478">
      <c r="A4478">
        <v>4477</v>
      </c>
      <c r="B4478" t="str">
        <v>Công an xã Khao Mang  tỉnh Yên Bái</v>
      </c>
      <c r="C4478" t="str">
        <v>-</v>
      </c>
      <c r="D4478" t="str">
        <v>-</v>
      </c>
      <c r="E4478" t="str">
        <v/>
      </c>
      <c r="F4478" t="str">
        <v>-</v>
      </c>
      <c r="G4478" t="str">
        <v>-</v>
      </c>
    </row>
    <row r="4479">
      <c r="A4479">
        <v>4478</v>
      </c>
      <c r="B4479">
        <f>HYPERLINK("https://vienkiemsatyenbai.gov.vn/truc-tiep-kiem-sat-cong-tac-thi-hanh-an-hinh-su-tai-ubnd-xa-che-tao-khao-mang-va-nam-khat/", "UBND Ủy ban nhân dân xã Khao Mang  tỉnh Yên Bái")</f>
      </c>
      <c r="C4479" t="str">
        <v>https://vienkiemsatyenbai.gov.vn/truc-tiep-kiem-sat-cong-tac-thi-hanh-an-hinh-su-tai-ubnd-xa-che-tao-khao-mang-va-nam-khat/</v>
      </c>
      <c r="D4479" t="str">
        <v>-</v>
      </c>
      <c r="E4479" t="str">
        <v>-</v>
      </c>
      <c r="F4479" t="str">
        <v>-</v>
      </c>
      <c r="G4479" t="str">
        <v>-</v>
      </c>
    </row>
    <row r="4480">
      <c r="A4480">
        <v>4479</v>
      </c>
      <c r="B4480" t="str">
        <v>Công an xã Mồ Dề  tỉnh Yên Bái</v>
      </c>
      <c r="C4480" t="str">
        <v>-</v>
      </c>
      <c r="D4480" t="str">
        <v>-</v>
      </c>
      <c r="E4480" t="str">
        <v/>
      </c>
      <c r="F4480" t="str">
        <v>-</v>
      </c>
      <c r="G4480" t="str">
        <v>-</v>
      </c>
    </row>
    <row r="4481">
      <c r="A4481">
        <v>4480</v>
      </c>
      <c r="B4481">
        <f>HYPERLINK("https://mucangchai.yenbai.gov.vn/news/du-lich-ruong-bac-thang/?UserKey=Mo-De-ra-mat-hop-tac-xa-Hang-Sung-va-san-pham-ho-tro-du-lich-xa-Mo-De-nam-2024", "UBND Ủy ban nhân dân xã Mồ Dề  tỉnh Yên Bái")</f>
      </c>
      <c r="C4481" t="str">
        <v>https://mucangchai.yenbai.gov.vn/news/du-lich-ruong-bac-thang/?UserKey=Mo-De-ra-mat-hop-tac-xa-Hang-Sung-va-san-pham-ho-tro-du-lich-xa-Mo-De-nam-2024</v>
      </c>
      <c r="D4481" t="str">
        <v>-</v>
      </c>
      <c r="E4481" t="str">
        <v>-</v>
      </c>
      <c r="F4481" t="str">
        <v>-</v>
      </c>
      <c r="G4481" t="str">
        <v>-</v>
      </c>
    </row>
    <row r="4482">
      <c r="A4482">
        <v>4481</v>
      </c>
      <c r="B4482" t="str">
        <v>Công an xã Chế Cu Nha  tỉnh Yên Bái</v>
      </c>
      <c r="C4482" t="str">
        <v>-</v>
      </c>
      <c r="D4482" t="str">
        <v>-</v>
      </c>
      <c r="E4482" t="str">
        <v/>
      </c>
      <c r="F4482" t="str">
        <v>-</v>
      </c>
      <c r="G4482" t="str">
        <v>-</v>
      </c>
    </row>
    <row r="4483">
      <c r="A4483">
        <v>4482</v>
      </c>
      <c r="B4483">
        <f>HYPERLINK("https://mucangchai.yenbai.gov.vn/tcbm/cac-xa-thi-tran/?UserKey=XA-CHE-CU-NHA", "UBND Ủy ban nhân dân xã Chế Cu Nha  tỉnh Yên Bái")</f>
      </c>
      <c r="C4483" t="str">
        <v>https://mucangchai.yenbai.gov.vn/tcbm/cac-xa-thi-tran/?UserKey=XA-CHE-CU-NHA</v>
      </c>
      <c r="D4483" t="str">
        <v>-</v>
      </c>
      <c r="E4483" t="str">
        <v>-</v>
      </c>
      <c r="F4483" t="str">
        <v>-</v>
      </c>
      <c r="G4483" t="str">
        <v>-</v>
      </c>
    </row>
    <row r="4484">
      <c r="A4484">
        <v>4483</v>
      </c>
      <c r="B4484" t="str">
        <v>Công an xã Lao Chải  tỉnh Yên Bái</v>
      </c>
      <c r="C4484" t="str">
        <v>-</v>
      </c>
      <c r="D4484" t="str">
        <v>-</v>
      </c>
      <c r="E4484" t="str">
        <v/>
      </c>
      <c r="F4484" t="str">
        <v>-</v>
      </c>
      <c r="G4484" t="str">
        <v>-</v>
      </c>
    </row>
    <row r="4485">
      <c r="A4485">
        <v>4484</v>
      </c>
      <c r="B4485">
        <f>HYPERLINK("https://bandantoc.yenbai.gov.vn/noidung/tintuc/Pages/chi-tiet-tin-tuc.aspx?ItemID=200&amp;l=Tinhoatdong&amp;lv=26", "UBND Ủy ban nhân dân xã Lao Chải  tỉnh Yên Bái")</f>
      </c>
      <c r="C4485" t="str">
        <v>https://bandantoc.yenbai.gov.vn/noidung/tintuc/Pages/chi-tiet-tin-tuc.aspx?ItemID=200&amp;l=Tinhoatdong&amp;lv=26</v>
      </c>
      <c r="D4485" t="str">
        <v>-</v>
      </c>
      <c r="E4485" t="str">
        <v>-</v>
      </c>
      <c r="F4485" t="str">
        <v>-</v>
      </c>
      <c r="G4485" t="str">
        <v>-</v>
      </c>
    </row>
    <row r="4486">
      <c r="A4486">
        <v>4485</v>
      </c>
      <c r="B4486" t="str">
        <v>Công an xã Kim Nọi  tỉnh Yên Bái</v>
      </c>
      <c r="C4486" t="str">
        <v>-</v>
      </c>
      <c r="D4486" t="str">
        <v>-</v>
      </c>
      <c r="E4486" t="str">
        <v/>
      </c>
      <c r="F4486" t="str">
        <v>-</v>
      </c>
      <c r="G4486" t="str">
        <v>-</v>
      </c>
    </row>
    <row r="4487">
      <c r="A4487">
        <v>4486</v>
      </c>
      <c r="B4487">
        <f>HYPERLINK("https://dichvucong.gov.vn/p/home/dvc-tthc-co-quan-chi-tiet.html?id=378816", "UBND Ủy ban nhân dân xã Kim Nọi  tỉnh Yên Bái")</f>
      </c>
      <c r="C4487" t="str">
        <v>https://dichvucong.gov.vn/p/home/dvc-tthc-co-quan-chi-tiet.html?id=378816</v>
      </c>
      <c r="D4487" t="str">
        <v>-</v>
      </c>
      <c r="E4487" t="str">
        <v>-</v>
      </c>
      <c r="F4487" t="str">
        <v>-</v>
      </c>
      <c r="G4487" t="str">
        <v>-</v>
      </c>
    </row>
    <row r="4488">
      <c r="A4488">
        <v>4487</v>
      </c>
      <c r="B4488" t="str">
        <v>Công an xã Cao Phạ  tỉnh Yên Bái</v>
      </c>
      <c r="C4488" t="str">
        <v>-</v>
      </c>
      <c r="D4488" t="str">
        <v>-</v>
      </c>
      <c r="E4488" t="str">
        <v/>
      </c>
      <c r="F4488" t="str">
        <v>-</v>
      </c>
      <c r="G4488" t="str">
        <v>-</v>
      </c>
    </row>
    <row r="4489">
      <c r="A4489">
        <v>4488</v>
      </c>
      <c r="B4489">
        <f>HYPERLINK("https://mucangchai.yenbai.gov.vn/tcbm/cac-xa-thi-tran/?UserKey=XA-CAO-PHA", "UBND Ủy ban nhân dân xã Cao Phạ  tỉnh Yên Bái")</f>
      </c>
      <c r="C4489" t="str">
        <v>https://mucangchai.yenbai.gov.vn/tcbm/cac-xa-thi-tran/?UserKey=XA-CAO-PHA</v>
      </c>
      <c r="D4489" t="str">
        <v>-</v>
      </c>
      <c r="E4489" t="str">
        <v>-</v>
      </c>
      <c r="F4489" t="str">
        <v>-</v>
      </c>
      <c r="G4489" t="str">
        <v>-</v>
      </c>
    </row>
    <row r="4490">
      <c r="A4490">
        <v>4489</v>
      </c>
      <c r="B4490" t="str">
        <v>Công an xã La Pán Tẩn  tỉnh Yên Bái</v>
      </c>
      <c r="C4490" t="str">
        <v>-</v>
      </c>
      <c r="D4490" t="str">
        <v>-</v>
      </c>
      <c r="E4490" t="str">
        <v/>
      </c>
      <c r="F4490" t="str">
        <v>-</v>
      </c>
      <c r="G4490" t="str">
        <v>-</v>
      </c>
    </row>
    <row r="4491">
      <c r="A4491">
        <v>4490</v>
      </c>
      <c r="B4491">
        <f>HYPERLINK("https://mucangchai.yenbai.gov.vn/news/tin-moi/?UserKey=Dong-chi-Duong-Van-Tien---Chu-tich-UBND-tinh-chuc-tet-nhan-dan-xa-La-Pan-Tan&amp;PageIndex=21", "UBND Ủy ban nhân dân xã La Pán Tẩn  tỉnh Yên Bái")</f>
      </c>
      <c r="C4491" t="str">
        <v>https://mucangchai.yenbai.gov.vn/news/tin-moi/?UserKey=Dong-chi-Duong-Van-Tien---Chu-tich-UBND-tinh-chuc-tet-nhan-dan-xa-La-Pan-Tan&amp;PageIndex=21</v>
      </c>
      <c r="D4491" t="str">
        <v>-</v>
      </c>
      <c r="E4491" t="str">
        <v>-</v>
      </c>
      <c r="F4491" t="str">
        <v>-</v>
      </c>
      <c r="G4491" t="str">
        <v>-</v>
      </c>
    </row>
    <row r="4492">
      <c r="A4492">
        <v>4491</v>
      </c>
      <c r="B4492" t="str">
        <v>Công an xã Dế Su Phình  tỉnh Yên Bái</v>
      </c>
      <c r="C4492" t="str">
        <v>-</v>
      </c>
      <c r="D4492" t="str">
        <v>-</v>
      </c>
      <c r="E4492" t="str">
        <v/>
      </c>
      <c r="F4492" t="str">
        <v>-</v>
      </c>
      <c r="G4492" t="str">
        <v>-</v>
      </c>
    </row>
    <row r="4493">
      <c r="A4493">
        <v>4492</v>
      </c>
      <c r="B4493">
        <f>HYPERLINK("https://mucangchai.yenbai.gov.vn/news/tin-moi/?UserKey=Ngan-hang-chinh-sach-xa-hoi-tinh-Yen-Bai-trao-xi-mang-gach-cho-nhan-dan-xa-De-Xu-Phinh&amp;PageIndex=36", "UBND Ủy ban nhân dân xã Dế Su Phình  tỉnh Yên Bái")</f>
      </c>
      <c r="C4493" t="str">
        <v>https://mucangchai.yenbai.gov.vn/news/tin-moi/?UserKey=Ngan-hang-chinh-sach-xa-hoi-tinh-Yen-Bai-trao-xi-mang-gach-cho-nhan-dan-xa-De-Xu-Phinh&amp;PageIndex=36</v>
      </c>
      <c r="D4493" t="str">
        <v>-</v>
      </c>
      <c r="E4493" t="str">
        <v>-</v>
      </c>
      <c r="F4493" t="str">
        <v>-</v>
      </c>
      <c r="G4493" t="str">
        <v>-</v>
      </c>
    </row>
    <row r="4494">
      <c r="A4494">
        <v>4493</v>
      </c>
      <c r="B4494">
        <f>HYPERLINK("https://www.facebook.com/p/Tu%E1%BB%95i-tr%E1%BA%BB-C%C3%B4ng-an-Ngh%C4%A9a-L%E1%BB%99-100081887170070/", "Công an xã Chế Tạo  tỉnh Yên Bái")</f>
      </c>
      <c r="C4494" t="str">
        <v>https://www.facebook.com/p/Tu%E1%BB%95i-tr%E1%BA%BB-C%C3%B4ng-an-Ngh%C4%A9a-L%E1%BB%99-100081887170070/</v>
      </c>
      <c r="D4494" t="str">
        <v>-</v>
      </c>
      <c r="E4494" t="str">
        <v/>
      </c>
      <c r="F4494" t="str">
        <v>-</v>
      </c>
      <c r="G4494" t="str">
        <v>-</v>
      </c>
    </row>
    <row r="4495">
      <c r="A4495">
        <v>4494</v>
      </c>
      <c r="B4495">
        <f>HYPERLINK("https://vienkiemsatyenbai.gov.vn/truc-tiep-kiem-sat-cong-tac-thi-hanh-an-hinh-su-tai-ubnd-xa-che-tao-khao-mang-va-nam-khat/", "UBND Ủy ban nhân dân xã Chế Tạo  tỉnh Yên Bái")</f>
      </c>
      <c r="C4495" t="str">
        <v>https://vienkiemsatyenbai.gov.vn/truc-tiep-kiem-sat-cong-tac-thi-hanh-an-hinh-su-tai-ubnd-xa-che-tao-khao-mang-va-nam-khat/</v>
      </c>
      <c r="D4495" t="str">
        <v>-</v>
      </c>
      <c r="E4495" t="str">
        <v>-</v>
      </c>
      <c r="F4495" t="str">
        <v>-</v>
      </c>
      <c r="G4495" t="str">
        <v>-</v>
      </c>
    </row>
    <row r="4496">
      <c r="A4496">
        <v>4495</v>
      </c>
      <c r="B4496" t="str">
        <v>Công an xã Púng Luông  tỉnh Yên Bái</v>
      </c>
      <c r="C4496" t="str">
        <v>-</v>
      </c>
      <c r="D4496" t="str">
        <v>-</v>
      </c>
      <c r="E4496" t="str">
        <v/>
      </c>
      <c r="F4496" t="str">
        <v>-</v>
      </c>
      <c r="G4496" t="str">
        <v>-</v>
      </c>
    </row>
    <row r="4497">
      <c r="A4497">
        <v>4496</v>
      </c>
      <c r="B4497">
        <f>HYPERLINK("https://www.yenbai.gov.vn/noidung/tintuc/Pages/chi-tiet-tin-tuc.aspx?ItemID=4600&amp;l=Chinhsachmoi", "UBND Ủy ban nhân dân xã Púng Luông  tỉnh Yên Bái")</f>
      </c>
      <c r="C4497" t="str">
        <v>https://www.yenbai.gov.vn/noidung/tintuc/Pages/chi-tiet-tin-tuc.aspx?ItemID=4600&amp;l=Chinhsachmoi</v>
      </c>
      <c r="D4497" t="str">
        <v>-</v>
      </c>
      <c r="E4497" t="str">
        <v>-</v>
      </c>
      <c r="F4497" t="str">
        <v>-</v>
      </c>
      <c r="G4497" t="str">
        <v>-</v>
      </c>
    </row>
    <row r="4498">
      <c r="A4498">
        <v>4497</v>
      </c>
      <c r="B4498" t="str">
        <v>Công an xã Nậm Khắt  tỉnh Yên Bái</v>
      </c>
      <c r="C4498" t="str">
        <v>-</v>
      </c>
      <c r="D4498" t="str">
        <v>-</v>
      </c>
      <c r="E4498" t="str">
        <v/>
      </c>
      <c r="F4498" t="str">
        <v>-</v>
      </c>
      <c r="G4498" t="str">
        <v>-</v>
      </c>
    </row>
    <row r="4499">
      <c r="A4499">
        <v>4498</v>
      </c>
      <c r="B4499">
        <f>HYPERLINK("https://mucangchai.yenbai.gov.vn/", "UBND Ủy ban nhân dân xã Nậm Khắt  tỉnh Yên Bái")</f>
      </c>
      <c r="C4499" t="str">
        <v>https://mucangchai.yenbai.gov.vn/</v>
      </c>
      <c r="D4499" t="str">
        <v>-</v>
      </c>
      <c r="E4499" t="str">
        <v>-</v>
      </c>
      <c r="F4499" t="str">
        <v>-</v>
      </c>
      <c r="G4499" t="str">
        <v>-</v>
      </c>
    </row>
    <row r="4500">
      <c r="A4500">
        <v>4499</v>
      </c>
      <c r="B4500">
        <f>HYPERLINK("https://www.facebook.com/ThiTranCoPhuc/", "Công an thị trấn Cổ Phúc  tỉnh Yên Bái")</f>
      </c>
      <c r="C4500" t="str">
        <v>https://www.facebook.com/ThiTranCoPhuc/</v>
      </c>
      <c r="D4500" t="str">
        <v>-</v>
      </c>
      <c r="E4500" t="str">
        <v/>
      </c>
      <c r="F4500" t="str">
        <v>-</v>
      </c>
      <c r="G4500" t="str">
        <v>-</v>
      </c>
    </row>
    <row r="4501">
      <c r="A4501">
        <v>4500</v>
      </c>
      <c r="B4501">
        <f>HYPERLINK("https://tranyen.yenbai.gov.vn/xa-thi-tran/thi-tran-co-phuc", "UBND Ủy ban nhân dân thị trấn Cổ Phúc  tỉnh Yên Bái")</f>
      </c>
      <c r="C4501" t="str">
        <v>https://tranyen.yenbai.gov.vn/xa-thi-tran/thi-tran-co-phuc</v>
      </c>
      <c r="D4501" t="str">
        <v>-</v>
      </c>
      <c r="E4501" t="str">
        <v>-</v>
      </c>
      <c r="F4501" t="str">
        <v>-</v>
      </c>
      <c r="G4501" t="str">
        <v>-</v>
      </c>
    </row>
    <row r="4502">
      <c r="A4502">
        <v>4501</v>
      </c>
      <c r="B4502">
        <f>HYPERLINK("https://www.facebook.com/p/Tu%E1%BB%95i-tr%E1%BA%BB-C%C3%B4ng-an-Ngh%C4%A9a-L%E1%BB%99-100081887170070/", "Công an xã Tân Đồng  tỉnh Yên Bái")</f>
      </c>
      <c r="C4502" t="str">
        <v>https://www.facebook.com/p/Tu%E1%BB%95i-tr%E1%BA%BB-C%C3%B4ng-an-Ngh%C4%A9a-L%E1%BB%99-100081887170070/</v>
      </c>
      <c r="D4502" t="str">
        <v>-</v>
      </c>
      <c r="E4502" t="str">
        <v/>
      </c>
      <c r="F4502" t="str">
        <v>-</v>
      </c>
      <c r="G4502" t="str">
        <v>-</v>
      </c>
    </row>
    <row r="4503">
      <c r="A4503">
        <v>4502</v>
      </c>
      <c r="B4503">
        <f>HYPERLINK("https://tranyen.yenbai.gov.vn/xa-thi-tran/xa-tan-dong", "UBND Ủy ban nhân dân xã Tân Đồng  tỉnh Yên Bái")</f>
      </c>
      <c r="C4503" t="str">
        <v>https://tranyen.yenbai.gov.vn/xa-thi-tran/xa-tan-dong</v>
      </c>
      <c r="D4503" t="str">
        <v>-</v>
      </c>
      <c r="E4503" t="str">
        <v>-</v>
      </c>
      <c r="F4503" t="str">
        <v>-</v>
      </c>
      <c r="G4503" t="str">
        <v>-</v>
      </c>
    </row>
    <row r="4504">
      <c r="A4504">
        <v>4503</v>
      </c>
      <c r="B4504">
        <f>HYPERLINK("https://www.facebook.com/p/C%C3%B4ng-an-X%C3%A3-B%C3%A1o-%C4%90%C3%A1p-100065562728189/", "Công an xã Báo Đáp  tỉnh Yên Bái")</f>
      </c>
      <c r="C4504" t="str">
        <v>https://www.facebook.com/p/C%C3%B4ng-an-X%C3%A3-B%C3%A1o-%C4%90%C3%A1p-100065562728189/</v>
      </c>
      <c r="D4504" t="str">
        <v>-</v>
      </c>
      <c r="E4504" t="str">
        <v/>
      </c>
      <c r="F4504" t="str">
        <v>-</v>
      </c>
      <c r="G4504" t="str">
        <v>-</v>
      </c>
    </row>
    <row r="4505">
      <c r="A4505">
        <v>4504</v>
      </c>
      <c r="B4505">
        <f>HYPERLINK("https://tranyen.yenbai.gov.vn/to-chuc-bo-may/cac-xa-thi-tran/?UserKey=XA-BAO-DAP", "UBND Ủy ban nhân dân xã Báo Đáp  tỉnh Yên Bái")</f>
      </c>
      <c r="C4505" t="str">
        <v>https://tranyen.yenbai.gov.vn/to-chuc-bo-may/cac-xa-thi-tran/?UserKey=XA-BAO-DAP</v>
      </c>
      <c r="D4505" t="str">
        <v>-</v>
      </c>
      <c r="E4505" t="str">
        <v>-</v>
      </c>
      <c r="F4505" t="str">
        <v>-</v>
      </c>
      <c r="G4505" t="str">
        <v>-</v>
      </c>
    </row>
    <row r="4506">
      <c r="A4506">
        <v>4505</v>
      </c>
      <c r="B4506" t="str">
        <v>Công an xã Đào Thịnh  tỉnh Yên Bái</v>
      </c>
      <c r="C4506" t="str">
        <v>-</v>
      </c>
      <c r="D4506" t="str">
        <v>-</v>
      </c>
      <c r="E4506" t="str">
        <v/>
      </c>
      <c r="F4506" t="str">
        <v>-</v>
      </c>
      <c r="G4506" t="str">
        <v>-</v>
      </c>
    </row>
    <row r="4507">
      <c r="A4507">
        <v>4506</v>
      </c>
      <c r="B4507">
        <f>HYPERLINK("https://tranyen.yenbai.gov.vn/xa-thi-tran/xa-dao-thinh", "UBND Ủy ban nhân dân xã Đào Thịnh  tỉnh Yên Bái")</f>
      </c>
      <c r="C4507" t="str">
        <v>https://tranyen.yenbai.gov.vn/xa-thi-tran/xa-dao-thinh</v>
      </c>
      <c r="D4507" t="str">
        <v>-</v>
      </c>
      <c r="E4507" t="str">
        <v>-</v>
      </c>
      <c r="F4507" t="str">
        <v>-</v>
      </c>
      <c r="G4507" t="str">
        <v>-</v>
      </c>
    </row>
    <row r="4508">
      <c r="A4508">
        <v>4507</v>
      </c>
      <c r="B4508">
        <f>HYPERLINK("https://www.facebook.com/p/C%C3%B4ng-an-x%C3%A3-Vi%E1%BB%87t-Th%C3%A0nh-Tr%E1%BA%A5n-Y%C3%AAn-Y%C3%AAn-B%C3%A1i-100066803736834/", "Công an xã Việt Thành  tỉnh Yên Bái")</f>
      </c>
      <c r="C4508" t="str">
        <v>https://www.facebook.com/p/C%C3%B4ng-an-x%C3%A3-Vi%E1%BB%87t-Th%C3%A0nh-Tr%E1%BA%A5n-Y%C3%AAn-Y%C3%AAn-B%C3%A1i-100066803736834/</v>
      </c>
      <c r="D4508" t="str">
        <v>-</v>
      </c>
      <c r="E4508" t="str">
        <v/>
      </c>
      <c r="F4508" t="str">
        <v>-</v>
      </c>
      <c r="G4508" t="str">
        <v>-</v>
      </c>
    </row>
    <row r="4509">
      <c r="A4509">
        <v>4508</v>
      </c>
      <c r="B4509">
        <f>HYPERLINK("https://tranyen.yenbai.gov.vn/xa-thi-tran/xa-viet-thanh", "UBND Ủy ban nhân dân xã Việt Thành  tỉnh Yên Bái")</f>
      </c>
      <c r="C4509" t="str">
        <v>https://tranyen.yenbai.gov.vn/xa-thi-tran/xa-viet-thanh</v>
      </c>
      <c r="D4509" t="str">
        <v>-</v>
      </c>
      <c r="E4509" t="str">
        <v>-</v>
      </c>
      <c r="F4509" t="str">
        <v>-</v>
      </c>
      <c r="G4509" t="str">
        <v>-</v>
      </c>
    </row>
    <row r="4510">
      <c r="A4510">
        <v>4509</v>
      </c>
      <c r="B4510" t="str">
        <v>Công an xã Hòa Cuông  tỉnh Yên Bái</v>
      </c>
      <c r="C4510" t="str">
        <v>-</v>
      </c>
      <c r="D4510" t="str">
        <v>-</v>
      </c>
      <c r="E4510" t="str">
        <v/>
      </c>
      <c r="F4510" t="str">
        <v>-</v>
      </c>
      <c r="G4510" t="str">
        <v>-</v>
      </c>
    </row>
    <row r="4511">
      <c r="A4511">
        <v>4510</v>
      </c>
      <c r="B4511">
        <f>HYPERLINK("https://tranyen.yenbai.gov.vn/xa-thi-tran/xa-hoa-cuong", "UBND Ủy ban nhân dân xã Hòa Cuông  tỉnh Yên Bái")</f>
      </c>
      <c r="C4511" t="str">
        <v>https://tranyen.yenbai.gov.vn/xa-thi-tran/xa-hoa-cuong</v>
      </c>
      <c r="D4511" t="str">
        <v>-</v>
      </c>
      <c r="E4511" t="str">
        <v>-</v>
      </c>
      <c r="F4511" t="str">
        <v>-</v>
      </c>
      <c r="G4511" t="str">
        <v>-</v>
      </c>
    </row>
    <row r="4512">
      <c r="A4512">
        <v>4511</v>
      </c>
      <c r="B4512" t="str">
        <v>Công an xã Minh Quán  tỉnh Yên Bái</v>
      </c>
      <c r="C4512" t="str">
        <v>-</v>
      </c>
      <c r="D4512" t="str">
        <v>-</v>
      </c>
      <c r="E4512" t="str">
        <v/>
      </c>
      <c r="F4512" t="str">
        <v>-</v>
      </c>
      <c r="G4512" t="str">
        <v>-</v>
      </c>
    </row>
    <row r="4513">
      <c r="A4513">
        <v>4512</v>
      </c>
      <c r="B4513">
        <f>HYPERLINK("https://tranyen.yenbai.gov.vn/xa-thi-tran/xa-minh-quan", "UBND Ủy ban nhân dân xã Minh Quán  tỉnh Yên Bái")</f>
      </c>
      <c r="C4513" t="str">
        <v>https://tranyen.yenbai.gov.vn/xa-thi-tran/xa-minh-quan</v>
      </c>
      <c r="D4513" t="str">
        <v>-</v>
      </c>
      <c r="E4513" t="str">
        <v>-</v>
      </c>
      <c r="F4513" t="str">
        <v>-</v>
      </c>
      <c r="G4513" t="str">
        <v>-</v>
      </c>
    </row>
    <row r="4514">
      <c r="A4514">
        <v>4513</v>
      </c>
      <c r="B4514">
        <f>HYPERLINK("https://www.facebook.com/ConganxaQuyMong/", "Công an xã Quy Mông  tỉnh Yên Bái")</f>
      </c>
      <c r="C4514" t="str">
        <v>https://www.facebook.com/ConganxaQuyMong/</v>
      </c>
      <c r="D4514" t="str">
        <v>-</v>
      </c>
      <c r="E4514" t="str">
        <v/>
      </c>
      <c r="F4514" t="str">
        <v>-</v>
      </c>
      <c r="G4514" t="str">
        <v>-</v>
      </c>
    </row>
    <row r="4515">
      <c r="A4515">
        <v>4514</v>
      </c>
      <c r="B4515">
        <f>HYPERLINK("https://tranyen.yenbai.gov.vn/xa-thi-tran/xa-quy-mong", "UBND Ủy ban nhân dân xã Quy Mông  tỉnh Yên Bái")</f>
      </c>
      <c r="C4515" t="str">
        <v>https://tranyen.yenbai.gov.vn/xa-thi-tran/xa-quy-mong</v>
      </c>
      <c r="D4515" t="str">
        <v>-</v>
      </c>
      <c r="E4515" t="str">
        <v>-</v>
      </c>
      <c r="F4515" t="str">
        <v>-</v>
      </c>
      <c r="G4515" t="str">
        <v>-</v>
      </c>
    </row>
    <row r="4516">
      <c r="A4516">
        <v>4515</v>
      </c>
      <c r="B4516">
        <f>HYPERLINK("https://www.facebook.com/100091337613785", "Công an xã Cường Thịnh  tỉnh Yên Bái")</f>
      </c>
      <c r="C4516" t="str">
        <v>https://www.facebook.com/100091337613785</v>
      </c>
      <c r="D4516" t="str">
        <v>-</v>
      </c>
      <c r="E4516" t="str">
        <v>0904014190</v>
      </c>
      <c r="F4516" t="str">
        <v>-</v>
      </c>
      <c r="G4516" t="str">
        <v>xã Cường Thịnh</v>
      </c>
    </row>
    <row r="4517">
      <c r="A4517">
        <v>4516</v>
      </c>
      <c r="B4517">
        <f>HYPERLINK("https://www.yenbai.gov.vn/noidung/tintuc/Pages/gioi-thieu-chi-tiet.aspx?ItemID=121&amp;l=Ditichcaptinh&amp;lv=4", "UBND Ủy ban nhân dân xã Cường Thịnh  tỉnh Yên Bái")</f>
      </c>
      <c r="C4517" t="str">
        <v>https://www.yenbai.gov.vn/noidung/tintuc/Pages/gioi-thieu-chi-tiet.aspx?ItemID=121&amp;l=Ditichcaptinh&amp;lv=4</v>
      </c>
      <c r="D4517" t="str">
        <v>-</v>
      </c>
      <c r="E4517" t="str">
        <v>-</v>
      </c>
      <c r="F4517" t="str">
        <v>-</v>
      </c>
      <c r="G4517" t="str">
        <v>-</v>
      </c>
    </row>
    <row r="4518">
      <c r="A4518">
        <v>4517</v>
      </c>
      <c r="B4518">
        <f>HYPERLINK("https://www.facebook.com/p/C%C3%B4ng-an-x%C3%A3-Ki%C3%AAn-Th%C3%A0nh-huy%E1%BB%87n-Tr%E1%BA%A5n-Y%C3%AAn-t%E1%BB%89nh-Y%C3%AAn-B%C3%A1i-100066736579930/", "Công an xã Kiên Thành  tỉnh Yên Bái")</f>
      </c>
      <c r="C4518" t="str">
        <v>https://www.facebook.com/p/C%C3%B4ng-an-x%C3%A3-Ki%C3%AAn-Th%C3%A0nh-huy%E1%BB%87n-Tr%E1%BA%A5n-Y%C3%AAn-t%E1%BB%89nh-Y%C3%AAn-B%C3%A1i-100066736579930/</v>
      </c>
      <c r="D4518" t="str">
        <v>-</v>
      </c>
      <c r="E4518" t="str">
        <v/>
      </c>
      <c r="F4518" t="str">
        <v>-</v>
      </c>
      <c r="G4518" t="str">
        <v>-</v>
      </c>
    </row>
    <row r="4519">
      <c r="A4519">
        <v>4518</v>
      </c>
      <c r="B4519">
        <f>HYPERLINK("https://tranyen.yenbai.gov.vn/xa-thi-tran/xa-kien-thanh", "UBND Ủy ban nhân dân xã Kiên Thành  tỉnh Yên Bái")</f>
      </c>
      <c r="C4519" t="str">
        <v>https://tranyen.yenbai.gov.vn/xa-thi-tran/xa-kien-thanh</v>
      </c>
      <c r="D4519" t="str">
        <v>-</v>
      </c>
      <c r="E4519" t="str">
        <v>-</v>
      </c>
      <c r="F4519" t="str">
        <v>-</v>
      </c>
      <c r="G4519" t="str">
        <v>-</v>
      </c>
    </row>
    <row r="4520">
      <c r="A4520">
        <v>4519</v>
      </c>
      <c r="B4520" t="str">
        <v>Công an xã Nga Quán  tỉnh Yên Bái</v>
      </c>
      <c r="C4520" t="str">
        <v>-</v>
      </c>
      <c r="D4520" t="str">
        <v>-</v>
      </c>
      <c r="E4520" t="str">
        <v/>
      </c>
      <c r="F4520" t="str">
        <v>-</v>
      </c>
      <c r="G4520" t="str">
        <v>-</v>
      </c>
    </row>
    <row r="4521">
      <c r="A4521">
        <v>4520</v>
      </c>
      <c r="B4521">
        <f>HYPERLINK("https://tranyen.yenbai.gov.vn/xa-thi-tran/xa-nga-quan", "UBND Ủy ban nhân dân xã Nga Quán  tỉnh Yên Bái")</f>
      </c>
      <c r="C4521" t="str">
        <v>https://tranyen.yenbai.gov.vn/xa-thi-tran/xa-nga-quan</v>
      </c>
      <c r="D4521" t="str">
        <v>-</v>
      </c>
      <c r="E4521" t="str">
        <v>-</v>
      </c>
      <c r="F4521" t="str">
        <v>-</v>
      </c>
      <c r="G4521" t="str">
        <v>-</v>
      </c>
    </row>
    <row r="4522">
      <c r="A4522">
        <v>4521</v>
      </c>
      <c r="B4522">
        <f>HYPERLINK("https://www.facebook.com/p/Tu%E1%BB%95i-tr%E1%BA%BB-C%C3%B4ng-an-Ngh%C4%A9a-L%E1%BB%99-100081887170070/", "Công an xã Y Can  tỉnh Yên Bái")</f>
      </c>
      <c r="C4522" t="str">
        <v>https://www.facebook.com/p/Tu%E1%BB%95i-tr%E1%BA%BB-C%C3%B4ng-an-Ngh%C4%A9a-L%E1%BB%99-100081887170070/</v>
      </c>
      <c r="D4522" t="str">
        <v>-</v>
      </c>
      <c r="E4522" t="str">
        <v/>
      </c>
      <c r="F4522" t="str">
        <v>-</v>
      </c>
      <c r="G4522" t="str">
        <v>-</v>
      </c>
    </row>
    <row r="4523">
      <c r="A4523">
        <v>4522</v>
      </c>
      <c r="B4523">
        <f>HYPERLINK("https://tranyen.yenbai.gov.vn/", "UBND Ủy ban nhân dân xã Y Can  tỉnh Yên Bái")</f>
      </c>
      <c r="C4523" t="str">
        <v>https://tranyen.yenbai.gov.vn/</v>
      </c>
      <c r="D4523" t="str">
        <v>-</v>
      </c>
      <c r="E4523" t="str">
        <v>-</v>
      </c>
      <c r="F4523" t="str">
        <v>-</v>
      </c>
      <c r="G4523" t="str">
        <v>-</v>
      </c>
    </row>
    <row r="4524">
      <c r="A4524">
        <v>4523</v>
      </c>
      <c r="B4524">
        <f>HYPERLINK("https://www.facebook.com/p/C%C3%B4ng-an-x%C3%A3-Minh-Ti%E1%BA%BFn-100066697088090/", "Công an xã Minh Tiến  tỉnh Yên Bái")</f>
      </c>
      <c r="C4524" t="str">
        <v>https://www.facebook.com/p/C%C3%B4ng-an-x%C3%A3-Minh-Ti%E1%BA%BFn-100066697088090/</v>
      </c>
      <c r="D4524" t="str">
        <v>-</v>
      </c>
      <c r="E4524" t="str">
        <v/>
      </c>
      <c r="F4524" t="str">
        <v>-</v>
      </c>
      <c r="G4524" t="str">
        <v>-</v>
      </c>
    </row>
    <row r="4525">
      <c r="A4525">
        <v>4524</v>
      </c>
      <c r="B4525">
        <f>HYPERLINK("https://www.yenbai.gov.vn/noidung/tintuc/Pages/gioi-thieu-chi-tiet.aspx?ItemID=112&amp;l=Ditichcaptinh&amp;lv=4", "UBND Ủy ban nhân dân xã Minh Tiến  tỉnh Yên Bái")</f>
      </c>
      <c r="C4525" t="str">
        <v>https://www.yenbai.gov.vn/noidung/tintuc/Pages/gioi-thieu-chi-tiet.aspx?ItemID=112&amp;l=Ditichcaptinh&amp;lv=4</v>
      </c>
      <c r="D4525" t="str">
        <v>-</v>
      </c>
      <c r="E4525" t="str">
        <v>-</v>
      </c>
      <c r="F4525" t="str">
        <v>-</v>
      </c>
      <c r="G4525" t="str">
        <v>-</v>
      </c>
    </row>
    <row r="4526">
      <c r="A4526">
        <v>4525</v>
      </c>
      <c r="B4526" t="str">
        <v>Công an xã Lương Thịnh  tỉnh Yên Bái</v>
      </c>
      <c r="C4526" t="str">
        <v>-</v>
      </c>
      <c r="D4526" t="str">
        <v>-</v>
      </c>
      <c r="E4526" t="str">
        <v/>
      </c>
      <c r="F4526" t="str">
        <v>-</v>
      </c>
      <c r="G4526" t="str">
        <v>-</v>
      </c>
    </row>
    <row r="4527">
      <c r="A4527">
        <v>4526</v>
      </c>
      <c r="B4527">
        <f>HYPERLINK("https://tranyen.yenbai.gov.vn/xa-thi-tran/xa-luong-thinh", "UBND Ủy ban nhân dân xã Lương Thịnh  tỉnh Yên Bái")</f>
      </c>
      <c r="C4527" t="str">
        <v>https://tranyen.yenbai.gov.vn/xa-thi-tran/xa-luong-thinh</v>
      </c>
      <c r="D4527" t="str">
        <v>-</v>
      </c>
      <c r="E4527" t="str">
        <v>-</v>
      </c>
      <c r="F4527" t="str">
        <v>-</v>
      </c>
      <c r="G4527" t="str">
        <v>-</v>
      </c>
    </row>
    <row r="4528">
      <c r="A4528">
        <v>4527</v>
      </c>
      <c r="B4528" t="str">
        <v>Công an xã Bảo Hưng  tỉnh Yên Bái</v>
      </c>
      <c r="C4528" t="str">
        <v>-</v>
      </c>
      <c r="D4528" t="str">
        <v>-</v>
      </c>
      <c r="E4528" t="str">
        <v/>
      </c>
      <c r="F4528" t="str">
        <v>-</v>
      </c>
      <c r="G4528" t="str">
        <v>-</v>
      </c>
    </row>
    <row r="4529">
      <c r="A4529">
        <v>4528</v>
      </c>
      <c r="B4529">
        <f>HYPERLINK("https://tranyen.yenbai.gov.vn/xa-thi-tran/xa-bao-hung", "UBND Ủy ban nhân dân xã Bảo Hưng  tỉnh Yên Bái")</f>
      </c>
      <c r="C4529" t="str">
        <v>https://tranyen.yenbai.gov.vn/xa-thi-tran/xa-bao-hung</v>
      </c>
      <c r="D4529" t="str">
        <v>-</v>
      </c>
      <c r="E4529" t="str">
        <v>-</v>
      </c>
      <c r="F4529" t="str">
        <v>-</v>
      </c>
      <c r="G4529" t="str">
        <v>-</v>
      </c>
    </row>
    <row r="4530">
      <c r="A4530">
        <v>4529</v>
      </c>
      <c r="B4530" t="str">
        <v>Công an xã Việt Cường  tỉnh Yên Bái</v>
      </c>
      <c r="C4530" t="str">
        <v>-</v>
      </c>
      <c r="D4530" t="str">
        <v>-</v>
      </c>
      <c r="E4530" t="str">
        <v/>
      </c>
      <c r="F4530" t="str">
        <v>-</v>
      </c>
      <c r="G4530" t="str">
        <v>-</v>
      </c>
    </row>
    <row r="4531">
      <c r="A4531">
        <v>4530</v>
      </c>
      <c r="B4531">
        <f>HYPERLINK("https://tranyen.yenbai.gov.vn/xa-thi-tran/xa-viet-cuong", "UBND Ủy ban nhân dân xã Việt Cường  tỉnh Yên Bái")</f>
      </c>
      <c r="C4531" t="str">
        <v>https://tranyen.yenbai.gov.vn/xa-thi-tran/xa-viet-cuong</v>
      </c>
      <c r="D4531" t="str">
        <v>-</v>
      </c>
      <c r="E4531" t="str">
        <v>-</v>
      </c>
      <c r="F4531" t="str">
        <v>-</v>
      </c>
      <c r="G4531" t="str">
        <v>-</v>
      </c>
    </row>
    <row r="4532">
      <c r="A4532">
        <v>4531</v>
      </c>
      <c r="B4532" t="str">
        <v>Công an xã Minh Quân  tỉnh Yên Bái</v>
      </c>
      <c r="C4532" t="str">
        <v>-</v>
      </c>
      <c r="D4532" t="str">
        <v>-</v>
      </c>
      <c r="E4532" t="str">
        <v/>
      </c>
      <c r="F4532" t="str">
        <v>-</v>
      </c>
      <c r="G4532" t="str">
        <v>-</v>
      </c>
    </row>
    <row r="4533">
      <c r="A4533">
        <v>4532</v>
      </c>
      <c r="B4533">
        <f>HYPERLINK("https://tranyen.yenbai.gov.vn/xa-thi-tran/ubnd-xa-minh-quan", "UBND Ủy ban nhân dân xã Minh Quân  tỉnh Yên Bái")</f>
      </c>
      <c r="C4533" t="str">
        <v>https://tranyen.yenbai.gov.vn/xa-thi-tran/ubnd-xa-minh-quan</v>
      </c>
      <c r="D4533" t="str">
        <v>-</v>
      </c>
      <c r="E4533" t="str">
        <v>-</v>
      </c>
      <c r="F4533" t="str">
        <v>-</v>
      </c>
      <c r="G4533" t="str">
        <v>-</v>
      </c>
    </row>
    <row r="4534">
      <c r="A4534">
        <v>4533</v>
      </c>
      <c r="B4534">
        <f>HYPERLINK("https://www.facebook.com/tuoitredongthap/", "Công an xã Hồng Ca  tỉnh Yên Bái")</f>
      </c>
      <c r="C4534" t="str">
        <v>https://www.facebook.com/tuoitredongthap/</v>
      </c>
      <c r="D4534" t="str">
        <v>-</v>
      </c>
      <c r="E4534" t="str">
        <v/>
      </c>
      <c r="F4534" t="str">
        <v>-</v>
      </c>
      <c r="G4534" t="str">
        <v>-</v>
      </c>
    </row>
    <row r="4535">
      <c r="A4535">
        <v>4534</v>
      </c>
      <c r="B4535">
        <f>HYPERLINK("https://tranyen.yenbai.gov.vn/xa-thi-tran/xa-hong-ca", "UBND Ủy ban nhân dân xã Hồng Ca  tỉnh Yên Bái")</f>
      </c>
      <c r="C4535" t="str">
        <v>https://tranyen.yenbai.gov.vn/xa-thi-tran/xa-hong-ca</v>
      </c>
      <c r="D4535" t="str">
        <v>-</v>
      </c>
      <c r="E4535" t="str">
        <v>-</v>
      </c>
      <c r="F4535" t="str">
        <v>-</v>
      </c>
      <c r="G4535" t="str">
        <v>-</v>
      </c>
    </row>
    <row r="4536">
      <c r="A4536">
        <v>4535</v>
      </c>
      <c r="B4536">
        <f>HYPERLINK("https://www.facebook.com/p/C%C3%B4ng-an-x%C3%A3-H%C6%B0ng-Th%E1%BB%8Bnh-huy%E1%BB%87n-Tr%E1%BA%A5n-Y%C3%AAn-t%E1%BB%89nh-Y%C3%AAn-B%C3%A1i-100065746200730/", "Công an xã Hưng Thịnh  tỉnh Yên Bái")</f>
      </c>
      <c r="C4536" t="str">
        <v>https://www.facebook.com/p/C%C3%B4ng-an-x%C3%A3-H%C6%B0ng-Th%E1%BB%8Bnh-huy%E1%BB%87n-Tr%E1%BA%A5n-Y%C3%AAn-t%E1%BB%89nh-Y%C3%AAn-B%C3%A1i-100065746200730/</v>
      </c>
      <c r="D4536" t="str">
        <v>-</v>
      </c>
      <c r="E4536" t="str">
        <v/>
      </c>
      <c r="F4536" t="str">
        <v>-</v>
      </c>
      <c r="G4536" t="str">
        <v>-</v>
      </c>
    </row>
    <row r="4537">
      <c r="A4537">
        <v>4536</v>
      </c>
      <c r="B4537">
        <f>HYPERLINK("https://tranyen.yenbai.gov.vn/to-chuc-bo-may/cac-xa-thi-tran/?UserKey=XA-HUNG-THINH", "UBND Ủy ban nhân dân xã Hưng Thịnh  tỉnh Yên Bái")</f>
      </c>
      <c r="C4537" t="str">
        <v>https://tranyen.yenbai.gov.vn/to-chuc-bo-may/cac-xa-thi-tran/?UserKey=XA-HUNG-THINH</v>
      </c>
      <c r="D4537" t="str">
        <v>-</v>
      </c>
      <c r="E4537" t="str">
        <v>-</v>
      </c>
      <c r="F4537" t="str">
        <v>-</v>
      </c>
      <c r="G4537" t="str">
        <v>-</v>
      </c>
    </row>
    <row r="4538">
      <c r="A4538">
        <v>4537</v>
      </c>
      <c r="B4538">
        <f>HYPERLINK("https://www.facebook.com/p/C%C3%B4ng-an-x%C3%A3-H%C6%B0ng-Kh%C3%A1nh-100081934204653/", "Công an xã Hưng Khánh  tỉnh Yên Bái")</f>
      </c>
      <c r="C4538" t="str">
        <v>https://www.facebook.com/p/C%C3%B4ng-an-x%C3%A3-H%C6%B0ng-Kh%C3%A1nh-100081934204653/</v>
      </c>
      <c r="D4538" t="str">
        <v>-</v>
      </c>
      <c r="E4538" t="str">
        <v/>
      </c>
      <c r="F4538" t="str">
        <v>-</v>
      </c>
      <c r="G4538" t="str">
        <v>-</v>
      </c>
    </row>
    <row r="4539">
      <c r="A4539">
        <v>4538</v>
      </c>
      <c r="B4539">
        <f>HYPERLINK("https://tranyen.yenbai.gov.vn/tin-moi-nhat/?UserKey=Tran-Yen-cong-bo-Quyet-dinh-cua-UBND-tinh-ve-cong-nhan-xa-Hung-Khanh-dat-xa-nong-thon-moi-", "UBND Ủy ban nhân dân xã Hưng Khánh  tỉnh Yên Bái")</f>
      </c>
      <c r="C4539" t="str">
        <v>https://tranyen.yenbai.gov.vn/tin-moi-nhat/?UserKey=Tran-Yen-cong-bo-Quyet-dinh-cua-UBND-tinh-ve-cong-nhan-xa-Hung-Khanh-dat-xa-nong-thon-moi-</v>
      </c>
      <c r="D4539" t="str">
        <v>-</v>
      </c>
      <c r="E4539" t="str">
        <v>-</v>
      </c>
      <c r="F4539" t="str">
        <v>-</v>
      </c>
      <c r="G4539" t="str">
        <v>-</v>
      </c>
    </row>
    <row r="4540">
      <c r="A4540">
        <v>4539</v>
      </c>
      <c r="B4540" t="str">
        <v>Công an xã Việt Hồng  tỉnh Yên Bái</v>
      </c>
      <c r="C4540" t="str">
        <v>-</v>
      </c>
      <c r="D4540" t="str">
        <v>-</v>
      </c>
      <c r="E4540" t="str">
        <v/>
      </c>
      <c r="F4540" t="str">
        <v>-</v>
      </c>
      <c r="G4540" t="str">
        <v>-</v>
      </c>
    </row>
    <row r="4541">
      <c r="A4541">
        <v>4540</v>
      </c>
      <c r="B4541">
        <f>HYPERLINK("https://tranyen.yenbai.gov.vn/to-chuc-bo-may/cac-xa-thi-tran/?UserKey=XA-VIET-HONG", "UBND Ủy ban nhân dân xã Việt Hồng  tỉnh Yên Bái")</f>
      </c>
      <c r="C4541" t="str">
        <v>https://tranyen.yenbai.gov.vn/to-chuc-bo-may/cac-xa-thi-tran/?UserKey=XA-VIET-HONG</v>
      </c>
      <c r="D4541" t="str">
        <v>-</v>
      </c>
      <c r="E4541" t="str">
        <v>-</v>
      </c>
      <c r="F4541" t="str">
        <v>-</v>
      </c>
      <c r="G4541" t="str">
        <v>-</v>
      </c>
    </row>
    <row r="4542">
      <c r="A4542">
        <v>4541</v>
      </c>
      <c r="B4542" t="str">
        <v>Công an xã Vân Hội  tỉnh Yên Bái</v>
      </c>
      <c r="C4542" t="str">
        <v>-</v>
      </c>
      <c r="D4542" t="str">
        <v>-</v>
      </c>
      <c r="E4542" t="str">
        <v/>
      </c>
      <c r="F4542" t="str">
        <v>-</v>
      </c>
      <c r="G4542" t="str">
        <v>-</v>
      </c>
    </row>
    <row r="4543">
      <c r="A4543">
        <v>4542</v>
      </c>
      <c r="B4543">
        <f>HYPERLINK("https://tranyen.yenbai.gov.vn/xa-thi-tran/xa-van-hoi", "UBND Ủy ban nhân dân xã Vân Hội  tỉnh Yên Bái")</f>
      </c>
      <c r="C4543" t="str">
        <v>https://tranyen.yenbai.gov.vn/xa-thi-tran/xa-van-hoi</v>
      </c>
      <c r="D4543" t="str">
        <v>-</v>
      </c>
      <c r="E4543" t="str">
        <v>-</v>
      </c>
      <c r="F4543" t="str">
        <v>-</v>
      </c>
      <c r="G4543" t="str">
        <v>-</v>
      </c>
    </row>
    <row r="4544">
      <c r="A4544">
        <v>4543</v>
      </c>
      <c r="B4544">
        <f>HYPERLINK("https://www.facebook.com/tramtau.ttdt/", "Công an thị trấn Trạm Tấu  tỉnh Yên Bái")</f>
      </c>
      <c r="C4544" t="str">
        <v>https://www.facebook.com/tramtau.ttdt/</v>
      </c>
      <c r="D4544" t="str">
        <v>-</v>
      </c>
      <c r="E4544" t="str">
        <v/>
      </c>
      <c r="F4544" t="str">
        <v>-</v>
      </c>
      <c r="G4544" t="str">
        <v>-</v>
      </c>
    </row>
    <row r="4545">
      <c r="A4545">
        <v>4544</v>
      </c>
      <c r="B4545">
        <f>HYPERLINK("https://tramtau.yenbai.gov.vn/to-chuc-bo-may/ubnd-huyen", "UBND Ủy ban nhân dân thị trấn Trạm Tấu  tỉnh Yên Bái")</f>
      </c>
      <c r="C4545" t="str">
        <v>https://tramtau.yenbai.gov.vn/to-chuc-bo-may/ubnd-huyen</v>
      </c>
      <c r="D4545" t="str">
        <v>-</v>
      </c>
      <c r="E4545" t="str">
        <v>-</v>
      </c>
      <c r="F4545" t="str">
        <v>-</v>
      </c>
      <c r="G4545" t="str">
        <v>-</v>
      </c>
    </row>
    <row r="4546">
      <c r="A4546">
        <v>4545</v>
      </c>
      <c r="B4546" t="str">
        <v>Công an xã Túc Đán  tỉnh Yên Bái</v>
      </c>
      <c r="C4546" t="str">
        <v>-</v>
      </c>
      <c r="D4546" t="str">
        <v>-</v>
      </c>
      <c r="E4546" t="str">
        <v/>
      </c>
      <c r="F4546" t="str">
        <v>-</v>
      </c>
      <c r="G4546" t="str">
        <v>-</v>
      </c>
    </row>
    <row r="4547">
      <c r="A4547">
        <v>4546</v>
      </c>
      <c r="B4547">
        <f>HYPERLINK("https://tramtau.yenbai.gov.vn/", "UBND Ủy ban nhân dân xã Túc Đán  tỉnh Yên Bái")</f>
      </c>
      <c r="C4547" t="str">
        <v>https://tramtau.yenbai.gov.vn/</v>
      </c>
      <c r="D4547" t="str">
        <v>-</v>
      </c>
      <c r="E4547" t="str">
        <v>-</v>
      </c>
      <c r="F4547" t="str">
        <v>-</v>
      </c>
      <c r="G4547" t="str">
        <v>-</v>
      </c>
    </row>
    <row r="4548">
      <c r="A4548">
        <v>4547</v>
      </c>
      <c r="B4548" t="str">
        <v>Công an xã Pá Lau  tỉnh Yên Bái</v>
      </c>
      <c r="C4548" t="str">
        <v>-</v>
      </c>
      <c r="D4548" t="str">
        <v>-</v>
      </c>
      <c r="E4548" t="str">
        <v/>
      </c>
      <c r="F4548" t="str">
        <v>-</v>
      </c>
      <c r="G4548" t="str">
        <v>-</v>
      </c>
    </row>
    <row r="4549">
      <c r="A4549">
        <v>4548</v>
      </c>
      <c r="B4549">
        <f>HYPERLINK("https://tramtau.yenbai.gov.vn/kinh-te-chinh-tri/?Userkey=Huyen-Tram-Tau-thong-bao-tuyen-dung-7-cong-chuc-cap-xa-nam-2024&amp;PageIndex=2", "UBND Ủy ban nhân dân xã Pá Lau  tỉnh Yên Bái")</f>
      </c>
      <c r="C4549" t="str">
        <v>https://tramtau.yenbai.gov.vn/kinh-te-chinh-tri/?Userkey=Huyen-Tram-Tau-thong-bao-tuyen-dung-7-cong-chuc-cap-xa-nam-2024&amp;PageIndex=2</v>
      </c>
      <c r="D4549" t="str">
        <v>-</v>
      </c>
      <c r="E4549" t="str">
        <v>-</v>
      </c>
      <c r="F4549" t="str">
        <v>-</v>
      </c>
      <c r="G4549" t="str">
        <v>-</v>
      </c>
    </row>
    <row r="4550">
      <c r="A4550">
        <v>4549</v>
      </c>
      <c r="B4550" t="str">
        <v>Công an xã Xà Hồ  tỉnh Yên Bái</v>
      </c>
      <c r="C4550" t="str">
        <v>-</v>
      </c>
      <c r="D4550" t="str">
        <v>-</v>
      </c>
      <c r="E4550" t="str">
        <v/>
      </c>
      <c r="F4550" t="str">
        <v>-</v>
      </c>
      <c r="G4550" t="str">
        <v>-</v>
      </c>
    </row>
    <row r="4551">
      <c r="A4551">
        <v>4550</v>
      </c>
      <c r="B4551">
        <f>HYPERLINK("https://tramtau.yenbai.gov.vn/", "UBND Ủy ban nhân dân xã Xà Hồ  tỉnh Yên Bái")</f>
      </c>
      <c r="C4551" t="str">
        <v>https://tramtau.yenbai.gov.vn/</v>
      </c>
      <c r="D4551" t="str">
        <v>-</v>
      </c>
      <c r="E4551" t="str">
        <v>-</v>
      </c>
      <c r="F4551" t="str">
        <v>-</v>
      </c>
      <c r="G4551" t="str">
        <v>-</v>
      </c>
    </row>
    <row r="4552">
      <c r="A4552">
        <v>4551</v>
      </c>
      <c r="B4552" t="str">
        <v>Công an xã Phình Hồ  tỉnh Yên Bái</v>
      </c>
      <c r="C4552" t="str">
        <v>-</v>
      </c>
      <c r="D4552" t="str">
        <v>-</v>
      </c>
      <c r="E4552" t="str">
        <v/>
      </c>
      <c r="F4552" t="str">
        <v>-</v>
      </c>
      <c r="G4552" t="str">
        <v>-</v>
      </c>
    </row>
    <row r="4553">
      <c r="A4553">
        <v>4552</v>
      </c>
      <c r="B4553">
        <f>HYPERLINK("https://tramtau.yenbai.gov.vn/tin-tuc-su-kien/?Userkey=Dong-chi-Nguyen-Van-Hai-Pho-Bi-thu-Dang-uy-Thi-tran-Tram-Tau-duoc-chi-dinh-giu-chuc-Bi-th", "UBND Ủy ban nhân dân xã Phình Hồ  tỉnh Yên Bái")</f>
      </c>
      <c r="C4553" t="str">
        <v>https://tramtau.yenbai.gov.vn/tin-tuc-su-kien/?Userkey=Dong-chi-Nguyen-Van-Hai-Pho-Bi-thu-Dang-uy-Thi-tran-Tram-Tau-duoc-chi-dinh-giu-chuc-Bi-th</v>
      </c>
      <c r="D4553" t="str">
        <v>-</v>
      </c>
      <c r="E4553" t="str">
        <v>-</v>
      </c>
      <c r="F4553" t="str">
        <v>-</v>
      </c>
      <c r="G4553" t="str">
        <v>-</v>
      </c>
    </row>
    <row r="4554">
      <c r="A4554">
        <v>4553</v>
      </c>
      <c r="B4554">
        <f>HYPERLINK("https://www.facebook.com/tramtau.ttdt/", "Công an xã Trạm Tấu  tỉnh Yên Bái")</f>
      </c>
      <c r="C4554" t="str">
        <v>https://www.facebook.com/tramtau.ttdt/</v>
      </c>
      <c r="D4554" t="str">
        <v>-</v>
      </c>
      <c r="E4554" t="str">
        <v/>
      </c>
      <c r="F4554" t="str">
        <v>-</v>
      </c>
      <c r="G4554" t="str">
        <v>-</v>
      </c>
    </row>
    <row r="4555">
      <c r="A4555">
        <v>4554</v>
      </c>
      <c r="B4555">
        <f>HYPERLINK("https://tramtau.yenbai.gov.vn/", "UBND Ủy ban nhân dân xã Trạm Tấu  tỉnh Yên Bái")</f>
      </c>
      <c r="C4555" t="str">
        <v>https://tramtau.yenbai.gov.vn/</v>
      </c>
      <c r="D4555" t="str">
        <v>-</v>
      </c>
      <c r="E4555" t="str">
        <v>-</v>
      </c>
      <c r="F4555" t="str">
        <v>-</v>
      </c>
      <c r="G4555" t="str">
        <v>-</v>
      </c>
    </row>
    <row r="4556">
      <c r="A4556">
        <v>4555</v>
      </c>
      <c r="B4556">
        <f>HYPERLINK("https://www.facebook.com/ken345543/", "Công an xã Tà Si Láng  tỉnh Yên Bái")</f>
      </c>
      <c r="C4556" t="str">
        <v>https://www.facebook.com/ken345543/</v>
      </c>
      <c r="D4556" t="str">
        <v>-</v>
      </c>
      <c r="E4556" t="str">
        <v/>
      </c>
      <c r="F4556" t="str">
        <v>-</v>
      </c>
      <c r="G4556" t="str">
        <v>-</v>
      </c>
    </row>
    <row r="4557">
      <c r="A4557">
        <v>4556</v>
      </c>
      <c r="B4557">
        <f>HYPERLINK("https://tramtau.yenbai.gov.vn/gioi-thieu-chung", "UBND Ủy ban nhân dân xã Tà Si Láng  tỉnh Yên Bái")</f>
      </c>
      <c r="C4557" t="str">
        <v>https://tramtau.yenbai.gov.vn/gioi-thieu-chung</v>
      </c>
      <c r="D4557" t="str">
        <v>-</v>
      </c>
      <c r="E4557" t="str">
        <v>-</v>
      </c>
      <c r="F4557" t="str">
        <v>-</v>
      </c>
      <c r="G4557" t="str">
        <v>-</v>
      </c>
    </row>
    <row r="4558">
      <c r="A4558">
        <v>4557</v>
      </c>
      <c r="B4558" t="str">
        <v>Công an xã Pá Hu  tỉnh Yên Bái</v>
      </c>
      <c r="C4558" t="str">
        <v>-</v>
      </c>
      <c r="D4558" t="str">
        <v>-</v>
      </c>
      <c r="E4558" t="str">
        <v/>
      </c>
      <c r="F4558" t="str">
        <v>-</v>
      </c>
      <c r="G4558" t="str">
        <v>-</v>
      </c>
    </row>
    <row r="4559">
      <c r="A4559">
        <v>4558</v>
      </c>
      <c r="B4559">
        <f>HYPERLINK("https://tramtau.yenbai.gov.vn/", "UBND Ủy ban nhân dân xã Pá Hu  tỉnh Yên Bái")</f>
      </c>
      <c r="C4559" t="str">
        <v>https://tramtau.yenbai.gov.vn/</v>
      </c>
      <c r="D4559" t="str">
        <v>-</v>
      </c>
      <c r="E4559" t="str">
        <v>-</v>
      </c>
      <c r="F4559" t="str">
        <v>-</v>
      </c>
      <c r="G4559" t="str">
        <v>-</v>
      </c>
    </row>
    <row r="4560">
      <c r="A4560">
        <v>4559</v>
      </c>
      <c r="B4560">
        <f>HYPERLINK("https://www.facebook.com/people/C%C3%B4ng-An-x%C3%A3-L%C3%A0ng-Nh%C3%AC-huy%E1%BB%87n-Tr%E1%BA%A1m-T%E1%BA%A5u-t%E1%BB%89nh-Y%C3%AAn-B%C3%A1i/100081421203771/", "Công an xã Làng Nhì  tỉnh Yên Bái")</f>
      </c>
      <c r="C4560" t="str">
        <v>https://www.facebook.com/people/C%C3%B4ng-An-x%C3%A3-L%C3%A0ng-Nh%C3%AC-huy%E1%BB%87n-Tr%E1%BA%A1m-T%E1%BA%A5u-t%E1%BB%89nh-Y%C3%AAn-B%C3%A1i/100081421203771/</v>
      </c>
      <c r="D4560" t="str">
        <v>-</v>
      </c>
      <c r="E4560" t="str">
        <v/>
      </c>
      <c r="F4560" t="str">
        <v>-</v>
      </c>
      <c r="G4560" t="str">
        <v>-</v>
      </c>
    </row>
    <row r="4561">
      <c r="A4561">
        <v>4560</v>
      </c>
      <c r="B4561">
        <f>HYPERLINK("https://yenbai.gov.vn/noidung/tintuc/Pages/chi-tiet-tin-tuc.aspx?ItemID=25435&amp;l=Tintrongtinh%3Futm_source=ditatompel.com&amp;lv=5", "UBND Ủy ban nhân dân xã Làng Nhì  tỉnh Yên Bái")</f>
      </c>
      <c r="C4561" t="str">
        <v>https://yenbai.gov.vn/noidung/tintuc/Pages/chi-tiet-tin-tuc.aspx?ItemID=25435&amp;l=Tintrongtinh%3Futm_source=ditatompel.com&amp;lv=5</v>
      </c>
      <c r="D4561" t="str">
        <v>-</v>
      </c>
      <c r="E4561" t="str">
        <v>-</v>
      </c>
      <c r="F4561" t="str">
        <v>-</v>
      </c>
      <c r="G4561" t="str">
        <v>-</v>
      </c>
    </row>
    <row r="4562">
      <c r="A4562">
        <v>4561</v>
      </c>
      <c r="B4562" t="str">
        <v>Công an xã Bản Công  tỉnh Yên Bái</v>
      </c>
      <c r="C4562" t="str">
        <v>-</v>
      </c>
      <c r="D4562" t="str">
        <v>-</v>
      </c>
      <c r="E4562" t="str">
        <v/>
      </c>
      <c r="F4562" t="str">
        <v>-</v>
      </c>
      <c r="G4562" t="str">
        <v>-</v>
      </c>
    </row>
    <row r="4563">
      <c r="A4563">
        <v>4562</v>
      </c>
      <c r="B4563">
        <f>HYPERLINK("https://thanhtra.yenbai.gov.vn/noidung/vanban/Pages/van-ban-dieu-hanh.aspx?ItemID=968", "UBND Ủy ban nhân dân xã Bản Công  tỉnh Yên Bái")</f>
      </c>
      <c r="C4563" t="str">
        <v>https://thanhtra.yenbai.gov.vn/noidung/vanban/Pages/van-ban-dieu-hanh.aspx?ItemID=968</v>
      </c>
      <c r="D4563" t="str">
        <v>-</v>
      </c>
      <c r="E4563" t="str">
        <v>-</v>
      </c>
      <c r="F4563" t="str">
        <v>-</v>
      </c>
      <c r="G4563" t="str">
        <v>-</v>
      </c>
    </row>
    <row r="4564">
      <c r="A4564">
        <v>4563</v>
      </c>
      <c r="B4564">
        <f>HYPERLINK("https://www.facebook.com/p/C%C3%B4ng-an-x%C3%A3-B%E1%BA%A3n-M%C3%B9-huy%E1%BB%87n-Tr%E1%BA%A1m-T%E1%BA%A5u-t%E1%BB%89nh-Y%C3%AAn-B%C3%A1i-100068447268560/", "Công an xã Bản Mù  tỉnh Yên Bái")</f>
      </c>
      <c r="C4564" t="str">
        <v>https://www.facebook.com/p/C%C3%B4ng-an-x%C3%A3-B%E1%BA%A3n-M%C3%B9-huy%E1%BB%87n-Tr%E1%BA%A1m-T%E1%BA%A5u-t%E1%BB%89nh-Y%C3%AAn-B%C3%A1i-100068447268560/</v>
      </c>
      <c r="D4564" t="str">
        <v>-</v>
      </c>
      <c r="E4564" t="str">
        <v/>
      </c>
      <c r="F4564" t="str">
        <v>-</v>
      </c>
      <c r="G4564" t="str">
        <v>-</v>
      </c>
    </row>
    <row r="4565">
      <c r="A4565">
        <v>4564</v>
      </c>
      <c r="B4565">
        <f>HYPERLINK("https://www.yenbai.gov.vn/noidung/tintuc/Pages/chi-tiet-tin-tuc.aspx?ItemID=95&amp;l=Ditichcaptinh&amp;lv=11", "UBND Ủy ban nhân dân xã Bản Mù  tỉnh Yên Bái")</f>
      </c>
      <c r="C4565" t="str">
        <v>https://www.yenbai.gov.vn/noidung/tintuc/Pages/chi-tiet-tin-tuc.aspx?ItemID=95&amp;l=Ditichcaptinh&amp;lv=11</v>
      </c>
      <c r="D4565" t="str">
        <v>-</v>
      </c>
      <c r="E4565" t="str">
        <v>-</v>
      </c>
      <c r="F4565" t="str">
        <v>-</v>
      </c>
      <c r="G4565" t="str">
        <v>-</v>
      </c>
    </row>
    <row r="4566">
      <c r="A4566">
        <v>4565</v>
      </c>
      <c r="B4566" t="str">
        <v>Công an xã Hát Lìu  tỉnh Yên Bái</v>
      </c>
      <c r="C4566" t="str">
        <v>-</v>
      </c>
      <c r="D4566" t="str">
        <v>-</v>
      </c>
      <c r="E4566" t="str">
        <v/>
      </c>
      <c r="F4566" t="str">
        <v>-</v>
      </c>
      <c r="G4566" t="str">
        <v>-</v>
      </c>
    </row>
    <row r="4567">
      <c r="A4567">
        <v>4566</v>
      </c>
      <c r="B4567">
        <f>HYPERLINK("https://www.yenbai.gov.vn/noidung/tintuc/Pages/chi-tiet-tin-tuc.aspx?ItemID=95&amp;l=Ditichcaptinh&amp;lv=11", "UBND Ủy ban nhân dân xã Hát Lìu  tỉnh Yên Bái")</f>
      </c>
      <c r="C4567" t="str">
        <v>https://www.yenbai.gov.vn/noidung/tintuc/Pages/chi-tiet-tin-tuc.aspx?ItemID=95&amp;l=Ditichcaptinh&amp;lv=11</v>
      </c>
      <c r="D4567" t="str">
        <v>-</v>
      </c>
      <c r="E4567" t="str">
        <v>-</v>
      </c>
      <c r="F4567" t="str">
        <v>-</v>
      </c>
      <c r="G4567" t="str">
        <v>-</v>
      </c>
    </row>
    <row r="4568">
      <c r="A4568">
        <v>4567</v>
      </c>
      <c r="B4568">
        <f>HYPERLINK("https://www.facebook.com/p/Tu%E1%BB%95i-tr%E1%BA%BB-C%C3%B4ng-an-Ngh%C4%A9a-L%E1%BB%99-100081887170070/", "Công an thị trấn NT Liên Sơn  tỉnh Yên Bái")</f>
      </c>
      <c r="C4568" t="str">
        <v>https://www.facebook.com/p/Tu%E1%BB%95i-tr%E1%BA%BB-C%C3%B4ng-an-Ngh%C4%A9a-L%E1%BB%99-100081887170070/</v>
      </c>
      <c r="D4568" t="str">
        <v>-</v>
      </c>
      <c r="E4568" t="str">
        <v/>
      </c>
      <c r="F4568" t="str">
        <v>-</v>
      </c>
      <c r="G4568" t="str">
        <v>-</v>
      </c>
    </row>
    <row r="4569">
      <c r="A4569">
        <v>4568</v>
      </c>
      <c r="B4569">
        <f>HYPERLINK("https://vanchan.yenbai.gov.vn/cac-xa-thi-tran/thi-tran-lien-son", "UBND Ủy ban nhân dân thị trấn NT Liên Sơn  tỉnh Yên Bái")</f>
      </c>
      <c r="C4569" t="str">
        <v>https://vanchan.yenbai.gov.vn/cac-xa-thi-tran/thi-tran-lien-son</v>
      </c>
      <c r="D4569" t="str">
        <v>-</v>
      </c>
      <c r="E4569" t="str">
        <v>-</v>
      </c>
      <c r="F4569" t="str">
        <v>-</v>
      </c>
      <c r="G4569" t="str">
        <v>-</v>
      </c>
    </row>
    <row r="4570">
      <c r="A4570">
        <v>4569</v>
      </c>
      <c r="B4570" t="str">
        <v>Công an thị trấn NT Nghĩa Lộ  tỉnh Yên Bái</v>
      </c>
      <c r="C4570" t="str">
        <v>-</v>
      </c>
      <c r="D4570" t="str">
        <v>-</v>
      </c>
      <c r="E4570" t="str">
        <v/>
      </c>
      <c r="F4570" t="str">
        <v>-</v>
      </c>
      <c r="G4570" t="str">
        <v>-</v>
      </c>
    </row>
    <row r="4571">
      <c r="A4571">
        <v>4570</v>
      </c>
      <c r="B4571">
        <f>HYPERLINK("https://nghialo.yenbai.gov.vn/", "UBND Ủy ban nhân dân thị trấn NT Nghĩa Lộ  tỉnh Yên Bái")</f>
      </c>
      <c r="C4571" t="str">
        <v>https://nghialo.yenbai.gov.vn/</v>
      </c>
      <c r="D4571" t="str">
        <v>-</v>
      </c>
      <c r="E4571" t="str">
        <v>-</v>
      </c>
      <c r="F4571" t="str">
        <v>-</v>
      </c>
      <c r="G4571" t="str">
        <v>-</v>
      </c>
    </row>
    <row r="4572">
      <c r="A4572">
        <v>4571</v>
      </c>
      <c r="B4572">
        <f>HYPERLINK("https://www.facebook.com/p/Tr%C6%B0%E1%BB%9Dng-M%E1%BA%A7m-non-Tr%E1%BA%A7n-Ph%C3%BA-huy%E1%BB%87n-V%C4%83n-Ch%E1%BA%A5n-t%E1%BB%89nh-Y%C3%AAn-B%C3%A1i-100063967868330/", "Công an thị trấn NT Trần Phú  tỉnh Yên Bái")</f>
      </c>
      <c r="C4572" t="str">
        <v>https://www.facebook.com/p/Tr%C6%B0%E1%BB%9Dng-M%E1%BA%A7m-non-Tr%E1%BA%A7n-Ph%C3%BA-huy%E1%BB%87n-V%C4%83n-Ch%E1%BA%A5n-t%E1%BB%89nh-Y%C3%AAn-B%C3%A1i-100063967868330/</v>
      </c>
      <c r="D4572" t="str">
        <v>-</v>
      </c>
      <c r="E4572" t="str">
        <v/>
      </c>
      <c r="F4572" t="str">
        <v>-</v>
      </c>
      <c r="G4572" t="str">
        <v>-</v>
      </c>
    </row>
    <row r="4573">
      <c r="A4573">
        <v>4572</v>
      </c>
      <c r="B4573">
        <f>HYPERLINK("https://vanchan.yenbai.gov.vn/cac-xa-thi-tran/thi-tran-tran-phu", "UBND Ủy ban nhân dân thị trấn NT Trần Phú  tỉnh Yên Bái")</f>
      </c>
      <c r="C4573" t="str">
        <v>https://vanchan.yenbai.gov.vn/cac-xa-thi-tran/thi-tran-tran-phu</v>
      </c>
      <c r="D4573" t="str">
        <v>-</v>
      </c>
      <c r="E4573" t="str">
        <v>-</v>
      </c>
      <c r="F4573" t="str">
        <v>-</v>
      </c>
      <c r="G4573" t="str">
        <v>-</v>
      </c>
    </row>
    <row r="4574">
      <c r="A4574">
        <v>4573</v>
      </c>
      <c r="B4574">
        <f>HYPERLINK("https://www.facebook.com/p/C%C3%B4ng-An-X%C3%A3-T%C3%BA-L%E1%BB%87-100069240818382/", "Công an xã Tú Lệ  tỉnh Yên Bái")</f>
      </c>
      <c r="C4574" t="str">
        <v>https://www.facebook.com/p/C%C3%B4ng-An-X%C3%A3-T%C3%BA-L%E1%BB%87-100069240818382/</v>
      </c>
      <c r="D4574" t="str">
        <v>-</v>
      </c>
      <c r="E4574" t="str">
        <v/>
      </c>
      <c r="F4574" t="str">
        <v>-</v>
      </c>
      <c r="G4574" t="str">
        <v>-</v>
      </c>
    </row>
    <row r="4575">
      <c r="A4575">
        <v>4574</v>
      </c>
      <c r="B4575">
        <f>HYPERLINK("http://tule.yenbai.gov.vn/", "UBND Ủy ban nhân dân xã Tú Lệ  tỉnh Yên Bái")</f>
      </c>
      <c r="C4575" t="str">
        <v>http://tule.yenbai.gov.vn/</v>
      </c>
      <c r="D4575" t="str">
        <v>-</v>
      </c>
      <c r="E4575" t="str">
        <v>-</v>
      </c>
      <c r="F4575" t="str">
        <v>-</v>
      </c>
      <c r="G4575" t="str">
        <v>-</v>
      </c>
    </row>
    <row r="4576">
      <c r="A4576">
        <v>4575</v>
      </c>
      <c r="B4576" t="str">
        <v>Công an xã Nậm Búng  tỉnh Yên Bái</v>
      </c>
      <c r="C4576" t="str">
        <v>-</v>
      </c>
      <c r="D4576" t="str">
        <v>-</v>
      </c>
      <c r="E4576" t="str">
        <v/>
      </c>
      <c r="F4576" t="str">
        <v>-</v>
      </c>
      <c r="G4576" t="str">
        <v>-</v>
      </c>
    </row>
    <row r="4577">
      <c r="A4577">
        <v>4576</v>
      </c>
      <c r="B4577">
        <f>HYPERLINK("https://yenbai.gov.vn/noidung/vanban/Pages/van-ban-dieu-hanh.aspx?ItemID=4425", "UBND Ủy ban nhân dân xã Nậm Búng  tỉnh Yên Bái")</f>
      </c>
      <c r="C4577" t="str">
        <v>https://yenbai.gov.vn/noidung/vanban/Pages/van-ban-dieu-hanh.aspx?ItemID=4425</v>
      </c>
      <c r="D4577" t="str">
        <v>-</v>
      </c>
      <c r="E4577" t="str">
        <v>-</v>
      </c>
      <c r="F4577" t="str">
        <v>-</v>
      </c>
      <c r="G4577" t="str">
        <v>-</v>
      </c>
    </row>
    <row r="4578">
      <c r="A4578">
        <v>4577</v>
      </c>
      <c r="B4578">
        <f>HYPERLINK("https://www.facebook.com/conganxagiahoi/", "Công an xã Gia Hội  tỉnh Yên Bái")</f>
      </c>
      <c r="C4578" t="str">
        <v>https://www.facebook.com/conganxagiahoi/</v>
      </c>
      <c r="D4578" t="str">
        <v>-</v>
      </c>
      <c r="E4578" t="str">
        <v/>
      </c>
      <c r="F4578" t="str">
        <v>-</v>
      </c>
      <c r="G4578" t="str">
        <v>-</v>
      </c>
    </row>
    <row r="4579">
      <c r="A4579">
        <v>4578</v>
      </c>
      <c r="B4579">
        <f>HYPERLINK("https://giahoi.vanchan.yenbai.gov.vn/", "UBND Ủy ban nhân dân xã Gia Hội  tỉnh Yên Bái")</f>
      </c>
      <c r="C4579" t="str">
        <v>https://giahoi.vanchan.yenbai.gov.vn/</v>
      </c>
      <c r="D4579" t="str">
        <v>-</v>
      </c>
      <c r="E4579" t="str">
        <v>-</v>
      </c>
      <c r="F4579" t="str">
        <v>-</v>
      </c>
      <c r="G4579" t="str">
        <v>-</v>
      </c>
    </row>
    <row r="4580">
      <c r="A4580">
        <v>4579</v>
      </c>
      <c r="B4580" t="str">
        <v>Công an xã Sùng Đô  tỉnh Yên Bái</v>
      </c>
      <c r="C4580" t="str">
        <v>-</v>
      </c>
      <c r="D4580" t="str">
        <v>-</v>
      </c>
      <c r="E4580" t="str">
        <v/>
      </c>
      <c r="F4580" t="str">
        <v>-</v>
      </c>
      <c r="G4580" t="str">
        <v>-</v>
      </c>
    </row>
    <row r="4581">
      <c r="A4581">
        <v>4580</v>
      </c>
      <c r="B4581">
        <f>HYPERLINK("https://vanchan.yenbai.gov.vn/cac-xa-thi-tran/xa-sung-do", "UBND Ủy ban nhân dân xã Sùng Đô  tỉnh Yên Bái")</f>
      </c>
      <c r="C4581" t="str">
        <v>https://vanchan.yenbai.gov.vn/cac-xa-thi-tran/xa-sung-do</v>
      </c>
      <c r="D4581" t="str">
        <v>-</v>
      </c>
      <c r="E4581" t="str">
        <v>-</v>
      </c>
      <c r="F4581" t="str">
        <v>-</v>
      </c>
      <c r="G4581" t="str">
        <v>-</v>
      </c>
    </row>
    <row r="4582">
      <c r="A4582">
        <v>4581</v>
      </c>
      <c r="B4582" t="str">
        <v>Công an xã Nậm Mười  tỉnh Yên Bái</v>
      </c>
      <c r="C4582" t="str">
        <v>-</v>
      </c>
      <c r="D4582" t="str">
        <v>-</v>
      </c>
      <c r="E4582" t="str">
        <v/>
      </c>
      <c r="F4582" t="str">
        <v>-</v>
      </c>
      <c r="G4582" t="str">
        <v>-</v>
      </c>
    </row>
    <row r="4583">
      <c r="A4583">
        <v>4582</v>
      </c>
      <c r="B4583">
        <f>HYPERLINK("https://vanchan.yenbai.gov.vn/cac-xa-thi-tran/xa-nam-muoi", "UBND Ủy ban nhân dân xã Nậm Mười  tỉnh Yên Bái")</f>
      </c>
      <c r="C4583" t="str">
        <v>https://vanchan.yenbai.gov.vn/cac-xa-thi-tran/xa-nam-muoi</v>
      </c>
      <c r="D4583" t="str">
        <v>-</v>
      </c>
      <c r="E4583" t="str">
        <v>-</v>
      </c>
      <c r="F4583" t="str">
        <v>-</v>
      </c>
      <c r="G4583" t="str">
        <v>-</v>
      </c>
    </row>
    <row r="4584">
      <c r="A4584">
        <v>4583</v>
      </c>
      <c r="B4584">
        <f>HYPERLINK("https://www.facebook.com/p/Tu%E1%BB%95i-tr%E1%BA%BB-C%C3%B4ng-an-Ngh%C4%A9a-L%E1%BB%99-100081887170070/", "Công an xã An Lương  tỉnh Yên Bái")</f>
      </c>
      <c r="C4584" t="str">
        <v>https://www.facebook.com/p/Tu%E1%BB%95i-tr%E1%BA%BB-C%C3%B4ng-an-Ngh%C4%A9a-L%E1%BB%99-100081887170070/</v>
      </c>
      <c r="D4584" t="str">
        <v>-</v>
      </c>
      <c r="E4584" t="str">
        <v/>
      </c>
      <c r="F4584" t="str">
        <v>-</v>
      </c>
      <c r="G4584" t="str">
        <v>-</v>
      </c>
    </row>
    <row r="4585">
      <c r="A4585">
        <v>4584</v>
      </c>
      <c r="B4585">
        <f>HYPERLINK("https://vanchan.yenbai.gov.vn/cac-xa-thi-tran/xa-an-luong", "UBND Ủy ban nhân dân xã An Lương  tỉnh Yên Bái")</f>
      </c>
      <c r="C4585" t="str">
        <v>https://vanchan.yenbai.gov.vn/cac-xa-thi-tran/xa-an-luong</v>
      </c>
      <c r="D4585" t="str">
        <v>-</v>
      </c>
      <c r="E4585" t="str">
        <v>-</v>
      </c>
      <c r="F4585" t="str">
        <v>-</v>
      </c>
      <c r="G4585" t="str">
        <v>-</v>
      </c>
    </row>
    <row r="4586">
      <c r="A4586">
        <v>4585</v>
      </c>
      <c r="B4586" t="str">
        <v>Công an xã Nậm Lành  tỉnh Yên Bái</v>
      </c>
      <c r="C4586" t="str">
        <v>-</v>
      </c>
      <c r="D4586" t="str">
        <v>-</v>
      </c>
      <c r="E4586" t="str">
        <v/>
      </c>
      <c r="F4586" t="str">
        <v>-</v>
      </c>
      <c r="G4586" t="str">
        <v>-</v>
      </c>
    </row>
    <row r="4587">
      <c r="A4587">
        <v>4586</v>
      </c>
      <c r="B4587">
        <f>HYPERLINK("https://vanchan.yenbai.gov.vn/cac-xa-thi-tran/xa-nam-lanh", "UBND Ủy ban nhân dân xã Nậm Lành  tỉnh Yên Bái")</f>
      </c>
      <c r="C4587" t="str">
        <v>https://vanchan.yenbai.gov.vn/cac-xa-thi-tran/xa-nam-lanh</v>
      </c>
      <c r="D4587" t="str">
        <v>-</v>
      </c>
      <c r="E4587" t="str">
        <v>-</v>
      </c>
      <c r="F4587" t="str">
        <v>-</v>
      </c>
      <c r="G4587" t="str">
        <v>-</v>
      </c>
    </row>
    <row r="4588">
      <c r="A4588">
        <v>4587</v>
      </c>
      <c r="B4588">
        <f>HYPERLINK("https://www.facebook.com/p/Tu%E1%BB%95i-tr%E1%BA%BB-C%C3%B4ng-an-th%E1%BB%8B-x%C3%A3-S%C6%A1n-T%C3%A2y-100040884909606/", "Công an xã Sơn Lương  tỉnh Yên Bái")</f>
      </c>
      <c r="C4588" t="str">
        <v>https://www.facebook.com/p/Tu%E1%BB%95i-tr%E1%BA%BB-C%C3%B4ng-an-th%E1%BB%8B-x%C3%A3-S%C6%A1n-T%C3%A2y-100040884909606/</v>
      </c>
      <c r="D4588" t="str">
        <v>-</v>
      </c>
      <c r="E4588" t="str">
        <v/>
      </c>
      <c r="F4588" t="str">
        <v>-</v>
      </c>
      <c r="G4588" t="str">
        <v>-</v>
      </c>
    </row>
    <row r="4589">
      <c r="A4589">
        <v>4588</v>
      </c>
      <c r="B4589">
        <f>HYPERLINK("https://www.yenbai.gov.vn/noidung/tintuc/Pages/chi-tiet-tin-tuc.aspx?ItemID=27329&amp;l=Tintrongtinh&amp;lv=5", "UBND Ủy ban nhân dân xã Sơn Lương  tỉnh Yên Bái")</f>
      </c>
      <c r="C4589" t="str">
        <v>https://www.yenbai.gov.vn/noidung/tintuc/Pages/chi-tiet-tin-tuc.aspx?ItemID=27329&amp;l=Tintrongtinh&amp;lv=5</v>
      </c>
      <c r="D4589" t="str">
        <v>-</v>
      </c>
      <c r="E4589" t="str">
        <v>-</v>
      </c>
      <c r="F4589" t="str">
        <v>-</v>
      </c>
      <c r="G4589" t="str">
        <v>-</v>
      </c>
    </row>
    <row r="4590">
      <c r="A4590">
        <v>4589</v>
      </c>
      <c r="B4590">
        <f>HYPERLINK("https://www.facebook.com/p/C%C3%B4ng-an-x%C3%A3-Su%E1%BB%91i-Quy%E1%BB%81n-100065127745728/", "Công an xã Suối Quyền  tỉnh Yên Bái")</f>
      </c>
      <c r="C4590" t="str">
        <v>https://www.facebook.com/p/C%C3%B4ng-an-x%C3%A3-Su%E1%BB%91i-Quy%E1%BB%81n-100065127745728/</v>
      </c>
      <c r="D4590" t="str">
        <v>-</v>
      </c>
      <c r="E4590" t="str">
        <v/>
      </c>
      <c r="F4590" t="str">
        <v>-</v>
      </c>
      <c r="G4590" t="str">
        <v>-</v>
      </c>
    </row>
    <row r="4591">
      <c r="A4591">
        <v>4590</v>
      </c>
      <c r="B4591">
        <f>HYPERLINK("https://vanchan.yenbai.gov.vn/cac-xa-thi-tran/xa-suoi-quyen", "UBND Ủy ban nhân dân xã Suối Quyền  tỉnh Yên Bái")</f>
      </c>
      <c r="C4591" t="str">
        <v>https://vanchan.yenbai.gov.vn/cac-xa-thi-tran/xa-suoi-quyen</v>
      </c>
      <c r="D4591" t="str">
        <v>-</v>
      </c>
      <c r="E4591" t="str">
        <v>-</v>
      </c>
      <c r="F4591" t="str">
        <v>-</v>
      </c>
      <c r="G4591" t="str">
        <v>-</v>
      </c>
    </row>
    <row r="4592">
      <c r="A4592">
        <v>4591</v>
      </c>
      <c r="B4592" t="str">
        <v>Công an xã Suối Giàng  tỉnh Yên Bái</v>
      </c>
      <c r="C4592" t="str">
        <v>-</v>
      </c>
      <c r="D4592" t="str">
        <v>-</v>
      </c>
      <c r="E4592" t="str">
        <v/>
      </c>
      <c r="F4592" t="str">
        <v>-</v>
      </c>
      <c r="G4592" t="str">
        <v>-</v>
      </c>
    </row>
    <row r="4593">
      <c r="A4593">
        <v>4592</v>
      </c>
      <c r="B4593">
        <f>HYPERLINK("https://vanchan.yenbai.gov.vn/cac-xa-thi-tran/xa-suoi-giang", "UBND Ủy ban nhân dân xã Suối Giàng  tỉnh Yên Bái")</f>
      </c>
      <c r="C4593" t="str">
        <v>https://vanchan.yenbai.gov.vn/cac-xa-thi-tran/xa-suoi-giang</v>
      </c>
      <c r="D4593" t="str">
        <v>-</v>
      </c>
      <c r="E4593" t="str">
        <v>-</v>
      </c>
      <c r="F4593" t="str">
        <v>-</v>
      </c>
      <c r="G4593" t="str">
        <v>-</v>
      </c>
    </row>
    <row r="4594">
      <c r="A4594">
        <v>4593</v>
      </c>
      <c r="B4594">
        <f>HYPERLINK("https://www.facebook.com/p/Tu%E1%BB%95i-tr%E1%BA%BB-C%C3%B4ng-an-th%E1%BB%8B-x%C3%A3-S%C6%A1n-T%C3%A2y-100040884909606/", "Công an xã Sơn A  tỉnh Yên Bái")</f>
      </c>
      <c r="C4594" t="str">
        <v>https://www.facebook.com/p/Tu%E1%BB%95i-tr%E1%BA%BB-C%C3%B4ng-an-th%E1%BB%8B-x%C3%A3-S%C6%A1n-T%C3%A2y-100040884909606/</v>
      </c>
      <c r="D4594" t="str">
        <v>-</v>
      </c>
      <c r="E4594" t="str">
        <v/>
      </c>
      <c r="F4594" t="str">
        <v>-</v>
      </c>
      <c r="G4594" t="str">
        <v>-</v>
      </c>
    </row>
    <row r="4595">
      <c r="A4595">
        <v>4594</v>
      </c>
      <c r="B4595">
        <f>HYPERLINK("https://nghialo.yenbai.gov.vn/xa-phuong/xa-son-a", "UBND Ủy ban nhân dân xã Sơn A  tỉnh Yên Bái")</f>
      </c>
      <c r="C4595" t="str">
        <v>https://nghialo.yenbai.gov.vn/xa-phuong/xa-son-a</v>
      </c>
      <c r="D4595" t="str">
        <v>-</v>
      </c>
      <c r="E4595" t="str">
        <v>-</v>
      </c>
      <c r="F4595" t="str">
        <v>-</v>
      </c>
      <c r="G4595" t="str">
        <v>-</v>
      </c>
    </row>
    <row r="4596">
      <c r="A4596">
        <v>4595</v>
      </c>
      <c r="B4596">
        <f>HYPERLINK("https://www.facebook.com/p/Tu%E1%BB%95i-tr%E1%BA%BB-C%C3%B4ng-an-Ngh%C4%A9a-L%E1%BB%99-100081887170070/", "Công an xã Phù Nham  tỉnh Yên Bái")</f>
      </c>
      <c r="C4596" t="str">
        <v>https://www.facebook.com/p/Tu%E1%BB%95i-tr%E1%BA%BB-C%C3%B4ng-an-Ngh%C4%A9a-L%E1%BB%99-100081887170070/</v>
      </c>
      <c r="D4596" t="str">
        <v>-</v>
      </c>
      <c r="E4596" t="str">
        <v/>
      </c>
      <c r="F4596" t="str">
        <v>-</v>
      </c>
      <c r="G4596" t="str">
        <v>-</v>
      </c>
    </row>
    <row r="4597">
      <c r="A4597">
        <v>4596</v>
      </c>
      <c r="B4597">
        <f>HYPERLINK("https://nghialo.yenbai.gov.vn/xa-phuong/xa-phu-nham", "UBND Ủy ban nhân dân xã Phù Nham  tỉnh Yên Bái")</f>
      </c>
      <c r="C4597" t="str">
        <v>https://nghialo.yenbai.gov.vn/xa-phuong/xa-phu-nham</v>
      </c>
      <c r="D4597" t="str">
        <v>-</v>
      </c>
      <c r="E4597" t="str">
        <v>-</v>
      </c>
      <c r="F4597" t="str">
        <v>-</v>
      </c>
      <c r="G4597" t="str">
        <v>-</v>
      </c>
    </row>
    <row r="4598">
      <c r="A4598">
        <v>4597</v>
      </c>
      <c r="B4598">
        <f>HYPERLINK("https://www.facebook.com/p/Tu%E1%BB%95i-tr%E1%BA%BB-C%C3%B4ng-an-Ngh%C4%A9a-L%E1%BB%99-100081887170070/", "Công an xã Nghĩa Sơn  tỉnh Yên Bái")</f>
      </c>
      <c r="C4598" t="str">
        <v>https://www.facebook.com/p/Tu%E1%BB%95i-tr%E1%BA%BB-C%C3%B4ng-an-Ngh%C4%A9a-L%E1%BB%99-100081887170070/</v>
      </c>
      <c r="D4598" t="str">
        <v>-</v>
      </c>
      <c r="E4598" t="str">
        <v/>
      </c>
      <c r="F4598" t="str">
        <v>-</v>
      </c>
      <c r="G4598" t="str">
        <v>-</v>
      </c>
    </row>
    <row r="4599">
      <c r="A4599">
        <v>4598</v>
      </c>
      <c r="B4599">
        <f>HYPERLINK("https://nghialo.yenbai.gov.vn/", "UBND Ủy ban nhân dân xã Nghĩa Sơn  tỉnh Yên Bái")</f>
      </c>
      <c r="C4599" t="str">
        <v>https://nghialo.yenbai.gov.vn/</v>
      </c>
      <c r="D4599" t="str">
        <v>-</v>
      </c>
      <c r="E4599" t="str">
        <v>-</v>
      </c>
      <c r="F4599" t="str">
        <v>-</v>
      </c>
      <c r="G4599" t="str">
        <v>-</v>
      </c>
    </row>
    <row r="4600">
      <c r="A4600">
        <v>4599</v>
      </c>
      <c r="B4600" t="str">
        <v>Công an xã Suối Bu  tỉnh Yên Bái</v>
      </c>
      <c r="C4600" t="str">
        <v>-</v>
      </c>
      <c r="D4600" t="str">
        <v>-</v>
      </c>
      <c r="E4600" t="str">
        <v/>
      </c>
      <c r="F4600" t="str">
        <v>-</v>
      </c>
      <c r="G4600" t="str">
        <v>-</v>
      </c>
    </row>
    <row r="4601">
      <c r="A4601">
        <v>4600</v>
      </c>
      <c r="B4601">
        <f>HYPERLINK("https://vanchan.yenbai.gov.vn/cac-xa-thi-tran/Xa-Suoi-Bu", "UBND Ủy ban nhân dân xã Suối Bu  tỉnh Yên Bái")</f>
      </c>
      <c r="C4601" t="str">
        <v>https://vanchan.yenbai.gov.vn/cac-xa-thi-tran/Xa-Suoi-Bu</v>
      </c>
      <c r="D4601" t="str">
        <v>-</v>
      </c>
      <c r="E4601" t="str">
        <v>-</v>
      </c>
      <c r="F4601" t="str">
        <v>-</v>
      </c>
      <c r="G4601" t="str">
        <v>-</v>
      </c>
    </row>
    <row r="4602">
      <c r="A4602">
        <v>4601</v>
      </c>
      <c r="B4602">
        <f>HYPERLINK("https://www.facebook.com/p/Tu%E1%BB%95i-tr%E1%BA%BB-C%C3%B4ng-an-Ngh%C4%A9a-L%E1%BB%99-100081887170070/", "Công an xã Sơn Thịnh  tỉnh Yên Bái")</f>
      </c>
      <c r="C4602" t="str">
        <v>https://www.facebook.com/p/Tu%E1%BB%95i-tr%E1%BA%BB-C%C3%B4ng-an-Ngh%C4%A9a-L%E1%BB%99-100081887170070/</v>
      </c>
      <c r="D4602" t="str">
        <v>-</v>
      </c>
      <c r="E4602" t="str">
        <v/>
      </c>
      <c r="F4602" t="str">
        <v>-</v>
      </c>
      <c r="G4602" t="str">
        <v>-</v>
      </c>
    </row>
    <row r="4603">
      <c r="A4603">
        <v>4602</v>
      </c>
      <c r="B4603">
        <f>HYPERLINK("https://vanchan.yenbai.gov.vn/cac-xa-thi-tran/xa-son-thinh", "UBND Ủy ban nhân dân xã Sơn Thịnh  tỉnh Yên Bái")</f>
      </c>
      <c r="C4603" t="str">
        <v>https://vanchan.yenbai.gov.vn/cac-xa-thi-tran/xa-son-thinh</v>
      </c>
      <c r="D4603" t="str">
        <v>-</v>
      </c>
      <c r="E4603" t="str">
        <v>-</v>
      </c>
      <c r="F4603" t="str">
        <v>-</v>
      </c>
      <c r="G4603" t="str">
        <v>-</v>
      </c>
    </row>
    <row r="4604">
      <c r="A4604">
        <v>4603</v>
      </c>
      <c r="B4604">
        <f>HYPERLINK("https://www.facebook.com/p/Tu%E1%BB%95i-tr%E1%BA%BB-C%C3%B4ng-an-Ngh%C4%A9a-L%E1%BB%99-100081887170070/", "Công an xã Thanh Lương  tỉnh Yên Bái")</f>
      </c>
      <c r="C4604" t="str">
        <v>https://www.facebook.com/p/Tu%E1%BB%95i-tr%E1%BA%BB-C%C3%B4ng-an-Ngh%C4%A9a-L%E1%BB%99-100081887170070/</v>
      </c>
      <c r="D4604" t="str">
        <v>-</v>
      </c>
      <c r="E4604" t="str">
        <v/>
      </c>
      <c r="F4604" t="str">
        <v>-</v>
      </c>
      <c r="G4604" t="str">
        <v>-</v>
      </c>
    </row>
    <row r="4605">
      <c r="A4605">
        <v>4604</v>
      </c>
      <c r="B4605">
        <f>HYPERLINK("https://nghialo.yenbai.gov.vn/xa-phuong/xa-thanh-luong", "UBND Ủy ban nhân dân xã Thanh Lương  tỉnh Yên Bái")</f>
      </c>
      <c r="C4605" t="str">
        <v>https://nghialo.yenbai.gov.vn/xa-phuong/xa-thanh-luong</v>
      </c>
      <c r="D4605" t="str">
        <v>-</v>
      </c>
      <c r="E4605" t="str">
        <v>-</v>
      </c>
      <c r="F4605" t="str">
        <v>-</v>
      </c>
      <c r="G4605" t="str">
        <v>-</v>
      </c>
    </row>
    <row r="4606">
      <c r="A4606">
        <v>4605</v>
      </c>
      <c r="B4606">
        <f>HYPERLINK("https://www.facebook.com/p/Tu%E1%BB%95i-tr%E1%BA%BB-C%C3%B4ng-an-Ngh%C4%A9a-L%E1%BB%99-100081887170070/", "Công an xã Hạnh Sơn  tỉnh Yên Bái")</f>
      </c>
      <c r="C4606" t="str">
        <v>https://www.facebook.com/p/Tu%E1%BB%95i-tr%E1%BA%BB-C%C3%B4ng-an-Ngh%C4%A9a-L%E1%BB%99-100081887170070/</v>
      </c>
      <c r="D4606" t="str">
        <v>-</v>
      </c>
      <c r="E4606" t="str">
        <v/>
      </c>
      <c r="F4606" t="str">
        <v>-</v>
      </c>
      <c r="G4606" t="str">
        <v>-</v>
      </c>
    </row>
    <row r="4607">
      <c r="A4607">
        <v>4606</v>
      </c>
      <c r="B4607">
        <f>HYPERLINK("https://nghialo.yenbai.gov.vn/xa-phuong/xa-hanh-son", "UBND Ủy ban nhân dân xã Hạnh Sơn  tỉnh Yên Bái")</f>
      </c>
      <c r="C4607" t="str">
        <v>https://nghialo.yenbai.gov.vn/xa-phuong/xa-hanh-son</v>
      </c>
      <c r="D4607" t="str">
        <v>-</v>
      </c>
      <c r="E4607" t="str">
        <v>-</v>
      </c>
      <c r="F4607" t="str">
        <v>-</v>
      </c>
      <c r="G4607" t="str">
        <v>-</v>
      </c>
    </row>
    <row r="4608">
      <c r="A4608">
        <v>4607</v>
      </c>
      <c r="B4608">
        <f>HYPERLINK("https://www.facebook.com/p/Tu%E1%BB%95i-tr%E1%BA%BB-C%C3%B4ng-an-Ngh%C4%A9a-L%E1%BB%99-100081887170070/", "Công an xã Phúc Sơn  tỉnh Yên Bái")</f>
      </c>
      <c r="C4608" t="str">
        <v>https://www.facebook.com/p/Tu%E1%BB%95i-tr%E1%BA%BB-C%C3%B4ng-an-Ngh%C4%A9a-L%E1%BB%99-100081887170070/</v>
      </c>
      <c r="D4608" t="str">
        <v>-</v>
      </c>
      <c r="E4608" t="str">
        <v/>
      </c>
      <c r="F4608" t="str">
        <v>-</v>
      </c>
      <c r="G4608" t="str">
        <v>-</v>
      </c>
    </row>
    <row r="4609">
      <c r="A4609">
        <v>4608</v>
      </c>
      <c r="B4609">
        <f>HYPERLINK("https://phucson-tanyen.bacgiang.gov.vn/", "UBND Ủy ban nhân dân xã Phúc Sơn  tỉnh Yên Bái")</f>
      </c>
      <c r="C4609" t="str">
        <v>https://phucson-tanyen.bacgiang.gov.vn/</v>
      </c>
      <c r="D4609" t="str">
        <v>-</v>
      </c>
      <c r="E4609" t="str">
        <v>-</v>
      </c>
      <c r="F4609" t="str">
        <v>-</v>
      </c>
      <c r="G4609" t="str">
        <v>-</v>
      </c>
    </row>
    <row r="4610">
      <c r="A4610">
        <v>4609</v>
      </c>
      <c r="B4610">
        <f>HYPERLINK("https://www.facebook.com/p/Tu%E1%BB%95i-tr%E1%BA%BB-C%C3%B4ng-an-Ngh%C4%A9a-L%E1%BB%99-100081887170070/", "Công an xã Thạch Lương  tỉnh Yên Bái")</f>
      </c>
      <c r="C4610" t="str">
        <v>https://www.facebook.com/p/Tu%E1%BB%95i-tr%E1%BA%BB-C%C3%B4ng-an-Ngh%C4%A9a-L%E1%BB%99-100081887170070/</v>
      </c>
      <c r="D4610" t="str">
        <v>-</v>
      </c>
      <c r="E4610" t="str">
        <v/>
      </c>
      <c r="F4610" t="str">
        <v>-</v>
      </c>
      <c r="G4610" t="str">
        <v>-</v>
      </c>
    </row>
    <row r="4611">
      <c r="A4611">
        <v>4610</v>
      </c>
      <c r="B4611">
        <f>HYPERLINK("https://nghialo.yenbai.gov.vn/xa-phuong/xa-thach-luong", "UBND Ủy ban nhân dân xã Thạch Lương  tỉnh Yên Bái")</f>
      </c>
      <c r="C4611" t="str">
        <v>https://nghialo.yenbai.gov.vn/xa-phuong/xa-thach-luong</v>
      </c>
      <c r="D4611" t="str">
        <v>-</v>
      </c>
      <c r="E4611" t="str">
        <v>-</v>
      </c>
      <c r="F4611" t="str">
        <v>-</v>
      </c>
      <c r="G4611" t="str">
        <v>-</v>
      </c>
    </row>
    <row r="4612">
      <c r="A4612">
        <v>4611</v>
      </c>
      <c r="B4612">
        <f>HYPERLINK("https://www.facebook.com/p/Tu%E1%BB%95i-tr%E1%BA%BB-C%C3%B4ng-an-Ngh%C4%A9a-L%E1%BB%99-100081887170070/", "Công an xã Đại Lịch  tỉnh Yên Bái")</f>
      </c>
      <c r="C4612" t="str">
        <v>https://www.facebook.com/p/Tu%E1%BB%95i-tr%E1%BA%BB-C%C3%B4ng-an-Ngh%C4%A9a-L%E1%BB%99-100081887170070/</v>
      </c>
      <c r="D4612" t="str">
        <v>-</v>
      </c>
      <c r="E4612" t="str">
        <v/>
      </c>
      <c r="F4612" t="str">
        <v>-</v>
      </c>
      <c r="G4612" t="str">
        <v>-</v>
      </c>
    </row>
    <row r="4613">
      <c r="A4613">
        <v>4612</v>
      </c>
      <c r="B4613">
        <f>HYPERLINK("https://www.yenbai.gov.vn/noidung/tintuc/Pages/gioi-thieu-chi-tiet.aspx?ItemID=115&amp;l=Ditichcaptinh&amp;lv=4", "UBND Ủy ban nhân dân xã Đại Lịch  tỉnh Yên Bái")</f>
      </c>
      <c r="C4613" t="str">
        <v>https://www.yenbai.gov.vn/noidung/tintuc/Pages/gioi-thieu-chi-tiet.aspx?ItemID=115&amp;l=Ditichcaptinh&amp;lv=4</v>
      </c>
      <c r="D4613" t="str">
        <v>-</v>
      </c>
      <c r="E4613" t="str">
        <v>-</v>
      </c>
      <c r="F4613" t="str">
        <v>-</v>
      </c>
      <c r="G4613" t="str">
        <v>-</v>
      </c>
    </row>
    <row r="4614">
      <c r="A4614">
        <v>4613</v>
      </c>
      <c r="B4614" t="str">
        <v>Công an xã Đồng Khê  tỉnh Yên Bái</v>
      </c>
      <c r="C4614" t="str">
        <v>-</v>
      </c>
      <c r="D4614" t="str">
        <v>-</v>
      </c>
      <c r="E4614" t="str">
        <v/>
      </c>
      <c r="F4614" t="str">
        <v>-</v>
      </c>
      <c r="G4614" t="str">
        <v>-</v>
      </c>
    </row>
    <row r="4615">
      <c r="A4615">
        <v>4614</v>
      </c>
      <c r="B4615">
        <f>HYPERLINK("https://vanchan.yenbai.gov.vn/cac-xa-thi-tran/xa-dong-khe", "UBND Ủy ban nhân dân xã Đồng Khê  tỉnh Yên Bái")</f>
      </c>
      <c r="C4615" t="str">
        <v>https://vanchan.yenbai.gov.vn/cac-xa-thi-tran/xa-dong-khe</v>
      </c>
      <c r="D4615" t="str">
        <v>-</v>
      </c>
      <c r="E4615" t="str">
        <v>-</v>
      </c>
      <c r="F4615" t="str">
        <v>-</v>
      </c>
      <c r="G4615" t="str">
        <v>-</v>
      </c>
    </row>
    <row r="4616">
      <c r="A4616">
        <v>4615</v>
      </c>
      <c r="B4616">
        <f>HYPERLINK("https://www.facebook.com/p/C%C3%B4ng-an-x%C3%A3-C%C3%A1t-Th%E1%BB%8Bnh-100063712560146/", "Công an xã Cát Thịnh  tỉnh Yên Bái")</f>
      </c>
      <c r="C4616" t="str">
        <v>https://www.facebook.com/p/C%C3%B4ng-an-x%C3%A3-C%C3%A1t-Th%E1%BB%8Bnh-100063712560146/</v>
      </c>
      <c r="D4616" t="str">
        <v>-</v>
      </c>
      <c r="E4616" t="str">
        <v/>
      </c>
      <c r="F4616" t="str">
        <v>-</v>
      </c>
      <c r="G4616" t="str">
        <v>-</v>
      </c>
    </row>
    <row r="4617">
      <c r="A4617">
        <v>4616</v>
      </c>
      <c r="B4617">
        <f>HYPERLINK("https://vanchan.yenbai.gov.vn/cac-xa-thi-tran/xa-cat-thinh", "UBND Ủy ban nhân dân xã Cát Thịnh  tỉnh Yên Bái")</f>
      </c>
      <c r="C4617" t="str">
        <v>https://vanchan.yenbai.gov.vn/cac-xa-thi-tran/xa-cat-thinh</v>
      </c>
      <c r="D4617" t="str">
        <v>-</v>
      </c>
      <c r="E4617" t="str">
        <v>-</v>
      </c>
      <c r="F4617" t="str">
        <v>-</v>
      </c>
      <c r="G4617" t="str">
        <v>-</v>
      </c>
    </row>
    <row r="4618">
      <c r="A4618">
        <v>4617</v>
      </c>
      <c r="B4618">
        <f>HYPERLINK("https://www.facebook.com/conganxatanthinh/", "Công an xã Tân Thịnh  tỉnh Yên Bái")</f>
      </c>
      <c r="C4618" t="str">
        <v>https://www.facebook.com/conganxatanthinh/</v>
      </c>
      <c r="D4618" t="str">
        <v>-</v>
      </c>
      <c r="E4618" t="str">
        <v/>
      </c>
      <c r="F4618" t="str">
        <v>-</v>
      </c>
      <c r="G4618" t="str">
        <v>-</v>
      </c>
    </row>
    <row r="4619">
      <c r="A4619">
        <v>4618</v>
      </c>
      <c r="B4619">
        <f>HYPERLINK("https://hoilhpn.yenbai.gov.vn/noidung/tintuc/Pages/chi-tiet-tin-tuc.aspx?ItemID=458&amp;l=Tinhoatdong&amp;lv=5", "UBND Ủy ban nhân dân xã Tân Thịnh  tỉnh Yên Bái")</f>
      </c>
      <c r="C4619" t="str">
        <v>https://hoilhpn.yenbai.gov.vn/noidung/tintuc/Pages/chi-tiet-tin-tuc.aspx?ItemID=458&amp;l=Tinhoatdong&amp;lv=5</v>
      </c>
      <c r="D4619" t="str">
        <v>-</v>
      </c>
      <c r="E4619" t="str">
        <v>-</v>
      </c>
      <c r="F4619" t="str">
        <v>-</v>
      </c>
      <c r="G4619" t="str">
        <v>-</v>
      </c>
    </row>
    <row r="4620">
      <c r="A4620">
        <v>4619</v>
      </c>
      <c r="B4620" t="str">
        <v>Công an xã Chấn Thịnh  tỉnh Yên Bái</v>
      </c>
      <c r="C4620" t="str">
        <v>-</v>
      </c>
      <c r="D4620" t="str">
        <v>-</v>
      </c>
      <c r="E4620" t="str">
        <v/>
      </c>
      <c r="F4620" t="str">
        <v>-</v>
      </c>
      <c r="G4620" t="str">
        <v>-</v>
      </c>
    </row>
    <row r="4621">
      <c r="A4621">
        <v>4620</v>
      </c>
      <c r="B4621">
        <f>HYPERLINK("https://vanchan.yenbai.gov.vn/cac-xa-thi-tran/xa-chan-thinh", "UBND Ủy ban nhân dân xã Chấn Thịnh  tỉnh Yên Bái")</f>
      </c>
      <c r="C4621" t="str">
        <v>https://vanchan.yenbai.gov.vn/cac-xa-thi-tran/xa-chan-thinh</v>
      </c>
      <c r="D4621" t="str">
        <v>-</v>
      </c>
      <c r="E4621" t="str">
        <v>-</v>
      </c>
      <c r="F4621" t="str">
        <v>-</v>
      </c>
      <c r="G4621" t="str">
        <v>-</v>
      </c>
    </row>
    <row r="4622">
      <c r="A4622">
        <v>4621</v>
      </c>
      <c r="B4622">
        <f>HYPERLINK("https://www.facebook.com/p/C%C3%B4ng-an-x%C3%A3-B%C3%ACnh-Thu%E1%BA%ADn-huy%E1%BB%87n-V%C4%83n-Ch%E1%BA%A5n-t%E1%BB%89nh-Y%C3%AAn-B%C3%A1i-100065198263393/", "Công an xã Bình Thuận  tỉnh Yên Bái")</f>
      </c>
      <c r="C4622" t="str">
        <v>https://www.facebook.com/p/C%C3%B4ng-an-x%C3%A3-B%C3%ACnh-Thu%E1%BA%ADn-huy%E1%BB%87n-V%C4%83n-Ch%E1%BA%A5n-t%E1%BB%89nh-Y%C3%AAn-B%C3%A1i-100065198263393/</v>
      </c>
      <c r="D4622" t="str">
        <v>-</v>
      </c>
      <c r="E4622" t="str">
        <v/>
      </c>
      <c r="F4622" t="str">
        <v>-</v>
      </c>
      <c r="G4622" t="str">
        <v>-</v>
      </c>
    </row>
    <row r="4623">
      <c r="A4623">
        <v>4622</v>
      </c>
      <c r="B4623">
        <f>HYPERLINK("https://bandantoc.yenbai.gov.vn/noidung/tintuc/Pages/chi-tiet-tin-tuc.aspx?ItemID=199&amp;l=Tinhoatdong&amp;lv=4", "UBND Ủy ban nhân dân xã Bình Thuận  tỉnh Yên Bái")</f>
      </c>
      <c r="C4623" t="str">
        <v>https://bandantoc.yenbai.gov.vn/noidung/tintuc/Pages/chi-tiet-tin-tuc.aspx?ItemID=199&amp;l=Tinhoatdong&amp;lv=4</v>
      </c>
      <c r="D4623" t="str">
        <v>-</v>
      </c>
      <c r="E4623" t="str">
        <v>-</v>
      </c>
      <c r="F4623" t="str">
        <v>-</v>
      </c>
      <c r="G4623" t="str">
        <v>-</v>
      </c>
    </row>
    <row r="4624">
      <c r="A4624">
        <v>4623</v>
      </c>
      <c r="B4624">
        <f>HYPERLINK("https://www.facebook.com/CAXTBL/?locale=vi_VN", "Công an xã Thượng Bằng La  tỉnh Yên Bái")</f>
      </c>
      <c r="C4624" t="str">
        <v>https://www.facebook.com/CAXTBL/?locale=vi_VN</v>
      </c>
      <c r="D4624" t="str">
        <v>-</v>
      </c>
      <c r="E4624" t="str">
        <v/>
      </c>
      <c r="F4624" t="str">
        <v>-</v>
      </c>
      <c r="G4624" t="str">
        <v>-</v>
      </c>
    </row>
    <row r="4625">
      <c r="A4625">
        <v>4624</v>
      </c>
      <c r="B4625">
        <f>HYPERLINK("https://www.yenbai.gov.vn/noidung/tintuc/Pages/chi-tiet-tin-tuc.aspx?ItemID=14024&amp;l=tintrongtinh", "UBND Ủy ban nhân dân xã Thượng Bằng La  tỉnh Yên Bái")</f>
      </c>
      <c r="C4625" t="str">
        <v>https://www.yenbai.gov.vn/noidung/tintuc/Pages/chi-tiet-tin-tuc.aspx?ItemID=14024&amp;l=tintrongtinh</v>
      </c>
      <c r="D4625" t="str">
        <v>-</v>
      </c>
      <c r="E4625" t="str">
        <v>-</v>
      </c>
      <c r="F4625" t="str">
        <v>-</v>
      </c>
      <c r="G4625" t="str">
        <v>-</v>
      </c>
    </row>
    <row r="4626">
      <c r="A4626">
        <v>4625</v>
      </c>
      <c r="B4626" t="str">
        <v>Công an xã Minh An  tỉnh Yên Bái</v>
      </c>
      <c r="C4626" t="str">
        <v>-</v>
      </c>
      <c r="D4626" t="str">
        <v>-</v>
      </c>
      <c r="E4626" t="str">
        <v/>
      </c>
      <c r="F4626" t="str">
        <v>-</v>
      </c>
      <c r="G4626" t="str">
        <v>-</v>
      </c>
    </row>
    <row r="4627">
      <c r="A4627">
        <v>4626</v>
      </c>
      <c r="B4627">
        <f>HYPERLINK("https://tranyen.yenbai.gov.vn/xa-thi-tran/xa-minh-quan", "UBND Ủy ban nhân dân xã Minh An  tỉnh Yên Bái")</f>
      </c>
      <c r="C4627" t="str">
        <v>https://tranyen.yenbai.gov.vn/xa-thi-tran/xa-minh-quan</v>
      </c>
      <c r="D4627" t="str">
        <v>-</v>
      </c>
      <c r="E4627" t="str">
        <v>-</v>
      </c>
      <c r="F4627" t="str">
        <v>-</v>
      </c>
      <c r="G4627" t="str">
        <v>-</v>
      </c>
    </row>
    <row r="4628">
      <c r="A4628">
        <v>4627</v>
      </c>
      <c r="B4628">
        <f>HYPERLINK("https://www.facebook.com/100064909396771", "Công an xã Nghĩa Tâm  tỉnh Yên Bái")</f>
      </c>
      <c r="C4628" t="str">
        <v>https://www.facebook.com/100064909396771</v>
      </c>
      <c r="D4628" t="str">
        <v>-</v>
      </c>
      <c r="E4628" t="str">
        <v>0975450069</v>
      </c>
      <c r="F4628" t="str">
        <v>-</v>
      </c>
      <c r="G4628" t="str">
        <v>-</v>
      </c>
    </row>
    <row r="4629">
      <c r="A4629">
        <v>4628</v>
      </c>
      <c r="B4629">
        <f>HYPERLINK("https://nghialo.yenbai.gov.vn/", "UBND Ủy ban nhân dân xã Nghĩa Tâm  tỉnh Yên Bái")</f>
      </c>
      <c r="C4629" t="str">
        <v>https://nghialo.yenbai.gov.vn/</v>
      </c>
      <c r="D4629" t="str">
        <v>-</v>
      </c>
      <c r="E4629" t="str">
        <v>-</v>
      </c>
      <c r="F4629" t="str">
        <v>-</v>
      </c>
      <c r="G4629" t="str">
        <v>-</v>
      </c>
    </row>
    <row r="4630">
      <c r="A4630">
        <v>4629</v>
      </c>
      <c r="B4630">
        <f>HYPERLINK("https://www.facebook.com/tuoitreconganhuyenvanquan/", "Công an xã Văn Lãng  tỉnh Yên Bái")</f>
      </c>
      <c r="C4630" t="str">
        <v>https://www.facebook.com/tuoitreconganhuyenvanquan/</v>
      </c>
      <c r="D4630" t="str">
        <v>-</v>
      </c>
      <c r="E4630" t="str">
        <v/>
      </c>
      <c r="F4630" t="str">
        <v>-</v>
      </c>
      <c r="G4630" t="str">
        <v>-</v>
      </c>
    </row>
    <row r="4631">
      <c r="A4631">
        <v>4630</v>
      </c>
      <c r="B4631">
        <f>HYPERLINK("https://yenbinh.yenbai.gov.vn/Articles/view/?Userkey=Di-tich-Lich-su-van-hoa-Chua-Van-Lang-Chua-Nga-Hai-&amp;Category=GFQ2MPBN3HBYDWD6", "UBND Ủy ban nhân dân xã Văn Lãng  tỉnh Yên Bái")</f>
      </c>
      <c r="C4631" t="str">
        <v>https://yenbinh.yenbai.gov.vn/Articles/view/?Userkey=Di-tich-Lich-su-van-hoa-Chua-Van-Lang-Chua-Nga-Hai-&amp;Category=GFQ2MPBN3HBYDWD6</v>
      </c>
      <c r="D4631" t="str">
        <v>-</v>
      </c>
      <c r="E4631" t="str">
        <v>-</v>
      </c>
      <c r="F4631" t="str">
        <v>-</v>
      </c>
      <c r="G4631" t="str">
        <v>-</v>
      </c>
    </row>
    <row r="4632">
      <c r="A4632">
        <v>4631</v>
      </c>
      <c r="B4632">
        <f>HYPERLINK("https://www.facebook.com/p/C%C3%B4ng-an-th%E1%BB%8B-tr%E1%BA%A5n-Y%C3%AAn-B%C3%ACnh-100066717932065/", "Công an thị trấn Yên Bình  tỉnh Yên Bái")</f>
      </c>
      <c r="C4632" t="str">
        <v>https://www.facebook.com/p/C%C3%B4ng-an-th%E1%BB%8B-tr%E1%BA%A5n-Y%C3%AAn-B%C3%ACnh-100066717932065/</v>
      </c>
      <c r="D4632" t="str">
        <v>-</v>
      </c>
      <c r="E4632" t="str">
        <v/>
      </c>
      <c r="F4632" t="str">
        <v>-</v>
      </c>
      <c r="G4632" t="str">
        <v>-</v>
      </c>
    </row>
    <row r="4633">
      <c r="A4633">
        <v>4632</v>
      </c>
      <c r="B4633">
        <f>HYPERLINK("https://yenbinh.yenbai.gov.vn/", "UBND Ủy ban nhân dân thị trấn Yên Bình  tỉnh Yên Bái")</f>
      </c>
      <c r="C4633" t="str">
        <v>https://yenbinh.yenbai.gov.vn/</v>
      </c>
      <c r="D4633" t="str">
        <v>-</v>
      </c>
      <c r="E4633" t="str">
        <v>-</v>
      </c>
      <c r="F4633" t="str">
        <v>-</v>
      </c>
      <c r="G4633" t="str">
        <v>-</v>
      </c>
    </row>
    <row r="4634">
      <c r="A4634">
        <v>4633</v>
      </c>
      <c r="B4634">
        <f>HYPERLINK("https://www.facebook.com/p/Tu%E1%BB%95i-tr%E1%BA%BB-C%C3%B4ng-an-Ngh%C4%A9a-L%E1%BB%99-100081887170070/", "Công an thị trấn Thác Bà  tỉnh Yên Bái")</f>
      </c>
      <c r="C4634" t="str">
        <v>https://www.facebook.com/p/Tu%E1%BB%95i-tr%E1%BA%BB-C%C3%B4ng-an-Ngh%C4%A9a-L%E1%BB%99-100081887170070/</v>
      </c>
      <c r="D4634" t="str">
        <v>-</v>
      </c>
      <c r="E4634" t="str">
        <v/>
      </c>
      <c r="F4634" t="str">
        <v>-</v>
      </c>
      <c r="G4634" t="str">
        <v>-</v>
      </c>
    </row>
    <row r="4635">
      <c r="A4635">
        <v>4634</v>
      </c>
      <c r="B4635">
        <f>HYPERLINK("https://yenbinh.yenbai.gov.vn/Articles/one/Thong-tin-thi-tran-Thac-Ba", "UBND Ủy ban nhân dân thị trấn Thác Bà  tỉnh Yên Bái")</f>
      </c>
      <c r="C4635" t="str">
        <v>https://yenbinh.yenbai.gov.vn/Articles/one/Thong-tin-thi-tran-Thac-Ba</v>
      </c>
      <c r="D4635" t="str">
        <v>-</v>
      </c>
      <c r="E4635" t="str">
        <v>-</v>
      </c>
      <c r="F4635" t="str">
        <v>-</v>
      </c>
      <c r="G4635" t="str">
        <v>-</v>
      </c>
    </row>
    <row r="4636">
      <c r="A4636">
        <v>4635</v>
      </c>
      <c r="B4636" t="str">
        <v>Công an xã Xuân Long  tỉnh Yên Bái</v>
      </c>
      <c r="C4636" t="str">
        <v>-</v>
      </c>
      <c r="D4636" t="str">
        <v>-</v>
      </c>
      <c r="E4636" t="str">
        <v/>
      </c>
      <c r="F4636" t="str">
        <v>-</v>
      </c>
      <c r="G4636" t="str">
        <v>-</v>
      </c>
    </row>
    <row r="4637">
      <c r="A4637">
        <v>4636</v>
      </c>
      <c r="B4637">
        <f>HYPERLINK("https://yenbinh.yenbai.gov.vn/Articles/one/Thong-tin-xa-Xuan-Long", "UBND Ủy ban nhân dân xã Xuân Long  tỉnh Yên Bái")</f>
      </c>
      <c r="C4637" t="str">
        <v>https://yenbinh.yenbai.gov.vn/Articles/one/Thong-tin-xa-Xuan-Long</v>
      </c>
      <c r="D4637" t="str">
        <v>-</v>
      </c>
      <c r="E4637" t="str">
        <v>-</v>
      </c>
      <c r="F4637" t="str">
        <v>-</v>
      </c>
      <c r="G4637" t="str">
        <v>-</v>
      </c>
    </row>
    <row r="4638">
      <c r="A4638">
        <v>4637</v>
      </c>
      <c r="B4638">
        <f>HYPERLINK("https://www.facebook.com/p/Tu%E1%BB%95i-tr%E1%BA%BB-C%C3%B4ng-an-Ngh%C4%A9a-L%E1%BB%99-100081887170070/", "Công an xã Tích Cốc  tỉnh Yên Bái")</f>
      </c>
      <c r="C4638" t="str">
        <v>https://www.facebook.com/p/Tu%E1%BB%95i-tr%E1%BA%BB-C%C3%B4ng-an-Ngh%C4%A9a-L%E1%BB%99-100081887170070/</v>
      </c>
      <c r="D4638" t="str">
        <v>-</v>
      </c>
      <c r="E4638" t="str">
        <v/>
      </c>
      <c r="F4638" t="str">
        <v>-</v>
      </c>
      <c r="G4638" t="str">
        <v>-</v>
      </c>
    </row>
    <row r="4639">
      <c r="A4639">
        <v>4638</v>
      </c>
      <c r="B4639">
        <f>HYPERLINK("https://yenbinh.yenbai.gov.vn/dev~HuyenYenBinh/Articles/view/?UserKey=Huyen-Yen-Binh-to-chuc-Le-cong-bo-Nghi-quyet-cua-Uy-ban-Thuong-vu-Quoc-hoi-ve-viec-sap-nha&amp;Category=GTCJ76WEHHR33MNU", "UBND Ủy ban nhân dân xã Tích Cốc  tỉnh Yên Bái")</f>
      </c>
      <c r="C4639" t="str">
        <v>https://yenbinh.yenbai.gov.vn/dev~HuyenYenBinh/Articles/view/?UserKey=Huyen-Yen-Binh-to-chuc-Le-cong-bo-Nghi-quyet-cua-Uy-ban-Thuong-vu-Quoc-hoi-ve-viec-sap-nha&amp;Category=GTCJ76WEHHR33MNU</v>
      </c>
      <c r="D4639" t="str">
        <v>-</v>
      </c>
      <c r="E4639" t="str">
        <v>-</v>
      </c>
      <c r="F4639" t="str">
        <v>-</v>
      </c>
      <c r="G4639" t="str">
        <v>-</v>
      </c>
    </row>
    <row r="4640">
      <c r="A4640">
        <v>4639</v>
      </c>
      <c r="B4640">
        <f>HYPERLINK("https://www.facebook.com/conganxacamnhan/", "Công an xã Cảm Nhân  tỉnh Yên Bái")</f>
      </c>
      <c r="C4640" t="str">
        <v>https://www.facebook.com/conganxacamnhan/</v>
      </c>
      <c r="D4640" t="str">
        <v>-</v>
      </c>
      <c r="E4640" t="str">
        <v/>
      </c>
      <c r="F4640" t="str">
        <v>-</v>
      </c>
      <c r="G4640" t="str">
        <v>-</v>
      </c>
    </row>
    <row r="4641">
      <c r="A4641">
        <v>4640</v>
      </c>
      <c r="B4641">
        <f>HYPERLINK("https://yenbinh.yenbai.gov.vn/Articles/one/Thong-tin-xa-Cam-Nhan", "UBND Ủy ban nhân dân xã Cảm Nhân  tỉnh Yên Bái")</f>
      </c>
      <c r="C4641" t="str">
        <v>https://yenbinh.yenbai.gov.vn/Articles/one/Thong-tin-xa-Cam-Nhan</v>
      </c>
      <c r="D4641" t="str">
        <v>-</v>
      </c>
      <c r="E4641" t="str">
        <v>-</v>
      </c>
      <c r="F4641" t="str">
        <v>-</v>
      </c>
      <c r="G4641" t="str">
        <v>-</v>
      </c>
    </row>
    <row r="4642">
      <c r="A4642">
        <v>4641</v>
      </c>
      <c r="B4642">
        <f>HYPERLINK("https://www.facebook.com/conganxangocchan/", "Công an xã Ngọc Chấn  tỉnh Yên Bái")</f>
      </c>
      <c r="C4642" t="str">
        <v>https://www.facebook.com/conganxangocchan/</v>
      </c>
      <c r="D4642" t="str">
        <v>-</v>
      </c>
      <c r="E4642" t="str">
        <v/>
      </c>
      <c r="F4642" t="str">
        <v>-</v>
      </c>
      <c r="G4642" t="str">
        <v>-</v>
      </c>
    </row>
    <row r="4643">
      <c r="A4643">
        <v>4642</v>
      </c>
      <c r="B4643">
        <f>HYPERLINK("https://yenbinh.yenbai.gov.vn/Articles/one/Thong-tin-xa-Ngoc-Chan", "UBND Ủy ban nhân dân xã Ngọc Chấn  tỉnh Yên Bái")</f>
      </c>
      <c r="C4643" t="str">
        <v>https://yenbinh.yenbai.gov.vn/Articles/one/Thong-tin-xa-Ngoc-Chan</v>
      </c>
      <c r="D4643" t="str">
        <v>-</v>
      </c>
      <c r="E4643" t="str">
        <v>-</v>
      </c>
      <c r="F4643" t="str">
        <v>-</v>
      </c>
      <c r="G4643" t="str">
        <v>-</v>
      </c>
    </row>
    <row r="4644">
      <c r="A4644">
        <v>4643</v>
      </c>
      <c r="B4644" t="str">
        <v>Công an xã Tân Nguyên  tỉnh Yên Bái</v>
      </c>
      <c r="C4644" t="str">
        <v>-</v>
      </c>
      <c r="D4644" t="str">
        <v>-</v>
      </c>
      <c r="E4644" t="str">
        <v/>
      </c>
      <c r="F4644" t="str">
        <v>-</v>
      </c>
      <c r="G4644" t="str">
        <v>-</v>
      </c>
    </row>
    <row r="4645">
      <c r="A4645">
        <v>4644</v>
      </c>
      <c r="B4645">
        <f>HYPERLINK("https://yenbinh.yenbai.gov.vn/Articles/one/Thong-tin-xa-Tan-Nguyen", "UBND Ủy ban nhân dân xã Tân Nguyên  tỉnh Yên Bái")</f>
      </c>
      <c r="C4645" t="str">
        <v>https://yenbinh.yenbai.gov.vn/Articles/one/Thong-tin-xa-Tan-Nguyen</v>
      </c>
      <c r="D4645" t="str">
        <v>-</v>
      </c>
      <c r="E4645" t="str">
        <v>-</v>
      </c>
      <c r="F4645" t="str">
        <v>-</v>
      </c>
      <c r="G4645" t="str">
        <v>-</v>
      </c>
    </row>
    <row r="4646">
      <c r="A4646">
        <v>4645</v>
      </c>
      <c r="B4646">
        <f>HYPERLINK("https://www.facebook.com/100066342593821", "Công an xã Phúc Ninh  tỉnh Yên Bái")</f>
      </c>
      <c r="C4646" t="str">
        <v>https://www.facebook.com/100066342593821</v>
      </c>
      <c r="D4646" t="str">
        <v>-</v>
      </c>
      <c r="E4646" t="str">
        <v/>
      </c>
      <c r="F4646" t="str">
        <v>Phambinhkhmt.k7a@gmail.com</v>
      </c>
      <c r="G4646" t="str">
        <v>Tỉnh Lộ 7C, Huyện Yên Bình, Việt Nam, Van Lang, Vietnam</v>
      </c>
    </row>
    <row r="4647">
      <c r="A4647">
        <v>4646</v>
      </c>
      <c r="B4647">
        <f>HYPERLINK("https://phucninh.tuyenquang.gov.vn/vi/tin-bai/ky-hop-chuyen-de-hoi-dong-nhan-dan-xa-phuc-ninh-khoa-xxi-nhiem-ky-2021-2026?type=NEWS&amp;id=127445", "UBND Ủy ban nhân dân xã Phúc Ninh  tỉnh Yên Bái")</f>
      </c>
      <c r="C4647" t="str">
        <v>https://phucninh.tuyenquang.gov.vn/vi/tin-bai/ky-hop-chuyen-de-hoi-dong-nhan-dan-xa-phuc-ninh-khoa-xxi-nhiem-ky-2021-2026?type=NEWS&amp;id=127445</v>
      </c>
      <c r="D4647" t="str">
        <v>-</v>
      </c>
      <c r="E4647" t="str">
        <v>-</v>
      </c>
      <c r="F4647" t="str">
        <v>-</v>
      </c>
      <c r="G4647" t="str">
        <v>-</v>
      </c>
    </row>
    <row r="4648">
      <c r="A4648">
        <v>4647</v>
      </c>
      <c r="B4648">
        <f>HYPERLINK("https://www.facebook.com/ConganxaBaoAi/", "Công an xã Bảo Ái  tỉnh Yên Bái")</f>
      </c>
      <c r="C4648" t="str">
        <v>https://www.facebook.com/ConganxaBaoAi/</v>
      </c>
      <c r="D4648" t="str">
        <v>-</v>
      </c>
      <c r="E4648" t="str">
        <v/>
      </c>
      <c r="F4648" t="str">
        <v>-</v>
      </c>
      <c r="G4648" t="str">
        <v>-</v>
      </c>
    </row>
    <row r="4649">
      <c r="A4649">
        <v>4648</v>
      </c>
      <c r="B4649">
        <f>HYPERLINK("https://yenbinh.yenbai.gov.vn/Articles/one/Thong-tin-xa-Bao-Ai", "UBND Ủy ban nhân dân xã Bảo Ái  tỉnh Yên Bái")</f>
      </c>
      <c r="C4649" t="str">
        <v>https://yenbinh.yenbai.gov.vn/Articles/one/Thong-tin-xa-Bao-Ai</v>
      </c>
      <c r="D4649" t="str">
        <v>-</v>
      </c>
      <c r="E4649" t="str">
        <v>-</v>
      </c>
      <c r="F4649" t="str">
        <v>-</v>
      </c>
      <c r="G4649" t="str">
        <v>-</v>
      </c>
    </row>
    <row r="4650">
      <c r="A4650">
        <v>4649</v>
      </c>
      <c r="B4650" t="str">
        <v>Công an xã Mỹ Gia  tỉnh Yên Bái</v>
      </c>
      <c r="C4650" t="str">
        <v>-</v>
      </c>
      <c r="D4650" t="str">
        <v>-</v>
      </c>
      <c r="E4650" t="str">
        <v/>
      </c>
      <c r="F4650" t="str">
        <v>-</v>
      </c>
      <c r="G4650" t="str">
        <v>-</v>
      </c>
    </row>
    <row r="4651">
      <c r="A4651">
        <v>4650</v>
      </c>
      <c r="B4651">
        <f>HYPERLINK("https://yenbinh.yenbai.gov.vn/Articles/one/Thong-tin-xa-My-Gia", "UBND Ủy ban nhân dân xã Mỹ Gia  tỉnh Yên Bái")</f>
      </c>
      <c r="C4651" t="str">
        <v>https://yenbinh.yenbai.gov.vn/Articles/one/Thong-tin-xa-My-Gia</v>
      </c>
      <c r="D4651" t="str">
        <v>-</v>
      </c>
      <c r="E4651" t="str">
        <v>-</v>
      </c>
      <c r="F4651" t="str">
        <v>-</v>
      </c>
      <c r="G4651" t="str">
        <v>-</v>
      </c>
    </row>
    <row r="4652">
      <c r="A4652">
        <v>4651</v>
      </c>
      <c r="B4652">
        <f>HYPERLINK("https://www.facebook.com/groups/696416317929142/", "Công an xã Xuân Lai  tỉnh Yên Bái")</f>
      </c>
      <c r="C4652" t="str">
        <v>https://www.facebook.com/groups/696416317929142/</v>
      </c>
      <c r="D4652" t="str">
        <v>-</v>
      </c>
      <c r="E4652" t="str">
        <v/>
      </c>
      <c r="F4652" t="str">
        <v>-</v>
      </c>
      <c r="G4652" t="str">
        <v>-</v>
      </c>
    </row>
    <row r="4653">
      <c r="A4653">
        <v>4652</v>
      </c>
      <c r="B4653">
        <f>HYPERLINK("https://yenbinh.yenbai.gov.vn/Articles/one/Thong-tin-xa-Xuan-Lai", "UBND Ủy ban nhân dân xã Xuân Lai  tỉnh Yên Bái")</f>
      </c>
      <c r="C4653" t="str">
        <v>https://yenbinh.yenbai.gov.vn/Articles/one/Thong-tin-xa-Xuan-Lai</v>
      </c>
      <c r="D4653" t="str">
        <v>-</v>
      </c>
      <c r="E4653" t="str">
        <v>-</v>
      </c>
      <c r="F4653" t="str">
        <v>-</v>
      </c>
      <c r="G4653" t="str">
        <v>-</v>
      </c>
    </row>
    <row r="4654">
      <c r="A4654">
        <v>4653</v>
      </c>
      <c r="B4654">
        <f>HYPERLINK("https://www.facebook.com/p/C%C3%B4ng-an-x%C3%A3-M%C3%B4ng-S%C6%A1n-100068917864254/", "Công an xã Mông Sơn  tỉnh Yên Bái")</f>
      </c>
      <c r="C4654" t="str">
        <v>https://www.facebook.com/p/C%C3%B4ng-an-x%C3%A3-M%C3%B4ng-S%C6%A1n-100068917864254/</v>
      </c>
      <c r="D4654" t="str">
        <v>-</v>
      </c>
      <c r="E4654" t="str">
        <v/>
      </c>
      <c r="F4654" t="str">
        <v>-</v>
      </c>
      <c r="G4654" t="str">
        <v>-</v>
      </c>
    </row>
    <row r="4655">
      <c r="A4655">
        <v>4654</v>
      </c>
      <c r="B4655">
        <f>HYPERLINK("https://yenbinh.yenbai.gov.vn/Articles/one/Thong-tin-xa-Mong-Son", "UBND Ủy ban nhân dân xã Mông Sơn  tỉnh Yên Bái")</f>
      </c>
      <c r="C4655" t="str">
        <v>https://yenbinh.yenbai.gov.vn/Articles/one/Thong-tin-xa-Mong-Son</v>
      </c>
      <c r="D4655" t="str">
        <v>-</v>
      </c>
      <c r="E4655" t="str">
        <v>-</v>
      </c>
      <c r="F4655" t="str">
        <v>-</v>
      </c>
      <c r="G4655" t="str">
        <v>-</v>
      </c>
    </row>
    <row r="4656">
      <c r="A4656">
        <v>4655</v>
      </c>
      <c r="B4656">
        <f>HYPERLINK("https://www.facebook.com/conganxacamnhan/", "Công an xã Cảm Ân  tỉnh Yên Bái")</f>
      </c>
      <c r="C4656" t="str">
        <v>https://www.facebook.com/conganxacamnhan/</v>
      </c>
      <c r="D4656" t="str">
        <v>-</v>
      </c>
      <c r="E4656" t="str">
        <v/>
      </c>
      <c r="F4656" t="str">
        <v>-</v>
      </c>
      <c r="G4656" t="str">
        <v>-</v>
      </c>
    </row>
    <row r="4657">
      <c r="A4657">
        <v>4656</v>
      </c>
      <c r="B4657">
        <f>HYPERLINK("https://yenbinh.yenbai.gov.vn/Articles/one/Thong-tin-xa-Cam-An", "UBND Ủy ban nhân dân xã Cảm Ân  tỉnh Yên Bái")</f>
      </c>
      <c r="C4657" t="str">
        <v>https://yenbinh.yenbai.gov.vn/Articles/one/Thong-tin-xa-Cam-An</v>
      </c>
      <c r="D4657" t="str">
        <v>-</v>
      </c>
      <c r="E4657" t="str">
        <v>-</v>
      </c>
      <c r="F4657" t="str">
        <v>-</v>
      </c>
      <c r="G4657" t="str">
        <v>-</v>
      </c>
    </row>
    <row r="4658">
      <c r="A4658">
        <v>4657</v>
      </c>
      <c r="B4658">
        <f>HYPERLINK("https://www.facebook.com/conganxayenthanh/", "Công an xã Yên Thành  tỉnh Yên Bái")</f>
      </c>
      <c r="C4658" t="str">
        <v>https://www.facebook.com/conganxayenthanh/</v>
      </c>
      <c r="D4658" t="str">
        <v>-</v>
      </c>
      <c r="E4658" t="str">
        <v/>
      </c>
      <c r="F4658" t="str">
        <v>-</v>
      </c>
      <c r="G4658" t="str">
        <v>-</v>
      </c>
    </row>
    <row r="4659">
      <c r="A4659">
        <v>4658</v>
      </c>
      <c r="B4659">
        <f>HYPERLINK("https://yenbinh.yenbai.gov.vn/Articles/one/Thong-tin-xa-Yen-Thanh", "UBND Ủy ban nhân dân xã Yên Thành  tỉnh Yên Bái")</f>
      </c>
      <c r="C4659" t="str">
        <v>https://yenbinh.yenbai.gov.vn/Articles/one/Thong-tin-xa-Yen-Thanh</v>
      </c>
      <c r="D4659" t="str">
        <v>-</v>
      </c>
      <c r="E4659" t="str">
        <v>-</v>
      </c>
      <c r="F4659" t="str">
        <v>-</v>
      </c>
      <c r="G4659" t="str">
        <v>-</v>
      </c>
    </row>
    <row r="4660">
      <c r="A4660">
        <v>4659</v>
      </c>
      <c r="B4660">
        <f>HYPERLINK("https://www.facebook.com/conganxatanhuongyenbinh/", "Công an xã Tân Hương  tỉnh Yên Bái")</f>
      </c>
      <c r="C4660" t="str">
        <v>https://www.facebook.com/conganxatanhuongyenbinh/</v>
      </c>
      <c r="D4660" t="str">
        <v>-</v>
      </c>
      <c r="E4660" t="str">
        <v/>
      </c>
      <c r="F4660" t="str">
        <v>-</v>
      </c>
      <c r="G4660" t="str">
        <v>-</v>
      </c>
    </row>
    <row r="4661">
      <c r="A4661">
        <v>4660</v>
      </c>
      <c r="B4661">
        <f>HYPERLINK("https://yenbinh.yenbai.gov.vn/Articles/one/Thong-tin-xa-Tan-Huong", "UBND Ủy ban nhân dân xã Tân Hương  tỉnh Yên Bái")</f>
      </c>
      <c r="C4661" t="str">
        <v>https://yenbinh.yenbai.gov.vn/Articles/one/Thong-tin-xa-Tan-Huong</v>
      </c>
      <c r="D4661" t="str">
        <v>-</v>
      </c>
      <c r="E4661" t="str">
        <v>-</v>
      </c>
      <c r="F4661" t="str">
        <v>-</v>
      </c>
      <c r="G4661" t="str">
        <v>-</v>
      </c>
    </row>
    <row r="4662">
      <c r="A4662">
        <v>4661</v>
      </c>
      <c r="B4662" t="str">
        <v>Công an xã Phúc An  tỉnh Yên Bái</v>
      </c>
      <c r="C4662" t="str">
        <v>-</v>
      </c>
      <c r="D4662" t="str">
        <v>-</v>
      </c>
      <c r="E4662" t="str">
        <v/>
      </c>
      <c r="F4662" t="str">
        <v>-</v>
      </c>
      <c r="G4662" t="str">
        <v>-</v>
      </c>
    </row>
    <row r="4663">
      <c r="A4663">
        <v>4662</v>
      </c>
      <c r="B4663">
        <f>HYPERLINK("https://yenbinh.yenbai.gov.vn/Articles/one/Thong-tin-xa-Phuc-An", "UBND Ủy ban nhân dân xã Phúc An  tỉnh Yên Bái")</f>
      </c>
      <c r="C4663" t="str">
        <v>https://yenbinh.yenbai.gov.vn/Articles/one/Thong-tin-xa-Phuc-An</v>
      </c>
      <c r="D4663" t="str">
        <v>-</v>
      </c>
      <c r="E4663" t="str">
        <v>-</v>
      </c>
      <c r="F4663" t="str">
        <v>-</v>
      </c>
      <c r="G4663" t="str">
        <v>-</v>
      </c>
    </row>
    <row r="4664">
      <c r="A4664">
        <v>4663</v>
      </c>
      <c r="B4664">
        <f>HYPERLINK("https://www.facebook.com/p/C%C3%B4ng-an-x%C3%A3-B%E1%BA%A1ch-H%C3%A0-huy%E1%BB%87n-Y%C3%AAn-B%C3%ACnh-t%E1%BB%89nh-Y%C3%AAn-B%C3%A1i-100066350333204/", "Công an xã Bạch Hà  tỉnh Yên Bái")</f>
      </c>
      <c r="C4664" t="str">
        <v>https://www.facebook.com/p/C%C3%B4ng-an-x%C3%A3-B%E1%BA%A1ch-H%C3%A0-huy%E1%BB%87n-Y%C3%AAn-B%C3%ACnh-t%E1%BB%89nh-Y%C3%AAn-B%C3%A1i-100066350333204/</v>
      </c>
      <c r="D4664" t="str">
        <v>-</v>
      </c>
      <c r="E4664" t="str">
        <v/>
      </c>
      <c r="F4664" t="str">
        <v>-</v>
      </c>
      <c r="G4664" t="str">
        <v>-</v>
      </c>
    </row>
    <row r="4665">
      <c r="A4665">
        <v>4664</v>
      </c>
      <c r="B4665">
        <f>HYPERLINK("https://yenbinh.yenbai.gov.vn/Articles/one/Thong-tin-xa-Bach-Ha", "UBND Ủy ban nhân dân xã Bạch Hà  tỉnh Yên Bái")</f>
      </c>
      <c r="C4665" t="str">
        <v>https://yenbinh.yenbai.gov.vn/Articles/one/Thong-tin-xa-Bach-Ha</v>
      </c>
      <c r="D4665" t="str">
        <v>-</v>
      </c>
      <c r="E4665" t="str">
        <v>-</v>
      </c>
      <c r="F4665" t="str">
        <v>-</v>
      </c>
      <c r="G4665" t="str">
        <v>-</v>
      </c>
    </row>
    <row r="4666">
      <c r="A4666">
        <v>4665</v>
      </c>
      <c r="B4666" t="str">
        <v>Công an xã Vũ Linh  tỉnh Yên Bái</v>
      </c>
      <c r="C4666" t="str">
        <v>-</v>
      </c>
      <c r="D4666" t="str">
        <v>-</v>
      </c>
      <c r="E4666" t="str">
        <v/>
      </c>
      <c r="F4666" t="str">
        <v>-</v>
      </c>
      <c r="G4666" t="str">
        <v>-</v>
      </c>
    </row>
    <row r="4667">
      <c r="A4667">
        <v>4666</v>
      </c>
      <c r="B4667">
        <f>HYPERLINK("https://yenbinh.yenbai.gov.vn/Articles/one/Thong-tin-xa-Vu-Linh", "UBND Ủy ban nhân dân xã Vũ Linh  tỉnh Yên Bái")</f>
      </c>
      <c r="C4667" t="str">
        <v>https://yenbinh.yenbai.gov.vn/Articles/one/Thong-tin-xa-Vu-Linh</v>
      </c>
      <c r="D4667" t="str">
        <v>-</v>
      </c>
      <c r="E4667" t="str">
        <v>-</v>
      </c>
      <c r="F4667" t="str">
        <v>-</v>
      </c>
      <c r="G4667" t="str">
        <v>-</v>
      </c>
    </row>
    <row r="4668">
      <c r="A4668">
        <v>4667</v>
      </c>
      <c r="B4668">
        <f>HYPERLINK("https://www.facebook.com/DTNCATYB/", "Công an xã Đại Đồng  tỉnh Yên Bái")</f>
      </c>
      <c r="C4668" t="str">
        <v>https://www.facebook.com/DTNCATYB/</v>
      </c>
      <c r="D4668" t="str">
        <v>-</v>
      </c>
      <c r="E4668" t="str">
        <v/>
      </c>
      <c r="F4668" t="str">
        <v>-</v>
      </c>
      <c r="G4668" t="str">
        <v>-</v>
      </c>
    </row>
    <row r="4669">
      <c r="A4669">
        <v>4668</v>
      </c>
      <c r="B4669">
        <f>HYPERLINK("https://yenbinh.yenbai.gov.vn/Articles/one/Thong-tin-xa-Dai-Dong", "UBND Ủy ban nhân dân xã Đại Đồng  tỉnh Yên Bái")</f>
      </c>
      <c r="C4669" t="str">
        <v>https://yenbinh.yenbai.gov.vn/Articles/one/Thong-tin-xa-Dai-Dong</v>
      </c>
      <c r="D4669" t="str">
        <v>-</v>
      </c>
      <c r="E4669" t="str">
        <v>-</v>
      </c>
      <c r="F4669" t="str">
        <v>-</v>
      </c>
      <c r="G4669" t="str">
        <v>-</v>
      </c>
    </row>
    <row r="4670">
      <c r="A4670">
        <v>4669</v>
      </c>
      <c r="B4670">
        <f>HYPERLINK("https://www.facebook.com/p/Tu%E1%BB%95i-tr%E1%BA%BB-C%C3%B4ng-an-Th%C3%A0nh-ph%E1%BB%91-V%C4%A9nh-Y%C3%AAn-100066497717181/?locale=vi_VN", "Công an xã Vĩnh Kiên  tỉnh Yên Bái")</f>
      </c>
      <c r="C4670" t="str">
        <v>https://www.facebook.com/p/Tu%E1%BB%95i-tr%E1%BA%BB-C%C3%B4ng-an-Th%C3%A0nh-ph%E1%BB%91-V%C4%A9nh-Y%C3%AAn-100066497717181/?locale=vi_VN</v>
      </c>
      <c r="D4670" t="str">
        <v>-</v>
      </c>
      <c r="E4670" t="str">
        <v/>
      </c>
      <c r="F4670" t="str">
        <v>-</v>
      </c>
      <c r="G4670" t="str">
        <v>-</v>
      </c>
    </row>
    <row r="4671">
      <c r="A4671">
        <v>4670</v>
      </c>
      <c r="B4671">
        <f>HYPERLINK("https://yenbinh.yenbai.gov.vn/Articles/one/Thong-tin-xa-Vinh-Kien", "UBND Ủy ban nhân dân xã Vĩnh Kiên  tỉnh Yên Bái")</f>
      </c>
      <c r="C4671" t="str">
        <v>https://yenbinh.yenbai.gov.vn/Articles/one/Thong-tin-xa-Vinh-Kien</v>
      </c>
      <c r="D4671" t="str">
        <v>-</v>
      </c>
      <c r="E4671" t="str">
        <v>-</v>
      </c>
      <c r="F4671" t="str">
        <v>-</v>
      </c>
      <c r="G4671" t="str">
        <v>-</v>
      </c>
    </row>
    <row r="4672">
      <c r="A4672">
        <v>4671</v>
      </c>
      <c r="B4672">
        <f>HYPERLINK("https://www.facebook.com/yenbinhtoancanh21/", "Công an xã Yên Bình  tỉnh Yên Bái")</f>
      </c>
      <c r="C4672" t="str">
        <v>https://www.facebook.com/yenbinhtoancanh21/</v>
      </c>
      <c r="D4672" t="str">
        <v>-</v>
      </c>
      <c r="E4672" t="str">
        <v/>
      </c>
      <c r="F4672" t="str">
        <v>-</v>
      </c>
      <c r="G4672" t="str">
        <v>-</v>
      </c>
    </row>
    <row r="4673">
      <c r="A4673">
        <v>4672</v>
      </c>
      <c r="B4673">
        <f>HYPERLINK("https://yenbinh.yenbai.gov.vn/", "UBND Ủy ban nhân dân xã Yên Bình  tỉnh Yên Bái")</f>
      </c>
      <c r="C4673" t="str">
        <v>https://yenbinh.yenbai.gov.vn/</v>
      </c>
      <c r="D4673" t="str">
        <v>-</v>
      </c>
      <c r="E4673" t="str">
        <v>-</v>
      </c>
      <c r="F4673" t="str">
        <v>-</v>
      </c>
      <c r="G4673" t="str">
        <v>-</v>
      </c>
    </row>
    <row r="4674">
      <c r="A4674">
        <v>4673</v>
      </c>
      <c r="B4674" t="str">
        <v>Công an xã Thịnh Hưng  tỉnh Yên Bái</v>
      </c>
      <c r="C4674" t="str">
        <v>-</v>
      </c>
      <c r="D4674" t="str">
        <v>-</v>
      </c>
      <c r="E4674" t="str">
        <v/>
      </c>
      <c r="F4674" t="str">
        <v>-</v>
      </c>
      <c r="G4674" t="str">
        <v>-</v>
      </c>
    </row>
    <row r="4675">
      <c r="A4675">
        <v>4674</v>
      </c>
      <c r="B4675">
        <f>HYPERLINK("https://yenbinh.yenbai.gov.vn/Articles/one/Thong-tin-xa-Thinh-Hung", "UBND Ủy ban nhân dân xã Thịnh Hưng  tỉnh Yên Bái")</f>
      </c>
      <c r="C4675" t="str">
        <v>https://yenbinh.yenbai.gov.vn/Articles/one/Thong-tin-xa-Thinh-Hung</v>
      </c>
      <c r="D4675" t="str">
        <v>-</v>
      </c>
      <c r="E4675" t="str">
        <v>-</v>
      </c>
      <c r="F4675" t="str">
        <v>-</v>
      </c>
      <c r="G4675" t="str">
        <v>-</v>
      </c>
    </row>
    <row r="4676">
      <c r="A4676">
        <v>4675</v>
      </c>
      <c r="B4676" t="str">
        <v>Công an xã Hán Đà  tỉnh Yên Bái</v>
      </c>
      <c r="C4676" t="str">
        <v>-</v>
      </c>
      <c r="D4676" t="str">
        <v>-</v>
      </c>
      <c r="E4676" t="str">
        <v/>
      </c>
      <c r="F4676" t="str">
        <v>-</v>
      </c>
      <c r="G4676" t="str">
        <v>-</v>
      </c>
    </row>
    <row r="4677">
      <c r="A4677">
        <v>4676</v>
      </c>
      <c r="B4677">
        <f>HYPERLINK("https://yenbinh.yenbai.gov.vn/Articles/one/Thong-tin-xa-Han-Da", "UBND Ủy ban nhân dân xã Hán Đà  tỉnh Yên Bái")</f>
      </c>
      <c r="C4677" t="str">
        <v>https://yenbinh.yenbai.gov.vn/Articles/one/Thong-tin-xa-Han-Da</v>
      </c>
      <c r="D4677" t="str">
        <v>-</v>
      </c>
      <c r="E4677" t="str">
        <v>-</v>
      </c>
      <c r="F4677" t="str">
        <v>-</v>
      </c>
      <c r="G4677" t="str">
        <v>-</v>
      </c>
    </row>
    <row r="4678">
      <c r="A4678">
        <v>4677</v>
      </c>
      <c r="B4678">
        <f>HYPERLINK("https://www.facebook.com/conganxaphuthinh/", "Công an xã Phú Thịnh  tỉnh Yên Bái")</f>
      </c>
      <c r="C4678" t="str">
        <v>https://www.facebook.com/conganxaphuthinh/</v>
      </c>
      <c r="D4678" t="str">
        <v>-</v>
      </c>
      <c r="E4678" t="str">
        <v/>
      </c>
      <c r="F4678" t="str">
        <v>-</v>
      </c>
      <c r="G4678" t="str">
        <v>-</v>
      </c>
    </row>
    <row r="4679">
      <c r="A4679">
        <v>4678</v>
      </c>
      <c r="B4679">
        <f>HYPERLINK("https://yenbinh.yenbai.gov.vn/Articles/one/Thong-tin-xa-Phu-Thinh", "UBND Ủy ban nhân dân xã Phú Thịnh  tỉnh Yên Bái")</f>
      </c>
      <c r="C4679" t="str">
        <v>https://yenbinh.yenbai.gov.vn/Articles/one/Thong-tin-xa-Phu-Thinh</v>
      </c>
      <c r="D4679" t="str">
        <v>-</v>
      </c>
      <c r="E4679" t="str">
        <v>-</v>
      </c>
      <c r="F4679" t="str">
        <v>-</v>
      </c>
      <c r="G4679" t="str">
        <v>-</v>
      </c>
    </row>
    <row r="4680">
      <c r="A4680">
        <v>4679</v>
      </c>
      <c r="B4680">
        <f>HYPERLINK("https://www.facebook.com/conganxadaiminh", "Công an xã Đại Minh  tỉnh Yên Bái")</f>
      </c>
      <c r="C4680" t="str">
        <v>https://www.facebook.com/conganxadaiminh</v>
      </c>
      <c r="D4680" t="str">
        <v>-</v>
      </c>
      <c r="E4680" t="str">
        <v/>
      </c>
      <c r="F4680" t="str">
        <v>-</v>
      </c>
      <c r="G4680" t="str">
        <v>-</v>
      </c>
    </row>
    <row r="4681">
      <c r="A4681">
        <v>4680</v>
      </c>
      <c r="B4681">
        <f>HYPERLINK("https://yenbinh.yenbai.gov.vn/Articles/one/Thong-tin-xa-Dai-Minh", "UBND Ủy ban nhân dân xã Đại Minh  tỉnh Yên Bái")</f>
      </c>
      <c r="C4681" t="str">
        <v>https://yenbinh.yenbai.gov.vn/Articles/one/Thong-tin-xa-Dai-Minh</v>
      </c>
      <c r="D4681" t="str">
        <v>-</v>
      </c>
      <c r="E4681" t="str">
        <v>-</v>
      </c>
      <c r="F4681" t="str">
        <v>-</v>
      </c>
      <c r="G4681" t="str">
        <v>-</v>
      </c>
    </row>
    <row r="4682">
      <c r="A4682">
        <v>4681</v>
      </c>
      <c r="B4682">
        <f>HYPERLINK("https://www.facebook.com/3231963353554453", "Công an phường Thái Bình  tỉnh Hòa Bình")</f>
      </c>
      <c r="C4682" t="str">
        <v>https://www.facebook.com/3231963353554453</v>
      </c>
      <c r="D4682" t="str">
        <v>-</v>
      </c>
      <c r="E4682" t="str">
        <v/>
      </c>
      <c r="F4682" t="str">
        <v>-</v>
      </c>
      <c r="G4682" t="str">
        <v>-</v>
      </c>
    </row>
    <row r="4683">
      <c r="A4683">
        <v>4682</v>
      </c>
      <c r="B4683">
        <f>HYPERLINK("https://www.hoabinh.gov.vn/tin-chi-tiet/-/bai-viet/giao-dat-cho-ubnd-thanh-pho-hoa-binh-de-thuc-hien-du-an-khu-nha-o-phuong-thai-binh-ha-tang-ky-thuat-khu-dan-cu-phuong-thai-binh--49398-1636.html", "UBND Ủy ban nhân dân phường Thái Bình  tỉnh Hòa Bình")</f>
      </c>
      <c r="C4683" t="str">
        <v>https://www.hoabinh.gov.vn/tin-chi-tiet/-/bai-viet/giao-dat-cho-ubnd-thanh-pho-hoa-binh-de-thuc-hien-du-an-khu-nha-o-phuong-thai-binh-ha-tang-ky-thuat-khu-dan-cu-phuong-thai-binh--49398-1636.html</v>
      </c>
      <c r="D4683" t="str">
        <v>-</v>
      </c>
      <c r="E4683" t="str">
        <v>-</v>
      </c>
      <c r="F4683" t="str">
        <v>-</v>
      </c>
      <c r="G4683" t="str">
        <v>-</v>
      </c>
    </row>
    <row r="4684">
      <c r="A4684">
        <v>4683</v>
      </c>
      <c r="B4684">
        <f>HYPERLINK("https://www.facebook.com/p/C%C3%B4ng-an-ph%C6%B0%E1%BB%9Dng-T%C3%A2n-Ho%C3%A0-TP-Ho%C3%A0-B%C3%ACnh-100071089855612/", "Công an phường Tân Hòa  tỉnh Hòa Bình")</f>
      </c>
      <c r="C4684" t="str">
        <v>https://www.facebook.com/p/C%C3%B4ng-an-ph%C6%B0%E1%BB%9Dng-T%C3%A2n-Ho%C3%A0-TP-Ho%C3%A0-B%C3%ACnh-100071089855612/</v>
      </c>
      <c r="D4684" t="str">
        <v>-</v>
      </c>
      <c r="E4684" t="str">
        <v/>
      </c>
      <c r="F4684" t="str">
        <v>-</v>
      </c>
      <c r="G4684" t="str">
        <v>-</v>
      </c>
    </row>
    <row r="4685">
      <c r="A4685">
        <v>4684</v>
      </c>
      <c r="B4685">
        <f>HYPERLINK("https://phuongtanhoa.hoabinh.gov.vn/", "UBND Ủy ban nhân dân phường Tân Hòa  tỉnh Hòa Bình")</f>
      </c>
      <c r="C4685" t="str">
        <v>https://phuongtanhoa.hoabinh.gov.vn/</v>
      </c>
      <c r="D4685" t="str">
        <v>-</v>
      </c>
      <c r="E4685" t="str">
        <v>-</v>
      </c>
      <c r="F4685" t="str">
        <v>-</v>
      </c>
      <c r="G4685" t="str">
        <v>-</v>
      </c>
    </row>
    <row r="4686">
      <c r="A4686">
        <v>4685</v>
      </c>
      <c r="B4686">
        <f>HYPERLINK("https://www.facebook.com/p/UBND-ph%C6%B0%E1%BB%9Dng-Th%E1%BB%8Bnh-Lang-100090942230269/", "Công an phường Thịnh Lang  tỉnh Hòa Bình")</f>
      </c>
      <c r="C4686" t="str">
        <v>https://www.facebook.com/p/UBND-ph%C6%B0%E1%BB%9Dng-Th%E1%BB%8Bnh-Lang-100090942230269/</v>
      </c>
      <c r="D4686" t="str">
        <v>-</v>
      </c>
      <c r="E4686" t="str">
        <v/>
      </c>
      <c r="F4686" t="str">
        <v>-</v>
      </c>
      <c r="G4686" t="str">
        <v>-</v>
      </c>
    </row>
    <row r="4687">
      <c r="A4687">
        <v>4686</v>
      </c>
      <c r="B4687">
        <f>HYPERLINK("https://phuongthinhlang.hoabinh.gov.vn/", "UBND Ủy ban nhân dân phường Thịnh Lang  tỉnh Hòa Bình")</f>
      </c>
      <c r="C4687" t="str">
        <v>https://phuongthinhlang.hoabinh.gov.vn/</v>
      </c>
      <c r="D4687" t="str">
        <v>-</v>
      </c>
      <c r="E4687" t="str">
        <v>-</v>
      </c>
      <c r="F4687" t="str">
        <v>-</v>
      </c>
      <c r="G4687" t="str">
        <v>-</v>
      </c>
    </row>
    <row r="4688">
      <c r="A4688">
        <v>4687</v>
      </c>
      <c r="B4688" t="str">
        <v>Công an phường Hữu Nghị  tỉnh Hòa Bình</v>
      </c>
      <c r="C4688" t="str">
        <v>-</v>
      </c>
      <c r="D4688" t="str">
        <v>-</v>
      </c>
      <c r="E4688" t="str">
        <v/>
      </c>
      <c r="F4688" t="str">
        <v>-</v>
      </c>
      <c r="G4688" t="str">
        <v>-</v>
      </c>
    </row>
    <row r="4689">
      <c r="A4689">
        <v>4688</v>
      </c>
      <c r="B4689">
        <f>HYPERLINK("https://phuonghuunghi.hoabinh.gov.vn/", "UBND Ủy ban nhân dân phường Hữu Nghị  tỉnh Hòa Bình")</f>
      </c>
      <c r="C4689" t="str">
        <v>https://phuonghuunghi.hoabinh.gov.vn/</v>
      </c>
      <c r="D4689" t="str">
        <v>-</v>
      </c>
      <c r="E4689" t="str">
        <v>-</v>
      </c>
      <c r="F4689" t="str">
        <v>-</v>
      </c>
      <c r="G4689" t="str">
        <v>-</v>
      </c>
    </row>
    <row r="4690">
      <c r="A4690">
        <v>4689</v>
      </c>
      <c r="B4690" t="str">
        <v>Công an phường Tân Thịnh  tỉnh Hòa Bình</v>
      </c>
      <c r="C4690" t="str">
        <v>-</v>
      </c>
      <c r="D4690" t="str">
        <v>-</v>
      </c>
      <c r="E4690" t="str">
        <v/>
      </c>
      <c r="F4690" t="str">
        <v>-</v>
      </c>
      <c r="G4690" t="str">
        <v>-</v>
      </c>
    </row>
    <row r="4691">
      <c r="A4691">
        <v>4690</v>
      </c>
      <c r="B4691">
        <f>HYPERLINK("https://phuongtanthinh.hoabinh.gov.vn/", "UBND Ủy ban nhân dân phường Tân Thịnh  tỉnh Hòa Bình")</f>
      </c>
      <c r="C4691" t="str">
        <v>https://phuongtanthinh.hoabinh.gov.vn/</v>
      </c>
      <c r="D4691" t="str">
        <v>-</v>
      </c>
      <c r="E4691" t="str">
        <v>-</v>
      </c>
      <c r="F4691" t="str">
        <v>-</v>
      </c>
      <c r="G4691" t="str">
        <v>-</v>
      </c>
    </row>
    <row r="4692">
      <c r="A4692">
        <v>4691</v>
      </c>
      <c r="B4692" t="str">
        <v>Công an phường Đồng Tiến  tỉnh Hòa Bình</v>
      </c>
      <c r="C4692" t="str">
        <v>-</v>
      </c>
      <c r="D4692" t="str">
        <v>-</v>
      </c>
      <c r="E4692" t="str">
        <v/>
      </c>
      <c r="F4692" t="str">
        <v>-</v>
      </c>
      <c r="G4692" t="str">
        <v>-</v>
      </c>
    </row>
    <row r="4693">
      <c r="A4693">
        <v>4692</v>
      </c>
      <c r="B4693">
        <f>HYPERLINK("https://phuongdongtien.hoabinh.gov.vn/", "UBND Ủy ban nhân dân phường Đồng Tiến  tỉnh Hòa Bình")</f>
      </c>
      <c r="C4693" t="str">
        <v>https://phuongdongtien.hoabinh.gov.vn/</v>
      </c>
      <c r="D4693" t="str">
        <v>-</v>
      </c>
      <c r="E4693" t="str">
        <v>-</v>
      </c>
      <c r="F4693" t="str">
        <v>-</v>
      </c>
      <c r="G4693" t="str">
        <v>-</v>
      </c>
    </row>
    <row r="4694">
      <c r="A4694">
        <v>4693</v>
      </c>
      <c r="B4694" t="str">
        <v>Công an phường Phương Lâm  tỉnh Hòa Bình</v>
      </c>
      <c r="C4694" t="str">
        <v>-</v>
      </c>
      <c r="D4694" t="str">
        <v>-</v>
      </c>
      <c r="E4694" t="str">
        <v/>
      </c>
      <c r="F4694" t="str">
        <v>-</v>
      </c>
      <c r="G4694" t="str">
        <v>-</v>
      </c>
    </row>
    <row r="4695">
      <c r="A4695">
        <v>4694</v>
      </c>
      <c r="B4695">
        <f>HYPERLINK("https://phuongphuonglam.hoabinh.gov.vn/index.php/component/content/featured", "UBND Ủy ban nhân dân phường Phương Lâm  tỉnh Hòa Bình")</f>
      </c>
      <c r="C4695" t="str">
        <v>https://phuongphuonglam.hoabinh.gov.vn/index.php/component/content/featured</v>
      </c>
      <c r="D4695" t="str">
        <v>-</v>
      </c>
      <c r="E4695" t="str">
        <v>-</v>
      </c>
      <c r="F4695" t="str">
        <v>-</v>
      </c>
      <c r="G4695" t="str">
        <v>-</v>
      </c>
    </row>
    <row r="4696">
      <c r="A4696">
        <v>4695</v>
      </c>
      <c r="B4696" t="str">
        <v>Công an phường Chăm Mát  tỉnh Hòa Bình</v>
      </c>
      <c r="C4696" t="str">
        <v>-</v>
      </c>
      <c r="D4696" t="str">
        <v>-</v>
      </c>
      <c r="E4696" t="str">
        <v/>
      </c>
      <c r="F4696" t="str">
        <v>-</v>
      </c>
      <c r="G4696" t="str">
        <v>-</v>
      </c>
    </row>
    <row r="4697">
      <c r="A4697">
        <v>4696</v>
      </c>
      <c r="B4697">
        <f>HYPERLINK("https://www.hoabinh.gov.vn/tin-chi-tiet/-/bai-viet/chuyen-muc-dich-su-dung-dat-va-cho-cong-ty-co-phan-dau-tu-ha-tang-cum-cong-nghiep-hoa-binh-thue-dat-dot-1-thuc-hien-du-an-ha-tang-ky-thuat-cum-cong-nghiep-cham-mat-dan-chu-thanh-pho-hoa-binh-49209-1636.html", "UBND Ủy ban nhân dân phường Chăm Mát  tỉnh Hòa Bình")</f>
      </c>
      <c r="C4697" t="str">
        <v>https://www.hoabinh.gov.vn/tin-chi-tiet/-/bai-viet/chuyen-muc-dich-su-dung-dat-va-cho-cong-ty-co-phan-dau-tu-ha-tang-cum-cong-nghiep-hoa-binh-thue-dat-dot-1-thuc-hien-du-an-ha-tang-ky-thuat-cum-cong-nghiep-cham-mat-dan-chu-thanh-pho-hoa-binh-49209-1636.html</v>
      </c>
      <c r="D4697" t="str">
        <v>-</v>
      </c>
      <c r="E4697" t="str">
        <v>-</v>
      </c>
      <c r="F4697" t="str">
        <v>-</v>
      </c>
      <c r="G4697" t="str">
        <v>-</v>
      </c>
    </row>
    <row r="4698">
      <c r="A4698">
        <v>4697</v>
      </c>
      <c r="B4698">
        <f>HYPERLINK("https://www.facebook.com/joycampingbynaturekeyretreat/", "Công an xã Yên Mông  tỉnh Hòa Bình")</f>
      </c>
      <c r="C4698" t="str">
        <v>https://www.facebook.com/joycampingbynaturekeyretreat/</v>
      </c>
      <c r="D4698" t="str">
        <v>-</v>
      </c>
      <c r="E4698" t="str">
        <v/>
      </c>
      <c r="F4698" t="str">
        <v>-</v>
      </c>
      <c r="G4698" t="str">
        <v>-</v>
      </c>
    </row>
    <row r="4699">
      <c r="A4699">
        <v>4698</v>
      </c>
      <c r="B4699">
        <f>HYPERLINK("https://ubndtp.hoabinh.gov.vn/index.php/vi/xa-c-tia-n-a-u-t/959-xa-ya-n-ma-ng-ta-cha-c-ha-i-ngha-s-ka-t-gia-a-nhia-m-ka-tha-c-hia-n-ngha-quya-t-a-i-ha-i-a-ng-ba-xa-la-n-tha-xviii-nhia-m-ka-2020-a-2025", "UBND Ủy ban nhân dân xã Yên Mông  tỉnh Hòa Bình")</f>
      </c>
      <c r="C4699" t="str">
        <v>https://ubndtp.hoabinh.gov.vn/index.php/vi/xa-c-tia-n-a-u-t/959-xa-ya-n-ma-ng-ta-cha-c-ha-i-ngha-s-ka-t-gia-a-nhia-m-ka-tha-c-hia-n-ngha-quya-t-a-i-ha-i-a-ng-ba-xa-la-n-tha-xviii-nhia-m-ka-2020-a-2025</v>
      </c>
      <c r="D4699" t="str">
        <v>-</v>
      </c>
      <c r="E4699" t="str">
        <v>-</v>
      </c>
      <c r="F4699" t="str">
        <v>-</v>
      </c>
      <c r="G4699" t="str">
        <v>-</v>
      </c>
    </row>
    <row r="4700">
      <c r="A4700">
        <v>4699</v>
      </c>
      <c r="B4700" t="str">
        <v>Công an xã Sủ Ngòi  tỉnh Hòa Bình</v>
      </c>
      <c r="C4700" t="str">
        <v>-</v>
      </c>
      <c r="D4700" t="str">
        <v>-</v>
      </c>
      <c r="E4700" t="str">
        <v/>
      </c>
      <c r="F4700" t="str">
        <v>-</v>
      </c>
      <c r="G4700" t="str">
        <v>-</v>
      </c>
    </row>
    <row r="4701">
      <c r="A4701">
        <v>4700</v>
      </c>
      <c r="B4701">
        <f>HYPERLINK("https://www.hoabinh.gov.vn/tin-chi-tiet/-/bai-viet/thanh-pho-hoa-binh-khai-hoi-inh-ngoi-9882-1359.html", "UBND Ủy ban nhân dân xã Sủ Ngòi  tỉnh Hòa Bình")</f>
      </c>
      <c r="C4701" t="str">
        <v>https://www.hoabinh.gov.vn/tin-chi-tiet/-/bai-viet/thanh-pho-hoa-binh-khai-hoi-inh-ngoi-9882-1359.html</v>
      </c>
      <c r="D4701" t="str">
        <v>-</v>
      </c>
      <c r="E4701" t="str">
        <v>-</v>
      </c>
      <c r="F4701" t="str">
        <v>-</v>
      </c>
      <c r="G4701" t="str">
        <v>-</v>
      </c>
    </row>
    <row r="4702">
      <c r="A4702">
        <v>4701</v>
      </c>
      <c r="B4702">
        <f>HYPERLINK("https://www.facebook.com/congantinhhoabinh/", "Công an xã Dân Chủ  tỉnh Hòa Bình")</f>
      </c>
      <c r="C4702" t="str">
        <v>https://www.facebook.com/congantinhhoabinh/</v>
      </c>
      <c r="D4702" t="str">
        <v>-</v>
      </c>
      <c r="E4702" t="str">
        <v/>
      </c>
      <c r="F4702" t="str">
        <v>-</v>
      </c>
      <c r="G4702" t="str">
        <v>-</v>
      </c>
    </row>
    <row r="4703">
      <c r="A4703">
        <v>4702</v>
      </c>
      <c r="B4703">
        <f>HYPERLINK("https://www.hoabinh.gov.vn/", "UBND Ủy ban nhân dân xã Dân Chủ  tỉnh Hòa Bình")</f>
      </c>
      <c r="C4703" t="str">
        <v>https://www.hoabinh.gov.vn/</v>
      </c>
      <c r="D4703" t="str">
        <v>-</v>
      </c>
      <c r="E4703" t="str">
        <v>-</v>
      </c>
      <c r="F4703" t="str">
        <v>-</v>
      </c>
      <c r="G4703" t="str">
        <v>-</v>
      </c>
    </row>
    <row r="4704">
      <c r="A4704">
        <v>4703</v>
      </c>
      <c r="B4704" t="str">
        <v>Công an xã Thái Thịnh  tỉnh Hòa Bình</v>
      </c>
      <c r="C4704" t="str">
        <v>-</v>
      </c>
      <c r="D4704" t="str">
        <v>-</v>
      </c>
      <c r="E4704" t="str">
        <v/>
      </c>
      <c r="F4704" t="str">
        <v>-</v>
      </c>
      <c r="G4704" t="str">
        <v>-</v>
      </c>
    </row>
    <row r="4705">
      <c r="A4705">
        <v>4704</v>
      </c>
      <c r="B4705">
        <f>HYPERLINK("https://www.hoabinh.gov.vn/tin-chi-tiet/-/bai-viet/xa-thai-thinh-khai-thac-tiem-nang-phat-trien-kinh-te-15430-1170.html", "UBND Ủy ban nhân dân xã Thái Thịnh  tỉnh Hòa Bình")</f>
      </c>
      <c r="C4705" t="str">
        <v>https://www.hoabinh.gov.vn/tin-chi-tiet/-/bai-viet/xa-thai-thinh-khai-thac-tiem-nang-phat-trien-kinh-te-15430-1170.html</v>
      </c>
      <c r="D4705" t="str">
        <v>-</v>
      </c>
      <c r="E4705" t="str">
        <v>-</v>
      </c>
      <c r="F4705" t="str">
        <v>-</v>
      </c>
      <c r="G4705" t="str">
        <v>-</v>
      </c>
    </row>
    <row r="4706">
      <c r="A4706">
        <v>4705</v>
      </c>
      <c r="B4706">
        <f>HYPERLINK("https://www.facebook.com/congantinhhoabinh/", "Công an xã Hòa Bình  tỉnh Hòa Bình")</f>
      </c>
      <c r="C4706" t="str">
        <v>https://www.facebook.com/congantinhhoabinh/</v>
      </c>
      <c r="D4706" t="str">
        <v>-</v>
      </c>
      <c r="E4706" t="str">
        <v/>
      </c>
      <c r="F4706" t="str">
        <v>-</v>
      </c>
      <c r="G4706" t="str">
        <v>-</v>
      </c>
    </row>
    <row r="4707">
      <c r="A4707">
        <v>4706</v>
      </c>
      <c r="B4707">
        <f>HYPERLINK("https://www.hoabinh.gov.vn/", "UBND Ủy ban nhân dân xã Hòa Bình  tỉnh Hòa Bình")</f>
      </c>
      <c r="C4707" t="str">
        <v>https://www.hoabinh.gov.vn/</v>
      </c>
      <c r="D4707" t="str">
        <v>-</v>
      </c>
      <c r="E4707" t="str">
        <v>-</v>
      </c>
      <c r="F4707" t="str">
        <v>-</v>
      </c>
      <c r="G4707" t="str">
        <v>-</v>
      </c>
    </row>
    <row r="4708">
      <c r="A4708">
        <v>4707</v>
      </c>
      <c r="B4708">
        <f>HYPERLINK("https://www.facebook.com/congantinhhoabinh/", "Công an xã Hòa Bình  tỉnh Hòa Bình")</f>
      </c>
      <c r="C4708" t="str">
        <v>https://www.facebook.com/congantinhhoabinh/</v>
      </c>
      <c r="D4708" t="str">
        <v>-</v>
      </c>
      <c r="E4708" t="str">
        <v/>
      </c>
      <c r="F4708" t="str">
        <v>-</v>
      </c>
      <c r="G4708" t="str">
        <v>-</v>
      </c>
    </row>
    <row r="4709">
      <c r="A4709">
        <v>4708</v>
      </c>
      <c r="B4709">
        <f>HYPERLINK("https://www.hoabinh.gov.vn/", "UBND Ủy ban nhân dân xã Hòa Bình  tỉnh Hòa Bình")</f>
      </c>
      <c r="C4709" t="str">
        <v>https://www.hoabinh.gov.vn/</v>
      </c>
      <c r="D4709" t="str">
        <v>-</v>
      </c>
      <c r="E4709" t="str">
        <v>-</v>
      </c>
      <c r="F4709" t="str">
        <v>-</v>
      </c>
      <c r="G4709" t="str">
        <v>-</v>
      </c>
    </row>
    <row r="4710">
      <c r="A4710">
        <v>4709</v>
      </c>
      <c r="B4710" t="str">
        <v>Công an xã Trung Minh  tỉnh Hòa Bình</v>
      </c>
      <c r="C4710" t="str">
        <v>-</v>
      </c>
      <c r="D4710" t="str">
        <v>-</v>
      </c>
      <c r="E4710" t="str">
        <v/>
      </c>
      <c r="F4710" t="str">
        <v>-</v>
      </c>
      <c r="G4710" t="str">
        <v>-</v>
      </c>
    </row>
    <row r="4711">
      <c r="A4711">
        <v>4710</v>
      </c>
      <c r="B4711">
        <f>HYPERLINK("https://txbinhminh.vinhlong.gov.vn/", "UBND Ủy ban nhân dân xã Trung Minh  tỉnh Hòa Bình")</f>
      </c>
      <c r="C4711" t="str">
        <v>https://txbinhminh.vinhlong.gov.vn/</v>
      </c>
      <c r="D4711" t="str">
        <v>-</v>
      </c>
      <c r="E4711" t="str">
        <v>-</v>
      </c>
      <c r="F4711" t="str">
        <v>-</v>
      </c>
      <c r="G4711" t="str">
        <v>-</v>
      </c>
    </row>
    <row r="4712">
      <c r="A4712">
        <v>4711</v>
      </c>
      <c r="B4712">
        <f>HYPERLINK("https://www.facebook.com/p/Tu%E1%BB%95i-tr%E1%BA%BB-C%C3%B4ng-an-huy%E1%BB%87n-%C4%90%C3%A0-B%E1%BA%AFc-100064551649842/", "Công an thị trấn Đà Bắc  tỉnh Hòa Bình")</f>
      </c>
      <c r="C4712" t="str">
        <v>https://www.facebook.com/p/Tu%E1%BB%95i-tr%E1%BA%BB-C%C3%B4ng-an-huy%E1%BB%87n-%C4%90%C3%A0-B%E1%BA%AFc-100064551649842/</v>
      </c>
      <c r="D4712" t="str">
        <v>-</v>
      </c>
      <c r="E4712" t="str">
        <v/>
      </c>
      <c r="F4712" t="str">
        <v>-</v>
      </c>
      <c r="G4712" t="str">
        <v>-</v>
      </c>
    </row>
    <row r="4713">
      <c r="A4713">
        <v>4712</v>
      </c>
      <c r="B4713">
        <f>HYPERLINK("https://dabac.hoabinh.gov.vn/", "UBND Ủy ban nhân dân thị trấn Đà Bắc  tỉnh Hòa Bình")</f>
      </c>
      <c r="C4713" t="str">
        <v>https://dabac.hoabinh.gov.vn/</v>
      </c>
      <c r="D4713" t="str">
        <v>-</v>
      </c>
      <c r="E4713" t="str">
        <v>-</v>
      </c>
      <c r="F4713" t="str">
        <v>-</v>
      </c>
      <c r="G4713" t="str">
        <v>-</v>
      </c>
    </row>
    <row r="4714">
      <c r="A4714">
        <v>4713</v>
      </c>
      <c r="B4714">
        <f>HYPERLINK("https://www.facebook.com/congantinhhoabinh/", "Công an xã Đồng Nghê  tỉnh Hòa Bình")</f>
      </c>
      <c r="C4714" t="str">
        <v>https://www.facebook.com/congantinhhoabinh/</v>
      </c>
      <c r="D4714" t="str">
        <v>-</v>
      </c>
      <c r="E4714" t="str">
        <v/>
      </c>
      <c r="F4714" t="str">
        <v>-</v>
      </c>
      <c r="G4714" t="str">
        <v>-</v>
      </c>
    </row>
    <row r="4715">
      <c r="A4715">
        <v>4714</v>
      </c>
      <c r="B4715">
        <f>HYPERLINK("https://xananhnghe.hoabinh.gov.vn/index.php/14-sample-data-articles/213-tra-sa-ubnd-xa-a-ng-ngha", "UBND Ủy ban nhân dân xã Đồng Nghê  tỉnh Hòa Bình")</f>
      </c>
      <c r="C4715" t="str">
        <v>https://xananhnghe.hoabinh.gov.vn/index.php/14-sample-data-articles/213-tra-sa-ubnd-xa-a-ng-ngha</v>
      </c>
      <c r="D4715" t="str">
        <v>-</v>
      </c>
      <c r="E4715" t="str">
        <v>-</v>
      </c>
      <c r="F4715" t="str">
        <v>-</v>
      </c>
      <c r="G4715" t="str">
        <v>-</v>
      </c>
    </row>
    <row r="4716">
      <c r="A4716">
        <v>4715</v>
      </c>
      <c r="B4716" t="str">
        <v>Công an xã Suối Nánh  tỉnh Hòa Bình</v>
      </c>
      <c r="C4716" t="str">
        <v>-</v>
      </c>
      <c r="D4716" t="str">
        <v>-</v>
      </c>
      <c r="E4716" t="str">
        <v/>
      </c>
      <c r="F4716" t="str">
        <v>-</v>
      </c>
      <c r="G4716" t="str">
        <v>-</v>
      </c>
    </row>
    <row r="4717">
      <c r="A4717">
        <v>4716</v>
      </c>
      <c r="B4717">
        <f>HYPERLINK("https://xananhnghe.hoabinh.gov.vn/", "UBND Ủy ban nhân dân xã Suối Nánh  tỉnh Hòa Bình")</f>
      </c>
      <c r="C4717" t="str">
        <v>https://xananhnghe.hoabinh.gov.vn/</v>
      </c>
      <c r="D4717" t="str">
        <v>-</v>
      </c>
      <c r="E4717" t="str">
        <v>-</v>
      </c>
      <c r="F4717" t="str">
        <v>-</v>
      </c>
      <c r="G4717" t="str">
        <v>-</v>
      </c>
    </row>
    <row r="4718">
      <c r="A4718">
        <v>4717</v>
      </c>
      <c r="B4718" t="str">
        <v>Công an xã Giáp Đắt  tỉnh Hòa Bình</v>
      </c>
      <c r="C4718" t="str">
        <v>-</v>
      </c>
      <c r="D4718" t="str">
        <v>-</v>
      </c>
      <c r="E4718" t="str">
        <v/>
      </c>
      <c r="F4718" t="str">
        <v>-</v>
      </c>
      <c r="G4718" t="str">
        <v>-</v>
      </c>
    </row>
    <row r="4719">
      <c r="A4719">
        <v>4718</v>
      </c>
      <c r="B4719">
        <f>HYPERLINK("https://xagiapdat.hoabinh.gov.vn/", "UBND Ủy ban nhân dân xã Giáp Đắt  tỉnh Hòa Bình")</f>
      </c>
      <c r="C4719" t="str">
        <v>https://xagiapdat.hoabinh.gov.vn/</v>
      </c>
      <c r="D4719" t="str">
        <v>-</v>
      </c>
      <c r="E4719" t="str">
        <v>-</v>
      </c>
      <c r="F4719" t="str">
        <v>-</v>
      </c>
      <c r="G4719" t="str">
        <v>-</v>
      </c>
    </row>
    <row r="4720">
      <c r="A4720">
        <v>4719</v>
      </c>
      <c r="B4720" t="str">
        <v>Công an xã Mường Tuổng  tỉnh Hòa Bình</v>
      </c>
      <c r="C4720" t="str">
        <v>-</v>
      </c>
      <c r="D4720" t="str">
        <v>-</v>
      </c>
      <c r="E4720" t="str">
        <v/>
      </c>
      <c r="F4720" t="str">
        <v>-</v>
      </c>
      <c r="G4720" t="str">
        <v>-</v>
      </c>
    </row>
    <row r="4721">
      <c r="A4721">
        <v>4720</v>
      </c>
      <c r="B4721">
        <f>HYPERLINK("https://xamuongchieng.hoabinh.gov.vn/index.php/gi-i-thi-u-chung", "UBND Ủy ban nhân dân xã Mường Tuổng  tỉnh Hòa Bình")</f>
      </c>
      <c r="C4721" t="str">
        <v>https://xamuongchieng.hoabinh.gov.vn/index.php/gi-i-thi-u-chung</v>
      </c>
      <c r="D4721" t="str">
        <v>-</v>
      </c>
      <c r="E4721" t="str">
        <v>-</v>
      </c>
      <c r="F4721" t="str">
        <v>-</v>
      </c>
      <c r="G4721" t="str">
        <v>-</v>
      </c>
    </row>
    <row r="4722">
      <c r="A4722">
        <v>4721</v>
      </c>
      <c r="B4722">
        <f>HYPERLINK("https://www.facebook.com/groups/207468934473841/", "Công an xã Mường Chiềng  tỉnh Hòa Bình")</f>
      </c>
      <c r="C4722" t="str">
        <v>https://www.facebook.com/groups/207468934473841/</v>
      </c>
      <c r="D4722" t="str">
        <v>-</v>
      </c>
      <c r="E4722" t="str">
        <v/>
      </c>
      <c r="F4722" t="str">
        <v>-</v>
      </c>
      <c r="G4722" t="str">
        <v>-</v>
      </c>
    </row>
    <row r="4723">
      <c r="A4723">
        <v>4722</v>
      </c>
      <c r="B4723">
        <f>HYPERLINK("https://xamuongchieng.hoabinh.gov.vn/", "UBND Ủy ban nhân dân xã Mường Chiềng  tỉnh Hòa Bình")</f>
      </c>
      <c r="C4723" t="str">
        <v>https://xamuongchieng.hoabinh.gov.vn/</v>
      </c>
      <c r="D4723" t="str">
        <v>-</v>
      </c>
      <c r="E4723" t="str">
        <v>-</v>
      </c>
      <c r="F4723" t="str">
        <v>-</v>
      </c>
      <c r="G4723" t="str">
        <v>-</v>
      </c>
    </row>
    <row r="4724">
      <c r="A4724">
        <v>4723</v>
      </c>
      <c r="B4724">
        <f>HYPERLINK("https://www.facebook.com/p/C%C3%B4ng-an-x%C3%A3-T%C3%A2n-Pheo-%C4%90%C3%A0-B%E1%BA%AFc-H%C3%B2a-B%C3%ACnh-61554876114822/", "Công an xã Tân Pheo  tỉnh Hòa Bình")</f>
      </c>
      <c r="C4724" t="str">
        <v>https://www.facebook.com/p/C%C3%B4ng-an-x%C3%A3-T%C3%A2n-Pheo-%C4%90%C3%A0-B%E1%BA%AFc-H%C3%B2a-B%C3%ACnh-61554876114822/</v>
      </c>
      <c r="D4724" t="str">
        <v>-</v>
      </c>
      <c r="E4724" t="str">
        <v/>
      </c>
      <c r="F4724" t="str">
        <v>-</v>
      </c>
      <c r="G4724" t="str">
        <v>-</v>
      </c>
    </row>
    <row r="4725">
      <c r="A4725">
        <v>4724</v>
      </c>
      <c r="B4725">
        <f>HYPERLINK("https://www.hoabinh.gov.vn/tin-chi-tiet/-/bai-viet/cong-bo-benh-dich-ta-lon-chau-phi-tai-xa-tan-pheo-va-xa-trung-thanh-huyen-da-bac-51728-1475.html", "UBND Ủy ban nhân dân xã Tân Pheo  tỉnh Hòa Bình")</f>
      </c>
      <c r="C4725" t="str">
        <v>https://www.hoabinh.gov.vn/tin-chi-tiet/-/bai-viet/cong-bo-benh-dich-ta-lon-chau-phi-tai-xa-tan-pheo-va-xa-trung-thanh-huyen-da-bac-51728-1475.html</v>
      </c>
      <c r="D4725" t="str">
        <v>-</v>
      </c>
      <c r="E4725" t="str">
        <v>-</v>
      </c>
      <c r="F4725" t="str">
        <v>-</v>
      </c>
      <c r="G4725" t="str">
        <v>-</v>
      </c>
    </row>
    <row r="4726">
      <c r="A4726">
        <v>4725</v>
      </c>
      <c r="B4726" t="str">
        <v>Công an xã Đồng Chum  tỉnh Hòa Bình</v>
      </c>
      <c r="C4726" t="str">
        <v>-</v>
      </c>
      <c r="D4726" t="str">
        <v>-</v>
      </c>
      <c r="E4726" t="str">
        <v/>
      </c>
      <c r="F4726" t="str">
        <v>-</v>
      </c>
      <c r="G4726" t="str">
        <v>-</v>
      </c>
    </row>
    <row r="4727">
      <c r="A4727">
        <v>4726</v>
      </c>
      <c r="B4727">
        <f>HYPERLINK("https://www.hoabinh.gov.vn/tin-chi-tiet/-/bai-viet/xa-dong-chum-huyen-da-bac-phan-dau-hoan-thanh-tung-tieu-chi-chung-suc-xay-dung-nong-thon-moi-46073-1170.html", "UBND Ủy ban nhân dân xã Đồng Chum  tỉnh Hòa Bình")</f>
      </c>
      <c r="C4727" t="str">
        <v>https://www.hoabinh.gov.vn/tin-chi-tiet/-/bai-viet/xa-dong-chum-huyen-da-bac-phan-dau-hoan-thanh-tung-tieu-chi-chung-suc-xay-dung-nong-thon-moi-46073-1170.html</v>
      </c>
      <c r="D4727" t="str">
        <v>-</v>
      </c>
      <c r="E4727" t="str">
        <v>-</v>
      </c>
      <c r="F4727" t="str">
        <v>-</v>
      </c>
      <c r="G4727" t="str">
        <v>-</v>
      </c>
    </row>
    <row r="4728">
      <c r="A4728">
        <v>4727</v>
      </c>
      <c r="B4728">
        <f>HYPERLINK("https://www.facebook.com/p/C%C3%B4ng-an-x%C3%A3-T%C3%A2n-Minh-huy%E1%BB%87n-%C4%90%C3%A0-B%E1%BA%AFc-t%E1%BB%89nh-Ho%C3%A0-B%C3%ACnh-100066812649960/", "Công an xã Tân Minh  tỉnh Hòa Bình")</f>
      </c>
      <c r="C4728" t="str">
        <v>https://www.facebook.com/p/C%C3%B4ng-an-x%C3%A3-T%C3%A2n-Minh-huy%E1%BB%87n-%C4%90%C3%A0-B%E1%BA%AFc-t%E1%BB%89nh-Ho%C3%A0-B%C3%ACnh-100066812649960/</v>
      </c>
      <c r="D4728" t="str">
        <v>-</v>
      </c>
      <c r="E4728" t="str">
        <v/>
      </c>
      <c r="F4728" t="str">
        <v>-</v>
      </c>
      <c r="G4728" t="str">
        <v>-</v>
      </c>
    </row>
    <row r="4729">
      <c r="A4729">
        <v>4728</v>
      </c>
      <c r="B4729">
        <f>HYPERLINK("https://xatanminh.hoabinh.gov.vn/", "UBND Ủy ban nhân dân xã Tân Minh  tỉnh Hòa Bình")</f>
      </c>
      <c r="C4729" t="str">
        <v>https://xatanminh.hoabinh.gov.vn/</v>
      </c>
      <c r="D4729" t="str">
        <v>-</v>
      </c>
      <c r="E4729" t="str">
        <v>-</v>
      </c>
      <c r="F4729" t="str">
        <v>-</v>
      </c>
      <c r="G4729" t="str">
        <v>-</v>
      </c>
    </row>
    <row r="4730">
      <c r="A4730">
        <v>4729</v>
      </c>
      <c r="B4730" t="str">
        <v>Công an xã Đoàn Kết  tỉnh Hòa Bình</v>
      </c>
      <c r="C4730" t="str">
        <v>-</v>
      </c>
      <c r="D4730" t="str">
        <v>-</v>
      </c>
      <c r="E4730" t="str">
        <v/>
      </c>
      <c r="F4730" t="str">
        <v>-</v>
      </c>
      <c r="G4730" t="str">
        <v>-</v>
      </c>
    </row>
    <row r="4731">
      <c r="A4731">
        <v>4730</v>
      </c>
      <c r="B4731">
        <f>HYPERLINK("https://doanket.hoabinh.gov.vn/", "UBND Ủy ban nhân dân xã Đoàn Kết  tỉnh Hòa Bình")</f>
      </c>
      <c r="C4731" t="str">
        <v>https://doanket.hoabinh.gov.vn/</v>
      </c>
      <c r="D4731" t="str">
        <v>-</v>
      </c>
      <c r="E4731" t="str">
        <v>-</v>
      </c>
      <c r="F4731" t="str">
        <v>-</v>
      </c>
      <c r="G4731" t="str">
        <v>-</v>
      </c>
    </row>
    <row r="4732">
      <c r="A4732">
        <v>4731</v>
      </c>
      <c r="B4732" t="str">
        <v>Công an xã Đồng Ruộng  tỉnh Hòa Bình</v>
      </c>
      <c r="C4732" t="str">
        <v>-</v>
      </c>
      <c r="D4732" t="str">
        <v>-</v>
      </c>
      <c r="E4732" t="str">
        <v/>
      </c>
      <c r="F4732" t="str">
        <v>-</v>
      </c>
      <c r="G4732" t="str">
        <v>-</v>
      </c>
    </row>
    <row r="4733">
      <c r="A4733">
        <v>4732</v>
      </c>
      <c r="B4733">
        <f>HYPERLINK("https://xadongruong.hoabinh.gov.vn/", "UBND Ủy ban nhân dân xã Đồng Ruộng  tỉnh Hòa Bình")</f>
      </c>
      <c r="C4733" t="str">
        <v>https://xadongruong.hoabinh.gov.vn/</v>
      </c>
      <c r="D4733" t="str">
        <v>-</v>
      </c>
      <c r="E4733" t="str">
        <v>-</v>
      </c>
      <c r="F4733" t="str">
        <v>-</v>
      </c>
      <c r="G4733" t="str">
        <v>-</v>
      </c>
    </row>
    <row r="4734">
      <c r="A4734">
        <v>4733</v>
      </c>
      <c r="B4734">
        <f>HYPERLINK("https://www.facebook.com/TuLyDaBac/", "Công an xã Hào Lý  tỉnh Hòa Bình")</f>
      </c>
      <c r="C4734" t="str">
        <v>https://www.facebook.com/TuLyDaBac/</v>
      </c>
      <c r="D4734" t="str">
        <v>-</v>
      </c>
      <c r="E4734" t="str">
        <v/>
      </c>
      <c r="F4734" t="str">
        <v>-</v>
      </c>
      <c r="G4734" t="str">
        <v>-</v>
      </c>
    </row>
    <row r="4735">
      <c r="A4735">
        <v>4734</v>
      </c>
      <c r="B4735">
        <f>HYPERLINK("https://xatuly.hoabinh.gov.vn/", "UBND Ủy ban nhân dân xã Hào Lý  tỉnh Hòa Bình")</f>
      </c>
      <c r="C4735" t="str">
        <v>https://xatuly.hoabinh.gov.vn/</v>
      </c>
      <c r="D4735" t="str">
        <v>-</v>
      </c>
      <c r="E4735" t="str">
        <v>-</v>
      </c>
      <c r="F4735" t="str">
        <v>-</v>
      </c>
      <c r="G4735" t="str">
        <v>-</v>
      </c>
    </row>
    <row r="4736">
      <c r="A4736">
        <v>4735</v>
      </c>
      <c r="B4736">
        <f>HYPERLINK("https://www.facebook.com/congantinhhoabinh/", "Công an xã Tu Lý  tỉnh Hòa Bình")</f>
      </c>
      <c r="C4736" t="str">
        <v>https://www.facebook.com/congantinhhoabinh/</v>
      </c>
      <c r="D4736" t="str">
        <v>-</v>
      </c>
      <c r="E4736" t="str">
        <v/>
      </c>
      <c r="F4736" t="str">
        <v>-</v>
      </c>
      <c r="G4736" t="str">
        <v>-</v>
      </c>
    </row>
    <row r="4737">
      <c r="A4737">
        <v>4736</v>
      </c>
      <c r="B4737">
        <f>HYPERLINK("https://xatuly.hoabinh.gov.vn/", "UBND Ủy ban nhân dân xã Tu Lý  tỉnh Hòa Bình")</f>
      </c>
      <c r="C4737" t="str">
        <v>https://xatuly.hoabinh.gov.vn/</v>
      </c>
      <c r="D4737" t="str">
        <v>-</v>
      </c>
      <c r="E4737" t="str">
        <v>-</v>
      </c>
      <c r="F4737" t="str">
        <v>-</v>
      </c>
      <c r="G4737" t="str">
        <v>-</v>
      </c>
    </row>
    <row r="4738">
      <c r="A4738">
        <v>4737</v>
      </c>
      <c r="B4738">
        <f>HYPERLINK("https://www.facebook.com/774255440013242", "Công an xã Trung Thành  tỉnh Hòa Bình")</f>
      </c>
      <c r="C4738" t="str">
        <v>https://www.facebook.com/774255440013242</v>
      </c>
      <c r="D4738" t="str">
        <v>-</v>
      </c>
      <c r="E4738" t="str">
        <v/>
      </c>
      <c r="F4738" t="str">
        <v>-</v>
      </c>
      <c r="G4738" t="str">
        <v>-</v>
      </c>
    </row>
    <row r="4739">
      <c r="A4739">
        <v>4738</v>
      </c>
      <c r="B4739">
        <f>HYPERLINK("https://xatrungthanh.hoabinh.gov.vn/", "UBND Ủy ban nhân dân xã Trung Thành  tỉnh Hòa Bình")</f>
      </c>
      <c r="C4739" t="str">
        <v>https://xatrungthanh.hoabinh.gov.vn/</v>
      </c>
      <c r="D4739" t="str">
        <v>-</v>
      </c>
      <c r="E4739" t="str">
        <v>-</v>
      </c>
      <c r="F4739" t="str">
        <v>-</v>
      </c>
      <c r="G4739" t="str">
        <v>-</v>
      </c>
    </row>
    <row r="4740">
      <c r="A4740">
        <v>4739</v>
      </c>
      <c r="B4740">
        <f>HYPERLINK("https://www.facebook.com/p/C%C3%B4ng-an-x%C3%A3-Y%C3%AAn-Ho%C3%A0-huy%E1%BB%87n-%C4%90%C3%A0-B%E1%BA%AFc-t%E1%BB%89nh-Ho%C3%A0-B%C3%ACnh-100069019728537/", "Công an xã Yên Hòa  tỉnh Hòa Bình")</f>
      </c>
      <c r="C4740" t="str">
        <v>https://www.facebook.com/p/C%C3%B4ng-an-x%C3%A3-Y%C3%AAn-Ho%C3%A0-huy%E1%BB%87n-%C4%90%C3%A0-B%E1%BA%AFc-t%E1%BB%89nh-Ho%C3%A0-B%C3%ACnh-100069019728537/</v>
      </c>
      <c r="D4740" t="str">
        <v>-</v>
      </c>
      <c r="E4740" t="str">
        <v/>
      </c>
      <c r="F4740" t="str">
        <v>-</v>
      </c>
      <c r="G4740" t="str">
        <v>-</v>
      </c>
    </row>
    <row r="4741">
      <c r="A4741">
        <v>4740</v>
      </c>
      <c r="B4741">
        <f>HYPERLINK("https://yenhoa.yenmo.ninhbinh.gov.vn/pages/van-ban-cua-ubnd-xa", "UBND Ủy ban nhân dân xã Yên Hòa  tỉnh Hòa Bình")</f>
      </c>
      <c r="C4741" t="str">
        <v>https://yenhoa.yenmo.ninhbinh.gov.vn/pages/van-ban-cua-ubnd-xa</v>
      </c>
      <c r="D4741" t="str">
        <v>-</v>
      </c>
      <c r="E4741" t="str">
        <v>-</v>
      </c>
      <c r="F4741" t="str">
        <v>-</v>
      </c>
      <c r="G4741" t="str">
        <v>-</v>
      </c>
    </row>
    <row r="4742">
      <c r="A4742">
        <v>4741</v>
      </c>
      <c r="B4742">
        <f>HYPERLINK("https://www.facebook.com/p/C%C3%B4ng-an-x%C3%A3-Cao-S%C6%A1n-huy%E1%BB%87n-L%C6%B0%C6%A1ng-S%C6%A1n-Ho%C3%A0-B%C3%ACnh-100071414754686/", "Công an xã Cao Sơn  tỉnh Hòa Bình")</f>
      </c>
      <c r="C4742" t="str">
        <v>https://www.facebook.com/p/C%C3%B4ng-an-x%C3%A3-Cao-S%C6%A1n-huy%E1%BB%87n-L%C6%B0%C6%A1ng-S%C6%A1n-Ho%C3%A0-B%C3%ACnh-100071414754686/</v>
      </c>
      <c r="D4742" t="str">
        <v>-</v>
      </c>
      <c r="E4742" t="str">
        <v/>
      </c>
      <c r="F4742" t="str">
        <v>-</v>
      </c>
      <c r="G4742" t="str">
        <v>-</v>
      </c>
    </row>
    <row r="4743">
      <c r="A4743">
        <v>4742</v>
      </c>
      <c r="B4743">
        <f>HYPERLINK("https://caoson.hoabinh.gov.vn/", "UBND Ủy ban nhân dân xã Cao Sơn  tỉnh Hòa Bình")</f>
      </c>
      <c r="C4743" t="str">
        <v>https://caoson.hoabinh.gov.vn/</v>
      </c>
      <c r="D4743" t="str">
        <v>-</v>
      </c>
      <c r="E4743" t="str">
        <v>-</v>
      </c>
      <c r="F4743" t="str">
        <v>-</v>
      </c>
      <c r="G4743" t="str">
        <v>-</v>
      </c>
    </row>
    <row r="4744">
      <c r="A4744">
        <v>4743</v>
      </c>
      <c r="B4744">
        <f>HYPERLINK("https://www.facebook.com/XaPhiHung0853504567/", "Công an xã Toàn Sơn  tỉnh Hòa Bình")</f>
      </c>
      <c r="C4744" t="str">
        <v>https://www.facebook.com/XaPhiHung0853504567/</v>
      </c>
      <c r="D4744" t="str">
        <v>-</v>
      </c>
      <c r="E4744" t="str">
        <v/>
      </c>
      <c r="F4744" t="str">
        <v>-</v>
      </c>
      <c r="G4744" t="str">
        <v>-</v>
      </c>
    </row>
    <row r="4745">
      <c r="A4745">
        <v>4744</v>
      </c>
      <c r="B4745">
        <f>HYPERLINK("https://xahoason.hoabinh.gov.vn/", "UBND Ủy ban nhân dân xã Toàn Sơn  tỉnh Hòa Bình")</f>
      </c>
      <c r="C4745" t="str">
        <v>https://xahoason.hoabinh.gov.vn/</v>
      </c>
      <c r="D4745" t="str">
        <v>-</v>
      </c>
      <c r="E4745" t="str">
        <v>-</v>
      </c>
      <c r="F4745" t="str">
        <v>-</v>
      </c>
      <c r="G4745" t="str">
        <v>-</v>
      </c>
    </row>
    <row r="4746">
      <c r="A4746">
        <v>4745</v>
      </c>
      <c r="B4746">
        <f>HYPERLINK("https://www.facebook.com/p/Tu%E1%BB%95i-tr%E1%BA%BB-C%C3%B4ng-an-huy%E1%BB%87n-%C4%90%C3%A0-B%E1%BA%AFc-100064551649842/?locale=ca_ES", "Công an xã Hiền Lương  tỉnh Hòa Bình")</f>
      </c>
      <c r="C4746" t="str">
        <v>https://www.facebook.com/p/Tu%E1%BB%95i-tr%E1%BA%BB-C%C3%B4ng-an-huy%E1%BB%87n-%C4%90%C3%A0-B%E1%BA%AFc-100064551649842/?locale=ca_ES</v>
      </c>
      <c r="D4746" t="str">
        <v>-</v>
      </c>
      <c r="E4746" t="str">
        <v/>
      </c>
      <c r="F4746" t="str">
        <v>-</v>
      </c>
      <c r="G4746" t="str">
        <v>-</v>
      </c>
    </row>
    <row r="4747">
      <c r="A4747">
        <v>4746</v>
      </c>
      <c r="B4747">
        <f>HYPERLINK("https://xahienluong.hoabinh.gov.vn/", "UBND Ủy ban nhân dân xã Hiền Lương  tỉnh Hòa Bình")</f>
      </c>
      <c r="C4747" t="str">
        <v>https://xahienluong.hoabinh.gov.vn/</v>
      </c>
      <c r="D4747" t="str">
        <v>-</v>
      </c>
      <c r="E4747" t="str">
        <v>-</v>
      </c>
      <c r="F4747" t="str">
        <v>-</v>
      </c>
      <c r="G4747" t="str">
        <v>-</v>
      </c>
    </row>
    <row r="4748">
      <c r="A4748">
        <v>4747</v>
      </c>
      <c r="B4748">
        <f>HYPERLINK("https://www.facebook.com/groups/131767698914811/_join_/", "Công an xã Tiền Phong  tỉnh Hòa Bình")</f>
      </c>
      <c r="C4748" t="str">
        <v>https://www.facebook.com/groups/131767698914811/_join_/</v>
      </c>
      <c r="D4748" t="str">
        <v>-</v>
      </c>
      <c r="E4748" t="str">
        <v/>
      </c>
      <c r="F4748" t="str">
        <v>-</v>
      </c>
      <c r="G4748" t="str">
        <v>-</v>
      </c>
    </row>
    <row r="4749">
      <c r="A4749">
        <v>4748</v>
      </c>
      <c r="B4749">
        <f>HYPERLINK("https://xatienphong.hoabinh.gov.vn/", "UBND Ủy ban nhân dân xã Tiền Phong  tỉnh Hòa Bình")</f>
      </c>
      <c r="C4749" t="str">
        <v>https://xatienphong.hoabinh.gov.vn/</v>
      </c>
      <c r="D4749" t="str">
        <v>-</v>
      </c>
      <c r="E4749" t="str">
        <v>-</v>
      </c>
      <c r="F4749" t="str">
        <v>-</v>
      </c>
      <c r="G4749" t="str">
        <v>-</v>
      </c>
    </row>
    <row r="4750">
      <c r="A4750">
        <v>4749</v>
      </c>
      <c r="B4750" t="str">
        <v>Công an xã Vầy Nưa  tỉnh Hòa Bình</v>
      </c>
      <c r="C4750" t="str">
        <v>-</v>
      </c>
      <c r="D4750" t="str">
        <v>-</v>
      </c>
      <c r="E4750" t="str">
        <v/>
      </c>
      <c r="F4750" t="str">
        <v>-</v>
      </c>
      <c r="G4750" t="str">
        <v>-</v>
      </c>
    </row>
    <row r="4751">
      <c r="A4751">
        <v>4750</v>
      </c>
      <c r="B4751">
        <f>HYPERLINK("https://www.hoabinh.gov.vn/tin-chi-tiet/-/bai-viet/cong-bo-benh-dich-ta-lon-chau-phi-tai-xa-vay-nua-huyen-da-bac-tinh-hoa-binh-52395-1388.html", "UBND Ủy ban nhân dân xã Vầy Nưa  tỉnh Hòa Bình")</f>
      </c>
      <c r="C4751" t="str">
        <v>https://www.hoabinh.gov.vn/tin-chi-tiet/-/bai-viet/cong-bo-benh-dich-ta-lon-chau-phi-tai-xa-vay-nua-huyen-da-bac-tinh-hoa-binh-52395-1388.html</v>
      </c>
      <c r="D4751" t="str">
        <v>-</v>
      </c>
      <c r="E4751" t="str">
        <v>-</v>
      </c>
      <c r="F4751" t="str">
        <v>-</v>
      </c>
      <c r="G4751" t="str">
        <v>-</v>
      </c>
    </row>
    <row r="4752">
      <c r="A4752">
        <v>4751</v>
      </c>
      <c r="B4752" t="str">
        <v>Công an thị trấn Kỳ Sơn  tỉnh Hòa Bình</v>
      </c>
      <c r="C4752" t="str">
        <v>-</v>
      </c>
      <c r="D4752" t="str">
        <v>-</v>
      </c>
      <c r="E4752" t="str">
        <v/>
      </c>
      <c r="F4752" t="str">
        <v>-</v>
      </c>
      <c r="G4752" t="str">
        <v>-</v>
      </c>
    </row>
    <row r="4753">
      <c r="A4753">
        <v>4752</v>
      </c>
      <c r="B4753">
        <f>HYPERLINK("https://thitranluongson.hoabinh.gov.vn/", "UBND Ủy ban nhân dân thị trấn Kỳ Sơn  tỉnh Hòa Bình")</f>
      </c>
      <c r="C4753" t="str">
        <v>https://thitranluongson.hoabinh.gov.vn/</v>
      </c>
      <c r="D4753" t="str">
        <v>-</v>
      </c>
      <c r="E4753" t="str">
        <v>-</v>
      </c>
      <c r="F4753" t="str">
        <v>-</v>
      </c>
      <c r="G4753" t="str">
        <v>-</v>
      </c>
    </row>
    <row r="4754">
      <c r="A4754">
        <v>4753</v>
      </c>
      <c r="B4754" t="str">
        <v>Công an xã Hợp Thịnh  tỉnh Hòa Bình</v>
      </c>
      <c r="C4754" t="str">
        <v>-</v>
      </c>
      <c r="D4754" t="str">
        <v>-</v>
      </c>
      <c r="E4754" t="str">
        <v/>
      </c>
      <c r="F4754" t="str">
        <v>-</v>
      </c>
      <c r="G4754" t="str">
        <v>-</v>
      </c>
    </row>
    <row r="4755">
      <c r="A4755">
        <v>4754</v>
      </c>
      <c r="B4755">
        <f>HYPERLINK("https://hopthinh.hiephoa.bacgiang.gov.vn/", "UBND Ủy ban nhân dân xã Hợp Thịnh  tỉnh Hòa Bình")</f>
      </c>
      <c r="C4755" t="str">
        <v>https://hopthinh.hiephoa.bacgiang.gov.vn/</v>
      </c>
      <c r="D4755" t="str">
        <v>-</v>
      </c>
      <c r="E4755" t="str">
        <v>-</v>
      </c>
      <c r="F4755" t="str">
        <v>-</v>
      </c>
      <c r="G4755" t="str">
        <v>-</v>
      </c>
    </row>
    <row r="4756">
      <c r="A4756">
        <v>4755</v>
      </c>
      <c r="B4756">
        <f>HYPERLINK("https://www.facebook.com/vanhoathongtin.phuminh/", "Công an xã Phú Minh  tỉnh Hòa Bình")</f>
      </c>
      <c r="C4756" t="str">
        <v>https://www.facebook.com/vanhoathongtin.phuminh/</v>
      </c>
      <c r="D4756" t="str">
        <v>-</v>
      </c>
      <c r="E4756" t="str">
        <v/>
      </c>
      <c r="F4756" t="str">
        <v>-</v>
      </c>
      <c r="G4756" t="str">
        <v>-</v>
      </c>
    </row>
    <row r="4757">
      <c r="A4757">
        <v>4756</v>
      </c>
      <c r="B4757">
        <f>HYPERLINK("https://xathinhminh.hoabinh.gov.vn/index.php/2013-12-13-01-52-22", "UBND Ủy ban nhân dân xã Phú Minh  tỉnh Hòa Bình")</f>
      </c>
      <c r="C4757" t="str">
        <v>https://xathinhminh.hoabinh.gov.vn/index.php/2013-12-13-01-52-22</v>
      </c>
      <c r="D4757" t="str">
        <v>-</v>
      </c>
      <c r="E4757" t="str">
        <v>-</v>
      </c>
      <c r="F4757" t="str">
        <v>-</v>
      </c>
      <c r="G4757" t="str">
        <v>-</v>
      </c>
    </row>
    <row r="4758">
      <c r="A4758">
        <v>4757</v>
      </c>
      <c r="B4758">
        <f>HYPERLINK("https://www.facebook.com/conganxahopthanh/", "Công an xã Hợp Thành  tỉnh Hòa Bình")</f>
      </c>
      <c r="C4758" t="str">
        <v>https://www.facebook.com/conganxahopthanh/</v>
      </c>
      <c r="D4758" t="str">
        <v>-</v>
      </c>
      <c r="E4758" t="str">
        <v/>
      </c>
      <c r="F4758" t="str">
        <v>-</v>
      </c>
      <c r="G4758" t="str">
        <v>-</v>
      </c>
    </row>
    <row r="4759">
      <c r="A4759">
        <v>4758</v>
      </c>
      <c r="B4759">
        <f>HYPERLINK("https://xahopthanh.hoabinh.gov.vn/", "UBND Ủy ban nhân dân xã Hợp Thành  tỉnh Hòa Bình")</f>
      </c>
      <c r="C4759" t="str">
        <v>https://xahopthanh.hoabinh.gov.vn/</v>
      </c>
      <c r="D4759" t="str">
        <v>-</v>
      </c>
      <c r="E4759" t="str">
        <v>-</v>
      </c>
      <c r="F4759" t="str">
        <v>-</v>
      </c>
      <c r="G4759" t="str">
        <v>-</v>
      </c>
    </row>
    <row r="4760">
      <c r="A4760">
        <v>4759</v>
      </c>
      <c r="B4760" t="str">
        <v>Công an xã Phúc Tiến  tỉnh Hòa Bình</v>
      </c>
      <c r="C4760" t="str">
        <v>-</v>
      </c>
      <c r="D4760" t="str">
        <v>-</v>
      </c>
      <c r="E4760" t="str">
        <v/>
      </c>
      <c r="F4760" t="str">
        <v>-</v>
      </c>
      <c r="G4760" t="str">
        <v>-</v>
      </c>
    </row>
    <row r="4761">
      <c r="A4761">
        <v>4760</v>
      </c>
      <c r="B4761">
        <f>HYPERLINK("https://www.hoabinh.gov.vn/tin-chi-tiet/-/bai-viet/-oan-bqh-tinh-tiep-xuc-cu-tri-xa-phuc-tien-yen-quang-cua-huyen-ky-son-33677-1475.html", "UBND Ủy ban nhân dân xã Phúc Tiến  tỉnh Hòa Bình")</f>
      </c>
      <c r="C4761" t="str">
        <v>https://www.hoabinh.gov.vn/tin-chi-tiet/-/bai-viet/-oan-bqh-tinh-tiep-xuc-cu-tri-xa-phuc-tien-yen-quang-cua-huyen-ky-son-33677-1475.html</v>
      </c>
      <c r="D4761" t="str">
        <v>-</v>
      </c>
      <c r="E4761" t="str">
        <v>-</v>
      </c>
      <c r="F4761" t="str">
        <v>-</v>
      </c>
      <c r="G4761" t="str">
        <v>-</v>
      </c>
    </row>
    <row r="4762">
      <c r="A4762">
        <v>4761</v>
      </c>
      <c r="B4762">
        <f>HYPERLINK("https://www.facebook.com/congantinhhoabinh/", "Công an xã Dân Hòa  tỉnh Hòa Bình")</f>
      </c>
      <c r="C4762" t="str">
        <v>https://www.facebook.com/congantinhhoabinh/</v>
      </c>
      <c r="D4762" t="str">
        <v>-</v>
      </c>
      <c r="E4762" t="str">
        <v/>
      </c>
      <c r="F4762" t="str">
        <v>-</v>
      </c>
      <c r="G4762" t="str">
        <v>-</v>
      </c>
    </row>
    <row r="4763">
      <c r="A4763">
        <v>4762</v>
      </c>
      <c r="B4763">
        <f>HYPERLINK("https://www.hoabinh.gov.vn/", "UBND Ủy ban nhân dân xã Dân Hòa  tỉnh Hòa Bình")</f>
      </c>
      <c r="C4763" t="str">
        <v>https://www.hoabinh.gov.vn/</v>
      </c>
      <c r="D4763" t="str">
        <v>-</v>
      </c>
      <c r="E4763" t="str">
        <v>-</v>
      </c>
      <c r="F4763" t="str">
        <v>-</v>
      </c>
      <c r="G4763" t="str">
        <v>-</v>
      </c>
    </row>
    <row r="4764">
      <c r="A4764">
        <v>4763</v>
      </c>
      <c r="B4764" t="str">
        <v>Công an xã Mông Hóa  tỉnh Hòa Bình</v>
      </c>
      <c r="C4764" t="str">
        <v>-</v>
      </c>
      <c r="D4764" t="str">
        <v>-</v>
      </c>
      <c r="E4764" t="str">
        <v/>
      </c>
      <c r="F4764" t="str">
        <v>-</v>
      </c>
      <c r="G4764" t="str">
        <v>-</v>
      </c>
    </row>
    <row r="4765">
      <c r="A4765">
        <v>4764</v>
      </c>
      <c r="B4765">
        <f>HYPERLINK("https://xamonghoa.hoabinh.gov.vn/", "UBND Ủy ban nhân dân xã Mông Hóa  tỉnh Hòa Bình")</f>
      </c>
      <c r="C4765" t="str">
        <v>https://xamonghoa.hoabinh.gov.vn/</v>
      </c>
      <c r="D4765" t="str">
        <v>-</v>
      </c>
      <c r="E4765" t="str">
        <v>-</v>
      </c>
      <c r="F4765" t="str">
        <v>-</v>
      </c>
      <c r="G4765" t="str">
        <v>-</v>
      </c>
    </row>
    <row r="4766">
      <c r="A4766">
        <v>4765</v>
      </c>
      <c r="B4766">
        <f>HYPERLINK("https://www.facebook.com/congantinhhoabinh/", "Công an xã Dân Hạ  tỉnh Hòa Bình")</f>
      </c>
      <c r="C4766" t="str">
        <v>https://www.facebook.com/congantinhhoabinh/</v>
      </c>
      <c r="D4766" t="str">
        <v>-</v>
      </c>
      <c r="E4766" t="str">
        <v/>
      </c>
      <c r="F4766" t="str">
        <v>-</v>
      </c>
      <c r="G4766" t="str">
        <v>-</v>
      </c>
    </row>
    <row r="4767">
      <c r="A4767">
        <v>4766</v>
      </c>
      <c r="B4767">
        <f>HYPERLINK("https://hoabinh.kontumcity.kontum.gov.vn/gioi-thieu/co-cau-to-chuc/uy-ban-nhan-dan-phuong", "UBND Ủy ban nhân dân xã Dân Hạ  tỉnh Hòa Bình")</f>
      </c>
      <c r="C4767" t="str">
        <v>https://hoabinh.kontumcity.kontum.gov.vn/gioi-thieu/co-cau-to-chuc/uy-ban-nhan-dan-phuong</v>
      </c>
      <c r="D4767" t="str">
        <v>-</v>
      </c>
      <c r="E4767" t="str">
        <v>-</v>
      </c>
      <c r="F4767" t="str">
        <v>-</v>
      </c>
      <c r="G4767" t="str">
        <v>-</v>
      </c>
    </row>
    <row r="4768">
      <c r="A4768">
        <v>4767</v>
      </c>
      <c r="B4768" t="str">
        <v>Công an xã Độc Lập  tỉnh Hòa Bình</v>
      </c>
      <c r="C4768" t="str">
        <v>-</v>
      </c>
      <c r="D4768" t="str">
        <v>-</v>
      </c>
      <c r="E4768" t="str">
        <v/>
      </c>
      <c r="F4768" t="str">
        <v>-</v>
      </c>
      <c r="G4768" t="str">
        <v>-</v>
      </c>
    </row>
    <row r="4769">
      <c r="A4769">
        <v>4768</v>
      </c>
      <c r="B4769">
        <f>HYPERLINK("https://xadoclap.hoabinh.gov.vn/", "UBND Ủy ban nhân dân xã Độc Lập  tỉnh Hòa Bình")</f>
      </c>
      <c r="C4769" t="str">
        <v>https://xadoclap.hoabinh.gov.vn/</v>
      </c>
      <c r="D4769" t="str">
        <v>-</v>
      </c>
      <c r="E4769" t="str">
        <v>-</v>
      </c>
      <c r="F4769" t="str">
        <v>-</v>
      </c>
      <c r="G4769" t="str">
        <v>-</v>
      </c>
    </row>
    <row r="4770">
      <c r="A4770">
        <v>4769</v>
      </c>
      <c r="B4770" t="str">
        <v>Công an xã Yên Quang  tỉnh Hòa Bình</v>
      </c>
      <c r="C4770" t="str">
        <v>-</v>
      </c>
      <c r="D4770" t="str">
        <v>-</v>
      </c>
      <c r="E4770" t="str">
        <v/>
      </c>
      <c r="F4770" t="str">
        <v>-</v>
      </c>
      <c r="G4770" t="str">
        <v>-</v>
      </c>
    </row>
    <row r="4771">
      <c r="A4771">
        <v>4770</v>
      </c>
      <c r="B4771">
        <f>HYPERLINK("https://yenthuy.hoabinh.gov.vn/", "UBND Ủy ban nhân dân xã Yên Quang  tỉnh Hòa Bình")</f>
      </c>
      <c r="C4771" t="str">
        <v>https://yenthuy.hoabinh.gov.vn/</v>
      </c>
      <c r="D4771" t="str">
        <v>-</v>
      </c>
      <c r="E4771" t="str">
        <v>-</v>
      </c>
      <c r="F4771" t="str">
        <v>-</v>
      </c>
      <c r="G4771" t="str">
        <v>-</v>
      </c>
    </row>
    <row r="4772">
      <c r="A4772">
        <v>4771</v>
      </c>
      <c r="B4772">
        <f>HYPERLINK("https://www.facebook.com/p/Tu%E1%BB%95i-tr%E1%BA%BB-ph%C3%B2ng-CSC%C4%90-C%C3%B4ng-an-t%E1%BB%89nh-Ho%C3%A0-B%C3%ACnh-100077598099489/", "Công an thị trấn Lương Sơn  tỉnh Hòa Bình")</f>
      </c>
      <c r="C4772" t="str">
        <v>https://www.facebook.com/p/Tu%E1%BB%95i-tr%E1%BA%BB-ph%C3%B2ng-CSC%C4%90-C%C3%B4ng-an-t%E1%BB%89nh-Ho%C3%A0-B%C3%ACnh-100077598099489/</v>
      </c>
      <c r="D4772" t="str">
        <v>-</v>
      </c>
      <c r="E4772" t="str">
        <v/>
      </c>
      <c r="F4772" t="str">
        <v>-</v>
      </c>
      <c r="G4772" t="str">
        <v>-</v>
      </c>
    </row>
    <row r="4773">
      <c r="A4773">
        <v>4772</v>
      </c>
      <c r="B4773">
        <f>HYPERLINK("https://luongson.hoabinh.gov.vn/", "UBND Ủy ban nhân dân thị trấn Lương Sơn  tỉnh Hòa Bình")</f>
      </c>
      <c r="C4773" t="str">
        <v>https://luongson.hoabinh.gov.vn/</v>
      </c>
      <c r="D4773" t="str">
        <v>-</v>
      </c>
      <c r="E4773" t="str">
        <v>-</v>
      </c>
      <c r="F4773" t="str">
        <v>-</v>
      </c>
      <c r="G4773" t="str">
        <v>-</v>
      </c>
    </row>
    <row r="4774">
      <c r="A4774">
        <v>4773</v>
      </c>
      <c r="B4774">
        <f>HYPERLINK("https://www.facebook.com/Conganlamson04942/", "Công an xã Lâm Sơn  tỉnh Hòa Bình")</f>
      </c>
      <c r="C4774" t="str">
        <v>https://www.facebook.com/Conganlamson04942/</v>
      </c>
      <c r="D4774" t="str">
        <v>-</v>
      </c>
      <c r="E4774" t="str">
        <v/>
      </c>
      <c r="F4774" t="str">
        <v>-</v>
      </c>
      <c r="G4774" t="str">
        <v>-</v>
      </c>
    </row>
    <row r="4775">
      <c r="A4775">
        <v>4774</v>
      </c>
      <c r="B4775">
        <f>HYPERLINK("https://xalamson.hoabinh.gov.vn/", "UBND Ủy ban nhân dân xã Lâm Sơn  tỉnh Hòa Bình")</f>
      </c>
      <c r="C4775" t="str">
        <v>https://xalamson.hoabinh.gov.vn/</v>
      </c>
      <c r="D4775" t="str">
        <v>-</v>
      </c>
      <c r="E4775" t="str">
        <v>-</v>
      </c>
      <c r="F4775" t="str">
        <v>-</v>
      </c>
      <c r="G4775" t="str">
        <v>-</v>
      </c>
    </row>
    <row r="4776">
      <c r="A4776">
        <v>4775</v>
      </c>
      <c r="B4776">
        <f>HYPERLINK("https://www.facebook.com/p/Tu%E1%BB%95i-tr%E1%BA%BB-ph%C3%B2ng-CSC%C4%90-C%C3%B4ng-an-t%E1%BB%89nh-Ho%C3%A0-B%C3%ACnh-100077598099489/", "Công an xã Hòa Sơn  tỉnh Hòa Bình")</f>
      </c>
      <c r="C4776" t="str">
        <v>https://www.facebook.com/p/Tu%E1%BB%95i-tr%E1%BA%BB-ph%C3%B2ng-CSC%C4%90-C%C3%B4ng-an-t%E1%BB%89nh-Ho%C3%A0-B%C3%ACnh-100077598099489/</v>
      </c>
      <c r="D4776" t="str">
        <v>-</v>
      </c>
      <c r="E4776" t="str">
        <v/>
      </c>
      <c r="F4776" t="str">
        <v>-</v>
      </c>
      <c r="G4776" t="str">
        <v>-</v>
      </c>
    </row>
    <row r="4777">
      <c r="A4777">
        <v>4776</v>
      </c>
      <c r="B4777">
        <f>HYPERLINK("https://xahoason.hoabinh.gov.vn/", "UBND Ủy ban nhân dân xã Hòa Sơn  tỉnh Hòa Bình")</f>
      </c>
      <c r="C4777" t="str">
        <v>https://xahoason.hoabinh.gov.vn/</v>
      </c>
      <c r="D4777" t="str">
        <v>-</v>
      </c>
      <c r="E4777" t="str">
        <v>-</v>
      </c>
      <c r="F4777" t="str">
        <v>-</v>
      </c>
      <c r="G4777" t="str">
        <v>-</v>
      </c>
    </row>
    <row r="4778">
      <c r="A4778">
        <v>4777</v>
      </c>
      <c r="B4778" t="str">
        <v>Công an xã Trường Sơn  tỉnh Hòa Bình</v>
      </c>
      <c r="C4778" t="str">
        <v>-</v>
      </c>
      <c r="D4778" t="str">
        <v>-</v>
      </c>
      <c r="E4778" t="str">
        <v/>
      </c>
      <c r="F4778" t="str">
        <v>-</v>
      </c>
      <c r="G4778" t="str">
        <v>-</v>
      </c>
    </row>
    <row r="4779">
      <c r="A4779">
        <v>4778</v>
      </c>
      <c r="B4779">
        <f>HYPERLINK("https://luongson.hoabinh.gov.vn/index.php/kinh-t/1966-tha-m-a-nh-xa-tr-a-ng-s-n-ha-p-ha-a-a-t-chua-n-na-ng-tha-n-ma-i", "UBND Ủy ban nhân dân xã Trường Sơn  tỉnh Hòa Bình")</f>
      </c>
      <c r="C4779" t="str">
        <v>https://luongson.hoabinh.gov.vn/index.php/kinh-t/1966-tha-m-a-nh-xa-tr-a-ng-s-n-ha-p-ha-a-a-t-chua-n-na-ng-tha-n-ma-i</v>
      </c>
      <c r="D4779" t="str">
        <v>-</v>
      </c>
      <c r="E4779" t="str">
        <v>-</v>
      </c>
      <c r="F4779" t="str">
        <v>-</v>
      </c>
      <c r="G4779" t="str">
        <v>-</v>
      </c>
    </row>
    <row r="4780">
      <c r="A4780">
        <v>4779</v>
      </c>
      <c r="B4780">
        <f>HYPERLINK("https://www.facebook.com/people/C%C3%94NG-AN-X%C3%83-T%C3%82N-VINH/100071846994026/", "Công an xã Tân Vinh  tỉnh Hòa Bình")</f>
      </c>
      <c r="C4780" t="str">
        <v>https://www.facebook.com/people/C%C3%94NG-AN-X%C3%83-T%C3%82N-VINH/100071846994026/</v>
      </c>
      <c r="D4780" t="str">
        <v>-</v>
      </c>
      <c r="E4780" t="str">
        <v/>
      </c>
      <c r="F4780" t="str">
        <v>-</v>
      </c>
      <c r="G4780" t="str">
        <v>-</v>
      </c>
    </row>
    <row r="4781">
      <c r="A4781">
        <v>4780</v>
      </c>
      <c r="B4781">
        <f>HYPERLINK("https://xatanvinh.hoabinh.gov.vn/", "UBND Ủy ban nhân dân xã Tân Vinh  tỉnh Hòa Bình")</f>
      </c>
      <c r="C4781" t="str">
        <v>https://xatanvinh.hoabinh.gov.vn/</v>
      </c>
      <c r="D4781" t="str">
        <v>-</v>
      </c>
      <c r="E4781" t="str">
        <v>-</v>
      </c>
      <c r="F4781" t="str">
        <v>-</v>
      </c>
      <c r="G4781" t="str">
        <v>-</v>
      </c>
    </row>
    <row r="4782">
      <c r="A4782">
        <v>4781</v>
      </c>
      <c r="B4782" t="str">
        <v>Công an xã Nhuận Trạch  tỉnh Hòa Bình</v>
      </c>
      <c r="C4782" t="str">
        <v>-</v>
      </c>
      <c r="D4782" t="str">
        <v>-</v>
      </c>
      <c r="E4782" t="str">
        <v/>
      </c>
      <c r="F4782" t="str">
        <v>-</v>
      </c>
      <c r="G4782" t="str">
        <v>-</v>
      </c>
    </row>
    <row r="4783">
      <c r="A4783">
        <v>4782</v>
      </c>
      <c r="B4783">
        <f>HYPERLINK("https://xanhuantrach.hoabinh.gov.vn/", "UBND Ủy ban nhân dân xã Nhuận Trạch  tỉnh Hòa Bình")</f>
      </c>
      <c r="C4783" t="str">
        <v>https://xanhuantrach.hoabinh.gov.vn/</v>
      </c>
      <c r="D4783" t="str">
        <v>-</v>
      </c>
      <c r="E4783" t="str">
        <v>-</v>
      </c>
      <c r="F4783" t="str">
        <v>-</v>
      </c>
      <c r="G4783" t="str">
        <v>-</v>
      </c>
    </row>
    <row r="4784">
      <c r="A4784">
        <v>4783</v>
      </c>
      <c r="B4784">
        <f>HYPERLINK("https://www.facebook.com/events/x%C3%B3m-vai-%C4%91%C3%A0o-x%C3%A3-cao-r%C4%83m-huy%E1%BB%87n-l%C6%B0%C6%A1ng-s%C6%A1n-t%E1%BB%89nh-h%C3%B2a-b%C3%ACnh/t%C3%ACnh-nguy%E1%BB%87n-v%C3%AC-c%E1%BB%99ng-%C4%91%E1%BB%93ng-k%E1%BA%BFt-n%E1%BB%91i-y%C3%AAu-th%C6%B0%C6%A1ng-x%C3%B3m-vai-%C4%91%C3%A0o-x%C3%A3-cao-r%C4%83m-huy%E1%BB%87n-l%C6%B0%C6%A1ng-s/556514431192338/", "Công an xã Cao Răm  tỉnh Hòa Bình")</f>
      </c>
      <c r="C4784" t="str">
        <v>https://www.facebook.com/events/x%C3%B3m-vai-%C4%91%C3%A0o-x%C3%A3-cao-r%C4%83m-huy%E1%BB%87n-l%C6%B0%C6%A1ng-s%C6%A1n-t%E1%BB%89nh-h%C3%B2a-b%C3%ACnh/t%C3%ACnh-nguy%E1%BB%87n-v%C3%AC-c%E1%BB%99ng-%C4%91%E1%BB%93ng-k%E1%BA%BFt-n%E1%BB%91i-y%C3%AAu-th%C6%B0%C6%A1ng-x%C3%B3m-vai-%C4%91%C3%A0o-x%C3%A3-cao-r%C4%83m-huy%E1%BB%87n-l%C6%B0%C6%A1ng-s/556514431192338/</v>
      </c>
      <c r="D4784" t="str">
        <v>-</v>
      </c>
      <c r="E4784" t="str">
        <v/>
      </c>
      <c r="F4784" t="str">
        <v>-</v>
      </c>
      <c r="G4784" t="str">
        <v>-</v>
      </c>
    </row>
    <row r="4785">
      <c r="A4785">
        <v>4784</v>
      </c>
      <c r="B4785">
        <f>HYPERLINK("https://www.hoabinh.gov.vn/tin-chi-tiet/-/bai-viet/xa-cao-ram-luong-son-at-chuan-nong-thon-moi-31656-1218.html", "UBND Ủy ban nhân dân xã Cao Răm  tỉnh Hòa Bình")</f>
      </c>
      <c r="C4785" t="str">
        <v>https://www.hoabinh.gov.vn/tin-chi-tiet/-/bai-viet/xa-cao-ram-luong-son-at-chuan-nong-thon-moi-31656-1218.html</v>
      </c>
      <c r="D4785" t="str">
        <v>-</v>
      </c>
      <c r="E4785" t="str">
        <v>-</v>
      </c>
      <c r="F4785" t="str">
        <v>-</v>
      </c>
      <c r="G4785" t="str">
        <v>-</v>
      </c>
    </row>
    <row r="4786">
      <c r="A4786">
        <v>4785</v>
      </c>
      <c r="B4786">
        <f>HYPERLINK("https://www.facebook.com/p/Trang-th%C3%B4ng-tin-c%C3%B4ng-an-x%C3%A3-C%C6%B0-Y%C3%AAn-247-100078647356743/", "Công an xã Cư Yên  tỉnh Hòa Bình")</f>
      </c>
      <c r="C4786" t="str">
        <v>https://www.facebook.com/p/Trang-th%C3%B4ng-tin-c%C3%B4ng-an-x%C3%A3-C%C6%B0-Y%C3%AAn-247-100078647356743/</v>
      </c>
      <c r="D4786" t="str">
        <v>-</v>
      </c>
      <c r="E4786" t="str">
        <v/>
      </c>
      <c r="F4786" t="str">
        <v>-</v>
      </c>
      <c r="G4786" t="str">
        <v>-</v>
      </c>
    </row>
    <row r="4787">
      <c r="A4787">
        <v>4786</v>
      </c>
      <c r="B4787">
        <f>HYPERLINK("https://xacuyen.hoabinh.gov.vn/", "UBND Ủy ban nhân dân xã Cư Yên  tỉnh Hòa Bình")</f>
      </c>
      <c r="C4787" t="str">
        <v>https://xacuyen.hoabinh.gov.vn/</v>
      </c>
      <c r="D4787" t="str">
        <v>-</v>
      </c>
      <c r="E4787" t="str">
        <v>-</v>
      </c>
      <c r="F4787" t="str">
        <v>-</v>
      </c>
      <c r="G4787" t="str">
        <v>-</v>
      </c>
    </row>
    <row r="4788">
      <c r="A4788">
        <v>4787</v>
      </c>
      <c r="B4788">
        <f>HYPERLINK("https://www.facebook.com/congantinhhoabinh/", "Công an xã Hợp Hòa  tỉnh Hòa Bình")</f>
      </c>
      <c r="C4788" t="str">
        <v>https://www.facebook.com/congantinhhoabinh/</v>
      </c>
      <c r="D4788" t="str">
        <v>-</v>
      </c>
      <c r="E4788" t="str">
        <v/>
      </c>
      <c r="F4788" t="str">
        <v>-</v>
      </c>
      <c r="G4788" t="str">
        <v>-</v>
      </c>
    </row>
    <row r="4789">
      <c r="A4789">
        <v>4788</v>
      </c>
      <c r="B4789">
        <f>HYPERLINK("https://www.hoabinh.gov.vn/", "UBND Ủy ban nhân dân xã Hợp Hòa  tỉnh Hòa Bình")</f>
      </c>
      <c r="C4789" t="str">
        <v>https://www.hoabinh.gov.vn/</v>
      </c>
      <c r="D4789" t="str">
        <v>-</v>
      </c>
      <c r="E4789" t="str">
        <v>-</v>
      </c>
      <c r="F4789" t="str">
        <v>-</v>
      </c>
      <c r="G4789" t="str">
        <v>-</v>
      </c>
    </row>
    <row r="4790">
      <c r="A4790">
        <v>4789</v>
      </c>
      <c r="B4790">
        <f>HYPERLINK("https://www.facebook.com/p/Tu%E1%BB%95i-tr%E1%BA%BB-ph%C3%B2ng-CSC%C4%90-C%C3%B4ng-an-t%E1%BB%89nh-Ho%C3%A0-B%C3%ACnh-100077598099489/", "Công an xã Liên Sơn  tỉnh Hòa Bình")</f>
      </c>
      <c r="C4790" t="str">
        <v>https://www.facebook.com/p/Tu%E1%BB%95i-tr%E1%BA%BB-ph%C3%B2ng-CSC%C4%90-C%C3%B4ng-an-t%E1%BB%89nh-Ho%C3%A0-B%C3%ACnh-100077598099489/</v>
      </c>
      <c r="D4790" t="str">
        <v>-</v>
      </c>
      <c r="E4790" t="str">
        <v/>
      </c>
      <c r="F4790" t="str">
        <v>-</v>
      </c>
      <c r="G4790" t="str">
        <v>-</v>
      </c>
    </row>
    <row r="4791">
      <c r="A4791">
        <v>4790</v>
      </c>
      <c r="B4791">
        <f>HYPERLINK("https://xalienson.hoabinh.gov.vn/", "UBND Ủy ban nhân dân xã Liên Sơn  tỉnh Hòa Bình")</f>
      </c>
      <c r="C4791" t="str">
        <v>https://xalienson.hoabinh.gov.vn/</v>
      </c>
      <c r="D4791" t="str">
        <v>-</v>
      </c>
      <c r="E4791" t="str">
        <v>-</v>
      </c>
      <c r="F4791" t="str">
        <v>-</v>
      </c>
      <c r="G4791" t="str">
        <v>-</v>
      </c>
    </row>
    <row r="4792">
      <c r="A4792">
        <v>4791</v>
      </c>
      <c r="B4792">
        <f>HYPERLINK("https://www.facebook.com/congantinhhoabinh/", "Công an xã Thành Lập  tỉnh Hòa Bình")</f>
      </c>
      <c r="C4792" t="str">
        <v>https://www.facebook.com/congantinhhoabinh/</v>
      </c>
      <c r="D4792" t="str">
        <v>-</v>
      </c>
      <c r="E4792" t="str">
        <v/>
      </c>
      <c r="F4792" t="str">
        <v>-</v>
      </c>
      <c r="G4792" t="str">
        <v>-</v>
      </c>
    </row>
    <row r="4793">
      <c r="A4793">
        <v>4792</v>
      </c>
      <c r="B4793">
        <f>HYPERLINK("https://www.hoabinh.gov.vn/tin-chi-tiet/-/bai-viet/cong-bo-benh-dich-ta-lon-chau-phi-tai-dia-ban-xa-thach-yen-huyen-cao-phong-tinh-hoa-binh-53215-1475.html", "UBND Ủy ban nhân dân xã Thành Lập  tỉnh Hòa Bình")</f>
      </c>
      <c r="C4793" t="str">
        <v>https://www.hoabinh.gov.vn/tin-chi-tiet/-/bai-viet/cong-bo-benh-dich-ta-lon-chau-phi-tai-dia-ban-xa-thach-yen-huyen-cao-phong-tinh-hoa-binh-53215-1475.html</v>
      </c>
      <c r="D4793" t="str">
        <v>-</v>
      </c>
      <c r="E4793" t="str">
        <v>-</v>
      </c>
      <c r="F4793" t="str">
        <v>-</v>
      </c>
      <c r="G4793" t="str">
        <v>-</v>
      </c>
    </row>
    <row r="4794">
      <c r="A4794">
        <v>4793</v>
      </c>
      <c r="B4794">
        <f>HYPERLINK("https://www.facebook.com/congantinhhoabinh/", "Công an xã Tiến Sơn  tỉnh Hòa Bình")</f>
      </c>
      <c r="C4794" t="str">
        <v>https://www.facebook.com/congantinhhoabinh/</v>
      </c>
      <c r="D4794" t="str">
        <v>-</v>
      </c>
      <c r="E4794" t="str">
        <v/>
      </c>
      <c r="F4794" t="str">
        <v>-</v>
      </c>
      <c r="G4794" t="str">
        <v>-</v>
      </c>
    </row>
    <row r="4795">
      <c r="A4795">
        <v>4794</v>
      </c>
      <c r="B4795">
        <f>HYPERLINK("https://luongson.hoabinh.gov.vn/gi-i-thi-u-chung/so-do-co-cau-to-chuc/14-sample-data-articles/233-giai-thiau-va-ubnd-xa-lian-s-n", "UBND Ủy ban nhân dân xã Tiến Sơn  tỉnh Hòa Bình")</f>
      </c>
      <c r="C4795" t="str">
        <v>https://luongson.hoabinh.gov.vn/gi-i-thi-u-chung/so-do-co-cau-to-chuc/14-sample-data-articles/233-giai-thiau-va-ubnd-xa-lian-s-n</v>
      </c>
      <c r="D4795" t="str">
        <v>-</v>
      </c>
      <c r="E4795" t="str">
        <v>-</v>
      </c>
      <c r="F4795" t="str">
        <v>-</v>
      </c>
      <c r="G4795" t="str">
        <v>-</v>
      </c>
    </row>
    <row r="4796">
      <c r="A4796">
        <v>4795</v>
      </c>
      <c r="B4796" t="str">
        <v>Công an xã Trung Sơn  tỉnh Hòa Bình</v>
      </c>
      <c r="C4796" t="str">
        <v>-</v>
      </c>
      <c r="D4796" t="str">
        <v>-</v>
      </c>
      <c r="E4796" t="str">
        <v/>
      </c>
      <c r="F4796" t="str">
        <v>-</v>
      </c>
      <c r="G4796" t="str">
        <v>-</v>
      </c>
    </row>
    <row r="4797">
      <c r="A4797">
        <v>4796</v>
      </c>
      <c r="B4797">
        <f>HYPERLINK("https://luongson.hoabinh.gov.vn/gi-i-thi-u-chung/so-do-co-cau-to-chuc/14-sample-data-articles/233-giai-thiau-va-ubnd-xa-lian-s-n", "UBND Ủy ban nhân dân xã Trung Sơn  tỉnh Hòa Bình")</f>
      </c>
      <c r="C4797" t="str">
        <v>https://luongson.hoabinh.gov.vn/gi-i-thi-u-chung/so-do-co-cau-to-chuc/14-sample-data-articles/233-giai-thiau-va-ubnd-xa-lian-s-n</v>
      </c>
      <c r="D4797" t="str">
        <v>-</v>
      </c>
      <c r="E4797" t="str">
        <v>-</v>
      </c>
      <c r="F4797" t="str">
        <v>-</v>
      </c>
      <c r="G4797" t="str">
        <v>-</v>
      </c>
    </row>
    <row r="4798">
      <c r="A4798">
        <v>4797</v>
      </c>
      <c r="B4798">
        <f>HYPERLINK("https://www.facebook.com/CAXTANTHANH/", "Công an xã Tân Thành  tỉnh Hòa Bình")</f>
      </c>
      <c r="C4798" t="str">
        <v>https://www.facebook.com/CAXTANTHANH/</v>
      </c>
      <c r="D4798" t="str">
        <v>-</v>
      </c>
      <c r="E4798" t="str">
        <v/>
      </c>
      <c r="F4798" t="str">
        <v>-</v>
      </c>
      <c r="G4798" t="str">
        <v>-</v>
      </c>
    </row>
    <row r="4799">
      <c r="A4799">
        <v>4798</v>
      </c>
      <c r="B4799">
        <f>HYPERLINK("https://phubinh.thainguyen.gov.vn/xa-tan-thanh", "UBND Ủy ban nhân dân xã Tân Thành  tỉnh Hòa Bình")</f>
      </c>
      <c r="C4799" t="str">
        <v>https://phubinh.thainguyen.gov.vn/xa-tan-thanh</v>
      </c>
      <c r="D4799" t="str">
        <v>-</v>
      </c>
      <c r="E4799" t="str">
        <v>-</v>
      </c>
      <c r="F4799" t="str">
        <v>-</v>
      </c>
      <c r="G4799" t="str">
        <v>-</v>
      </c>
    </row>
    <row r="4800">
      <c r="A4800">
        <v>4799</v>
      </c>
      <c r="B4800">
        <f>HYPERLINK("https://www.facebook.com/p/C%C3%B4ng-an-x%C3%A3-Cao-D%C6%B0%C6%A1ng-huy%E1%BB%87n-L%C6%B0%C6%A1ng-S%C6%A1n-100083773418462/", "Công an xã Cao Dương  tỉnh Hòa Bình")</f>
      </c>
      <c r="C4800" t="str">
        <v>https://www.facebook.com/p/C%C3%B4ng-an-x%C3%A3-Cao-D%C6%B0%C6%A1ng-huy%E1%BB%87n-L%C6%B0%C6%A1ng-S%C6%A1n-100083773418462/</v>
      </c>
      <c r="D4800" t="str">
        <v>-</v>
      </c>
      <c r="E4800" t="str">
        <v/>
      </c>
      <c r="F4800" t="str">
        <v>-</v>
      </c>
      <c r="G4800" t="str">
        <v>-</v>
      </c>
    </row>
    <row r="4801">
      <c r="A4801">
        <v>4800</v>
      </c>
      <c r="B4801">
        <f>HYPERLINK("https://luongson.hoabinh.gov.vn/index.php/quy-ch-lam-vi-c/14-sample-data-articles/208-giai-thiau-va-ay-ban-nhan-dan-xa-cao-d-ng", "UBND Ủy ban nhân dân xã Cao Dương  tỉnh Hòa Bình")</f>
      </c>
      <c r="C4801" t="str">
        <v>https://luongson.hoabinh.gov.vn/index.php/quy-ch-lam-vi-c/14-sample-data-articles/208-giai-thiau-va-ay-ban-nhan-dan-xa-cao-d-ng</v>
      </c>
      <c r="D4801" t="str">
        <v>-</v>
      </c>
      <c r="E4801" t="str">
        <v>-</v>
      </c>
      <c r="F4801" t="str">
        <v>-</v>
      </c>
      <c r="G4801" t="str">
        <v>-</v>
      </c>
    </row>
    <row r="4802">
      <c r="A4802">
        <v>4801</v>
      </c>
      <c r="B4802">
        <f>HYPERLINK("https://www.facebook.com/congantinhhoabinh/", "Công an xã Hợp Châu  tỉnh Hòa Bình")</f>
      </c>
      <c r="C4802" t="str">
        <v>https://www.facebook.com/congantinhhoabinh/</v>
      </c>
      <c r="D4802" t="str">
        <v>-</v>
      </c>
      <c r="E4802" t="str">
        <v/>
      </c>
      <c r="F4802" t="str">
        <v>-</v>
      </c>
      <c r="G4802" t="str">
        <v>-</v>
      </c>
    </row>
    <row r="4803">
      <c r="A4803">
        <v>4802</v>
      </c>
      <c r="B4803">
        <f>HYPERLINK("https://luongson.hoabinh.gov.vn/index.php/chuc-nang-nhi-m-v/14-sample-data-articles/208-giai-thiau-va-ay-ban-nhan-dan-xa-cao-d-ng", "UBND Ủy ban nhân dân xã Hợp Châu  tỉnh Hòa Bình")</f>
      </c>
      <c r="C4803" t="str">
        <v>https://luongson.hoabinh.gov.vn/index.php/chuc-nang-nhi-m-v/14-sample-data-articles/208-giai-thiau-va-ay-ban-nhan-dan-xa-cao-d-ng</v>
      </c>
      <c r="D4803" t="str">
        <v>-</v>
      </c>
      <c r="E4803" t="str">
        <v>-</v>
      </c>
      <c r="F4803" t="str">
        <v>-</v>
      </c>
      <c r="G4803" t="str">
        <v>-</v>
      </c>
    </row>
    <row r="4804">
      <c r="A4804">
        <v>4803</v>
      </c>
      <c r="B4804" t="str">
        <v>Công an xã Long Sơn  tỉnh Hòa Bình</v>
      </c>
      <c r="C4804" t="str">
        <v>-</v>
      </c>
      <c r="D4804" t="str">
        <v>-</v>
      </c>
      <c r="E4804" t="str">
        <v/>
      </c>
      <c r="F4804" t="str">
        <v>-</v>
      </c>
      <c r="G4804" t="str">
        <v>-</v>
      </c>
    </row>
    <row r="4805">
      <c r="A4805">
        <v>4804</v>
      </c>
      <c r="B4805">
        <f>HYPERLINK("https://luongson.hoabinh.gov.vn/tin-n-i-b-t/1113-l-ng-s-n-a-n-ba-ng-di-ta-ch-la-ch-sa-v-n-ha-a-ta-a-n-xa-long-s-n", "UBND Ủy ban nhân dân xã Long Sơn  tỉnh Hòa Bình")</f>
      </c>
      <c r="C4805" t="str">
        <v>https://luongson.hoabinh.gov.vn/tin-n-i-b-t/1113-l-ng-s-n-a-n-ba-ng-di-ta-ch-la-ch-sa-v-n-ha-a-ta-a-n-xa-long-s-n</v>
      </c>
      <c r="D4805" t="str">
        <v>-</v>
      </c>
      <c r="E4805" t="str">
        <v>-</v>
      </c>
      <c r="F4805" t="str">
        <v>-</v>
      </c>
      <c r="G4805" t="str">
        <v>-</v>
      </c>
    </row>
    <row r="4806">
      <c r="A4806">
        <v>4805</v>
      </c>
      <c r="B4806" t="str">
        <v>Công an xã Cao Thắng  tỉnh Hòa Bình</v>
      </c>
      <c r="C4806" t="str">
        <v>-</v>
      </c>
      <c r="D4806" t="str">
        <v>-</v>
      </c>
      <c r="E4806" t="str">
        <v/>
      </c>
      <c r="F4806" t="str">
        <v>-</v>
      </c>
      <c r="G4806" t="str">
        <v>-</v>
      </c>
    </row>
    <row r="4807">
      <c r="A4807">
        <v>4806</v>
      </c>
      <c r="B4807">
        <f>HYPERLINK("https://www.hoabinh.gov.vn/", "UBND Ủy ban nhân dân xã Cao Thắng  tỉnh Hòa Bình")</f>
      </c>
      <c r="C4807" t="str">
        <v>https://www.hoabinh.gov.vn/</v>
      </c>
      <c r="D4807" t="str">
        <v>-</v>
      </c>
      <c r="E4807" t="str">
        <v>-</v>
      </c>
      <c r="F4807" t="str">
        <v>-</v>
      </c>
      <c r="G4807" t="str">
        <v>-</v>
      </c>
    </row>
    <row r="4808">
      <c r="A4808">
        <v>4807</v>
      </c>
      <c r="B4808">
        <f>HYPERLINK("https://www.facebook.com/p/Tu%E1%BB%95i-tr%E1%BA%BB-ph%C3%B2ng-CSC%C4%90-C%C3%B4ng-an-t%E1%BB%89nh-Ho%C3%A0-B%C3%ACnh-100077598099489/", "Công an xã Thanh Lương  tỉnh Hòa Bình")</f>
      </c>
      <c r="C4808" t="str">
        <v>https://www.facebook.com/p/Tu%E1%BB%95i-tr%E1%BA%BB-ph%C3%B2ng-CSC%C4%90-C%C3%B4ng-an-t%E1%BB%89nh-Ho%C3%A0-B%C3%ACnh-100077598099489/</v>
      </c>
      <c r="D4808" t="str">
        <v>-</v>
      </c>
      <c r="E4808" t="str">
        <v/>
      </c>
      <c r="F4808" t="str">
        <v>-</v>
      </c>
      <c r="G4808" t="str">
        <v>-</v>
      </c>
    </row>
    <row r="4809">
      <c r="A4809">
        <v>4808</v>
      </c>
      <c r="B4809">
        <f>HYPERLINK("https://luongson.hoabinh.gov.vn/", "UBND Ủy ban nhân dân xã Thanh Lương  tỉnh Hòa Bình")</f>
      </c>
      <c r="C4809" t="str">
        <v>https://luongson.hoabinh.gov.vn/</v>
      </c>
      <c r="D4809" t="str">
        <v>-</v>
      </c>
      <c r="E4809" t="str">
        <v>-</v>
      </c>
      <c r="F4809" t="str">
        <v>-</v>
      </c>
      <c r="G4809" t="str">
        <v>-</v>
      </c>
    </row>
    <row r="4810">
      <c r="A4810">
        <v>4809</v>
      </c>
      <c r="B4810">
        <f>HYPERLINK("https://www.facebook.com/conganxahopthanh/", "Công an xã Hợp Thanh  tỉnh Hòa Bình")</f>
      </c>
      <c r="C4810" t="str">
        <v>https://www.facebook.com/conganxahopthanh/</v>
      </c>
      <c r="D4810" t="str">
        <v>-</v>
      </c>
      <c r="E4810" t="str">
        <v/>
      </c>
      <c r="F4810" t="str">
        <v>-</v>
      </c>
      <c r="G4810" t="str">
        <v>-</v>
      </c>
    </row>
    <row r="4811">
      <c r="A4811">
        <v>4810</v>
      </c>
      <c r="B4811">
        <f>HYPERLINK("https://xahopthanh.hoabinh.gov.vn/", "UBND Ủy ban nhân dân xã Hợp Thanh  tỉnh Hòa Bình")</f>
      </c>
      <c r="C4811" t="str">
        <v>https://xahopthanh.hoabinh.gov.vn/</v>
      </c>
      <c r="D4811" t="str">
        <v>-</v>
      </c>
      <c r="E4811" t="str">
        <v>-</v>
      </c>
      <c r="F4811" t="str">
        <v>-</v>
      </c>
      <c r="G4811" t="str">
        <v>-</v>
      </c>
    </row>
    <row r="4812">
      <c r="A4812">
        <v>4811</v>
      </c>
      <c r="B4812">
        <f>HYPERLINK("https://www.facebook.com/p/C%C3%B4ng-an-th%E1%BB%8B-tr%E1%BA%A5n-Bo-100064830018613/", "Công an thị trấn Bo  tỉnh Hòa Bình")</f>
      </c>
      <c r="C4812" t="str">
        <v>https://www.facebook.com/p/C%C3%B4ng-an-th%E1%BB%8B-tr%E1%BA%A5n-Bo-100064830018613/</v>
      </c>
      <c r="D4812" t="str">
        <v>-</v>
      </c>
      <c r="E4812" t="str">
        <v/>
      </c>
      <c r="F4812" t="str">
        <v>-</v>
      </c>
      <c r="G4812" t="str">
        <v>-</v>
      </c>
    </row>
    <row r="4813">
      <c r="A4813">
        <v>4812</v>
      </c>
      <c r="B4813">
        <f>HYPERLINK("https://thitranhangtram.hoabinh.gov.vn/", "UBND Ủy ban nhân dân thị trấn Bo  tỉnh Hòa Bình")</f>
      </c>
      <c r="C4813" t="str">
        <v>https://thitranhangtram.hoabinh.gov.vn/</v>
      </c>
      <c r="D4813" t="str">
        <v>-</v>
      </c>
      <c r="E4813" t="str">
        <v>-</v>
      </c>
      <c r="F4813" t="str">
        <v>-</v>
      </c>
      <c r="G4813" t="str">
        <v>-</v>
      </c>
    </row>
    <row r="4814">
      <c r="A4814">
        <v>4813</v>
      </c>
      <c r="B4814" t="str">
        <v>Công an xã Đú Sáng  tỉnh Hòa Bình</v>
      </c>
      <c r="C4814" t="str">
        <v>-</v>
      </c>
      <c r="D4814" t="str">
        <v>-</v>
      </c>
      <c r="E4814" t="str">
        <v/>
      </c>
      <c r="F4814" t="str">
        <v>-</v>
      </c>
      <c r="G4814" t="str">
        <v>-</v>
      </c>
    </row>
    <row r="4815">
      <c r="A4815">
        <v>4814</v>
      </c>
      <c r="B4815">
        <f>HYPERLINK("https://www.hoabinh.gov.vn/tin-chi-tiet/-/bai-viet/quyet-dinh-ho-tro-khac-cho-cac-ho-gia-dinh-ca-nhan-bi-anh-huong-khi-nha-nuoc-thu-hoi-dat-thuc-hien-du-an-duong-lien-ket-vung-hoa-binh-ha-noi-va-cao-toc-son-la-doan-qua-huyen-kim-boi-51439-1590.html", "UBND Ủy ban nhân dân xã Đú Sáng  tỉnh Hòa Bình")</f>
      </c>
      <c r="C4815" t="str">
        <v>https://www.hoabinh.gov.vn/tin-chi-tiet/-/bai-viet/quyet-dinh-ho-tro-khac-cho-cac-ho-gia-dinh-ca-nhan-bi-anh-huong-khi-nha-nuoc-thu-hoi-dat-thuc-hien-du-an-duong-lien-ket-vung-hoa-binh-ha-noi-va-cao-toc-son-la-doan-qua-huyen-kim-boi-51439-1590.html</v>
      </c>
      <c r="D4815" t="str">
        <v>-</v>
      </c>
      <c r="E4815" t="str">
        <v>-</v>
      </c>
      <c r="F4815" t="str">
        <v>-</v>
      </c>
      <c r="G4815" t="str">
        <v>-</v>
      </c>
    </row>
    <row r="4816">
      <c r="A4816">
        <v>4815</v>
      </c>
      <c r="B4816">
        <f>HYPERLINK("https://www.facebook.com/chidoan.congan/", "Công an xã  Bắc Sơn  tỉnh Hòa Bình")</f>
      </c>
      <c r="C4816" t="str">
        <v>https://www.facebook.com/chidoan.congan/</v>
      </c>
      <c r="D4816" t="str">
        <v>-</v>
      </c>
      <c r="E4816" t="str">
        <v/>
      </c>
      <c r="F4816" t="str">
        <v>-</v>
      </c>
      <c r="G4816" t="str">
        <v>-</v>
      </c>
    </row>
    <row r="4817">
      <c r="A4817">
        <v>4816</v>
      </c>
      <c r="B4817">
        <f>HYPERLINK("https://mongcai.gov.vn/vi-vn/tin/thong-tin-can-bo-cong-chuc-xa-bac-son-p726611-c210255-n733959", "UBND Ủy ban nhân dân xã  Bắc Sơn  tỉnh Hòa Bình")</f>
      </c>
      <c r="C4817" t="str">
        <v>https://mongcai.gov.vn/vi-vn/tin/thong-tin-can-bo-cong-chuc-xa-bac-son-p726611-c210255-n733959</v>
      </c>
      <c r="D4817" t="str">
        <v>-</v>
      </c>
      <c r="E4817" t="str">
        <v>-</v>
      </c>
      <c r="F4817" t="str">
        <v>-</v>
      </c>
      <c r="G4817" t="str">
        <v>-</v>
      </c>
    </row>
    <row r="4818">
      <c r="A4818">
        <v>4817</v>
      </c>
      <c r="B4818">
        <f>HYPERLINK("https://www.facebook.com/p/Tu%E1%BB%95i-tr%E1%BA%BB-ph%C3%B2ng-CSC%C4%90-C%C3%B4ng-an-t%E1%BB%89nh-Ho%C3%A0-B%C3%ACnh-100077598099489/", "Công an xã Bình Sơn  tỉnh Hòa Bình")</f>
      </c>
      <c r="C4818" t="str">
        <v>https://www.facebook.com/p/Tu%E1%BB%95i-tr%E1%BA%BB-ph%C3%B2ng-CSC%C4%90-C%C3%B4ng-an-t%E1%BB%89nh-Ho%C3%A0-B%C3%ACnh-100077598099489/</v>
      </c>
      <c r="D4818" t="str">
        <v>-</v>
      </c>
      <c r="E4818" t="str">
        <v/>
      </c>
      <c r="F4818" t="str">
        <v>-</v>
      </c>
      <c r="G4818" t="str">
        <v>-</v>
      </c>
    </row>
    <row r="4819">
      <c r="A4819">
        <v>4818</v>
      </c>
      <c r="B4819">
        <f>HYPERLINK("https://binhson.quangngai.gov.vn/", "UBND Ủy ban nhân dân xã Bình Sơn  tỉnh Hòa Bình")</f>
      </c>
      <c r="C4819" t="str">
        <v>https://binhson.quangngai.gov.vn/</v>
      </c>
      <c r="D4819" t="str">
        <v>-</v>
      </c>
      <c r="E4819" t="str">
        <v>-</v>
      </c>
      <c r="F4819" t="str">
        <v>-</v>
      </c>
      <c r="G4819" t="str">
        <v>-</v>
      </c>
    </row>
    <row r="4820">
      <c r="A4820">
        <v>4819</v>
      </c>
      <c r="B4820" t="str">
        <v>Công an xã Hùng Tiến  tỉnh Hòa Bình</v>
      </c>
      <c r="C4820" t="str">
        <v>-</v>
      </c>
      <c r="D4820" t="str">
        <v>-</v>
      </c>
      <c r="E4820" t="str">
        <v/>
      </c>
      <c r="F4820" t="str">
        <v>-</v>
      </c>
      <c r="G4820" t="str">
        <v>-</v>
      </c>
    </row>
    <row r="4821">
      <c r="A4821">
        <v>4820</v>
      </c>
      <c r="B4821">
        <f>HYPERLINK("https://kimson.ninhbinh.gov.vn/gioi-thieu/xa-hung-tien", "UBND Ủy ban nhân dân xã Hùng Tiến  tỉnh Hòa Bình")</f>
      </c>
      <c r="C4821" t="str">
        <v>https://kimson.ninhbinh.gov.vn/gioi-thieu/xa-hung-tien</v>
      </c>
      <c r="D4821" t="str">
        <v>-</v>
      </c>
      <c r="E4821" t="str">
        <v>-</v>
      </c>
      <c r="F4821" t="str">
        <v>-</v>
      </c>
      <c r="G4821" t="str">
        <v>-</v>
      </c>
    </row>
    <row r="4822">
      <c r="A4822">
        <v>4821</v>
      </c>
      <c r="B4822" t="str">
        <v>Công an xã Tú Sơn  tỉnh Hòa Bình</v>
      </c>
      <c r="C4822" t="str">
        <v>-</v>
      </c>
      <c r="D4822" t="str">
        <v>-</v>
      </c>
      <c r="E4822" t="str">
        <v/>
      </c>
      <c r="F4822" t="str">
        <v>-</v>
      </c>
      <c r="G4822" t="str">
        <v>-</v>
      </c>
    </row>
    <row r="4823">
      <c r="A4823">
        <v>4822</v>
      </c>
      <c r="B4823">
        <f>HYPERLINK("https://www.hoabinh.gov.vn/tin-chi-tiet/-/bai-viet/dau-gia-quyen-su-dung-dat-thuc-hien-du-an-khu-nha-o-xom-bai-chao-xa-tu-son-huyen-kim-boi-47678-1631.html", "UBND Ủy ban nhân dân xã Tú Sơn  tỉnh Hòa Bình")</f>
      </c>
      <c r="C4823" t="str">
        <v>https://www.hoabinh.gov.vn/tin-chi-tiet/-/bai-viet/dau-gia-quyen-su-dung-dat-thuc-hien-du-an-khu-nha-o-xom-bai-chao-xa-tu-son-huyen-kim-boi-47678-1631.html</v>
      </c>
      <c r="D4823" t="str">
        <v>-</v>
      </c>
      <c r="E4823" t="str">
        <v>-</v>
      </c>
      <c r="F4823" t="str">
        <v>-</v>
      </c>
      <c r="G4823" t="str">
        <v>-</v>
      </c>
    </row>
    <row r="4824">
      <c r="A4824">
        <v>4823</v>
      </c>
      <c r="B4824">
        <f>HYPERLINK("https://www.facebook.com/tuoitrecongansonla/", "Công an xã Nật Sơn  tỉnh Hòa Bình")</f>
      </c>
      <c r="C4824" t="str">
        <v>https://www.facebook.com/tuoitrecongansonla/</v>
      </c>
      <c r="D4824" t="str">
        <v>-</v>
      </c>
      <c r="E4824" t="str">
        <v/>
      </c>
      <c r="F4824" t="str">
        <v>-</v>
      </c>
      <c r="G4824" t="str">
        <v>-</v>
      </c>
    </row>
    <row r="4825">
      <c r="A4825">
        <v>4824</v>
      </c>
      <c r="B4825">
        <f>HYPERLINK("https://luongson.hoabinh.gov.vn/", "UBND Ủy ban nhân dân xã Nật Sơn  tỉnh Hòa Bình")</f>
      </c>
      <c r="C4825" t="str">
        <v>https://luongson.hoabinh.gov.vn/</v>
      </c>
      <c r="D4825" t="str">
        <v>-</v>
      </c>
      <c r="E4825" t="str">
        <v>-</v>
      </c>
      <c r="F4825" t="str">
        <v>-</v>
      </c>
      <c r="G4825" t="str">
        <v>-</v>
      </c>
    </row>
    <row r="4826">
      <c r="A4826">
        <v>4825</v>
      </c>
      <c r="B4826">
        <f>HYPERLINK("https://www.facebook.com/Conganxavinhtien/", "Công an xã Vĩnh Tiến  tỉnh Hòa Bình")</f>
      </c>
      <c r="C4826" t="str">
        <v>https://www.facebook.com/Conganxavinhtien/</v>
      </c>
      <c r="D4826" t="str">
        <v>-</v>
      </c>
      <c r="E4826" t="str">
        <v/>
      </c>
      <c r="F4826" t="str">
        <v>-</v>
      </c>
      <c r="G4826" t="str">
        <v>-</v>
      </c>
    </row>
    <row r="4827">
      <c r="A4827">
        <v>4826</v>
      </c>
      <c r="B4827">
        <f>HYPERLINK("https://kimboi.hoabinh.gov.vn/", "UBND Ủy ban nhân dân xã Vĩnh Tiến  tỉnh Hòa Bình")</f>
      </c>
      <c r="C4827" t="str">
        <v>https://kimboi.hoabinh.gov.vn/</v>
      </c>
      <c r="D4827" t="str">
        <v>-</v>
      </c>
      <c r="E4827" t="str">
        <v>-</v>
      </c>
      <c r="F4827" t="str">
        <v>-</v>
      </c>
      <c r="G4827" t="str">
        <v>-</v>
      </c>
    </row>
    <row r="4828">
      <c r="A4828">
        <v>4827</v>
      </c>
      <c r="B4828">
        <f>HYPERLINK("https://www.facebook.com/conganchinhquy/", "Công an xã Sơn Thủy  tỉnh Hòa Bình")</f>
      </c>
      <c r="C4828" t="str">
        <v>https://www.facebook.com/conganchinhquy/</v>
      </c>
      <c r="D4828" t="str">
        <v>-</v>
      </c>
      <c r="E4828" t="str">
        <v/>
      </c>
      <c r="F4828" t="str">
        <v>-</v>
      </c>
      <c r="G4828" t="str">
        <v>-</v>
      </c>
    </row>
    <row r="4829">
      <c r="A4829">
        <v>4828</v>
      </c>
      <c r="B4829">
        <f>HYPERLINK("https://www.hoabinh.gov.vn/tin-chi-tiet/-/bai-viet/cong-bo-benh-dich-ta-lon-chau-phi-xuat-hien-tai-xa-son-thuy-huyen-mai-chau-52312-1475.html", "UBND Ủy ban nhân dân xã Sơn Thủy  tỉnh Hòa Bình")</f>
      </c>
      <c r="C4829" t="str">
        <v>https://www.hoabinh.gov.vn/tin-chi-tiet/-/bai-viet/cong-bo-benh-dich-ta-lon-chau-phi-xuat-hien-tai-xa-son-thuy-huyen-mai-chau-52312-1475.html</v>
      </c>
      <c r="D4829" t="str">
        <v>-</v>
      </c>
      <c r="E4829" t="str">
        <v>-</v>
      </c>
      <c r="F4829" t="str">
        <v>-</v>
      </c>
      <c r="G4829" t="str">
        <v>-</v>
      </c>
    </row>
    <row r="4830">
      <c r="A4830">
        <v>4829</v>
      </c>
      <c r="B4830">
        <f>HYPERLINK("https://www.facebook.com/p/Tu%E1%BB%95i-tr%E1%BA%BB-C%C3%B4ng-an-huy%E1%BB%87n-%C4%90%C3%A0-B%E1%BA%AFc-100064551649842/", "Công an xã Đông Bắc  tỉnh Hòa Bình")</f>
      </c>
      <c r="C4830" t="str">
        <v>https://www.facebook.com/p/Tu%E1%BB%95i-tr%E1%BA%BB-C%C3%B4ng-an-huy%E1%BB%87n-%C4%90%C3%A0-B%E1%BA%AFc-100064551649842/</v>
      </c>
      <c r="D4830" t="str">
        <v>-</v>
      </c>
      <c r="E4830" t="str">
        <v/>
      </c>
      <c r="F4830" t="str">
        <v>-</v>
      </c>
      <c r="G4830" t="str">
        <v>-</v>
      </c>
    </row>
    <row r="4831">
      <c r="A4831">
        <v>4830</v>
      </c>
      <c r="B4831">
        <f>HYPERLINK("https://xadonglai.hoabinh.gov.vn/", "UBND Ủy ban nhân dân xã Đông Bắc  tỉnh Hòa Bình")</f>
      </c>
      <c r="C4831" t="str">
        <v>https://xadonglai.hoabinh.gov.vn/</v>
      </c>
      <c r="D4831" t="str">
        <v>-</v>
      </c>
      <c r="E4831" t="str">
        <v>-</v>
      </c>
      <c r="F4831" t="str">
        <v>-</v>
      </c>
      <c r="G4831" t="str">
        <v>-</v>
      </c>
    </row>
    <row r="4832">
      <c r="A4832">
        <v>4831</v>
      </c>
      <c r="B4832">
        <f>HYPERLINK("https://www.facebook.com/p/Tu%E1%BB%95i-tr%E1%BA%BB-C%C3%B4ng-an-huy%E1%BB%87n-Kim-B%C3%B4i-100083342410408/", "Công an xã Thượng Bì  tỉnh Hòa Bình")</f>
      </c>
      <c r="C4832" t="str">
        <v>https://www.facebook.com/p/Tu%E1%BB%95i-tr%E1%BA%BB-C%C3%B4ng-an-huy%E1%BB%87n-Kim-B%C3%B4i-100083342410408/</v>
      </c>
      <c r="D4832" t="str">
        <v>-</v>
      </c>
      <c r="E4832" t="str">
        <v/>
      </c>
      <c r="F4832" t="str">
        <v>-</v>
      </c>
      <c r="G4832" t="str">
        <v>-</v>
      </c>
    </row>
    <row r="4833">
      <c r="A4833">
        <v>4832</v>
      </c>
      <c r="B4833">
        <f>HYPERLINK("https://kimson.ninhbinh.gov.vn/gioi-thieu/xa-thuong-kiem", "UBND Ủy ban nhân dân xã Thượng Bì  tỉnh Hòa Bình")</f>
      </c>
      <c r="C4833" t="str">
        <v>https://kimson.ninhbinh.gov.vn/gioi-thieu/xa-thuong-kiem</v>
      </c>
      <c r="D4833" t="str">
        <v>-</v>
      </c>
      <c r="E4833" t="str">
        <v>-</v>
      </c>
      <c r="F4833" t="str">
        <v>-</v>
      </c>
      <c r="G4833" t="str">
        <v>-</v>
      </c>
    </row>
    <row r="4834">
      <c r="A4834">
        <v>4833</v>
      </c>
      <c r="B4834" t="str">
        <v>Công an xã Lập Chiệng  tỉnh Hòa Bình</v>
      </c>
      <c r="C4834" t="str">
        <v>-</v>
      </c>
      <c r="D4834" t="str">
        <v>-</v>
      </c>
      <c r="E4834" t="str">
        <v/>
      </c>
      <c r="F4834" t="str">
        <v>-</v>
      </c>
      <c r="G4834" t="str">
        <v>-</v>
      </c>
    </row>
    <row r="4835">
      <c r="A4835">
        <v>4834</v>
      </c>
      <c r="B4835">
        <f>HYPERLINK("https://sovanhoa.hoabinh.gov.vn/van-hoa?start=210", "UBND Ủy ban nhân dân xã Lập Chiệng  tỉnh Hòa Bình")</f>
      </c>
      <c r="C4835" t="str">
        <v>https://sovanhoa.hoabinh.gov.vn/van-hoa?start=210</v>
      </c>
      <c r="D4835" t="str">
        <v>-</v>
      </c>
      <c r="E4835" t="str">
        <v>-</v>
      </c>
      <c r="F4835" t="str">
        <v>-</v>
      </c>
      <c r="G4835" t="str">
        <v>-</v>
      </c>
    </row>
    <row r="4836">
      <c r="A4836">
        <v>4835</v>
      </c>
      <c r="B4836">
        <f>HYPERLINK("https://www.facebook.com/Vinhdong05026/", "Công an xã Vĩnh Đồng  tỉnh Hòa Bình")</f>
      </c>
      <c r="C4836" t="str">
        <v>https://www.facebook.com/Vinhdong05026/</v>
      </c>
      <c r="D4836" t="str">
        <v>-</v>
      </c>
      <c r="E4836" t="str">
        <v/>
      </c>
      <c r="F4836" t="str">
        <v>-</v>
      </c>
      <c r="G4836" t="str">
        <v>-</v>
      </c>
    </row>
    <row r="4837">
      <c r="A4837">
        <v>4836</v>
      </c>
      <c r="B4837">
        <f>HYPERLINK("https://kimboi.hoabinh.gov.vn/", "UBND Ủy ban nhân dân xã Vĩnh Đồng  tỉnh Hòa Bình")</f>
      </c>
      <c r="C4837" t="str">
        <v>https://kimboi.hoabinh.gov.vn/</v>
      </c>
      <c r="D4837" t="str">
        <v>-</v>
      </c>
      <c r="E4837" t="str">
        <v>-</v>
      </c>
      <c r="F4837" t="str">
        <v>-</v>
      </c>
      <c r="G4837" t="str">
        <v>-</v>
      </c>
    </row>
    <row r="4838">
      <c r="A4838">
        <v>4837</v>
      </c>
      <c r="B4838">
        <f>HYPERLINK("https://www.facebook.com/p/Tu%E1%BB%95i-tr%E1%BA%BB-C%C3%B4ng-an-huy%E1%BB%87n-Kim-B%C3%B4i-100083342410408/", "Công an xã Hạ Bì  tỉnh Hòa Bình")</f>
      </c>
      <c r="C4838" t="str">
        <v>https://www.facebook.com/p/Tu%E1%BB%95i-tr%E1%BA%BB-C%C3%B4ng-an-huy%E1%BB%87n-Kim-B%C3%B4i-100083342410408/</v>
      </c>
      <c r="D4838" t="str">
        <v>-</v>
      </c>
      <c r="E4838" t="str">
        <v/>
      </c>
      <c r="F4838" t="str">
        <v>-</v>
      </c>
      <c r="G4838" t="str">
        <v>-</v>
      </c>
    </row>
    <row r="4839">
      <c r="A4839">
        <v>4838</v>
      </c>
      <c r="B4839">
        <f>HYPERLINK("https://hoabinh.baohiemxahoi.gov.vn/UserControls/Publishing/News/BinhLuan/pFormPrint.aspx?UrlListProcess=/content/tintuc/Lists/News&amp;ItemID=4414&amp;IsTA=False", "UBND Ủy ban nhân dân xã Hạ Bì  tỉnh Hòa Bình")</f>
      </c>
      <c r="C4839" t="str">
        <v>https://hoabinh.baohiemxahoi.gov.vn/UserControls/Publishing/News/BinhLuan/pFormPrint.aspx?UrlListProcess=/content/tintuc/Lists/News&amp;ItemID=4414&amp;IsTA=False</v>
      </c>
      <c r="D4839" t="str">
        <v>-</v>
      </c>
      <c r="E4839" t="str">
        <v>-</v>
      </c>
      <c r="F4839" t="str">
        <v>-</v>
      </c>
      <c r="G4839" t="str">
        <v>-</v>
      </c>
    </row>
    <row r="4840">
      <c r="A4840">
        <v>4839</v>
      </c>
      <c r="B4840">
        <f>HYPERLINK("https://www.facebook.com/p/Tu%E1%BB%95i-tr%E1%BA%BB-C%C3%B4ng-an-huy%E1%BB%87n-Kim-B%C3%B4i-100083342410408/", "Công an xã Trung Bì  tỉnh Hòa Bình")</f>
      </c>
      <c r="C4840" t="str">
        <v>https://www.facebook.com/p/Tu%E1%BB%95i-tr%E1%BA%BB-C%C3%B4ng-an-huy%E1%BB%87n-Kim-B%C3%B4i-100083342410408/</v>
      </c>
      <c r="D4840" t="str">
        <v>-</v>
      </c>
      <c r="E4840" t="str">
        <v/>
      </c>
      <c r="F4840" t="str">
        <v>-</v>
      </c>
      <c r="G4840" t="str">
        <v>-</v>
      </c>
    </row>
    <row r="4841">
      <c r="A4841">
        <v>4840</v>
      </c>
      <c r="B4841">
        <f>HYPERLINK("https://sonongnghiep.hoabinh.gov.vn/index.php/tin-t-ng-h-p/835-huyan-kim-bai-xa-trung-ba-an-nhan-danh-hiau-xa-at-chuan-nang-than-mai", "UBND Ủy ban nhân dân xã Trung Bì  tỉnh Hòa Bình")</f>
      </c>
      <c r="C4841" t="str">
        <v>https://sonongnghiep.hoabinh.gov.vn/index.php/tin-t-ng-h-p/835-huyan-kim-bai-xa-trung-ba-an-nhan-danh-hiau-xa-at-chuan-nang-than-mai</v>
      </c>
      <c r="D4841" t="str">
        <v>-</v>
      </c>
      <c r="E4841" t="str">
        <v>-</v>
      </c>
      <c r="F4841" t="str">
        <v>-</v>
      </c>
      <c r="G4841" t="str">
        <v>-</v>
      </c>
    </row>
    <row r="4842">
      <c r="A4842">
        <v>4841</v>
      </c>
      <c r="B4842">
        <f>HYPERLINK("https://www.facebook.com/p/Tu%E1%BB%95i-tr%E1%BA%BB-C%C3%B4ng-an-huy%E1%BB%87n-Kim-B%C3%B4i-100083342410408/", "Công an xã Kim Sơn  tỉnh Hòa Bình")</f>
      </c>
      <c r="C4842" t="str">
        <v>https://www.facebook.com/p/Tu%E1%BB%95i-tr%E1%BA%BB-C%C3%B4ng-an-huy%E1%BB%87n-Kim-B%C3%B4i-100083342410408/</v>
      </c>
      <c r="D4842" t="str">
        <v>-</v>
      </c>
      <c r="E4842" t="str">
        <v/>
      </c>
      <c r="F4842" t="str">
        <v>-</v>
      </c>
      <c r="G4842" t="str">
        <v>-</v>
      </c>
    </row>
    <row r="4843">
      <c r="A4843">
        <v>4842</v>
      </c>
      <c r="B4843">
        <f>HYPERLINK("https://kimson.ninhbinh.gov.vn/", "UBND Ủy ban nhân dân xã Kim Sơn  tỉnh Hòa Bình")</f>
      </c>
      <c r="C4843" t="str">
        <v>https://kimson.ninhbinh.gov.vn/</v>
      </c>
      <c r="D4843" t="str">
        <v>-</v>
      </c>
      <c r="E4843" t="str">
        <v>-</v>
      </c>
      <c r="F4843" t="str">
        <v>-</v>
      </c>
      <c r="G4843" t="str">
        <v>-</v>
      </c>
    </row>
    <row r="4844">
      <c r="A4844">
        <v>4843</v>
      </c>
      <c r="B4844">
        <f>HYPERLINK("https://www.facebook.com/congantinhhoabinh/", "Công an xã Hợp Đồng  tỉnh Hòa Bình")</f>
      </c>
      <c r="C4844" t="str">
        <v>https://www.facebook.com/congantinhhoabinh/</v>
      </c>
      <c r="D4844" t="str">
        <v>-</v>
      </c>
      <c r="E4844" t="str">
        <v/>
      </c>
      <c r="F4844" t="str">
        <v>-</v>
      </c>
      <c r="G4844" t="str">
        <v>-</v>
      </c>
    </row>
    <row r="4845">
      <c r="A4845">
        <v>4844</v>
      </c>
      <c r="B4845">
        <f>HYPERLINK("https://www.hoabinh.gov.vn/", "UBND Ủy ban nhân dân xã Hợp Đồng  tỉnh Hòa Bình")</f>
      </c>
      <c r="C4845" t="str">
        <v>https://www.hoabinh.gov.vn/</v>
      </c>
      <c r="D4845" t="str">
        <v>-</v>
      </c>
      <c r="E4845" t="str">
        <v>-</v>
      </c>
      <c r="F4845" t="str">
        <v>-</v>
      </c>
      <c r="G4845" t="str">
        <v>-</v>
      </c>
    </row>
    <row r="4846">
      <c r="A4846">
        <v>4845</v>
      </c>
      <c r="B4846" t="str">
        <v>Công an xã Thượng Tiến  tỉnh Hòa Bình</v>
      </c>
      <c r="C4846" t="str">
        <v>-</v>
      </c>
      <c r="D4846" t="str">
        <v>-</v>
      </c>
      <c r="E4846" t="str">
        <v/>
      </c>
      <c r="F4846" t="str">
        <v>-</v>
      </c>
      <c r="G4846" t="str">
        <v>-</v>
      </c>
    </row>
    <row r="4847">
      <c r="A4847">
        <v>4846</v>
      </c>
      <c r="B4847">
        <f>HYPERLINK("https://kimson.ninhbinh.gov.vn/gioi-thieu/xa-thuong-kiem", "UBND Ủy ban nhân dân xã Thượng Tiến  tỉnh Hòa Bình")</f>
      </c>
      <c r="C4847" t="str">
        <v>https://kimson.ninhbinh.gov.vn/gioi-thieu/xa-thuong-kiem</v>
      </c>
      <c r="D4847" t="str">
        <v>-</v>
      </c>
      <c r="E4847" t="str">
        <v>-</v>
      </c>
      <c r="F4847" t="str">
        <v>-</v>
      </c>
      <c r="G4847" t="str">
        <v>-</v>
      </c>
    </row>
    <row r="4848">
      <c r="A4848">
        <v>4847</v>
      </c>
      <c r="B4848">
        <f>HYPERLINK("https://www.facebook.com/p/C%C3%B4ng-an-x%C3%A3-Kim-B%C3%B4i-100065479419555/", "Công an xã Kim Tiến  tỉnh Hòa Bình")</f>
      </c>
      <c r="C4848" t="str">
        <v>https://www.facebook.com/p/C%C3%B4ng-an-x%C3%A3-Kim-B%C3%B4i-100065479419555/</v>
      </c>
      <c r="D4848" t="str">
        <v>-</v>
      </c>
      <c r="E4848" t="str">
        <v/>
      </c>
      <c r="F4848" t="str">
        <v>-</v>
      </c>
      <c r="G4848" t="str">
        <v>-</v>
      </c>
    </row>
    <row r="4849">
      <c r="A4849">
        <v>4848</v>
      </c>
      <c r="B4849">
        <f>HYPERLINK("https://xakimboi.hoabinh.gov.vn/index.php/co-cau-to-chuc-ls", "UBND Ủy ban nhân dân xã Kim Tiến  tỉnh Hòa Bình")</f>
      </c>
      <c r="C4849" t="str">
        <v>https://xakimboi.hoabinh.gov.vn/index.php/co-cau-to-chuc-ls</v>
      </c>
      <c r="D4849" t="str">
        <v>-</v>
      </c>
      <c r="E4849" t="str">
        <v>-</v>
      </c>
      <c r="F4849" t="str">
        <v>-</v>
      </c>
      <c r="G4849" t="str">
        <v>-</v>
      </c>
    </row>
    <row r="4850">
      <c r="A4850">
        <v>4849</v>
      </c>
      <c r="B4850">
        <f>HYPERLINK("https://www.facebook.com/p/C%C3%B4ng-an-x%C3%A3-Kim-B%C3%B4i-100065479419555/", "Công an xã Kim Bình  tỉnh Hòa Bình")</f>
      </c>
      <c r="C4850" t="str">
        <v>https://www.facebook.com/p/C%C3%B4ng-an-x%C3%A3-Kim-B%C3%B4i-100065479419555/</v>
      </c>
      <c r="D4850" t="str">
        <v>-</v>
      </c>
      <c r="E4850" t="str">
        <v/>
      </c>
      <c r="F4850" t="str">
        <v>-</v>
      </c>
      <c r="G4850" t="str">
        <v>-</v>
      </c>
    </row>
    <row r="4851">
      <c r="A4851">
        <v>4850</v>
      </c>
      <c r="B4851">
        <f>HYPERLINK("https://xakimboi.hoabinh.gov.vn/", "UBND Ủy ban nhân dân xã Kim Bình  tỉnh Hòa Bình")</f>
      </c>
      <c r="C4851" t="str">
        <v>https://xakimboi.hoabinh.gov.vn/</v>
      </c>
      <c r="D4851" t="str">
        <v>-</v>
      </c>
      <c r="E4851" t="str">
        <v>-</v>
      </c>
      <c r="F4851" t="str">
        <v>-</v>
      </c>
      <c r="G4851" t="str">
        <v>-</v>
      </c>
    </row>
    <row r="4852">
      <c r="A4852">
        <v>4851</v>
      </c>
      <c r="B4852">
        <f>HYPERLINK("https://www.facebook.com/congantinhhoabinh/", "Công an xã Hợp Kim  tỉnh Hòa Bình")</f>
      </c>
      <c r="C4852" t="str">
        <v>https://www.facebook.com/congantinhhoabinh/</v>
      </c>
      <c r="D4852" t="str">
        <v>-</v>
      </c>
      <c r="E4852" t="str">
        <v/>
      </c>
      <c r="F4852" t="str">
        <v>-</v>
      </c>
      <c r="G4852" t="str">
        <v>-</v>
      </c>
    </row>
    <row r="4853">
      <c r="A4853">
        <v>4852</v>
      </c>
      <c r="B4853">
        <f>HYPERLINK("https://www.hoabinh.gov.vn/", "UBND Ủy ban nhân dân xã Hợp Kim  tỉnh Hòa Bình")</f>
      </c>
      <c r="C4853" t="str">
        <v>https://www.hoabinh.gov.vn/</v>
      </c>
      <c r="D4853" t="str">
        <v>-</v>
      </c>
      <c r="E4853" t="str">
        <v>-</v>
      </c>
      <c r="F4853" t="str">
        <v>-</v>
      </c>
      <c r="G4853" t="str">
        <v>-</v>
      </c>
    </row>
    <row r="4854">
      <c r="A4854">
        <v>4853</v>
      </c>
      <c r="B4854">
        <f>HYPERLINK("https://www.facebook.com/p/C%C3%B4ng-an-x%C3%A3-Kim-B%C3%B4i-100065479419555/", "Công an xã Kim Bôi  tỉnh Hòa Bình")</f>
      </c>
      <c r="C4854" t="str">
        <v>https://www.facebook.com/p/C%C3%B4ng-an-x%C3%A3-Kim-B%C3%B4i-100065479419555/</v>
      </c>
      <c r="D4854" t="str">
        <v>-</v>
      </c>
      <c r="E4854" t="str">
        <v/>
      </c>
      <c r="F4854" t="str">
        <v>-</v>
      </c>
      <c r="G4854" t="str">
        <v>-</v>
      </c>
    </row>
    <row r="4855">
      <c r="A4855">
        <v>4854</v>
      </c>
      <c r="B4855">
        <f>HYPERLINK("https://xakimboi.hoabinh.gov.vn/", "UBND Ủy ban nhân dân xã Kim Bôi  tỉnh Hòa Bình")</f>
      </c>
      <c r="C4855" t="str">
        <v>https://xakimboi.hoabinh.gov.vn/</v>
      </c>
      <c r="D4855" t="str">
        <v>-</v>
      </c>
      <c r="E4855" t="str">
        <v>-</v>
      </c>
      <c r="F4855" t="str">
        <v>-</v>
      </c>
      <c r="G4855" t="str">
        <v>-</v>
      </c>
    </row>
    <row r="4856">
      <c r="A4856">
        <v>4855</v>
      </c>
      <c r="B4856">
        <f>HYPERLINK("https://www.facebook.com/p/Tu%E1%BB%95i-tr%E1%BA%BB-C%C3%B4ng-an-huy%E1%BB%87n-Kim-B%C3%B4i-100083342410408/", "Công an xã Nam Thượng  tỉnh Hòa Bình")</f>
      </c>
      <c r="C4856" t="str">
        <v>https://www.facebook.com/p/Tu%E1%BB%95i-tr%E1%BA%BB-C%C3%B4ng-an-huy%E1%BB%87n-Kim-B%C3%B4i-100083342410408/</v>
      </c>
      <c r="D4856" t="str">
        <v>-</v>
      </c>
      <c r="E4856" t="str">
        <v/>
      </c>
      <c r="F4856" t="str">
        <v>-</v>
      </c>
      <c r="G4856" t="str">
        <v>-</v>
      </c>
    </row>
    <row r="4857">
      <c r="A4857">
        <v>4856</v>
      </c>
      <c r="B4857">
        <f>HYPERLINK("https://donghy.thainguyen.gov.vn/xa-nam-hoa", "UBND Ủy ban nhân dân xã Nam Thượng  tỉnh Hòa Bình")</f>
      </c>
      <c r="C4857" t="str">
        <v>https://donghy.thainguyen.gov.vn/xa-nam-hoa</v>
      </c>
      <c r="D4857" t="str">
        <v>-</v>
      </c>
      <c r="E4857" t="str">
        <v>-</v>
      </c>
      <c r="F4857" t="str">
        <v>-</v>
      </c>
      <c r="G4857" t="str">
        <v>-</v>
      </c>
    </row>
    <row r="4858">
      <c r="A4858">
        <v>4857</v>
      </c>
      <c r="B4858">
        <f>HYPERLINK("https://www.facebook.com/p/C%C3%B4ng-an-x%C3%A3-Kim-B%C3%B4i-100065479419555/", "Công an xã Kim Truy  tỉnh Hòa Bình")</f>
      </c>
      <c r="C4858" t="str">
        <v>https://www.facebook.com/p/C%C3%B4ng-an-x%C3%A3-Kim-B%C3%B4i-100065479419555/</v>
      </c>
      <c r="D4858" t="str">
        <v>-</v>
      </c>
      <c r="E4858" t="str">
        <v/>
      </c>
      <c r="F4858" t="str">
        <v>-</v>
      </c>
      <c r="G4858" t="str">
        <v>-</v>
      </c>
    </row>
    <row r="4859">
      <c r="A4859">
        <v>4858</v>
      </c>
      <c r="B4859">
        <f>HYPERLINK("https://xakimboi.hoabinh.gov.vn/", "UBND Ủy ban nhân dân xã Kim Truy  tỉnh Hòa Bình")</f>
      </c>
      <c r="C4859" t="str">
        <v>https://xakimboi.hoabinh.gov.vn/</v>
      </c>
      <c r="D4859" t="str">
        <v>-</v>
      </c>
      <c r="E4859" t="str">
        <v>-</v>
      </c>
      <c r="F4859" t="str">
        <v>-</v>
      </c>
      <c r="G4859" t="str">
        <v>-</v>
      </c>
    </row>
    <row r="4860">
      <c r="A4860">
        <v>4859</v>
      </c>
      <c r="B4860">
        <f>HYPERLINK("https://www.facebook.com/p/C%C3%B4ng-an-x%C3%A3-Cu%E1%BB%91i-H%E1%BA%A1-100064768243165/", "Công an xã Cuối Hạ  tỉnh Hòa Bình")</f>
      </c>
      <c r="C4860" t="str">
        <v>https://www.facebook.com/p/C%C3%B4ng-an-x%C3%A3-Cu%E1%BB%91i-H%E1%BA%A1-100064768243165/</v>
      </c>
      <c r="D4860" t="str">
        <v>-</v>
      </c>
      <c r="E4860" t="str">
        <v/>
      </c>
      <c r="F4860" t="str">
        <v>-</v>
      </c>
      <c r="G4860" t="str">
        <v>-</v>
      </c>
    </row>
    <row r="4861">
      <c r="A4861">
        <v>4860</v>
      </c>
      <c r="B4861">
        <f>HYPERLINK("https://www.hoabinh.gov.vn/chi-tiet-van-ban/-/van-ban/quyet-inh-chap-thuan-chu-truong-au-tu-du-an-khu-dan-cu-nong-thon-moi-xa-cuoi-ha-3219", "UBND Ủy ban nhân dân xã Cuối Hạ  tỉnh Hòa Bình")</f>
      </c>
      <c r="C4861" t="str">
        <v>https://www.hoabinh.gov.vn/chi-tiet-van-ban/-/van-ban/quyet-inh-chap-thuan-chu-truong-au-tu-du-an-khu-dan-cu-nong-thon-moi-xa-cuoi-ha-3219</v>
      </c>
      <c r="D4861" t="str">
        <v>-</v>
      </c>
      <c r="E4861" t="str">
        <v>-</v>
      </c>
      <c r="F4861" t="str">
        <v>-</v>
      </c>
      <c r="G4861" t="str">
        <v>-</v>
      </c>
    </row>
    <row r="4862">
      <c r="A4862">
        <v>4861</v>
      </c>
      <c r="B4862">
        <f>HYPERLINK("https://www.facebook.com/people/C%C3%B4ng-an-x%C3%A3-S%C3%A0o-B%C3%A1y/100065498379369/", "Công an xã Sào Báy  tỉnh Hòa Bình")</f>
      </c>
      <c r="C4862" t="str">
        <v>https://www.facebook.com/people/C%C3%B4ng-an-x%C3%A3-S%C3%A0o-B%C3%A1y/100065498379369/</v>
      </c>
      <c r="D4862" t="str">
        <v>-</v>
      </c>
      <c r="E4862" t="str">
        <v>0964421989</v>
      </c>
      <c r="F4862" t="str">
        <v>conganxasaobay@gmail.com</v>
      </c>
      <c r="G4862" t="str">
        <v>xóm Sào Đông - xã Sào Báy - Kim Bôi - Hòa Bình, Hòa Bình, Vietnam</v>
      </c>
    </row>
    <row r="4863">
      <c r="A4863">
        <v>4862</v>
      </c>
      <c r="B4863">
        <f>HYPERLINK("https://www.hoabinh.gov.vn/tin-chi-tiet/-/bai-viet/chap-thuan-dieu-chinh-chu-truong-dau-tu-du-an-khu-du-lich-sinh-thai-va-trung-tam-duong-lao-viet-eco-hoa-binh-tai-xa-my-hoa-va-xa-sao-bay-huyen-kim-boi-52879-1590.html", "UBND Ủy ban nhân dân xã Sào Báy  tỉnh Hòa Bình")</f>
      </c>
      <c r="C4863" t="str">
        <v>https://www.hoabinh.gov.vn/tin-chi-tiet/-/bai-viet/chap-thuan-dieu-chinh-chu-truong-dau-tu-du-an-khu-du-lich-sinh-thai-va-trung-tam-duong-lao-viet-eco-hoa-binh-tai-xa-my-hoa-va-xa-sao-bay-huyen-kim-boi-52879-1590.html</v>
      </c>
      <c r="D4863" t="str">
        <v>-</v>
      </c>
      <c r="E4863" t="str">
        <v>-</v>
      </c>
      <c r="F4863" t="str">
        <v>-</v>
      </c>
      <c r="G4863" t="str">
        <v>-</v>
      </c>
    </row>
    <row r="4864">
      <c r="A4864">
        <v>4863</v>
      </c>
      <c r="B4864">
        <f>HYPERLINK("https://www.facebook.com/congantinhhoabinh/", "Công an xã Mi Hòa  tỉnh Hòa Bình")</f>
      </c>
      <c r="C4864" t="str">
        <v>https://www.facebook.com/congantinhhoabinh/</v>
      </c>
      <c r="D4864" t="str">
        <v>-</v>
      </c>
      <c r="E4864" t="str">
        <v/>
      </c>
      <c r="F4864" t="str">
        <v>-</v>
      </c>
      <c r="G4864" t="str">
        <v>-</v>
      </c>
    </row>
    <row r="4865">
      <c r="A4865">
        <v>4864</v>
      </c>
      <c r="B4865">
        <f>HYPERLINK("https://xamyhoa.hoabinh.gov.vn/", "UBND Ủy ban nhân dân xã Mi Hòa  tỉnh Hòa Bình")</f>
      </c>
      <c r="C4865" t="str">
        <v>https://xamyhoa.hoabinh.gov.vn/</v>
      </c>
      <c r="D4865" t="str">
        <v>-</v>
      </c>
      <c r="E4865" t="str">
        <v>-</v>
      </c>
      <c r="F4865" t="str">
        <v>-</v>
      </c>
      <c r="G4865" t="str">
        <v>-</v>
      </c>
    </row>
    <row r="4866">
      <c r="A4866">
        <v>4865</v>
      </c>
      <c r="B4866">
        <f>HYPERLINK("https://www.facebook.com/p/C%C3%B4ng-an-x%C3%A3-Nu%C3%B4ng-D%C4%83m-100065125834392/", "Công an xã Nuông Dăm  tỉnh Hòa Bình")</f>
      </c>
      <c r="C4866" t="str">
        <v>https://www.facebook.com/p/C%C3%B4ng-an-x%C3%A3-Nu%C3%B4ng-D%C4%83m-100065125834392/</v>
      </c>
      <c r="D4866" t="str">
        <v>-</v>
      </c>
      <c r="E4866" t="str">
        <v/>
      </c>
      <c r="F4866" t="str">
        <v>-</v>
      </c>
      <c r="G4866" t="str">
        <v>-</v>
      </c>
    </row>
    <row r="4867">
      <c r="A4867">
        <v>4866</v>
      </c>
      <c r="B4867">
        <f>HYPERLINK("https://solaodong.hoabinh.gov.vn/index.php?option=com_content&amp;amp;view=article&amp;amp;id=1141:nga-y-10-8-a-ng-cha-ba-i-v-n-kha-nh-pha-ba-th-ta-nh-a-y-cha-ta-ch-ubnd-ta-nh-cha-tra-bua-i-tia-p-xa-c-a-i-thoa-i-va-i-a-i-dia-n-ca-c-ha-da-n-xa-m-ba-la-m-xa-nua-ng-d-m-kim-ba-i&amp;amp;catid=14:sample-data-articles&amp;amp;Itemid=290", "UBND Ủy ban nhân dân xã Nuông Dăm  tỉnh Hòa Bình")</f>
      </c>
      <c r="C4867" t="str">
        <v>https://solaodong.hoabinh.gov.vn/index.php?option=com_content&amp;amp;view=article&amp;amp;id=1141:nga-y-10-8-a-ng-cha-ba-i-v-n-kha-nh-pha-ba-th-ta-nh-a-y-cha-ta-ch-ubnd-ta-nh-cha-tra-bua-i-tia-p-xa-c-a-i-thoa-i-va-i-a-i-dia-n-ca-c-ha-da-n-xa-m-ba-la-m-xa-nua-ng-d-m-kim-ba-i&amp;amp;catid=14:sample-data-articles&amp;amp;Itemid=290</v>
      </c>
      <c r="D4867" t="str">
        <v>-</v>
      </c>
      <c r="E4867" t="str">
        <v>-</v>
      </c>
      <c r="F4867" t="str">
        <v>-</v>
      </c>
      <c r="G4867" t="str">
        <v>-</v>
      </c>
    </row>
    <row r="4868">
      <c r="A4868">
        <v>4867</v>
      </c>
      <c r="B4868">
        <f>HYPERLINK("https://www.facebook.com/ConganCaoPhong.net/", "Công an thị trấn Cao Phong  tỉnh Hòa Bình")</f>
      </c>
      <c r="C4868" t="str">
        <v>https://www.facebook.com/ConganCaoPhong.net/</v>
      </c>
      <c r="D4868" t="str">
        <v>-</v>
      </c>
      <c r="E4868" t="str">
        <v/>
      </c>
      <c r="F4868" t="str">
        <v>-</v>
      </c>
      <c r="G4868" t="str">
        <v>-</v>
      </c>
    </row>
    <row r="4869">
      <c r="A4869">
        <v>4868</v>
      </c>
      <c r="B4869">
        <f>HYPERLINK("https://caophong.hoabinh.gov.vn/", "UBND Ủy ban nhân dân thị trấn Cao Phong  tỉnh Hòa Bình")</f>
      </c>
      <c r="C4869" t="str">
        <v>https://caophong.hoabinh.gov.vn/</v>
      </c>
      <c r="D4869" t="str">
        <v>-</v>
      </c>
      <c r="E4869" t="str">
        <v>-</v>
      </c>
      <c r="F4869" t="str">
        <v>-</v>
      </c>
      <c r="G4869" t="str">
        <v>-</v>
      </c>
    </row>
    <row r="4870">
      <c r="A4870">
        <v>4869</v>
      </c>
      <c r="B4870">
        <f>HYPERLINK("https://www.facebook.com/p/Tu%E1%BB%95i-tr%E1%BA%BB-ph%C3%B2ng-CSC%C4%90-C%C3%B4ng-an-t%E1%BB%89nh-Ho%C3%A0-B%C3%ACnh-100077598099489/", "Công an xã Bình Thanh  tỉnh Hòa Bình")</f>
      </c>
      <c r="C4870" t="str">
        <v>https://www.facebook.com/p/Tu%E1%BB%95i-tr%E1%BA%BB-ph%C3%B2ng-CSC%C4%90-C%C3%B4ng-an-t%E1%BB%89nh-Ho%C3%A0-B%C3%ACnh-100077598099489/</v>
      </c>
      <c r="D4870" t="str">
        <v>-</v>
      </c>
      <c r="E4870" t="str">
        <v/>
      </c>
      <c r="F4870" t="str">
        <v>-</v>
      </c>
      <c r="G4870" t="str">
        <v>-</v>
      </c>
    </row>
    <row r="4871">
      <c r="A4871">
        <v>4870</v>
      </c>
      <c r="B4871">
        <f>HYPERLINK("https://xabinhthanh.hoabinh.gov.vn/", "UBND Ủy ban nhân dân xã Bình Thanh  tỉnh Hòa Bình")</f>
      </c>
      <c r="C4871" t="str">
        <v>https://xabinhthanh.hoabinh.gov.vn/</v>
      </c>
      <c r="D4871" t="str">
        <v>-</v>
      </c>
      <c r="E4871" t="str">
        <v>-</v>
      </c>
      <c r="F4871" t="str">
        <v>-</v>
      </c>
      <c r="G4871" t="str">
        <v>-</v>
      </c>
    </row>
    <row r="4872">
      <c r="A4872">
        <v>4871</v>
      </c>
      <c r="B4872" t="str">
        <v>Công an xã Thung Nai  tỉnh Hòa Bình</v>
      </c>
      <c r="C4872" t="str">
        <v>-</v>
      </c>
      <c r="D4872" t="str">
        <v>-</v>
      </c>
      <c r="E4872" t="str">
        <v/>
      </c>
      <c r="F4872" t="str">
        <v>-</v>
      </c>
      <c r="G4872" t="str">
        <v>-</v>
      </c>
    </row>
    <row r="4873">
      <c r="A4873">
        <v>4872</v>
      </c>
      <c r="B4873">
        <f>HYPERLINK("https://xathungnai.hoabinh.gov.vn/", "UBND Ủy ban nhân dân xã Thung Nai  tỉnh Hòa Bình")</f>
      </c>
      <c r="C4873" t="str">
        <v>https://xathungnai.hoabinh.gov.vn/</v>
      </c>
      <c r="D4873" t="str">
        <v>-</v>
      </c>
      <c r="E4873" t="str">
        <v>-</v>
      </c>
      <c r="F4873" t="str">
        <v>-</v>
      </c>
      <c r="G4873" t="str">
        <v>-</v>
      </c>
    </row>
    <row r="4874">
      <c r="A4874">
        <v>4873</v>
      </c>
      <c r="B4874" t="str">
        <v>Công an xã Bắc Phong  tỉnh Hòa Bình</v>
      </c>
      <c r="C4874" t="str">
        <v>-</v>
      </c>
      <c r="D4874" t="str">
        <v>-</v>
      </c>
      <c r="E4874" t="str">
        <v/>
      </c>
      <c r="F4874" t="str">
        <v>-</v>
      </c>
      <c r="G4874" t="str">
        <v>-</v>
      </c>
    </row>
    <row r="4875">
      <c r="A4875">
        <v>4874</v>
      </c>
      <c r="B4875">
        <f>HYPERLINK("https://xabacphong.hoabinh.gov.vn/", "UBND Ủy ban nhân dân xã Bắc Phong  tỉnh Hòa Bình")</f>
      </c>
      <c r="C4875" t="str">
        <v>https://xabacphong.hoabinh.gov.vn/</v>
      </c>
      <c r="D4875" t="str">
        <v>-</v>
      </c>
      <c r="E4875" t="str">
        <v>-</v>
      </c>
      <c r="F4875" t="str">
        <v>-</v>
      </c>
      <c r="G4875" t="str">
        <v>-</v>
      </c>
    </row>
    <row r="4876">
      <c r="A4876">
        <v>4875</v>
      </c>
      <c r="B4876">
        <f>HYPERLINK("https://www.facebook.com/caxthuphong28/", "Công an xã Thu Phong  tỉnh Hòa Bình")</f>
      </c>
      <c r="C4876" t="str">
        <v>https://www.facebook.com/caxthuphong28/</v>
      </c>
      <c r="D4876" t="str">
        <v>-</v>
      </c>
      <c r="E4876" t="str">
        <v/>
      </c>
      <c r="F4876" t="str">
        <v>-</v>
      </c>
      <c r="G4876" t="str">
        <v>-</v>
      </c>
    </row>
    <row r="4877">
      <c r="A4877">
        <v>4876</v>
      </c>
      <c r="B4877">
        <f>HYPERLINK("https://xathuphong.hoabinh.gov.vn/", "UBND Ủy ban nhân dân xã Thu Phong  tỉnh Hòa Bình")</f>
      </c>
      <c r="C4877" t="str">
        <v>https://xathuphong.hoabinh.gov.vn/</v>
      </c>
      <c r="D4877" t="str">
        <v>-</v>
      </c>
      <c r="E4877" t="str">
        <v>-</v>
      </c>
      <c r="F4877" t="str">
        <v>-</v>
      </c>
      <c r="G4877" t="str">
        <v>-</v>
      </c>
    </row>
    <row r="4878">
      <c r="A4878">
        <v>4877</v>
      </c>
      <c r="B4878">
        <f>HYPERLINK("https://www.facebook.com/p/Tu%E1%BB%95i-tr%E1%BA%BB-ph%C3%B2ng-CSC%C4%90-C%C3%B4ng-an-t%E1%BB%89nh-Ho%C3%A0-B%C3%ACnh-100077598099489/", "Công an xã Đông Phong  tỉnh Hòa Bình")</f>
      </c>
      <c r="C4878" t="str">
        <v>https://www.facebook.com/p/Tu%E1%BB%95i-tr%E1%BA%BB-ph%C3%B2ng-CSC%C4%90-C%C3%B4ng-an-t%E1%BB%89nh-Ho%C3%A0-B%C3%ACnh-100077598099489/</v>
      </c>
      <c r="D4878" t="str">
        <v>-</v>
      </c>
      <c r="E4878" t="str">
        <v/>
      </c>
      <c r="F4878" t="str">
        <v>-</v>
      </c>
      <c r="G4878" t="str">
        <v>-</v>
      </c>
    </row>
    <row r="4879">
      <c r="A4879">
        <v>4878</v>
      </c>
      <c r="B4879">
        <f>HYPERLINK("https://nhoquan.ninhbinh.gov.vn/xa-dong-phong", "UBND Ủy ban nhân dân xã Đông Phong  tỉnh Hòa Bình")</f>
      </c>
      <c r="C4879" t="str">
        <v>https://nhoquan.ninhbinh.gov.vn/xa-dong-phong</v>
      </c>
      <c r="D4879" t="str">
        <v>-</v>
      </c>
      <c r="E4879" t="str">
        <v>-</v>
      </c>
      <c r="F4879" t="str">
        <v>-</v>
      </c>
      <c r="G4879" t="str">
        <v>-</v>
      </c>
    </row>
    <row r="4880">
      <c r="A4880">
        <v>4879</v>
      </c>
      <c r="B4880" t="str">
        <v>Công an xã Xuân Phong  tỉnh Hòa Bình</v>
      </c>
      <c r="C4880" t="str">
        <v>-</v>
      </c>
      <c r="D4880" t="str">
        <v>-</v>
      </c>
      <c r="E4880" t="str">
        <v/>
      </c>
      <c r="F4880" t="str">
        <v>-</v>
      </c>
      <c r="G4880" t="str">
        <v>-</v>
      </c>
    </row>
    <row r="4881">
      <c r="A4881">
        <v>4880</v>
      </c>
      <c r="B4881">
        <f>HYPERLINK("http://xuanphong.thoxuan.thanhhoa.gov.vn/web/trang-chu/bo-may-hanh-chinh/uy-ban-nhan-dan-xa/co-cau-to-chuc-ubnd-xa-xuan-phong.html", "UBND Ủy ban nhân dân xã Xuân Phong  tỉnh Hòa Bình")</f>
      </c>
      <c r="C4881" t="str">
        <v>http://xuanphong.thoxuan.thanhhoa.gov.vn/web/trang-chu/bo-may-hanh-chinh/uy-ban-nhan-dan-xa/co-cau-to-chuc-ubnd-xa-xuan-phong.html</v>
      </c>
      <c r="D4881" t="str">
        <v>-</v>
      </c>
      <c r="E4881" t="str">
        <v>-</v>
      </c>
      <c r="F4881" t="str">
        <v>-</v>
      </c>
      <c r="G4881" t="str">
        <v>-</v>
      </c>
    </row>
    <row r="4882">
      <c r="A4882">
        <v>4881</v>
      </c>
      <c r="B4882">
        <f>HYPERLINK("https://www.facebook.com/p/C%C3%B4ng-an-x%C3%A3-T%C3%A2y-Phong-100066519734454/", "Công an xã Tây Phong  tỉnh Hòa Bình")</f>
      </c>
      <c r="C4882" t="str">
        <v>https://www.facebook.com/p/C%C3%B4ng-an-x%C3%A3-T%C3%A2y-Phong-100066519734454/</v>
      </c>
      <c r="D4882" t="str">
        <v>-</v>
      </c>
      <c r="E4882" t="str">
        <v/>
      </c>
      <c r="F4882" t="str">
        <v>-</v>
      </c>
      <c r="G4882" t="str">
        <v>-</v>
      </c>
    </row>
    <row r="4883">
      <c r="A4883">
        <v>4882</v>
      </c>
      <c r="B4883">
        <f>HYPERLINK("https://xatayphong.hoabinh.gov.vn/", "UBND Ủy ban nhân dân xã Tây Phong  tỉnh Hòa Bình")</f>
      </c>
      <c r="C4883" t="str">
        <v>https://xatayphong.hoabinh.gov.vn/</v>
      </c>
      <c r="D4883" t="str">
        <v>-</v>
      </c>
      <c r="E4883" t="str">
        <v>-</v>
      </c>
      <c r="F4883" t="str">
        <v>-</v>
      </c>
      <c r="G4883" t="str">
        <v>-</v>
      </c>
    </row>
    <row r="4884">
      <c r="A4884">
        <v>4883</v>
      </c>
      <c r="B4884">
        <f>HYPERLINK("https://www.facebook.com/p/Tu%E1%BB%95i-tr%E1%BA%BB-ph%C3%B2ng-CSC%C4%90-C%C3%B4ng-an-t%E1%BB%89nh-Ho%C3%A0-B%C3%ACnh-100077598099489/", "Công an xã Tân Phong  tỉnh Hòa Bình")</f>
      </c>
      <c r="C4884" t="str">
        <v>https://www.facebook.com/p/Tu%E1%BB%95i-tr%E1%BA%BB-ph%C3%B2ng-CSC%C4%90-C%C3%B4ng-an-t%E1%BB%89nh-Ho%C3%A0-B%C3%ACnh-100077598099489/</v>
      </c>
      <c r="D4884" t="str">
        <v>-</v>
      </c>
      <c r="E4884" t="str">
        <v/>
      </c>
      <c r="F4884" t="str">
        <v>-</v>
      </c>
      <c r="G4884" t="str">
        <v>-</v>
      </c>
    </row>
    <row r="4885">
      <c r="A4885">
        <v>4884</v>
      </c>
      <c r="B4885">
        <f>HYPERLINK("https://tiengiang.gov.vn/chi-tiet-tin?%2Ftan-phong-ra-mat-xa-at-chuan-nong-thon-moi%2F19557644", "UBND Ủy ban nhân dân xã Tân Phong  tỉnh Hòa Bình")</f>
      </c>
      <c r="C4885" t="str">
        <v>https://tiengiang.gov.vn/chi-tiet-tin?%2Ftan-phong-ra-mat-xa-at-chuan-nong-thon-moi%2F19557644</v>
      </c>
      <c r="D4885" t="str">
        <v>-</v>
      </c>
      <c r="E4885" t="str">
        <v>-</v>
      </c>
      <c r="F4885" t="str">
        <v>-</v>
      </c>
      <c r="G4885" t="str">
        <v>-</v>
      </c>
    </row>
    <row r="4886">
      <c r="A4886">
        <v>4885</v>
      </c>
      <c r="B4886">
        <f>HYPERLINK("https://www.facebook.com/p/C%C3%B4ng-an-x%C3%A3-D%C5%A9ng-Phong-Cao-Phong-100066840728781/", "Công an xã Dũng Phong  tỉnh Hòa Bình")</f>
      </c>
      <c r="C4886" t="str">
        <v>https://www.facebook.com/p/C%C3%B4ng-an-x%C3%A3-D%C5%A9ng-Phong-Cao-Phong-100066840728781/</v>
      </c>
      <c r="D4886" t="str">
        <v>-</v>
      </c>
      <c r="E4886" t="str">
        <v/>
      </c>
      <c r="F4886" t="str">
        <v>-</v>
      </c>
      <c r="G4886" t="str">
        <v>-</v>
      </c>
    </row>
    <row r="4887">
      <c r="A4887">
        <v>4886</v>
      </c>
      <c r="B4887">
        <f>HYPERLINK("https://xadungphong.hoabinh.gov.vn/", "UBND Ủy ban nhân dân xã Dũng Phong  tỉnh Hòa Bình")</f>
      </c>
      <c r="C4887" t="str">
        <v>https://xadungphong.hoabinh.gov.vn/</v>
      </c>
      <c r="D4887" t="str">
        <v>-</v>
      </c>
      <c r="E4887" t="str">
        <v>-</v>
      </c>
      <c r="F4887" t="str">
        <v>-</v>
      </c>
      <c r="G4887" t="str">
        <v>-</v>
      </c>
    </row>
    <row r="4888">
      <c r="A4888">
        <v>4887</v>
      </c>
      <c r="B4888">
        <f>HYPERLINK("https://www.facebook.com/p/C%C3%B4ng-an-x%C3%A3-Nam-Phong-100066445731366/", "Công an xã Nam Phong  tỉnh Hòa Bình")</f>
      </c>
      <c r="C4888" t="str">
        <v>https://www.facebook.com/p/C%C3%B4ng-an-x%C3%A3-Nam-Phong-100066445731366/</v>
      </c>
      <c r="D4888" t="str">
        <v>-</v>
      </c>
      <c r="E4888" t="str">
        <v/>
      </c>
      <c r="F4888" t="str">
        <v>-</v>
      </c>
      <c r="G4888" t="str">
        <v>-</v>
      </c>
    </row>
    <row r="4889">
      <c r="A4889">
        <v>4888</v>
      </c>
      <c r="B4889">
        <f>HYPERLINK("https://dichvucong.namdinh.gov.vn/portaldvc/KenhTin/dich-vu-cong-truc-tuyen.aspx?_dv=3961F610-C2A7-DD74-E67E-31926DE20501", "UBND Ủy ban nhân dân xã Nam Phong  tỉnh Hòa Bình")</f>
      </c>
      <c r="C4889" t="str">
        <v>https://dichvucong.namdinh.gov.vn/portaldvc/KenhTin/dich-vu-cong-truc-tuyen.aspx?_dv=3961F610-C2A7-DD74-E67E-31926DE20501</v>
      </c>
      <c r="D4889" t="str">
        <v>-</v>
      </c>
      <c r="E4889" t="str">
        <v>-</v>
      </c>
      <c r="F4889" t="str">
        <v>-</v>
      </c>
      <c r="G4889" t="str">
        <v>-</v>
      </c>
    </row>
    <row r="4890">
      <c r="A4890">
        <v>4889</v>
      </c>
      <c r="B4890">
        <f>HYPERLINK("https://www.facebook.com/p/Trung-t%C3%A2m-V%C4%83n-h%C3%B3aTh%E1%BB%83-thao-v%C3%A0-Truy%E1%BB%81n-th%C3%B4ng-huy%E1%BB%87n-Y%C3%AAn-Th%E1%BB%A7y-100039718763296/", "Công an xã Yên Lập  tỉnh Hòa Bình")</f>
      </c>
      <c r="C4890" t="str">
        <v>https://www.facebook.com/p/Trung-t%C3%A2m-V%C4%83n-h%C3%B3aTh%E1%BB%83-thao-v%C3%A0-Truy%E1%BB%81n-th%C3%B4ng-huy%E1%BB%87n-Y%C3%AAn-Th%E1%BB%A7y-100039718763296/</v>
      </c>
      <c r="D4890" t="str">
        <v>-</v>
      </c>
      <c r="E4890" t="str">
        <v/>
      </c>
      <c r="F4890" t="str">
        <v>-</v>
      </c>
      <c r="G4890" t="str">
        <v>-</v>
      </c>
    </row>
    <row r="4891">
      <c r="A4891">
        <v>4890</v>
      </c>
      <c r="B4891">
        <f>HYPERLINK("https://yenthuy.hoabinh.gov.vn/", "UBND Ủy ban nhân dân xã Yên Lập  tỉnh Hòa Bình")</f>
      </c>
      <c r="C4891" t="str">
        <v>https://yenthuy.hoabinh.gov.vn/</v>
      </c>
      <c r="D4891" t="str">
        <v>-</v>
      </c>
      <c r="E4891" t="str">
        <v>-</v>
      </c>
      <c r="F4891" t="str">
        <v>-</v>
      </c>
      <c r="G4891" t="str">
        <v>-</v>
      </c>
    </row>
    <row r="4892">
      <c r="A4892">
        <v>4891</v>
      </c>
      <c r="B4892">
        <f>HYPERLINK("https://www.facebook.com/p/C%C3%B4ng-an-huy%E1%BB%87n-Y%C3%AAn-M%C3%B4-100033535308059/", "Công an xã Yên Thượng  tỉnh Hòa Bình")</f>
      </c>
      <c r="C4892" t="str">
        <v>https://www.facebook.com/p/C%C3%B4ng-an-huy%E1%BB%87n-Y%C3%AAn-M%C3%B4-100033535308059/</v>
      </c>
      <c r="D4892" t="str">
        <v>-</v>
      </c>
      <c r="E4892" t="str">
        <v/>
      </c>
      <c r="F4892" t="str">
        <v>-</v>
      </c>
      <c r="G4892" t="str">
        <v>-</v>
      </c>
    </row>
    <row r="4893">
      <c r="A4893">
        <v>4892</v>
      </c>
      <c r="B4893">
        <f>HYPERLINK("https://yenthuy.hoabinh.gov.vn/", "UBND Ủy ban nhân dân xã Yên Thượng  tỉnh Hòa Bình")</f>
      </c>
      <c r="C4893" t="str">
        <v>https://yenthuy.hoabinh.gov.vn/</v>
      </c>
      <c r="D4893" t="str">
        <v>-</v>
      </c>
      <c r="E4893" t="str">
        <v>-</v>
      </c>
      <c r="F4893" t="str">
        <v>-</v>
      </c>
      <c r="G4893" t="str">
        <v>-</v>
      </c>
    </row>
    <row r="4894">
      <c r="A4894">
        <v>4893</v>
      </c>
      <c r="B4894" t="str">
        <v>Công an thị trấn Mường Khến  tỉnh Hòa Bình</v>
      </c>
      <c r="C4894" t="str">
        <v>-</v>
      </c>
      <c r="D4894" t="str">
        <v>-</v>
      </c>
      <c r="E4894" t="str">
        <v/>
      </c>
      <c r="F4894" t="str">
        <v>-</v>
      </c>
      <c r="G4894" t="str">
        <v>-</v>
      </c>
    </row>
    <row r="4895">
      <c r="A4895">
        <v>4894</v>
      </c>
      <c r="B4895">
        <f>HYPERLINK("https://www.hoabinh.gov.vn/tin-chi-tiet/-/bai-viet/chuyen-muc-dich-su-dung-dat-giao-dat-va-cho-cong-ty-tnhh-khu-do-thi-muong-khen-thue-dat-dot-3-de-thuc-hien-du-an-khu-dan-cu-thi-tran-muong-khen-tai-thi-tran-man-duc-huyen-tan-lac-48888-1383.html", "UBND Ủy ban nhân dân thị trấn Mường Khến  tỉnh Hòa Bình")</f>
      </c>
      <c r="C4895" t="str">
        <v>https://www.hoabinh.gov.vn/tin-chi-tiet/-/bai-viet/chuyen-muc-dich-su-dung-dat-giao-dat-va-cho-cong-ty-tnhh-khu-do-thi-muong-khen-thue-dat-dot-3-de-thuc-hien-du-an-khu-dan-cu-thi-tran-muong-khen-tai-thi-tran-man-duc-huyen-tan-lac-48888-1383.html</v>
      </c>
      <c r="D4895" t="str">
        <v>-</v>
      </c>
      <c r="E4895" t="str">
        <v>-</v>
      </c>
      <c r="F4895" t="str">
        <v>-</v>
      </c>
      <c r="G4895" t="str">
        <v>-</v>
      </c>
    </row>
    <row r="4896">
      <c r="A4896">
        <v>4895</v>
      </c>
      <c r="B4896" t="str">
        <v>Công an xã Ngòi Hoa  tỉnh Hòa Bình</v>
      </c>
      <c r="C4896" t="str">
        <v>-</v>
      </c>
      <c r="D4896" t="str">
        <v>-</v>
      </c>
      <c r="E4896" t="str">
        <v/>
      </c>
      <c r="F4896" t="str">
        <v>-</v>
      </c>
      <c r="G4896" t="str">
        <v>-</v>
      </c>
    </row>
    <row r="4897">
      <c r="A4897">
        <v>4896</v>
      </c>
      <c r="B4897">
        <f>HYPERLINK("https://xatrungthanh.hoabinh.gov.vn/index.php/na-ng-tha-n-ma-i/149-ubnd-cac-xa-th-tr-n?start=12", "UBND Ủy ban nhân dân xã Ngòi Hoa  tỉnh Hòa Bình")</f>
      </c>
      <c r="C4897" t="str">
        <v>https://xatrungthanh.hoabinh.gov.vn/index.php/na-ng-tha-n-ma-i/149-ubnd-cac-xa-th-tr-n?start=12</v>
      </c>
      <c r="D4897" t="str">
        <v>-</v>
      </c>
      <c r="E4897" t="str">
        <v>-</v>
      </c>
      <c r="F4897" t="str">
        <v>-</v>
      </c>
      <c r="G4897" t="str">
        <v>-</v>
      </c>
    </row>
    <row r="4898">
      <c r="A4898">
        <v>4897</v>
      </c>
      <c r="B4898">
        <f>HYPERLINK("https://www.facebook.com/congantinhhoabinh/", "Công an xã Trung Hòa  tỉnh Hòa Bình")</f>
      </c>
      <c r="C4898" t="str">
        <v>https://www.facebook.com/congantinhhoabinh/</v>
      </c>
      <c r="D4898" t="str">
        <v>-</v>
      </c>
      <c r="E4898" t="str">
        <v/>
      </c>
      <c r="F4898" t="str">
        <v>-</v>
      </c>
      <c r="G4898" t="str">
        <v>-</v>
      </c>
    </row>
    <row r="4899">
      <c r="A4899">
        <v>4898</v>
      </c>
      <c r="B4899">
        <f>HYPERLINK("https://www.hoabinh.gov.vn/", "UBND Ủy ban nhân dân xã Trung Hòa  tỉnh Hòa Bình")</f>
      </c>
      <c r="C4899" t="str">
        <v>https://www.hoabinh.gov.vn/</v>
      </c>
      <c r="D4899" t="str">
        <v>-</v>
      </c>
      <c r="E4899" t="str">
        <v>-</v>
      </c>
      <c r="F4899" t="str">
        <v>-</v>
      </c>
      <c r="G4899" t="str">
        <v>-</v>
      </c>
    </row>
    <row r="4900">
      <c r="A4900">
        <v>4899</v>
      </c>
      <c r="B4900">
        <f>HYPERLINK("https://www.facebook.com/100064773366355/videos/di%E1%BB%85n-t%E1%BA%ADp-chi%E1%BA%BFn-%C4%91%E1%BA%A5u-x%C3%A3-ph%C3%BA-vinh-trong-khu-v%E1%BB%B1c-ph%C3%B2ng-th%E1%BB%A7-n%C4%83m-2023/2054066624947087/", "Công an xã Phú Vinh  tỉnh Hòa Bình")</f>
      </c>
      <c r="C4900" t="str">
        <v>https://www.facebook.com/100064773366355/videos/di%E1%BB%85n-t%E1%BA%ADp-chi%E1%BA%BFn-%C4%91%E1%BA%A5u-x%C3%A3-ph%C3%BA-vinh-trong-khu-v%E1%BB%B1c-ph%C3%B2ng-th%E1%BB%A7-n%C4%83m-2023/2054066624947087/</v>
      </c>
      <c r="D4900" t="str">
        <v>-</v>
      </c>
      <c r="E4900" t="str">
        <v/>
      </c>
      <c r="F4900" t="str">
        <v>-</v>
      </c>
      <c r="G4900" t="str">
        <v>-</v>
      </c>
    </row>
    <row r="4901">
      <c r="A4901">
        <v>4900</v>
      </c>
      <c r="B4901">
        <f>HYPERLINK("https://tanlac.hoabinh.gov.vn/index.php?option=com_content&amp;view=article&amp;id=149:ubnd-cac-xa-th-tr-n&amp;catid=14&amp;limitstart=14&amp;Itemid=594&amp;lang=vi", "UBND Ủy ban nhân dân xã Phú Vinh  tỉnh Hòa Bình")</f>
      </c>
      <c r="C4901" t="str">
        <v>https://tanlac.hoabinh.gov.vn/index.php?option=com_content&amp;view=article&amp;id=149:ubnd-cac-xa-th-tr-n&amp;catid=14&amp;limitstart=14&amp;Itemid=594&amp;lang=vi</v>
      </c>
      <c r="D4901" t="str">
        <v>-</v>
      </c>
      <c r="E4901" t="str">
        <v>-</v>
      </c>
      <c r="F4901" t="str">
        <v>-</v>
      </c>
      <c r="G4901" t="str">
        <v>-</v>
      </c>
    </row>
    <row r="4902">
      <c r="A4902">
        <v>4901</v>
      </c>
      <c r="B4902">
        <f>HYPERLINK("https://www.facebook.com/p/Trung-t%C3%A2m-V%C4%83n-h%C3%B3a-Th%E1%BB%83-thao-v%C3%A0-Truy%E1%BB%81n-th%C3%B4ng-huy%E1%BB%87n-T%C3%A2n-L%E1%BA%A1c-t%E1%BB%89nh-H%C3%B2a-B%C3%ACnh-100064773366355/?locale=cs_CZ", "Công an xã Phú Cường  tỉnh Hòa Bình")</f>
      </c>
      <c r="C4902" t="str">
        <v>https://www.facebook.com/p/Trung-t%C3%A2m-V%C4%83n-h%C3%B3a-Th%E1%BB%83-thao-v%C3%A0-Truy%E1%BB%81n-th%C3%B4ng-huy%E1%BB%87n-T%C3%A2n-L%E1%BA%A1c-t%E1%BB%89nh-H%C3%B2a-B%C3%ACnh-100064773366355/?locale=cs_CZ</v>
      </c>
      <c r="D4902" t="str">
        <v>-</v>
      </c>
      <c r="E4902" t="str">
        <v/>
      </c>
      <c r="F4902" t="str">
        <v>-</v>
      </c>
      <c r="G4902" t="str">
        <v>-</v>
      </c>
    </row>
    <row r="4903">
      <c r="A4903">
        <v>4902</v>
      </c>
      <c r="B4903">
        <f>HYPERLINK("https://xaphucuong.hoabinh.gov.vn/", "UBND Ủy ban nhân dân xã Phú Cường  tỉnh Hòa Bình")</f>
      </c>
      <c r="C4903" t="str">
        <v>https://xaphucuong.hoabinh.gov.vn/</v>
      </c>
      <c r="D4903" t="str">
        <v>-</v>
      </c>
      <c r="E4903" t="str">
        <v>-</v>
      </c>
      <c r="F4903" t="str">
        <v>-</v>
      </c>
      <c r="G4903" t="str">
        <v>-</v>
      </c>
    </row>
    <row r="4904">
      <c r="A4904">
        <v>4903</v>
      </c>
      <c r="B4904" t="str">
        <v>Công an xã Mỹ Hòa  tỉnh Hòa Bình</v>
      </c>
      <c r="C4904" t="str">
        <v>-</v>
      </c>
      <c r="D4904" t="str">
        <v>-</v>
      </c>
      <c r="E4904" t="str">
        <v/>
      </c>
      <c r="F4904" t="str">
        <v>-</v>
      </c>
      <c r="G4904" t="str">
        <v>-</v>
      </c>
    </row>
    <row r="4905">
      <c r="A4905">
        <v>4904</v>
      </c>
      <c r="B4905">
        <f>HYPERLINK("https://myhoa.vinhlong.gov.vn/", "UBND Ủy ban nhân dân xã Mỹ Hòa  tỉnh Hòa Bình")</f>
      </c>
      <c r="C4905" t="str">
        <v>https://myhoa.vinhlong.gov.vn/</v>
      </c>
      <c r="D4905" t="str">
        <v>-</v>
      </c>
      <c r="E4905" t="str">
        <v>-</v>
      </c>
      <c r="F4905" t="str">
        <v>-</v>
      </c>
      <c r="G4905" t="str">
        <v>-</v>
      </c>
    </row>
    <row r="4906">
      <c r="A4906">
        <v>4905</v>
      </c>
      <c r="B4906" t="str">
        <v>Công an xã Quy Hậu  tỉnh Hòa Bình</v>
      </c>
      <c r="C4906" t="str">
        <v>-</v>
      </c>
      <c r="D4906" t="str">
        <v>-</v>
      </c>
      <c r="E4906" t="str">
        <v/>
      </c>
      <c r="F4906" t="str">
        <v>-</v>
      </c>
      <c r="G4906" t="str">
        <v>-</v>
      </c>
    </row>
    <row r="4907">
      <c r="A4907">
        <v>4906</v>
      </c>
      <c r="B4907">
        <f>HYPERLINK("https://xavubinh.hoabinh.gov.vn/index.php/trang-chu/14-sample-data-articles/149-ubnd-cac-xa-th-tr-n?start=15", "UBND Ủy ban nhân dân xã Quy Hậu  tỉnh Hòa Bình")</f>
      </c>
      <c r="C4907" t="str">
        <v>https://xavubinh.hoabinh.gov.vn/index.php/trang-chu/14-sample-data-articles/149-ubnd-cac-xa-th-tr-n?start=15</v>
      </c>
      <c r="D4907" t="str">
        <v>-</v>
      </c>
      <c r="E4907" t="str">
        <v>-</v>
      </c>
      <c r="F4907" t="str">
        <v>-</v>
      </c>
      <c r="G4907" t="str">
        <v>-</v>
      </c>
    </row>
    <row r="4908">
      <c r="A4908">
        <v>4907</v>
      </c>
      <c r="B4908">
        <f>HYPERLINK("https://www.facebook.com/p/UBND-x%C3%A3-Phong-Ph%C3%BA-huy%E1%BB%87n-T%C3%A2n-L%E1%BA%A1c-t%E1%BB%89nh-Ho%C3%A0-B%C3%ACnh-100088431253560/", "Công an xã Phong Phú  tỉnh Hòa Bình")</f>
      </c>
      <c r="C4908" t="str">
        <v>https://www.facebook.com/p/UBND-x%C3%A3-Phong-Ph%C3%BA-huy%E1%BB%87n-T%C3%A2n-L%E1%BA%A1c-t%E1%BB%89nh-Ho%C3%A0-B%C3%ACnh-100088431253560/</v>
      </c>
      <c r="D4908" t="str">
        <v>-</v>
      </c>
      <c r="E4908" t="str">
        <v/>
      </c>
      <c r="F4908" t="str">
        <v>-</v>
      </c>
      <c r="G4908" t="str">
        <v>-</v>
      </c>
    </row>
    <row r="4909">
      <c r="A4909">
        <v>4908</v>
      </c>
      <c r="B4909">
        <f>HYPERLINK("https://www.hoabinh.gov.vn/tin-chi-tiet/-/bai-viet/bo-truong-bo-cong-an-luong-tam-quang-du-ngay-hoi-toan-dan-bao-ve-an-ninh-to-quoc-tai-xa-phong-phu-huyen-tan-lac-52731-1366.html", "UBND Ủy ban nhân dân xã Phong Phú  tỉnh Hòa Bình")</f>
      </c>
      <c r="C4909" t="str">
        <v>https://www.hoabinh.gov.vn/tin-chi-tiet/-/bai-viet/bo-truong-bo-cong-an-luong-tam-quang-du-ngay-hoi-toan-dan-bao-ve-an-ninh-to-quoc-tai-xa-phong-phu-huyen-tan-lac-52731-1366.html</v>
      </c>
      <c r="D4909" t="str">
        <v>-</v>
      </c>
      <c r="E4909" t="str">
        <v>-</v>
      </c>
      <c r="F4909" t="str">
        <v>-</v>
      </c>
      <c r="G4909" t="str">
        <v>-</v>
      </c>
    </row>
    <row r="4910">
      <c r="A4910">
        <v>4909</v>
      </c>
      <c r="B4910">
        <f>HYPERLINK("https://www.facebook.com/p/X%C3%A3-Quy%E1%BA%BFt-Chi%E1%BA%BFn-Huy%E1%BB%87n-T%C3%A2n-L%E1%BA%A1c-T%E1%BB%89nh-H%C3%B2a-B%C3%ACnh-100064708628184/", "Công an xã Quyết Chiến  tỉnh Hòa Bình")</f>
      </c>
      <c r="C4910" t="str">
        <v>https://www.facebook.com/p/X%C3%A3-Quy%E1%BA%BFt-Chi%E1%BA%BFn-Huy%E1%BB%87n-T%C3%A2n-L%E1%BA%A1c-T%E1%BB%89nh-H%C3%B2a-B%C3%ACnh-100064708628184/</v>
      </c>
      <c r="D4910" t="str">
        <v>-</v>
      </c>
      <c r="E4910" t="str">
        <v/>
      </c>
      <c r="F4910" t="str">
        <v>-</v>
      </c>
      <c r="G4910" t="str">
        <v>-</v>
      </c>
    </row>
    <row r="4911">
      <c r="A4911">
        <v>4910</v>
      </c>
      <c r="B4911">
        <f>HYPERLINK("https://tanlac.hoabinh.gov.vn/index.php/vi/tin-t-c-s-ki-n/kinh-t/3780-so-tai-chinh-tinh-hoa-binh-lam-viec-voi-dang-uy-ubnd-xa-quyet-chien-huyen-tan-lac", "UBND Ủy ban nhân dân xã Quyết Chiến  tỉnh Hòa Bình")</f>
      </c>
      <c r="C4911" t="str">
        <v>https://tanlac.hoabinh.gov.vn/index.php/vi/tin-t-c-s-ki-n/kinh-t/3780-so-tai-chinh-tinh-hoa-binh-lam-viec-voi-dang-uy-ubnd-xa-quyet-chien-huyen-tan-lac</v>
      </c>
      <c r="D4911" t="str">
        <v>-</v>
      </c>
      <c r="E4911" t="str">
        <v>-</v>
      </c>
      <c r="F4911" t="str">
        <v>-</v>
      </c>
      <c r="G4911" t="str">
        <v>-</v>
      </c>
    </row>
    <row r="4912">
      <c r="A4912">
        <v>4911</v>
      </c>
      <c r="B4912" t="str">
        <v>Công an xã Mãn Đức  tỉnh Hòa Bình</v>
      </c>
      <c r="C4912" t="str">
        <v>-</v>
      </c>
      <c r="D4912" t="str">
        <v>-</v>
      </c>
      <c r="E4912" t="str">
        <v/>
      </c>
      <c r="F4912" t="str">
        <v>-</v>
      </c>
      <c r="G4912" t="str">
        <v>-</v>
      </c>
    </row>
    <row r="4913">
      <c r="A4913">
        <v>4912</v>
      </c>
      <c r="B4913">
        <f>HYPERLINK("https://thitranmanduc.hoabinh.gov.vn/", "UBND Ủy ban nhân dân xã Mãn Đức  tỉnh Hòa Bình")</f>
      </c>
      <c r="C4913" t="str">
        <v>https://thitranmanduc.hoabinh.gov.vn/</v>
      </c>
      <c r="D4913" t="str">
        <v>-</v>
      </c>
      <c r="E4913" t="str">
        <v>-</v>
      </c>
      <c r="F4913" t="str">
        <v>-</v>
      </c>
      <c r="G4913" t="str">
        <v>-</v>
      </c>
    </row>
    <row r="4914">
      <c r="A4914">
        <v>4913</v>
      </c>
      <c r="B4914" t="str">
        <v>Công an xã Địch Giáo  tỉnh Hòa Bình</v>
      </c>
      <c r="C4914" t="str">
        <v>-</v>
      </c>
      <c r="D4914" t="str">
        <v>-</v>
      </c>
      <c r="E4914" t="str">
        <v/>
      </c>
      <c r="F4914" t="str">
        <v>-</v>
      </c>
      <c r="G4914" t="str">
        <v>-</v>
      </c>
    </row>
    <row r="4915">
      <c r="A4915">
        <v>4914</v>
      </c>
      <c r="B4915">
        <f>HYPERLINK("https://dabac.hoabinh.gov.vn/", "UBND Ủy ban nhân dân xã Địch Giáo  tỉnh Hòa Bình")</f>
      </c>
      <c r="C4915" t="str">
        <v>https://dabac.hoabinh.gov.vn/</v>
      </c>
      <c r="D4915" t="str">
        <v>-</v>
      </c>
      <c r="E4915" t="str">
        <v>-</v>
      </c>
      <c r="F4915" t="str">
        <v>-</v>
      </c>
      <c r="G4915" t="str">
        <v>-</v>
      </c>
    </row>
    <row r="4916">
      <c r="A4916">
        <v>4915</v>
      </c>
      <c r="B4916">
        <f>HYPERLINK("https://www.facebook.com/congantinhhoabinh/", "Công an xã Tuân Lộ  tỉnh Hòa Bình")</f>
      </c>
      <c r="C4916" t="str">
        <v>https://www.facebook.com/congantinhhoabinh/</v>
      </c>
      <c r="D4916" t="str">
        <v>-</v>
      </c>
      <c r="E4916" t="str">
        <v/>
      </c>
      <c r="F4916" t="str">
        <v>-</v>
      </c>
      <c r="G4916" t="str">
        <v>-</v>
      </c>
    </row>
    <row r="4917">
      <c r="A4917">
        <v>4916</v>
      </c>
      <c r="B4917">
        <f>HYPERLINK("https://xadonglai.hoabinh.gov.vn/index.php/ch-c-nang-nhi-m-v/14-sample-data-articles/149-ubnd-cac-xa-th-tr-n?start=21", "UBND Ủy ban nhân dân xã Tuân Lộ  tỉnh Hòa Bình")</f>
      </c>
      <c r="C4917" t="str">
        <v>https://xadonglai.hoabinh.gov.vn/index.php/ch-c-nang-nhi-m-v/14-sample-data-articles/149-ubnd-cac-xa-th-tr-n?start=21</v>
      </c>
      <c r="D4917" t="str">
        <v>-</v>
      </c>
      <c r="E4917" t="str">
        <v>-</v>
      </c>
      <c r="F4917" t="str">
        <v>-</v>
      </c>
      <c r="G4917" t="str">
        <v>-</v>
      </c>
    </row>
    <row r="4918">
      <c r="A4918">
        <v>4917</v>
      </c>
      <c r="B4918" t="str">
        <v>Công an xã Tử Nê  tỉnh Hòa Bình</v>
      </c>
      <c r="C4918" t="str">
        <v>-</v>
      </c>
      <c r="D4918" t="str">
        <v>-</v>
      </c>
      <c r="E4918" t="str">
        <v/>
      </c>
      <c r="F4918" t="str">
        <v>-</v>
      </c>
      <c r="G4918" t="str">
        <v>-</v>
      </c>
    </row>
    <row r="4919">
      <c r="A4919">
        <v>4918</v>
      </c>
      <c r="B4919">
        <f>HYPERLINK("https://xalacsy.hoabinh.gov.vn/index.php/thong-tin-lien-h/14-sample-data-articles/149-ubnd-cac-xa-th-tr-n?start=20", "UBND Ủy ban nhân dân xã Tử Nê  tỉnh Hòa Bình")</f>
      </c>
      <c r="C4919" t="str">
        <v>https://xalacsy.hoabinh.gov.vn/index.php/thong-tin-lien-h/14-sample-data-articles/149-ubnd-cac-xa-th-tr-n?start=20</v>
      </c>
      <c r="D4919" t="str">
        <v>-</v>
      </c>
      <c r="E4919" t="str">
        <v>-</v>
      </c>
      <c r="F4919" t="str">
        <v>-</v>
      </c>
      <c r="G4919" t="str">
        <v>-</v>
      </c>
    </row>
    <row r="4920">
      <c r="A4920">
        <v>4919</v>
      </c>
      <c r="B4920" t="str">
        <v>Công an xã Thanh Hối  tỉnh Hòa Bình</v>
      </c>
      <c r="C4920" t="str">
        <v>-</v>
      </c>
      <c r="D4920" t="str">
        <v>-</v>
      </c>
      <c r="E4920" t="str">
        <v/>
      </c>
      <c r="F4920" t="str">
        <v>-</v>
      </c>
      <c r="G4920" t="str">
        <v>-</v>
      </c>
    </row>
    <row r="4921">
      <c r="A4921">
        <v>4920</v>
      </c>
      <c r="B4921">
        <f>HYPERLINK("https://luongson.hoabinh.gov.vn/", "UBND Ủy ban nhân dân xã Thanh Hối  tỉnh Hòa Bình")</f>
      </c>
      <c r="C4921" t="str">
        <v>https://luongson.hoabinh.gov.vn/</v>
      </c>
      <c r="D4921" t="str">
        <v>-</v>
      </c>
      <c r="E4921" t="str">
        <v>-</v>
      </c>
      <c r="F4921" t="str">
        <v>-</v>
      </c>
      <c r="G4921" t="str">
        <v>-</v>
      </c>
    </row>
    <row r="4922">
      <c r="A4922">
        <v>4921</v>
      </c>
      <c r="B4922">
        <f>HYPERLINK("https://www.facebook.com/100064773366355/videos/%C4%91%E1%BA%A1i-%C4%91o%C3%A0n-k%E1%BA%BFt-x%C3%B3m-mu-bi%E1%BB%87ng-x%C3%A3-ng%E1%BB%8Dc-m%E1%BB%B9/394971438373610/", "Công an xã Ngọc Mỹ  tỉnh Hòa Bình")</f>
      </c>
      <c r="C4922" t="str">
        <v>https://www.facebook.com/100064773366355/videos/%C4%91%E1%BA%A1i-%C4%91o%C3%A0n-k%E1%BA%BFt-x%C3%B3m-mu-bi%E1%BB%87ng-x%C3%A3-ng%E1%BB%8Dc-m%E1%BB%B9/394971438373610/</v>
      </c>
      <c r="D4922" t="str">
        <v>-</v>
      </c>
      <c r="E4922" t="str">
        <v/>
      </c>
      <c r="F4922" t="str">
        <v>-</v>
      </c>
      <c r="G4922" t="str">
        <v>-</v>
      </c>
    </row>
    <row r="4923">
      <c r="A4923">
        <v>4922</v>
      </c>
      <c r="B4923">
        <f>HYPERLINK("https://sotuphap.hoabinh.gov.vn/index.php/hoa-t-a-ng-t-pha-p-a-a-ph-ng/991-ubnd-xa-nga-c-ma-huya-n-ta-n-la-c-ta-p-hua-n-a-a-n-na-ng-cao-n-ng-la-c-cho-a-i-ng-ha-a-gia-i-via-n-va-a-a-n-t-ng-c-a-ng-pbgdpl-ta-i-a-a-ba-n-tra-ng-ia-m-va-vi-pha-m-pha-p-lua-t", "UBND Ủy ban nhân dân xã Ngọc Mỹ  tỉnh Hòa Bình")</f>
      </c>
      <c r="C4923" t="str">
        <v>https://sotuphap.hoabinh.gov.vn/index.php/hoa-t-a-ng-t-pha-p-a-a-ph-ng/991-ubnd-xa-nga-c-ma-huya-n-ta-n-la-c-ta-p-hua-n-a-a-n-na-ng-cao-n-ng-la-c-cho-a-i-ng-ha-a-gia-i-via-n-va-a-a-n-t-ng-c-a-ng-pbgdpl-ta-i-a-a-ba-n-tra-ng-ia-m-va-vi-pha-m-pha-p-lua-t</v>
      </c>
      <c r="D4923" t="str">
        <v>-</v>
      </c>
      <c r="E4923" t="str">
        <v>-</v>
      </c>
      <c r="F4923" t="str">
        <v>-</v>
      </c>
      <c r="G4923" t="str">
        <v>-</v>
      </c>
    </row>
    <row r="4924">
      <c r="A4924">
        <v>4923</v>
      </c>
      <c r="B4924">
        <f>HYPERLINK("https://www.facebook.com/100064773366355/videos/%C4%91%E1%BA%A1i-%C4%91o%C3%A0n-k%E1%BA%BFt-x%C3%B3m-mu-bi%E1%BB%87ng-x%C3%A3-ng%E1%BB%8Dc-m%E1%BB%B9/394971438373610/", "Công an xã Ngọc Mỹ  tỉnh Hòa Bình")</f>
      </c>
      <c r="C4924" t="str">
        <v>https://www.facebook.com/100064773366355/videos/%C4%91%E1%BA%A1i-%C4%91o%C3%A0n-k%E1%BA%BFt-x%C3%B3m-mu-bi%E1%BB%87ng-x%C3%A3-ng%E1%BB%8Dc-m%E1%BB%B9/394971438373610/</v>
      </c>
      <c r="D4924" t="str">
        <v>-</v>
      </c>
      <c r="E4924" t="str">
        <v/>
      </c>
      <c r="F4924" t="str">
        <v>-</v>
      </c>
      <c r="G4924" t="str">
        <v>-</v>
      </c>
    </row>
    <row r="4925">
      <c r="A4925">
        <v>4924</v>
      </c>
      <c r="B4925">
        <f>HYPERLINK("https://sotuphap.hoabinh.gov.vn/index.php/hoa-t-a-ng-t-pha-p-a-a-ph-ng/991-ubnd-xa-nga-c-ma-huya-n-ta-n-la-c-ta-p-hua-n-a-a-n-na-ng-cao-n-ng-la-c-cho-a-i-ng-ha-a-gia-i-via-n-va-a-a-n-t-ng-c-a-ng-pbgdpl-ta-i-a-a-ba-n-tra-ng-ia-m-va-vi-pha-m-pha-p-lua-t", "UBND Ủy ban nhân dân xã Ngọc Mỹ  tỉnh Hòa Bình")</f>
      </c>
      <c r="C4925" t="str">
        <v>https://sotuphap.hoabinh.gov.vn/index.php/hoa-t-a-ng-t-pha-p-a-a-ph-ng/991-ubnd-xa-nga-c-ma-huya-n-ta-n-la-c-ta-p-hua-n-a-a-n-na-ng-cao-n-ng-la-c-cho-a-i-ng-ha-a-gia-i-via-n-va-a-a-n-t-ng-c-a-ng-pbgdpl-ta-i-a-a-ba-n-tra-ng-ia-m-va-vi-pha-m-pha-p-lua-t</v>
      </c>
      <c r="D4925" t="str">
        <v>-</v>
      </c>
      <c r="E4925" t="str">
        <v>-</v>
      </c>
      <c r="F4925" t="str">
        <v>-</v>
      </c>
      <c r="G4925" t="str">
        <v>-</v>
      </c>
    </row>
    <row r="4926">
      <c r="A4926">
        <v>4925</v>
      </c>
      <c r="B4926" t="str">
        <v>Công an xã Lũng Vân  tỉnh Hòa Bình</v>
      </c>
      <c r="C4926" t="str">
        <v>-</v>
      </c>
      <c r="D4926" t="str">
        <v>-</v>
      </c>
      <c r="E4926" t="str">
        <v/>
      </c>
      <c r="F4926" t="str">
        <v>-</v>
      </c>
      <c r="G4926" t="str">
        <v>-</v>
      </c>
    </row>
    <row r="4927">
      <c r="A4927">
        <v>4926</v>
      </c>
      <c r="B4927">
        <f>HYPERLINK("https://xatrungthanh.hoabinh.gov.vn/index.php/na-ng-tha-n-ma-i/149-ubnd-cac-xa-th-tr-n?start=5", "UBND Ủy ban nhân dân xã Lũng Vân  tỉnh Hòa Bình")</f>
      </c>
      <c r="C4927" t="str">
        <v>https://xatrungthanh.hoabinh.gov.vn/index.php/na-ng-tha-n-ma-i/149-ubnd-cac-xa-th-tr-n?start=5</v>
      </c>
      <c r="D4927" t="str">
        <v>-</v>
      </c>
      <c r="E4927" t="str">
        <v>-</v>
      </c>
      <c r="F4927" t="str">
        <v>-</v>
      </c>
      <c r="G4927" t="str">
        <v>-</v>
      </c>
    </row>
    <row r="4928">
      <c r="A4928">
        <v>4927</v>
      </c>
      <c r="B4928">
        <f>HYPERLINK("https://www.facebook.com/chidoan.congan/", "Công an xã Bắc Sơn  tỉnh Hòa Bình")</f>
      </c>
      <c r="C4928" t="str">
        <v>https://www.facebook.com/chidoan.congan/</v>
      </c>
      <c r="D4928" t="str">
        <v>-</v>
      </c>
      <c r="E4928" t="str">
        <v/>
      </c>
      <c r="F4928" t="str">
        <v>-</v>
      </c>
      <c r="G4928" t="str">
        <v>-</v>
      </c>
    </row>
    <row r="4929">
      <c r="A4929">
        <v>4928</v>
      </c>
      <c r="B4929">
        <f>HYPERLINK("https://mongcai.gov.vn/vi-vn/tin/thong-tin-can-bo-cong-chuc-xa-bac-son-p726611-c210255-n733959", "UBND Ủy ban nhân dân xã Bắc Sơn  tỉnh Hòa Bình")</f>
      </c>
      <c r="C4929" t="str">
        <v>https://mongcai.gov.vn/vi-vn/tin/thong-tin-can-bo-cong-chuc-xa-bac-son-p726611-c210255-n733959</v>
      </c>
      <c r="D4929" t="str">
        <v>-</v>
      </c>
      <c r="E4929" t="str">
        <v>-</v>
      </c>
      <c r="F4929" t="str">
        <v>-</v>
      </c>
      <c r="G4929" t="str">
        <v>-</v>
      </c>
    </row>
    <row r="4930">
      <c r="A4930">
        <v>4929</v>
      </c>
      <c r="B4930" t="str">
        <v>Công an xã Quy Mỹ  tỉnh Hòa Bình</v>
      </c>
      <c r="C4930" t="str">
        <v>-</v>
      </c>
      <c r="D4930" t="str">
        <v>-</v>
      </c>
      <c r="E4930" t="str">
        <v/>
      </c>
      <c r="F4930" t="str">
        <v>-</v>
      </c>
      <c r="G4930" t="str">
        <v>-</v>
      </c>
    </row>
    <row r="4931">
      <c r="A4931">
        <v>4930</v>
      </c>
      <c r="B4931">
        <f>HYPERLINK("https://xamyhoa.hoabinh.gov.vn/", "UBND Ủy ban nhân dân xã Quy Mỹ  tỉnh Hòa Bình")</f>
      </c>
      <c r="C4931" t="str">
        <v>https://xamyhoa.hoabinh.gov.vn/</v>
      </c>
      <c r="D4931" t="str">
        <v>-</v>
      </c>
      <c r="E4931" t="str">
        <v>-</v>
      </c>
      <c r="F4931" t="str">
        <v>-</v>
      </c>
      <c r="G4931" t="str">
        <v>-</v>
      </c>
    </row>
    <row r="4932">
      <c r="A4932">
        <v>4931</v>
      </c>
      <c r="B4932">
        <f>HYPERLINK("https://www.facebook.com/congantinhhoabinh/", "Công an xã Do Nhân  tỉnh Hòa Bình")</f>
      </c>
      <c r="C4932" t="str">
        <v>https://www.facebook.com/congantinhhoabinh/</v>
      </c>
      <c r="D4932" t="str">
        <v>-</v>
      </c>
      <c r="E4932" t="str">
        <v/>
      </c>
      <c r="F4932" t="str">
        <v>-</v>
      </c>
      <c r="G4932" t="str">
        <v>-</v>
      </c>
    </row>
    <row r="4933">
      <c r="A4933">
        <v>4932</v>
      </c>
      <c r="B4933">
        <f>HYPERLINK("https://www.hoabinh.gov.vn/", "UBND Ủy ban nhân dân xã Do Nhân  tỉnh Hòa Bình")</f>
      </c>
      <c r="C4933" t="str">
        <v>https://www.hoabinh.gov.vn/</v>
      </c>
      <c r="D4933" t="str">
        <v>-</v>
      </c>
      <c r="E4933" t="str">
        <v>-</v>
      </c>
      <c r="F4933" t="str">
        <v>-</v>
      </c>
      <c r="G4933" t="str">
        <v>-</v>
      </c>
    </row>
    <row r="4934">
      <c r="A4934">
        <v>4933</v>
      </c>
      <c r="B4934" t="str">
        <v>Công an xã Nam Sơn  tỉnh Hòa Bình</v>
      </c>
      <c r="C4934" t="str">
        <v>-</v>
      </c>
      <c r="D4934" t="str">
        <v>-</v>
      </c>
      <c r="E4934" t="str">
        <v/>
      </c>
      <c r="F4934" t="str">
        <v>-</v>
      </c>
      <c r="G4934" t="str">
        <v>-</v>
      </c>
    </row>
    <row r="4935">
      <c r="A4935">
        <v>4934</v>
      </c>
      <c r="B4935">
        <f>HYPERLINK("https://donghy.thainguyen.gov.vn/xa-nam-hoa", "UBND Ủy ban nhân dân xã Nam Sơn  tỉnh Hòa Bình")</f>
      </c>
      <c r="C4935" t="str">
        <v>https://donghy.thainguyen.gov.vn/xa-nam-hoa</v>
      </c>
      <c r="D4935" t="str">
        <v>-</v>
      </c>
      <c r="E4935" t="str">
        <v>-</v>
      </c>
      <c r="F4935" t="str">
        <v>-</v>
      </c>
      <c r="G4935" t="str">
        <v>-</v>
      </c>
    </row>
    <row r="4936">
      <c r="A4936">
        <v>4935</v>
      </c>
      <c r="B4936">
        <f>HYPERLINK("https://www.facebook.com/ubnd.loson.tanlac.hoabinh/", "Công an xã Lỗ Sơn  tỉnh Hòa Bình")</f>
      </c>
      <c r="C4936" t="str">
        <v>https://www.facebook.com/ubnd.loson.tanlac.hoabinh/</v>
      </c>
      <c r="D4936" t="str">
        <v>-</v>
      </c>
      <c r="E4936" t="str">
        <v/>
      </c>
      <c r="F4936" t="str">
        <v>-</v>
      </c>
      <c r="G4936" t="str">
        <v>-</v>
      </c>
    </row>
    <row r="4937">
      <c r="A4937">
        <v>4936</v>
      </c>
      <c r="B4937">
        <f>HYPERLINK("https://xaloson.hoabinh.gov.vn/", "UBND Ủy ban nhân dân xã Lỗ Sơn  tỉnh Hòa Bình")</f>
      </c>
      <c r="C4937" t="str">
        <v>https://xaloson.hoabinh.gov.vn/</v>
      </c>
      <c r="D4937" t="str">
        <v>-</v>
      </c>
      <c r="E4937" t="str">
        <v>-</v>
      </c>
      <c r="F4937" t="str">
        <v>-</v>
      </c>
      <c r="G4937" t="str">
        <v>-</v>
      </c>
    </row>
    <row r="4938">
      <c r="A4938">
        <v>4937</v>
      </c>
      <c r="B4938">
        <f>HYPERLINK("https://www.facebook.com/100066905341572", "Công an xã Ngổ Luông  tỉnh Hòa Bình")</f>
      </c>
      <c r="C4938" t="str">
        <v>https://www.facebook.com/100066905341572</v>
      </c>
      <c r="D4938" t="str">
        <v>-</v>
      </c>
      <c r="E4938" t="str">
        <v/>
      </c>
      <c r="F4938" t="str">
        <v>-</v>
      </c>
      <c r="G4938" t="str">
        <v>-</v>
      </c>
    </row>
    <row r="4939">
      <c r="A4939">
        <v>4938</v>
      </c>
      <c r="B4939">
        <f>HYPERLINK("https://tanlac.hoabinh.gov.vn/index.php?option=com_content&amp;view=article&amp;id=149:ubnd-cac-xa-th-tr-n&amp;catid=14&amp;limitstart=5&amp;Itemid=594&amp;lang=en", "UBND Ủy ban nhân dân xã Ngổ Luông  tỉnh Hòa Bình")</f>
      </c>
      <c r="C4939" t="str">
        <v>https://tanlac.hoabinh.gov.vn/index.php?option=com_content&amp;view=article&amp;id=149:ubnd-cac-xa-th-tr-n&amp;catid=14&amp;limitstart=5&amp;Itemid=594&amp;lang=en</v>
      </c>
      <c r="D4939" t="str">
        <v>-</v>
      </c>
      <c r="E4939" t="str">
        <v>-</v>
      </c>
      <c r="F4939" t="str">
        <v>-</v>
      </c>
      <c r="G4939" t="str">
        <v>-</v>
      </c>
    </row>
    <row r="4940">
      <c r="A4940">
        <v>4939</v>
      </c>
      <c r="B4940">
        <f>HYPERLINK("https://www.facebook.com/p/Tu%E1%BB%95i-tr%E1%BA%BB-ph%C3%B2ng-CSC%C4%90-C%C3%B4ng-an-t%E1%BB%89nh-Ho%C3%A0-B%C3%ACnh-100077598099489/", "Công an xã Gia Mô  tỉnh Hòa Bình")</f>
      </c>
      <c r="C4940" t="str">
        <v>https://www.facebook.com/p/Tu%E1%BB%95i-tr%E1%BA%BB-ph%C3%B2ng-CSC%C4%90-C%C3%B4ng-an-t%E1%BB%89nh-Ho%C3%A0-B%C3%ACnh-100077598099489/</v>
      </c>
      <c r="D4940" t="str">
        <v>-</v>
      </c>
      <c r="E4940" t="str">
        <v/>
      </c>
      <c r="F4940" t="str">
        <v>-</v>
      </c>
      <c r="G4940" t="str">
        <v>-</v>
      </c>
    </row>
    <row r="4941">
      <c r="A4941">
        <v>4940</v>
      </c>
      <c r="B4941">
        <f>HYPERLINK("https://xagiamo.hoabinh.gov.vn/", "UBND Ủy ban nhân dân xã Gia Mô  tỉnh Hòa Bình")</f>
      </c>
      <c r="C4941" t="str">
        <v>https://xagiamo.hoabinh.gov.vn/</v>
      </c>
      <c r="D4941" t="str">
        <v>-</v>
      </c>
      <c r="E4941" t="str">
        <v>-</v>
      </c>
      <c r="F4941" t="str">
        <v>-</v>
      </c>
      <c r="G4941" t="str">
        <v>-</v>
      </c>
    </row>
    <row r="4942">
      <c r="A4942">
        <v>4941</v>
      </c>
      <c r="B4942">
        <f>HYPERLINK("https://www.facebook.com/congantinhhoabinh/", "Công an xã Tân Dân  tỉnh Hòa Bình")</f>
      </c>
      <c r="C4942" t="str">
        <v>https://www.facebook.com/congantinhhoabinh/</v>
      </c>
      <c r="D4942" t="str">
        <v>-</v>
      </c>
      <c r="E4942" t="str">
        <v/>
      </c>
      <c r="F4942" t="str">
        <v>-</v>
      </c>
      <c r="G4942" t="str">
        <v>-</v>
      </c>
    </row>
    <row r="4943">
      <c r="A4943">
        <v>4942</v>
      </c>
      <c r="B4943">
        <f>HYPERLINK("https://tandan.damdoi.camau.gov.vn/", "UBND Ủy ban nhân dân xã Tân Dân  tỉnh Hòa Bình")</f>
      </c>
      <c r="C4943" t="str">
        <v>https://tandan.damdoi.camau.gov.vn/</v>
      </c>
      <c r="D4943" t="str">
        <v>-</v>
      </c>
      <c r="E4943" t="str">
        <v>-</v>
      </c>
      <c r="F4943" t="str">
        <v>-</v>
      </c>
      <c r="G4943" t="str">
        <v>-</v>
      </c>
    </row>
    <row r="4944">
      <c r="A4944">
        <v>4943</v>
      </c>
      <c r="B4944">
        <f>HYPERLINK("https://www.facebook.com/cahmaichau28/?locale=vi_VN", "Công an thị trấn Mai Châu  tỉnh Hòa Bình")</f>
      </c>
      <c r="C4944" t="str">
        <v>https://www.facebook.com/cahmaichau28/?locale=vi_VN</v>
      </c>
      <c r="D4944" t="str">
        <v>-</v>
      </c>
      <c r="E4944" t="str">
        <v/>
      </c>
      <c r="F4944" t="str">
        <v>-</v>
      </c>
      <c r="G4944" t="str">
        <v>-</v>
      </c>
    </row>
    <row r="4945">
      <c r="A4945">
        <v>4944</v>
      </c>
      <c r="B4945">
        <f>HYPERLINK("https://maichau.hoabinh.gov.vn/index.php?lang=vi", "UBND Ủy ban nhân dân thị trấn Mai Châu  tỉnh Hòa Bình")</f>
      </c>
      <c r="C4945" t="str">
        <v>https://maichau.hoabinh.gov.vn/index.php?lang=vi</v>
      </c>
      <c r="D4945" t="str">
        <v>-</v>
      </c>
      <c r="E4945" t="str">
        <v>-</v>
      </c>
      <c r="F4945" t="str">
        <v>-</v>
      </c>
      <c r="G4945" t="str">
        <v>-</v>
      </c>
    </row>
    <row r="4946">
      <c r="A4946">
        <v>4945</v>
      </c>
      <c r="B4946" t="str">
        <v>Công an xã Tân Mai  tỉnh Hòa Bình</v>
      </c>
      <c r="C4946" t="str">
        <v>-</v>
      </c>
      <c r="D4946" t="str">
        <v>-</v>
      </c>
      <c r="E4946" t="str">
        <v/>
      </c>
      <c r="F4946" t="str">
        <v>-</v>
      </c>
      <c r="G4946" t="str">
        <v>-</v>
      </c>
    </row>
    <row r="4947">
      <c r="A4947">
        <v>4946</v>
      </c>
      <c r="B4947">
        <f>HYPERLINK("https://maichau.hoabinh.gov.vn/index.php?option=com_content&amp;amp;view=article&amp;amp;id=202:gi-i-thi-u-ubnd-xa-ba-khan&amp;amp;catid=14:sample-data-articles&amp;amp;Itemid=643&amp;amp;lang=vi", "UBND Ủy ban nhân dân xã Tân Mai  tỉnh Hòa Bình")</f>
      </c>
      <c r="C4947" t="str">
        <v>https://maichau.hoabinh.gov.vn/index.php?option=com_content&amp;amp;view=article&amp;amp;id=202:gi-i-thi-u-ubnd-xa-ba-khan&amp;amp;catid=14:sample-data-articles&amp;amp;Itemid=643&amp;amp;lang=vi</v>
      </c>
      <c r="D4947" t="str">
        <v>-</v>
      </c>
      <c r="E4947" t="str">
        <v>-</v>
      </c>
      <c r="F4947" t="str">
        <v>-</v>
      </c>
      <c r="G4947" t="str">
        <v>-</v>
      </c>
    </row>
    <row r="4948">
      <c r="A4948">
        <v>4947</v>
      </c>
      <c r="B4948" t="str">
        <v>Công an xã Phúc Sạn  tỉnh Hòa Bình</v>
      </c>
      <c r="C4948" t="str">
        <v>-</v>
      </c>
      <c r="D4948" t="str">
        <v>-</v>
      </c>
      <c r="E4948" t="str">
        <v/>
      </c>
      <c r="F4948" t="str">
        <v>-</v>
      </c>
      <c r="G4948" t="str">
        <v>-</v>
      </c>
    </row>
    <row r="4949">
      <c r="A4949">
        <v>4948</v>
      </c>
      <c r="B4949">
        <f>HYPERLINK("https://www.hoabinh.gov.vn/tin-chi-tiet/-/bai-viet/giao-so-kh-amp-dt-nghien-cuu-tinh-hinh-thuc-hien-du-an-xay-dung-khu-tai-dinh-cu-de-di-dan-vung-sat-lo-2-xa-tan-mai-nay-la-xa-tan-thanh-va-xa-phuc-san-nay-la-xa-son-thuy-huyen-mai-chau-50631-1590.html", "UBND Ủy ban nhân dân xã Phúc Sạn  tỉnh Hòa Bình")</f>
      </c>
      <c r="C4949" t="str">
        <v>https://www.hoabinh.gov.vn/tin-chi-tiet/-/bai-viet/giao-so-kh-amp-dt-nghien-cuu-tinh-hinh-thuc-hien-du-an-xay-dung-khu-tai-dinh-cu-de-di-dan-vung-sat-lo-2-xa-tan-mai-nay-la-xa-tan-thanh-va-xa-phuc-san-nay-la-xa-son-thuy-huyen-mai-chau-50631-1590.html</v>
      </c>
      <c r="D4949" t="str">
        <v>-</v>
      </c>
      <c r="E4949" t="str">
        <v>-</v>
      </c>
      <c r="F4949" t="str">
        <v>-</v>
      </c>
      <c r="G4949" t="str">
        <v>-</v>
      </c>
    </row>
    <row r="4950">
      <c r="A4950">
        <v>4949</v>
      </c>
      <c r="B4950" t="str">
        <v>Công an xã Pà Cò  tỉnh Hòa Bình</v>
      </c>
      <c r="C4950" t="str">
        <v>-</v>
      </c>
      <c r="D4950" t="str">
        <v>-</v>
      </c>
      <c r="E4950" t="str">
        <v/>
      </c>
      <c r="F4950" t="str">
        <v>-</v>
      </c>
      <c r="G4950" t="str">
        <v>-</v>
      </c>
    </row>
    <row r="4951">
      <c r="A4951">
        <v>4950</v>
      </c>
      <c r="B4951">
        <f>HYPERLINK("https://maichau.hoabinh.gov.vn/index.php?option=com_content&amp;view=article&amp;id=275:gi-i-thi-u-ubnd-xa-pa-co&amp;catid=14&amp;Itemid=672&amp;lang=vi", "UBND Ủy ban nhân dân xã Pà Cò  tỉnh Hòa Bình")</f>
      </c>
      <c r="C4951" t="str">
        <v>https://maichau.hoabinh.gov.vn/index.php?option=com_content&amp;view=article&amp;id=275:gi-i-thi-u-ubnd-xa-pa-co&amp;catid=14&amp;Itemid=672&amp;lang=vi</v>
      </c>
      <c r="D4951" t="str">
        <v>-</v>
      </c>
      <c r="E4951" t="str">
        <v>-</v>
      </c>
      <c r="F4951" t="str">
        <v>-</v>
      </c>
      <c r="G4951" t="str">
        <v>-</v>
      </c>
    </row>
    <row r="4952">
      <c r="A4952">
        <v>4951</v>
      </c>
      <c r="B4952" t="str">
        <v>Công an xã Hang Kia  tỉnh Hòa Bình</v>
      </c>
      <c r="C4952" t="str">
        <v>-</v>
      </c>
      <c r="D4952" t="str">
        <v>-</v>
      </c>
      <c r="E4952" t="str">
        <v/>
      </c>
      <c r="F4952" t="str">
        <v>-</v>
      </c>
      <c r="G4952" t="str">
        <v>-</v>
      </c>
    </row>
    <row r="4953">
      <c r="A4953">
        <v>4952</v>
      </c>
      <c r="B4953">
        <f>HYPERLINK("https://sovanhoa.hoabinh.gov.vn/du-lich/1072-ka-t-qua-ha-i-ngha-xa-c-tia-n-a-u-t-du-la-ch-ta-i-hang-kia", "UBND Ủy ban nhân dân xã Hang Kia  tỉnh Hòa Bình")</f>
      </c>
      <c r="C4953" t="str">
        <v>https://sovanhoa.hoabinh.gov.vn/du-lich/1072-ka-t-qua-ha-i-ngha-xa-c-tia-n-a-u-t-du-la-ch-ta-i-hang-kia</v>
      </c>
      <c r="D4953" t="str">
        <v>-</v>
      </c>
      <c r="E4953" t="str">
        <v>-</v>
      </c>
      <c r="F4953" t="str">
        <v>-</v>
      </c>
      <c r="G4953" t="str">
        <v>-</v>
      </c>
    </row>
    <row r="4954">
      <c r="A4954">
        <v>4953</v>
      </c>
      <c r="B4954">
        <f>HYPERLINK("https://www.facebook.com/conganBaTri/", "Công an xã Ba Khan  tỉnh Hòa Bình")</f>
      </c>
      <c r="C4954" t="str">
        <v>https://www.facebook.com/conganBaTri/</v>
      </c>
      <c r="D4954" t="str">
        <v>-</v>
      </c>
      <c r="E4954" t="str">
        <v/>
      </c>
      <c r="F4954" t="str">
        <v>-</v>
      </c>
      <c r="G4954" t="str">
        <v>-</v>
      </c>
    </row>
    <row r="4955">
      <c r="A4955">
        <v>4954</v>
      </c>
      <c r="B4955">
        <f>HYPERLINK("https://maichau.hoabinh.gov.vn/index.php?option=com_content&amp;amp;view=article&amp;amp;id=202:gi-i-thi-u-ubnd-xa-ba-khan&amp;amp;catid=14:sample-data-articles&amp;amp;Itemid=643&amp;amp;lang=vi", "UBND Ủy ban nhân dân xã Ba Khan  tỉnh Hòa Bình")</f>
      </c>
      <c r="C4955" t="str">
        <v>https://maichau.hoabinh.gov.vn/index.php?option=com_content&amp;amp;view=article&amp;amp;id=202:gi-i-thi-u-ubnd-xa-ba-khan&amp;amp;catid=14:sample-data-articles&amp;amp;Itemid=643&amp;amp;lang=vi</v>
      </c>
      <c r="D4955" t="str">
        <v>-</v>
      </c>
      <c r="E4955" t="str">
        <v>-</v>
      </c>
      <c r="F4955" t="str">
        <v>-</v>
      </c>
      <c r="G4955" t="str">
        <v>-</v>
      </c>
    </row>
    <row r="4956">
      <c r="A4956">
        <v>4955</v>
      </c>
      <c r="B4956" t="str">
        <v>Công an xã Tân Sơn  tỉnh Hòa Bình</v>
      </c>
      <c r="C4956" t="str">
        <v>-</v>
      </c>
      <c r="D4956" t="str">
        <v>-</v>
      </c>
      <c r="E4956" t="str">
        <v/>
      </c>
      <c r="F4956" t="str">
        <v>-</v>
      </c>
      <c r="G4956" t="str">
        <v>-</v>
      </c>
    </row>
    <row r="4957">
      <c r="A4957">
        <v>4956</v>
      </c>
      <c r="B4957">
        <f>HYPERLINK("https://maichau.hoabinh.gov.vn/index.php?option=com_content&amp;view=article&amp;id=216:gi-i-thi-u-ubnd-xa-tan-son&amp;catid=14&amp;lang=en&amp;Itemid=641", "UBND Ủy ban nhân dân xã Tân Sơn  tỉnh Hòa Bình")</f>
      </c>
      <c r="C4957" t="str">
        <v>https://maichau.hoabinh.gov.vn/index.php?option=com_content&amp;view=article&amp;id=216:gi-i-thi-u-ubnd-xa-tan-son&amp;catid=14&amp;lang=en&amp;Itemid=641</v>
      </c>
      <c r="D4957" t="str">
        <v>-</v>
      </c>
      <c r="E4957" t="str">
        <v>-</v>
      </c>
      <c r="F4957" t="str">
        <v>-</v>
      </c>
      <c r="G4957" t="str">
        <v>-</v>
      </c>
    </row>
    <row r="4958">
      <c r="A4958">
        <v>4957</v>
      </c>
      <c r="B4958" t="str">
        <v>Công an xã Đồng Bảng  tỉnh Hòa Bình</v>
      </c>
      <c r="C4958" t="str">
        <v>-</v>
      </c>
      <c r="D4958" t="str">
        <v>-</v>
      </c>
      <c r="E4958" t="str">
        <v/>
      </c>
      <c r="F4958" t="str">
        <v>-</v>
      </c>
      <c r="G4958" t="str">
        <v>-</v>
      </c>
    </row>
    <row r="4959">
      <c r="A4959">
        <v>4958</v>
      </c>
      <c r="B4959">
        <f>HYPERLINK("https://maichau.hoabinh.gov.vn/index.php?option=com_content&amp;amp;view=article&amp;amp;id=202:gi-i-thi-u-ubnd-xa-ba-khan&amp;amp;catid=14:sample-data-articles&amp;amp;Itemid=643&amp;amp;lang=vi", "UBND Ủy ban nhân dân xã Đồng Bảng  tỉnh Hòa Bình")</f>
      </c>
      <c r="C4959" t="str">
        <v>https://maichau.hoabinh.gov.vn/index.php?option=com_content&amp;amp;view=article&amp;amp;id=202:gi-i-thi-u-ubnd-xa-ba-khan&amp;amp;catid=14:sample-data-articles&amp;amp;Itemid=643&amp;amp;lang=vi</v>
      </c>
      <c r="D4959" t="str">
        <v>-</v>
      </c>
      <c r="E4959" t="str">
        <v>-</v>
      </c>
      <c r="F4959" t="str">
        <v>-</v>
      </c>
      <c r="G4959" t="str">
        <v>-</v>
      </c>
    </row>
    <row r="4960">
      <c r="A4960">
        <v>4959</v>
      </c>
      <c r="B4960">
        <f>HYPERLINK("https://www.facebook.com/p/C%C3%B4ng-an-x%C3%A3-Cun-Pheo-Mai-Ch%C3%A2u-H%C3%B2a-B%C3%ACnh-100083309446261/", "Công an xã Cun Pheo  tỉnh Hòa Bình")</f>
      </c>
      <c r="C4960" t="str">
        <v>https://www.facebook.com/p/C%C3%B4ng-an-x%C3%A3-Cun-Pheo-Mai-Ch%C3%A2u-H%C3%B2a-B%C3%ACnh-100083309446261/</v>
      </c>
      <c r="D4960" t="str">
        <v>-</v>
      </c>
      <c r="E4960" t="str">
        <v/>
      </c>
      <c r="F4960" t="str">
        <v>-</v>
      </c>
      <c r="G4960" t="str">
        <v>-</v>
      </c>
    </row>
    <row r="4961">
      <c r="A4961">
        <v>4960</v>
      </c>
      <c r="B4961">
        <f>HYPERLINK("https://www.hoabinh.gov.vn/tin-chi-tiet/-/bai-viet/ket-luan-cua-dong-chi-dinh-cong-su-pho-chu-tich-uy-ban-nhan-dan-tinh-tai-buoi-kiem-tra-cong-tac-trien-khai-thuc-hien-cac-chuong-trinh-muc-tieu-quoc-gia-tai-xa-cun-pheo-huyen-mai-chau-52055-1590.html", "UBND Ủy ban nhân dân xã Cun Pheo  tỉnh Hòa Bình")</f>
      </c>
      <c r="C4961" t="str">
        <v>https://www.hoabinh.gov.vn/tin-chi-tiet/-/bai-viet/ket-luan-cua-dong-chi-dinh-cong-su-pho-chu-tich-uy-ban-nhan-dan-tinh-tai-buoi-kiem-tra-cong-tac-trien-khai-thuc-hien-cac-chuong-trinh-muc-tieu-quoc-gia-tai-xa-cun-pheo-huyen-mai-chau-52055-1590.html</v>
      </c>
      <c r="D4961" t="str">
        <v>-</v>
      </c>
      <c r="E4961" t="str">
        <v>-</v>
      </c>
      <c r="F4961" t="str">
        <v>-</v>
      </c>
      <c r="G4961" t="str">
        <v>-</v>
      </c>
    </row>
    <row r="4962">
      <c r="A4962">
        <v>4961</v>
      </c>
      <c r="B4962">
        <f>HYPERLINK("https://www.facebook.com/congantinhhoabinh/", "Công an xã Bao La  tỉnh Hòa Bình")</f>
      </c>
      <c r="C4962" t="str">
        <v>https://www.facebook.com/congantinhhoabinh/</v>
      </c>
      <c r="D4962" t="str">
        <v>-</v>
      </c>
      <c r="E4962" t="str">
        <v/>
      </c>
      <c r="F4962" t="str">
        <v>-</v>
      </c>
      <c r="G4962" t="str">
        <v>-</v>
      </c>
    </row>
    <row r="4963">
      <c r="A4963">
        <v>4962</v>
      </c>
      <c r="B4963">
        <f>HYPERLINK("https://www.hoabinh.gov.vn/", "UBND Ủy ban nhân dân xã Bao La  tỉnh Hòa Bình")</f>
      </c>
      <c r="C4963" t="str">
        <v>https://www.hoabinh.gov.vn/</v>
      </c>
      <c r="D4963" t="str">
        <v>-</v>
      </c>
      <c r="E4963" t="str">
        <v>-</v>
      </c>
      <c r="F4963" t="str">
        <v>-</v>
      </c>
      <c r="G4963" t="str">
        <v>-</v>
      </c>
    </row>
    <row r="4964">
      <c r="A4964">
        <v>4963</v>
      </c>
      <c r="B4964" t="str">
        <v>Công an xã Piềng Vế  tỉnh Hòa Bình</v>
      </c>
      <c r="C4964" t="str">
        <v>-</v>
      </c>
      <c r="D4964" t="str">
        <v>-</v>
      </c>
      <c r="E4964" t="str">
        <v/>
      </c>
      <c r="F4964" t="str">
        <v>-</v>
      </c>
      <c r="G4964" t="str">
        <v>-</v>
      </c>
    </row>
    <row r="4965">
      <c r="A4965">
        <v>4964</v>
      </c>
      <c r="B4965">
        <f>HYPERLINK("https://hoabinh.gov.vn/tin-chi-tiet/-/bai-viet/chap-thuan-ieu-chinh-chu-truong-au-tu-va-nha-au-tu-du-an-khu-du-lich-nghi-duong-avana-mai-chau-43385-1701.html", "UBND Ủy ban nhân dân xã Piềng Vế  tỉnh Hòa Bình")</f>
      </c>
      <c r="C4965" t="str">
        <v>https://hoabinh.gov.vn/tin-chi-tiet/-/bai-viet/chap-thuan-ieu-chinh-chu-truong-au-tu-va-nha-au-tu-du-an-khu-du-lich-nghi-duong-avana-mai-chau-43385-1701.html</v>
      </c>
      <c r="D4965" t="str">
        <v>-</v>
      </c>
      <c r="E4965" t="str">
        <v>-</v>
      </c>
      <c r="F4965" t="str">
        <v>-</v>
      </c>
      <c r="G4965" t="str">
        <v>-</v>
      </c>
    </row>
    <row r="4966">
      <c r="A4966">
        <v>4965</v>
      </c>
      <c r="B4966">
        <f>HYPERLINK("https://www.facebook.com/p/C%C3%B4ng-an-x%C3%A3-T%C3%B2ng-%C4%90%E1%BA%ADu-Huy%E1%BB%87n-Mai-Ch%C3%A2u-H%C3%B2a-B%C3%ACnh-100068696257767/", "Công an xã Tòng Đậu  tỉnh Hòa Bình")</f>
      </c>
      <c r="C4966" t="str">
        <v>https://www.facebook.com/p/C%C3%B4ng-an-x%C3%A3-T%C3%B2ng-%C4%90%E1%BA%ADu-Huy%E1%BB%87n-Mai-Ch%C3%A2u-H%C3%B2a-B%C3%ACnh-100068696257767/</v>
      </c>
      <c r="D4966" t="str">
        <v>-</v>
      </c>
      <c r="E4966" t="str">
        <v/>
      </c>
      <c r="F4966" t="str">
        <v>-</v>
      </c>
      <c r="G4966" t="str">
        <v>-</v>
      </c>
    </row>
    <row r="4967">
      <c r="A4967">
        <v>4966</v>
      </c>
      <c r="B4967">
        <f>HYPERLINK("https://maichau.hoabinh.gov.vn/index.php?option=com_content&amp;amp;view=article&amp;amp;id=202:gi-i-thi-u-ubnd-xa-ba-khan&amp;amp;catid=14:sample-data-articles&amp;amp;Itemid=643&amp;amp;lang=vi", "UBND Ủy ban nhân dân xã Tòng Đậu  tỉnh Hòa Bình")</f>
      </c>
      <c r="C4967" t="str">
        <v>https://maichau.hoabinh.gov.vn/index.php?option=com_content&amp;amp;view=article&amp;amp;id=202:gi-i-thi-u-ubnd-xa-ba-khan&amp;amp;catid=14:sample-data-articles&amp;amp;Itemid=643&amp;amp;lang=vi</v>
      </c>
      <c r="D4967" t="str">
        <v>-</v>
      </c>
      <c r="E4967" t="str">
        <v>-</v>
      </c>
      <c r="F4967" t="str">
        <v>-</v>
      </c>
      <c r="G4967" t="str">
        <v>-</v>
      </c>
    </row>
    <row r="4968">
      <c r="A4968">
        <v>4967</v>
      </c>
      <c r="B4968">
        <f>HYPERLINK("https://www.facebook.com/322827476213987", "Công an xã Nà Mèo  tỉnh Hòa Bình")</f>
      </c>
      <c r="C4968" t="str">
        <v>https://www.facebook.com/322827476213987</v>
      </c>
      <c r="D4968" t="str">
        <v>-</v>
      </c>
      <c r="E4968" t="str">
        <v/>
      </c>
      <c r="F4968" t="str">
        <v>-</v>
      </c>
      <c r="G4968" t="str">
        <v>-</v>
      </c>
    </row>
    <row r="4969">
      <c r="A4969">
        <v>4968</v>
      </c>
      <c r="B4969">
        <f>HYPERLINK("https://maichau.hoabinh.gov.vn/index.php?option=com_content&amp;view=article&amp;id=2021:xa-na-pha-n-pha-n-a-u-va-a-ch-na-ng-tha-n-ma-i-n-m-2022&amp;catid=81&amp;lang=vi&amp;Itemid=573", "UBND Ủy ban nhân dân xã Nà Mèo  tỉnh Hòa Bình")</f>
      </c>
      <c r="C4969" t="str">
        <v>https://maichau.hoabinh.gov.vn/index.php?option=com_content&amp;view=article&amp;id=2021:xa-na-pha-n-pha-n-a-u-va-a-ch-na-ng-tha-n-ma-i-n-m-2022&amp;catid=81&amp;lang=vi&amp;Itemid=573</v>
      </c>
      <c r="D4969" t="str">
        <v>-</v>
      </c>
      <c r="E4969" t="str">
        <v>-</v>
      </c>
      <c r="F4969" t="str">
        <v>-</v>
      </c>
      <c r="G4969" t="str">
        <v>-</v>
      </c>
    </row>
    <row r="4970">
      <c r="A4970">
        <v>4969</v>
      </c>
      <c r="B4970" t="str">
        <v>Công an xã Thung Khe  tỉnh Hòa Bình</v>
      </c>
      <c r="C4970" t="str">
        <v>-</v>
      </c>
      <c r="D4970" t="str">
        <v>-</v>
      </c>
      <c r="E4970" t="str">
        <v/>
      </c>
      <c r="F4970" t="str">
        <v>-</v>
      </c>
      <c r="G4970" t="str">
        <v>-</v>
      </c>
    </row>
    <row r="4971">
      <c r="A4971">
        <v>4970</v>
      </c>
      <c r="B4971">
        <f>HYPERLINK("https://maichau.hoabinh.gov.vn/index.php?option=com_content&amp;view=article&amp;id=250:xa-pu-bin-2&amp;catid=14&amp;Itemid=641&amp;lang=en", "UBND Ủy ban nhân dân xã Thung Khe  tỉnh Hòa Bình")</f>
      </c>
      <c r="C4971" t="str">
        <v>https://maichau.hoabinh.gov.vn/index.php?option=com_content&amp;view=article&amp;id=250:xa-pu-bin-2&amp;catid=14&amp;Itemid=641&amp;lang=en</v>
      </c>
      <c r="D4971" t="str">
        <v>-</v>
      </c>
      <c r="E4971" t="str">
        <v>-</v>
      </c>
      <c r="F4971" t="str">
        <v>-</v>
      </c>
      <c r="G4971" t="str">
        <v>-</v>
      </c>
    </row>
    <row r="4972">
      <c r="A4972">
        <v>4971</v>
      </c>
      <c r="B4972">
        <f>HYPERLINK("https://www.facebook.com/p/C%C3%B4ng-an-x%C3%A3-N%C3%A0-Ph%C3%B2n-Mai-Ch%C3%A2u-100077426923813/", "Công an xã Nà Phòn  tỉnh Hòa Bình")</f>
      </c>
      <c r="C4972" t="str">
        <v>https://www.facebook.com/p/C%C3%B4ng-an-x%C3%A3-N%C3%A0-Ph%C3%B2n-Mai-Ch%C3%A2u-100077426923813/</v>
      </c>
      <c r="D4972" t="str">
        <v>-</v>
      </c>
      <c r="E4972" t="str">
        <v/>
      </c>
      <c r="F4972" t="str">
        <v>-</v>
      </c>
      <c r="G4972" t="str">
        <v>-</v>
      </c>
    </row>
    <row r="4973">
      <c r="A4973">
        <v>4972</v>
      </c>
      <c r="B4973">
        <f>HYPERLINK("https://sotuphap.hoabinh.gov.vn/index.php/hoa-t-a-ng-t-pha-p-a-a-ph-ng/1470-a-y-ban-nha-n-da-n-xa-na-pha-ng-huya-n-mai-cha-u-ta-cha-c-tuya-n-truya-n-pha-bia-n-gia-o-da-c-pha-p-lua-t-cho-oa-n-via-n-thanh-nia-n", "UBND Ủy ban nhân dân xã Nà Phòn  tỉnh Hòa Bình")</f>
      </c>
      <c r="C4973" t="str">
        <v>https://sotuphap.hoabinh.gov.vn/index.php/hoa-t-a-ng-t-pha-p-a-a-ph-ng/1470-a-y-ban-nha-n-da-n-xa-na-pha-ng-huya-n-mai-cha-u-ta-cha-c-tuya-n-truya-n-pha-bia-n-gia-o-da-c-pha-p-lua-t-cho-oa-n-via-n-thanh-nia-n</v>
      </c>
      <c r="D4973" t="str">
        <v>-</v>
      </c>
      <c r="E4973" t="str">
        <v>-</v>
      </c>
      <c r="F4973" t="str">
        <v>-</v>
      </c>
      <c r="G4973" t="str">
        <v>-</v>
      </c>
    </row>
    <row r="4974">
      <c r="A4974">
        <v>4973</v>
      </c>
      <c r="B4974">
        <f>HYPERLINK("https://www.facebook.com/reel/1197246244881818/", "Công an xã Săm Khóe  tỉnh Hòa Bình")</f>
      </c>
      <c r="C4974" t="str">
        <v>https://www.facebook.com/reel/1197246244881818/</v>
      </c>
      <c r="D4974" t="str">
        <v>-</v>
      </c>
      <c r="E4974" t="str">
        <v/>
      </c>
      <c r="F4974" t="str">
        <v>-</v>
      </c>
      <c r="G4974" t="str">
        <v>-</v>
      </c>
    </row>
    <row r="4975">
      <c r="A4975">
        <v>4974</v>
      </c>
      <c r="B4975">
        <f>HYPERLINK("https://dabac.hoabinh.gov.vn/?tmpl=component&amp;start=5", "UBND Ủy ban nhân dân xã Săm Khóe  tỉnh Hòa Bình")</f>
      </c>
      <c r="C4975" t="str">
        <v>https://dabac.hoabinh.gov.vn/?tmpl=component&amp;start=5</v>
      </c>
      <c r="D4975" t="str">
        <v>-</v>
      </c>
      <c r="E4975" t="str">
        <v>-</v>
      </c>
      <c r="F4975" t="str">
        <v>-</v>
      </c>
      <c r="G4975" t="str">
        <v>-</v>
      </c>
    </row>
    <row r="4976">
      <c r="A4976">
        <v>4975</v>
      </c>
      <c r="B4976" t="str">
        <v>Công an xã Chiềng Châu  tỉnh Hòa Bình</v>
      </c>
      <c r="C4976" t="str">
        <v>-</v>
      </c>
      <c r="D4976" t="str">
        <v>-</v>
      </c>
      <c r="E4976" t="str">
        <v/>
      </c>
      <c r="F4976" t="str">
        <v>-</v>
      </c>
      <c r="G4976" t="str">
        <v>-</v>
      </c>
    </row>
    <row r="4977">
      <c r="A4977">
        <v>4976</v>
      </c>
      <c r="B4977">
        <f>HYPERLINK("https://maichau.hoabinh.gov.vn/index.php?option=com_content&amp;view=article&amp;id=203:gi-i-thi-u-ubnd-xa-ba-khan-2&amp;catid=14&amp;Itemid=643&amp;lang=vi", "UBND Ủy ban nhân dân xã Chiềng Châu  tỉnh Hòa Bình")</f>
      </c>
      <c r="C4977" t="str">
        <v>https://maichau.hoabinh.gov.vn/index.php?option=com_content&amp;view=article&amp;id=203:gi-i-thi-u-ubnd-xa-ba-khan-2&amp;catid=14&amp;Itemid=643&amp;lang=vi</v>
      </c>
      <c r="D4977" t="str">
        <v>-</v>
      </c>
      <c r="E4977" t="str">
        <v>-</v>
      </c>
      <c r="F4977" t="str">
        <v>-</v>
      </c>
      <c r="G4977" t="str">
        <v>-</v>
      </c>
    </row>
    <row r="4978">
      <c r="A4978">
        <v>4977</v>
      </c>
      <c r="B4978">
        <f>HYPERLINK("https://www.facebook.com/conganxamaiha/", "Công an xã Mai Hạ  tỉnh Hòa Bình")</f>
      </c>
      <c r="C4978" t="str">
        <v>https://www.facebook.com/conganxamaiha/</v>
      </c>
      <c r="D4978" t="str">
        <v>-</v>
      </c>
      <c r="E4978" t="str">
        <v/>
      </c>
      <c r="F4978" t="str">
        <v>-</v>
      </c>
      <c r="G4978" t="str">
        <v>-</v>
      </c>
    </row>
    <row r="4979">
      <c r="A4979">
        <v>4978</v>
      </c>
      <c r="B4979">
        <f>HYPERLINK("https://maichau.hoabinh.gov.vn/index.php?option=com_content&amp;view=article&amp;id=204:gi-i-thi-u-ubnd-xa-ba-khan-3&amp;catid=14&amp;Itemid=643&amp;lang=vi", "UBND Ủy ban nhân dân xã Mai Hạ  tỉnh Hòa Bình")</f>
      </c>
      <c r="C4979" t="str">
        <v>https://maichau.hoabinh.gov.vn/index.php?option=com_content&amp;view=article&amp;id=204:gi-i-thi-u-ubnd-xa-ba-khan-3&amp;catid=14&amp;Itemid=643&amp;lang=vi</v>
      </c>
      <c r="D4979" t="str">
        <v>-</v>
      </c>
      <c r="E4979" t="str">
        <v>-</v>
      </c>
      <c r="F4979" t="str">
        <v>-</v>
      </c>
      <c r="G4979" t="str">
        <v>-</v>
      </c>
    </row>
    <row r="4980">
      <c r="A4980">
        <v>4979</v>
      </c>
      <c r="B4980">
        <f>HYPERLINK("https://www.facebook.com/p/Tu%E1%BB%95i-tr%E1%BA%BB-ph%C3%B2ng-CSC%C4%90-C%C3%B4ng-an-t%E1%BB%89nh-Ho%C3%A0-B%C3%ACnh-100077598099489/", "Công an xã Nong Luông  tỉnh Hòa Bình")</f>
      </c>
      <c r="C4980" t="str">
        <v>https://www.facebook.com/p/Tu%E1%BB%95i-tr%E1%BA%BB-ph%C3%B2ng-CSC%C4%90-C%C3%B4ng-an-t%E1%BB%89nh-Ho%C3%A0-B%C3%ACnh-100077598099489/</v>
      </c>
      <c r="D4980" t="str">
        <v>-</v>
      </c>
      <c r="E4980" t="str">
        <v/>
      </c>
      <c r="F4980" t="str">
        <v>-</v>
      </c>
      <c r="G4980" t="str">
        <v>-</v>
      </c>
    </row>
    <row r="4981">
      <c r="A4981">
        <v>4980</v>
      </c>
      <c r="B4981">
        <f>HYPERLINK("https://www.hoabinh.gov.vn/", "UBND Ủy ban nhân dân xã Nong Luông  tỉnh Hòa Bình")</f>
      </c>
      <c r="C4981" t="str">
        <v>https://www.hoabinh.gov.vn/</v>
      </c>
      <c r="D4981" t="str">
        <v>-</v>
      </c>
      <c r="E4981" t="str">
        <v>-</v>
      </c>
      <c r="F4981" t="str">
        <v>-</v>
      </c>
      <c r="G4981" t="str">
        <v>-</v>
      </c>
    </row>
    <row r="4982">
      <c r="A4982">
        <v>4981</v>
      </c>
      <c r="B4982">
        <f>HYPERLINK("https://www.facebook.com/p/C%C3%B4ng-an-x%C3%A3-Mai-H%E1%BB%8Bch-Huy%E1%BB%87n-Mai-Ch%C3%A2u-H%C3%B2a-B%C3%ACnh-100069078494664/?locale=ko_KR", "Công an xã Mai Hịch  tỉnh Hòa Bình")</f>
      </c>
      <c r="C4982" t="str">
        <v>https://www.facebook.com/p/C%C3%B4ng-an-x%C3%A3-Mai-H%E1%BB%8Bch-Huy%E1%BB%87n-Mai-Ch%C3%A2u-H%C3%B2a-B%C3%ACnh-100069078494664/?locale=ko_KR</v>
      </c>
      <c r="D4982" t="str">
        <v>-</v>
      </c>
      <c r="E4982" t="str">
        <v/>
      </c>
      <c r="F4982" t="str">
        <v>-</v>
      </c>
      <c r="G4982" t="str">
        <v>-</v>
      </c>
    </row>
    <row r="4983">
      <c r="A4983">
        <v>4982</v>
      </c>
      <c r="B4983">
        <f>HYPERLINK("https://maichau.hoabinh.gov.vn/index.php?option=com_content&amp;view=article&amp;id=205:gi-i-thi-u-ubnd-xa-ba-khan-4&amp;catid=14&amp;Itemid=643&amp;lang=vi", "UBND Ủy ban nhân dân xã Mai Hịch  tỉnh Hòa Bình")</f>
      </c>
      <c r="C4983" t="str">
        <v>https://maichau.hoabinh.gov.vn/index.php?option=com_content&amp;view=article&amp;id=205:gi-i-thi-u-ubnd-xa-ba-khan-4&amp;catid=14&amp;Itemid=643&amp;lang=vi</v>
      </c>
      <c r="D4983" t="str">
        <v>-</v>
      </c>
      <c r="E4983" t="str">
        <v>-</v>
      </c>
      <c r="F4983" t="str">
        <v>-</v>
      </c>
      <c r="G4983" t="str">
        <v>-</v>
      </c>
    </row>
    <row r="4984">
      <c r="A4984">
        <v>4983</v>
      </c>
      <c r="B4984">
        <f>HYPERLINK("https://www.facebook.com/p/Tu%E1%BB%95i-tr%E1%BA%BB-C%C3%B4ng-an-huy%E1%BB%87n-%C4%90%C3%A0-B%E1%BA%AFc-100064551649842/", "Công an xã Pù Pin  tỉnh Hòa Bình")</f>
      </c>
      <c r="C4984" t="str">
        <v>https://www.facebook.com/p/Tu%E1%BB%95i-tr%E1%BA%BB-C%C3%B4ng-an-huy%E1%BB%87n-%C4%90%C3%A0-B%E1%BA%AFc-100064551649842/</v>
      </c>
      <c r="D4984" t="str">
        <v>-</v>
      </c>
      <c r="E4984" t="str">
        <v/>
      </c>
      <c r="F4984" t="str">
        <v>-</v>
      </c>
      <c r="G4984" t="str">
        <v>-</v>
      </c>
    </row>
    <row r="4985">
      <c r="A4985">
        <v>4984</v>
      </c>
      <c r="B4985">
        <f>HYPERLINK("https://maichau.hoabinh.gov.vn/index.php?option=com_content&amp;view=category&amp;id=14&amp;Itemid=641&amp;lang=en&amp;limitstart=65", "UBND Ủy ban nhân dân xã Pù Pin  tỉnh Hòa Bình")</f>
      </c>
      <c r="C4985" t="str">
        <v>https://maichau.hoabinh.gov.vn/index.php?option=com_content&amp;view=category&amp;id=14&amp;Itemid=641&amp;lang=en&amp;limitstart=65</v>
      </c>
      <c r="D4985" t="str">
        <v>-</v>
      </c>
      <c r="E4985" t="str">
        <v>-</v>
      </c>
      <c r="F4985" t="str">
        <v>-</v>
      </c>
      <c r="G4985" t="str">
        <v>-</v>
      </c>
    </row>
    <row r="4986">
      <c r="A4986">
        <v>4985</v>
      </c>
      <c r="B4986" t="str">
        <v>Công an xã Vạn Mai  tỉnh Hòa Bình</v>
      </c>
      <c r="C4986" t="str">
        <v>-</v>
      </c>
      <c r="D4986" t="str">
        <v>-</v>
      </c>
      <c r="E4986" t="str">
        <v/>
      </c>
      <c r="F4986" t="str">
        <v>-</v>
      </c>
      <c r="G4986" t="str">
        <v>-</v>
      </c>
    </row>
    <row r="4987">
      <c r="A4987">
        <v>4986</v>
      </c>
      <c r="B4987">
        <f>HYPERLINK("https://www.hoabinh.gov.vn/tin-chi-tiet/-/bai-viet/van-mai-on-nhan-danh-hieu-xa-at-chuan-nong-thon-moi-13790-1218.html", "UBND Ủy ban nhân dân xã Vạn Mai  tỉnh Hòa Bình")</f>
      </c>
      <c r="C4987" t="str">
        <v>https://www.hoabinh.gov.vn/tin-chi-tiet/-/bai-viet/van-mai-on-nhan-danh-hieu-xa-at-chuan-nong-thon-moi-13790-1218.html</v>
      </c>
      <c r="D4987" t="str">
        <v>-</v>
      </c>
      <c r="E4987" t="str">
        <v>-</v>
      </c>
      <c r="F4987" t="str">
        <v>-</v>
      </c>
      <c r="G4987" t="str">
        <v>-</v>
      </c>
    </row>
    <row r="4988">
      <c r="A4988">
        <v>4987</v>
      </c>
      <c r="B4988">
        <f>HYPERLINK("https://www.facebook.com/groups/824051121485952/", "Công an thị trấn Vụ Bản  tỉnh Hòa Bình")</f>
      </c>
      <c r="C4988" t="str">
        <v>https://www.facebook.com/groups/824051121485952/</v>
      </c>
      <c r="D4988" t="str">
        <v>-</v>
      </c>
      <c r="E4988" t="str">
        <v/>
      </c>
      <c r="F4988" t="str">
        <v>-</v>
      </c>
      <c r="G4988" t="str">
        <v>-</v>
      </c>
    </row>
    <row r="4989">
      <c r="A4989">
        <v>4988</v>
      </c>
      <c r="B4989">
        <f>HYPERLINK("https://thitranvuban.hoabinh.gov.vn/", "UBND Ủy ban nhân dân thị trấn Vụ Bản  tỉnh Hòa Bình")</f>
      </c>
      <c r="C4989" t="str">
        <v>https://thitranvuban.hoabinh.gov.vn/</v>
      </c>
      <c r="D4989" t="str">
        <v>-</v>
      </c>
      <c r="E4989" t="str">
        <v>-</v>
      </c>
      <c r="F4989" t="str">
        <v>-</v>
      </c>
      <c r="G4989" t="str">
        <v>-</v>
      </c>
    </row>
    <row r="4990">
      <c r="A4990">
        <v>4989</v>
      </c>
      <c r="B4990">
        <f>HYPERLINK("https://www.facebook.com/Conganxaquyhoa/", "Công an xã Quý Hòa  tỉnh Hòa Bình")</f>
      </c>
      <c r="C4990" t="str">
        <v>https://www.facebook.com/Conganxaquyhoa/</v>
      </c>
      <c r="D4990" t="str">
        <v>-</v>
      </c>
      <c r="E4990" t="str">
        <v/>
      </c>
      <c r="F4990" t="str">
        <v>-</v>
      </c>
      <c r="G4990" t="str">
        <v>-</v>
      </c>
    </row>
    <row r="4991">
      <c r="A4991">
        <v>4990</v>
      </c>
      <c r="B4991">
        <f>HYPERLINK("https://xaquyhoa.hoabinh.gov.vn/", "UBND Ủy ban nhân dân xã Quý Hòa  tỉnh Hòa Bình")</f>
      </c>
      <c r="C4991" t="str">
        <v>https://xaquyhoa.hoabinh.gov.vn/</v>
      </c>
      <c r="D4991" t="str">
        <v>-</v>
      </c>
      <c r="E4991" t="str">
        <v>-</v>
      </c>
      <c r="F4991" t="str">
        <v>-</v>
      </c>
      <c r="G4991" t="str">
        <v>-</v>
      </c>
    </row>
    <row r="4992">
      <c r="A4992">
        <v>4991</v>
      </c>
      <c r="B4992">
        <f>HYPERLINK("https://www.facebook.com/100059202699188", "Công an xã Miền Đồi  tỉnh Hòa Bình")</f>
      </c>
      <c r="C4992" t="str">
        <v>https://www.facebook.com/100059202699188</v>
      </c>
      <c r="D4992" t="str">
        <v>-</v>
      </c>
      <c r="E4992" t="str">
        <v>02183902545</v>
      </c>
      <c r="F4992" t="str">
        <v>buinhattruongconganxa779@gmail.com</v>
      </c>
      <c r="G4992" t="str">
        <v>xã Miền Đồi, huyện Lạc Sơn, Lac Son, Vietnam</v>
      </c>
    </row>
    <row r="4993">
      <c r="A4993">
        <v>4992</v>
      </c>
      <c r="B4993">
        <f>HYPERLINK("https://lacson.hoabinh.gov.vn/index.php/an-ninh-qu-c-phong/12366-kia-m-tra-ca-i-ca-ch-ha-nh-cha-nh-ca-ng-cha-c-ca-ng-va-n-m-2023-ta-i-a-y-ban-nha-n-da-n-xa-mia-n-a-i", "UBND Ủy ban nhân dân xã Miền Đồi  tỉnh Hòa Bình")</f>
      </c>
      <c r="C4993" t="str">
        <v>https://lacson.hoabinh.gov.vn/index.php/an-ninh-qu-c-phong/12366-kia-m-tra-ca-i-ca-ch-ha-nh-cha-nh-ca-ng-cha-c-ca-ng-va-n-m-2023-ta-i-a-y-ban-nha-n-da-n-xa-mia-n-a-i</v>
      </c>
      <c r="D4993" t="str">
        <v>-</v>
      </c>
      <c r="E4993" t="str">
        <v>-</v>
      </c>
      <c r="F4993" t="str">
        <v>-</v>
      </c>
      <c r="G4993" t="str">
        <v>-</v>
      </c>
    </row>
    <row r="4994">
      <c r="A4994">
        <v>4993</v>
      </c>
      <c r="B4994">
        <f>HYPERLINK("https://www.facebook.com/p/C%C3%B4ng-an-x%C3%A3-M%E1%BB%B9-Th%C3%A0nh-L%E1%BA%A1c-S%C6%A1n-Ho%C3%A0-B%C3%ACnh-100064870354711/", "Công an xã Mỹ Thành  tỉnh Hòa Bình")</f>
      </c>
      <c r="C4994" t="str">
        <v>https://www.facebook.com/p/C%C3%B4ng-an-x%C3%A3-M%E1%BB%B9-Th%C3%A0nh-L%E1%BA%A1c-S%C6%A1n-Ho%C3%A0-B%C3%ACnh-100064870354711/</v>
      </c>
      <c r="D4994" t="str">
        <v>-</v>
      </c>
      <c r="E4994" t="str">
        <v/>
      </c>
      <c r="F4994" t="str">
        <v>-</v>
      </c>
      <c r="G4994" t="str">
        <v>-</v>
      </c>
    </row>
    <row r="4995">
      <c r="A4995">
        <v>4994</v>
      </c>
      <c r="B4995">
        <f>HYPERLINK("https://xamythanh.hoabinh.gov.vn/", "UBND Ủy ban nhân dân xã Mỹ Thành  tỉnh Hòa Bình")</f>
      </c>
      <c r="C4995" t="str">
        <v>https://xamythanh.hoabinh.gov.vn/</v>
      </c>
      <c r="D4995" t="str">
        <v>-</v>
      </c>
      <c r="E4995" t="str">
        <v>-</v>
      </c>
      <c r="F4995" t="str">
        <v>-</v>
      </c>
      <c r="G4995" t="str">
        <v>-</v>
      </c>
    </row>
    <row r="4996">
      <c r="A4996">
        <v>4995</v>
      </c>
      <c r="B4996" t="str">
        <v>Công an xã Tuân Đạo  tỉnh Hòa Bình</v>
      </c>
      <c r="C4996" t="str">
        <v>-</v>
      </c>
      <c r="D4996" t="str">
        <v>-</v>
      </c>
      <c r="E4996" t="str">
        <v/>
      </c>
      <c r="F4996" t="str">
        <v>-</v>
      </c>
      <c r="G4996" t="str">
        <v>-</v>
      </c>
    </row>
    <row r="4997">
      <c r="A4997">
        <v>4996</v>
      </c>
      <c r="B4997">
        <f>HYPERLINK("https://xatuandao.hoabinh.gov.vn/", "UBND Ủy ban nhân dân xã Tuân Đạo  tỉnh Hòa Bình")</f>
      </c>
      <c r="C4997" t="str">
        <v>https://xatuandao.hoabinh.gov.vn/</v>
      </c>
      <c r="D4997" t="str">
        <v>-</v>
      </c>
      <c r="E4997" t="str">
        <v>-</v>
      </c>
      <c r="F4997" t="str">
        <v>-</v>
      </c>
      <c r="G4997" t="str">
        <v>-</v>
      </c>
    </row>
    <row r="4998">
      <c r="A4998">
        <v>4997</v>
      </c>
      <c r="B4998" t="str">
        <v>Công an xã Văn Nghĩa  tỉnh Hòa Bình</v>
      </c>
      <c r="C4998" t="str">
        <v>-</v>
      </c>
      <c r="D4998" t="str">
        <v>-</v>
      </c>
      <c r="E4998" t="str">
        <v/>
      </c>
      <c r="F4998" t="str">
        <v>-</v>
      </c>
      <c r="G4998" t="str">
        <v>-</v>
      </c>
    </row>
    <row r="4999">
      <c r="A4999">
        <v>4998</v>
      </c>
      <c r="B4999">
        <f>HYPERLINK("https://xavannghia.hoabinh.gov.vn/", "UBND Ủy ban nhân dân xã Văn Nghĩa  tỉnh Hòa Bình")</f>
      </c>
      <c r="C4999" t="str">
        <v>https://xavannghia.hoabinh.gov.vn/</v>
      </c>
      <c r="D4999" t="str">
        <v>-</v>
      </c>
      <c r="E4999" t="str">
        <v>-</v>
      </c>
      <c r="F4999" t="str">
        <v>-</v>
      </c>
      <c r="G4999" t="str">
        <v>-</v>
      </c>
    </row>
    <row r="5000">
      <c r="A5000">
        <v>4999</v>
      </c>
      <c r="B5000">
        <f>HYPERLINK("https://www.facebook.com/p/C%C3%B4ng-an-x%C3%A3-V%C4%83n-S%C6%A1n-L%E1%BA%A1c-S%C6%A1n-100069817665622/", "Công an xã Văn Sơn  tỉnh Hòa Bình")</f>
      </c>
      <c r="C5000" t="str">
        <v>https://www.facebook.com/p/C%C3%B4ng-an-x%C3%A3-V%C4%83n-S%C6%A1n-L%E1%BA%A1c-S%C6%A1n-100069817665622/</v>
      </c>
      <c r="D5000" t="str">
        <v>-</v>
      </c>
      <c r="E5000" t="str">
        <v/>
      </c>
      <c r="F5000" t="str">
        <v>-</v>
      </c>
      <c r="G5000" t="str">
        <v>-</v>
      </c>
    </row>
    <row r="5001">
      <c r="A5001">
        <v>5000</v>
      </c>
      <c r="B5001">
        <f>HYPERLINK("https://xavanson.hoabinh.gov.vn/", "UBND Ủy ban nhân dân xã Văn Sơn  tỉnh Hòa Bình")</f>
      </c>
      <c r="C5001" t="str">
        <v>https://xavanson.hoabinh.gov.vn/</v>
      </c>
      <c r="D5001" t="str">
        <v>-</v>
      </c>
      <c r="E5001" t="str">
        <v>-</v>
      </c>
      <c r="F5001" t="str">
        <v>-</v>
      </c>
      <c r="G5001" t="str">
        <v>-</v>
      </c>
    </row>
    <row r="5002">
      <c r="A5002">
        <v>5001</v>
      </c>
      <c r="B5002">
        <f>HYPERLINK("https://www.facebook.com/p/C%C3%B4ng-an-x%C3%A3-T%C3%A2n-L%E1%BA%ADp-huy%E1%BB%87n-L%E1%BA%A1c-S%C6%A1n-t%E1%BB%89nh-Ho%C3%A0-B%C3%ACnh-100086478417416/", "Công an xã Tân Lập  tỉnh Hòa Bình")</f>
      </c>
      <c r="C5002" t="str">
        <v>https://www.facebook.com/p/C%C3%B4ng-an-x%C3%A3-T%C3%A2n-L%E1%BA%ADp-huy%E1%BB%87n-L%E1%BA%A1c-S%C6%A1n-t%E1%BB%89nh-Ho%C3%A0-B%C3%ACnh-100086478417416/</v>
      </c>
      <c r="D5002" t="str">
        <v>-</v>
      </c>
      <c r="E5002" t="str">
        <v/>
      </c>
      <c r="F5002" t="str">
        <v>-</v>
      </c>
      <c r="G5002" t="str">
        <v>-</v>
      </c>
    </row>
    <row r="5003">
      <c r="A5003">
        <v>5002</v>
      </c>
      <c r="B5003">
        <f>HYPERLINK("https://xatanlap.hoabinh.gov.vn/", "UBND Ủy ban nhân dân xã Tân Lập  tỉnh Hòa Bình")</f>
      </c>
      <c r="C5003" t="str">
        <v>https://xatanlap.hoabinh.gov.vn/</v>
      </c>
      <c r="D5003" t="str">
        <v>-</v>
      </c>
      <c r="E5003" t="str">
        <v>-</v>
      </c>
      <c r="F5003" t="str">
        <v>-</v>
      </c>
      <c r="G5003" t="str">
        <v>-</v>
      </c>
    </row>
    <row r="5004">
      <c r="A5004">
        <v>5003</v>
      </c>
      <c r="B5004" t="str">
        <v>Công an xã Nhân Nghĩa  tỉnh Hòa Bình</v>
      </c>
      <c r="C5004" t="str">
        <v>-</v>
      </c>
      <c r="D5004" t="str">
        <v>-</v>
      </c>
      <c r="E5004" t="str">
        <v/>
      </c>
      <c r="F5004" t="str">
        <v>-</v>
      </c>
      <c r="G5004" t="str">
        <v>-</v>
      </c>
    </row>
    <row r="5005">
      <c r="A5005">
        <v>5004</v>
      </c>
      <c r="B5005">
        <f>HYPERLINK("https://xanhannghia.hoabinh.gov.vn/", "UBND Ủy ban nhân dân xã Nhân Nghĩa  tỉnh Hòa Bình")</f>
      </c>
      <c r="C5005" t="str">
        <v>https://xanhannghia.hoabinh.gov.vn/</v>
      </c>
      <c r="D5005" t="str">
        <v>-</v>
      </c>
      <c r="E5005" t="str">
        <v>-</v>
      </c>
      <c r="F5005" t="str">
        <v>-</v>
      </c>
      <c r="G5005" t="str">
        <v>-</v>
      </c>
    </row>
    <row r="5006">
      <c r="A5006">
        <v>5005</v>
      </c>
      <c r="B5006">
        <f>HYPERLINK("https://www.facebook.com/Vinhandanphucv/", "Công an xã Thượng Cốc  tỉnh Hòa Bình")</f>
      </c>
      <c r="C5006" t="str">
        <v>https://www.facebook.com/Vinhandanphucv/</v>
      </c>
      <c r="D5006" t="str">
        <v>-</v>
      </c>
      <c r="E5006" t="str">
        <v/>
      </c>
      <c r="F5006" t="str">
        <v>-</v>
      </c>
      <c r="G5006" t="str">
        <v>-</v>
      </c>
    </row>
    <row r="5007">
      <c r="A5007">
        <v>5006</v>
      </c>
      <c r="B5007">
        <f>HYPERLINK("https://xathuongcoc.hoabinh.gov.vn/", "UBND Ủy ban nhân dân xã Thượng Cốc  tỉnh Hòa Bình")</f>
      </c>
      <c r="C5007" t="str">
        <v>https://xathuongcoc.hoabinh.gov.vn/</v>
      </c>
      <c r="D5007" t="str">
        <v>-</v>
      </c>
      <c r="E5007" t="str">
        <v>-</v>
      </c>
      <c r="F5007" t="str">
        <v>-</v>
      </c>
      <c r="G5007" t="str">
        <v>-</v>
      </c>
    </row>
    <row r="5008">
      <c r="A5008">
        <v>5007</v>
      </c>
      <c r="B5008" t="str">
        <v>Công an xã Phú Lương  tỉnh Hòa Bình</v>
      </c>
      <c r="C5008" t="str">
        <v>-</v>
      </c>
      <c r="D5008" t="str">
        <v>-</v>
      </c>
      <c r="E5008" t="str">
        <v/>
      </c>
      <c r="F5008" t="str">
        <v>-</v>
      </c>
      <c r="G5008" t="str">
        <v>-</v>
      </c>
    </row>
    <row r="5009">
      <c r="A5009">
        <v>5008</v>
      </c>
      <c r="B5009">
        <f>HYPERLINK("https://luongson.hoabinh.gov.vn/", "UBND Ủy ban nhân dân xã Phú Lương  tỉnh Hòa Bình")</f>
      </c>
      <c r="C5009" t="str">
        <v>https://luongson.hoabinh.gov.vn/</v>
      </c>
      <c r="D5009" t="str">
        <v>-</v>
      </c>
      <c r="E5009" t="str">
        <v>-</v>
      </c>
      <c r="F5009" t="str">
        <v>-</v>
      </c>
      <c r="G5009" t="str">
        <v>-</v>
      </c>
    </row>
    <row r="5010">
      <c r="A5010">
        <v>5009</v>
      </c>
      <c r="B5010">
        <f>HYPERLINK("https://www.facebook.com/conganyenthuy/", "Công an xã Phúc Tuy  tỉnh Hòa Bình")</f>
      </c>
      <c r="C5010" t="str">
        <v>https://www.facebook.com/conganyenthuy/</v>
      </c>
      <c r="D5010" t="str">
        <v>-</v>
      </c>
      <c r="E5010" t="str">
        <v/>
      </c>
      <c r="F5010" t="str">
        <v>-</v>
      </c>
      <c r="G5010" t="str">
        <v>-</v>
      </c>
    </row>
    <row r="5011">
      <c r="A5011">
        <v>5010</v>
      </c>
      <c r="B5011">
        <f>HYPERLINK("https://yenthuy.hoabinh.gov.vn/", "UBND Ủy ban nhân dân xã Phúc Tuy  tỉnh Hòa Bình")</f>
      </c>
      <c r="C5011" t="str">
        <v>https://yenthuy.hoabinh.gov.vn/</v>
      </c>
      <c r="D5011" t="str">
        <v>-</v>
      </c>
      <c r="E5011" t="str">
        <v>-</v>
      </c>
      <c r="F5011" t="str">
        <v>-</v>
      </c>
      <c r="G5011" t="str">
        <v>-</v>
      </c>
    </row>
    <row r="5012">
      <c r="A5012">
        <v>5011</v>
      </c>
      <c r="B5012">
        <f>HYPERLINK("https://www.facebook.com/congantinhhoabinh/", "Công an xã Xuất Hóa  tỉnh Hòa Bình")</f>
      </c>
      <c r="C5012" t="str">
        <v>https://www.facebook.com/congantinhhoabinh/</v>
      </c>
      <c r="D5012" t="str">
        <v>-</v>
      </c>
      <c r="E5012" t="str">
        <v/>
      </c>
      <c r="F5012" t="str">
        <v>-</v>
      </c>
      <c r="G5012" t="str">
        <v>-</v>
      </c>
    </row>
    <row r="5013">
      <c r="A5013">
        <v>5012</v>
      </c>
      <c r="B5013">
        <f>HYPERLINK("https://xaxuathoa.hoabinh.gov.vn/", "UBND Ủy ban nhân dân xã Xuất Hóa  tỉnh Hòa Bình")</f>
      </c>
      <c r="C5013" t="str">
        <v>https://xaxuathoa.hoabinh.gov.vn/</v>
      </c>
      <c r="D5013" t="str">
        <v>-</v>
      </c>
      <c r="E5013" t="str">
        <v>-</v>
      </c>
      <c r="F5013" t="str">
        <v>-</v>
      </c>
      <c r="G5013" t="str">
        <v>-</v>
      </c>
    </row>
    <row r="5014">
      <c r="A5014">
        <v>5013</v>
      </c>
      <c r="B5014">
        <f>HYPERLINK("https://www.facebook.com/p/C%C3%B4ng-an-x%C3%A3-Y%C3%AAn-Ph%C3%BA-L%E1%BA%A1c-S%C6%A1n-Ho%C3%A0-B%C3%ACnh-100071499145931/", "Công an xã Yên Phú  tỉnh Hòa Bình")</f>
      </c>
      <c r="C5014" t="str">
        <v>https://www.facebook.com/p/C%C3%B4ng-an-x%C3%A3-Y%C3%AAn-Ph%C3%BA-L%E1%BA%A1c-S%C6%A1n-Ho%C3%A0-B%C3%ACnh-100071499145931/</v>
      </c>
      <c r="D5014" t="str">
        <v>-</v>
      </c>
      <c r="E5014" t="str">
        <v/>
      </c>
      <c r="F5014" t="str">
        <v>-</v>
      </c>
      <c r="G5014" t="str">
        <v>-</v>
      </c>
    </row>
    <row r="5015">
      <c r="A5015">
        <v>5014</v>
      </c>
      <c r="B5015">
        <f>HYPERLINK("https://xayenphu.hoabinh.gov.vn/", "UBND Ủy ban nhân dân xã Yên Phú  tỉnh Hòa Bình")</f>
      </c>
      <c r="C5015" t="str">
        <v>https://xayenphu.hoabinh.gov.vn/</v>
      </c>
      <c r="D5015" t="str">
        <v>-</v>
      </c>
      <c r="E5015" t="str">
        <v>-</v>
      </c>
      <c r="F5015" t="str">
        <v>-</v>
      </c>
      <c r="G5015" t="str">
        <v>-</v>
      </c>
    </row>
    <row r="5016">
      <c r="A5016">
        <v>5015</v>
      </c>
      <c r="B5016" t="str">
        <v>Công an xã Bình Hẻm  tỉnh Hòa Bình</v>
      </c>
      <c r="C5016" t="str">
        <v>-</v>
      </c>
      <c r="D5016" t="str">
        <v>-</v>
      </c>
      <c r="E5016" t="str">
        <v/>
      </c>
      <c r="F5016" t="str">
        <v>-</v>
      </c>
      <c r="G5016" t="str">
        <v>-</v>
      </c>
    </row>
    <row r="5017">
      <c r="A5017">
        <v>5016</v>
      </c>
      <c r="B5017">
        <f>HYPERLINK("https://xabinhhem.hoabinh.gov.vn/", "UBND Ủy ban nhân dân xã Bình Hẻm  tỉnh Hòa Bình")</f>
      </c>
      <c r="C5017" t="str">
        <v>https://xabinhhem.hoabinh.gov.vn/</v>
      </c>
      <c r="D5017" t="str">
        <v>-</v>
      </c>
      <c r="E5017" t="str">
        <v>-</v>
      </c>
      <c r="F5017" t="str">
        <v>-</v>
      </c>
      <c r="G5017" t="str">
        <v>-</v>
      </c>
    </row>
    <row r="5018">
      <c r="A5018">
        <v>5017</v>
      </c>
      <c r="B5018">
        <f>HYPERLINK("https://www.facebook.com/ChiThienEvent/", "Công an xã Chí Thiện  tỉnh Hòa Bình")</f>
      </c>
      <c r="C5018" t="str">
        <v>https://www.facebook.com/ChiThienEvent/</v>
      </c>
      <c r="D5018" t="str">
        <v>-</v>
      </c>
      <c r="E5018" t="str">
        <v/>
      </c>
      <c r="F5018" t="str">
        <v>-</v>
      </c>
      <c r="G5018" t="str">
        <v>-</v>
      </c>
    </row>
    <row r="5019">
      <c r="A5019">
        <v>5018</v>
      </c>
      <c r="B5019">
        <f>HYPERLINK("https://hungha.thaibinh.gov.vn/tin-tuc/tin-tong-hop/h13.html", "UBND Ủy ban nhân dân xã Chí Thiện  tỉnh Hòa Bình")</f>
      </c>
      <c r="C5019" t="str">
        <v>https://hungha.thaibinh.gov.vn/tin-tuc/tin-tong-hop/h13.html</v>
      </c>
      <c r="D5019" t="str">
        <v>-</v>
      </c>
      <c r="E5019" t="str">
        <v>-</v>
      </c>
      <c r="F5019" t="str">
        <v>-</v>
      </c>
      <c r="G5019" t="str">
        <v>-</v>
      </c>
    </row>
    <row r="5020">
      <c r="A5020">
        <v>5019</v>
      </c>
      <c r="B5020">
        <f>HYPERLINK("https://www.facebook.com/p/C%C3%B4ng-an-x%C3%A3-B%C3%ACnh-Ph%C3%BA-huy%E1%BB%87n-C%C3%A0ng-Long-100064608517276/", "Công an xã Bình Cảng  tỉnh Hòa Bình")</f>
      </c>
      <c r="C5020" t="str">
        <v>https://www.facebook.com/p/C%C3%B4ng-an-x%C3%A3-B%C3%ACnh-Ph%C3%BA-huy%E1%BB%87n-C%C3%A0ng-Long-100064608517276/</v>
      </c>
      <c r="D5020" t="str">
        <v>-</v>
      </c>
      <c r="E5020" t="str">
        <v/>
      </c>
      <c r="F5020" t="str">
        <v>-</v>
      </c>
      <c r="G5020" t="str">
        <v>-</v>
      </c>
    </row>
    <row r="5021">
      <c r="A5021">
        <v>5020</v>
      </c>
      <c r="B5021">
        <f>HYPERLINK("https://xavubinh.hoabinh.gov.vn/index.php/tin-t-c-s-ki-n/chinh-tr/251-a-y-ban-nha-n-da-n-xa-v-la-m-ta-cha-c-ha-i-ngha-la-y-a-kia-n-ca-tri-va-via-c-sa-p-xa-p-n-va-ha-nh-cha-nh-ca-p-xa-tra-n-a-a-ba-n-xa-v-la-m", "UBND Ủy ban nhân dân xã Bình Cảng  tỉnh Hòa Bình")</f>
      </c>
      <c r="C5021" t="str">
        <v>https://xavubinh.hoabinh.gov.vn/index.php/tin-t-c-s-ki-n/chinh-tr/251-a-y-ban-nha-n-da-n-xa-v-la-m-ta-cha-c-ha-i-ngha-la-y-a-kia-n-ca-tri-va-via-c-sa-p-xa-p-n-va-ha-nh-cha-nh-ca-p-xa-tra-n-a-a-ba-n-xa-v-la-m</v>
      </c>
      <c r="D5021" t="str">
        <v>-</v>
      </c>
      <c r="E5021" t="str">
        <v>-</v>
      </c>
      <c r="F5021" t="str">
        <v>-</v>
      </c>
      <c r="G5021" t="str">
        <v>-</v>
      </c>
    </row>
    <row r="5022">
      <c r="A5022">
        <v>5021</v>
      </c>
      <c r="B5022" t="str">
        <v>Công an xã Bình Chân  tỉnh Hòa Bình</v>
      </c>
      <c r="C5022" t="str">
        <v>-</v>
      </c>
      <c r="D5022" t="str">
        <v>-</v>
      </c>
      <c r="E5022" t="str">
        <v/>
      </c>
      <c r="F5022" t="str">
        <v>-</v>
      </c>
      <c r="G5022" t="str">
        <v>-</v>
      </c>
    </row>
    <row r="5023">
      <c r="A5023">
        <v>5022</v>
      </c>
      <c r="B5023">
        <f>HYPERLINK("https://xavubinh.hoabinh.gov.vn/index.php/tin-t-c-s-ki-n/chinh-tr/251-a-y-ban-nha-n-da-n-xa-v-la-m-ta-cha-c-ha-i-ngha-la-y-a-kia-n-ca-tri-va-via-c-sa-p-xa-p-n-va-ha-nh-cha-nh-ca-p-xa-tra-n-a-a-ba-n-xa-v-la-m", "UBND Ủy ban nhân dân xã Bình Chân  tỉnh Hòa Bình")</f>
      </c>
      <c r="C5023" t="str">
        <v>https://xavubinh.hoabinh.gov.vn/index.php/tin-t-c-s-ki-n/chinh-tr/251-a-y-ban-nha-n-da-n-xa-v-la-m-ta-cha-c-ha-i-ngha-la-y-a-kia-n-ca-tri-va-via-c-sa-p-xa-p-n-va-ha-nh-cha-nh-ca-p-xa-tra-n-a-a-ba-n-xa-v-la-m</v>
      </c>
      <c r="D5023" t="str">
        <v>-</v>
      </c>
      <c r="E5023" t="str">
        <v>-</v>
      </c>
      <c r="F5023" t="str">
        <v>-</v>
      </c>
      <c r="G5023" t="str">
        <v>-</v>
      </c>
    </row>
    <row r="5024">
      <c r="A5024">
        <v>5023</v>
      </c>
      <c r="B5024">
        <f>HYPERLINK("https://www.facebook.com/congantinhhoabinh/", "Công an xã Định Cư  tỉnh Hòa Bình")</f>
      </c>
      <c r="C5024" t="str">
        <v>https://www.facebook.com/congantinhhoabinh/</v>
      </c>
      <c r="D5024" t="str">
        <v>-</v>
      </c>
      <c r="E5024" t="str">
        <v/>
      </c>
      <c r="F5024" t="str">
        <v>-</v>
      </c>
      <c r="G5024" t="str">
        <v>-</v>
      </c>
    </row>
    <row r="5025">
      <c r="A5025">
        <v>5024</v>
      </c>
      <c r="B5025">
        <f>HYPERLINK("https://www.hoabinh.gov.vn/", "UBND Ủy ban nhân dân xã Định Cư  tỉnh Hòa Bình")</f>
      </c>
      <c r="C5025" t="str">
        <v>https://www.hoabinh.gov.vn/</v>
      </c>
      <c r="D5025" t="str">
        <v>-</v>
      </c>
      <c r="E5025" t="str">
        <v>-</v>
      </c>
      <c r="F5025" t="str">
        <v>-</v>
      </c>
      <c r="G5025" t="str">
        <v>-</v>
      </c>
    </row>
    <row r="5026">
      <c r="A5026">
        <v>5025</v>
      </c>
      <c r="B5026">
        <f>HYPERLINK("https://www.facebook.com/conganhuyenLacSon/", "Công an xã Chí Đạo  tỉnh Hòa Bình")</f>
      </c>
      <c r="C5026" t="str">
        <v>https://www.facebook.com/conganhuyenLacSon/</v>
      </c>
      <c r="D5026" t="str">
        <v>-</v>
      </c>
      <c r="E5026" t="str">
        <v/>
      </c>
      <c r="F5026" t="str">
        <v>-</v>
      </c>
      <c r="G5026" t="str">
        <v>-</v>
      </c>
    </row>
    <row r="5027">
      <c r="A5027">
        <v>5026</v>
      </c>
      <c r="B5027">
        <f>HYPERLINK("https://xachidao.hoabinh.gov.vn/", "UBND Ủy ban nhân dân xã Chí Đạo  tỉnh Hòa Bình")</f>
      </c>
      <c r="C5027" t="str">
        <v>https://xachidao.hoabinh.gov.vn/</v>
      </c>
      <c r="D5027" t="str">
        <v>-</v>
      </c>
      <c r="E5027" t="str">
        <v>-</v>
      </c>
      <c r="F5027" t="str">
        <v>-</v>
      </c>
      <c r="G5027" t="str">
        <v>-</v>
      </c>
    </row>
    <row r="5028">
      <c r="A5028">
        <v>5027</v>
      </c>
      <c r="B5028">
        <f>HYPERLINK("https://www.facebook.com/p/Tu%E1%BB%95i-tr%E1%BA%BB-ph%C3%B2ng-CSC%C4%90-C%C3%B4ng-an-t%E1%BB%89nh-Ho%C3%A0-B%C3%ACnh-100077598099489/", "Công an xã Liên Vũ  tỉnh Hòa Bình")</f>
      </c>
      <c r="C5028" t="str">
        <v>https://www.facebook.com/p/Tu%E1%BB%95i-tr%E1%BA%BB-ph%C3%B2ng-CSC%C4%90-C%C3%B4ng-an-t%E1%BB%89nh-Ho%C3%A0-B%C3%ACnh-100077598099489/</v>
      </c>
      <c r="D5028" t="str">
        <v>-</v>
      </c>
      <c r="E5028" t="str">
        <v/>
      </c>
      <c r="F5028" t="str">
        <v>-</v>
      </c>
      <c r="G5028" t="str">
        <v>-</v>
      </c>
    </row>
    <row r="5029">
      <c r="A5029">
        <v>5028</v>
      </c>
      <c r="B5029">
        <f>HYPERLINK("https://www.hoabinh.gov.vn/", "UBND Ủy ban nhân dân xã Liên Vũ  tỉnh Hòa Bình")</f>
      </c>
      <c r="C5029" t="str">
        <v>https://www.hoabinh.gov.vn/</v>
      </c>
      <c r="D5029" t="str">
        <v>-</v>
      </c>
      <c r="E5029" t="str">
        <v>-</v>
      </c>
      <c r="F5029" t="str">
        <v>-</v>
      </c>
      <c r="G5029" t="str">
        <v>-</v>
      </c>
    </row>
    <row r="5030">
      <c r="A5030">
        <v>5029</v>
      </c>
      <c r="B5030">
        <f>HYPERLINK("https://www.facebook.com/100083050704672", "Công an xã Ngọc Sơn  tỉnh Hòa Bình")</f>
      </c>
      <c r="C5030" t="str">
        <v>https://www.facebook.com/100083050704672</v>
      </c>
      <c r="D5030" t="str">
        <v>-</v>
      </c>
      <c r="E5030" t="str">
        <v>02183902548</v>
      </c>
      <c r="F5030" t="str">
        <v>-</v>
      </c>
      <c r="G5030" t="str">
        <v>xã Ngọc Sơn, Lac Son, Vietnam</v>
      </c>
    </row>
    <row r="5031">
      <c r="A5031">
        <v>5030</v>
      </c>
      <c r="B5031">
        <f>HYPERLINK("https://ngocson.hiephoa.bacgiang.gov.vn/", "UBND Ủy ban nhân dân xã Ngọc Sơn  tỉnh Hòa Bình")</f>
      </c>
      <c r="C5031" t="str">
        <v>https://ngocson.hiephoa.bacgiang.gov.vn/</v>
      </c>
      <c r="D5031" t="str">
        <v>-</v>
      </c>
      <c r="E5031" t="str">
        <v>-</v>
      </c>
      <c r="F5031" t="str">
        <v>-</v>
      </c>
      <c r="G5031" t="str">
        <v>-</v>
      </c>
    </row>
    <row r="5032">
      <c r="A5032">
        <v>5031</v>
      </c>
      <c r="B5032">
        <f>HYPERLINK("https://www.facebook.com/conganhuongnhuong/", "Công an xã Hương Nhượng  tỉnh Hòa Bình")</f>
      </c>
      <c r="C5032" t="str">
        <v>https://www.facebook.com/conganhuongnhuong/</v>
      </c>
      <c r="D5032" t="str">
        <v>-</v>
      </c>
      <c r="E5032" t="str">
        <v/>
      </c>
      <c r="F5032" t="str">
        <v>-</v>
      </c>
      <c r="G5032" t="str">
        <v>-</v>
      </c>
    </row>
    <row r="5033">
      <c r="A5033">
        <v>5032</v>
      </c>
      <c r="B5033">
        <f>HYPERLINK("https://xahuongnhuong.hoabinh.gov.vn/", "UBND Ủy ban nhân dân xã Hương Nhượng  tỉnh Hòa Bình")</f>
      </c>
      <c r="C5033" t="str">
        <v>https://xahuongnhuong.hoabinh.gov.vn/</v>
      </c>
      <c r="D5033" t="str">
        <v>-</v>
      </c>
      <c r="E5033" t="str">
        <v>-</v>
      </c>
      <c r="F5033" t="str">
        <v>-</v>
      </c>
      <c r="G5033" t="str">
        <v>-</v>
      </c>
    </row>
    <row r="5034">
      <c r="A5034">
        <v>5033</v>
      </c>
      <c r="B5034" t="str">
        <v>Công an xã Vũ Lâm  tỉnh Hòa Bình</v>
      </c>
      <c r="C5034" t="str">
        <v>-</v>
      </c>
      <c r="D5034" t="str">
        <v>-</v>
      </c>
      <c r="E5034" t="str">
        <v/>
      </c>
      <c r="F5034" t="str">
        <v>-</v>
      </c>
      <c r="G5034" t="str">
        <v>-</v>
      </c>
    </row>
    <row r="5035">
      <c r="A5035">
        <v>5034</v>
      </c>
      <c r="B5035">
        <f>HYPERLINK("https://xavubinh.hoabinh.gov.vn/index.php/tin-t-c-s-ki-n/chinh-tr/251-a-y-ban-nha-n-da-n-xa-v-la-m-ta-cha-c-ha-i-ngha-la-y-a-kia-n-ca-tri-va-via-c-sa-p-xa-p-n-va-ha-nh-cha-nh-ca-p-xa-tra-n-a-a-ba-n-xa-v-la-m", "UBND Ủy ban nhân dân xã Vũ Lâm  tỉnh Hòa Bình")</f>
      </c>
      <c r="C5035" t="str">
        <v>https://xavubinh.hoabinh.gov.vn/index.php/tin-t-c-s-ki-n/chinh-tr/251-a-y-ban-nha-n-da-n-xa-v-la-m-ta-cha-c-ha-i-ngha-la-y-a-kia-n-ca-tri-va-via-c-sa-p-xa-p-n-va-ha-nh-cha-nh-ca-p-xa-tra-n-a-a-ba-n-xa-v-la-m</v>
      </c>
      <c r="D5035" t="str">
        <v>-</v>
      </c>
      <c r="E5035" t="str">
        <v>-</v>
      </c>
      <c r="F5035" t="str">
        <v>-</v>
      </c>
      <c r="G5035" t="str">
        <v>-</v>
      </c>
    </row>
    <row r="5036">
      <c r="A5036">
        <v>5035</v>
      </c>
      <c r="B5036" t="str">
        <v>Công an xã Tự Do  tỉnh Hòa Bình</v>
      </c>
      <c r="C5036" t="str">
        <v>-</v>
      </c>
      <c r="D5036" t="str">
        <v>-</v>
      </c>
      <c r="E5036" t="str">
        <v/>
      </c>
      <c r="F5036" t="str">
        <v>-</v>
      </c>
      <c r="G5036" t="str">
        <v>-</v>
      </c>
    </row>
    <row r="5037">
      <c r="A5037">
        <v>5036</v>
      </c>
      <c r="B5037">
        <f>HYPERLINK("https://www.hoabinh.gov.vn/", "UBND Ủy ban nhân dân xã Tự Do  tỉnh Hòa Bình")</f>
      </c>
      <c r="C5037" t="str">
        <v>https://www.hoabinh.gov.vn/</v>
      </c>
      <c r="D5037" t="str">
        <v>-</v>
      </c>
      <c r="E5037" t="str">
        <v>-</v>
      </c>
      <c r="F5037" t="str">
        <v>-</v>
      </c>
      <c r="G5037" t="str">
        <v>-</v>
      </c>
    </row>
    <row r="5038">
      <c r="A5038">
        <v>5037</v>
      </c>
      <c r="B5038" t="str">
        <v>Công an xã Yên Nghiệp  tỉnh Hòa Bình</v>
      </c>
      <c r="C5038" t="str">
        <v>-</v>
      </c>
      <c r="D5038" t="str">
        <v>-</v>
      </c>
      <c r="E5038" t="str">
        <v/>
      </c>
      <c r="F5038" t="str">
        <v>-</v>
      </c>
      <c r="G5038" t="str">
        <v>-</v>
      </c>
    </row>
    <row r="5039">
      <c r="A5039">
        <v>5038</v>
      </c>
      <c r="B5039">
        <f>HYPERLINK("https://xayennghiep.hoabinh.gov.vn/", "UBND Ủy ban nhân dân xã Yên Nghiệp  tỉnh Hòa Bình")</f>
      </c>
      <c r="C5039" t="str">
        <v>https://xayennghiep.hoabinh.gov.vn/</v>
      </c>
      <c r="D5039" t="str">
        <v>-</v>
      </c>
      <c r="E5039" t="str">
        <v>-</v>
      </c>
      <c r="F5039" t="str">
        <v>-</v>
      </c>
      <c r="G5039" t="str">
        <v>-</v>
      </c>
    </row>
    <row r="5040">
      <c r="A5040">
        <v>5039</v>
      </c>
      <c r="B5040">
        <f>HYPERLINK("https://www.facebook.com/p/C%C3%B4ng-an-x%C3%A3-T%C3%A2n-M%E1%BB%B9-100069896973119/", "Công an xã Tân Mỹ  tỉnh Hòa Bình")</f>
      </c>
      <c r="C5040" t="str">
        <v>https://www.facebook.com/p/C%C3%B4ng-an-x%C3%A3-T%C3%A2n-M%E1%BB%B9-100069896973119/</v>
      </c>
      <c r="D5040" t="str">
        <v>-</v>
      </c>
      <c r="E5040" t="str">
        <v/>
      </c>
      <c r="F5040" t="str">
        <v>-</v>
      </c>
      <c r="G5040" t="str">
        <v>-</v>
      </c>
    </row>
    <row r="5041">
      <c r="A5041">
        <v>5040</v>
      </c>
      <c r="B5041">
        <f>HYPERLINK("https://xatanmy.hoabinh.gov.vn/", "UBND Ủy ban nhân dân xã Tân Mỹ  tỉnh Hòa Bình")</f>
      </c>
      <c r="C5041" t="str">
        <v>https://xatanmy.hoabinh.gov.vn/</v>
      </c>
      <c r="D5041" t="str">
        <v>-</v>
      </c>
      <c r="E5041" t="str">
        <v>-</v>
      </c>
      <c r="F5041" t="str">
        <v>-</v>
      </c>
      <c r="G5041" t="str">
        <v>-</v>
      </c>
    </row>
    <row r="5042">
      <c r="A5042">
        <v>5041</v>
      </c>
      <c r="B5042">
        <f>HYPERLINK("https://www.facebook.com/p/C%C3%B4ng-an-x%C3%A3-%C3%82n-Ngh%C4%A9a-L%E1%BA%A1c-S%C6%A1n-H%C3%B2a-B%C3%ACnh-61555724005917/", "Công an xã Ân Nghĩa  tỉnh Hòa Bình")</f>
      </c>
      <c r="C5042" t="str">
        <v>https://www.facebook.com/p/C%C3%B4ng-an-x%C3%A3-%C3%82n-Ngh%C4%A9a-L%E1%BA%A1c-S%C6%A1n-H%C3%B2a-B%C3%ACnh-61555724005917/</v>
      </c>
      <c r="D5042" t="str">
        <v>-</v>
      </c>
      <c r="E5042" t="str">
        <v/>
      </c>
      <c r="F5042" t="str">
        <v>-</v>
      </c>
      <c r="G5042" t="str">
        <v>-</v>
      </c>
    </row>
    <row r="5043">
      <c r="A5043">
        <v>5042</v>
      </c>
      <c r="B5043">
        <f>HYPERLINK("https://xaannghia.hoabinh.gov.vn/", "UBND Ủy ban nhân dân xã Ân Nghĩa  tỉnh Hòa Bình")</f>
      </c>
      <c r="C5043" t="str">
        <v>https://xaannghia.hoabinh.gov.vn/</v>
      </c>
      <c r="D5043" t="str">
        <v>-</v>
      </c>
      <c r="E5043" t="str">
        <v>-</v>
      </c>
      <c r="F5043" t="str">
        <v>-</v>
      </c>
      <c r="G5043" t="str">
        <v>-</v>
      </c>
    </row>
    <row r="5044">
      <c r="A5044">
        <v>5043</v>
      </c>
      <c r="B5044" t="str">
        <v>Công an xã Ngọc Lâu  tỉnh Hòa Bình</v>
      </c>
      <c r="C5044" t="str">
        <v>-</v>
      </c>
      <c r="D5044" t="str">
        <v>-</v>
      </c>
      <c r="E5044" t="str">
        <v/>
      </c>
      <c r="F5044" t="str">
        <v>-</v>
      </c>
      <c r="G5044" t="str">
        <v>-</v>
      </c>
    </row>
    <row r="5045">
      <c r="A5045">
        <v>5044</v>
      </c>
      <c r="B5045">
        <f>HYPERLINK("https://sovanhoa.hoabinh.gov.vn/van-hoa/1327-trao-ba-ng-di-ta-ch-la-ch-sa-v-n-ha-a-ca-p-ta-nh-a-nh-b-ng-xa-nga-c-la-u-huya-n-la-c-s-n-ta-nh-ha-a-ba-nh", "UBND Ủy ban nhân dân xã Ngọc Lâu  tỉnh Hòa Bình")</f>
      </c>
      <c r="C5045" t="str">
        <v>https://sovanhoa.hoabinh.gov.vn/van-hoa/1327-trao-ba-ng-di-ta-ch-la-ch-sa-v-n-ha-a-ca-p-ta-nh-a-nh-b-ng-xa-nga-c-la-u-huya-n-la-c-s-n-ta-nh-ha-a-ba-nh</v>
      </c>
      <c r="D5045" t="str">
        <v>-</v>
      </c>
      <c r="E5045" t="str">
        <v>-</v>
      </c>
      <c r="F5045" t="str">
        <v>-</v>
      </c>
      <c r="G5045" t="str">
        <v>-</v>
      </c>
    </row>
    <row r="5046">
      <c r="A5046">
        <v>5045</v>
      </c>
      <c r="B5046">
        <f>HYPERLINK("https://www.facebook.com/p/C%C3%B4ng-an-th%E1%BB%8B-tr%E1%BA%A5n-H%C3%A0ng-Tr%E1%BA%A1m-100066793773195/", "Công an thị trấn Hàng Trạm  tỉnh Hòa Bình")</f>
      </c>
      <c r="C5046" t="str">
        <v>https://www.facebook.com/p/C%C3%B4ng-an-th%E1%BB%8B-tr%E1%BA%A5n-H%C3%A0ng-Tr%E1%BA%A1m-100066793773195/</v>
      </c>
      <c r="D5046" t="str">
        <v>-</v>
      </c>
      <c r="E5046" t="str">
        <v/>
      </c>
      <c r="F5046" t="str">
        <v>-</v>
      </c>
      <c r="G5046" t="str">
        <v>-</v>
      </c>
    </row>
    <row r="5047">
      <c r="A5047">
        <v>5046</v>
      </c>
      <c r="B5047">
        <f>HYPERLINK("https://thitranhangtram.hoabinh.gov.vn/", "UBND Ủy ban nhân dân thị trấn Hàng Trạm  tỉnh Hòa Bình")</f>
      </c>
      <c r="C5047" t="str">
        <v>https://thitranhangtram.hoabinh.gov.vn/</v>
      </c>
      <c r="D5047" t="str">
        <v>-</v>
      </c>
      <c r="E5047" t="str">
        <v>-</v>
      </c>
      <c r="F5047" t="str">
        <v>-</v>
      </c>
      <c r="G5047" t="str">
        <v>-</v>
      </c>
    </row>
    <row r="5048">
      <c r="A5048">
        <v>5047</v>
      </c>
      <c r="B5048">
        <f>HYPERLINK("https://www.facebook.com/100039718763296/videos/g%C6%B0%C6%A1ng-s%C3%A1ng-chi%E1%BA%BFn-s%E1%BB%B9-c%C3%B4ng-an-v%C3%AC-nh%C3%A2n-d%C3%A2n-ph%E1%BB%A5c-v%E1%BB%A5/573203420809256/?locale=zh_CN", "Công an xã Lạc Sỹ  tỉnh Hòa Bình")</f>
      </c>
      <c r="C5048" t="str">
        <v>https://www.facebook.com/100039718763296/videos/g%C6%B0%C6%A1ng-s%C3%A1ng-chi%E1%BA%BFn-s%E1%BB%B9-c%C3%B4ng-an-v%C3%AC-nh%C3%A2n-d%C3%A2n-ph%E1%BB%A5c-v%E1%BB%A5/573203420809256/?locale=zh_CN</v>
      </c>
      <c r="D5048" t="str">
        <v>-</v>
      </c>
      <c r="E5048" t="str">
        <v/>
      </c>
      <c r="F5048" t="str">
        <v>-</v>
      </c>
      <c r="G5048" t="str">
        <v>-</v>
      </c>
    </row>
    <row r="5049">
      <c r="A5049">
        <v>5048</v>
      </c>
      <c r="B5049">
        <f>HYPERLINK("https://xalacsy.hoabinh.gov.vn/", "UBND Ủy ban nhân dân xã Lạc Sỹ  tỉnh Hòa Bình")</f>
      </c>
      <c r="C5049" t="str">
        <v>https://xalacsy.hoabinh.gov.vn/</v>
      </c>
      <c r="D5049" t="str">
        <v>-</v>
      </c>
      <c r="E5049" t="str">
        <v>-</v>
      </c>
      <c r="F5049" t="str">
        <v>-</v>
      </c>
      <c r="G5049" t="str">
        <v>-</v>
      </c>
    </row>
    <row r="5050">
      <c r="A5050">
        <v>5049</v>
      </c>
      <c r="B5050">
        <f>HYPERLINK("https://www.facebook.com/p/Tu%E1%BB%95i-tr%E1%BA%BB-C%C3%B4ng-an-huy%E1%BB%87n-L%E1%BA%A1c-Th%E1%BB%A7y-100055980434412/", "Công an xã Lạc Hưng  tỉnh Hòa Bình")</f>
      </c>
      <c r="C5050" t="str">
        <v>https://www.facebook.com/p/Tu%E1%BB%95i-tr%E1%BA%BB-C%C3%B4ng-an-huy%E1%BB%87n-L%E1%BA%A1c-Th%E1%BB%A7y-100055980434412/</v>
      </c>
      <c r="D5050" t="str">
        <v>-</v>
      </c>
      <c r="E5050" t="str">
        <v/>
      </c>
      <c r="F5050" t="str">
        <v>-</v>
      </c>
      <c r="G5050" t="str">
        <v>-</v>
      </c>
    </row>
    <row r="5051">
      <c r="A5051">
        <v>5050</v>
      </c>
      <c r="B5051">
        <f>HYPERLINK("https://lacthuy.hoabinh.gov.vn/", "UBND Ủy ban nhân dân xã Lạc Hưng  tỉnh Hòa Bình")</f>
      </c>
      <c r="C5051" t="str">
        <v>https://lacthuy.hoabinh.gov.vn/</v>
      </c>
      <c r="D5051" t="str">
        <v>-</v>
      </c>
      <c r="E5051" t="str">
        <v>-</v>
      </c>
      <c r="F5051" t="str">
        <v>-</v>
      </c>
      <c r="G5051" t="str">
        <v>-</v>
      </c>
    </row>
    <row r="5052">
      <c r="A5052">
        <v>5051</v>
      </c>
      <c r="B5052">
        <f>HYPERLINK("https://www.facebook.com/p/Tu%E1%BB%95i-tr%E1%BA%BB-ph%C3%B2ng-CSC%C4%90-C%C3%B4ng-an-t%E1%BB%89nh-Ho%C3%A0-B%C3%ACnh-100077598099489/", "Công an xã Lạc Lương  tỉnh Hòa Bình")</f>
      </c>
      <c r="C5052" t="str">
        <v>https://www.facebook.com/p/Tu%E1%BB%95i-tr%E1%BA%BB-ph%C3%B2ng-CSC%C4%90-C%C3%B4ng-an-t%E1%BB%89nh-Ho%C3%A0-B%C3%ACnh-100077598099489/</v>
      </c>
      <c r="D5052" t="str">
        <v>-</v>
      </c>
      <c r="E5052" t="str">
        <v/>
      </c>
      <c r="F5052" t="str">
        <v>-</v>
      </c>
      <c r="G5052" t="str">
        <v>-</v>
      </c>
    </row>
    <row r="5053">
      <c r="A5053">
        <v>5052</v>
      </c>
      <c r="B5053">
        <f>HYPERLINK("https://xalacluong.hoabinh.gov.vn/", "UBND Ủy ban nhân dân xã Lạc Lương  tỉnh Hòa Bình")</f>
      </c>
      <c r="C5053" t="str">
        <v>https://xalacluong.hoabinh.gov.vn/</v>
      </c>
      <c r="D5053" t="str">
        <v>-</v>
      </c>
      <c r="E5053" t="str">
        <v>-</v>
      </c>
      <c r="F5053" t="str">
        <v>-</v>
      </c>
      <c r="G5053" t="str">
        <v>-</v>
      </c>
    </row>
    <row r="5054">
      <c r="A5054">
        <v>5053</v>
      </c>
      <c r="B5054">
        <f>HYPERLINK("https://www.facebook.com/p/C%C3%B4ng-an-x%C3%A3-B%E1%BA%A3o-Hi%E1%BB%87u-huy%E1%BB%87n-Y%C3%AAn-Thu%E1%BB%B7-t%E1%BB%89nh-Ho%C3%A0-B%C3%ACnh-100066450291824/?locale=vi_VN", "Công an xã Bảo Hiệu  tỉnh Hòa Bình")</f>
      </c>
      <c r="C5054" t="str">
        <v>https://www.facebook.com/p/C%C3%B4ng-an-x%C3%A3-B%E1%BA%A3o-Hi%E1%BB%87u-huy%E1%BB%87n-Y%C3%AAn-Thu%E1%BB%B7-t%E1%BB%89nh-Ho%C3%A0-B%C3%ACnh-100066450291824/?locale=vi_VN</v>
      </c>
      <c r="D5054" t="str">
        <v>-</v>
      </c>
      <c r="E5054" t="str">
        <v/>
      </c>
      <c r="F5054" t="str">
        <v>-</v>
      </c>
      <c r="G5054" t="str">
        <v>-</v>
      </c>
    </row>
    <row r="5055">
      <c r="A5055">
        <v>5054</v>
      </c>
      <c r="B5055">
        <f>HYPERLINK("https://xabaohieu.hoabinh.gov.vn/", "UBND Ủy ban nhân dân xã Bảo Hiệu  tỉnh Hòa Bình")</f>
      </c>
      <c r="C5055" t="str">
        <v>https://xabaohieu.hoabinh.gov.vn/</v>
      </c>
      <c r="D5055" t="str">
        <v>-</v>
      </c>
      <c r="E5055" t="str">
        <v>-</v>
      </c>
      <c r="F5055" t="str">
        <v>-</v>
      </c>
      <c r="G5055" t="str">
        <v>-</v>
      </c>
    </row>
    <row r="5056">
      <c r="A5056">
        <v>5055</v>
      </c>
      <c r="B5056">
        <f>HYPERLINK("https://www.facebook.com/p/C%C3%B4ng-an-x%C3%A3-%C4%90a-Ph%C3%BAc-100065698920644/", "Công an xã Đa Phúc  tỉnh Hòa Bình")</f>
      </c>
      <c r="C5056" t="str">
        <v>https://www.facebook.com/p/C%C3%B4ng-an-x%C3%A3-%C4%90a-Ph%C3%BAc-100065698920644/</v>
      </c>
      <c r="D5056" t="str">
        <v>-</v>
      </c>
      <c r="E5056" t="str">
        <v/>
      </c>
      <c r="F5056" t="str">
        <v>-</v>
      </c>
      <c r="G5056" t="str">
        <v>-</v>
      </c>
    </row>
    <row r="5057">
      <c r="A5057">
        <v>5056</v>
      </c>
      <c r="B5057">
        <f>HYPERLINK("https://xadaphuc.hoabinh.gov.vn/", "UBND Ủy ban nhân dân xã Đa Phúc  tỉnh Hòa Bình")</f>
      </c>
      <c r="C5057" t="str">
        <v>https://xadaphuc.hoabinh.gov.vn/</v>
      </c>
      <c r="D5057" t="str">
        <v>-</v>
      </c>
      <c r="E5057" t="str">
        <v>-</v>
      </c>
      <c r="F5057" t="str">
        <v>-</v>
      </c>
      <c r="G5057" t="str">
        <v>-</v>
      </c>
    </row>
    <row r="5058">
      <c r="A5058">
        <v>5057</v>
      </c>
      <c r="B5058">
        <f>HYPERLINK("https://www.facebook.com/p/C%C3%B4ng-an-x%C3%A3-H%E1%BB%AFu-L%E1%BB%A3i-61552478177827/", "Công an xã Hữu Lợi  tỉnh Hòa Bình")</f>
      </c>
      <c r="C5058" t="str">
        <v>https://www.facebook.com/p/C%C3%B4ng-an-x%C3%A3-H%E1%BB%AFu-L%E1%BB%A3i-61552478177827/</v>
      </c>
      <c r="D5058" t="str">
        <v>-</v>
      </c>
      <c r="E5058" t="str">
        <v/>
      </c>
      <c r="F5058" t="str">
        <v>-</v>
      </c>
      <c r="G5058" t="str">
        <v>-</v>
      </c>
    </row>
    <row r="5059">
      <c r="A5059">
        <v>5058</v>
      </c>
      <c r="B5059">
        <f>HYPERLINK("https://xahuuloi.hoabinh.gov.vn/", "UBND Ủy ban nhân dân xã Hữu Lợi  tỉnh Hòa Bình")</f>
      </c>
      <c r="C5059" t="str">
        <v>https://xahuuloi.hoabinh.gov.vn/</v>
      </c>
      <c r="D5059" t="str">
        <v>-</v>
      </c>
      <c r="E5059" t="str">
        <v>-</v>
      </c>
      <c r="F5059" t="str">
        <v>-</v>
      </c>
      <c r="G5059" t="str">
        <v>-</v>
      </c>
    </row>
    <row r="5060">
      <c r="A5060">
        <v>5059</v>
      </c>
      <c r="B5060">
        <f>HYPERLINK("https://www.facebook.com/p/C%C3%B4ng-an-x%C3%A3-L%E1%BA%A1c-Th%E1%BB%8Bnh-100066237953567/", "Công an xã Lạc Thịnh  tỉnh Hòa Bình")</f>
      </c>
      <c r="C5060" t="str">
        <v>https://www.facebook.com/p/C%C3%B4ng-an-x%C3%A3-L%E1%BA%A1c-Th%E1%BB%8Bnh-100066237953567/</v>
      </c>
      <c r="D5060" t="str">
        <v>-</v>
      </c>
      <c r="E5060" t="str">
        <v/>
      </c>
      <c r="F5060" t="str">
        <v>-</v>
      </c>
      <c r="G5060" t="str">
        <v>-</v>
      </c>
    </row>
    <row r="5061">
      <c r="A5061">
        <v>5060</v>
      </c>
      <c r="B5061">
        <f>HYPERLINK("https://yenthuy.hoabinh.gov.vn/index.php/van-hoa-xa-h-i/3167-xa-m-tra-c-xa-la-c-tha-nh-ta-cha-c-tha-nh-ca-ng-nga-y-ha-i-a-i-oa-n-ka-t-toa-n-da-n-ta-c-n-m-2023", "UBND Ủy ban nhân dân xã Lạc Thịnh  tỉnh Hòa Bình")</f>
      </c>
      <c r="C5061" t="str">
        <v>https://yenthuy.hoabinh.gov.vn/index.php/van-hoa-xa-h-i/3167-xa-m-tra-c-xa-la-c-tha-nh-ta-cha-c-tha-nh-ca-ng-nga-y-ha-i-a-i-oa-n-ka-t-toa-n-da-n-ta-c-n-m-2023</v>
      </c>
      <c r="D5061" t="str">
        <v>-</v>
      </c>
      <c r="E5061" t="str">
        <v>-</v>
      </c>
      <c r="F5061" t="str">
        <v>-</v>
      </c>
      <c r="G5061" t="str">
        <v>-</v>
      </c>
    </row>
    <row r="5062">
      <c r="A5062">
        <v>5061</v>
      </c>
      <c r="B5062">
        <f>HYPERLINK("https://www.facebook.com/p/X%C3%A3-Y%C3%AAn-Ph%C3%BA-Huy%E1%BB%87n-L%E1%BA%A1c-S%C6%A1n-T%E1%BB%89nh-H%C3%B2a-B%C3%ACnh-100027030414912/", "Công an xã Yên Lạc  tỉnh Hòa Bình")</f>
      </c>
      <c r="C5062" t="str">
        <v>https://www.facebook.com/p/X%C3%A3-Y%C3%AAn-Ph%C3%BA-Huy%E1%BB%87n-L%E1%BA%A1c-S%C6%A1n-T%E1%BB%89nh-H%C3%B2a-B%C3%ACnh-100027030414912/</v>
      </c>
      <c r="D5062" t="str">
        <v>-</v>
      </c>
      <c r="E5062" t="str">
        <v/>
      </c>
      <c r="F5062" t="str">
        <v>-</v>
      </c>
      <c r="G5062" t="str">
        <v>-</v>
      </c>
    </row>
    <row r="5063">
      <c r="A5063">
        <v>5062</v>
      </c>
      <c r="B5063">
        <f>HYPERLINK("http://yenlac.nguyenbinh.caobang.gov.vn/", "UBND Ủy ban nhân dân xã Yên Lạc  tỉnh Hòa Bình")</f>
      </c>
      <c r="C5063" t="str">
        <v>http://yenlac.nguyenbinh.caobang.gov.vn/</v>
      </c>
      <c r="D5063" t="str">
        <v>-</v>
      </c>
      <c r="E5063" t="str">
        <v>-</v>
      </c>
      <c r="F5063" t="str">
        <v>-</v>
      </c>
      <c r="G5063" t="str">
        <v>-</v>
      </c>
    </row>
    <row r="5064">
      <c r="A5064">
        <v>5063</v>
      </c>
      <c r="B5064" t="str">
        <v>Công an xã Đoàn Kết  tỉnh Hòa Bình</v>
      </c>
      <c r="C5064" t="str">
        <v>-</v>
      </c>
      <c r="D5064" t="str">
        <v>-</v>
      </c>
      <c r="E5064" t="str">
        <v/>
      </c>
      <c r="F5064" t="str">
        <v>-</v>
      </c>
      <c r="G5064" t="str">
        <v>-</v>
      </c>
    </row>
    <row r="5065">
      <c r="A5065">
        <v>5064</v>
      </c>
      <c r="B5065">
        <f>HYPERLINK("https://doanket.hoabinh.gov.vn/", "UBND Ủy ban nhân dân xã Đoàn Kết  tỉnh Hòa Bình")</f>
      </c>
      <c r="C5065" t="str">
        <v>https://doanket.hoabinh.gov.vn/</v>
      </c>
      <c r="D5065" t="str">
        <v>-</v>
      </c>
      <c r="E5065" t="str">
        <v>-</v>
      </c>
      <c r="F5065" t="str">
        <v>-</v>
      </c>
      <c r="G5065" t="str">
        <v>-</v>
      </c>
    </row>
    <row r="5066">
      <c r="A5066">
        <v>5065</v>
      </c>
      <c r="B5066">
        <f>HYPERLINK("https://www.facebook.com/congantinhhoabinh/", "Công an xã Phú Lai  tỉnh Hòa Bình")</f>
      </c>
      <c r="C5066" t="str">
        <v>https://www.facebook.com/congantinhhoabinh/</v>
      </c>
      <c r="D5066" t="str">
        <v>-</v>
      </c>
      <c r="E5066" t="str">
        <v/>
      </c>
      <c r="F5066" t="str">
        <v>-</v>
      </c>
      <c r="G5066" t="str">
        <v>-</v>
      </c>
    </row>
    <row r="5067">
      <c r="A5067">
        <v>5066</v>
      </c>
      <c r="B5067">
        <f>HYPERLINK("https://xaphulai.hoabinh.gov.vn/", "UBND Ủy ban nhân dân xã Phú Lai  tỉnh Hòa Bình")</f>
      </c>
      <c r="C5067" t="str">
        <v>https://xaphulai.hoabinh.gov.vn/</v>
      </c>
      <c r="D5067" t="str">
        <v>-</v>
      </c>
      <c r="E5067" t="str">
        <v>-</v>
      </c>
      <c r="F5067" t="str">
        <v>-</v>
      </c>
      <c r="G5067" t="str">
        <v>-</v>
      </c>
    </row>
    <row r="5068">
      <c r="A5068">
        <v>5067</v>
      </c>
      <c r="B5068">
        <f>HYPERLINK("https://www.facebook.com/p/Trung-t%C3%A2m-V%C4%83n-h%C3%B3aTh%E1%BB%83-thao-v%C3%A0-Truy%E1%BB%81n-th%C3%B4ng-huy%E1%BB%87n-Y%C3%AAn-Th%E1%BB%A7y-100039718763296/", "Công an xã Yên Trị  tỉnh Hòa Bình")</f>
      </c>
      <c r="C5068" t="str">
        <v>https://www.facebook.com/p/Trung-t%C3%A2m-V%C4%83n-h%C3%B3aTh%E1%BB%83-thao-v%C3%A0-Truy%E1%BB%81n-th%C3%B4ng-huy%E1%BB%87n-Y%C3%AAn-Th%E1%BB%A7y-100039718763296/</v>
      </c>
      <c r="D5068" t="str">
        <v>-</v>
      </c>
      <c r="E5068" t="str">
        <v/>
      </c>
      <c r="F5068" t="str">
        <v>-</v>
      </c>
      <c r="G5068" t="str">
        <v>-</v>
      </c>
    </row>
    <row r="5069">
      <c r="A5069">
        <v>5068</v>
      </c>
      <c r="B5069">
        <f>HYPERLINK("https://xayentri.hoabinh.gov.vn/", "UBND Ủy ban nhân dân xã Yên Trị  tỉnh Hòa Bình")</f>
      </c>
      <c r="C5069" t="str">
        <v>https://xayentri.hoabinh.gov.vn/</v>
      </c>
      <c r="D5069" t="str">
        <v>-</v>
      </c>
      <c r="E5069" t="str">
        <v>-</v>
      </c>
      <c r="F5069" t="str">
        <v>-</v>
      </c>
      <c r="G5069" t="str">
        <v>-</v>
      </c>
    </row>
    <row r="5070">
      <c r="A5070">
        <v>5069</v>
      </c>
      <c r="B5070">
        <f>HYPERLINK("https://www.facebook.com/p/C%C3%B4ng-an-x%C3%A3-Ng%E1%BB%8Dc-L%C6%B0%C6%A1ng-100066598641411/", "Công an xã Ngọc Lương  tỉnh Hòa Bình")</f>
      </c>
      <c r="C5070" t="str">
        <v>https://www.facebook.com/p/C%C3%B4ng-an-x%C3%A3-Ng%E1%BB%8Dc-L%C6%B0%C6%A1ng-100066598641411/</v>
      </c>
      <c r="D5070" t="str">
        <v>-</v>
      </c>
      <c r="E5070" t="str">
        <v/>
      </c>
      <c r="F5070" t="str">
        <v>-</v>
      </c>
      <c r="G5070" t="str">
        <v>-</v>
      </c>
    </row>
    <row r="5071">
      <c r="A5071">
        <v>5070</v>
      </c>
      <c r="B5071">
        <f>HYPERLINK("https://xangocluong.hoabinh.gov.vn/", "UBND Ủy ban nhân dân xã Ngọc Lương  tỉnh Hòa Bình")</f>
      </c>
      <c r="C5071" t="str">
        <v>https://xangocluong.hoabinh.gov.vn/</v>
      </c>
      <c r="D5071" t="str">
        <v>-</v>
      </c>
      <c r="E5071" t="str">
        <v>-</v>
      </c>
      <c r="F5071" t="str">
        <v>-</v>
      </c>
      <c r="G5071" t="str">
        <v>-</v>
      </c>
    </row>
    <row r="5072">
      <c r="A5072">
        <v>5071</v>
      </c>
      <c r="B5072">
        <f>HYPERLINK("https://www.facebook.com/p/C%C3%B4ng-an-huy%E1%BB%87n-Thanh-H%C3%A0-H%E1%BA%A3i-D%C6%B0%C6%A1ng-100064628331014/", "Công an thị trấn Thanh Hà  tỉnh Hòa Bình")</f>
      </c>
      <c r="C5072" t="str">
        <v>https://www.facebook.com/p/C%C3%B4ng-an-huy%E1%BB%87n-Thanh-H%C3%A0-H%E1%BA%A3i-D%C6%B0%C6%A1ng-100064628331014/</v>
      </c>
      <c r="D5072" t="str">
        <v>-</v>
      </c>
      <c r="E5072" t="str">
        <v/>
      </c>
      <c r="F5072" t="str">
        <v>-</v>
      </c>
      <c r="G5072" t="str">
        <v>-</v>
      </c>
    </row>
    <row r="5073">
      <c r="A5073">
        <v>5072</v>
      </c>
      <c r="B5073">
        <f>HYPERLINK("https://txcailay.tiengiang.gov.vn/chi-tiet-tin?/xa-thanh-hoa/10911534", "UBND Ủy ban nhân dân thị trấn Thanh Hà  tỉnh Hòa Bình")</f>
      </c>
      <c r="C5073" t="str">
        <v>https://txcailay.tiengiang.gov.vn/chi-tiet-tin?/xa-thanh-hoa/10911534</v>
      </c>
      <c r="D5073" t="str">
        <v>-</v>
      </c>
      <c r="E5073" t="str">
        <v>-</v>
      </c>
      <c r="F5073" t="str">
        <v>-</v>
      </c>
      <c r="G5073" t="str">
        <v>-</v>
      </c>
    </row>
    <row r="5074">
      <c r="A5074">
        <v>5073</v>
      </c>
      <c r="B5074" t="str">
        <v>Công an xã Thanh Nông  tỉnh Hòa Bình</v>
      </c>
      <c r="C5074" t="str">
        <v>-</v>
      </c>
      <c r="D5074" t="str">
        <v>-</v>
      </c>
      <c r="E5074" t="str">
        <v/>
      </c>
      <c r="F5074" t="str">
        <v>-</v>
      </c>
      <c r="G5074" t="str">
        <v>-</v>
      </c>
    </row>
    <row r="5075">
      <c r="A5075">
        <v>5074</v>
      </c>
      <c r="B5075">
        <f>HYPERLINK("https://www.hoabinh.gov.vn/", "UBND Ủy ban nhân dân xã Thanh Nông  tỉnh Hòa Bình")</f>
      </c>
      <c r="C5075" t="str">
        <v>https://www.hoabinh.gov.vn/</v>
      </c>
      <c r="D5075" t="str">
        <v>-</v>
      </c>
      <c r="E5075" t="str">
        <v>-</v>
      </c>
      <c r="F5075" t="str">
        <v>-</v>
      </c>
      <c r="G5075" t="str">
        <v>-</v>
      </c>
    </row>
    <row r="5076">
      <c r="A5076">
        <v>5075</v>
      </c>
      <c r="B5076">
        <f>HYPERLINK("https://www.facebook.com/p/Tu%E1%BB%95i-tr%E1%BA%BB-ph%C3%B2ng-CSC%C4%90-C%C3%B4ng-an-t%E1%BB%89nh-Ho%C3%A0-B%C3%ACnh-100077598099489/", "Công an thị trấn Chi Nê  tỉnh Hòa Bình")</f>
      </c>
      <c r="C5076" t="str">
        <v>https://www.facebook.com/p/Tu%E1%BB%95i-tr%E1%BA%BB-ph%C3%B2ng-CSC%C4%90-C%C3%B4ng-an-t%E1%BB%89nh-Ho%C3%A0-B%C3%ACnh-100077598099489/</v>
      </c>
      <c r="D5076" t="str">
        <v>-</v>
      </c>
      <c r="E5076" t="str">
        <v/>
      </c>
      <c r="F5076" t="str">
        <v>-</v>
      </c>
      <c r="G5076" t="str">
        <v>-</v>
      </c>
    </row>
    <row r="5077">
      <c r="A5077">
        <v>5076</v>
      </c>
      <c r="B5077">
        <f>HYPERLINK("https://thitranchine.hoabinh.gov.vn/", "UBND Ủy ban nhân dân thị trấn Chi Nê  tỉnh Hòa Bình")</f>
      </c>
      <c r="C5077" t="str">
        <v>https://thitranchine.hoabinh.gov.vn/</v>
      </c>
      <c r="D5077" t="str">
        <v>-</v>
      </c>
      <c r="E5077" t="str">
        <v>-</v>
      </c>
      <c r="F5077" t="str">
        <v>-</v>
      </c>
      <c r="G5077" t="str">
        <v>-</v>
      </c>
    </row>
    <row r="5078">
      <c r="A5078">
        <v>5077</v>
      </c>
      <c r="B5078" t="str">
        <v>Công an xã Phú Lão  tỉnh Hòa Bình</v>
      </c>
      <c r="C5078" t="str">
        <v>-</v>
      </c>
      <c r="D5078" t="str">
        <v>-</v>
      </c>
      <c r="E5078" t="str">
        <v/>
      </c>
      <c r="F5078" t="str">
        <v>-</v>
      </c>
      <c r="G5078" t="str">
        <v>-</v>
      </c>
    </row>
    <row r="5079">
      <c r="A5079">
        <v>5078</v>
      </c>
      <c r="B5079">
        <f>HYPERLINK("https://lacthuy.hoabinh.gov.vn/index.php/thong-tin-co-quan/ubnd-ca-c-xa-tha-tra-n/1102-xa-an-ba-nh", "UBND Ủy ban nhân dân xã Phú Lão  tỉnh Hòa Bình")</f>
      </c>
      <c r="C5079" t="str">
        <v>https://lacthuy.hoabinh.gov.vn/index.php/thong-tin-co-quan/ubnd-ca-c-xa-tha-tra-n/1102-xa-an-ba-nh</v>
      </c>
      <c r="D5079" t="str">
        <v>-</v>
      </c>
      <c r="E5079" t="str">
        <v>-</v>
      </c>
      <c r="F5079" t="str">
        <v>-</v>
      </c>
      <c r="G5079" t="str">
        <v>-</v>
      </c>
    </row>
    <row r="5080">
      <c r="A5080">
        <v>5079</v>
      </c>
      <c r="B5080" t="str">
        <v>Công an xã Phú Thành  tỉnh Hòa Bình</v>
      </c>
      <c r="C5080" t="str">
        <v>-</v>
      </c>
      <c r="D5080" t="str">
        <v>-</v>
      </c>
      <c r="E5080" t="str">
        <v/>
      </c>
      <c r="F5080" t="str">
        <v>-</v>
      </c>
      <c r="G5080" t="str">
        <v>-</v>
      </c>
    </row>
    <row r="5081">
      <c r="A5081">
        <v>5080</v>
      </c>
      <c r="B5081">
        <f>HYPERLINK("https://xaphuthanh.hoabinh.gov.vn/", "UBND Ủy ban nhân dân xã Phú Thành  tỉnh Hòa Bình")</f>
      </c>
      <c r="C5081" t="str">
        <v>https://xaphuthanh.hoabinh.gov.vn/</v>
      </c>
      <c r="D5081" t="str">
        <v>-</v>
      </c>
      <c r="E5081" t="str">
        <v>-</v>
      </c>
      <c r="F5081" t="str">
        <v>-</v>
      </c>
      <c r="G5081" t="str">
        <v>-</v>
      </c>
    </row>
    <row r="5082">
      <c r="A5082">
        <v>5081</v>
      </c>
      <c r="B5082" t="str">
        <v>Công an xã Cố Nghĩa  tỉnh Hòa Bình</v>
      </c>
      <c r="C5082" t="str">
        <v>-</v>
      </c>
      <c r="D5082" t="str">
        <v>-</v>
      </c>
      <c r="E5082" t="str">
        <v/>
      </c>
      <c r="F5082" t="str">
        <v>-</v>
      </c>
      <c r="G5082" t="str">
        <v>-</v>
      </c>
    </row>
    <row r="5083">
      <c r="A5083">
        <v>5082</v>
      </c>
      <c r="B5083">
        <f>HYPERLINK("https://mof.gov.vn/webcenter/portal/btcvn/pages_r/l/tin-bo-tai-chinh?dDocName=MOFUCM151561", "UBND Ủy ban nhân dân xã Cố Nghĩa  tỉnh Hòa Bình")</f>
      </c>
      <c r="C5083" t="str">
        <v>https://mof.gov.vn/webcenter/portal/btcvn/pages_r/l/tin-bo-tai-chinh?dDocName=MOFUCM151561</v>
      </c>
      <c r="D5083" t="str">
        <v>-</v>
      </c>
      <c r="E5083" t="str">
        <v>-</v>
      </c>
      <c r="F5083" t="str">
        <v>-</v>
      </c>
      <c r="G5083" t="str">
        <v>-</v>
      </c>
    </row>
    <row r="5084">
      <c r="A5084">
        <v>5083</v>
      </c>
      <c r="B5084" t="str">
        <v>Công an xã Hưng Thi  tỉnh Hòa Bình</v>
      </c>
      <c r="C5084" t="str">
        <v>-</v>
      </c>
      <c r="D5084" t="str">
        <v>-</v>
      </c>
      <c r="E5084" t="str">
        <v/>
      </c>
      <c r="F5084" t="str">
        <v>-</v>
      </c>
      <c r="G5084" t="str">
        <v>-</v>
      </c>
    </row>
    <row r="5085">
      <c r="A5085">
        <v>5084</v>
      </c>
      <c r="B5085">
        <f>HYPERLINK("https://xahungthi.hoabinh.gov.vn/", "UBND Ủy ban nhân dân xã Hưng Thi  tỉnh Hòa Bình")</f>
      </c>
      <c r="C5085" t="str">
        <v>https://xahungthi.hoabinh.gov.vn/</v>
      </c>
      <c r="D5085" t="str">
        <v>-</v>
      </c>
      <c r="E5085" t="str">
        <v>-</v>
      </c>
      <c r="F5085" t="str">
        <v>-</v>
      </c>
      <c r="G5085" t="str">
        <v>-</v>
      </c>
    </row>
    <row r="5086">
      <c r="A5086">
        <v>5085</v>
      </c>
      <c r="B5086" t="str">
        <v>Công an xã Lạc Long  tỉnh Hòa Bình</v>
      </c>
      <c r="C5086" t="str">
        <v>-</v>
      </c>
      <c r="D5086" t="str">
        <v>-</v>
      </c>
      <c r="E5086" t="str">
        <v/>
      </c>
      <c r="F5086" t="str">
        <v>-</v>
      </c>
      <c r="G5086" t="str">
        <v>-</v>
      </c>
    </row>
    <row r="5087">
      <c r="A5087">
        <v>5086</v>
      </c>
      <c r="B5087">
        <f>HYPERLINK("https://nhoquan.ninhbinh.gov.vn/xa-lac-van", "UBND Ủy ban nhân dân xã Lạc Long  tỉnh Hòa Bình")</f>
      </c>
      <c r="C5087" t="str">
        <v>https://nhoquan.ninhbinh.gov.vn/xa-lac-van</v>
      </c>
      <c r="D5087" t="str">
        <v>-</v>
      </c>
      <c r="E5087" t="str">
        <v>-</v>
      </c>
      <c r="F5087" t="str">
        <v>-</v>
      </c>
      <c r="G5087" t="str">
        <v>-</v>
      </c>
    </row>
    <row r="5088">
      <c r="A5088">
        <v>5087</v>
      </c>
      <c r="B5088">
        <f>HYPERLINK("https://www.facebook.com/p/Tu%E1%BB%95i-tr%E1%BA%BB-ph%C3%B2ng-CSC%C4%90-C%C3%B4ng-an-t%E1%BB%89nh-Ho%C3%A0-B%C3%ACnh-100077598099489/", "Công an xã Liên Hòa  tỉnh Hòa Bình")</f>
      </c>
      <c r="C5088" t="str">
        <v>https://www.facebook.com/p/Tu%E1%BB%95i-tr%E1%BA%BB-ph%C3%B2ng-CSC%C4%90-C%C3%B4ng-an-t%E1%BB%89nh-Ho%C3%A0-B%C3%ACnh-100077598099489/</v>
      </c>
      <c r="D5088" t="str">
        <v>-</v>
      </c>
      <c r="E5088" t="str">
        <v/>
      </c>
      <c r="F5088" t="str">
        <v>-</v>
      </c>
      <c r="G5088" t="str">
        <v>-</v>
      </c>
    </row>
    <row r="5089">
      <c r="A5089">
        <v>5088</v>
      </c>
      <c r="B5089">
        <f>HYPERLINK("https://www.quangninh.gov.vn/donvi/TXQuangYen/Trang/ChiTietBVGioiThieu.aspx?bvid=202", "UBND Ủy ban nhân dân xã Liên Hòa  tỉnh Hòa Bình")</f>
      </c>
      <c r="C5089" t="str">
        <v>https://www.quangninh.gov.vn/donvi/TXQuangYen/Trang/ChiTietBVGioiThieu.aspx?bvid=202</v>
      </c>
      <c r="D5089" t="str">
        <v>-</v>
      </c>
      <c r="E5089" t="str">
        <v>-</v>
      </c>
      <c r="F5089" t="str">
        <v>-</v>
      </c>
      <c r="G5089" t="str">
        <v>-</v>
      </c>
    </row>
    <row r="5090">
      <c r="A5090">
        <v>5089</v>
      </c>
      <c r="B5090" t="str">
        <v>Công an xã Khoan Dụ  tỉnh Hòa Bình</v>
      </c>
      <c r="C5090" t="str">
        <v>-</v>
      </c>
      <c r="D5090" t="str">
        <v>-</v>
      </c>
      <c r="E5090" t="str">
        <v/>
      </c>
      <c r="F5090" t="str">
        <v>-</v>
      </c>
      <c r="G5090" t="str">
        <v>-</v>
      </c>
    </row>
    <row r="5091">
      <c r="A5091">
        <v>5090</v>
      </c>
      <c r="B5091">
        <f>HYPERLINK("https://xakhoandu.hoabinh.gov.vn/index.php/lien-h", "UBND Ủy ban nhân dân xã Khoan Dụ  tỉnh Hòa Bình")</f>
      </c>
      <c r="C5091" t="str">
        <v>https://xakhoandu.hoabinh.gov.vn/index.php/lien-h</v>
      </c>
      <c r="D5091" t="str">
        <v>-</v>
      </c>
      <c r="E5091" t="str">
        <v>-</v>
      </c>
      <c r="F5091" t="str">
        <v>-</v>
      </c>
      <c r="G5091" t="str">
        <v>-</v>
      </c>
    </row>
    <row r="5092">
      <c r="A5092">
        <v>5091</v>
      </c>
      <c r="B5092" t="str">
        <v>Công an xã Đồng Môn  tỉnh Hòa Bình</v>
      </c>
      <c r="C5092" t="str">
        <v>-</v>
      </c>
      <c r="D5092" t="str">
        <v>-</v>
      </c>
      <c r="E5092" t="str">
        <v/>
      </c>
      <c r="F5092" t="str">
        <v>-</v>
      </c>
      <c r="G5092" t="str">
        <v>-</v>
      </c>
    </row>
    <row r="5093">
      <c r="A5093">
        <v>5092</v>
      </c>
      <c r="B5093">
        <f>HYPERLINK("https://dongmon.hatinhcity.gov.vn/portal/pages/2020-10-15/Dia-chi-lien-he-UBND-xa-Dong-Mon820pa78568xr.aspx", "UBND Ủy ban nhân dân xã Đồng Môn  tỉnh Hòa Bình")</f>
      </c>
      <c r="C5093" t="str">
        <v>https://dongmon.hatinhcity.gov.vn/portal/pages/2020-10-15/Dia-chi-lien-he-UBND-xa-Dong-Mon820pa78568xr.aspx</v>
      </c>
      <c r="D5093" t="str">
        <v>-</v>
      </c>
      <c r="E5093" t="str">
        <v>-</v>
      </c>
      <c r="F5093" t="str">
        <v>-</v>
      </c>
      <c r="G5093" t="str">
        <v>-</v>
      </c>
    </row>
    <row r="5094">
      <c r="A5094">
        <v>5093</v>
      </c>
      <c r="B5094" t="str">
        <v>Công an xã Đồng Tâm  tỉnh Hòa Bình</v>
      </c>
      <c r="C5094" t="str">
        <v>-</v>
      </c>
      <c r="D5094" t="str">
        <v>-</v>
      </c>
      <c r="E5094" t="str">
        <v/>
      </c>
      <c r="F5094" t="str">
        <v>-</v>
      </c>
      <c r="G5094" t="str">
        <v>-</v>
      </c>
    </row>
    <row r="5095">
      <c r="A5095">
        <v>5094</v>
      </c>
      <c r="B5095">
        <f>HYPERLINK("https://www.hoabinh.gov.vn/tin-chi-tiet/-/bai-viet/cho-phep-cong-ty-tnhh-mot-thanh-vien-dau-tu-thanh-hung-hoa-binh-tiep-tuc-hoat-dong-khai-thac-da-voi-tro-lai-tai-khu-vuc-nui-bung-coc-xa-dong-tam-huyen-lac-thuy-48541-1391.html", "UBND Ủy ban nhân dân xã Đồng Tâm  tỉnh Hòa Bình")</f>
      </c>
      <c r="C5095" t="str">
        <v>https://www.hoabinh.gov.vn/tin-chi-tiet/-/bai-viet/cho-phep-cong-ty-tnhh-mot-thanh-vien-dau-tu-thanh-hung-hoa-binh-tiep-tuc-hoat-dong-khai-thac-da-voi-tro-lai-tai-khu-vuc-nui-bung-coc-xa-dong-tam-huyen-lac-thuy-48541-1391.html</v>
      </c>
      <c r="D5095" t="str">
        <v>-</v>
      </c>
      <c r="E5095" t="str">
        <v>-</v>
      </c>
      <c r="F5095" t="str">
        <v>-</v>
      </c>
      <c r="G5095" t="str">
        <v>-</v>
      </c>
    </row>
    <row r="5096">
      <c r="A5096">
        <v>5095</v>
      </c>
      <c r="B5096">
        <f>HYPERLINK("https://www.facebook.com/p/C%C3%B4ng-an-x%C3%A3-Y%C3%AAn-B%E1%BB%93ng-L%E1%BA%A1c-Thu%E1%BB%B7-Ho%C3%A0-B%C3%ACnh-100065312000900/", "Công an xã Yên Bồng  tỉnh Hòa Bình")</f>
      </c>
      <c r="C5096" t="str">
        <v>https://www.facebook.com/p/C%C3%B4ng-an-x%C3%A3-Y%C3%AAn-B%E1%BB%93ng-L%E1%BA%A1c-Thu%E1%BB%B7-Ho%C3%A0-B%C3%ACnh-100065312000900/</v>
      </c>
      <c r="D5096" t="str">
        <v>-</v>
      </c>
      <c r="E5096" t="str">
        <v/>
      </c>
      <c r="F5096" t="str">
        <v>-</v>
      </c>
      <c r="G5096" t="str">
        <v>-</v>
      </c>
    </row>
    <row r="5097">
      <c r="A5097">
        <v>5096</v>
      </c>
      <c r="B5097">
        <f>HYPERLINK("https://lacthuy.hoabinh.gov.vn/index.php/thong-tin-co-quan/ubnd-ca-c-xa-tha-tra-n/1107-xa-ya-n-ba-ng", "UBND Ủy ban nhân dân xã Yên Bồng  tỉnh Hòa Bình")</f>
      </c>
      <c r="C5097" t="str">
        <v>https://lacthuy.hoabinh.gov.vn/index.php/thong-tin-co-quan/ubnd-ca-c-xa-tha-tra-n/1107-xa-ya-n-ba-ng</v>
      </c>
      <c r="D5097" t="str">
        <v>-</v>
      </c>
      <c r="E5097" t="str">
        <v>-</v>
      </c>
      <c r="F5097" t="str">
        <v>-</v>
      </c>
      <c r="G5097" t="str">
        <v>-</v>
      </c>
    </row>
    <row r="5098">
      <c r="A5098">
        <v>5097</v>
      </c>
      <c r="B5098">
        <f>HYPERLINK("https://www.facebook.com/congantinhhoabinh/", "Công an xã An Lạc  tỉnh Hòa Bình")</f>
      </c>
      <c r="C5098" t="str">
        <v>https://www.facebook.com/congantinhhoabinh/</v>
      </c>
      <c r="D5098" t="str">
        <v>-</v>
      </c>
      <c r="E5098" t="str">
        <v/>
      </c>
      <c r="F5098" t="str">
        <v>-</v>
      </c>
      <c r="G5098" t="str">
        <v>-</v>
      </c>
    </row>
    <row r="5099">
      <c r="A5099">
        <v>5098</v>
      </c>
      <c r="B5099">
        <f>HYPERLINK("https://luongson.hoabinh.gov.vn/", "UBND Ủy ban nhân dân xã An Lạc  tỉnh Hòa Bình")</f>
      </c>
      <c r="C5099" t="str">
        <v>https://luongson.hoabinh.gov.vn/</v>
      </c>
      <c r="D5099" t="str">
        <v>-</v>
      </c>
      <c r="E5099" t="str">
        <v>-</v>
      </c>
      <c r="F5099" t="str">
        <v>-</v>
      </c>
      <c r="G5099" t="str">
        <v>-</v>
      </c>
    </row>
    <row r="5100">
      <c r="A5100">
        <v>5099</v>
      </c>
      <c r="B5100">
        <f>HYPERLINK("https://www.facebook.com/congantinhhoabinh/", "Công an xã An Bình  tỉnh Hòa Bình")</f>
      </c>
      <c r="C5100" t="str">
        <v>https://www.facebook.com/congantinhhoabinh/</v>
      </c>
      <c r="D5100" t="str">
        <v>-</v>
      </c>
      <c r="E5100" t="str">
        <v/>
      </c>
      <c r="F5100" t="str">
        <v>-</v>
      </c>
      <c r="G5100" t="str">
        <v>-</v>
      </c>
    </row>
    <row r="5101">
      <c r="A5101">
        <v>5100</v>
      </c>
      <c r="B5101">
        <f>HYPERLINK("https://www.hoabinh.gov.vn/", "UBND Ủy ban nhân dân xã An Bình  tỉnh Hòa Bình")</f>
      </c>
      <c r="C5101" t="str">
        <v>https://www.hoabinh.gov.vn/</v>
      </c>
      <c r="D5101" t="str">
        <v>-</v>
      </c>
      <c r="E5101" t="str">
        <v>-</v>
      </c>
      <c r="F5101" t="str">
        <v>-</v>
      </c>
      <c r="G5101" t="str">
        <v>-</v>
      </c>
    </row>
    <row r="5102">
      <c r="A5102">
        <v>5101</v>
      </c>
      <c r="B5102">
        <f>HYPERLINK("https://www.facebook.com/p/C%C3%B4ng-an-ph%C6%B0%E1%BB%9Dng-Quan-Tri%E1%BB%81u-th%C3%A0nh-ph%E1%BB%91-Th%C3%A1i-Nguy%C3%AAn-100083485743171/", "Công an phường Quán Triều  tỉnh Thái Nguyên")</f>
      </c>
      <c r="C5102" t="str">
        <v>https://www.facebook.com/p/C%C3%B4ng-an-ph%C6%B0%E1%BB%9Dng-Quan-Tri%E1%BB%81u-th%C3%A0nh-ph%E1%BB%91-Th%C3%A1i-Nguy%C3%AAn-100083485743171/</v>
      </c>
      <c r="D5102" t="str">
        <v>-</v>
      </c>
      <c r="E5102" t="str">
        <v/>
      </c>
      <c r="F5102" t="str">
        <v>-</v>
      </c>
      <c r="G5102" t="str">
        <v>-</v>
      </c>
    </row>
    <row r="5103">
      <c r="A5103">
        <v>5102</v>
      </c>
      <c r="B5103">
        <f>HYPERLINK("https://quantrieu.thainguyencity.gov.vn/gioi-thieu/-/asset_publisher/p8rldQq7ddAZ/content/uy-ban-nhan-dan?inheritRedirect=true", "UBND Ủy ban nhân dân phường Quán Triều  tỉnh Thái Nguyên")</f>
      </c>
      <c r="C5103" t="str">
        <v>https://quantrieu.thainguyencity.gov.vn/gioi-thieu/-/asset_publisher/p8rldQq7ddAZ/content/uy-ban-nhan-dan?inheritRedirect=true</v>
      </c>
      <c r="D5103" t="str">
        <v>-</v>
      </c>
      <c r="E5103" t="str">
        <v>-</v>
      </c>
      <c r="F5103" t="str">
        <v>-</v>
      </c>
      <c r="G5103" t="str">
        <v>-</v>
      </c>
    </row>
    <row r="5104">
      <c r="A5104">
        <v>5103</v>
      </c>
      <c r="B5104">
        <f>HYPERLINK("https://www.facebook.com/p/C%C3%B4ng-an-ph%C6%B0%E1%BB%9Dng-Quang-Vinh-TP-Th%C3%A1i-Nguy%C3%AAn-t%E1%BB%89nh-Th%C3%A1i-Nguy%C3%AAn-100060822481658/", "Công an phường Quang Vinh  tỉnh Thái Nguyên")</f>
      </c>
      <c r="C5104" t="str">
        <v>https://www.facebook.com/p/C%C3%B4ng-an-ph%C6%B0%E1%BB%9Dng-Quang-Vinh-TP-Th%C3%A1i-Nguy%C3%AAn-t%E1%BB%89nh-Th%C3%A1i-Nguy%C3%AAn-100060822481658/</v>
      </c>
      <c r="D5104" t="str">
        <v>-</v>
      </c>
      <c r="E5104" t="str">
        <v/>
      </c>
      <c r="F5104" t="str">
        <v>-</v>
      </c>
      <c r="G5104" t="str">
        <v>-</v>
      </c>
    </row>
    <row r="5105">
      <c r="A5105">
        <v>5104</v>
      </c>
      <c r="B5105">
        <f>HYPERLINK("https://quangvinh.thainguyencity.gov.vn/", "UBND Ủy ban nhân dân phường Quang Vinh  tỉnh Thái Nguyên")</f>
      </c>
      <c r="C5105" t="str">
        <v>https://quangvinh.thainguyencity.gov.vn/</v>
      </c>
      <c r="D5105" t="str">
        <v>-</v>
      </c>
      <c r="E5105" t="str">
        <v>-</v>
      </c>
      <c r="F5105" t="str">
        <v>-</v>
      </c>
      <c r="G5105" t="str">
        <v>-</v>
      </c>
    </row>
    <row r="5106">
      <c r="A5106">
        <v>5105</v>
      </c>
      <c r="B5106">
        <f>HYPERLINK("https://www.facebook.com/p/C%C3%B4ng-an-ph%C6%B0%E1%BB%9Dng-T%C3%BAc-Duy%C3%AAn-100083463516307/", "Công an phường Túc Duyên  tỉnh Thái Nguyên")</f>
      </c>
      <c r="C5106" t="str">
        <v>https://www.facebook.com/p/C%C3%B4ng-an-ph%C6%B0%E1%BB%9Dng-T%C3%BAc-Duy%C3%AAn-100083463516307/</v>
      </c>
      <c r="D5106" t="str">
        <v>-</v>
      </c>
      <c r="E5106" t="str">
        <v/>
      </c>
      <c r="F5106" t="str">
        <v>-</v>
      </c>
      <c r="G5106" t="str">
        <v>-</v>
      </c>
    </row>
    <row r="5107">
      <c r="A5107">
        <v>5106</v>
      </c>
      <c r="B5107">
        <f>HYPERLINK("https://tucduyen.thainguyencity.gov.vn/bo-may-to-chuc", "UBND Ủy ban nhân dân phường Túc Duyên  tỉnh Thái Nguyên")</f>
      </c>
      <c r="C5107" t="str">
        <v>https://tucduyen.thainguyencity.gov.vn/bo-may-to-chuc</v>
      </c>
      <c r="D5107" t="str">
        <v>-</v>
      </c>
      <c r="E5107" t="str">
        <v>-</v>
      </c>
      <c r="F5107" t="str">
        <v>-</v>
      </c>
      <c r="G5107" t="str">
        <v>-</v>
      </c>
    </row>
    <row r="5108">
      <c r="A5108">
        <v>5107</v>
      </c>
      <c r="B5108" t="str">
        <v>Công an phường Hoàng Văn Thụ  tỉnh Thái Nguyên</v>
      </c>
      <c r="C5108" t="str">
        <v>-</v>
      </c>
      <c r="D5108" t="str">
        <v>-</v>
      </c>
      <c r="E5108" t="str">
        <v/>
      </c>
      <c r="F5108" t="str">
        <v>-</v>
      </c>
      <c r="G5108" t="str">
        <v>-</v>
      </c>
    </row>
    <row r="5109">
      <c r="A5109">
        <v>5108</v>
      </c>
      <c r="B5109">
        <f>HYPERLINK("https://hoangvanthu.thainguyencity.gov.vn/bo-may-to-chuc", "UBND Ủy ban nhân dân phường Hoàng Văn Thụ  tỉnh Thái Nguyên")</f>
      </c>
      <c r="C5109" t="str">
        <v>https://hoangvanthu.thainguyencity.gov.vn/bo-may-to-chuc</v>
      </c>
      <c r="D5109" t="str">
        <v>-</v>
      </c>
      <c r="E5109" t="str">
        <v>-</v>
      </c>
      <c r="F5109" t="str">
        <v>-</v>
      </c>
      <c r="G5109" t="str">
        <v>-</v>
      </c>
    </row>
    <row r="5110">
      <c r="A5110">
        <v>5109</v>
      </c>
      <c r="B5110">
        <f>HYPERLINK("https://www.facebook.com/p/C%C3%B4ng-an-ph%C6%B0%E1%BB%9Dng-Tr%C6%B0ng-V%C6%B0%C6%A1ng-TP-Th%C3%A1i-Nguy%C3%AAn-100076497412232/", "Công an phường Trưng Vương  tỉnh Thái Nguyên")</f>
      </c>
      <c r="C5110" t="str">
        <v>https://www.facebook.com/p/C%C3%B4ng-an-ph%C6%B0%E1%BB%9Dng-Tr%C6%B0ng-V%C6%B0%C6%A1ng-TP-Th%C3%A1i-Nguy%C3%AAn-100076497412232/</v>
      </c>
      <c r="D5110" t="str">
        <v>-</v>
      </c>
      <c r="E5110" t="str">
        <v/>
      </c>
      <c r="F5110" t="str">
        <v>-</v>
      </c>
      <c r="G5110" t="str">
        <v>-</v>
      </c>
    </row>
    <row r="5111">
      <c r="A5111">
        <v>5110</v>
      </c>
      <c r="B5111">
        <f>HYPERLINK("https://trungvuong.thainguyencity.gov.vn/gioi-thieu", "UBND Ủy ban nhân dân phường Trưng Vương  tỉnh Thái Nguyên")</f>
      </c>
      <c r="C5111" t="str">
        <v>https://trungvuong.thainguyencity.gov.vn/gioi-thieu</v>
      </c>
      <c r="D5111" t="str">
        <v>-</v>
      </c>
      <c r="E5111" t="str">
        <v>-</v>
      </c>
      <c r="F5111" t="str">
        <v>-</v>
      </c>
      <c r="G5111" t="str">
        <v>-</v>
      </c>
    </row>
    <row r="5112">
      <c r="A5112">
        <v>5111</v>
      </c>
      <c r="B5112">
        <f>HYPERLINK("https://www.facebook.com/p/C%C3%B4ng-an-Ph%C6%B0%E1%BB%9Dng-Quang-Trung-Th%C3%A0nh-ph%E1%BB%91-Th%C3%A1i-Nguy%C3%AAn-100072192349758/", "Công an phường Quang Trung  tỉnh Thái Nguyên")</f>
      </c>
      <c r="C5112" t="str">
        <v>https://www.facebook.com/p/C%C3%B4ng-an-Ph%C6%B0%E1%BB%9Dng-Quang-Trung-Th%C3%A0nh-ph%E1%BB%91-Th%C3%A1i-Nguy%C3%AAn-100072192349758/</v>
      </c>
      <c r="D5112" t="str">
        <v>-</v>
      </c>
      <c r="E5112" t="str">
        <v/>
      </c>
      <c r="F5112" t="str">
        <v>-</v>
      </c>
      <c r="G5112" t="str">
        <v>-</v>
      </c>
    </row>
    <row r="5113">
      <c r="A5113">
        <v>5112</v>
      </c>
      <c r="B5113">
        <f>HYPERLINK("https://quangtrung.thainguyencity.gov.vn/bo-may-to-chuc", "UBND Ủy ban nhân dân phường Quang Trung  tỉnh Thái Nguyên")</f>
      </c>
      <c r="C5113" t="str">
        <v>https://quangtrung.thainguyencity.gov.vn/bo-may-to-chuc</v>
      </c>
      <c r="D5113" t="str">
        <v>-</v>
      </c>
      <c r="E5113" t="str">
        <v>-</v>
      </c>
      <c r="F5113" t="str">
        <v>-</v>
      </c>
      <c r="G5113" t="str">
        <v>-</v>
      </c>
    </row>
    <row r="5114">
      <c r="A5114">
        <v>5113</v>
      </c>
      <c r="B5114" t="str">
        <v>Công an phường Phan Đình Phùng  tỉnh Thái Nguyên</v>
      </c>
      <c r="C5114" t="str">
        <v>-</v>
      </c>
      <c r="D5114" t="str">
        <v>-</v>
      </c>
      <c r="E5114" t="str">
        <v/>
      </c>
      <c r="F5114" t="str">
        <v>-</v>
      </c>
      <c r="G5114" t="str">
        <v>-</v>
      </c>
    </row>
    <row r="5115">
      <c r="A5115">
        <v>5114</v>
      </c>
      <c r="B5115">
        <f>HYPERLINK("https://phandinhphung.thainguyencity.gov.vn/", "UBND Ủy ban nhân dân phường Phan Đình Phùng  tỉnh Thái Nguyên")</f>
      </c>
      <c r="C5115" t="str">
        <v>https://phandinhphung.thainguyencity.gov.vn/</v>
      </c>
      <c r="D5115" t="str">
        <v>-</v>
      </c>
      <c r="E5115" t="str">
        <v>-</v>
      </c>
      <c r="F5115" t="str">
        <v>-</v>
      </c>
      <c r="G5115" t="str">
        <v>-</v>
      </c>
    </row>
    <row r="5116">
      <c r="A5116">
        <v>5115</v>
      </c>
      <c r="B5116">
        <f>HYPERLINK("https://www.facebook.com/p/C%C3%B4ng-an-ph%C6%B0%E1%BB%9Dng-T%C3%A2n-Th%E1%BB%8Bnh-100076493200543/", "Công an phường Tân Thịnh  tỉnh Thái Nguyên")</f>
      </c>
      <c r="C5116" t="str">
        <v>https://www.facebook.com/p/C%C3%B4ng-an-ph%C6%B0%E1%BB%9Dng-T%C3%A2n-Th%E1%BB%8Bnh-100076493200543/</v>
      </c>
      <c r="D5116" t="str">
        <v>-</v>
      </c>
      <c r="E5116" t="str">
        <v/>
      </c>
      <c r="F5116" t="str">
        <v>-</v>
      </c>
      <c r="G5116" t="str">
        <v>-</v>
      </c>
    </row>
    <row r="5117">
      <c r="A5117">
        <v>5116</v>
      </c>
      <c r="B5117">
        <f>HYPERLINK("https://tanthinh.thainguyencity.gov.vn/gioi-thieu", "UBND Ủy ban nhân dân phường Tân Thịnh  tỉnh Thái Nguyên")</f>
      </c>
      <c r="C5117" t="str">
        <v>https://tanthinh.thainguyencity.gov.vn/gioi-thieu</v>
      </c>
      <c r="D5117" t="str">
        <v>-</v>
      </c>
      <c r="E5117" t="str">
        <v>-</v>
      </c>
      <c r="F5117" t="str">
        <v>-</v>
      </c>
      <c r="G5117" t="str">
        <v>-</v>
      </c>
    </row>
    <row r="5118">
      <c r="A5118">
        <v>5117</v>
      </c>
      <c r="B5118">
        <f>HYPERLINK("https://www.facebook.com/SoDienThoai02083846120/", "Công an phường Thịnh Đán  tỉnh Thái Nguyên")</f>
      </c>
      <c r="C5118" t="str">
        <v>https://www.facebook.com/SoDienThoai02083846120/</v>
      </c>
      <c r="D5118" t="str">
        <v>-</v>
      </c>
      <c r="E5118" t="str">
        <v/>
      </c>
      <c r="F5118" t="str">
        <v>-</v>
      </c>
      <c r="G5118" t="str">
        <v>-</v>
      </c>
    </row>
    <row r="5119">
      <c r="A5119">
        <v>5118</v>
      </c>
      <c r="B5119">
        <f>HYPERLINK("https://thinhdan.thainguyencity.gov.vn/gioi-thieu/-/asset_publisher/q25fcA7HmKgR/content/ubnd-phuong-thinh-an?inheritRedirect=true", "UBND Ủy ban nhân dân phường Thịnh Đán  tỉnh Thái Nguyên")</f>
      </c>
      <c r="C5119" t="str">
        <v>https://thinhdan.thainguyencity.gov.vn/gioi-thieu/-/asset_publisher/q25fcA7HmKgR/content/ubnd-phuong-thinh-an?inheritRedirect=true</v>
      </c>
      <c r="D5119" t="str">
        <v>-</v>
      </c>
      <c r="E5119" t="str">
        <v>-</v>
      </c>
      <c r="F5119" t="str">
        <v>-</v>
      </c>
      <c r="G5119" t="str">
        <v>-</v>
      </c>
    </row>
    <row r="5120">
      <c r="A5120">
        <v>5119</v>
      </c>
      <c r="B5120" t="str">
        <v>Công an phường Đồng Quang  tỉnh Thái Nguyên</v>
      </c>
      <c r="C5120" t="str">
        <v>-</v>
      </c>
      <c r="D5120" t="str">
        <v>-</v>
      </c>
      <c r="E5120" t="str">
        <v/>
      </c>
      <c r="F5120" t="str">
        <v>-</v>
      </c>
      <c r="G5120" t="str">
        <v>-</v>
      </c>
    </row>
    <row r="5121">
      <c r="A5121">
        <v>5120</v>
      </c>
      <c r="B5121">
        <f>HYPERLINK("https://dongquang.thainguyencity.gov.vn/", "UBND Ủy ban nhân dân phường Đồng Quang  tỉnh Thái Nguyên")</f>
      </c>
      <c r="C5121" t="str">
        <v>https://dongquang.thainguyencity.gov.vn/</v>
      </c>
      <c r="D5121" t="str">
        <v>-</v>
      </c>
      <c r="E5121" t="str">
        <v>-</v>
      </c>
      <c r="F5121" t="str">
        <v>-</v>
      </c>
      <c r="G5121" t="str">
        <v>-</v>
      </c>
    </row>
    <row r="5122">
      <c r="A5122">
        <v>5121</v>
      </c>
      <c r="B5122">
        <f>HYPERLINK("https://www.facebook.com/CongAnGiaSang/", "Công an phường Gia Sàng  tỉnh Thái Nguyên")</f>
      </c>
      <c r="C5122" t="str">
        <v>https://www.facebook.com/CongAnGiaSang/</v>
      </c>
      <c r="D5122" t="str">
        <v>-</v>
      </c>
      <c r="E5122" t="str">
        <v/>
      </c>
      <c r="F5122" t="str">
        <v>-</v>
      </c>
      <c r="G5122" t="str">
        <v>-</v>
      </c>
    </row>
    <row r="5123">
      <c r="A5123">
        <v>5122</v>
      </c>
      <c r="B5123">
        <f>HYPERLINK("https://giasang.thainguyencity.gov.vn/", "UBND Ủy ban nhân dân phường Gia Sàng  tỉnh Thái Nguyên")</f>
      </c>
      <c r="C5123" t="str">
        <v>https://giasang.thainguyencity.gov.vn/</v>
      </c>
      <c r="D5123" t="str">
        <v>-</v>
      </c>
      <c r="E5123" t="str">
        <v>-</v>
      </c>
      <c r="F5123" t="str">
        <v>-</v>
      </c>
      <c r="G5123" t="str">
        <v>-</v>
      </c>
    </row>
    <row r="5124">
      <c r="A5124">
        <v>5123</v>
      </c>
      <c r="B5124">
        <f>HYPERLINK("https://www.facebook.com/p/Ph%C6%B0%E1%BB%9Dng-T%C3%A2n-L%E1%BA%ADp-TPTh%C3%A1i-Nguy%C3%AAn-100079581693662/", "Công an phường Tân Lập  tỉnh Thái Nguyên")</f>
      </c>
      <c r="C5124" t="str">
        <v>https://www.facebook.com/p/Ph%C6%B0%E1%BB%9Dng-T%C3%A2n-L%E1%BA%ADp-TPTh%C3%A1i-Nguy%C3%AAn-100079581693662/</v>
      </c>
      <c r="D5124" t="str">
        <v>-</v>
      </c>
      <c r="E5124" t="str">
        <v/>
      </c>
      <c r="F5124" t="str">
        <v>-</v>
      </c>
      <c r="G5124" t="str">
        <v>-</v>
      </c>
    </row>
    <row r="5125">
      <c r="A5125">
        <v>5124</v>
      </c>
      <c r="B5125">
        <f>HYPERLINK("https://tanlap.thainguyencity.gov.vn/", "UBND Ủy ban nhân dân phường Tân Lập  tỉnh Thái Nguyên")</f>
      </c>
      <c r="C5125" t="str">
        <v>https://tanlap.thainguyencity.gov.vn/</v>
      </c>
      <c r="D5125" t="str">
        <v>-</v>
      </c>
      <c r="E5125" t="str">
        <v>-</v>
      </c>
      <c r="F5125" t="str">
        <v>-</v>
      </c>
      <c r="G5125" t="str">
        <v>-</v>
      </c>
    </row>
    <row r="5126">
      <c r="A5126">
        <v>5125</v>
      </c>
      <c r="B5126">
        <f>HYPERLINK("https://www.facebook.com/p/C%C3%B4ng-an-ph%C6%B0%E1%BB%9Dng-Cam-Gi%C3%A1-100072439472944/", "Công an phường Cam Giá  tỉnh Thái Nguyên")</f>
      </c>
      <c r="C5126" t="str">
        <v>https://www.facebook.com/p/C%C3%B4ng-an-ph%C6%B0%E1%BB%9Dng-Cam-Gi%C3%A1-100072439472944/</v>
      </c>
      <c r="D5126" t="str">
        <v>-</v>
      </c>
      <c r="E5126" t="str">
        <v/>
      </c>
      <c r="F5126" t="str">
        <v>-</v>
      </c>
      <c r="G5126" t="str">
        <v>-</v>
      </c>
    </row>
    <row r="5127">
      <c r="A5127">
        <v>5126</v>
      </c>
      <c r="B5127">
        <f>HYPERLINK("https://camgia.thainguyencity.gov.vn/bo-may-to-chuc", "UBND Ủy ban nhân dân phường Cam Giá  tỉnh Thái Nguyên")</f>
      </c>
      <c r="C5127" t="str">
        <v>https://camgia.thainguyencity.gov.vn/bo-may-to-chuc</v>
      </c>
      <c r="D5127" t="str">
        <v>-</v>
      </c>
      <c r="E5127" t="str">
        <v>-</v>
      </c>
      <c r="F5127" t="str">
        <v>-</v>
      </c>
      <c r="G5127" t="str">
        <v>-</v>
      </c>
    </row>
    <row r="5128">
      <c r="A5128">
        <v>5127</v>
      </c>
      <c r="B5128">
        <f>HYPERLINK("https://www.facebook.com/p/C%C3%B4ng-an-ph%C6%B0%E1%BB%9Dng-Ph%C3%BA-X%C3%A1-TP-Th%C3%A1i-Nguy%C3%AAn-100079015225494/", "Công an phường Phú Xá  tỉnh Thái Nguyên")</f>
      </c>
      <c r="C5128" t="str">
        <v>https://www.facebook.com/p/C%C3%B4ng-an-ph%C6%B0%E1%BB%9Dng-Ph%C3%BA-X%C3%A1-TP-Th%C3%A1i-Nguy%C3%AAn-100079015225494/</v>
      </c>
      <c r="D5128" t="str">
        <v>-</v>
      </c>
      <c r="E5128" t="str">
        <v/>
      </c>
      <c r="F5128" t="str">
        <v>-</v>
      </c>
      <c r="G5128" t="str">
        <v>-</v>
      </c>
    </row>
    <row r="5129">
      <c r="A5129">
        <v>5128</v>
      </c>
      <c r="B5129">
        <f>HYPERLINK("https://phuxa.thainguyencity.gov.vn/", "UBND Ủy ban nhân dân phường Phú Xá  tỉnh Thái Nguyên")</f>
      </c>
      <c r="C5129" t="str">
        <v>https://phuxa.thainguyencity.gov.vn/</v>
      </c>
      <c r="D5129" t="str">
        <v>-</v>
      </c>
      <c r="E5129" t="str">
        <v>-</v>
      </c>
      <c r="F5129" t="str">
        <v>-</v>
      </c>
      <c r="G5129" t="str">
        <v>-</v>
      </c>
    </row>
    <row r="5130">
      <c r="A5130">
        <v>5129</v>
      </c>
      <c r="B5130">
        <f>HYPERLINK("https://www.facebook.com/caphuongson/", "Công an phường Hương Sơn  tỉnh Thái Nguyên")</f>
      </c>
      <c r="C5130" t="str">
        <v>https://www.facebook.com/caphuongson/</v>
      </c>
      <c r="D5130" t="str">
        <v>-</v>
      </c>
      <c r="E5130" t="str">
        <v/>
      </c>
      <c r="F5130" t="str">
        <v>-</v>
      </c>
      <c r="G5130" t="str">
        <v>-</v>
      </c>
    </row>
    <row r="5131">
      <c r="A5131">
        <v>5130</v>
      </c>
      <c r="B5131">
        <f>HYPERLINK("https://huongson.thainguyencity.gov.vn/gioi-thieu/-/asset_publisher/uuIur44QxK9Z/content/bo-may-to-chuc?inheritRedirect=true", "UBND Ủy ban nhân dân phường Hương Sơn  tỉnh Thái Nguyên")</f>
      </c>
      <c r="C5131" t="str">
        <v>https://huongson.thainguyencity.gov.vn/gioi-thieu/-/asset_publisher/uuIur44QxK9Z/content/bo-may-to-chuc?inheritRedirect=true</v>
      </c>
      <c r="D5131" t="str">
        <v>-</v>
      </c>
      <c r="E5131" t="str">
        <v>-</v>
      </c>
      <c r="F5131" t="str">
        <v>-</v>
      </c>
      <c r="G5131" t="str">
        <v>-</v>
      </c>
    </row>
    <row r="5132">
      <c r="A5132">
        <v>5131</v>
      </c>
      <c r="B5132">
        <f>HYPERLINK("https://www.facebook.com/p/C%C3%B4ng-an-ph%C6%B0%E1%BB%9Dng-Trung-Th%C3%A0nh-th%C3%A0nh-ph%E1%BB%91-Th%C3%A1i-Nguy%C3%AAn-100079502234947/", "Công an phường Trung Thành  tỉnh Thái Nguyên")</f>
      </c>
      <c r="C5132" t="str">
        <v>https://www.facebook.com/p/C%C3%B4ng-an-ph%C6%B0%E1%BB%9Dng-Trung-Th%C3%A0nh-th%C3%A0nh-ph%E1%BB%91-Th%C3%A1i-Nguy%C3%AAn-100079502234947/</v>
      </c>
      <c r="D5132" t="str">
        <v>-</v>
      </c>
      <c r="E5132" t="str">
        <v/>
      </c>
      <c r="F5132" t="str">
        <v>-</v>
      </c>
      <c r="G5132" t="str">
        <v>-</v>
      </c>
    </row>
    <row r="5133">
      <c r="A5133">
        <v>5132</v>
      </c>
      <c r="B5133">
        <f>HYPERLINK("https://trungthanh.thainguyencity.gov.vn/gioi-thieu", "UBND Ủy ban nhân dân phường Trung Thành  tỉnh Thái Nguyên")</f>
      </c>
      <c r="C5133" t="str">
        <v>https://trungthanh.thainguyencity.gov.vn/gioi-thieu</v>
      </c>
      <c r="D5133" t="str">
        <v>-</v>
      </c>
      <c r="E5133" t="str">
        <v>-</v>
      </c>
      <c r="F5133" t="str">
        <v>-</v>
      </c>
      <c r="G5133" t="str">
        <v>-</v>
      </c>
    </row>
    <row r="5134">
      <c r="A5134">
        <v>5133</v>
      </c>
      <c r="B5134" t="str">
        <v>Công an phường Tân Thành  tỉnh Thái Nguyên</v>
      </c>
      <c r="C5134" t="str">
        <v>-</v>
      </c>
      <c r="D5134" t="str">
        <v>-</v>
      </c>
      <c r="E5134" t="str">
        <v/>
      </c>
      <c r="F5134" t="str">
        <v>-</v>
      </c>
      <c r="G5134" t="str">
        <v>-</v>
      </c>
    </row>
    <row r="5135">
      <c r="A5135">
        <v>5134</v>
      </c>
      <c r="B5135">
        <f>HYPERLINK("https://tanthanh.thainguyencity.gov.vn/", "UBND Ủy ban nhân dân phường Tân Thành  tỉnh Thái Nguyên")</f>
      </c>
      <c r="C5135" t="str">
        <v>https://tanthanh.thainguyencity.gov.vn/</v>
      </c>
      <c r="D5135" t="str">
        <v>-</v>
      </c>
      <c r="E5135" t="str">
        <v>-</v>
      </c>
      <c r="F5135" t="str">
        <v>-</v>
      </c>
      <c r="G5135" t="str">
        <v>-</v>
      </c>
    </row>
    <row r="5136">
      <c r="A5136">
        <v>5135</v>
      </c>
      <c r="B5136" t="str">
        <v>Công an phường Tân Long  tỉnh Thái Nguyên</v>
      </c>
      <c r="C5136" t="str">
        <v>-</v>
      </c>
      <c r="D5136" t="str">
        <v>-</v>
      </c>
      <c r="E5136" t="str">
        <v/>
      </c>
      <c r="F5136" t="str">
        <v>-</v>
      </c>
      <c r="G5136" t="str">
        <v>-</v>
      </c>
    </row>
    <row r="5137">
      <c r="A5137">
        <v>5136</v>
      </c>
      <c r="B5137">
        <f>HYPERLINK("https://tanlong.thainguyencity.gov.vn/", "UBND Ủy ban nhân dân phường Tân Long  tỉnh Thái Nguyên")</f>
      </c>
      <c r="C5137" t="str">
        <v>https://tanlong.thainguyencity.gov.vn/</v>
      </c>
      <c r="D5137" t="str">
        <v>-</v>
      </c>
      <c r="E5137" t="str">
        <v>-</v>
      </c>
      <c r="F5137" t="str">
        <v>-</v>
      </c>
      <c r="G5137" t="str">
        <v>-</v>
      </c>
    </row>
    <row r="5138">
      <c r="A5138">
        <v>5137</v>
      </c>
      <c r="B5138" t="str">
        <v>Công an xã Phúc Hà  tỉnh Thái Nguyên</v>
      </c>
      <c r="C5138" t="str">
        <v>-</v>
      </c>
      <c r="D5138" t="str">
        <v>-</v>
      </c>
      <c r="E5138" t="str">
        <v/>
      </c>
      <c r="F5138" t="str">
        <v>-</v>
      </c>
      <c r="G5138" t="str">
        <v>-</v>
      </c>
    </row>
    <row r="5139">
      <c r="A5139">
        <v>5138</v>
      </c>
      <c r="B5139">
        <f>HYPERLINK("https://phucha.thainguyencity.gov.vn/", "UBND Ủy ban nhân dân xã Phúc Hà  tỉnh Thái Nguyên")</f>
      </c>
      <c r="C5139" t="str">
        <v>https://phucha.thainguyencity.gov.vn/</v>
      </c>
      <c r="D5139" t="str">
        <v>-</v>
      </c>
      <c r="E5139" t="str">
        <v>-</v>
      </c>
      <c r="F5139" t="str">
        <v>-</v>
      </c>
      <c r="G5139" t="str">
        <v>-</v>
      </c>
    </row>
    <row r="5140">
      <c r="A5140">
        <v>5139</v>
      </c>
      <c r="B5140">
        <f>HYPERLINK("https://www.facebook.com/p/C%C3%B4ng-an-x%C3%A3-Ph%C3%BAc-Xu%C3%A2n-th%C3%A0nh-ph%E1%BB%91-Th%C3%A1i-Nguy%C3%AAn-100080200265379/", "Công an xã Phúc Xuân  tỉnh Thái Nguyên")</f>
      </c>
      <c r="C5140" t="str">
        <v>https://www.facebook.com/p/C%C3%B4ng-an-x%C3%A3-Ph%C3%BAc-Xu%C3%A2n-th%C3%A0nh-ph%E1%BB%91-Th%C3%A1i-Nguy%C3%AAn-100080200265379/</v>
      </c>
      <c r="D5140" t="str">
        <v>-</v>
      </c>
      <c r="E5140" t="str">
        <v/>
      </c>
      <c r="F5140" t="str">
        <v>-</v>
      </c>
      <c r="G5140" t="str">
        <v>-</v>
      </c>
    </row>
    <row r="5141">
      <c r="A5141">
        <v>5140</v>
      </c>
      <c r="B5141">
        <f>HYPERLINK("http://phucxuan.thainguyencity.gov.vn/bo-may-to-chuc", "UBND Ủy ban nhân dân xã Phúc Xuân  tỉnh Thái Nguyên")</f>
      </c>
      <c r="C5141" t="str">
        <v>http://phucxuan.thainguyencity.gov.vn/bo-may-to-chuc</v>
      </c>
      <c r="D5141" t="str">
        <v>-</v>
      </c>
      <c r="E5141" t="str">
        <v>-</v>
      </c>
      <c r="F5141" t="str">
        <v>-</v>
      </c>
      <c r="G5141" t="str">
        <v>-</v>
      </c>
    </row>
    <row r="5142">
      <c r="A5142">
        <v>5141</v>
      </c>
      <c r="B5142">
        <f>HYPERLINK("https://www.facebook.com/p/C%C3%B4ng-an-x%C3%A3-Quy%E1%BA%BFt-Th%E1%BA%AFng-th%C3%A0nh-ph%E1%BB%91-Th%C3%A1i-Nguy%C3%AAn-100072342723670/", "Công an xã Quyết Thắng  tỉnh Thái Nguyên")</f>
      </c>
      <c r="C5142" t="str">
        <v>https://www.facebook.com/p/C%C3%B4ng-an-x%C3%A3-Quy%E1%BA%BFt-Th%E1%BA%AFng-th%C3%A0nh-ph%E1%BB%91-Th%C3%A1i-Nguy%C3%AAn-100072342723670/</v>
      </c>
      <c r="D5142" t="str">
        <v>-</v>
      </c>
      <c r="E5142" t="str">
        <v/>
      </c>
      <c r="F5142" t="str">
        <v>-</v>
      </c>
      <c r="G5142" t="str">
        <v>-</v>
      </c>
    </row>
    <row r="5143">
      <c r="A5143">
        <v>5142</v>
      </c>
      <c r="B5143">
        <f>HYPERLINK("http://quyetthang.thainguyencity.gov.vn/gioi-thieu/-/asset_publisher/PTN1trT2HJke/content/bo-may-to-chuc?inheritRedirect=true", "UBND Ủy ban nhân dân xã Quyết Thắng  tỉnh Thái Nguyên")</f>
      </c>
      <c r="C5143" t="str">
        <v>http://quyetthang.thainguyencity.gov.vn/gioi-thieu/-/asset_publisher/PTN1trT2HJke/content/bo-may-to-chuc?inheritRedirect=true</v>
      </c>
      <c r="D5143" t="str">
        <v>-</v>
      </c>
      <c r="E5143" t="str">
        <v>-</v>
      </c>
      <c r="F5143" t="str">
        <v>-</v>
      </c>
      <c r="G5143" t="str">
        <v>-</v>
      </c>
    </row>
    <row r="5144">
      <c r="A5144">
        <v>5143</v>
      </c>
      <c r="B5144">
        <f>HYPERLINK("https://www.facebook.com/PhucTriu05494/", "Công an xã Phúc Trìu  tỉnh Thái Nguyên")</f>
      </c>
      <c r="C5144" t="str">
        <v>https://www.facebook.com/PhucTriu05494/</v>
      </c>
      <c r="D5144" t="str">
        <v>-</v>
      </c>
      <c r="E5144" t="str">
        <v/>
      </c>
      <c r="F5144" t="str">
        <v>-</v>
      </c>
      <c r="G5144" t="str">
        <v>-</v>
      </c>
    </row>
    <row r="5145">
      <c r="A5145">
        <v>5144</v>
      </c>
      <c r="B5145">
        <f>HYPERLINK("https://phuctriu.thainguyencity.gov.vn/", "UBND Ủy ban nhân dân xã Phúc Trìu  tỉnh Thái Nguyên")</f>
      </c>
      <c r="C5145" t="str">
        <v>https://phuctriu.thainguyencity.gov.vn/</v>
      </c>
      <c r="D5145" t="str">
        <v>-</v>
      </c>
      <c r="E5145" t="str">
        <v>-</v>
      </c>
      <c r="F5145" t="str">
        <v>-</v>
      </c>
      <c r="G5145" t="str">
        <v>-</v>
      </c>
    </row>
    <row r="5146">
      <c r="A5146">
        <v>5145</v>
      </c>
      <c r="B5146" t="str">
        <v>Công an xã Thịnh Đức  tỉnh Thái Nguyên</v>
      </c>
      <c r="C5146" t="str">
        <v>-</v>
      </c>
      <c r="D5146" t="str">
        <v>-</v>
      </c>
      <c r="E5146" t="str">
        <v/>
      </c>
      <c r="F5146" t="str">
        <v>-</v>
      </c>
      <c r="G5146" t="str">
        <v>-</v>
      </c>
    </row>
    <row r="5147">
      <c r="A5147">
        <v>5146</v>
      </c>
      <c r="B5147">
        <f>HYPERLINK("https://thinhduc.thainguyencity.gov.vn/", "UBND Ủy ban nhân dân xã Thịnh Đức  tỉnh Thái Nguyên")</f>
      </c>
      <c r="C5147" t="str">
        <v>https://thinhduc.thainguyencity.gov.vn/</v>
      </c>
      <c r="D5147" t="str">
        <v>-</v>
      </c>
      <c r="E5147" t="str">
        <v>-</v>
      </c>
      <c r="F5147" t="str">
        <v>-</v>
      </c>
      <c r="G5147" t="str">
        <v>-</v>
      </c>
    </row>
    <row r="5148">
      <c r="A5148">
        <v>5147</v>
      </c>
      <c r="B5148">
        <f>HYPERLINK("https://www.facebook.com/p/C%C3%B4ng-An-Ph%C6%B0%E1%BB%9Dng-T%C3%ADch-L%C6%B0%C6%A1ng-TP-Th%C3%A1i-Nguy%C3%AAn-100069806956319/", "Công an phường Tích Lương  tỉnh Thái Nguyên")</f>
      </c>
      <c r="C5148" t="str">
        <v>https://www.facebook.com/p/C%C3%B4ng-An-Ph%C6%B0%E1%BB%9Dng-T%C3%ADch-L%C6%B0%C6%A1ng-TP-Th%C3%A1i-Nguy%C3%AAn-100069806956319/</v>
      </c>
      <c r="D5148" t="str">
        <v>-</v>
      </c>
      <c r="E5148" t="str">
        <v/>
      </c>
      <c r="F5148" t="str">
        <v>-</v>
      </c>
      <c r="G5148" t="str">
        <v>-</v>
      </c>
    </row>
    <row r="5149">
      <c r="A5149">
        <v>5148</v>
      </c>
      <c r="B5149">
        <f>HYPERLINK("https://tichluong.thainguyencity.gov.vn/", "UBND Ủy ban nhân dân phường Tích Lương  tỉnh Thái Nguyên")</f>
      </c>
      <c r="C5149" t="str">
        <v>https://tichluong.thainguyencity.gov.vn/</v>
      </c>
      <c r="D5149" t="str">
        <v>-</v>
      </c>
      <c r="E5149" t="str">
        <v>-</v>
      </c>
      <c r="F5149" t="str">
        <v>-</v>
      </c>
      <c r="G5149" t="str">
        <v>-</v>
      </c>
    </row>
    <row r="5150">
      <c r="A5150">
        <v>5149</v>
      </c>
      <c r="B5150" t="str">
        <v>Công an xã Tân Cương  tỉnh Thái Nguyên</v>
      </c>
      <c r="C5150" t="str">
        <v>-</v>
      </c>
      <c r="D5150" t="str">
        <v>-</v>
      </c>
      <c r="E5150" t="str">
        <v/>
      </c>
      <c r="F5150" t="str">
        <v>-</v>
      </c>
      <c r="G5150" t="str">
        <v>-</v>
      </c>
    </row>
    <row r="5151">
      <c r="A5151">
        <v>5150</v>
      </c>
      <c r="B5151">
        <f>HYPERLINK("https://tancuong.thainguyencity.gov.vn/bo-may-to-chuc", "UBND Ủy ban nhân dân xã Tân Cương  tỉnh Thái Nguyên")</f>
      </c>
      <c r="C5151" t="str">
        <v>https://tancuong.thainguyencity.gov.vn/bo-may-to-chuc</v>
      </c>
      <c r="D5151" t="str">
        <v>-</v>
      </c>
      <c r="E5151" t="str">
        <v>-</v>
      </c>
      <c r="F5151" t="str">
        <v>-</v>
      </c>
      <c r="G5151" t="str">
        <v>-</v>
      </c>
    </row>
    <row r="5152">
      <c r="A5152">
        <v>5151</v>
      </c>
      <c r="B5152">
        <f>HYPERLINK("https://www.facebook.com/p/C%C3%B4ng-an-x%C3%A3-S%C6%A1n-C%E1%BA%A9m-Th%C3%A0nh-ph%E1%BB%91-Th%C3%A1i-Nguy%C3%AAn-T%E1%BB%89nh-Th%C3%A1i-Nguy%C3%AAn-100079998510811/", "Công an xã Sơn Cẩm  tỉnh Thái Nguyên")</f>
      </c>
      <c r="C5152" t="str">
        <v>https://www.facebook.com/p/C%C3%B4ng-an-x%C3%A3-S%C6%A1n-C%E1%BA%A9m-Th%C3%A0nh-ph%E1%BB%91-Th%C3%A1i-Nguy%C3%AAn-T%E1%BB%89nh-Th%C3%A1i-Nguy%C3%AAn-100079998510811/</v>
      </c>
      <c r="D5152" t="str">
        <v>-</v>
      </c>
      <c r="E5152" t="str">
        <v/>
      </c>
      <c r="F5152" t="str">
        <v>-</v>
      </c>
      <c r="G5152" t="str">
        <v>-</v>
      </c>
    </row>
    <row r="5153">
      <c r="A5153">
        <v>5152</v>
      </c>
      <c r="B5153">
        <f>HYPERLINK("https://soncam.thainguyencity.gov.vn/gioi-thieu", "UBND Ủy ban nhân dân xã Sơn Cẩm  tỉnh Thái Nguyên")</f>
      </c>
      <c r="C5153" t="str">
        <v>https://soncam.thainguyencity.gov.vn/gioi-thieu</v>
      </c>
      <c r="D5153" t="str">
        <v>-</v>
      </c>
      <c r="E5153" t="str">
        <v>-</v>
      </c>
      <c r="F5153" t="str">
        <v>-</v>
      </c>
      <c r="G5153" t="str">
        <v>-</v>
      </c>
    </row>
    <row r="5154">
      <c r="A5154">
        <v>5153</v>
      </c>
      <c r="B5154" t="str">
        <v>Công an phường Chùa Hang  tỉnh Thái Nguyên</v>
      </c>
      <c r="C5154" t="str">
        <v>-</v>
      </c>
      <c r="D5154" t="str">
        <v>-</v>
      </c>
      <c r="E5154" t="str">
        <v/>
      </c>
      <c r="F5154" t="str">
        <v>-</v>
      </c>
      <c r="G5154" t="str">
        <v>-</v>
      </c>
    </row>
    <row r="5155">
      <c r="A5155">
        <v>5154</v>
      </c>
      <c r="B5155">
        <f>HYPERLINK("http://chuahang.thainguyencity.gov.vn/gioi-thieu/-/asset_publisher/b8G4WrJzBYh9/content/bo-may-to-chuc-ubnd-phuong-chua-hang?inheritRedirect=true", "UBND Ủy ban nhân dân phường Chùa Hang  tỉnh Thái Nguyên")</f>
      </c>
      <c r="C5155" t="str">
        <v>http://chuahang.thainguyencity.gov.vn/gioi-thieu/-/asset_publisher/b8G4WrJzBYh9/content/bo-may-to-chuc-ubnd-phuong-chua-hang?inheritRedirect=true</v>
      </c>
      <c r="D5155" t="str">
        <v>-</v>
      </c>
      <c r="E5155" t="str">
        <v>-</v>
      </c>
      <c r="F5155" t="str">
        <v>-</v>
      </c>
      <c r="G5155" t="str">
        <v>-</v>
      </c>
    </row>
    <row r="5156">
      <c r="A5156">
        <v>5155</v>
      </c>
      <c r="B5156">
        <f>HYPERLINK("https://www.facebook.com/Leanhtuan195/", "Công an xã Cao Ngạn  tỉnh Thái Nguyên")</f>
      </c>
      <c r="C5156" t="str">
        <v>https://www.facebook.com/Leanhtuan195/</v>
      </c>
      <c r="D5156" t="str">
        <v>-</v>
      </c>
      <c r="E5156" t="str">
        <v/>
      </c>
      <c r="F5156" t="str">
        <v>-</v>
      </c>
      <c r="G5156" t="str">
        <v>-</v>
      </c>
    </row>
    <row r="5157">
      <c r="A5157">
        <v>5156</v>
      </c>
      <c r="B5157">
        <f>HYPERLINK("https://caongan.thainguyencity.gov.vn/bo-may-to-chuc", "UBND Ủy ban nhân dân xã Cao Ngạn  tỉnh Thái Nguyên")</f>
      </c>
      <c r="C5157" t="str">
        <v>https://caongan.thainguyencity.gov.vn/bo-may-to-chuc</v>
      </c>
      <c r="D5157" t="str">
        <v>-</v>
      </c>
      <c r="E5157" t="str">
        <v>-</v>
      </c>
      <c r="F5157" t="str">
        <v>-</v>
      </c>
      <c r="G5157" t="str">
        <v>-</v>
      </c>
    </row>
    <row r="5158">
      <c r="A5158">
        <v>5157</v>
      </c>
      <c r="B5158">
        <f>HYPERLINK("https://www.facebook.com/p/C%C3%B4ng-an-x%C3%A3-Linh-S%C6%A1n-TP-Th%C3%A1i-Nguy%C3%AAn-t%E1%BB%89nh-Th%C3%A1i-Nguy%C3%AAn-100064695924503/", "Công an xã Linh Sơn  tỉnh Thái Nguyên")</f>
      </c>
      <c r="C5158" t="str">
        <v>https://www.facebook.com/p/C%C3%B4ng-an-x%C3%A3-Linh-S%C6%A1n-TP-Th%C3%A1i-Nguy%C3%AAn-t%E1%BB%89nh-Th%C3%A1i-Nguy%C3%AAn-100064695924503/</v>
      </c>
      <c r="D5158" t="str">
        <v>-</v>
      </c>
      <c r="E5158" t="str">
        <v/>
      </c>
      <c r="F5158" t="str">
        <v>-</v>
      </c>
      <c r="G5158" t="str">
        <v>-</v>
      </c>
    </row>
    <row r="5159">
      <c r="A5159">
        <v>5158</v>
      </c>
      <c r="B5159">
        <f>HYPERLINK("https://linhson.thainguyencity.gov.vn/bo-may-to-chuc", "UBND Ủy ban nhân dân xã Linh Sơn  tỉnh Thái Nguyên")</f>
      </c>
      <c r="C5159" t="str">
        <v>https://linhson.thainguyencity.gov.vn/bo-may-to-chuc</v>
      </c>
      <c r="D5159" t="str">
        <v>-</v>
      </c>
      <c r="E5159" t="str">
        <v>-</v>
      </c>
      <c r="F5159" t="str">
        <v>-</v>
      </c>
      <c r="G5159" t="str">
        <v>-</v>
      </c>
    </row>
    <row r="5160">
      <c r="A5160">
        <v>5159</v>
      </c>
      <c r="B5160" t="str">
        <v>Công an phường Đồng Bẩm  tỉnh Thái Nguyên</v>
      </c>
      <c r="C5160" t="str">
        <v>-</v>
      </c>
      <c r="D5160" t="str">
        <v>-</v>
      </c>
      <c r="E5160" t="str">
        <v/>
      </c>
      <c r="F5160" t="str">
        <v>-</v>
      </c>
      <c r="G5160" t="str">
        <v>-</v>
      </c>
    </row>
    <row r="5161">
      <c r="A5161">
        <v>5160</v>
      </c>
      <c r="B5161">
        <f>HYPERLINK("https://dongbam.thainguyencity.gov.vn/", "UBND Ủy ban nhân dân phường Đồng Bẩm  tỉnh Thái Nguyên")</f>
      </c>
      <c r="C5161" t="str">
        <v>https://dongbam.thainguyencity.gov.vn/</v>
      </c>
      <c r="D5161" t="str">
        <v>-</v>
      </c>
      <c r="E5161" t="str">
        <v>-</v>
      </c>
      <c r="F5161" t="str">
        <v>-</v>
      </c>
      <c r="G5161" t="str">
        <v>-</v>
      </c>
    </row>
    <row r="5162">
      <c r="A5162">
        <v>5161</v>
      </c>
      <c r="B5162">
        <f>HYPERLINK("https://www.facebook.com/p/C%C3%B4ng-an-x%C3%A3-Hu%E1%BB%91ng-Th%C6%B0%E1%BB%A3ng-th%C3%A0nh-ph%E1%BB%91-Th%C3%A1i-Nguy%C3%AAn-t%E1%BB%89nh-Th%C3%A1i-Nguy%C3%AAn-100081654043924/", "Công an xã Huống Thượng  tỉnh Thái Nguyên")</f>
      </c>
      <c r="C5162" t="str">
        <v>https://www.facebook.com/p/C%C3%B4ng-an-x%C3%A3-Hu%E1%BB%91ng-Th%C6%B0%E1%BB%A3ng-th%C3%A0nh-ph%E1%BB%91-Th%C3%A1i-Nguy%C3%AAn-t%E1%BB%89nh-Th%C3%A1i-Nguy%C3%AAn-100081654043924/</v>
      </c>
      <c r="D5162" t="str">
        <v>-</v>
      </c>
      <c r="E5162" t="str">
        <v/>
      </c>
      <c r="F5162" t="str">
        <v>-</v>
      </c>
      <c r="G5162" t="str">
        <v>-</v>
      </c>
    </row>
    <row r="5163">
      <c r="A5163">
        <v>5162</v>
      </c>
      <c r="B5163">
        <f>HYPERLINK("https://huongthuong.thainguyencity.gov.vn/gioi-thieu", "UBND Ủy ban nhân dân xã Huống Thượng  tỉnh Thái Nguyên")</f>
      </c>
      <c r="C5163" t="str">
        <v>https://huongthuong.thainguyencity.gov.vn/gioi-thieu</v>
      </c>
      <c r="D5163" t="str">
        <v>-</v>
      </c>
      <c r="E5163" t="str">
        <v>-</v>
      </c>
      <c r="F5163" t="str">
        <v>-</v>
      </c>
      <c r="G5163" t="str">
        <v>-</v>
      </c>
    </row>
    <row r="5164">
      <c r="A5164">
        <v>5163</v>
      </c>
      <c r="B5164" t="str">
        <v>Công an xã Đồng Liên  tỉnh Thái Nguyên</v>
      </c>
      <c r="C5164" t="str">
        <v>-</v>
      </c>
      <c r="D5164" t="str">
        <v>-</v>
      </c>
      <c r="E5164" t="str">
        <v/>
      </c>
      <c r="F5164" t="str">
        <v>-</v>
      </c>
      <c r="G5164" t="str">
        <v>-</v>
      </c>
    </row>
    <row r="5165">
      <c r="A5165">
        <v>5164</v>
      </c>
      <c r="B5165">
        <f>HYPERLINK("http://donglien.thainguyencity.gov.vn/bo-may-to-chuc", "UBND Ủy ban nhân dân xã Đồng Liên  tỉnh Thái Nguyên")</f>
      </c>
      <c r="C5165" t="str">
        <v>http://donglien.thainguyencity.gov.vn/bo-may-to-chuc</v>
      </c>
      <c r="D5165" t="str">
        <v>-</v>
      </c>
      <c r="E5165" t="str">
        <v>-</v>
      </c>
      <c r="F5165" t="str">
        <v>-</v>
      </c>
      <c r="G5165" t="str">
        <v>-</v>
      </c>
    </row>
    <row r="5166">
      <c r="A5166">
        <v>5165</v>
      </c>
      <c r="B5166" t="str">
        <v>Công an phường Lương Sơn  tỉnh Thái Nguyên</v>
      </c>
      <c r="C5166" t="str">
        <v>-</v>
      </c>
      <c r="D5166" t="str">
        <v>-</v>
      </c>
      <c r="E5166" t="str">
        <v/>
      </c>
      <c r="F5166" t="str">
        <v>-</v>
      </c>
      <c r="G5166" t="str">
        <v>-</v>
      </c>
    </row>
    <row r="5167">
      <c r="A5167">
        <v>5166</v>
      </c>
      <c r="B5167">
        <f>HYPERLINK("https://songcong.thainguyen.gov.vn/phuong-luong-son", "UBND Ủy ban nhân dân phường Lương Sơn  tỉnh Thái Nguyên")</f>
      </c>
      <c r="C5167" t="str">
        <v>https://songcong.thainguyen.gov.vn/phuong-luong-son</v>
      </c>
      <c r="D5167" t="str">
        <v>-</v>
      </c>
      <c r="E5167" t="str">
        <v>-</v>
      </c>
      <c r="F5167" t="str">
        <v>-</v>
      </c>
      <c r="G5167" t="str">
        <v>-</v>
      </c>
    </row>
    <row r="5168">
      <c r="A5168">
        <v>5167</v>
      </c>
      <c r="B5168" t="str">
        <v>Công an phường Lương Châu  tỉnh Thái Nguyên</v>
      </c>
      <c r="C5168" t="str">
        <v>-</v>
      </c>
      <c r="D5168" t="str">
        <v>-</v>
      </c>
      <c r="E5168" t="str">
        <v/>
      </c>
      <c r="F5168" t="str">
        <v>-</v>
      </c>
      <c r="G5168" t="str">
        <v>-</v>
      </c>
    </row>
    <row r="5169">
      <c r="A5169">
        <v>5168</v>
      </c>
      <c r="B5169">
        <f>HYPERLINK("https://songcong.thainguyen.gov.vn/phuong-chau-son", "UBND Ủy ban nhân dân phường Lương Châu  tỉnh Thái Nguyên")</f>
      </c>
      <c r="C5169" t="str">
        <v>https://songcong.thainguyen.gov.vn/phuong-chau-son</v>
      </c>
      <c r="D5169" t="str">
        <v>-</v>
      </c>
      <c r="E5169" t="str">
        <v>-</v>
      </c>
      <c r="F5169" t="str">
        <v>-</v>
      </c>
      <c r="G5169" t="str">
        <v>-</v>
      </c>
    </row>
    <row r="5170">
      <c r="A5170">
        <v>5169</v>
      </c>
      <c r="B5170">
        <f>HYPERLINK("https://www.facebook.com/p/C%C3%B4ng-an-ph%C6%B0%E1%BB%9Dng-M%E1%BB%8F-Ch%C3%A8-th%C3%A0nh-ph%E1%BB%91-S%C3%B4ng-C%C3%B4ng-t%E1%BB%89nh-Th%C3%A1i-Nguy%C3%AAn-100071620411983/", "Công an phường Mỏ Chè  tỉnh Thái Nguyên")</f>
      </c>
      <c r="C5170" t="str">
        <v>https://www.facebook.com/p/C%C3%B4ng-an-ph%C6%B0%E1%BB%9Dng-M%E1%BB%8F-Ch%C3%A8-th%C3%A0nh-ph%E1%BB%91-S%C3%B4ng-C%C3%B4ng-t%E1%BB%89nh-Th%C3%A1i-Nguy%C3%AAn-100071620411983/</v>
      </c>
      <c r="D5170" t="str">
        <v>-</v>
      </c>
      <c r="E5170" t="str">
        <v/>
      </c>
      <c r="F5170" t="str">
        <v>-</v>
      </c>
      <c r="G5170" t="str">
        <v>-</v>
      </c>
    </row>
    <row r="5171">
      <c r="A5171">
        <v>5170</v>
      </c>
      <c r="B5171">
        <f>HYPERLINK("https://moche.songcong.thainguyen.gov.vn/uy-ban-nhan-dan", "UBND Ủy ban nhân dân phường Mỏ Chè  tỉnh Thái Nguyên")</f>
      </c>
      <c r="C5171" t="str">
        <v>https://moche.songcong.thainguyen.gov.vn/uy-ban-nhan-dan</v>
      </c>
      <c r="D5171" t="str">
        <v>-</v>
      </c>
      <c r="E5171" t="str">
        <v>-</v>
      </c>
      <c r="F5171" t="str">
        <v>-</v>
      </c>
      <c r="G5171" t="str">
        <v>-</v>
      </c>
    </row>
    <row r="5172">
      <c r="A5172">
        <v>5171</v>
      </c>
      <c r="B5172">
        <f>HYPERLINK("https://www.facebook.com/p/C%C3%B4ng-an-ph%C6%B0%E1%BB%9Dng-C%E1%BA%A3i-%C4%90an-th%C3%A0nh-ph%E1%BB%91-S%C3%B4ng-C%C3%B4ng-100072187718734/", "Công an phường Cải Đan  tỉnh Thái Nguyên")</f>
      </c>
      <c r="C5172" t="str">
        <v>https://www.facebook.com/p/C%C3%B4ng-an-ph%C6%B0%E1%BB%9Dng-C%E1%BA%A3i-%C4%90an-th%C3%A0nh-ph%E1%BB%91-S%C3%B4ng-C%C3%B4ng-100072187718734/</v>
      </c>
      <c r="D5172" t="str">
        <v>-</v>
      </c>
      <c r="E5172" t="str">
        <v/>
      </c>
      <c r="F5172" t="str">
        <v>-</v>
      </c>
      <c r="G5172" t="str">
        <v>-</v>
      </c>
    </row>
    <row r="5173">
      <c r="A5173">
        <v>5172</v>
      </c>
      <c r="B5173">
        <f>HYPERLINK("https://caidan.songcong.thainguyen.gov.vn/", "UBND Ủy ban nhân dân phường Cải Đan  tỉnh Thái Nguyên")</f>
      </c>
      <c r="C5173" t="str">
        <v>https://caidan.songcong.thainguyen.gov.vn/</v>
      </c>
      <c r="D5173" t="str">
        <v>-</v>
      </c>
      <c r="E5173" t="str">
        <v>-</v>
      </c>
      <c r="F5173" t="str">
        <v>-</v>
      </c>
      <c r="G5173" t="str">
        <v>-</v>
      </c>
    </row>
    <row r="5174">
      <c r="A5174">
        <v>5173</v>
      </c>
      <c r="B5174">
        <f>HYPERLINK("https://www.facebook.com/Conganphuongthangloisc/", "Công an phường Thắng Lợi  tỉnh Thái Nguyên")</f>
      </c>
      <c r="C5174" t="str">
        <v>https://www.facebook.com/Conganphuongthangloisc/</v>
      </c>
      <c r="D5174" t="str">
        <v>-</v>
      </c>
      <c r="E5174" t="str">
        <v/>
      </c>
      <c r="F5174" t="str">
        <v>-</v>
      </c>
      <c r="G5174" t="str">
        <v>-</v>
      </c>
    </row>
    <row r="5175">
      <c r="A5175">
        <v>5174</v>
      </c>
      <c r="B5175">
        <f>HYPERLINK("https://songcong.thainguyen.gov.vn/phuong-thang-loi", "UBND Ủy ban nhân dân phường Thắng Lợi  tỉnh Thái Nguyên")</f>
      </c>
      <c r="C5175" t="str">
        <v>https://songcong.thainguyen.gov.vn/phuong-thang-loi</v>
      </c>
      <c r="D5175" t="str">
        <v>-</v>
      </c>
      <c r="E5175" t="str">
        <v>-</v>
      </c>
      <c r="F5175" t="str">
        <v>-</v>
      </c>
      <c r="G5175" t="str">
        <v>-</v>
      </c>
    </row>
    <row r="5176">
      <c r="A5176">
        <v>5175</v>
      </c>
      <c r="B5176">
        <f>HYPERLINK("https://www.facebook.com/conganphoco/?locale=vi_VN", "Công an phường Phố Cò  tỉnh Thái Nguyên")</f>
      </c>
      <c r="C5176" t="str">
        <v>https://www.facebook.com/conganphoco/?locale=vi_VN</v>
      </c>
      <c r="D5176" t="str">
        <v>-</v>
      </c>
      <c r="E5176" t="str">
        <v/>
      </c>
      <c r="F5176" t="str">
        <v>-</v>
      </c>
      <c r="G5176" t="str">
        <v>-</v>
      </c>
    </row>
    <row r="5177">
      <c r="A5177">
        <v>5176</v>
      </c>
      <c r="B5177">
        <f>HYPERLINK("https://songcong.thainguyen.gov.vn/phuong-pho-co", "UBND Ủy ban nhân dân phường Phố Cò  tỉnh Thái Nguyên")</f>
      </c>
      <c r="C5177" t="str">
        <v>https://songcong.thainguyen.gov.vn/phuong-pho-co</v>
      </c>
      <c r="D5177" t="str">
        <v>-</v>
      </c>
      <c r="E5177" t="str">
        <v>-</v>
      </c>
      <c r="F5177" t="str">
        <v>-</v>
      </c>
      <c r="G5177" t="str">
        <v>-</v>
      </c>
    </row>
    <row r="5178">
      <c r="A5178">
        <v>5177</v>
      </c>
      <c r="B5178" t="str">
        <v>Công an xã Vinh Sơn  tỉnh Thái Nguyên</v>
      </c>
      <c r="C5178" t="str">
        <v>-</v>
      </c>
      <c r="D5178" t="str">
        <v>-</v>
      </c>
      <c r="E5178" t="str">
        <v/>
      </c>
      <c r="F5178" t="str">
        <v>-</v>
      </c>
      <c r="G5178" t="str">
        <v>-</v>
      </c>
    </row>
    <row r="5179">
      <c r="A5179">
        <v>5178</v>
      </c>
      <c r="B5179">
        <f>HYPERLINK("https://songcong.thainguyen.gov.vn/cac-don-vi-hanh-chinh/-/asset_publisher/vTBKLDifg8B3/content/xa-vinh-son?inheritRedirect=true", "UBND Ủy ban nhân dân xã Vinh Sơn  tỉnh Thái Nguyên")</f>
      </c>
      <c r="C5179" t="str">
        <v>https://songcong.thainguyen.gov.vn/cac-don-vi-hanh-chinh/-/asset_publisher/vTBKLDifg8B3/content/xa-vinh-son?inheritRedirect=true</v>
      </c>
      <c r="D5179" t="str">
        <v>-</v>
      </c>
      <c r="E5179" t="str">
        <v>-</v>
      </c>
      <c r="F5179" t="str">
        <v>-</v>
      </c>
      <c r="G5179" t="str">
        <v>-</v>
      </c>
    </row>
    <row r="5180">
      <c r="A5180">
        <v>5179</v>
      </c>
      <c r="B5180" t="str">
        <v>Công an xã Tân Quang  tỉnh Thái Nguyên</v>
      </c>
      <c r="C5180" t="str">
        <v>-</v>
      </c>
      <c r="D5180" t="str">
        <v>-</v>
      </c>
      <c r="E5180" t="str">
        <v/>
      </c>
      <c r="F5180" t="str">
        <v>-</v>
      </c>
      <c r="G5180" t="str">
        <v>-</v>
      </c>
    </row>
    <row r="5181">
      <c r="A5181">
        <v>5180</v>
      </c>
      <c r="B5181">
        <f>HYPERLINK("https://songcong.thainguyen.gov.vn/xa-tan-quang", "UBND Ủy ban nhân dân xã Tân Quang  tỉnh Thái Nguyên")</f>
      </c>
      <c r="C5181" t="str">
        <v>https://songcong.thainguyen.gov.vn/xa-tan-quang</v>
      </c>
      <c r="D5181" t="str">
        <v>-</v>
      </c>
      <c r="E5181" t="str">
        <v>-</v>
      </c>
      <c r="F5181" t="str">
        <v>-</v>
      </c>
      <c r="G5181" t="str">
        <v>-</v>
      </c>
    </row>
    <row r="5182">
      <c r="A5182">
        <v>5181</v>
      </c>
      <c r="B5182">
        <f>HYPERLINK("https://www.facebook.com/tuoitrebachquang/", "Công an phường Bách Quang  tỉnh Thái Nguyên")</f>
      </c>
      <c r="C5182" t="str">
        <v>https://www.facebook.com/tuoitrebachquang/</v>
      </c>
      <c r="D5182" t="str">
        <v>-</v>
      </c>
      <c r="E5182" t="str">
        <v/>
      </c>
      <c r="F5182" t="str">
        <v>-</v>
      </c>
      <c r="G5182" t="str">
        <v>-</v>
      </c>
    </row>
    <row r="5183">
      <c r="A5183">
        <v>5182</v>
      </c>
      <c r="B5183">
        <f>HYPERLINK("https://songcong.thainguyen.gov.vn/phuong-bach-quang", "UBND Ủy ban nhân dân phường Bách Quang  tỉnh Thái Nguyên")</f>
      </c>
      <c r="C5183" t="str">
        <v>https://songcong.thainguyen.gov.vn/phuong-bach-quang</v>
      </c>
      <c r="D5183" t="str">
        <v>-</v>
      </c>
      <c r="E5183" t="str">
        <v>-</v>
      </c>
      <c r="F5183" t="str">
        <v>-</v>
      </c>
      <c r="G5183" t="str">
        <v>-</v>
      </c>
    </row>
    <row r="5184">
      <c r="A5184">
        <v>5183</v>
      </c>
      <c r="B5184" t="str">
        <v>Công an xã Bình Sơn  tỉnh Thái Nguyên</v>
      </c>
      <c r="C5184" t="str">
        <v>-</v>
      </c>
      <c r="D5184" t="str">
        <v>-</v>
      </c>
      <c r="E5184" t="str">
        <v/>
      </c>
      <c r="F5184" t="str">
        <v>-</v>
      </c>
      <c r="G5184" t="str">
        <v>-</v>
      </c>
    </row>
    <row r="5185">
      <c r="A5185">
        <v>5184</v>
      </c>
      <c r="B5185">
        <f>HYPERLINK("https://songcong.thainguyen.gov.vn/xa-binh-son", "UBND Ủy ban nhân dân xã Bình Sơn  tỉnh Thái Nguyên")</f>
      </c>
      <c r="C5185" t="str">
        <v>https://songcong.thainguyen.gov.vn/xa-binh-son</v>
      </c>
      <c r="D5185" t="str">
        <v>-</v>
      </c>
      <c r="E5185" t="str">
        <v>-</v>
      </c>
      <c r="F5185" t="str">
        <v>-</v>
      </c>
      <c r="G5185" t="str">
        <v>-</v>
      </c>
    </row>
    <row r="5186">
      <c r="A5186">
        <v>5185</v>
      </c>
      <c r="B5186" t="str">
        <v>Công an xã Bá Xuyên  tỉnh Thái Nguyên</v>
      </c>
      <c r="C5186" t="str">
        <v>-</v>
      </c>
      <c r="D5186" t="str">
        <v>-</v>
      </c>
      <c r="E5186" t="str">
        <v/>
      </c>
      <c r="F5186" t="str">
        <v>-</v>
      </c>
      <c r="G5186" t="str">
        <v>-</v>
      </c>
    </row>
    <row r="5187">
      <c r="A5187">
        <v>5186</v>
      </c>
      <c r="B5187">
        <f>HYPERLINK("https://songcong.thainguyen.gov.vn/xa-ba-xuyen", "UBND Ủy ban nhân dân xã Bá Xuyên  tỉnh Thái Nguyên")</f>
      </c>
      <c r="C5187" t="str">
        <v>https://songcong.thainguyen.gov.vn/xa-ba-xuyen</v>
      </c>
      <c r="D5187" t="str">
        <v>-</v>
      </c>
      <c r="E5187" t="str">
        <v>-</v>
      </c>
      <c r="F5187" t="str">
        <v>-</v>
      </c>
      <c r="G5187" t="str">
        <v>-</v>
      </c>
    </row>
    <row r="5188">
      <c r="A5188">
        <v>5187</v>
      </c>
      <c r="B5188" t="str">
        <v>Công an thị trấn Chợ Chu  tỉnh Thái Nguyên</v>
      </c>
      <c r="C5188" t="str">
        <v>-</v>
      </c>
      <c r="D5188" t="str">
        <v>-</v>
      </c>
      <c r="E5188" t="str">
        <v/>
      </c>
      <c r="F5188" t="str">
        <v>-</v>
      </c>
      <c r="G5188" t="str">
        <v>-</v>
      </c>
    </row>
    <row r="5189">
      <c r="A5189">
        <v>5188</v>
      </c>
      <c r="B5189">
        <f>HYPERLINK("https://chochu.dinhhoa.thainguyen.gov.vn/tin-xa-phuong", "UBND Ủy ban nhân dân thị trấn Chợ Chu  tỉnh Thái Nguyên")</f>
      </c>
      <c r="C5189" t="str">
        <v>https://chochu.dinhhoa.thainguyen.gov.vn/tin-xa-phuong</v>
      </c>
      <c r="D5189" t="str">
        <v>-</v>
      </c>
      <c r="E5189" t="str">
        <v>-</v>
      </c>
      <c r="F5189" t="str">
        <v>-</v>
      </c>
      <c r="G5189" t="str">
        <v>-</v>
      </c>
    </row>
    <row r="5190">
      <c r="A5190">
        <v>5189</v>
      </c>
      <c r="B5190" t="str">
        <v>Công an xã Linh Thông  tỉnh Thái Nguyên</v>
      </c>
      <c r="C5190" t="str">
        <v>-</v>
      </c>
      <c r="D5190" t="str">
        <v>-</v>
      </c>
      <c r="E5190" t="str">
        <v/>
      </c>
      <c r="F5190" t="str">
        <v>-</v>
      </c>
      <c r="G5190" t="str">
        <v>-</v>
      </c>
    </row>
    <row r="5191">
      <c r="A5191">
        <v>5190</v>
      </c>
      <c r="B5191">
        <f>HYPERLINK("https://linhthong.dinhhoa.thainguyen.gov.vn/tin-xa-phuong", "UBND Ủy ban nhân dân xã Linh Thông  tỉnh Thái Nguyên")</f>
      </c>
      <c r="C5191" t="str">
        <v>https://linhthong.dinhhoa.thainguyen.gov.vn/tin-xa-phuong</v>
      </c>
      <c r="D5191" t="str">
        <v>-</v>
      </c>
      <c r="E5191" t="str">
        <v>-</v>
      </c>
      <c r="F5191" t="str">
        <v>-</v>
      </c>
      <c r="G5191" t="str">
        <v>-</v>
      </c>
    </row>
    <row r="5192">
      <c r="A5192">
        <v>5191</v>
      </c>
      <c r="B5192" t="str">
        <v>Công an xã Lam Vỹ  tỉnh Thái Nguyên</v>
      </c>
      <c r="C5192" t="str">
        <v>-</v>
      </c>
      <c r="D5192" t="str">
        <v>-</v>
      </c>
      <c r="E5192" t="str">
        <v/>
      </c>
      <c r="F5192" t="str">
        <v>-</v>
      </c>
      <c r="G5192" t="str">
        <v>-</v>
      </c>
    </row>
    <row r="5193">
      <c r="A5193">
        <v>5192</v>
      </c>
      <c r="B5193">
        <f>HYPERLINK("https://lamvy.dinhhoa.thainguyen.gov.vn/", "UBND Ủy ban nhân dân xã Lam Vỹ  tỉnh Thái Nguyên")</f>
      </c>
      <c r="C5193" t="str">
        <v>https://lamvy.dinhhoa.thainguyen.gov.vn/</v>
      </c>
      <c r="D5193" t="str">
        <v>-</v>
      </c>
      <c r="E5193" t="str">
        <v>-</v>
      </c>
      <c r="F5193" t="str">
        <v>-</v>
      </c>
      <c r="G5193" t="str">
        <v>-</v>
      </c>
    </row>
    <row r="5194">
      <c r="A5194">
        <v>5193</v>
      </c>
      <c r="B5194">
        <f>HYPERLINK("https://www.facebook.com/groups/776389996270551/?locale=vi_VN", "Công an xã Quy Kỳ  tỉnh Thái Nguyên")</f>
      </c>
      <c r="C5194" t="str">
        <v>https://www.facebook.com/groups/776389996270551/?locale=vi_VN</v>
      </c>
      <c r="D5194" t="str">
        <v>-</v>
      </c>
      <c r="E5194" t="str">
        <v/>
      </c>
      <c r="F5194" t="str">
        <v>-</v>
      </c>
      <c r="G5194" t="str">
        <v>-</v>
      </c>
    </row>
    <row r="5195">
      <c r="A5195">
        <v>5194</v>
      </c>
      <c r="B5195">
        <f>HYPERLINK("https://quyky.dinhhoa.thainguyen.gov.vn/", "UBND Ủy ban nhân dân xã Quy Kỳ  tỉnh Thái Nguyên")</f>
      </c>
      <c r="C5195" t="str">
        <v>https://quyky.dinhhoa.thainguyen.gov.vn/</v>
      </c>
      <c r="D5195" t="str">
        <v>-</v>
      </c>
      <c r="E5195" t="str">
        <v>-</v>
      </c>
      <c r="F5195" t="str">
        <v>-</v>
      </c>
      <c r="G5195" t="str">
        <v>-</v>
      </c>
    </row>
    <row r="5196">
      <c r="A5196">
        <v>5195</v>
      </c>
      <c r="B5196">
        <f>HYPERLINK("https://www.facebook.com/p/C%C3%B4ng-an-ph%C6%B0%E1%BB%9Dng-T%C3%A2n-Th%E1%BB%8Bnh-100076493200543/", "Công an xã Tân Thịnh  tỉnh Thái Nguyên")</f>
      </c>
      <c r="C5196" t="str">
        <v>https://www.facebook.com/p/C%C3%B4ng-an-ph%C6%B0%E1%BB%9Dng-T%C3%A2n-Th%E1%BB%8Bnh-100076493200543/</v>
      </c>
      <c r="D5196" t="str">
        <v>-</v>
      </c>
      <c r="E5196" t="str">
        <v/>
      </c>
      <c r="F5196" t="str">
        <v>-</v>
      </c>
      <c r="G5196" t="str">
        <v>-</v>
      </c>
    </row>
    <row r="5197">
      <c r="A5197">
        <v>5196</v>
      </c>
      <c r="B5197">
        <f>HYPERLINK("https://tanthinh.dinhhoa.thainguyen.gov.vn/", "UBND Ủy ban nhân dân xã Tân Thịnh  tỉnh Thái Nguyên")</f>
      </c>
      <c r="C5197" t="str">
        <v>https://tanthinh.dinhhoa.thainguyen.gov.vn/</v>
      </c>
      <c r="D5197" t="str">
        <v>-</v>
      </c>
      <c r="E5197" t="str">
        <v>-</v>
      </c>
      <c r="F5197" t="str">
        <v>-</v>
      </c>
      <c r="G5197" t="str">
        <v>-</v>
      </c>
    </row>
    <row r="5198">
      <c r="A5198">
        <v>5197</v>
      </c>
      <c r="B5198">
        <f>HYPERLINK("https://www.facebook.com/people/C%C3%B4ng-an-x%C3%A3-Kim-Ph%C6%B0%E1%BB%A3ng-%C4%90%E1%BB%8Bnh-Ho%C3%A1-Th%C3%A1i-Nguy%C3%AAn/100072127445193/", "Công an xã Kim Phượng  tỉnh Thái Nguyên")</f>
      </c>
      <c r="C5198" t="str">
        <v>https://www.facebook.com/people/C%C3%B4ng-an-x%C3%A3-Kim-Ph%C6%B0%E1%BB%A3ng-%C4%90%E1%BB%8Bnh-Ho%C3%A1-Th%C3%A1i-Nguy%C3%AAn/100072127445193/</v>
      </c>
      <c r="D5198" t="str">
        <v>-</v>
      </c>
      <c r="E5198" t="str">
        <v/>
      </c>
      <c r="F5198" t="str">
        <v>-</v>
      </c>
      <c r="G5198" t="str">
        <v>-</v>
      </c>
    </row>
    <row r="5199">
      <c r="A5199">
        <v>5198</v>
      </c>
      <c r="B5199">
        <f>HYPERLINK("https://kimphuong.dinhhoa.thainguyen.gov.vn/so-do-bo-may/-/asset_publisher/eGsIgM8MURSf/content/lanh-ao-ubnd-xa-kim-phuong?inheritRedirect=true", "UBND Ủy ban nhân dân xã Kim Phượng  tỉnh Thái Nguyên")</f>
      </c>
      <c r="C5199" t="str">
        <v>https://kimphuong.dinhhoa.thainguyen.gov.vn/so-do-bo-may/-/asset_publisher/eGsIgM8MURSf/content/lanh-ao-ubnd-xa-kim-phuong?inheritRedirect=true</v>
      </c>
      <c r="D5199" t="str">
        <v>-</v>
      </c>
      <c r="E5199" t="str">
        <v>-</v>
      </c>
      <c r="F5199" t="str">
        <v>-</v>
      </c>
      <c r="G5199" t="str">
        <v>-</v>
      </c>
    </row>
    <row r="5200">
      <c r="A5200">
        <v>5199</v>
      </c>
      <c r="B5200">
        <f>HYPERLINK("https://www.facebook.com/2989507731110964", "Công an xã Bảo Linh  tỉnh Thái Nguyên")</f>
      </c>
      <c r="C5200" t="str">
        <v>https://www.facebook.com/2989507731110964</v>
      </c>
      <c r="D5200" t="str">
        <v>-</v>
      </c>
      <c r="E5200" t="str">
        <v/>
      </c>
      <c r="F5200" t="str">
        <v>-</v>
      </c>
      <c r="G5200" t="str">
        <v>-</v>
      </c>
    </row>
    <row r="5201">
      <c r="A5201">
        <v>5200</v>
      </c>
      <c r="B5201">
        <f>HYPERLINK("https://baolinh.dinhhoa.thainguyen.gov.vn/uy-ban-nhan-dan", "UBND Ủy ban nhân dân xã Bảo Linh  tỉnh Thái Nguyên")</f>
      </c>
      <c r="C5201" t="str">
        <v>https://baolinh.dinhhoa.thainguyen.gov.vn/uy-ban-nhan-dan</v>
      </c>
      <c r="D5201" t="str">
        <v>-</v>
      </c>
      <c r="E5201" t="str">
        <v>-</v>
      </c>
      <c r="F5201" t="str">
        <v>-</v>
      </c>
      <c r="G5201" t="str">
        <v>-</v>
      </c>
    </row>
    <row r="5202">
      <c r="A5202">
        <v>5201</v>
      </c>
      <c r="B5202" t="str">
        <v>Công an xã Kim Sơn  tỉnh Thái Nguyên</v>
      </c>
      <c r="C5202" t="str">
        <v>-</v>
      </c>
      <c r="D5202" t="str">
        <v>-</v>
      </c>
      <c r="E5202" t="str">
        <v/>
      </c>
      <c r="F5202" t="str">
        <v>-</v>
      </c>
      <c r="G5202" t="str">
        <v>-</v>
      </c>
    </row>
    <row r="5203">
      <c r="A5203">
        <v>5202</v>
      </c>
      <c r="B5203">
        <f>HYPERLINK("https://kimson.sontay.hanoi.gov.vn/tin-chi-tiet/-/chi-tiet/uy-ban-nhan-dan-xa-kim-son-6047-1307.html", "UBND Ủy ban nhân dân xã Kim Sơn  tỉnh Thái Nguyên")</f>
      </c>
      <c r="C5203" t="str">
        <v>https://kimson.sontay.hanoi.gov.vn/tin-chi-tiet/-/chi-tiet/uy-ban-nhan-dan-xa-kim-son-6047-1307.html</v>
      </c>
      <c r="D5203" t="str">
        <v>-</v>
      </c>
      <c r="E5203" t="str">
        <v>-</v>
      </c>
      <c r="F5203" t="str">
        <v>-</v>
      </c>
      <c r="G5203" t="str">
        <v>-</v>
      </c>
    </row>
    <row r="5204">
      <c r="A5204">
        <v>5203</v>
      </c>
      <c r="B5204" t="str">
        <v>Công an xã Phúc Chu  tỉnh Thái Nguyên</v>
      </c>
      <c r="C5204" t="str">
        <v>-</v>
      </c>
      <c r="D5204" t="str">
        <v>-</v>
      </c>
      <c r="E5204" t="str">
        <v/>
      </c>
      <c r="F5204" t="str">
        <v>-</v>
      </c>
      <c r="G5204" t="str">
        <v>-</v>
      </c>
    </row>
    <row r="5205">
      <c r="A5205">
        <v>5204</v>
      </c>
      <c r="B5205">
        <f>HYPERLINK("https://phucchu.dinhhoa.thainguyen.gov.vn/uy-ban-nhan-dan", "UBND Ủy ban nhân dân xã Phúc Chu  tỉnh Thái Nguyên")</f>
      </c>
      <c r="C5205" t="str">
        <v>https://phucchu.dinhhoa.thainguyen.gov.vn/uy-ban-nhan-dan</v>
      </c>
      <c r="D5205" t="str">
        <v>-</v>
      </c>
      <c r="E5205" t="str">
        <v>-</v>
      </c>
      <c r="F5205" t="str">
        <v>-</v>
      </c>
      <c r="G5205" t="str">
        <v>-</v>
      </c>
    </row>
    <row r="5206">
      <c r="A5206">
        <v>5205</v>
      </c>
      <c r="B5206">
        <f>HYPERLINK("https://www.facebook.com/p/C%C3%B4ng-an-x%C3%A3-T%C3%A2n-D%C6%B0%C6%A1ng-huy%E1%BB%87n-%C4%90%E1%BB%8Bnh-Ho%C3%A1-t%E1%BB%89nh-Th%C3%A1i-Nguy%C3%AAn-100071393120467/", "Công an xã Tân Dương  tỉnh Thái Nguyên")</f>
      </c>
      <c r="C5206" t="str">
        <v>https://www.facebook.com/p/C%C3%B4ng-an-x%C3%A3-T%C3%A2n-D%C6%B0%C6%A1ng-huy%E1%BB%87n-%C4%90%E1%BB%8Bnh-Ho%C3%A1-t%E1%BB%89nh-Th%C3%A1i-Nguy%C3%AAn-100071393120467/</v>
      </c>
      <c r="D5206" t="str">
        <v>-</v>
      </c>
      <c r="E5206" t="str">
        <v/>
      </c>
      <c r="F5206" t="str">
        <v>-</v>
      </c>
      <c r="G5206" t="str">
        <v>-</v>
      </c>
    </row>
    <row r="5207">
      <c r="A5207">
        <v>5206</v>
      </c>
      <c r="B5207">
        <f>HYPERLINK("https://tanduong.dinhhoa.thainguyen.gov.vn/gioi-thieu-chung", "UBND Ủy ban nhân dân xã Tân Dương  tỉnh Thái Nguyên")</f>
      </c>
      <c r="C5207" t="str">
        <v>https://tanduong.dinhhoa.thainguyen.gov.vn/gioi-thieu-chung</v>
      </c>
      <c r="D5207" t="str">
        <v>-</v>
      </c>
      <c r="E5207" t="str">
        <v>-</v>
      </c>
      <c r="F5207" t="str">
        <v>-</v>
      </c>
      <c r="G5207" t="str">
        <v>-</v>
      </c>
    </row>
    <row r="5208">
      <c r="A5208">
        <v>5207</v>
      </c>
      <c r="B5208">
        <f>HYPERLINK("https://www.facebook.com/p/C%C3%B4ng-an-x%C3%A3-Ph%C6%B0%E1%BB%A3ng-Ti%E1%BA%BFn-%C4%90%E1%BB%8Bnh-Ho%C3%A1-Th%C3%A1i-Nguy%C3%AAn-100068574161397/", "Công an xã Phượng Tiến  tỉnh Thái Nguyên")</f>
      </c>
      <c r="C5208" t="str">
        <v>https://www.facebook.com/p/C%C3%B4ng-an-x%C3%A3-Ph%C6%B0%E1%BB%A3ng-Ti%E1%BA%BFn-%C4%90%E1%BB%8Bnh-Ho%C3%A1-Th%C3%A1i-Nguy%C3%AAn-100068574161397/</v>
      </c>
      <c r="D5208" t="str">
        <v>-</v>
      </c>
      <c r="E5208" t="str">
        <v/>
      </c>
      <c r="F5208" t="str">
        <v>-</v>
      </c>
      <c r="G5208" t="str">
        <v>-</v>
      </c>
    </row>
    <row r="5209">
      <c r="A5209">
        <v>5208</v>
      </c>
      <c r="B5209">
        <f>HYPERLINK("https://phuongtien.dinhhoa.thainguyen.gov.vn/tin-xa-phuong", "UBND Ủy ban nhân dân xã Phượng Tiến  tỉnh Thái Nguyên")</f>
      </c>
      <c r="C5209" t="str">
        <v>https://phuongtien.dinhhoa.thainguyen.gov.vn/tin-xa-phuong</v>
      </c>
      <c r="D5209" t="str">
        <v>-</v>
      </c>
      <c r="E5209" t="str">
        <v>-</v>
      </c>
      <c r="F5209" t="str">
        <v>-</v>
      </c>
      <c r="G5209" t="str">
        <v>-</v>
      </c>
    </row>
    <row r="5210">
      <c r="A5210">
        <v>5209</v>
      </c>
      <c r="B5210">
        <f>HYPERLINK("https://www.facebook.com/p/C%C3%B4ng-an-x%C3%A3-B%E1%BA%A3o-C%C6%B0%E1%BB%9Dng-%C4%90%E1%BB%8Bnh-Ho%C3%A1-Th%C3%A1i-Nguy%C3%AAn-100068368688073/", "Công an xã Bảo Cường  tỉnh Thái Nguyên")</f>
      </c>
      <c r="C5210" t="str">
        <v>https://www.facebook.com/p/C%C3%B4ng-an-x%C3%A3-B%E1%BA%A3o-C%C6%B0%E1%BB%9Dng-%C4%90%E1%BB%8Bnh-Ho%C3%A1-Th%C3%A1i-Nguy%C3%AAn-100068368688073/</v>
      </c>
      <c r="D5210" t="str">
        <v>-</v>
      </c>
      <c r="E5210" t="str">
        <v/>
      </c>
      <c r="F5210" t="str">
        <v>-</v>
      </c>
      <c r="G5210" t="str">
        <v>-</v>
      </c>
    </row>
    <row r="5211">
      <c r="A5211">
        <v>5210</v>
      </c>
      <c r="B5211">
        <f>HYPERLINK("https://baocuong.dinhhoa.thainguyen.gov.vn/", "UBND Ủy ban nhân dân xã Bảo Cường  tỉnh Thái Nguyên")</f>
      </c>
      <c r="C5211" t="str">
        <v>https://baocuong.dinhhoa.thainguyen.gov.vn/</v>
      </c>
      <c r="D5211" t="str">
        <v>-</v>
      </c>
      <c r="E5211" t="str">
        <v>-</v>
      </c>
      <c r="F5211" t="str">
        <v>-</v>
      </c>
      <c r="G5211" t="str">
        <v>-</v>
      </c>
    </row>
    <row r="5212">
      <c r="A5212">
        <v>5211</v>
      </c>
      <c r="B5212" t="str">
        <v>Công an xã Đồng Thịnh  tỉnh Thái Nguyên</v>
      </c>
      <c r="C5212" t="str">
        <v>-</v>
      </c>
      <c r="D5212" t="str">
        <v>-</v>
      </c>
      <c r="E5212" t="str">
        <v/>
      </c>
      <c r="F5212" t="str">
        <v>-</v>
      </c>
      <c r="G5212" t="str">
        <v>-</v>
      </c>
    </row>
    <row r="5213">
      <c r="A5213">
        <v>5212</v>
      </c>
      <c r="B5213">
        <f>HYPERLINK("https://dongthinh.dinhhoa.thainguyen.gov.vn/tin-xa-phuong", "UBND Ủy ban nhân dân xã Đồng Thịnh  tỉnh Thái Nguyên")</f>
      </c>
      <c r="C5213" t="str">
        <v>https://dongthinh.dinhhoa.thainguyen.gov.vn/tin-xa-phuong</v>
      </c>
      <c r="D5213" t="str">
        <v>-</v>
      </c>
      <c r="E5213" t="str">
        <v>-</v>
      </c>
      <c r="F5213" t="str">
        <v>-</v>
      </c>
      <c r="G5213" t="str">
        <v>-</v>
      </c>
    </row>
    <row r="5214">
      <c r="A5214">
        <v>5213</v>
      </c>
      <c r="B5214" t="str">
        <v>Công an xã Định Biên  tỉnh Thái Nguyên</v>
      </c>
      <c r="C5214" t="str">
        <v>-</v>
      </c>
      <c r="D5214" t="str">
        <v>-</v>
      </c>
      <c r="E5214" t="str">
        <v/>
      </c>
      <c r="F5214" t="str">
        <v>-</v>
      </c>
      <c r="G5214" t="str">
        <v>-</v>
      </c>
    </row>
    <row r="5215">
      <c r="A5215">
        <v>5214</v>
      </c>
      <c r="B5215">
        <f>HYPERLINK("https://dinhbien.dinhhoa.thainguyen.gov.vn/", "UBND Ủy ban nhân dân xã Định Biên  tỉnh Thái Nguyên")</f>
      </c>
      <c r="C5215" t="str">
        <v>https://dinhbien.dinhhoa.thainguyen.gov.vn/</v>
      </c>
      <c r="D5215" t="str">
        <v>-</v>
      </c>
      <c r="E5215" t="str">
        <v>-</v>
      </c>
      <c r="F5215" t="str">
        <v>-</v>
      </c>
      <c r="G5215" t="str">
        <v>-</v>
      </c>
    </row>
    <row r="5216">
      <c r="A5216">
        <v>5215</v>
      </c>
      <c r="B5216">
        <f>HYPERLINK("https://www.facebook.com/Caxthanhdinh/", "Công an xã Thanh Định  tỉnh Thái Nguyên")</f>
      </c>
      <c r="C5216" t="str">
        <v>https://www.facebook.com/Caxthanhdinh/</v>
      </c>
      <c r="D5216" t="str">
        <v>-</v>
      </c>
      <c r="E5216" t="str">
        <v/>
      </c>
      <c r="F5216" t="str">
        <v>-</v>
      </c>
      <c r="G5216" t="str">
        <v>-</v>
      </c>
    </row>
    <row r="5217">
      <c r="A5217">
        <v>5216</v>
      </c>
      <c r="B5217">
        <f>HYPERLINK("https://thanhdinh.dinhhoa.thainguyen.gov.vn/tin-xa-phuong", "UBND Ủy ban nhân dân xã Thanh Định  tỉnh Thái Nguyên")</f>
      </c>
      <c r="C5217" t="str">
        <v>https://thanhdinh.dinhhoa.thainguyen.gov.vn/tin-xa-phuong</v>
      </c>
      <c r="D5217" t="str">
        <v>-</v>
      </c>
      <c r="E5217" t="str">
        <v>-</v>
      </c>
      <c r="F5217" t="str">
        <v>-</v>
      </c>
      <c r="G5217" t="str">
        <v>-</v>
      </c>
    </row>
    <row r="5218">
      <c r="A5218">
        <v>5217</v>
      </c>
      <c r="B5218" t="str">
        <v>Công an xã Trung Hội  tỉnh Thái Nguyên</v>
      </c>
      <c r="C5218" t="str">
        <v>-</v>
      </c>
      <c r="D5218" t="str">
        <v>-</v>
      </c>
      <c r="E5218" t="str">
        <v/>
      </c>
      <c r="F5218" t="str">
        <v>-</v>
      </c>
      <c r="G5218" t="str">
        <v>-</v>
      </c>
    </row>
    <row r="5219">
      <c r="A5219">
        <v>5218</v>
      </c>
      <c r="B5219">
        <f>HYPERLINK("http://trunghoi.dinhhoa.thainguyen.gov.vn/so-do-bo-may/-/asset_publisher/JJBsrmKSKi98/content/lanh-ao-ubnd-xa-trung-hoi?inheritRedirect=true", "UBND Ủy ban nhân dân xã Trung Hội  tỉnh Thái Nguyên")</f>
      </c>
      <c r="C5219" t="str">
        <v>http://trunghoi.dinhhoa.thainguyen.gov.vn/so-do-bo-may/-/asset_publisher/JJBsrmKSKi98/content/lanh-ao-ubnd-xa-trung-hoi?inheritRedirect=true</v>
      </c>
      <c r="D5219" t="str">
        <v>-</v>
      </c>
      <c r="E5219" t="str">
        <v>-</v>
      </c>
      <c r="F5219" t="str">
        <v>-</v>
      </c>
      <c r="G5219" t="str">
        <v>-</v>
      </c>
    </row>
    <row r="5220">
      <c r="A5220">
        <v>5219</v>
      </c>
      <c r="B5220">
        <f>HYPERLINK("https://www.facebook.com/p/C%C3%B4ng-an-x%C3%A3-Trung-L%C6%B0%C6%A1ng-%C4%90%E1%BB%8Bnh-H%C3%B3a-Th%C3%A1i-Nguy%C3%AAn-100068996101343/", "Công an xã Trung Lương  tỉnh Thái Nguyên")</f>
      </c>
      <c r="C5220" t="str">
        <v>https://www.facebook.com/p/C%C3%B4ng-an-x%C3%A3-Trung-L%C6%B0%C6%A1ng-%C4%90%E1%BB%8Bnh-H%C3%B3a-Th%C3%A1i-Nguy%C3%AAn-100068996101343/</v>
      </c>
      <c r="D5220" t="str">
        <v>-</v>
      </c>
      <c r="E5220" t="str">
        <v/>
      </c>
      <c r="F5220" t="str">
        <v>-</v>
      </c>
      <c r="G5220" t="str">
        <v>-</v>
      </c>
    </row>
    <row r="5221">
      <c r="A5221">
        <v>5220</v>
      </c>
      <c r="B5221">
        <f>HYPERLINK("https://trungluong.dinhhoa.thainguyen.gov.vn/tin-xa-phuong", "UBND Ủy ban nhân dân xã Trung Lương  tỉnh Thái Nguyên")</f>
      </c>
      <c r="C5221" t="str">
        <v>https://trungluong.dinhhoa.thainguyen.gov.vn/tin-xa-phuong</v>
      </c>
      <c r="D5221" t="str">
        <v>-</v>
      </c>
      <c r="E5221" t="str">
        <v>-</v>
      </c>
      <c r="F5221" t="str">
        <v>-</v>
      </c>
      <c r="G5221" t="str">
        <v>-</v>
      </c>
    </row>
    <row r="5222">
      <c r="A5222">
        <v>5221</v>
      </c>
      <c r="B5222">
        <f>HYPERLINK("https://www.facebook.com/p/C%C3%B4ng-an-x%C3%A3-B%C3%ACnh-Y%C3%AAn-100067540547454/", "Công an xã Bình Yên  tỉnh Thái Nguyên")</f>
      </c>
      <c r="C5222" t="str">
        <v>https://www.facebook.com/p/C%C3%B4ng-an-x%C3%A3-B%C3%ACnh-Y%C3%AAn-100067540547454/</v>
      </c>
      <c r="D5222" t="str">
        <v>-</v>
      </c>
      <c r="E5222" t="str">
        <v/>
      </c>
      <c r="F5222" t="str">
        <v>-</v>
      </c>
      <c r="G5222" t="str">
        <v>-</v>
      </c>
    </row>
    <row r="5223">
      <c r="A5223">
        <v>5222</v>
      </c>
      <c r="B5223">
        <f>HYPERLINK("https://binhyen.dinhhoa.thainguyen.gov.vn/uy-ban-nhan-dan", "UBND Ủy ban nhân dân xã Bình Yên  tỉnh Thái Nguyên")</f>
      </c>
      <c r="C5223" t="str">
        <v>https://binhyen.dinhhoa.thainguyen.gov.vn/uy-ban-nhan-dan</v>
      </c>
      <c r="D5223" t="str">
        <v>-</v>
      </c>
      <c r="E5223" t="str">
        <v>-</v>
      </c>
      <c r="F5223" t="str">
        <v>-</v>
      </c>
      <c r="G5223" t="str">
        <v>-</v>
      </c>
    </row>
    <row r="5224">
      <c r="A5224">
        <v>5223</v>
      </c>
      <c r="B5224" t="str">
        <v>Công an xã Điềm Mặc  tỉnh Thái Nguyên</v>
      </c>
      <c r="C5224" t="str">
        <v>-</v>
      </c>
      <c r="D5224" t="str">
        <v>-</v>
      </c>
      <c r="E5224" t="str">
        <v/>
      </c>
      <c r="F5224" t="str">
        <v>-</v>
      </c>
      <c r="G5224" t="str">
        <v>-</v>
      </c>
    </row>
    <row r="5225">
      <c r="A5225">
        <v>5224</v>
      </c>
      <c r="B5225">
        <f>HYPERLINK("https://diemmac.dinhhoa.thainguyen.gov.vn/uy-ban-nhan-dan", "UBND Ủy ban nhân dân xã Điềm Mặc  tỉnh Thái Nguyên")</f>
      </c>
      <c r="C5225" t="str">
        <v>https://diemmac.dinhhoa.thainguyen.gov.vn/uy-ban-nhan-dan</v>
      </c>
      <c r="D5225" t="str">
        <v>-</v>
      </c>
      <c r="E5225" t="str">
        <v>-</v>
      </c>
      <c r="F5225" t="str">
        <v>-</v>
      </c>
      <c r="G5225" t="str">
        <v>-</v>
      </c>
    </row>
    <row r="5226">
      <c r="A5226">
        <v>5225</v>
      </c>
      <c r="B5226" t="str">
        <v>Công an xã Phú Tiến  tỉnh Thái Nguyên</v>
      </c>
      <c r="C5226" t="str">
        <v>-</v>
      </c>
      <c r="D5226" t="str">
        <v>-</v>
      </c>
      <c r="E5226" t="str">
        <v/>
      </c>
      <c r="F5226" t="str">
        <v>-</v>
      </c>
      <c r="G5226" t="str">
        <v>-</v>
      </c>
    </row>
    <row r="5227">
      <c r="A5227">
        <v>5226</v>
      </c>
      <c r="B5227">
        <f>HYPERLINK("https://phutien.dinhhoa.thainguyen.gov.vn/tin-xa-phuong", "UBND Ủy ban nhân dân xã Phú Tiến  tỉnh Thái Nguyên")</f>
      </c>
      <c r="C5227" t="str">
        <v>https://phutien.dinhhoa.thainguyen.gov.vn/tin-xa-phuong</v>
      </c>
      <c r="D5227" t="str">
        <v>-</v>
      </c>
      <c r="E5227" t="str">
        <v>-</v>
      </c>
      <c r="F5227" t="str">
        <v>-</v>
      </c>
      <c r="G5227" t="str">
        <v>-</v>
      </c>
    </row>
    <row r="5228">
      <c r="A5228">
        <v>5227</v>
      </c>
      <c r="B5228">
        <f>HYPERLINK("https://www.facebook.com/p/C%C3%B4ng-an-x%C3%A3-B%E1%BB%99c-Nhi%C3%AAu-huy%E1%BB%87n-%C4%90%E1%BB%8Bnh-Ho%C3%A1-t%E1%BB%89nh-Th%C3%A1i-Nguy%C3%AAn-100069541244812/", "Công an xã Bộc Nhiêu  tỉnh Thái Nguyên")</f>
      </c>
      <c r="C5228" t="str">
        <v>https://www.facebook.com/p/C%C3%B4ng-an-x%C3%A3-B%E1%BB%99c-Nhi%C3%AAu-huy%E1%BB%87n-%C4%90%E1%BB%8Bnh-Ho%C3%A1-t%E1%BB%89nh-Th%C3%A1i-Nguy%C3%AAn-100069541244812/</v>
      </c>
      <c r="D5228" t="str">
        <v>-</v>
      </c>
      <c r="E5228" t="str">
        <v/>
      </c>
      <c r="F5228" t="str">
        <v>-</v>
      </c>
      <c r="G5228" t="str">
        <v>-</v>
      </c>
    </row>
    <row r="5229">
      <c r="A5229">
        <v>5228</v>
      </c>
      <c r="B5229">
        <f>HYPERLINK("http://bocnhieu.dinhhoa.thainguyen.gov.vn/tin-xa-phuong", "UBND Ủy ban nhân dân xã Bộc Nhiêu  tỉnh Thái Nguyên")</f>
      </c>
      <c r="C5229" t="str">
        <v>http://bocnhieu.dinhhoa.thainguyen.gov.vn/tin-xa-phuong</v>
      </c>
      <c r="D5229" t="str">
        <v>-</v>
      </c>
      <c r="E5229" t="str">
        <v>-</v>
      </c>
      <c r="F5229" t="str">
        <v>-</v>
      </c>
      <c r="G5229" t="str">
        <v>-</v>
      </c>
    </row>
    <row r="5230">
      <c r="A5230">
        <v>5229</v>
      </c>
      <c r="B5230">
        <f>HYPERLINK("https://www.facebook.com/p/C%C3%B4ng-an-x%C3%A3-S%C6%A1n-Ph%C3%BA-100069595145955/", "Công an xã Sơn Phú  tỉnh Thái Nguyên")</f>
      </c>
      <c r="C5230" t="str">
        <v>https://www.facebook.com/p/C%C3%B4ng-an-x%C3%A3-S%C6%A1n-Ph%C3%BA-100069595145955/</v>
      </c>
      <c r="D5230" t="str">
        <v>-</v>
      </c>
      <c r="E5230" t="str">
        <v/>
      </c>
      <c r="F5230" t="str">
        <v>-</v>
      </c>
      <c r="G5230" t="str">
        <v>-</v>
      </c>
    </row>
    <row r="5231">
      <c r="A5231">
        <v>5230</v>
      </c>
      <c r="B5231">
        <f>HYPERLINK("https://sonphu.dinhhoa.thainguyen.gov.vn/tin-xa-phuong", "UBND Ủy ban nhân dân xã Sơn Phú  tỉnh Thái Nguyên")</f>
      </c>
      <c r="C5231" t="str">
        <v>https://sonphu.dinhhoa.thainguyen.gov.vn/tin-xa-phuong</v>
      </c>
      <c r="D5231" t="str">
        <v>-</v>
      </c>
      <c r="E5231" t="str">
        <v>-</v>
      </c>
      <c r="F5231" t="str">
        <v>-</v>
      </c>
      <c r="G5231" t="str">
        <v>-</v>
      </c>
    </row>
    <row r="5232">
      <c r="A5232">
        <v>5231</v>
      </c>
      <c r="B5232" t="str">
        <v>Công an xã Phú Đình  tỉnh Thái Nguyên</v>
      </c>
      <c r="C5232" t="str">
        <v>-</v>
      </c>
      <c r="D5232" t="str">
        <v>-</v>
      </c>
      <c r="E5232" t="str">
        <v/>
      </c>
      <c r="F5232" t="str">
        <v>-</v>
      </c>
      <c r="G5232" t="str">
        <v>-</v>
      </c>
    </row>
    <row r="5233">
      <c r="A5233">
        <v>5232</v>
      </c>
      <c r="B5233">
        <f>HYPERLINK("https://phudinh.dinhhoa.thainguyen.gov.vn/", "UBND Ủy ban nhân dân xã Phú Đình  tỉnh Thái Nguyên")</f>
      </c>
      <c r="C5233" t="str">
        <v>https://phudinh.dinhhoa.thainguyen.gov.vn/</v>
      </c>
      <c r="D5233" t="str">
        <v>-</v>
      </c>
      <c r="E5233" t="str">
        <v>-</v>
      </c>
      <c r="F5233" t="str">
        <v>-</v>
      </c>
      <c r="G5233" t="str">
        <v>-</v>
      </c>
    </row>
    <row r="5234">
      <c r="A5234">
        <v>5233</v>
      </c>
      <c r="B5234" t="str">
        <v>Công an xã Bình Thành  tỉnh Thái Nguyên</v>
      </c>
      <c r="C5234" t="str">
        <v>-</v>
      </c>
      <c r="D5234" t="str">
        <v>-</v>
      </c>
      <c r="E5234" t="str">
        <v/>
      </c>
      <c r="F5234" t="str">
        <v>-</v>
      </c>
      <c r="G5234" t="str">
        <v>-</v>
      </c>
    </row>
    <row r="5235">
      <c r="A5235">
        <v>5234</v>
      </c>
      <c r="B5235">
        <f>HYPERLINK("https://binhthanh.dinhhoa.thainguyen.gov.vn/tin-xa-phuong", "UBND Ủy ban nhân dân xã Bình Thành  tỉnh Thái Nguyên")</f>
      </c>
      <c r="C5235" t="str">
        <v>https://binhthanh.dinhhoa.thainguyen.gov.vn/tin-xa-phuong</v>
      </c>
      <c r="D5235" t="str">
        <v>-</v>
      </c>
      <c r="E5235" t="str">
        <v>-</v>
      </c>
      <c r="F5235" t="str">
        <v>-</v>
      </c>
      <c r="G5235" t="str">
        <v>-</v>
      </c>
    </row>
    <row r="5236">
      <c r="A5236">
        <v>5235</v>
      </c>
      <c r="B5236" t="str">
        <v>Công an thị trấn Giang Tiên  tỉnh Thái Nguyên</v>
      </c>
      <c r="C5236" t="str">
        <v>-</v>
      </c>
      <c r="D5236" t="str">
        <v>-</v>
      </c>
      <c r="E5236" t="str">
        <v/>
      </c>
      <c r="F5236" t="str">
        <v>-</v>
      </c>
      <c r="G5236" t="str">
        <v>-</v>
      </c>
    </row>
    <row r="5237">
      <c r="A5237">
        <v>5236</v>
      </c>
      <c r="B5237">
        <f>HYPERLINK("https://giangtien.phuluong.thainguyen.gov.vn/", "UBND Ủy ban nhân dân thị trấn Giang Tiên  tỉnh Thái Nguyên")</f>
      </c>
      <c r="C5237" t="str">
        <v>https://giangtien.phuluong.thainguyen.gov.vn/</v>
      </c>
      <c r="D5237" t="str">
        <v>-</v>
      </c>
      <c r="E5237" t="str">
        <v>-</v>
      </c>
      <c r="F5237" t="str">
        <v>-</v>
      </c>
      <c r="G5237" t="str">
        <v>-</v>
      </c>
    </row>
    <row r="5238">
      <c r="A5238">
        <v>5237</v>
      </c>
      <c r="B5238">
        <f>HYPERLINK("https://www.facebook.com/p/C%C3%B4ng-an-Th%E1%BB%8B-tr%E1%BA%A5n-%C4%90u-Huy%E1%BB%87n-Ph%C3%BA-l%C6%B0%C6%A1ng-T%E1%BB%89nh-Th%C3%A1i-Nguy%C3%AAn-100075508793206/", "Công an thị trấn Đu  tỉnh Thái Nguyên")</f>
      </c>
      <c r="C5238" t="str">
        <v>https://www.facebook.com/p/C%C3%B4ng-an-Th%E1%BB%8B-tr%E1%BA%A5n-%C4%90u-Huy%E1%BB%87n-Ph%C3%BA-l%C6%B0%C6%A1ng-T%E1%BB%89nh-Th%C3%A1i-Nguy%C3%AAn-100075508793206/</v>
      </c>
      <c r="D5238" t="str">
        <v>-</v>
      </c>
      <c r="E5238" t="str">
        <v/>
      </c>
      <c r="F5238" t="str">
        <v>-</v>
      </c>
      <c r="G5238" t="str">
        <v>-</v>
      </c>
    </row>
    <row r="5239">
      <c r="A5239">
        <v>5238</v>
      </c>
      <c r="B5239">
        <f>HYPERLINK("https://thitrandu.phuluong.thainguyen.gov.vn/uy-ban-nhan-dan", "UBND Ủy ban nhân dân thị trấn Đu  tỉnh Thái Nguyên")</f>
      </c>
      <c r="C5239" t="str">
        <v>https://thitrandu.phuluong.thainguyen.gov.vn/uy-ban-nhan-dan</v>
      </c>
      <c r="D5239" t="str">
        <v>-</v>
      </c>
      <c r="E5239" t="str">
        <v>-</v>
      </c>
      <c r="F5239" t="str">
        <v>-</v>
      </c>
      <c r="G5239" t="str">
        <v>-</v>
      </c>
    </row>
    <row r="5240">
      <c r="A5240">
        <v>5239</v>
      </c>
      <c r="B5240" t="str">
        <v>Công an xã Yên Ninh  tỉnh Thái Nguyên</v>
      </c>
      <c r="C5240" t="str">
        <v>-</v>
      </c>
      <c r="D5240" t="str">
        <v>-</v>
      </c>
      <c r="E5240" t="str">
        <v/>
      </c>
      <c r="F5240" t="str">
        <v>-</v>
      </c>
      <c r="G5240" t="str">
        <v>-</v>
      </c>
    </row>
    <row r="5241">
      <c r="A5241">
        <v>5240</v>
      </c>
      <c r="B5241">
        <f>HYPERLINK("https://yenninh.phuluong.thainguyen.gov.vn/", "UBND Ủy ban nhân dân xã Yên Ninh  tỉnh Thái Nguyên")</f>
      </c>
      <c r="C5241" t="str">
        <v>https://yenninh.phuluong.thainguyen.gov.vn/</v>
      </c>
      <c r="D5241" t="str">
        <v>-</v>
      </c>
      <c r="E5241" t="str">
        <v>-</v>
      </c>
      <c r="F5241" t="str">
        <v>-</v>
      </c>
      <c r="G5241" t="str">
        <v>-</v>
      </c>
    </row>
    <row r="5242">
      <c r="A5242">
        <v>5241</v>
      </c>
      <c r="B5242" t="str">
        <v>Công an xã Yên Trạch  tỉnh Thái Nguyên</v>
      </c>
      <c r="C5242" t="str">
        <v>-</v>
      </c>
      <c r="D5242" t="str">
        <v>-</v>
      </c>
      <c r="E5242" t="str">
        <v/>
      </c>
      <c r="F5242" t="str">
        <v>-</v>
      </c>
      <c r="G5242" t="str">
        <v>-</v>
      </c>
    </row>
    <row r="5243">
      <c r="A5243">
        <v>5242</v>
      </c>
      <c r="B5243">
        <f>HYPERLINK("https://yentrach.phuluong.thainguyen.gov.vn/uy-ban-nhan-dan", "UBND Ủy ban nhân dân xã Yên Trạch  tỉnh Thái Nguyên")</f>
      </c>
      <c r="C5243" t="str">
        <v>https://yentrach.phuluong.thainguyen.gov.vn/uy-ban-nhan-dan</v>
      </c>
      <c r="D5243" t="str">
        <v>-</v>
      </c>
      <c r="E5243" t="str">
        <v>-</v>
      </c>
      <c r="F5243" t="str">
        <v>-</v>
      </c>
      <c r="G5243" t="str">
        <v>-</v>
      </c>
    </row>
    <row r="5244">
      <c r="A5244">
        <v>5243</v>
      </c>
      <c r="B5244">
        <f>HYPERLINK("https://www.facebook.com/p/C%C3%B4ng-an-x%C3%A3-Y%C3%AAn-%C4%90%E1%BB%95-huy%E1%BB%87n-Ph%C3%BA-L%C6%B0%C6%A1ng-100080020227235/", "Công an xã Yên Đổ  tỉnh Thái Nguyên")</f>
      </c>
      <c r="C5244" t="str">
        <v>https://www.facebook.com/p/C%C3%B4ng-an-x%C3%A3-Y%C3%AAn-%C4%90%E1%BB%95-huy%E1%BB%87n-Ph%C3%BA-L%C6%B0%C6%A1ng-100080020227235/</v>
      </c>
      <c r="D5244" t="str">
        <v>-</v>
      </c>
      <c r="E5244" t="str">
        <v/>
      </c>
      <c r="F5244" t="str">
        <v>-</v>
      </c>
      <c r="G5244" t="str">
        <v>-</v>
      </c>
    </row>
    <row r="5245">
      <c r="A5245">
        <v>5244</v>
      </c>
      <c r="B5245">
        <f>HYPERLINK("https://yendo.phuluong.thainguyen.gov.vn/uy-ban-nhan-dan", "UBND Ủy ban nhân dân xã Yên Đổ  tỉnh Thái Nguyên")</f>
      </c>
      <c r="C5245" t="str">
        <v>https://yendo.phuluong.thainguyen.gov.vn/uy-ban-nhan-dan</v>
      </c>
      <c r="D5245" t="str">
        <v>-</v>
      </c>
      <c r="E5245" t="str">
        <v>-</v>
      </c>
      <c r="F5245" t="str">
        <v>-</v>
      </c>
      <c r="G5245" t="str">
        <v>-</v>
      </c>
    </row>
    <row r="5246">
      <c r="A5246">
        <v>5245</v>
      </c>
      <c r="B5246" t="str">
        <v>Công an xã Yên Lạc  tỉnh Thái Nguyên</v>
      </c>
      <c r="C5246" t="str">
        <v>-</v>
      </c>
      <c r="D5246" t="str">
        <v>-</v>
      </c>
      <c r="E5246" t="str">
        <v/>
      </c>
      <c r="F5246" t="str">
        <v>-</v>
      </c>
      <c r="G5246" t="str">
        <v>-</v>
      </c>
    </row>
    <row r="5247">
      <c r="A5247">
        <v>5246</v>
      </c>
      <c r="B5247">
        <f>HYPERLINK("https://yenlac.phuluong.thainguyen.gov.vn/uy-ban-nhan-dan", "UBND Ủy ban nhân dân xã Yên Lạc  tỉnh Thái Nguyên")</f>
      </c>
      <c r="C5247" t="str">
        <v>https://yenlac.phuluong.thainguyen.gov.vn/uy-ban-nhan-dan</v>
      </c>
      <c r="D5247" t="str">
        <v>-</v>
      </c>
      <c r="E5247" t="str">
        <v>-</v>
      </c>
      <c r="F5247" t="str">
        <v>-</v>
      </c>
      <c r="G5247" t="str">
        <v>-</v>
      </c>
    </row>
    <row r="5248">
      <c r="A5248">
        <v>5247</v>
      </c>
      <c r="B5248">
        <f>HYPERLINK("https://www.facebook.com/p/C%C3%B4ng-an-x%C3%A3-%C3%94n-L%C6%B0%C6%A1ng-huy%E1%BB%87n-Ph%C3%BA-L%C6%B0%C6%A1ng-t%E1%BB%89nh-Th%C3%A1i-Nguy%C3%AAn-100080125953792/", "Công an xã Ôn Lương  tỉnh Thái Nguyên")</f>
      </c>
      <c r="C5248" t="str">
        <v>https://www.facebook.com/p/C%C3%B4ng-an-x%C3%A3-%C3%94n-L%C6%B0%C6%A1ng-huy%E1%BB%87n-Ph%C3%BA-L%C6%B0%C6%A1ng-t%E1%BB%89nh-Th%C3%A1i-Nguy%C3%AAn-100080125953792/</v>
      </c>
      <c r="D5248" t="str">
        <v>-</v>
      </c>
      <c r="E5248" t="str">
        <v/>
      </c>
      <c r="F5248" t="str">
        <v>-</v>
      </c>
      <c r="G5248" t="str">
        <v>-</v>
      </c>
    </row>
    <row r="5249">
      <c r="A5249">
        <v>5248</v>
      </c>
      <c r="B5249">
        <f>HYPERLINK("https://onluong.phuluong.thainguyen.gov.vn/uy-ban-nhan-dan", "UBND Ủy ban nhân dân xã Ôn Lương  tỉnh Thái Nguyên")</f>
      </c>
      <c r="C5249" t="str">
        <v>https://onluong.phuluong.thainguyen.gov.vn/uy-ban-nhan-dan</v>
      </c>
      <c r="D5249" t="str">
        <v>-</v>
      </c>
      <c r="E5249" t="str">
        <v>-</v>
      </c>
      <c r="F5249" t="str">
        <v>-</v>
      </c>
      <c r="G5249" t="str">
        <v>-</v>
      </c>
    </row>
    <row r="5250">
      <c r="A5250">
        <v>5249</v>
      </c>
      <c r="B5250" t="str">
        <v>Công an xã Động Đạt  tỉnh Thái Nguyên</v>
      </c>
      <c r="C5250" t="str">
        <v>-</v>
      </c>
      <c r="D5250" t="str">
        <v>-</v>
      </c>
      <c r="E5250" t="str">
        <v/>
      </c>
      <c r="F5250" t="str">
        <v>-</v>
      </c>
      <c r="G5250" t="str">
        <v>-</v>
      </c>
    </row>
    <row r="5251">
      <c r="A5251">
        <v>5250</v>
      </c>
      <c r="B5251">
        <f>HYPERLINK("https://dongdat.phuluong.thainguyen.gov.vn/bo-may-to-chuc", "UBND Ủy ban nhân dân xã Động Đạt  tỉnh Thái Nguyên")</f>
      </c>
      <c r="C5251" t="str">
        <v>https://dongdat.phuluong.thainguyen.gov.vn/bo-may-to-chuc</v>
      </c>
      <c r="D5251" t="str">
        <v>-</v>
      </c>
      <c r="E5251" t="str">
        <v>-</v>
      </c>
      <c r="F5251" t="str">
        <v>-</v>
      </c>
      <c r="G5251" t="str">
        <v>-</v>
      </c>
    </row>
    <row r="5252">
      <c r="A5252">
        <v>5251</v>
      </c>
      <c r="B5252">
        <f>HYPERLINK("https://www.facebook.com/Conganxaphuly/", "Công an xã Phủ Lý  tỉnh Thái Nguyên")</f>
      </c>
      <c r="C5252" t="str">
        <v>https://www.facebook.com/Conganxaphuly/</v>
      </c>
      <c r="D5252" t="str">
        <v>-</v>
      </c>
      <c r="E5252" t="str">
        <v/>
      </c>
      <c r="F5252" t="str">
        <v>-</v>
      </c>
      <c r="G5252" t="str">
        <v>-</v>
      </c>
    </row>
    <row r="5253">
      <c r="A5253">
        <v>5252</v>
      </c>
      <c r="B5253">
        <f>HYPERLINK("https://phuly.phuluong.thainguyen.gov.vn/uy-ban-nhan-dan", "UBND Ủy ban nhân dân xã Phủ Lý  tỉnh Thái Nguyên")</f>
      </c>
      <c r="C5253" t="str">
        <v>https://phuly.phuluong.thainguyen.gov.vn/uy-ban-nhan-dan</v>
      </c>
      <c r="D5253" t="str">
        <v>-</v>
      </c>
      <c r="E5253" t="str">
        <v>-</v>
      </c>
      <c r="F5253" t="str">
        <v>-</v>
      </c>
      <c r="G5253" t="str">
        <v>-</v>
      </c>
    </row>
    <row r="5254">
      <c r="A5254">
        <v>5253</v>
      </c>
      <c r="B5254" t="str">
        <v>Công an xã Phú Đô  tỉnh Thái Nguyên</v>
      </c>
      <c r="C5254" t="str">
        <v>-</v>
      </c>
      <c r="D5254" t="str">
        <v>-</v>
      </c>
      <c r="E5254" t="str">
        <v/>
      </c>
      <c r="F5254" t="str">
        <v>-</v>
      </c>
      <c r="G5254" t="str">
        <v>-</v>
      </c>
    </row>
    <row r="5255">
      <c r="A5255">
        <v>5254</v>
      </c>
      <c r="B5255">
        <f>HYPERLINK("https://phudo.phuluong.thainguyen.gov.vn/uy-ban-nhan-dan", "UBND Ủy ban nhân dân xã Phú Đô  tỉnh Thái Nguyên")</f>
      </c>
      <c r="C5255" t="str">
        <v>https://phudo.phuluong.thainguyen.gov.vn/uy-ban-nhan-dan</v>
      </c>
      <c r="D5255" t="str">
        <v>-</v>
      </c>
      <c r="E5255" t="str">
        <v>-</v>
      </c>
      <c r="F5255" t="str">
        <v>-</v>
      </c>
      <c r="G5255" t="str">
        <v>-</v>
      </c>
    </row>
    <row r="5256">
      <c r="A5256">
        <v>5255</v>
      </c>
      <c r="B5256" t="str">
        <v>Công an xã Hợp Thành  tỉnh Thái Nguyên</v>
      </c>
      <c r="C5256" t="str">
        <v>-</v>
      </c>
      <c r="D5256" t="str">
        <v>-</v>
      </c>
      <c r="E5256" t="str">
        <v/>
      </c>
      <c r="F5256" t="str">
        <v>-</v>
      </c>
      <c r="G5256" t="str">
        <v>-</v>
      </c>
    </row>
    <row r="5257">
      <c r="A5257">
        <v>5256</v>
      </c>
      <c r="B5257">
        <f>HYPERLINK("https://hopthanh.phuluong.thainguyen.gov.vn/uy-ban-nhan-dan", "UBND Ủy ban nhân dân xã Hợp Thành  tỉnh Thái Nguyên")</f>
      </c>
      <c r="C5257" t="str">
        <v>https://hopthanh.phuluong.thainguyen.gov.vn/uy-ban-nhan-dan</v>
      </c>
      <c r="D5257" t="str">
        <v>-</v>
      </c>
      <c r="E5257" t="str">
        <v>-</v>
      </c>
      <c r="F5257" t="str">
        <v>-</v>
      </c>
      <c r="G5257" t="str">
        <v>-</v>
      </c>
    </row>
    <row r="5258">
      <c r="A5258">
        <v>5257</v>
      </c>
      <c r="B5258">
        <f>HYPERLINK("https://www.facebook.com/caxtt05641/", "Công an xã Tức Tranh  tỉnh Thái Nguyên")</f>
      </c>
      <c r="C5258" t="str">
        <v>https://www.facebook.com/caxtt05641/</v>
      </c>
      <c r="D5258" t="str">
        <v>-</v>
      </c>
      <c r="E5258" t="str">
        <v/>
      </c>
      <c r="F5258" t="str">
        <v>-</v>
      </c>
      <c r="G5258" t="str">
        <v>-</v>
      </c>
    </row>
    <row r="5259">
      <c r="A5259">
        <v>5258</v>
      </c>
      <c r="B5259">
        <f>HYPERLINK("https://tuctranh.phuluong.thainguyen.gov.vn/uy-ban-nhan-dan", "UBND Ủy ban nhân dân xã Tức Tranh  tỉnh Thái Nguyên")</f>
      </c>
      <c r="C5259" t="str">
        <v>https://tuctranh.phuluong.thainguyen.gov.vn/uy-ban-nhan-dan</v>
      </c>
      <c r="D5259" t="str">
        <v>-</v>
      </c>
      <c r="E5259" t="str">
        <v>-</v>
      </c>
      <c r="F5259" t="str">
        <v>-</v>
      </c>
      <c r="G5259" t="str">
        <v>-</v>
      </c>
    </row>
    <row r="5260">
      <c r="A5260">
        <v>5259</v>
      </c>
      <c r="B5260">
        <f>HYPERLINK("https://www.facebook.com/p/C%C3%B4ng-an-x%C3%A3-Ph%E1%BA%A5n-M%E1%BB%85-Ph%C3%BA-L%C6%B0%C6%A1ng-Th%C3%A1i-Nguy%C3%AAn-100077008140617/", "Công an xã Phấn Mễ  tỉnh Thái Nguyên")</f>
      </c>
      <c r="C5260" t="str">
        <v>https://www.facebook.com/p/C%C3%B4ng-an-x%C3%A3-Ph%E1%BA%A5n-M%E1%BB%85-Ph%C3%BA-L%C6%B0%C6%A1ng-Th%C3%A1i-Nguy%C3%AAn-100077008140617/</v>
      </c>
      <c r="D5260" t="str">
        <v>-</v>
      </c>
      <c r="E5260" t="str">
        <v/>
      </c>
      <c r="F5260" t="str">
        <v>-</v>
      </c>
      <c r="G5260" t="str">
        <v>-</v>
      </c>
    </row>
    <row r="5261">
      <c r="A5261">
        <v>5260</v>
      </c>
      <c r="B5261">
        <f>HYPERLINK("https://phanme.phuluong.thainguyen.gov.vn/", "UBND Ủy ban nhân dân xã Phấn Mễ  tỉnh Thái Nguyên")</f>
      </c>
      <c r="C5261" t="str">
        <v>https://phanme.phuluong.thainguyen.gov.vn/</v>
      </c>
      <c r="D5261" t="str">
        <v>-</v>
      </c>
      <c r="E5261" t="str">
        <v>-</v>
      </c>
      <c r="F5261" t="str">
        <v>-</v>
      </c>
      <c r="G5261" t="str">
        <v>-</v>
      </c>
    </row>
    <row r="5262">
      <c r="A5262">
        <v>5261</v>
      </c>
      <c r="B5262">
        <f>HYPERLINK("https://www.facebook.com/p/C%C3%B4ng-an-x%C3%A3-V%C3%B4-Tranh-huy%E1%BB%87n-Ph%C3%BA-L%C6%B0%C6%A1ng-t%E1%BB%89nh-Th%C3%A1i-Nguy%C3%AAn-100066671147630/", "Công an xã Vô Tranh  tỉnh Thái Nguyên")</f>
      </c>
      <c r="C5262" t="str">
        <v>https://www.facebook.com/p/C%C3%B4ng-an-x%C3%A3-V%C3%B4-Tranh-huy%E1%BB%87n-Ph%C3%BA-L%C6%B0%C6%A1ng-t%E1%BB%89nh-Th%C3%A1i-Nguy%C3%AAn-100066671147630/</v>
      </c>
      <c r="D5262" t="str">
        <v>-</v>
      </c>
      <c r="E5262" t="str">
        <v/>
      </c>
      <c r="F5262" t="str">
        <v>-</v>
      </c>
      <c r="G5262" t="str">
        <v>-</v>
      </c>
    </row>
    <row r="5263">
      <c r="A5263">
        <v>5262</v>
      </c>
      <c r="B5263">
        <f>HYPERLINK("https://votranh.phuluong.thainguyen.gov.vn/uy-ban-nhan-dan", "UBND Ủy ban nhân dân xã Vô Tranh  tỉnh Thái Nguyên")</f>
      </c>
      <c r="C5263" t="str">
        <v>https://votranh.phuluong.thainguyen.gov.vn/uy-ban-nhan-dan</v>
      </c>
      <c r="D5263" t="str">
        <v>-</v>
      </c>
      <c r="E5263" t="str">
        <v>-</v>
      </c>
      <c r="F5263" t="str">
        <v>-</v>
      </c>
      <c r="G5263" t="str">
        <v>-</v>
      </c>
    </row>
    <row r="5264">
      <c r="A5264">
        <v>5263</v>
      </c>
      <c r="B5264" t="str">
        <v>Công an xã Cổ Lũng  tỉnh Thái Nguyên</v>
      </c>
      <c r="C5264" t="str">
        <v>-</v>
      </c>
      <c r="D5264" t="str">
        <v>-</v>
      </c>
      <c r="E5264" t="str">
        <v/>
      </c>
      <c r="F5264" t="str">
        <v>-</v>
      </c>
      <c r="G5264" t="str">
        <v>-</v>
      </c>
    </row>
    <row r="5265">
      <c r="A5265">
        <v>5264</v>
      </c>
      <c r="B5265">
        <f>HYPERLINK("https://colung.phuluong.thainguyen.gov.vn/", "UBND Ủy ban nhân dân xã Cổ Lũng  tỉnh Thái Nguyên")</f>
      </c>
      <c r="C5265" t="str">
        <v>https://colung.phuluong.thainguyen.gov.vn/</v>
      </c>
      <c r="D5265" t="str">
        <v>-</v>
      </c>
      <c r="E5265" t="str">
        <v>-</v>
      </c>
      <c r="F5265" t="str">
        <v>-</v>
      </c>
      <c r="G5265" t="str">
        <v>-</v>
      </c>
    </row>
    <row r="5266">
      <c r="A5266">
        <v>5265</v>
      </c>
      <c r="B5266">
        <f>HYPERLINK("https://www.facebook.com/p/C%C3%B4ng-an-Th%E1%BB%8B-tr%E1%BA%A5n-S%C3%B4ng-C%E1%BA%A7u-100071878300589/", "Công an thị trấn Sông Cầu  tỉnh Thái Nguyên")</f>
      </c>
      <c r="C5266" t="str">
        <v>https://www.facebook.com/p/C%C3%B4ng-an-Th%E1%BB%8B-tr%E1%BA%A5n-S%C3%B4ng-C%E1%BA%A7u-100071878300589/</v>
      </c>
      <c r="D5266" t="str">
        <v>-</v>
      </c>
      <c r="E5266" t="str">
        <v/>
      </c>
      <c r="F5266" t="str">
        <v>-</v>
      </c>
      <c r="G5266" t="str">
        <v>-</v>
      </c>
    </row>
    <row r="5267">
      <c r="A5267">
        <v>5266</v>
      </c>
      <c r="B5267">
        <f>HYPERLINK("https://donghy.thainguyen.gov.vn/thi-tran-song-cau", "UBND Ủy ban nhân dân thị trấn Sông Cầu  tỉnh Thái Nguyên")</f>
      </c>
      <c r="C5267" t="str">
        <v>https://donghy.thainguyen.gov.vn/thi-tran-song-cau</v>
      </c>
      <c r="D5267" t="str">
        <v>-</v>
      </c>
      <c r="E5267" t="str">
        <v>-</v>
      </c>
      <c r="F5267" t="str">
        <v>-</v>
      </c>
      <c r="G5267" t="str">
        <v>-</v>
      </c>
    </row>
    <row r="5268">
      <c r="A5268">
        <v>5267</v>
      </c>
      <c r="B5268" t="str">
        <v>Công an thị trấn Trại Cau  tỉnh Thái Nguyên</v>
      </c>
      <c r="C5268" t="str">
        <v>-</v>
      </c>
      <c r="D5268" t="str">
        <v>-</v>
      </c>
      <c r="E5268" t="str">
        <v/>
      </c>
      <c r="F5268" t="str">
        <v>-</v>
      </c>
      <c r="G5268" t="str">
        <v>-</v>
      </c>
    </row>
    <row r="5269">
      <c r="A5269">
        <v>5268</v>
      </c>
      <c r="B5269">
        <f>HYPERLINK("https://donghy.thainguyen.gov.vn/thi-tran-trai-cau", "UBND Ủy ban nhân dân thị trấn Trại Cau  tỉnh Thái Nguyên")</f>
      </c>
      <c r="C5269" t="str">
        <v>https://donghy.thainguyen.gov.vn/thi-tran-trai-cau</v>
      </c>
      <c r="D5269" t="str">
        <v>-</v>
      </c>
      <c r="E5269" t="str">
        <v>-</v>
      </c>
      <c r="F5269" t="str">
        <v>-</v>
      </c>
      <c r="G5269" t="str">
        <v>-</v>
      </c>
    </row>
    <row r="5270">
      <c r="A5270">
        <v>5269</v>
      </c>
      <c r="B5270" t="str">
        <v>Công an xã Văn Lăng  tỉnh Thái Nguyên</v>
      </c>
      <c r="C5270" t="str">
        <v>-</v>
      </c>
      <c r="D5270" t="str">
        <v>-</v>
      </c>
      <c r="E5270" t="str">
        <v/>
      </c>
      <c r="F5270" t="str">
        <v>-</v>
      </c>
      <c r="G5270" t="str">
        <v>-</v>
      </c>
    </row>
    <row r="5271">
      <c r="A5271">
        <v>5270</v>
      </c>
      <c r="B5271">
        <f>HYPERLINK("https://vanlang.donghy.thainguyen.gov.vn/uy-ban-nhan-dan", "UBND Ủy ban nhân dân xã Văn Lăng  tỉnh Thái Nguyên")</f>
      </c>
      <c r="C5271" t="str">
        <v>https://vanlang.donghy.thainguyen.gov.vn/uy-ban-nhan-dan</v>
      </c>
      <c r="D5271" t="str">
        <v>-</v>
      </c>
      <c r="E5271" t="str">
        <v>-</v>
      </c>
      <c r="F5271" t="str">
        <v>-</v>
      </c>
      <c r="G5271" t="str">
        <v>-</v>
      </c>
    </row>
    <row r="5272">
      <c r="A5272">
        <v>5271</v>
      </c>
      <c r="B5272" t="str">
        <v>Công an xã Tân Long  tỉnh Thái Nguyên</v>
      </c>
      <c r="C5272" t="str">
        <v>-</v>
      </c>
      <c r="D5272" t="str">
        <v>-</v>
      </c>
      <c r="E5272" t="str">
        <v/>
      </c>
      <c r="F5272" t="str">
        <v>-</v>
      </c>
      <c r="G5272" t="str">
        <v>-</v>
      </c>
    </row>
    <row r="5273">
      <c r="A5273">
        <v>5272</v>
      </c>
      <c r="B5273">
        <f>HYPERLINK("https://donghy.thainguyen.gov.vn/xa-tan-long", "UBND Ủy ban nhân dân xã Tân Long  tỉnh Thái Nguyên")</f>
      </c>
      <c r="C5273" t="str">
        <v>https://donghy.thainguyen.gov.vn/xa-tan-long</v>
      </c>
      <c r="D5273" t="str">
        <v>-</v>
      </c>
      <c r="E5273" t="str">
        <v>-</v>
      </c>
      <c r="F5273" t="str">
        <v>-</v>
      </c>
      <c r="G5273" t="str">
        <v>-</v>
      </c>
    </row>
    <row r="5274">
      <c r="A5274">
        <v>5273</v>
      </c>
      <c r="B5274" t="str">
        <v>Công an xã Hòa Bình  tỉnh Thái Nguyên</v>
      </c>
      <c r="C5274" t="str">
        <v>-</v>
      </c>
      <c r="D5274" t="str">
        <v>-</v>
      </c>
      <c r="E5274" t="str">
        <v/>
      </c>
      <c r="F5274" t="str">
        <v>-</v>
      </c>
      <c r="G5274" t="str">
        <v>-</v>
      </c>
    </row>
    <row r="5275">
      <c r="A5275">
        <v>5274</v>
      </c>
      <c r="B5275">
        <f>HYPERLINK("https://donghy.thainguyen.gov.vn/xa-hoa-binh", "UBND Ủy ban nhân dân xã Hòa Bình  tỉnh Thái Nguyên")</f>
      </c>
      <c r="C5275" t="str">
        <v>https://donghy.thainguyen.gov.vn/xa-hoa-binh</v>
      </c>
      <c r="D5275" t="str">
        <v>-</v>
      </c>
      <c r="E5275" t="str">
        <v>-</v>
      </c>
      <c r="F5275" t="str">
        <v>-</v>
      </c>
      <c r="G5275" t="str">
        <v>-</v>
      </c>
    </row>
    <row r="5276">
      <c r="A5276">
        <v>5275</v>
      </c>
      <c r="B5276" t="str">
        <v>Công an xã Quang Sơn  tỉnh Thái Nguyên</v>
      </c>
      <c r="C5276" t="str">
        <v>-</v>
      </c>
      <c r="D5276" t="str">
        <v>-</v>
      </c>
      <c r="E5276" t="str">
        <v/>
      </c>
      <c r="F5276" t="str">
        <v>-</v>
      </c>
      <c r="G5276" t="str">
        <v>-</v>
      </c>
    </row>
    <row r="5277">
      <c r="A5277">
        <v>5276</v>
      </c>
      <c r="B5277">
        <f>HYPERLINK("https://donghy.thainguyen.gov.vn/xa-quang-son", "UBND Ủy ban nhân dân xã Quang Sơn  tỉnh Thái Nguyên")</f>
      </c>
      <c r="C5277" t="str">
        <v>https://donghy.thainguyen.gov.vn/xa-quang-son</v>
      </c>
      <c r="D5277" t="str">
        <v>-</v>
      </c>
      <c r="E5277" t="str">
        <v>-</v>
      </c>
      <c r="F5277" t="str">
        <v>-</v>
      </c>
      <c r="G5277" t="str">
        <v>-</v>
      </c>
    </row>
    <row r="5278">
      <c r="A5278">
        <v>5277</v>
      </c>
      <c r="B5278">
        <f>HYPERLINK("https://www.facebook.com/p/C%C3%B4ng-an-x%C3%A3-Minh-L%E1%BA%ADp-huy%E1%BB%87n-%C4%90%E1%BB%93ng-H%E1%BB%B7-t%E1%BB%89nh-Th%C3%A1i-Nguy%C3%AAn-100063994340360/", "Công an xã Minh Lập  tỉnh Thái Nguyên")</f>
      </c>
      <c r="C5278" t="str">
        <v>https://www.facebook.com/p/C%C3%B4ng-an-x%C3%A3-Minh-L%E1%BA%ADp-huy%E1%BB%87n-%C4%90%E1%BB%93ng-H%E1%BB%B7-t%E1%BB%89nh-Th%C3%A1i-Nguy%C3%AAn-100063994340360/</v>
      </c>
      <c r="D5278" t="str">
        <v>-</v>
      </c>
      <c r="E5278" t="str">
        <v/>
      </c>
      <c r="F5278" t="str">
        <v>-</v>
      </c>
      <c r="G5278" t="str">
        <v>-</v>
      </c>
    </row>
    <row r="5279">
      <c r="A5279">
        <v>5278</v>
      </c>
      <c r="B5279">
        <f>HYPERLINK("https://minhlap.donghy.thainguyen.gov.vn/uy-ban-nhan-dan", "UBND Ủy ban nhân dân xã Minh Lập  tỉnh Thái Nguyên")</f>
      </c>
      <c r="C5279" t="str">
        <v>https://minhlap.donghy.thainguyen.gov.vn/uy-ban-nhan-dan</v>
      </c>
      <c r="D5279" t="str">
        <v>-</v>
      </c>
      <c r="E5279" t="str">
        <v>-</v>
      </c>
      <c r="F5279" t="str">
        <v>-</v>
      </c>
      <c r="G5279" t="str">
        <v>-</v>
      </c>
    </row>
    <row r="5280">
      <c r="A5280">
        <v>5279</v>
      </c>
      <c r="B5280">
        <f>HYPERLINK("https://www.facebook.com/caxvanhan.donghy.thainguyen/", "Công an xã Văn Hán  tỉnh Thái Nguyên")</f>
      </c>
      <c r="C5280" t="str">
        <v>https://www.facebook.com/caxvanhan.donghy.thainguyen/</v>
      </c>
      <c r="D5280" t="str">
        <v>-</v>
      </c>
      <c r="E5280" t="str">
        <v/>
      </c>
      <c r="F5280" t="str">
        <v>-</v>
      </c>
      <c r="G5280" t="str">
        <v>-</v>
      </c>
    </row>
    <row r="5281">
      <c r="A5281">
        <v>5280</v>
      </c>
      <c r="B5281">
        <f>HYPERLINK("https://donghy.thainguyen.gov.vn/xa-van-han", "UBND Ủy ban nhân dân xã Văn Hán  tỉnh Thái Nguyên")</f>
      </c>
      <c r="C5281" t="str">
        <v>https://donghy.thainguyen.gov.vn/xa-van-han</v>
      </c>
      <c r="D5281" t="str">
        <v>-</v>
      </c>
      <c r="E5281" t="str">
        <v>-</v>
      </c>
      <c r="F5281" t="str">
        <v>-</v>
      </c>
      <c r="G5281" t="str">
        <v>-</v>
      </c>
    </row>
    <row r="5282">
      <c r="A5282">
        <v>5281</v>
      </c>
      <c r="B5282">
        <f>HYPERLINK("https://www.facebook.com/p/C%C3%B4ng-an-x%C3%A3-Ho%C3%A1-Trung-%C4%90%E1%BB%93ng-H%E1%BB%B7-Th%C3%A1i-Nguy%C3%AAn-100072058687366/", "Công an xã Hóa Trung  tỉnh Thái Nguyên")</f>
      </c>
      <c r="C5282" t="str">
        <v>https://www.facebook.com/p/C%C3%B4ng-an-x%C3%A3-Ho%C3%A1-Trung-%C4%90%E1%BB%93ng-H%E1%BB%B7-Th%C3%A1i-Nguy%C3%AAn-100072058687366/</v>
      </c>
      <c r="D5282" t="str">
        <v>-</v>
      </c>
      <c r="E5282" t="str">
        <v/>
      </c>
      <c r="F5282" t="str">
        <v>-</v>
      </c>
      <c r="G5282" t="str">
        <v>-</v>
      </c>
    </row>
    <row r="5283">
      <c r="A5283">
        <v>5282</v>
      </c>
      <c r="B5283">
        <f>HYPERLINK("https://hoatrung.donghy.thainguyen.gov.vn/uy-ban-nhan-dan", "UBND Ủy ban nhân dân xã Hóa Trung  tỉnh Thái Nguyên")</f>
      </c>
      <c r="C5283" t="str">
        <v>https://hoatrung.donghy.thainguyen.gov.vn/uy-ban-nhan-dan</v>
      </c>
      <c r="D5283" t="str">
        <v>-</v>
      </c>
      <c r="E5283" t="str">
        <v>-</v>
      </c>
      <c r="F5283" t="str">
        <v>-</v>
      </c>
      <c r="G5283" t="str">
        <v>-</v>
      </c>
    </row>
    <row r="5284">
      <c r="A5284">
        <v>5283</v>
      </c>
      <c r="B5284">
        <f>HYPERLINK("https://www.facebook.com/p/C%C3%B4ng-an-x%C3%A3-Khe-Mo-%C4%90%E1%BB%93ng-H%E1%BB%B7-Th%C3%A1i-Nguy%C3%AAn-100076392760769/", "Công an xã Khe Mo  tỉnh Thái Nguyên")</f>
      </c>
      <c r="C5284" t="str">
        <v>https://www.facebook.com/p/C%C3%B4ng-an-x%C3%A3-Khe-Mo-%C4%90%E1%BB%93ng-H%E1%BB%B7-Th%C3%A1i-Nguy%C3%AAn-100076392760769/</v>
      </c>
      <c r="D5284" t="str">
        <v>-</v>
      </c>
      <c r="E5284" t="str">
        <v/>
      </c>
      <c r="F5284" t="str">
        <v>-</v>
      </c>
      <c r="G5284" t="str">
        <v>-</v>
      </c>
    </row>
    <row r="5285">
      <c r="A5285">
        <v>5284</v>
      </c>
      <c r="B5285">
        <f>HYPERLINK("https://khemo.donghy.thainguyen.gov.vn/uy-ban-nhan-dan", "UBND Ủy ban nhân dân xã Khe Mo  tỉnh Thái Nguyên")</f>
      </c>
      <c r="C5285" t="str">
        <v>https://khemo.donghy.thainguyen.gov.vn/uy-ban-nhan-dan</v>
      </c>
      <c r="D5285" t="str">
        <v>-</v>
      </c>
      <c r="E5285" t="str">
        <v>-</v>
      </c>
      <c r="F5285" t="str">
        <v>-</v>
      </c>
      <c r="G5285" t="str">
        <v>-</v>
      </c>
    </row>
    <row r="5286">
      <c r="A5286">
        <v>5285</v>
      </c>
      <c r="B5286" t="str">
        <v>Công an xã Cây Thị  tỉnh Thái Nguyên</v>
      </c>
      <c r="C5286" t="str">
        <v>-</v>
      </c>
      <c r="D5286" t="str">
        <v>-</v>
      </c>
      <c r="E5286" t="str">
        <v/>
      </c>
      <c r="F5286" t="str">
        <v>-</v>
      </c>
      <c r="G5286" t="str">
        <v>-</v>
      </c>
    </row>
    <row r="5287">
      <c r="A5287">
        <v>5286</v>
      </c>
      <c r="B5287">
        <f>HYPERLINK("https://donghy.thainguyen.gov.vn/xa-cay-thi", "UBND Ủy ban nhân dân xã Cây Thị  tỉnh Thái Nguyên")</f>
      </c>
      <c r="C5287" t="str">
        <v>https://donghy.thainguyen.gov.vn/xa-cay-thi</v>
      </c>
      <c r="D5287" t="str">
        <v>-</v>
      </c>
      <c r="E5287" t="str">
        <v>-</v>
      </c>
      <c r="F5287" t="str">
        <v>-</v>
      </c>
      <c r="G5287" t="str">
        <v>-</v>
      </c>
    </row>
    <row r="5288">
      <c r="A5288">
        <v>5287</v>
      </c>
      <c r="B5288">
        <f>HYPERLINK("https://www.facebook.com/p/C%C3%B4ng-an-th%E1%BB%8B-tr%E1%BA%A5n-Ho%C3%A1-Th%C6%B0%E1%BB%A3ng-huy%E1%BB%87n-%C4%90%E1%BB%93ng-H%E1%BB%B7-t%E1%BB%89nh-Th%C3%A1i-Nguy%C3%AAn-100072097833783/", "Công an xã Hóa Thượng  tỉnh Thái Nguyên")</f>
      </c>
      <c r="C5288" t="str">
        <v>https://www.facebook.com/p/C%C3%B4ng-an-th%E1%BB%8B-tr%E1%BA%A5n-Ho%C3%A1-Th%C6%B0%E1%BB%A3ng-huy%E1%BB%87n-%C4%90%E1%BB%93ng-H%E1%BB%B7-t%E1%BB%89nh-Th%C3%A1i-Nguy%C3%AAn-100072097833783/</v>
      </c>
      <c r="D5288" t="str">
        <v>-</v>
      </c>
      <c r="E5288" t="str">
        <v/>
      </c>
      <c r="F5288" t="str">
        <v>-</v>
      </c>
      <c r="G5288" t="str">
        <v>-</v>
      </c>
    </row>
    <row r="5289">
      <c r="A5289">
        <v>5288</v>
      </c>
      <c r="B5289">
        <f>HYPERLINK("https://donghy.thainguyen.gov.vn/xa-hoa-thuong", "UBND Ủy ban nhân dân xã Hóa Thượng  tỉnh Thái Nguyên")</f>
      </c>
      <c r="C5289" t="str">
        <v>https://donghy.thainguyen.gov.vn/xa-hoa-thuong</v>
      </c>
      <c r="D5289" t="str">
        <v>-</v>
      </c>
      <c r="E5289" t="str">
        <v>-</v>
      </c>
      <c r="F5289" t="str">
        <v>-</v>
      </c>
      <c r="G5289" t="str">
        <v>-</v>
      </c>
    </row>
    <row r="5290">
      <c r="A5290">
        <v>5289</v>
      </c>
      <c r="B5290">
        <f>HYPERLINK("https://www.facebook.com/p/C%C3%B4ng-an-x%C3%A3-H%E1%BB%A3p-Ti%E1%BA%BFn-huy%E1%BB%87n-%C4%90%E1%BB%93ng-H%E1%BB%B7-t%E1%BB%89nh-Th%C3%A1i-Nguy%C3%AAn-100069418098218/", "Công an xã Hợp Tiến  tỉnh Thái Nguyên")</f>
      </c>
      <c r="C5290" t="str">
        <v>https://www.facebook.com/p/C%C3%B4ng-an-x%C3%A3-H%E1%BB%A3p-Ti%E1%BA%BFn-huy%E1%BB%87n-%C4%90%E1%BB%93ng-H%E1%BB%B7-t%E1%BB%89nh-Th%C3%A1i-Nguy%C3%AAn-100069418098218/</v>
      </c>
      <c r="D5290" t="str">
        <v>-</v>
      </c>
      <c r="E5290" t="str">
        <v/>
      </c>
      <c r="F5290" t="str">
        <v>-</v>
      </c>
      <c r="G5290" t="str">
        <v>-</v>
      </c>
    </row>
    <row r="5291">
      <c r="A5291">
        <v>5290</v>
      </c>
      <c r="B5291">
        <f>HYPERLINK("https://donghy.thainguyen.gov.vn/xa-hop-tien", "UBND Ủy ban nhân dân xã Hợp Tiến  tỉnh Thái Nguyên")</f>
      </c>
      <c r="C5291" t="str">
        <v>https://donghy.thainguyen.gov.vn/xa-hop-tien</v>
      </c>
      <c r="D5291" t="str">
        <v>-</v>
      </c>
      <c r="E5291" t="str">
        <v>-</v>
      </c>
      <c r="F5291" t="str">
        <v>-</v>
      </c>
      <c r="G5291" t="str">
        <v>-</v>
      </c>
    </row>
    <row r="5292">
      <c r="A5292">
        <v>5291</v>
      </c>
      <c r="B5292" t="str">
        <v>Công an xã Tân Lợi  tỉnh Thái Nguyên</v>
      </c>
      <c r="C5292" t="str">
        <v>-</v>
      </c>
      <c r="D5292" t="str">
        <v>-</v>
      </c>
      <c r="E5292" t="str">
        <v/>
      </c>
      <c r="F5292" t="str">
        <v>-</v>
      </c>
      <c r="G5292" t="str">
        <v>-</v>
      </c>
    </row>
    <row r="5293">
      <c r="A5293">
        <v>5292</v>
      </c>
      <c r="B5293">
        <f>HYPERLINK("https://donghy.thainguyen.gov.vn/xa-tan-loi", "UBND Ủy ban nhân dân xã Tân Lợi  tỉnh Thái Nguyên")</f>
      </c>
      <c r="C5293" t="str">
        <v>https://donghy.thainguyen.gov.vn/xa-tan-loi</v>
      </c>
      <c r="D5293" t="str">
        <v>-</v>
      </c>
      <c r="E5293" t="str">
        <v>-</v>
      </c>
      <c r="F5293" t="str">
        <v>-</v>
      </c>
      <c r="G5293" t="str">
        <v>-</v>
      </c>
    </row>
    <row r="5294">
      <c r="A5294">
        <v>5293</v>
      </c>
      <c r="B5294">
        <f>HYPERLINK("https://www.facebook.com/p/C%C3%B4ng-an-x%C3%A3-Nam-H%C3%B2a-huy%E1%BB%87n-%C4%90%E1%BB%93ng-H%E1%BB%B7-t%E1%BB%89nh-Th%C3%A1i-Nguy%C3%AAn-100071445442325/", "Công an xã Nam Hòa  tỉnh Thái Nguyên")</f>
      </c>
      <c r="C5294" t="str">
        <v>https://www.facebook.com/p/C%C3%B4ng-an-x%C3%A3-Nam-H%C3%B2a-huy%E1%BB%87n-%C4%90%E1%BB%93ng-H%E1%BB%B7-t%E1%BB%89nh-Th%C3%A1i-Nguy%C3%AAn-100071445442325/</v>
      </c>
      <c r="D5294" t="str">
        <v>-</v>
      </c>
      <c r="E5294" t="str">
        <v/>
      </c>
      <c r="F5294" t="str">
        <v>-</v>
      </c>
      <c r="G5294" t="str">
        <v>-</v>
      </c>
    </row>
    <row r="5295">
      <c r="A5295">
        <v>5294</v>
      </c>
      <c r="B5295">
        <f>HYPERLINK("https://donghy.thainguyen.gov.vn/xa-nam-hoa", "UBND Ủy ban nhân dân xã Nam Hòa  tỉnh Thái Nguyên")</f>
      </c>
      <c r="C5295" t="str">
        <v>https://donghy.thainguyen.gov.vn/xa-nam-hoa</v>
      </c>
      <c r="D5295" t="str">
        <v>-</v>
      </c>
      <c r="E5295" t="str">
        <v>-</v>
      </c>
      <c r="F5295" t="str">
        <v>-</v>
      </c>
      <c r="G5295" t="str">
        <v>-</v>
      </c>
    </row>
    <row r="5296">
      <c r="A5296">
        <v>5295</v>
      </c>
      <c r="B5296" t="str">
        <v>Công an thị trấn Đình Cả  tỉnh Thái Nguyên</v>
      </c>
      <c r="C5296" t="str">
        <v>-</v>
      </c>
      <c r="D5296" t="str">
        <v>-</v>
      </c>
      <c r="E5296" t="str">
        <v/>
      </c>
      <c r="F5296" t="str">
        <v>-</v>
      </c>
      <c r="G5296" t="str">
        <v>-</v>
      </c>
    </row>
    <row r="5297">
      <c r="A5297">
        <v>5296</v>
      </c>
      <c r="B5297">
        <f>HYPERLINK("https://dinhca.vonhai.thainguyen.gov.vn/", "UBND Ủy ban nhân dân thị trấn Đình Cả  tỉnh Thái Nguyên")</f>
      </c>
      <c r="C5297" t="str">
        <v>https://dinhca.vonhai.thainguyen.gov.vn/</v>
      </c>
      <c r="D5297" t="str">
        <v>-</v>
      </c>
      <c r="E5297" t="str">
        <v>-</v>
      </c>
      <c r="F5297" t="str">
        <v>-</v>
      </c>
      <c r="G5297" t="str">
        <v>-</v>
      </c>
    </row>
    <row r="5298">
      <c r="A5298">
        <v>5297</v>
      </c>
      <c r="B5298" t="str">
        <v>Công an xã Sảng Mộc  tỉnh Thái Nguyên</v>
      </c>
      <c r="C5298" t="str">
        <v>-</v>
      </c>
      <c r="D5298" t="str">
        <v>-</v>
      </c>
      <c r="E5298" t="str">
        <v/>
      </c>
      <c r="F5298" t="str">
        <v>-</v>
      </c>
      <c r="G5298" t="str">
        <v>-</v>
      </c>
    </row>
    <row r="5299">
      <c r="A5299">
        <v>5298</v>
      </c>
      <c r="B5299">
        <f>HYPERLINK("https://sangmoc.vonhai.thainguyen.gov.vn/", "UBND Ủy ban nhân dân xã Sảng Mộc  tỉnh Thái Nguyên")</f>
      </c>
      <c r="C5299" t="str">
        <v>https://sangmoc.vonhai.thainguyen.gov.vn/</v>
      </c>
      <c r="D5299" t="str">
        <v>-</v>
      </c>
      <c r="E5299" t="str">
        <v>-</v>
      </c>
      <c r="F5299" t="str">
        <v>-</v>
      </c>
      <c r="G5299" t="str">
        <v>-</v>
      </c>
    </row>
    <row r="5300">
      <c r="A5300">
        <v>5299</v>
      </c>
      <c r="B5300" t="str">
        <v>Công an xã Nghinh Tường  tỉnh Thái Nguyên</v>
      </c>
      <c r="C5300" t="str">
        <v>-</v>
      </c>
      <c r="D5300" t="str">
        <v>-</v>
      </c>
      <c r="E5300" t="str">
        <v/>
      </c>
      <c r="F5300" t="str">
        <v>-</v>
      </c>
      <c r="G5300" t="str">
        <v>-</v>
      </c>
    </row>
    <row r="5301">
      <c r="A5301">
        <v>5300</v>
      </c>
      <c r="B5301">
        <f>HYPERLINK("https://nghinhtuong.vonhai.thainguyen.gov.vn/", "UBND Ủy ban nhân dân xã Nghinh Tường  tỉnh Thái Nguyên")</f>
      </c>
      <c r="C5301" t="str">
        <v>https://nghinhtuong.vonhai.thainguyen.gov.vn/</v>
      </c>
      <c r="D5301" t="str">
        <v>-</v>
      </c>
      <c r="E5301" t="str">
        <v>-</v>
      </c>
      <c r="F5301" t="str">
        <v>-</v>
      </c>
      <c r="G5301" t="str">
        <v>-</v>
      </c>
    </row>
    <row r="5302">
      <c r="A5302">
        <v>5301</v>
      </c>
      <c r="B5302" t="str">
        <v>Công an xã Thần Xa  tỉnh Thái Nguyên</v>
      </c>
      <c r="C5302" t="str">
        <v>-</v>
      </c>
      <c r="D5302" t="str">
        <v>-</v>
      </c>
      <c r="E5302" t="str">
        <v/>
      </c>
      <c r="F5302" t="str">
        <v>-</v>
      </c>
      <c r="G5302" t="str">
        <v>-</v>
      </c>
    </row>
    <row r="5303">
      <c r="A5303">
        <v>5302</v>
      </c>
      <c r="B5303">
        <f>HYPERLINK("https://thansa.vonhai.thainguyen.gov.vn/", "UBND Ủy ban nhân dân xã Thần Xa  tỉnh Thái Nguyên")</f>
      </c>
      <c r="C5303" t="str">
        <v>https://thansa.vonhai.thainguyen.gov.vn/</v>
      </c>
      <c r="D5303" t="str">
        <v>-</v>
      </c>
      <c r="E5303" t="str">
        <v>-</v>
      </c>
      <c r="F5303" t="str">
        <v>-</v>
      </c>
      <c r="G5303" t="str">
        <v>-</v>
      </c>
    </row>
    <row r="5304">
      <c r="A5304">
        <v>5303</v>
      </c>
      <c r="B5304" t="str">
        <v>Công an xã Vũ Chấn  tỉnh Thái Nguyên</v>
      </c>
      <c r="C5304" t="str">
        <v>-</v>
      </c>
      <c r="D5304" t="str">
        <v>-</v>
      </c>
      <c r="E5304" t="str">
        <v/>
      </c>
      <c r="F5304" t="str">
        <v>-</v>
      </c>
      <c r="G5304" t="str">
        <v>-</v>
      </c>
    </row>
    <row r="5305">
      <c r="A5305">
        <v>5304</v>
      </c>
      <c r="B5305">
        <f>HYPERLINK("https://vuchan.vonhai.thainguyen.gov.vn/", "UBND Ủy ban nhân dân xã Vũ Chấn  tỉnh Thái Nguyên")</f>
      </c>
      <c r="C5305" t="str">
        <v>https://vuchan.vonhai.thainguyen.gov.vn/</v>
      </c>
      <c r="D5305" t="str">
        <v>-</v>
      </c>
      <c r="E5305" t="str">
        <v>-</v>
      </c>
      <c r="F5305" t="str">
        <v>-</v>
      </c>
      <c r="G5305" t="str">
        <v>-</v>
      </c>
    </row>
    <row r="5306">
      <c r="A5306">
        <v>5305</v>
      </c>
      <c r="B5306" t="str">
        <v>Công an xã Thượng Nung  tỉnh Thái Nguyên</v>
      </c>
      <c r="C5306" t="str">
        <v>-</v>
      </c>
      <c r="D5306" t="str">
        <v>-</v>
      </c>
      <c r="E5306" t="str">
        <v/>
      </c>
      <c r="F5306" t="str">
        <v>-</v>
      </c>
      <c r="G5306" t="str">
        <v>-</v>
      </c>
    </row>
    <row r="5307">
      <c r="A5307">
        <v>5306</v>
      </c>
      <c r="B5307">
        <f>HYPERLINK("https://thuongnung.vonhai.thainguyen.gov.vn/so-do-bo-may/-/asset_publisher/jZN5mVVFoFQX/content/danh-sach-trich-ngang-can-bo-cong-chuc-xa-thuong-nung-nam-2021?inheritRedirect=true", "UBND Ủy ban nhân dân xã Thượng Nung  tỉnh Thái Nguyên")</f>
      </c>
      <c r="C5307" t="str">
        <v>https://thuongnung.vonhai.thainguyen.gov.vn/so-do-bo-may/-/asset_publisher/jZN5mVVFoFQX/content/danh-sach-trich-ngang-can-bo-cong-chuc-xa-thuong-nung-nam-2021?inheritRedirect=true</v>
      </c>
      <c r="D5307" t="str">
        <v>-</v>
      </c>
      <c r="E5307" t="str">
        <v>-</v>
      </c>
      <c r="F5307" t="str">
        <v>-</v>
      </c>
      <c r="G5307" t="str">
        <v>-</v>
      </c>
    </row>
    <row r="5308">
      <c r="A5308">
        <v>5307</v>
      </c>
      <c r="B5308" t="str">
        <v>Công an xã Phú Thượng  tỉnh Thái Nguyên</v>
      </c>
      <c r="C5308" t="str">
        <v>-</v>
      </c>
      <c r="D5308" t="str">
        <v>-</v>
      </c>
      <c r="E5308" t="str">
        <v/>
      </c>
      <c r="F5308" t="str">
        <v>-</v>
      </c>
      <c r="G5308" t="str">
        <v>-</v>
      </c>
    </row>
    <row r="5309">
      <c r="A5309">
        <v>5308</v>
      </c>
      <c r="B5309">
        <f>HYPERLINK("https://phuthuong.vonhai.thainguyen.gov.vn/uy-ban-nhan-dan", "UBND Ủy ban nhân dân xã Phú Thượng  tỉnh Thái Nguyên")</f>
      </c>
      <c r="C5309" t="str">
        <v>https://phuthuong.vonhai.thainguyen.gov.vn/uy-ban-nhan-dan</v>
      </c>
      <c r="D5309" t="str">
        <v>-</v>
      </c>
      <c r="E5309" t="str">
        <v>-</v>
      </c>
      <c r="F5309" t="str">
        <v>-</v>
      </c>
      <c r="G5309" t="str">
        <v>-</v>
      </c>
    </row>
    <row r="5310">
      <c r="A5310">
        <v>5309</v>
      </c>
      <c r="B5310" t="str">
        <v>Công an xã Cúc Đường  tỉnh Thái Nguyên</v>
      </c>
      <c r="C5310" t="str">
        <v>-</v>
      </c>
      <c r="D5310" t="str">
        <v>-</v>
      </c>
      <c r="E5310" t="str">
        <v/>
      </c>
      <c r="F5310" t="str">
        <v>-</v>
      </c>
      <c r="G5310" t="str">
        <v>-</v>
      </c>
    </row>
    <row r="5311">
      <c r="A5311">
        <v>5310</v>
      </c>
      <c r="B5311">
        <f>HYPERLINK("https://cucduong.vonhai.thainguyen.gov.vn/", "UBND Ủy ban nhân dân xã Cúc Đường  tỉnh Thái Nguyên")</f>
      </c>
      <c r="C5311" t="str">
        <v>https://cucduong.vonhai.thainguyen.gov.vn/</v>
      </c>
      <c r="D5311" t="str">
        <v>-</v>
      </c>
      <c r="E5311" t="str">
        <v>-</v>
      </c>
      <c r="F5311" t="str">
        <v>-</v>
      </c>
      <c r="G5311" t="str">
        <v>-</v>
      </c>
    </row>
    <row r="5312">
      <c r="A5312">
        <v>5311</v>
      </c>
      <c r="B5312" t="str">
        <v>Công an xã La Hiên  tỉnh Thái Nguyên</v>
      </c>
      <c r="C5312" t="str">
        <v>-</v>
      </c>
      <c r="D5312" t="str">
        <v>-</v>
      </c>
      <c r="E5312" t="str">
        <v/>
      </c>
      <c r="F5312" t="str">
        <v>-</v>
      </c>
      <c r="G5312" t="str">
        <v>-</v>
      </c>
    </row>
    <row r="5313">
      <c r="A5313">
        <v>5312</v>
      </c>
      <c r="B5313">
        <f>HYPERLINK("https://lahien.vonhai.thainguyen.gov.vn/", "UBND Ủy ban nhân dân xã La Hiên  tỉnh Thái Nguyên")</f>
      </c>
      <c r="C5313" t="str">
        <v>https://lahien.vonhai.thainguyen.gov.vn/</v>
      </c>
      <c r="D5313" t="str">
        <v>-</v>
      </c>
      <c r="E5313" t="str">
        <v>-</v>
      </c>
      <c r="F5313" t="str">
        <v>-</v>
      </c>
      <c r="G5313" t="str">
        <v>-</v>
      </c>
    </row>
    <row r="5314">
      <c r="A5314">
        <v>5313</v>
      </c>
      <c r="B5314" t="str">
        <v>Công an xã Lâu Thượng  tỉnh Thái Nguyên</v>
      </c>
      <c r="C5314" t="str">
        <v>-</v>
      </c>
      <c r="D5314" t="str">
        <v>-</v>
      </c>
      <c r="E5314" t="str">
        <v/>
      </c>
      <c r="F5314" t="str">
        <v>-</v>
      </c>
      <c r="G5314" t="str">
        <v>-</v>
      </c>
    </row>
    <row r="5315">
      <c r="A5315">
        <v>5314</v>
      </c>
      <c r="B5315">
        <f>HYPERLINK("https://lauthuong.vonhai.thainguyen.gov.vn/uy-ban-nhan-dan", "UBND Ủy ban nhân dân xã Lâu Thượng  tỉnh Thái Nguyên")</f>
      </c>
      <c r="C5315" t="str">
        <v>https://lauthuong.vonhai.thainguyen.gov.vn/uy-ban-nhan-dan</v>
      </c>
      <c r="D5315" t="str">
        <v>-</v>
      </c>
      <c r="E5315" t="str">
        <v>-</v>
      </c>
      <c r="F5315" t="str">
        <v>-</v>
      </c>
      <c r="G5315" t="str">
        <v>-</v>
      </c>
    </row>
    <row r="5316">
      <c r="A5316">
        <v>5315</v>
      </c>
      <c r="B5316" t="str">
        <v>Công an xã Tràng Xá  tỉnh Thái Nguyên</v>
      </c>
      <c r="C5316" t="str">
        <v>-</v>
      </c>
      <c r="D5316" t="str">
        <v>-</v>
      </c>
      <c r="E5316" t="str">
        <v/>
      </c>
      <c r="F5316" t="str">
        <v>-</v>
      </c>
      <c r="G5316" t="str">
        <v>-</v>
      </c>
    </row>
    <row r="5317">
      <c r="A5317">
        <v>5316</v>
      </c>
      <c r="B5317">
        <f>HYPERLINK("https://trangxa.vonhai.thainguyen.gov.vn/uy-ban-nhan-dan", "UBND Ủy ban nhân dân xã Tràng Xá  tỉnh Thái Nguyên")</f>
      </c>
      <c r="C5317" t="str">
        <v>https://trangxa.vonhai.thainguyen.gov.vn/uy-ban-nhan-dan</v>
      </c>
      <c r="D5317" t="str">
        <v>-</v>
      </c>
      <c r="E5317" t="str">
        <v>-</v>
      </c>
      <c r="F5317" t="str">
        <v>-</v>
      </c>
      <c r="G5317" t="str">
        <v>-</v>
      </c>
    </row>
    <row r="5318">
      <c r="A5318">
        <v>5317</v>
      </c>
      <c r="B5318" t="str">
        <v>Công an xã Phương Giao  tỉnh Thái Nguyên</v>
      </c>
      <c r="C5318" t="str">
        <v>-</v>
      </c>
      <c r="D5318" t="str">
        <v>-</v>
      </c>
      <c r="E5318" t="str">
        <v/>
      </c>
      <c r="F5318" t="str">
        <v>-</v>
      </c>
      <c r="G5318" t="str">
        <v>-</v>
      </c>
    </row>
    <row r="5319">
      <c r="A5319">
        <v>5318</v>
      </c>
      <c r="B5319">
        <f>HYPERLINK("https://phuonggiao.vonhai.thainguyen.gov.vn/", "UBND Ủy ban nhân dân xã Phương Giao  tỉnh Thái Nguyên")</f>
      </c>
      <c r="C5319" t="str">
        <v>https://phuonggiao.vonhai.thainguyen.gov.vn/</v>
      </c>
      <c r="D5319" t="str">
        <v>-</v>
      </c>
      <c r="E5319" t="str">
        <v>-</v>
      </c>
      <c r="F5319" t="str">
        <v>-</v>
      </c>
      <c r="G5319" t="str">
        <v>-</v>
      </c>
    </row>
    <row r="5320">
      <c r="A5320">
        <v>5319</v>
      </c>
      <c r="B5320">
        <f>HYPERLINK("https://www.facebook.com/thainguyencoop/", "Công an xã Liên Minh  tỉnh Thái Nguyên")</f>
      </c>
      <c r="C5320" t="str">
        <v>https://www.facebook.com/thainguyencoop/</v>
      </c>
      <c r="D5320" t="str">
        <v>-</v>
      </c>
      <c r="E5320" t="str">
        <v/>
      </c>
      <c r="F5320" t="str">
        <v>-</v>
      </c>
      <c r="G5320" t="str">
        <v>-</v>
      </c>
    </row>
    <row r="5321">
      <c r="A5321">
        <v>5320</v>
      </c>
      <c r="B5321">
        <f>HYPERLINK("https://lienminh.vonhai.thainguyen.gov.vn/", "UBND Ủy ban nhân dân xã Liên Minh  tỉnh Thái Nguyên")</f>
      </c>
      <c r="C5321" t="str">
        <v>https://lienminh.vonhai.thainguyen.gov.vn/</v>
      </c>
      <c r="D5321" t="str">
        <v>-</v>
      </c>
      <c r="E5321" t="str">
        <v>-</v>
      </c>
      <c r="F5321" t="str">
        <v>-</v>
      </c>
      <c r="G5321" t="str">
        <v>-</v>
      </c>
    </row>
    <row r="5322">
      <c r="A5322">
        <v>5321</v>
      </c>
      <c r="B5322" t="str">
        <v>Công an xã Dân Tiến  tỉnh Thái Nguyên</v>
      </c>
      <c r="C5322" t="str">
        <v>-</v>
      </c>
      <c r="D5322" t="str">
        <v>-</v>
      </c>
      <c r="E5322" t="str">
        <v/>
      </c>
      <c r="F5322" t="str">
        <v>-</v>
      </c>
      <c r="G5322" t="str">
        <v>-</v>
      </c>
    </row>
    <row r="5323">
      <c r="A5323">
        <v>5322</v>
      </c>
      <c r="B5323">
        <f>HYPERLINK("https://dantien.vonhai.thainguyen.gov.vn/", "UBND Ủy ban nhân dân xã Dân Tiến  tỉnh Thái Nguyên")</f>
      </c>
      <c r="C5323" t="str">
        <v>https://dantien.vonhai.thainguyen.gov.vn/</v>
      </c>
      <c r="D5323" t="str">
        <v>-</v>
      </c>
      <c r="E5323" t="str">
        <v>-</v>
      </c>
      <c r="F5323" t="str">
        <v>-</v>
      </c>
      <c r="G5323" t="str">
        <v>-</v>
      </c>
    </row>
    <row r="5324">
      <c r="A5324">
        <v>5323</v>
      </c>
      <c r="B5324">
        <f>HYPERLINK("https://www.facebook.com/conganbinhlong/", "Công an xã Bình Long  tỉnh Thái Nguyên")</f>
      </c>
      <c r="C5324" t="str">
        <v>https://www.facebook.com/conganbinhlong/</v>
      </c>
      <c r="D5324" t="str">
        <v>-</v>
      </c>
      <c r="E5324" t="str">
        <v/>
      </c>
      <c r="F5324" t="str">
        <v>-</v>
      </c>
      <c r="G5324" t="str">
        <v>-</v>
      </c>
    </row>
    <row r="5325">
      <c r="A5325">
        <v>5324</v>
      </c>
      <c r="B5325">
        <f>HYPERLINK("https://binhlong.vonhai.thainguyen.gov.vn/uy-ban-nhan-dan", "UBND Ủy ban nhân dân xã Bình Long  tỉnh Thái Nguyên")</f>
      </c>
      <c r="C5325" t="str">
        <v>https://binhlong.vonhai.thainguyen.gov.vn/uy-ban-nhan-dan</v>
      </c>
      <c r="D5325" t="str">
        <v>-</v>
      </c>
      <c r="E5325" t="str">
        <v>-</v>
      </c>
      <c r="F5325" t="str">
        <v>-</v>
      </c>
      <c r="G5325" t="str">
        <v>-</v>
      </c>
    </row>
    <row r="5326">
      <c r="A5326">
        <v>5325</v>
      </c>
      <c r="B5326" t="str">
        <v>Công an thị trấn Hùng Sơn  tỉnh Thái Nguyên</v>
      </c>
      <c r="C5326" t="str">
        <v>-</v>
      </c>
      <c r="D5326" t="str">
        <v>-</v>
      </c>
      <c r="E5326" t="str">
        <v/>
      </c>
      <c r="F5326" t="str">
        <v>-</v>
      </c>
      <c r="G5326" t="str">
        <v>-</v>
      </c>
    </row>
    <row r="5327">
      <c r="A5327">
        <v>5326</v>
      </c>
      <c r="B5327">
        <f>HYPERLINK("https://hungson.daitu.thainguyen.gov.vn/", "UBND Ủy ban nhân dân thị trấn Hùng Sơn  tỉnh Thái Nguyên")</f>
      </c>
      <c r="C5327" t="str">
        <v>https://hungson.daitu.thainguyen.gov.vn/</v>
      </c>
      <c r="D5327" t="str">
        <v>-</v>
      </c>
      <c r="E5327" t="str">
        <v>-</v>
      </c>
      <c r="F5327" t="str">
        <v>-</v>
      </c>
      <c r="G5327" t="str">
        <v>-</v>
      </c>
    </row>
    <row r="5328">
      <c r="A5328">
        <v>5327</v>
      </c>
      <c r="B5328" t="str">
        <v>Công an thị trấn Quân Chu  tỉnh Thái Nguyên</v>
      </c>
      <c r="C5328" t="str">
        <v>-</v>
      </c>
      <c r="D5328" t="str">
        <v>-</v>
      </c>
      <c r="E5328" t="str">
        <v/>
      </c>
      <c r="F5328" t="str">
        <v>-</v>
      </c>
      <c r="G5328" t="str">
        <v>-</v>
      </c>
    </row>
    <row r="5329">
      <c r="A5329">
        <v>5328</v>
      </c>
      <c r="B5329">
        <f>HYPERLINK("https://quanchu.daitu.thainguyen.gov.vn/", "UBND Ủy ban nhân dân thị trấn Quân Chu  tỉnh Thái Nguyên")</f>
      </c>
      <c r="C5329" t="str">
        <v>https://quanchu.daitu.thainguyen.gov.vn/</v>
      </c>
      <c r="D5329" t="str">
        <v>-</v>
      </c>
      <c r="E5329" t="str">
        <v>-</v>
      </c>
      <c r="F5329" t="str">
        <v>-</v>
      </c>
      <c r="G5329" t="str">
        <v>-</v>
      </c>
    </row>
    <row r="5330">
      <c r="A5330">
        <v>5329</v>
      </c>
      <c r="B5330">
        <f>HYPERLINK("https://www.facebook.com/p/C%C3%B4ng-An-X%C3%A3-Ph%C3%BAc-L%C6%B0%C6%A1ng-Huy%E1%BB%87n-%C4%90%E1%BA%A1i-T%E1%BB%AB-T%E1%BB%89nh-Th%C3%A1i-Nguy%C3%AAn-100069781869122/", "Công an xã Phúc Lương  tỉnh Thái Nguyên")</f>
      </c>
      <c r="C5330" t="str">
        <v>https://www.facebook.com/p/C%C3%B4ng-An-X%C3%A3-Ph%C3%BAc-L%C6%B0%C6%A1ng-Huy%E1%BB%87n-%C4%90%E1%BA%A1i-T%E1%BB%AB-T%E1%BB%89nh-Th%C3%A1i-Nguy%C3%AAn-100069781869122/</v>
      </c>
      <c r="D5330" t="str">
        <v>-</v>
      </c>
      <c r="E5330" t="str">
        <v/>
      </c>
      <c r="F5330" t="str">
        <v>-</v>
      </c>
      <c r="G5330" t="str">
        <v>-</v>
      </c>
    </row>
    <row r="5331">
      <c r="A5331">
        <v>5330</v>
      </c>
      <c r="B5331">
        <f>HYPERLINK("https://phucluong.daitu.thainguyen.gov.vn/", "UBND Ủy ban nhân dân xã Phúc Lương  tỉnh Thái Nguyên")</f>
      </c>
      <c r="C5331" t="str">
        <v>https://phucluong.daitu.thainguyen.gov.vn/</v>
      </c>
      <c r="D5331" t="str">
        <v>-</v>
      </c>
      <c r="E5331" t="str">
        <v>-</v>
      </c>
      <c r="F5331" t="str">
        <v>-</v>
      </c>
      <c r="G5331" t="str">
        <v>-</v>
      </c>
    </row>
    <row r="5332">
      <c r="A5332">
        <v>5331</v>
      </c>
      <c r="B5332">
        <f>HYPERLINK("https://www.facebook.com/groups/536043074314259/", "Công an xã Minh Tiến  tỉnh Thái Nguyên")</f>
      </c>
      <c r="C5332" t="str">
        <v>https://www.facebook.com/groups/536043074314259/</v>
      </c>
      <c r="D5332" t="str">
        <v>-</v>
      </c>
      <c r="E5332" t="str">
        <v/>
      </c>
      <c r="F5332" t="str">
        <v>-</v>
      </c>
      <c r="G5332" t="str">
        <v>-</v>
      </c>
    </row>
    <row r="5333">
      <c r="A5333">
        <v>5332</v>
      </c>
      <c r="B5333">
        <f>HYPERLINK("https://minhtien.daitu.thainguyen.gov.vn/", "UBND Ủy ban nhân dân xã Minh Tiến  tỉnh Thái Nguyên")</f>
      </c>
      <c r="C5333" t="str">
        <v>https://minhtien.daitu.thainguyen.gov.vn/</v>
      </c>
      <c r="D5333" t="str">
        <v>-</v>
      </c>
      <c r="E5333" t="str">
        <v>-</v>
      </c>
      <c r="F5333" t="str">
        <v>-</v>
      </c>
      <c r="G5333" t="str">
        <v>-</v>
      </c>
    </row>
    <row r="5334">
      <c r="A5334">
        <v>5333</v>
      </c>
      <c r="B5334">
        <f>HYPERLINK("https://www.facebook.com/p/C%C3%B4ng-an-x%C3%A3-Y%C3%AAn-L%C3%A3ng-%C4%90%E1%BA%A1i-T%E1%BB%AB-Th%C3%A1i-Nguy%C3%AAn-100070363596125/", "Công an xã Yên Lãng  tỉnh Thái Nguyên")</f>
      </c>
      <c r="C5334" t="str">
        <v>https://www.facebook.com/p/C%C3%B4ng-an-x%C3%A3-Y%C3%AAn-L%C3%A3ng-%C4%90%E1%BA%A1i-T%E1%BB%AB-Th%C3%A1i-Nguy%C3%AAn-100070363596125/</v>
      </c>
      <c r="D5334" t="str">
        <v>-</v>
      </c>
      <c r="E5334" t="str">
        <v/>
      </c>
      <c r="F5334" t="str">
        <v>-</v>
      </c>
      <c r="G5334" t="str">
        <v>-</v>
      </c>
    </row>
    <row r="5335">
      <c r="A5335">
        <v>5334</v>
      </c>
      <c r="B5335">
        <f>HYPERLINK("https://yenlang.daitu.thainguyen.gov.vn/", "UBND Ủy ban nhân dân xã Yên Lãng  tỉnh Thái Nguyên")</f>
      </c>
      <c r="C5335" t="str">
        <v>https://yenlang.daitu.thainguyen.gov.vn/</v>
      </c>
      <c r="D5335" t="str">
        <v>-</v>
      </c>
      <c r="E5335" t="str">
        <v>-</v>
      </c>
      <c r="F5335" t="str">
        <v>-</v>
      </c>
      <c r="G5335" t="str">
        <v>-</v>
      </c>
    </row>
    <row r="5336">
      <c r="A5336">
        <v>5335</v>
      </c>
      <c r="B5336" t="str">
        <v>Công an xã Đức Lương  tỉnh Thái Nguyên</v>
      </c>
      <c r="C5336" t="str">
        <v>-</v>
      </c>
      <c r="D5336" t="str">
        <v>-</v>
      </c>
      <c r="E5336" t="str">
        <v/>
      </c>
      <c r="F5336" t="str">
        <v>-</v>
      </c>
      <c r="G5336" t="str">
        <v>-</v>
      </c>
    </row>
    <row r="5337">
      <c r="A5337">
        <v>5336</v>
      </c>
      <c r="B5337">
        <f>HYPERLINK("https://ducluong.daitu.thainguyen.gov.vn/", "UBND Ủy ban nhân dân xã Đức Lương  tỉnh Thái Nguyên")</f>
      </c>
      <c r="C5337" t="str">
        <v>https://ducluong.daitu.thainguyen.gov.vn/</v>
      </c>
      <c r="D5337" t="str">
        <v>-</v>
      </c>
      <c r="E5337" t="str">
        <v>-</v>
      </c>
      <c r="F5337" t="str">
        <v>-</v>
      </c>
      <c r="G5337" t="str">
        <v>-</v>
      </c>
    </row>
    <row r="5338">
      <c r="A5338">
        <v>5337</v>
      </c>
      <c r="B5338" t="str">
        <v>Công an xã Phú Cường  tỉnh Thái Nguyên</v>
      </c>
      <c r="C5338" t="str">
        <v>-</v>
      </c>
      <c r="D5338" t="str">
        <v>-</v>
      </c>
      <c r="E5338" t="str">
        <v/>
      </c>
      <c r="F5338" t="str">
        <v>-</v>
      </c>
      <c r="G5338" t="str">
        <v>-</v>
      </c>
    </row>
    <row r="5339">
      <c r="A5339">
        <v>5338</v>
      </c>
      <c r="B5339">
        <f>HYPERLINK("https://phucuong.daitu.thainguyen.gov.vn/", "UBND Ủy ban nhân dân xã Phú Cường  tỉnh Thái Nguyên")</f>
      </c>
      <c r="C5339" t="str">
        <v>https://phucuong.daitu.thainguyen.gov.vn/</v>
      </c>
      <c r="D5339" t="str">
        <v>-</v>
      </c>
      <c r="E5339" t="str">
        <v>-</v>
      </c>
      <c r="F5339" t="str">
        <v>-</v>
      </c>
      <c r="G5339" t="str">
        <v>-</v>
      </c>
    </row>
    <row r="5340">
      <c r="A5340">
        <v>5339</v>
      </c>
      <c r="B5340" t="str">
        <v>Công an xã Na Mao  tỉnh Thái Nguyên</v>
      </c>
      <c r="C5340" t="str">
        <v>-</v>
      </c>
      <c r="D5340" t="str">
        <v>-</v>
      </c>
      <c r="E5340" t="str">
        <v/>
      </c>
      <c r="F5340" t="str">
        <v>-</v>
      </c>
      <c r="G5340" t="str">
        <v>-</v>
      </c>
    </row>
    <row r="5341">
      <c r="A5341">
        <v>5340</v>
      </c>
      <c r="B5341">
        <f>HYPERLINK("https://namao.daitu.thainguyen.gov.vn/", "UBND Ủy ban nhân dân xã Na Mao  tỉnh Thái Nguyên")</f>
      </c>
      <c r="C5341" t="str">
        <v>https://namao.daitu.thainguyen.gov.vn/</v>
      </c>
      <c r="D5341" t="str">
        <v>-</v>
      </c>
      <c r="E5341" t="str">
        <v>-</v>
      </c>
      <c r="F5341" t="str">
        <v>-</v>
      </c>
      <c r="G5341" t="str">
        <v>-</v>
      </c>
    </row>
    <row r="5342">
      <c r="A5342">
        <v>5341</v>
      </c>
      <c r="B5342" t="str">
        <v>Công an xã Phú Lạc  tỉnh Thái Nguyên</v>
      </c>
      <c r="C5342" t="str">
        <v>-</v>
      </c>
      <c r="D5342" t="str">
        <v>-</v>
      </c>
      <c r="E5342" t="str">
        <v/>
      </c>
      <c r="F5342" t="str">
        <v>-</v>
      </c>
      <c r="G5342" t="str">
        <v>-</v>
      </c>
    </row>
    <row r="5343">
      <c r="A5343">
        <v>5342</v>
      </c>
      <c r="B5343">
        <f>HYPERLINK("https://phulac.daitu.thainguyen.gov.vn/", "UBND Ủy ban nhân dân xã Phú Lạc  tỉnh Thái Nguyên")</f>
      </c>
      <c r="C5343" t="str">
        <v>https://phulac.daitu.thainguyen.gov.vn/</v>
      </c>
      <c r="D5343" t="str">
        <v>-</v>
      </c>
      <c r="E5343" t="str">
        <v>-</v>
      </c>
      <c r="F5343" t="str">
        <v>-</v>
      </c>
      <c r="G5343" t="str">
        <v>-</v>
      </c>
    </row>
    <row r="5344">
      <c r="A5344">
        <v>5343</v>
      </c>
      <c r="B5344">
        <f>HYPERLINK("https://www.facebook.com/p/C%C3%B4ng-an-x%C3%A3-T%C3%A2n-Linh-huy%E1%BB%87n-%C4%90%E1%BA%A1i-T%E1%BB%AB-t%E1%BB%89nh-Th%C3%A1i-Nguy%C3%AAn-100063461798083/", "Công an xã Tân Linh  tỉnh Thái Nguyên")</f>
      </c>
      <c r="C5344" t="str">
        <v>https://www.facebook.com/p/C%C3%B4ng-an-x%C3%A3-T%C3%A2n-Linh-huy%E1%BB%87n-%C4%90%E1%BA%A1i-T%E1%BB%AB-t%E1%BB%89nh-Th%C3%A1i-Nguy%C3%AAn-100063461798083/</v>
      </c>
      <c r="D5344" t="str">
        <v>-</v>
      </c>
      <c r="E5344" t="str">
        <v/>
      </c>
      <c r="F5344" t="str">
        <v>-</v>
      </c>
      <c r="G5344" t="str">
        <v>-</v>
      </c>
    </row>
    <row r="5345">
      <c r="A5345">
        <v>5344</v>
      </c>
      <c r="B5345">
        <f>HYPERLINK("https://tanlinh.daitu.thainguyen.gov.vn/", "UBND Ủy ban nhân dân xã Tân Linh  tỉnh Thái Nguyên")</f>
      </c>
      <c r="C5345" t="str">
        <v>https://tanlinh.daitu.thainguyen.gov.vn/</v>
      </c>
      <c r="D5345" t="str">
        <v>-</v>
      </c>
      <c r="E5345" t="str">
        <v>-</v>
      </c>
      <c r="F5345" t="str">
        <v>-</v>
      </c>
      <c r="G5345" t="str">
        <v>-</v>
      </c>
    </row>
    <row r="5346">
      <c r="A5346">
        <v>5345</v>
      </c>
      <c r="B5346" t="str">
        <v>Công an xã Phú Thịnh  tỉnh Thái Nguyên</v>
      </c>
      <c r="C5346" t="str">
        <v>-</v>
      </c>
      <c r="D5346" t="str">
        <v>-</v>
      </c>
      <c r="E5346" t="str">
        <v/>
      </c>
      <c r="F5346" t="str">
        <v>-</v>
      </c>
      <c r="G5346" t="str">
        <v>-</v>
      </c>
    </row>
    <row r="5347">
      <c r="A5347">
        <v>5346</v>
      </c>
      <c r="B5347">
        <f>HYPERLINK("https://phuthinh.daitu.thainguyen.gov.vn/", "UBND Ủy ban nhân dân xã Phú Thịnh  tỉnh Thái Nguyên")</f>
      </c>
      <c r="C5347" t="str">
        <v>https://phuthinh.daitu.thainguyen.gov.vn/</v>
      </c>
      <c r="D5347" t="str">
        <v>-</v>
      </c>
      <c r="E5347" t="str">
        <v>-</v>
      </c>
      <c r="F5347" t="str">
        <v>-</v>
      </c>
      <c r="G5347" t="str">
        <v>-</v>
      </c>
    </row>
    <row r="5348">
      <c r="A5348">
        <v>5347</v>
      </c>
      <c r="B5348">
        <f>HYPERLINK("https://www.facebook.com/p/C%C3%B4ng-an-x%C3%A3-Ph%E1%BB%A5c-Linh-huy%E1%BB%87n-%C4%90%E1%BA%A1i-T%E1%BB%AB-100068039233795/", "Công an xã Phục Linh  tỉnh Thái Nguyên")</f>
      </c>
      <c r="C5348" t="str">
        <v>https://www.facebook.com/p/C%C3%B4ng-an-x%C3%A3-Ph%E1%BB%A5c-Linh-huy%E1%BB%87n-%C4%90%E1%BA%A1i-T%E1%BB%AB-100068039233795/</v>
      </c>
      <c r="D5348" t="str">
        <v>-</v>
      </c>
      <c r="E5348" t="str">
        <v/>
      </c>
      <c r="F5348" t="str">
        <v>-</v>
      </c>
      <c r="G5348" t="str">
        <v>-</v>
      </c>
    </row>
    <row r="5349">
      <c r="A5349">
        <v>5348</v>
      </c>
      <c r="B5349">
        <f>HYPERLINK("https://phuclinh.daitu.thainguyen.gov.vn/", "UBND Ủy ban nhân dân xã Phục Linh  tỉnh Thái Nguyên")</f>
      </c>
      <c r="C5349" t="str">
        <v>https://phuclinh.daitu.thainguyen.gov.vn/</v>
      </c>
      <c r="D5349" t="str">
        <v>-</v>
      </c>
      <c r="E5349" t="str">
        <v>-</v>
      </c>
      <c r="F5349" t="str">
        <v>-</v>
      </c>
      <c r="G5349" t="str">
        <v>-</v>
      </c>
    </row>
    <row r="5350">
      <c r="A5350">
        <v>5349</v>
      </c>
      <c r="B5350">
        <f>HYPERLINK("https://www.facebook.com/p/C%C3%B4ng-an-x%C3%A3-Ph%C3%BA-Xuy%C3%AAn-huy%E1%BB%87n-%C4%90%E1%BA%A1i-T%E1%BB%AB-t%E1%BB%89nh-Th%C3%A1i-Nguy%C3%AAn-100069798306872/", "Công an xã Phú Xuyên  tỉnh Thái Nguyên")</f>
      </c>
      <c r="C5350" t="str">
        <v>https://www.facebook.com/p/C%C3%B4ng-an-x%C3%A3-Ph%C3%BA-Xuy%C3%AAn-huy%E1%BB%87n-%C4%90%E1%BA%A1i-T%E1%BB%AB-t%E1%BB%89nh-Th%C3%A1i-Nguy%C3%AAn-100069798306872/</v>
      </c>
      <c r="D5350" t="str">
        <v>-</v>
      </c>
      <c r="E5350" t="str">
        <v/>
      </c>
      <c r="F5350" t="str">
        <v>-</v>
      </c>
      <c r="G5350" t="str">
        <v>-</v>
      </c>
    </row>
    <row r="5351">
      <c r="A5351">
        <v>5350</v>
      </c>
      <c r="B5351">
        <f>HYPERLINK("https://phuxuyen.daitu.thainguyen.gov.vn/", "UBND Ủy ban nhân dân xã Phú Xuyên  tỉnh Thái Nguyên")</f>
      </c>
      <c r="C5351" t="str">
        <v>https://phuxuyen.daitu.thainguyen.gov.vn/</v>
      </c>
      <c r="D5351" t="str">
        <v>-</v>
      </c>
      <c r="E5351" t="str">
        <v>-</v>
      </c>
      <c r="F5351" t="str">
        <v>-</v>
      </c>
      <c r="G5351" t="str">
        <v>-</v>
      </c>
    </row>
    <row r="5352">
      <c r="A5352">
        <v>5351</v>
      </c>
      <c r="B5352" t="str">
        <v>Công an xã Bản Ngoại  tỉnh Thái Nguyên</v>
      </c>
      <c r="C5352" t="str">
        <v>-</v>
      </c>
      <c r="D5352" t="str">
        <v>-</v>
      </c>
      <c r="E5352" t="str">
        <v/>
      </c>
      <c r="F5352" t="str">
        <v>-</v>
      </c>
      <c r="G5352" t="str">
        <v>-</v>
      </c>
    </row>
    <row r="5353">
      <c r="A5353">
        <v>5352</v>
      </c>
      <c r="B5353">
        <f>HYPERLINK("https://banngoai.daitu.thainguyen.gov.vn/", "UBND Ủy ban nhân dân xã Bản Ngoại  tỉnh Thái Nguyên")</f>
      </c>
      <c r="C5353" t="str">
        <v>https://banngoai.daitu.thainguyen.gov.vn/</v>
      </c>
      <c r="D5353" t="str">
        <v>-</v>
      </c>
      <c r="E5353" t="str">
        <v>-</v>
      </c>
      <c r="F5353" t="str">
        <v>-</v>
      </c>
      <c r="G5353" t="str">
        <v>-</v>
      </c>
    </row>
    <row r="5354">
      <c r="A5354">
        <v>5353</v>
      </c>
      <c r="B5354" t="str">
        <v>Công an xã Tiên Hội  tỉnh Thái Nguyên</v>
      </c>
      <c r="C5354" t="str">
        <v>-</v>
      </c>
      <c r="D5354" t="str">
        <v>-</v>
      </c>
      <c r="E5354" t="str">
        <v/>
      </c>
      <c r="F5354" t="str">
        <v>-</v>
      </c>
      <c r="G5354" t="str">
        <v>-</v>
      </c>
    </row>
    <row r="5355">
      <c r="A5355">
        <v>5354</v>
      </c>
      <c r="B5355">
        <f>HYPERLINK("https://tienhoi.daitu.thainguyen.gov.vn/", "UBND Ủy ban nhân dân xã Tiên Hội  tỉnh Thái Nguyên")</f>
      </c>
      <c r="C5355" t="str">
        <v>https://tienhoi.daitu.thainguyen.gov.vn/</v>
      </c>
      <c r="D5355" t="str">
        <v>-</v>
      </c>
      <c r="E5355" t="str">
        <v>-</v>
      </c>
      <c r="F5355" t="str">
        <v>-</v>
      </c>
      <c r="G5355" t="str">
        <v>-</v>
      </c>
    </row>
    <row r="5356">
      <c r="A5356">
        <v>5355</v>
      </c>
      <c r="B5356">
        <f>HYPERLINK("https://www.facebook.com/p/C%C3%B4ng-an-x%C3%A3-C%C3%B9-V%C3%A2n-huy%E1%BB%87n-%C4%90%E1%BA%A1i-T%E1%BB%AB-t%E1%BB%89nh-Th%C3%A1i-Nguy%C3%AAn-100082798402298/", "Công an xã Cù Vân  tỉnh Thái Nguyên")</f>
      </c>
      <c r="C5356" t="str">
        <v>https://www.facebook.com/p/C%C3%B4ng-an-x%C3%A3-C%C3%B9-V%C3%A2n-huy%E1%BB%87n-%C4%90%E1%BA%A1i-T%E1%BB%AB-t%E1%BB%89nh-Th%C3%A1i-Nguy%C3%AAn-100082798402298/</v>
      </c>
      <c r="D5356" t="str">
        <v>-</v>
      </c>
      <c r="E5356" t="str">
        <v/>
      </c>
      <c r="F5356" t="str">
        <v>-</v>
      </c>
      <c r="G5356" t="str">
        <v>-</v>
      </c>
    </row>
    <row r="5357">
      <c r="A5357">
        <v>5356</v>
      </c>
      <c r="B5357">
        <f>HYPERLINK("https://cuvan.daitu.thainguyen.gov.vn/", "UBND Ủy ban nhân dân xã Cù Vân  tỉnh Thái Nguyên")</f>
      </c>
      <c r="C5357" t="str">
        <v>https://cuvan.daitu.thainguyen.gov.vn/</v>
      </c>
      <c r="D5357" t="str">
        <v>-</v>
      </c>
      <c r="E5357" t="str">
        <v>-</v>
      </c>
      <c r="F5357" t="str">
        <v>-</v>
      </c>
      <c r="G5357" t="str">
        <v>-</v>
      </c>
    </row>
    <row r="5358">
      <c r="A5358">
        <v>5357</v>
      </c>
      <c r="B5358">
        <f>HYPERLINK("https://www.facebook.com/p/C%C3%B4ng-an-x%C3%A3-H%C3%A0-Th%C6%B0%E1%BB%A3ng-huy%E1%BB%87n-%C4%90%E1%BA%A1i-T%E1%BB%AB-100069744573586/", "Công an xã Hà Thượng  tỉnh Thái Nguyên")</f>
      </c>
      <c r="C5358" t="str">
        <v>https://www.facebook.com/p/C%C3%B4ng-an-x%C3%A3-H%C3%A0-Th%C6%B0%E1%BB%A3ng-huy%E1%BB%87n-%C4%90%E1%BA%A1i-T%E1%BB%AB-100069744573586/</v>
      </c>
      <c r="D5358" t="str">
        <v>-</v>
      </c>
      <c r="E5358" t="str">
        <v/>
      </c>
      <c r="F5358" t="str">
        <v>-</v>
      </c>
      <c r="G5358" t="str">
        <v>-</v>
      </c>
    </row>
    <row r="5359">
      <c r="A5359">
        <v>5358</v>
      </c>
      <c r="B5359">
        <f>HYPERLINK("https://hathuong.daitu.thainguyen.gov.vn/", "UBND Ủy ban nhân dân xã Hà Thượng  tỉnh Thái Nguyên")</f>
      </c>
      <c r="C5359" t="str">
        <v>https://hathuong.daitu.thainguyen.gov.vn/</v>
      </c>
      <c r="D5359" t="str">
        <v>-</v>
      </c>
      <c r="E5359" t="str">
        <v>-</v>
      </c>
      <c r="F5359" t="str">
        <v>-</v>
      </c>
      <c r="G5359" t="str">
        <v>-</v>
      </c>
    </row>
    <row r="5360">
      <c r="A5360">
        <v>5359</v>
      </c>
      <c r="B5360">
        <f>HYPERLINK("https://www.facebook.com/p/C%C3%B4ng-an-x%C3%A3-La-B%E1%BA%B1ng-huy%E1%BB%87n-%C4%90%E1%BA%A1i-T%E1%BB%AB-t%E1%BB%89nh-Th%C3%A1i-Nguy%C3%AAn-100079730225969/", "Công an xã La Bằng  tỉnh Thái Nguyên")</f>
      </c>
      <c r="C5360" t="str">
        <v>https://www.facebook.com/p/C%C3%B4ng-an-x%C3%A3-La-B%E1%BA%B1ng-huy%E1%BB%87n-%C4%90%E1%BA%A1i-T%E1%BB%AB-t%E1%BB%89nh-Th%C3%A1i-Nguy%C3%AAn-100079730225969/</v>
      </c>
      <c r="D5360" t="str">
        <v>-</v>
      </c>
      <c r="E5360" t="str">
        <v/>
      </c>
      <c r="F5360" t="str">
        <v>-</v>
      </c>
      <c r="G5360" t="str">
        <v>-</v>
      </c>
    </row>
    <row r="5361">
      <c r="A5361">
        <v>5360</v>
      </c>
      <c r="B5361">
        <f>HYPERLINK("https://labang.daitu.thainguyen.gov.vn/", "UBND Ủy ban nhân dân xã La Bằng  tỉnh Thái Nguyên")</f>
      </c>
      <c r="C5361" t="str">
        <v>https://labang.daitu.thainguyen.gov.vn/</v>
      </c>
      <c r="D5361" t="str">
        <v>-</v>
      </c>
      <c r="E5361" t="str">
        <v>-</v>
      </c>
      <c r="F5361" t="str">
        <v>-</v>
      </c>
      <c r="G5361" t="str">
        <v>-</v>
      </c>
    </row>
    <row r="5362">
      <c r="A5362">
        <v>5361</v>
      </c>
      <c r="B5362" t="str">
        <v>Công an xã Hoàng Nông  tỉnh Thái Nguyên</v>
      </c>
      <c r="C5362" t="str">
        <v>-</v>
      </c>
      <c r="D5362" t="str">
        <v>-</v>
      </c>
      <c r="E5362" t="str">
        <v/>
      </c>
      <c r="F5362" t="str">
        <v>-</v>
      </c>
      <c r="G5362" t="str">
        <v>-</v>
      </c>
    </row>
    <row r="5363">
      <c r="A5363">
        <v>5362</v>
      </c>
      <c r="B5363">
        <f>HYPERLINK("https://hoangnong.daitu.thainguyen.gov.vn/", "UBND Ủy ban nhân dân xã Hoàng Nông  tỉnh Thái Nguyên")</f>
      </c>
      <c r="C5363" t="str">
        <v>https://hoangnong.daitu.thainguyen.gov.vn/</v>
      </c>
      <c r="D5363" t="str">
        <v>-</v>
      </c>
      <c r="E5363" t="str">
        <v>-</v>
      </c>
      <c r="F5363" t="str">
        <v>-</v>
      </c>
      <c r="G5363" t="str">
        <v>-</v>
      </c>
    </row>
    <row r="5364">
      <c r="A5364">
        <v>5363</v>
      </c>
      <c r="B5364">
        <f>HYPERLINK("https://www.facebook.com/conganxakhoikydaitu/", "Công an xã Khôi Kỳ  tỉnh Thái Nguyên")</f>
      </c>
      <c r="C5364" t="str">
        <v>https://www.facebook.com/conganxakhoikydaitu/</v>
      </c>
      <c r="D5364" t="str">
        <v>-</v>
      </c>
      <c r="E5364" t="str">
        <v/>
      </c>
      <c r="F5364" t="str">
        <v>-</v>
      </c>
      <c r="G5364" t="str">
        <v>-</v>
      </c>
    </row>
    <row r="5365">
      <c r="A5365">
        <v>5364</v>
      </c>
      <c r="B5365">
        <f>HYPERLINK("https://khoiky.daitu.thainguyen.gov.vn/", "UBND Ủy ban nhân dân xã Khôi Kỳ  tỉnh Thái Nguyên")</f>
      </c>
      <c r="C5365" t="str">
        <v>https://khoiky.daitu.thainguyen.gov.vn/</v>
      </c>
      <c r="D5365" t="str">
        <v>-</v>
      </c>
      <c r="E5365" t="str">
        <v>-</v>
      </c>
      <c r="F5365" t="str">
        <v>-</v>
      </c>
      <c r="G5365" t="str">
        <v>-</v>
      </c>
    </row>
    <row r="5366">
      <c r="A5366">
        <v>5365</v>
      </c>
      <c r="B5366">
        <f>HYPERLINK("https://www.facebook.com/p/C%C3%B4ng-an-x%C3%A3-An-Kh%C3%A1nh-%C4%90%E1%BA%A1i-T%E1%BB%AB-Th%C3%A1i-Nguy%C3%AAn-100068254629695/", "Công an xã An Khánh  tỉnh Thái Nguyên")</f>
      </c>
      <c r="C5366" t="str">
        <v>https://www.facebook.com/p/C%C3%B4ng-an-x%C3%A3-An-Kh%C3%A1nh-%C4%90%E1%BA%A1i-T%E1%BB%AB-Th%C3%A1i-Nguy%C3%AAn-100068254629695/</v>
      </c>
      <c r="D5366" t="str">
        <v>-</v>
      </c>
      <c r="E5366" t="str">
        <v/>
      </c>
      <c r="F5366" t="str">
        <v>-</v>
      </c>
      <c r="G5366" t="str">
        <v>-</v>
      </c>
    </row>
    <row r="5367">
      <c r="A5367">
        <v>5366</v>
      </c>
      <c r="B5367">
        <f>HYPERLINK("https://ankhanh.daitu.thainguyen.gov.vn/", "UBND Ủy ban nhân dân xã An Khánh  tỉnh Thái Nguyên")</f>
      </c>
      <c r="C5367" t="str">
        <v>https://ankhanh.daitu.thainguyen.gov.vn/</v>
      </c>
      <c r="D5367" t="str">
        <v>-</v>
      </c>
      <c r="E5367" t="str">
        <v>-</v>
      </c>
      <c r="F5367" t="str">
        <v>-</v>
      </c>
      <c r="G5367" t="str">
        <v>-</v>
      </c>
    </row>
    <row r="5368">
      <c r="A5368">
        <v>5367</v>
      </c>
      <c r="B5368" t="str">
        <v>Công an xã Tân Thái  tỉnh Thái Nguyên</v>
      </c>
      <c r="C5368" t="str">
        <v>-</v>
      </c>
      <c r="D5368" t="str">
        <v>-</v>
      </c>
      <c r="E5368" t="str">
        <v/>
      </c>
      <c r="F5368" t="str">
        <v>-</v>
      </c>
      <c r="G5368" t="str">
        <v>-</v>
      </c>
    </row>
    <row r="5369">
      <c r="A5369">
        <v>5368</v>
      </c>
      <c r="B5369">
        <f>HYPERLINK("https://tanthai.daitu.thainguyen.gov.vn/", "UBND Ủy ban nhân dân xã Tân Thái  tỉnh Thái Nguyên")</f>
      </c>
      <c r="C5369" t="str">
        <v>https://tanthai.daitu.thainguyen.gov.vn/</v>
      </c>
      <c r="D5369" t="str">
        <v>-</v>
      </c>
      <c r="E5369" t="str">
        <v>-</v>
      </c>
      <c r="F5369" t="str">
        <v>-</v>
      </c>
      <c r="G5369" t="str">
        <v>-</v>
      </c>
    </row>
    <row r="5370">
      <c r="A5370">
        <v>5369</v>
      </c>
      <c r="B5370">
        <f>HYPERLINK("https://www.facebook.com/p/C%C3%B4ng-an-x%C3%A3-H%C3%A0-Th%C6%B0%E1%BB%A3ng-huy%E1%BB%87n-%C4%90%E1%BA%A1i-T%E1%BB%AB-100069744573586/", "Công an xã Hà Thượng   tỉnh Thái Nguyên")</f>
      </c>
      <c r="C5370" t="str">
        <v>https://www.facebook.com/p/C%C3%B4ng-an-x%C3%A3-H%C3%A0-Th%C6%B0%E1%BB%A3ng-huy%E1%BB%87n-%C4%90%E1%BA%A1i-T%E1%BB%AB-100069744573586/</v>
      </c>
      <c r="D5370" t="str">
        <v>-</v>
      </c>
      <c r="E5370" t="str">
        <v/>
      </c>
      <c r="F5370" t="str">
        <v>-</v>
      </c>
      <c r="G5370" t="str">
        <v>-</v>
      </c>
    </row>
    <row r="5371">
      <c r="A5371">
        <v>5370</v>
      </c>
      <c r="B5371">
        <f>HYPERLINK("https://hathuong.daitu.thainguyen.gov.vn/", "UBND Ủy ban nhân dân xã Hà Thượng   tỉnh Thái Nguyên")</f>
      </c>
      <c r="C5371" t="str">
        <v>https://hathuong.daitu.thainguyen.gov.vn/</v>
      </c>
      <c r="D5371" t="str">
        <v>-</v>
      </c>
      <c r="E5371" t="str">
        <v>-</v>
      </c>
      <c r="F5371" t="str">
        <v>-</v>
      </c>
      <c r="G5371" t="str">
        <v>-</v>
      </c>
    </row>
    <row r="5372">
      <c r="A5372">
        <v>5371</v>
      </c>
      <c r="B5372">
        <f>HYPERLINK("https://www.facebook.com/p/C%C3%B4ng-an-x%C3%A3-L%E1%BB%A5c-Ba-huy%E1%BB%87n-%C4%90%E1%BA%A1i-T%E1%BB%AB-t%E1%BB%89nh-Th%C3%A1i-Nguy%C3%AAn-100071975551204/", "Công an xã Lục Ba  tỉnh Thái Nguyên")</f>
      </c>
      <c r="C5372" t="str">
        <v>https://www.facebook.com/p/C%C3%B4ng-an-x%C3%A3-L%E1%BB%A5c-Ba-huy%E1%BB%87n-%C4%90%E1%BA%A1i-T%E1%BB%AB-t%E1%BB%89nh-Th%C3%A1i-Nguy%C3%AAn-100071975551204/</v>
      </c>
      <c r="D5372" t="str">
        <v>-</v>
      </c>
      <c r="E5372" t="str">
        <v/>
      </c>
      <c r="F5372" t="str">
        <v>-</v>
      </c>
      <c r="G5372" t="str">
        <v>-</v>
      </c>
    </row>
    <row r="5373">
      <c r="A5373">
        <v>5372</v>
      </c>
      <c r="B5373">
        <f>HYPERLINK("https://lucba.daitu.thainguyen.gov.vn/", "UBND Ủy ban nhân dân xã Lục Ba  tỉnh Thái Nguyên")</f>
      </c>
      <c r="C5373" t="str">
        <v>https://lucba.daitu.thainguyen.gov.vn/</v>
      </c>
      <c r="D5373" t="str">
        <v>-</v>
      </c>
      <c r="E5373" t="str">
        <v>-</v>
      </c>
      <c r="F5373" t="str">
        <v>-</v>
      </c>
      <c r="G5373" t="str">
        <v>-</v>
      </c>
    </row>
    <row r="5374">
      <c r="A5374">
        <v>5373</v>
      </c>
      <c r="B5374">
        <f>HYPERLINK("https://www.facebook.com/people/C%C3%B4ng-an-x%C3%A3-M%E1%BB%B9-Y%C3%AAn/100071763932681/", "Công an xã Mỹ Yên  tỉnh Thái Nguyên")</f>
      </c>
      <c r="C5374" t="str">
        <v>https://www.facebook.com/people/C%C3%B4ng-an-x%C3%A3-M%E1%BB%B9-Y%C3%AAn/100071763932681/</v>
      </c>
      <c r="D5374" t="str">
        <v>-</v>
      </c>
      <c r="E5374" t="str">
        <v>0963203122</v>
      </c>
      <c r="F5374" t="str">
        <v>-</v>
      </c>
      <c r="G5374" t="str">
        <v>XÓM TRUNG TÂM, XÃ MỸ YÊN, HUYỆN ĐẠI TỪ, TỈNH THÁI NGUYÊN, Dai Tu, Vietnam</v>
      </c>
    </row>
    <row r="5375">
      <c r="A5375">
        <v>5374</v>
      </c>
      <c r="B5375">
        <f>HYPERLINK("https://myyen.daitu.thainguyen.gov.vn/", "UBND Ủy ban nhân dân xã Mỹ Yên  tỉnh Thái Nguyên")</f>
      </c>
      <c r="C5375" t="str">
        <v>https://myyen.daitu.thainguyen.gov.vn/</v>
      </c>
      <c r="D5375" t="str">
        <v>-</v>
      </c>
      <c r="E5375" t="str">
        <v>-</v>
      </c>
      <c r="F5375" t="str">
        <v>-</v>
      </c>
      <c r="G5375" t="str">
        <v>-</v>
      </c>
    </row>
    <row r="5376">
      <c r="A5376">
        <v>5375</v>
      </c>
      <c r="B5376">
        <f>HYPERLINK("https://www.facebook.com/p/C%C3%B4ng-an-x%C3%A3-V%E1%BA%A1n-Th%E1%BB%8D-huy%E1%BB%87n-%C4%90%E1%BA%A1i-T%E1%BB%AB-t%E1%BB%89nh-Th%C3%A1i-Nguy%C3%AAn-100071344072113/", "Công an xã Vạn Thọ  tỉnh Thái Nguyên")</f>
      </c>
      <c r="C5376" t="str">
        <v>https://www.facebook.com/p/C%C3%B4ng-an-x%C3%A3-V%E1%BA%A1n-Th%E1%BB%8D-huy%E1%BB%87n-%C4%90%E1%BA%A1i-T%E1%BB%AB-t%E1%BB%89nh-Th%C3%A1i-Nguy%C3%AAn-100071344072113/</v>
      </c>
      <c r="D5376" t="str">
        <v>-</v>
      </c>
      <c r="E5376" t="str">
        <v/>
      </c>
      <c r="F5376" t="str">
        <v>-</v>
      </c>
      <c r="G5376" t="str">
        <v>-</v>
      </c>
    </row>
    <row r="5377">
      <c r="A5377">
        <v>5376</v>
      </c>
      <c r="B5377">
        <f>HYPERLINK("https://vantho.daitu.thainguyen.gov.vn/", "UBND Ủy ban nhân dân xã Vạn Thọ  tỉnh Thái Nguyên")</f>
      </c>
      <c r="C5377" t="str">
        <v>https://vantho.daitu.thainguyen.gov.vn/</v>
      </c>
      <c r="D5377" t="str">
        <v>-</v>
      </c>
      <c r="E5377" t="str">
        <v>-</v>
      </c>
      <c r="F5377" t="str">
        <v>-</v>
      </c>
      <c r="G5377" t="str">
        <v>-</v>
      </c>
    </row>
    <row r="5378">
      <c r="A5378">
        <v>5377</v>
      </c>
      <c r="B5378">
        <f>HYPERLINK("https://www.facebook.com/p/C%C3%B4ng-an-x%C3%A3-V%C4%83n-Y%C3%AAn-huy%E1%BB%87n-%C4%90%E1%BA%A1i-T%E1%BB%AB-t%E1%BB%89nh-Th%C3%A1i-Nguy%C3%AAn-100068914432296/", "Công an xã Văn Yên  tỉnh Thái Nguyên")</f>
      </c>
      <c r="C5378" t="str">
        <v>https://www.facebook.com/p/C%C3%B4ng-an-x%C3%A3-V%C4%83n-Y%C3%AAn-huy%E1%BB%87n-%C4%90%E1%BA%A1i-T%E1%BB%AB-t%E1%BB%89nh-Th%C3%A1i-Nguy%C3%AAn-100068914432296/</v>
      </c>
      <c r="D5378" t="str">
        <v>-</v>
      </c>
      <c r="E5378" t="str">
        <v/>
      </c>
      <c r="F5378" t="str">
        <v>-</v>
      </c>
      <c r="G5378" t="str">
        <v>-</v>
      </c>
    </row>
    <row r="5379">
      <c r="A5379">
        <v>5378</v>
      </c>
      <c r="B5379">
        <f>HYPERLINK("https://vanyen.daitu.thainguyen.gov.vn/", "UBND Ủy ban nhân dân xã Văn Yên  tỉnh Thái Nguyên")</f>
      </c>
      <c r="C5379" t="str">
        <v>https://vanyen.daitu.thainguyen.gov.vn/</v>
      </c>
      <c r="D5379" t="str">
        <v>-</v>
      </c>
      <c r="E5379" t="str">
        <v>-</v>
      </c>
      <c r="F5379" t="str">
        <v>-</v>
      </c>
      <c r="G5379" t="str">
        <v>-</v>
      </c>
    </row>
    <row r="5380">
      <c r="A5380">
        <v>5379</v>
      </c>
      <c r="B5380">
        <f>HYPERLINK("https://www.facebook.com/DoManhTung1988/", "Công an xã Ký Phú  tỉnh Thái Nguyên")</f>
      </c>
      <c r="C5380" t="str">
        <v>https://www.facebook.com/DoManhTung1988/</v>
      </c>
      <c r="D5380" t="str">
        <v>-</v>
      </c>
      <c r="E5380" t="str">
        <v/>
      </c>
      <c r="F5380" t="str">
        <v>-</v>
      </c>
      <c r="G5380" t="str">
        <v>-</v>
      </c>
    </row>
    <row r="5381">
      <c r="A5381">
        <v>5380</v>
      </c>
      <c r="B5381">
        <f>HYPERLINK("https://kyphu.daitu.thainguyen.gov.vn/", "UBND Ủy ban nhân dân xã Ký Phú  tỉnh Thái Nguyên")</f>
      </c>
      <c r="C5381" t="str">
        <v>https://kyphu.daitu.thainguyen.gov.vn/</v>
      </c>
      <c r="D5381" t="str">
        <v>-</v>
      </c>
      <c r="E5381" t="str">
        <v>-</v>
      </c>
      <c r="F5381" t="str">
        <v>-</v>
      </c>
      <c r="G5381" t="str">
        <v>-</v>
      </c>
    </row>
    <row r="5382">
      <c r="A5382">
        <v>5381</v>
      </c>
      <c r="B5382" t="str">
        <v>Công an xã Cát Nê  tỉnh Thái Nguyên</v>
      </c>
      <c r="C5382" t="str">
        <v>-</v>
      </c>
      <c r="D5382" t="str">
        <v>-</v>
      </c>
      <c r="E5382" t="str">
        <v/>
      </c>
      <c r="F5382" t="str">
        <v>-</v>
      </c>
      <c r="G5382" t="str">
        <v>-</v>
      </c>
    </row>
    <row r="5383">
      <c r="A5383">
        <v>5382</v>
      </c>
      <c r="B5383">
        <f>HYPERLINK("https://catne.daitu.thainguyen.gov.vn/", "UBND Ủy ban nhân dân xã Cát Nê  tỉnh Thái Nguyên")</f>
      </c>
      <c r="C5383" t="str">
        <v>https://catne.daitu.thainguyen.gov.vn/</v>
      </c>
      <c r="D5383" t="str">
        <v>-</v>
      </c>
      <c r="E5383" t="str">
        <v>-</v>
      </c>
      <c r="F5383" t="str">
        <v>-</v>
      </c>
      <c r="G5383" t="str">
        <v>-</v>
      </c>
    </row>
    <row r="5384">
      <c r="A5384">
        <v>5383</v>
      </c>
      <c r="B5384" t="str">
        <v>Công an xã Quân Chu  tỉnh Thái Nguyên</v>
      </c>
      <c r="C5384" t="str">
        <v>-</v>
      </c>
      <c r="D5384" t="str">
        <v>-</v>
      </c>
      <c r="E5384" t="str">
        <v/>
      </c>
      <c r="F5384" t="str">
        <v>-</v>
      </c>
      <c r="G5384" t="str">
        <v>-</v>
      </c>
    </row>
    <row r="5385">
      <c r="A5385">
        <v>5384</v>
      </c>
      <c r="B5385">
        <f>HYPERLINK("https://thainguyen.gov.vn/", "UBND Ủy ban nhân dân xã Quân Chu  tỉnh Thái Nguyên")</f>
      </c>
      <c r="C5385" t="str">
        <v>https://thainguyen.gov.vn/</v>
      </c>
      <c r="D5385" t="str">
        <v>-</v>
      </c>
      <c r="E5385" t="str">
        <v>-</v>
      </c>
      <c r="F5385" t="str">
        <v>-</v>
      </c>
      <c r="G5385" t="str">
        <v>-</v>
      </c>
    </row>
    <row r="5386">
      <c r="A5386">
        <v>5385</v>
      </c>
      <c r="B5386" t="str">
        <v>Công an phường Bãi Bông  tỉnh Thái Nguyên</v>
      </c>
      <c r="C5386" t="str">
        <v>-</v>
      </c>
      <c r="D5386" t="str">
        <v>-</v>
      </c>
      <c r="E5386" t="str">
        <v/>
      </c>
      <c r="F5386" t="str">
        <v>-</v>
      </c>
      <c r="G5386" t="str">
        <v>-</v>
      </c>
    </row>
    <row r="5387">
      <c r="A5387">
        <v>5386</v>
      </c>
      <c r="B5387">
        <f>HYPERLINK("https://baibong.phoyen.thainguyen.gov.vn/uy-ban-nhan-dan", "UBND Ủy ban nhân dân phường Bãi Bông  tỉnh Thái Nguyên")</f>
      </c>
      <c r="C5387" t="str">
        <v>https://baibong.phoyen.thainguyen.gov.vn/uy-ban-nhan-dan</v>
      </c>
      <c r="D5387" t="str">
        <v>-</v>
      </c>
      <c r="E5387" t="str">
        <v>-</v>
      </c>
      <c r="F5387" t="str">
        <v>-</v>
      </c>
      <c r="G5387" t="str">
        <v>-</v>
      </c>
    </row>
    <row r="5388">
      <c r="A5388">
        <v>5387</v>
      </c>
      <c r="B5388">
        <f>HYPERLINK("https://www.facebook.com/100071932478336", "Công an phường Bắc Sơn  tỉnh Thái Nguyên")</f>
      </c>
      <c r="C5388" t="str">
        <v>https://www.facebook.com/100071932478336</v>
      </c>
      <c r="D5388" t="str">
        <v>-</v>
      </c>
      <c r="E5388" t="str">
        <v>02083909099</v>
      </c>
      <c r="F5388" t="str">
        <v>Trantrungca95@gmail.com</v>
      </c>
      <c r="G5388" t="str">
        <v>Phường Bắc Sơn, phổ yên, thái nguyên</v>
      </c>
    </row>
    <row r="5389">
      <c r="A5389">
        <v>5388</v>
      </c>
      <c r="B5389">
        <f>HYPERLINK("https://bacson.phoyen.thainguyen.gov.vn/uy-ban-nhan-dan", "UBND Ủy ban nhân dân phường Bắc Sơn  tỉnh Thái Nguyên")</f>
      </c>
      <c r="C5389" t="str">
        <v>https://bacson.phoyen.thainguyen.gov.vn/uy-ban-nhan-dan</v>
      </c>
      <c r="D5389" t="str">
        <v>-</v>
      </c>
      <c r="E5389" t="str">
        <v>-</v>
      </c>
      <c r="F5389" t="str">
        <v>-</v>
      </c>
      <c r="G5389" t="str">
        <v>-</v>
      </c>
    </row>
    <row r="5390">
      <c r="A5390">
        <v>5389</v>
      </c>
      <c r="B5390" t="str">
        <v>Công an phường Ba Hàng  tỉnh Thái Nguyên</v>
      </c>
      <c r="C5390" t="str">
        <v>-</v>
      </c>
      <c r="D5390" t="str">
        <v>-</v>
      </c>
      <c r="E5390" t="str">
        <v/>
      </c>
      <c r="F5390" t="str">
        <v>-</v>
      </c>
      <c r="G5390" t="str">
        <v>-</v>
      </c>
    </row>
    <row r="5391">
      <c r="A5391">
        <v>5390</v>
      </c>
      <c r="B5391">
        <f>HYPERLINK("https://bahang.phoyen.thainguyen.gov.vn/", "UBND Ủy ban nhân dân phường Ba Hàng  tỉnh Thái Nguyên")</f>
      </c>
      <c r="C5391" t="str">
        <v>https://bahang.phoyen.thainguyen.gov.vn/</v>
      </c>
      <c r="D5391" t="str">
        <v>-</v>
      </c>
      <c r="E5391" t="str">
        <v>-</v>
      </c>
      <c r="F5391" t="str">
        <v>-</v>
      </c>
      <c r="G5391" t="str">
        <v>-</v>
      </c>
    </row>
    <row r="5392">
      <c r="A5392">
        <v>5391</v>
      </c>
      <c r="B5392" t="str">
        <v>Công an xã Phúc Tân  tỉnh Thái Nguyên</v>
      </c>
      <c r="C5392" t="str">
        <v>-</v>
      </c>
      <c r="D5392" t="str">
        <v>-</v>
      </c>
      <c r="E5392" t="str">
        <v/>
      </c>
      <c r="F5392" t="str">
        <v>-</v>
      </c>
      <c r="G5392" t="str">
        <v>-</v>
      </c>
    </row>
    <row r="5393">
      <c r="A5393">
        <v>5392</v>
      </c>
      <c r="B5393">
        <f>HYPERLINK("https://phuctan.phoyen.thainguyen.gov.vn/", "UBND Ủy ban nhân dân xã Phúc Tân  tỉnh Thái Nguyên")</f>
      </c>
      <c r="C5393" t="str">
        <v>https://phuctan.phoyen.thainguyen.gov.vn/</v>
      </c>
      <c r="D5393" t="str">
        <v>-</v>
      </c>
      <c r="E5393" t="str">
        <v>-</v>
      </c>
      <c r="F5393" t="str">
        <v>-</v>
      </c>
      <c r="G5393" t="str">
        <v>-</v>
      </c>
    </row>
    <row r="5394">
      <c r="A5394">
        <v>5393</v>
      </c>
      <c r="B5394">
        <f>HYPERLINK("https://www.facebook.com/p/C%C3%B4ng-an-x%C3%A3-Ph%C3%BAc-Thu%E1%BA%ADn-Th%C3%A0nh-Ph%E1%BB%91-Ph%E1%BB%95-Y%C3%AAn-T%E1%BB%89nh-Th%C3%A1i-Nguy%C3%AAn-100078733946509/", "Công an xã Phúc Thuận  tỉnh Thái Nguyên")</f>
      </c>
      <c r="C5394" t="str">
        <v>https://www.facebook.com/p/C%C3%B4ng-an-x%C3%A3-Ph%C3%BAc-Thu%E1%BA%ADn-Th%C3%A0nh-Ph%E1%BB%91-Ph%E1%BB%95-Y%C3%AAn-T%E1%BB%89nh-Th%C3%A1i-Nguy%C3%AAn-100078733946509/</v>
      </c>
      <c r="D5394" t="str">
        <v>-</v>
      </c>
      <c r="E5394" t="str">
        <v/>
      </c>
      <c r="F5394" t="str">
        <v>-</v>
      </c>
      <c r="G5394" t="str">
        <v>-</v>
      </c>
    </row>
    <row r="5395">
      <c r="A5395">
        <v>5394</v>
      </c>
      <c r="B5395">
        <f>HYPERLINK("https://phucthuan.phoyen.thainguyen.gov.vn/uy-ban-nhan-dan", "UBND Ủy ban nhân dân xã Phúc Thuận  tỉnh Thái Nguyên")</f>
      </c>
      <c r="C5395" t="str">
        <v>https://phucthuan.phoyen.thainguyen.gov.vn/uy-ban-nhan-dan</v>
      </c>
      <c r="D5395" t="str">
        <v>-</v>
      </c>
      <c r="E5395" t="str">
        <v>-</v>
      </c>
      <c r="F5395" t="str">
        <v>-</v>
      </c>
      <c r="G5395" t="str">
        <v>-</v>
      </c>
    </row>
    <row r="5396">
      <c r="A5396">
        <v>5395</v>
      </c>
      <c r="B5396" t="str">
        <v>Công an xã Hồng Tiến  tỉnh Thái Nguyên</v>
      </c>
      <c r="C5396" t="str">
        <v>-</v>
      </c>
      <c r="D5396" t="str">
        <v>-</v>
      </c>
      <c r="E5396" t="str">
        <v/>
      </c>
      <c r="F5396" t="str">
        <v>-</v>
      </c>
      <c r="G5396" t="str">
        <v>-</v>
      </c>
    </row>
    <row r="5397">
      <c r="A5397">
        <v>5396</v>
      </c>
      <c r="B5397">
        <f>HYPERLINK("https://hongtien.phoyen.thainguyen.gov.vn/", "UBND Ủy ban nhân dân xã Hồng Tiến  tỉnh Thái Nguyên")</f>
      </c>
      <c r="C5397" t="str">
        <v>https://hongtien.phoyen.thainguyen.gov.vn/</v>
      </c>
      <c r="D5397" t="str">
        <v>-</v>
      </c>
      <c r="E5397" t="str">
        <v>-</v>
      </c>
      <c r="F5397" t="str">
        <v>-</v>
      </c>
      <c r="G5397" t="str">
        <v>-</v>
      </c>
    </row>
    <row r="5398">
      <c r="A5398">
        <v>5397</v>
      </c>
      <c r="B5398">
        <f>HYPERLINK("https://www.facebook.com/p/C%C3%B4ng-an-x%C3%A3-Minh-%C4%90%E1%BB%A9c-Th%C3%A0nh-ph%E1%BB%91-Ph%E1%BB%95-Y%C3%AAn-T%E1%BB%89nh-Th%C3%A1i-Nguy%C3%AAn-100071945641911/", "Công an xã Minh Đức  tỉnh Thái Nguyên")</f>
      </c>
      <c r="C5398" t="str">
        <v>https://www.facebook.com/p/C%C3%B4ng-an-x%C3%A3-Minh-%C4%90%E1%BB%A9c-Th%C3%A0nh-ph%E1%BB%91-Ph%E1%BB%95-Y%C3%AAn-T%E1%BB%89nh-Th%C3%A1i-Nguy%C3%AAn-100071945641911/</v>
      </c>
      <c r="D5398" t="str">
        <v>-</v>
      </c>
      <c r="E5398" t="str">
        <v/>
      </c>
      <c r="F5398" t="str">
        <v>-</v>
      </c>
      <c r="G5398" t="str">
        <v>-</v>
      </c>
    </row>
    <row r="5399">
      <c r="A5399">
        <v>5398</v>
      </c>
      <c r="B5399">
        <f>HYPERLINK("https://minhduc.phoyen.thainguyen.gov.vn/", "UBND Ủy ban nhân dân xã Minh Đức  tỉnh Thái Nguyên")</f>
      </c>
      <c r="C5399" t="str">
        <v>https://minhduc.phoyen.thainguyen.gov.vn/</v>
      </c>
      <c r="D5399" t="str">
        <v>-</v>
      </c>
      <c r="E5399" t="str">
        <v>-</v>
      </c>
      <c r="F5399" t="str">
        <v>-</v>
      </c>
      <c r="G5399" t="str">
        <v>-</v>
      </c>
    </row>
    <row r="5400">
      <c r="A5400">
        <v>5399</v>
      </c>
      <c r="B5400" t="str">
        <v>Công an xã Đắc Sơn  tỉnh Thái Nguyên</v>
      </c>
      <c r="C5400" t="str">
        <v>-</v>
      </c>
      <c r="D5400" t="str">
        <v>-</v>
      </c>
      <c r="E5400" t="str">
        <v/>
      </c>
      <c r="F5400" t="str">
        <v>-</v>
      </c>
      <c r="G5400" t="str">
        <v>-</v>
      </c>
    </row>
    <row r="5401">
      <c r="A5401">
        <v>5400</v>
      </c>
      <c r="B5401">
        <f>HYPERLINK("https://dacson.phoyen.thainguyen.gov.vn/", "UBND Ủy ban nhân dân xã Đắc Sơn  tỉnh Thái Nguyên")</f>
      </c>
      <c r="C5401" t="str">
        <v>https://dacson.phoyen.thainguyen.gov.vn/</v>
      </c>
      <c r="D5401" t="str">
        <v>-</v>
      </c>
      <c r="E5401" t="str">
        <v>-</v>
      </c>
      <c r="F5401" t="str">
        <v>-</v>
      </c>
      <c r="G5401" t="str">
        <v>-</v>
      </c>
    </row>
    <row r="5402">
      <c r="A5402">
        <v>5401</v>
      </c>
      <c r="B5402">
        <f>HYPERLINK("https://www.facebook.com/caphuongdongtien/", "Công an phường Đồng Tiến  tỉnh Thái Nguyên")</f>
      </c>
      <c r="C5402" t="str">
        <v>https://www.facebook.com/caphuongdongtien/</v>
      </c>
      <c r="D5402" t="str">
        <v>-</v>
      </c>
      <c r="E5402" t="str">
        <v/>
      </c>
      <c r="F5402" t="str">
        <v>-</v>
      </c>
      <c r="G5402" t="str">
        <v>-</v>
      </c>
    </row>
    <row r="5403">
      <c r="A5403">
        <v>5402</v>
      </c>
      <c r="B5403">
        <f>HYPERLINK("https://dongtien.phoyen.thainguyen.gov.vn/", "UBND Ủy ban nhân dân phường Đồng Tiến  tỉnh Thái Nguyên")</f>
      </c>
      <c r="C5403" t="str">
        <v>https://dongtien.phoyen.thainguyen.gov.vn/</v>
      </c>
      <c r="D5403" t="str">
        <v>-</v>
      </c>
      <c r="E5403" t="str">
        <v>-</v>
      </c>
      <c r="F5403" t="str">
        <v>-</v>
      </c>
      <c r="G5403" t="str">
        <v>-</v>
      </c>
    </row>
    <row r="5404">
      <c r="A5404">
        <v>5403</v>
      </c>
      <c r="B5404">
        <f>HYPERLINK("https://www.facebook.com/p/C%C3%B4ng-an-x%C3%A3-Th%C3%A0nh-C%C3%B4ng-th%C3%A0nh-ph%E1%BB%91-Ph%E1%BB%95-Y%C3%AAn-t%E1%BB%89nh-Th%C3%A1i-Nguy%C3%AAn-100075734363130/", "Công an xã Thành Công  tỉnh Thái Nguyên")</f>
      </c>
      <c r="C5404" t="str">
        <v>https://www.facebook.com/p/C%C3%B4ng-an-x%C3%A3-Th%C3%A0nh-C%C3%B4ng-th%C3%A0nh-ph%E1%BB%91-Ph%E1%BB%95-Y%C3%AAn-t%E1%BB%89nh-Th%C3%A1i-Nguy%C3%AAn-100075734363130/</v>
      </c>
      <c r="D5404" t="str">
        <v>-</v>
      </c>
      <c r="E5404" t="str">
        <v/>
      </c>
      <c r="F5404" t="str">
        <v>-</v>
      </c>
      <c r="G5404" t="str">
        <v>-</v>
      </c>
    </row>
    <row r="5405">
      <c r="A5405">
        <v>5404</v>
      </c>
      <c r="B5405">
        <f>HYPERLINK("https://thanhcong.phoyen.thainguyen.gov.vn/", "UBND Ủy ban nhân dân xã Thành Công  tỉnh Thái Nguyên")</f>
      </c>
      <c r="C5405" t="str">
        <v>https://thanhcong.phoyen.thainguyen.gov.vn/</v>
      </c>
      <c r="D5405" t="str">
        <v>-</v>
      </c>
      <c r="E5405" t="str">
        <v>-</v>
      </c>
      <c r="F5405" t="str">
        <v>-</v>
      </c>
      <c r="G5405" t="str">
        <v>-</v>
      </c>
    </row>
    <row r="5406">
      <c r="A5406">
        <v>5405</v>
      </c>
      <c r="B5406">
        <f>HYPERLINK("https://www.facebook.com/p/C%C3%B4ng-an-x%C3%A3-Ti%C3%AAn-Phong-th%E1%BB%8B-x%C3%A3-Ph%E1%BB%95-Y%C3%AAn-t%E1%BB%89nh-Th%C3%A1i-Nguy%C3%AAn-100072311285172/", "Công an xã Tiên Phong  tỉnh Thái Nguyên")</f>
      </c>
      <c r="C5406" t="str">
        <v>https://www.facebook.com/p/C%C3%B4ng-an-x%C3%A3-Ti%C3%AAn-Phong-th%E1%BB%8B-x%C3%A3-Ph%E1%BB%95-Y%C3%AAn-t%E1%BB%89nh-Th%C3%A1i-Nguy%C3%AAn-100072311285172/</v>
      </c>
      <c r="D5406" t="str">
        <v>-</v>
      </c>
      <c r="E5406" t="str">
        <v/>
      </c>
      <c r="F5406" t="str">
        <v>-</v>
      </c>
      <c r="G5406" t="str">
        <v>-</v>
      </c>
    </row>
    <row r="5407">
      <c r="A5407">
        <v>5406</v>
      </c>
      <c r="B5407">
        <f>HYPERLINK("https://thainguyen.gov.vn/chap-thuan-chu-truong-dau-tu/-/asset_publisher/L0n17VJXU23O/content/chap-thuan-chu-truong-au-tu-du-an-an-iem-dan-cu-nong-thon-cau-go-xa-tien-phong-?inheritRedirect=true", "UBND Ủy ban nhân dân xã Tiên Phong  tỉnh Thái Nguyên")</f>
      </c>
      <c r="C5407" t="str">
        <v>https://thainguyen.gov.vn/chap-thuan-chu-truong-dau-tu/-/asset_publisher/L0n17VJXU23O/content/chap-thuan-chu-truong-au-tu-du-an-an-iem-dan-cu-nong-thon-cau-go-xa-tien-phong-?inheritRedirect=true</v>
      </c>
      <c r="D5407" t="str">
        <v>-</v>
      </c>
      <c r="E5407" t="str">
        <v>-</v>
      </c>
      <c r="F5407" t="str">
        <v>-</v>
      </c>
      <c r="G5407" t="str">
        <v>-</v>
      </c>
    </row>
    <row r="5408">
      <c r="A5408">
        <v>5407</v>
      </c>
      <c r="B5408">
        <f>HYPERLINK("https://www.facebook.com/ConganVanPhai/", "Công an xã Vạn Phái  tỉnh Thái Nguyên")</f>
      </c>
      <c r="C5408" t="str">
        <v>https://www.facebook.com/ConganVanPhai/</v>
      </c>
      <c r="D5408" t="str">
        <v>-</v>
      </c>
      <c r="E5408" t="str">
        <v/>
      </c>
      <c r="F5408" t="str">
        <v>-</v>
      </c>
      <c r="G5408" t="str">
        <v>-</v>
      </c>
    </row>
    <row r="5409">
      <c r="A5409">
        <v>5408</v>
      </c>
      <c r="B5409">
        <f>HYPERLINK("https://vanphai.phoyen.thainguyen.gov.vn/", "UBND Ủy ban nhân dân xã Vạn Phái  tỉnh Thái Nguyên")</f>
      </c>
      <c r="C5409" t="str">
        <v>https://vanphai.phoyen.thainguyen.gov.vn/</v>
      </c>
      <c r="D5409" t="str">
        <v>-</v>
      </c>
      <c r="E5409" t="str">
        <v>-</v>
      </c>
      <c r="F5409" t="str">
        <v>-</v>
      </c>
      <c r="G5409" t="str">
        <v>-</v>
      </c>
    </row>
    <row r="5410">
      <c r="A5410">
        <v>5409</v>
      </c>
      <c r="B5410" t="str">
        <v>Công an xã Nam Tiến  tỉnh Thái Nguyên</v>
      </c>
      <c r="C5410" t="str">
        <v>-</v>
      </c>
      <c r="D5410" t="str">
        <v>-</v>
      </c>
      <c r="E5410" t="str">
        <v/>
      </c>
      <c r="F5410" t="str">
        <v>-</v>
      </c>
      <c r="G5410" t="str">
        <v>-</v>
      </c>
    </row>
    <row r="5411">
      <c r="A5411">
        <v>5410</v>
      </c>
      <c r="B5411">
        <f>HYPERLINK("https://phoyen.thainguyen.gov.vn/-on-vi-hanh-chinh/-/asset_publisher/x2qR6wPFecJP/content/xa-nam-tien?inheritRedirect=true", "UBND Ủy ban nhân dân xã Nam Tiến  tỉnh Thái Nguyên")</f>
      </c>
      <c r="C5411" t="str">
        <v>https://phoyen.thainguyen.gov.vn/-on-vi-hanh-chinh/-/asset_publisher/x2qR6wPFecJP/content/xa-nam-tien?inheritRedirect=true</v>
      </c>
      <c r="D5411" t="str">
        <v>-</v>
      </c>
      <c r="E5411" t="str">
        <v>-</v>
      </c>
      <c r="F5411" t="str">
        <v>-</v>
      </c>
      <c r="G5411" t="str">
        <v>-</v>
      </c>
    </row>
    <row r="5412">
      <c r="A5412">
        <v>5411</v>
      </c>
      <c r="B5412" t="str">
        <v>Công an xã Tân Hương  tỉnh Thái Nguyên</v>
      </c>
      <c r="C5412" t="str">
        <v>-</v>
      </c>
      <c r="D5412" t="str">
        <v>-</v>
      </c>
      <c r="E5412" t="str">
        <v/>
      </c>
      <c r="F5412" t="str">
        <v>-</v>
      </c>
      <c r="G5412" t="str">
        <v>-</v>
      </c>
    </row>
    <row r="5413">
      <c r="A5413">
        <v>5412</v>
      </c>
      <c r="B5413">
        <f>HYPERLINK("https://tanhuong.phoyen.thainguyen.gov.vn/", "UBND Ủy ban nhân dân xã Tân Hương  tỉnh Thái Nguyên")</f>
      </c>
      <c r="C5413" t="str">
        <v>https://tanhuong.phoyen.thainguyen.gov.vn/</v>
      </c>
      <c r="D5413" t="str">
        <v>-</v>
      </c>
      <c r="E5413" t="str">
        <v>-</v>
      </c>
      <c r="F5413" t="str">
        <v>-</v>
      </c>
      <c r="G5413" t="str">
        <v>-</v>
      </c>
    </row>
    <row r="5414">
      <c r="A5414">
        <v>5413</v>
      </c>
      <c r="B5414">
        <f>HYPERLINK("https://www.facebook.com/TuoitreConganCaoBang/?locale=bn_IN", "Công an xã Đông Cao  tỉnh Thái Nguyên")</f>
      </c>
      <c r="C5414" t="str">
        <v>https://www.facebook.com/TuoitreConganCaoBang/?locale=bn_IN</v>
      </c>
      <c r="D5414" t="str">
        <v>-</v>
      </c>
      <c r="E5414" t="str">
        <v/>
      </c>
      <c r="F5414" t="str">
        <v>-</v>
      </c>
      <c r="G5414" t="str">
        <v>-</v>
      </c>
    </row>
    <row r="5415">
      <c r="A5415">
        <v>5414</v>
      </c>
      <c r="B5415">
        <f>HYPERLINK("https://thainguyen.gov.vn/", "UBND Ủy ban nhân dân xã Đông Cao  tỉnh Thái Nguyên")</f>
      </c>
      <c r="C5415" t="str">
        <v>https://thainguyen.gov.vn/</v>
      </c>
      <c r="D5415" t="str">
        <v>-</v>
      </c>
      <c r="E5415" t="str">
        <v>-</v>
      </c>
      <c r="F5415" t="str">
        <v>-</v>
      </c>
      <c r="G5415" t="str">
        <v>-</v>
      </c>
    </row>
    <row r="5416">
      <c r="A5416">
        <v>5415</v>
      </c>
      <c r="B5416" t="str">
        <v>Công an xã Trung Thành  tỉnh Thái Nguyên</v>
      </c>
      <c r="C5416" t="str">
        <v>-</v>
      </c>
      <c r="D5416" t="str">
        <v>-</v>
      </c>
      <c r="E5416" t="str">
        <v/>
      </c>
      <c r="F5416" t="str">
        <v>-</v>
      </c>
      <c r="G5416" t="str">
        <v>-</v>
      </c>
    </row>
    <row r="5417">
      <c r="A5417">
        <v>5416</v>
      </c>
      <c r="B5417">
        <f>HYPERLINK("https://thainguyen.gov.vn/", "UBND Ủy ban nhân dân xã Trung Thành  tỉnh Thái Nguyên")</f>
      </c>
      <c r="C5417" t="str">
        <v>https://thainguyen.gov.vn/</v>
      </c>
      <c r="D5417" t="str">
        <v>-</v>
      </c>
      <c r="E5417" t="str">
        <v>-</v>
      </c>
      <c r="F5417" t="str">
        <v>-</v>
      </c>
      <c r="G5417" t="str">
        <v>-</v>
      </c>
    </row>
    <row r="5418">
      <c r="A5418">
        <v>5417</v>
      </c>
      <c r="B5418" t="str">
        <v>Công an xã Tân Phú  tỉnh Thái Nguyên</v>
      </c>
      <c r="C5418" t="str">
        <v>-</v>
      </c>
      <c r="D5418" t="str">
        <v>-</v>
      </c>
      <c r="E5418" t="str">
        <v/>
      </c>
      <c r="F5418" t="str">
        <v>-</v>
      </c>
      <c r="G5418" t="str">
        <v>-</v>
      </c>
    </row>
    <row r="5419">
      <c r="A5419">
        <v>5418</v>
      </c>
      <c r="B5419">
        <f>HYPERLINK("https://tanphu.phoyen.thainguyen.gov.vn/", "UBND Ủy ban nhân dân xã Tân Phú  tỉnh Thái Nguyên")</f>
      </c>
      <c r="C5419" t="str">
        <v>https://tanphu.phoyen.thainguyen.gov.vn/</v>
      </c>
      <c r="D5419" t="str">
        <v>-</v>
      </c>
      <c r="E5419" t="str">
        <v>-</v>
      </c>
      <c r="F5419" t="str">
        <v>-</v>
      </c>
      <c r="G5419" t="str">
        <v>-</v>
      </c>
    </row>
    <row r="5420">
      <c r="A5420">
        <v>5419</v>
      </c>
      <c r="B5420">
        <f>HYPERLINK("https://www.facebook.com/conganthuanthanh/", "Công an xã Thuận Thành  tỉnh Thái Nguyên")</f>
      </c>
      <c r="C5420" t="str">
        <v>https://www.facebook.com/conganthuanthanh/</v>
      </c>
      <c r="D5420" t="str">
        <v>-</v>
      </c>
      <c r="E5420" t="str">
        <v/>
      </c>
      <c r="F5420" t="str">
        <v>-</v>
      </c>
      <c r="G5420" t="str">
        <v>-</v>
      </c>
    </row>
    <row r="5421">
      <c r="A5421">
        <v>5420</v>
      </c>
      <c r="B5421">
        <f>HYPERLINK("https://phucthuan.phoyen.thainguyen.gov.vn/uy-ban-nhan-dan", "UBND Ủy ban nhân dân xã Thuận Thành  tỉnh Thái Nguyên")</f>
      </c>
      <c r="C5421" t="str">
        <v>https://phucthuan.phoyen.thainguyen.gov.vn/uy-ban-nhan-dan</v>
      </c>
      <c r="D5421" t="str">
        <v>-</v>
      </c>
      <c r="E5421" t="str">
        <v>-</v>
      </c>
      <c r="F5421" t="str">
        <v>-</v>
      </c>
      <c r="G5421" t="str">
        <v>-</v>
      </c>
    </row>
    <row r="5422">
      <c r="A5422">
        <v>5421</v>
      </c>
      <c r="B5422">
        <f>HYPERLINK("https://www.facebook.com/p/C%C3%B4ng-an-th%E1%BB%8B-tr%E1%BA%A5n-H%C6%B0%C6%A1ng-S%C6%A1n-huy%E1%BB%87n-Ph%C3%BA-B%C3%ACnh-t%E1%BB%89nh-Th%C3%A1i-Nguy%C3%AAn-100081791015941/", "Công an thị trấn Hương Sơn  tỉnh Thái Nguyên")</f>
      </c>
      <c r="C5422" t="str">
        <v>https://www.facebook.com/p/C%C3%B4ng-an-th%E1%BB%8B-tr%E1%BA%A5n-H%C6%B0%C6%A1ng-S%C6%A1n-huy%E1%BB%87n-Ph%C3%BA-B%C3%ACnh-t%E1%BB%89nh-Th%C3%A1i-Nguy%C3%AAn-100081791015941/</v>
      </c>
      <c r="D5422" t="str">
        <v>-</v>
      </c>
      <c r="E5422" t="str">
        <v/>
      </c>
      <c r="F5422" t="str">
        <v>-</v>
      </c>
      <c r="G5422" t="str">
        <v>-</v>
      </c>
    </row>
    <row r="5423">
      <c r="A5423">
        <v>5422</v>
      </c>
      <c r="B5423">
        <f>HYPERLINK("https://phubinh.thainguyen.gov.vn/thi-tran-huong-son", "UBND Ủy ban nhân dân thị trấn Hương Sơn  tỉnh Thái Nguyên")</f>
      </c>
      <c r="C5423" t="str">
        <v>https://phubinh.thainguyen.gov.vn/thi-tran-huong-son</v>
      </c>
      <c r="D5423" t="str">
        <v>-</v>
      </c>
      <c r="E5423" t="str">
        <v>-</v>
      </c>
      <c r="F5423" t="str">
        <v>-</v>
      </c>
      <c r="G5423" t="str">
        <v>-</v>
      </c>
    </row>
    <row r="5424">
      <c r="A5424">
        <v>5423</v>
      </c>
      <c r="B5424">
        <f>HYPERLINK("https://www.facebook.com/p/C%C3%B4ng-an-x%C3%A3-B%C3%A0n-%C4%90%E1%BA%A1t-huy%E1%BB%87n-Ph%C3%BA-B%C3%ACnh-t%E1%BB%89nh-Th%C3%A1i-Nguy%C3%AAn-100076044646509/", "Công an xã Bàn Đạt  tỉnh Thái Nguyên")</f>
      </c>
      <c r="C5424" t="str">
        <v>https://www.facebook.com/p/C%C3%B4ng-an-x%C3%A3-B%C3%A0n-%C4%90%E1%BA%A1t-huy%E1%BB%87n-Ph%C3%BA-B%C3%ACnh-t%E1%BB%89nh-Th%C3%A1i-Nguy%C3%AAn-100076044646509/</v>
      </c>
      <c r="D5424" t="str">
        <v>-</v>
      </c>
      <c r="E5424" t="str">
        <v/>
      </c>
      <c r="F5424" t="str">
        <v>-</v>
      </c>
      <c r="G5424" t="str">
        <v>-</v>
      </c>
    </row>
    <row r="5425">
      <c r="A5425">
        <v>5424</v>
      </c>
      <c r="B5425">
        <f>HYPERLINK("https://phubinh.thainguyen.gov.vn/xa-ban-dat", "UBND Ủy ban nhân dân xã Bàn Đạt  tỉnh Thái Nguyên")</f>
      </c>
      <c r="C5425" t="str">
        <v>https://phubinh.thainguyen.gov.vn/xa-ban-dat</v>
      </c>
      <c r="D5425" t="str">
        <v>-</v>
      </c>
      <c r="E5425" t="str">
        <v>-</v>
      </c>
      <c r="F5425" t="str">
        <v>-</v>
      </c>
      <c r="G5425" t="str">
        <v>-</v>
      </c>
    </row>
    <row r="5426">
      <c r="A5426">
        <v>5425</v>
      </c>
      <c r="B5426">
        <f>HYPERLINK("https://www.facebook.com/p/C%C3%B4ng-an-x%C3%A3-T%C3%A2n-Kh%C3%A1nh-Ph%C3%BA-B%C3%ACnh-Th%C3%A1i-Nguy%C3%AAn-100080318401935/", "Công an xã Tân Khánh  tỉnh Thái Nguyên")</f>
      </c>
      <c r="C5426" t="str">
        <v>https://www.facebook.com/p/C%C3%B4ng-an-x%C3%A3-T%C3%A2n-Kh%C3%A1nh-Ph%C3%BA-B%C3%ACnh-Th%C3%A1i-Nguy%C3%AAn-100080318401935/</v>
      </c>
      <c r="D5426" t="str">
        <v>-</v>
      </c>
      <c r="E5426" t="str">
        <v/>
      </c>
      <c r="F5426" t="str">
        <v>-</v>
      </c>
      <c r="G5426" t="str">
        <v>-</v>
      </c>
    </row>
    <row r="5427">
      <c r="A5427">
        <v>5426</v>
      </c>
      <c r="B5427">
        <f>HYPERLINK("https://phubinh.thainguyen.gov.vn/xa-tan-khanh", "UBND Ủy ban nhân dân xã Tân Khánh  tỉnh Thái Nguyên")</f>
      </c>
      <c r="C5427" t="str">
        <v>https://phubinh.thainguyen.gov.vn/xa-tan-khanh</v>
      </c>
      <c r="D5427" t="str">
        <v>-</v>
      </c>
      <c r="E5427" t="str">
        <v>-</v>
      </c>
      <c r="F5427" t="str">
        <v>-</v>
      </c>
      <c r="G5427" t="str">
        <v>-</v>
      </c>
    </row>
    <row r="5428">
      <c r="A5428">
        <v>5427</v>
      </c>
      <c r="B5428">
        <f>HYPERLINK("https://www.facebook.com/p/C%C3%B4ng-an-x%C3%A3-T%C3%A2n-Kim-Ph%C3%BA-B%C3%ACnh-Th%C3%A1i-Nguy%C3%AAn-100075409953062/", "Công an xã Tân Kim  tỉnh Thái Nguyên")</f>
      </c>
      <c r="C5428" t="str">
        <v>https://www.facebook.com/p/C%C3%B4ng-an-x%C3%A3-T%C3%A2n-Kim-Ph%C3%BA-B%C3%ACnh-Th%C3%A1i-Nguy%C3%AAn-100075409953062/</v>
      </c>
      <c r="D5428" t="str">
        <v>-</v>
      </c>
      <c r="E5428" t="str">
        <v/>
      </c>
      <c r="F5428" t="str">
        <v>-</v>
      </c>
      <c r="G5428" t="str">
        <v>-</v>
      </c>
    </row>
    <row r="5429">
      <c r="A5429">
        <v>5428</v>
      </c>
      <c r="B5429">
        <f>HYPERLINK("https://phubinh.thainguyen.gov.vn/xa-tan-kim", "UBND Ủy ban nhân dân xã Tân Kim  tỉnh Thái Nguyên")</f>
      </c>
      <c r="C5429" t="str">
        <v>https://phubinh.thainguyen.gov.vn/xa-tan-kim</v>
      </c>
      <c r="D5429" t="str">
        <v>-</v>
      </c>
      <c r="E5429" t="str">
        <v>-</v>
      </c>
      <c r="F5429" t="str">
        <v>-</v>
      </c>
      <c r="G5429" t="str">
        <v>-</v>
      </c>
    </row>
    <row r="5430">
      <c r="A5430">
        <v>5429</v>
      </c>
      <c r="B5430" t="str">
        <v>Công an xã Tân Thành  tỉnh Thái Nguyên</v>
      </c>
      <c r="C5430" t="str">
        <v>-</v>
      </c>
      <c r="D5430" t="str">
        <v>-</v>
      </c>
      <c r="E5430" t="str">
        <v/>
      </c>
      <c r="F5430" t="str">
        <v>-</v>
      </c>
      <c r="G5430" t="str">
        <v>-</v>
      </c>
    </row>
    <row r="5431">
      <c r="A5431">
        <v>5430</v>
      </c>
      <c r="B5431">
        <f>HYPERLINK("https://phubinh.thainguyen.gov.vn/xa-tan-thanh", "UBND Ủy ban nhân dân xã Tân Thành  tỉnh Thái Nguyên")</f>
      </c>
      <c r="C5431" t="str">
        <v>https://phubinh.thainguyen.gov.vn/xa-tan-thanh</v>
      </c>
      <c r="D5431" t="str">
        <v>-</v>
      </c>
      <c r="E5431" t="str">
        <v>-</v>
      </c>
      <c r="F5431" t="str">
        <v>-</v>
      </c>
      <c r="G5431" t="str">
        <v>-</v>
      </c>
    </row>
    <row r="5432">
      <c r="A5432">
        <v>5431</v>
      </c>
      <c r="B5432">
        <f>HYPERLINK("https://www.facebook.com/p/C%C3%B4ng-an-x%C3%A3-%C4%90%C3%A0o-X%C3%A1-huy%E1%BB%87n-Ph%C3%BA-B%C3%ACnh-t%E1%BB%89nh-Th%C3%A1i-Nguy%C3%AAn-100071540445476/", "Công an xã Đào Xá  tỉnh Thái Nguyên")</f>
      </c>
      <c r="C5432" t="str">
        <v>https://www.facebook.com/p/C%C3%B4ng-an-x%C3%A3-%C4%90%C3%A0o-X%C3%A1-huy%E1%BB%87n-Ph%C3%BA-B%C3%ACnh-t%E1%BB%89nh-Th%C3%A1i-Nguy%C3%AAn-100071540445476/</v>
      </c>
      <c r="D5432" t="str">
        <v>-</v>
      </c>
      <c r="E5432" t="str">
        <v/>
      </c>
      <c r="F5432" t="str">
        <v>-</v>
      </c>
      <c r="G5432" t="str">
        <v>-</v>
      </c>
    </row>
    <row r="5433">
      <c r="A5433">
        <v>5432</v>
      </c>
      <c r="B5433">
        <f>HYPERLINK("https://phubinh.thainguyen.gov.vn/xa-dao-xa", "UBND Ủy ban nhân dân xã Đào Xá  tỉnh Thái Nguyên")</f>
      </c>
      <c r="C5433" t="str">
        <v>https://phubinh.thainguyen.gov.vn/xa-dao-xa</v>
      </c>
      <c r="D5433" t="str">
        <v>-</v>
      </c>
      <c r="E5433" t="str">
        <v>-</v>
      </c>
      <c r="F5433" t="str">
        <v>-</v>
      </c>
      <c r="G5433" t="str">
        <v>-</v>
      </c>
    </row>
    <row r="5434">
      <c r="A5434">
        <v>5433</v>
      </c>
      <c r="B5434">
        <f>HYPERLINK("https://www.facebook.com/caxbaoly/", "Công an xã Bảo Lý  tỉnh Thái Nguyên")</f>
      </c>
      <c r="C5434" t="str">
        <v>https://www.facebook.com/caxbaoly/</v>
      </c>
      <c r="D5434" t="str">
        <v>-</v>
      </c>
      <c r="E5434" t="str">
        <v/>
      </c>
      <c r="F5434" t="str">
        <v>-</v>
      </c>
      <c r="G5434" t="str">
        <v>-</v>
      </c>
    </row>
    <row r="5435">
      <c r="A5435">
        <v>5434</v>
      </c>
      <c r="B5435">
        <f>HYPERLINK("https://phubinh.thainguyen.gov.vn/xa-bao-ly", "UBND Ủy ban nhân dân xã Bảo Lý  tỉnh Thái Nguyên")</f>
      </c>
      <c r="C5435" t="str">
        <v>https://phubinh.thainguyen.gov.vn/xa-bao-ly</v>
      </c>
      <c r="D5435" t="str">
        <v>-</v>
      </c>
      <c r="E5435" t="str">
        <v>-</v>
      </c>
      <c r="F5435" t="str">
        <v>-</v>
      </c>
      <c r="G5435" t="str">
        <v>-</v>
      </c>
    </row>
    <row r="5436">
      <c r="A5436">
        <v>5435</v>
      </c>
      <c r="B5436">
        <f>HYPERLINK("https://www.facebook.com/p/C%C3%B4ng-an-x%C3%A3-Th%C6%B0%E1%BB%A3ng-%C4%90%C3%ACnh-huy%E1%BB%87n-Ph%C3%BA-B%C3%ACnh-t%E1%BB%89nh-Th%C3%A1i-Nguy%C3%AAn-100076089672984/", "Công an xã Thượng Đình  tỉnh Thái Nguyên")</f>
      </c>
      <c r="C5436" t="str">
        <v>https://www.facebook.com/p/C%C3%B4ng-an-x%C3%A3-Th%C6%B0%E1%BB%A3ng-%C4%90%C3%ACnh-huy%E1%BB%87n-Ph%C3%BA-B%C3%ACnh-t%E1%BB%89nh-Th%C3%A1i-Nguy%C3%AAn-100076089672984/</v>
      </c>
      <c r="D5436" t="str">
        <v>-</v>
      </c>
      <c r="E5436" t="str">
        <v/>
      </c>
      <c r="F5436" t="str">
        <v>-</v>
      </c>
      <c r="G5436" t="str">
        <v>-</v>
      </c>
    </row>
    <row r="5437">
      <c r="A5437">
        <v>5436</v>
      </c>
      <c r="B5437">
        <f>HYPERLINK("https://phubinh.thainguyen.gov.vn/xa-thuong-dinh", "UBND Ủy ban nhân dân xã Thượng Đình  tỉnh Thái Nguyên")</f>
      </c>
      <c r="C5437" t="str">
        <v>https://phubinh.thainguyen.gov.vn/xa-thuong-dinh</v>
      </c>
      <c r="D5437" t="str">
        <v>-</v>
      </c>
      <c r="E5437" t="str">
        <v>-</v>
      </c>
      <c r="F5437" t="str">
        <v>-</v>
      </c>
      <c r="G5437" t="str">
        <v>-</v>
      </c>
    </row>
    <row r="5438">
      <c r="A5438">
        <v>5437</v>
      </c>
      <c r="B5438">
        <f>HYPERLINK("https://www.facebook.com/p/C%C3%B4ng-an-x%C3%A3-T%C3%A2n-H%C3%B2a-huy%E1%BB%87n-Ph%C3%BA-B%C3%ACnh-t%E1%BB%89nh-Th%C3%A1i-Nguy%C3%AAn-100068250091312/", "Công an xã Tân Hòa  tỉnh Thái Nguyên")</f>
      </c>
      <c r="C5438" t="str">
        <v>https://www.facebook.com/p/C%C3%B4ng-an-x%C3%A3-T%C3%A2n-H%C3%B2a-huy%E1%BB%87n-Ph%C3%BA-B%C3%ACnh-t%E1%BB%89nh-Th%C3%A1i-Nguy%C3%AAn-100068250091312/</v>
      </c>
      <c r="D5438" t="str">
        <v>-</v>
      </c>
      <c r="E5438" t="str">
        <v/>
      </c>
      <c r="F5438" t="str">
        <v>-</v>
      </c>
      <c r="G5438" t="str">
        <v>-</v>
      </c>
    </row>
    <row r="5439">
      <c r="A5439">
        <v>5438</v>
      </c>
      <c r="B5439">
        <f>HYPERLINK("https://phubinh.thainguyen.gov.vn/xa-tan-hoa", "UBND Ủy ban nhân dân xã Tân Hòa  tỉnh Thái Nguyên")</f>
      </c>
      <c r="C5439" t="str">
        <v>https://phubinh.thainguyen.gov.vn/xa-tan-hoa</v>
      </c>
      <c r="D5439" t="str">
        <v>-</v>
      </c>
      <c r="E5439" t="str">
        <v>-</v>
      </c>
      <c r="F5439" t="str">
        <v>-</v>
      </c>
      <c r="G5439" t="str">
        <v>-</v>
      </c>
    </row>
    <row r="5440">
      <c r="A5440">
        <v>5439</v>
      </c>
      <c r="B5440" t="str">
        <v>Công an xã Nhã Lộng  tỉnh Thái Nguyên</v>
      </c>
      <c r="C5440" t="str">
        <v>-</v>
      </c>
      <c r="D5440" t="str">
        <v>-</v>
      </c>
      <c r="E5440" t="str">
        <v/>
      </c>
      <c r="F5440" t="str">
        <v>-</v>
      </c>
      <c r="G5440" t="str">
        <v>-</v>
      </c>
    </row>
    <row r="5441">
      <c r="A5441">
        <v>5440</v>
      </c>
      <c r="B5441">
        <f>HYPERLINK("https://phubinh.thainguyen.gov.vn/xa-nha-long", "UBND Ủy ban nhân dân xã Nhã Lộng  tỉnh Thái Nguyên")</f>
      </c>
      <c r="C5441" t="str">
        <v>https://phubinh.thainguyen.gov.vn/xa-nha-long</v>
      </c>
      <c r="D5441" t="str">
        <v>-</v>
      </c>
      <c r="E5441" t="str">
        <v>-</v>
      </c>
      <c r="F5441" t="str">
        <v>-</v>
      </c>
      <c r="G5441" t="str">
        <v>-</v>
      </c>
    </row>
    <row r="5442">
      <c r="A5442">
        <v>5441</v>
      </c>
      <c r="B5442" t="str">
        <v>Công an xã Điềm Thụy  tỉnh Thái Nguyên</v>
      </c>
      <c r="C5442" t="str">
        <v>-</v>
      </c>
      <c r="D5442" t="str">
        <v>-</v>
      </c>
      <c r="E5442" t="str">
        <v/>
      </c>
      <c r="F5442" t="str">
        <v>-</v>
      </c>
      <c r="G5442" t="str">
        <v>-</v>
      </c>
    </row>
    <row r="5443">
      <c r="A5443">
        <v>5442</v>
      </c>
      <c r="B5443">
        <f>HYPERLINK("https://phubinh.thainguyen.gov.vn/xa-diem-thuy", "UBND Ủy ban nhân dân xã Điềm Thụy  tỉnh Thái Nguyên")</f>
      </c>
      <c r="C5443" t="str">
        <v>https://phubinh.thainguyen.gov.vn/xa-diem-thuy</v>
      </c>
      <c r="D5443" t="str">
        <v>-</v>
      </c>
      <c r="E5443" t="str">
        <v>-</v>
      </c>
      <c r="F5443" t="str">
        <v>-</v>
      </c>
      <c r="G5443" t="str">
        <v>-</v>
      </c>
    </row>
    <row r="5444">
      <c r="A5444">
        <v>5443</v>
      </c>
      <c r="B5444">
        <f>HYPERLINK("https://www.facebook.com/CAXXuanPhuong/", "Công an xã Xuân Phương  tỉnh Thái Nguyên")</f>
      </c>
      <c r="C5444" t="str">
        <v>https://www.facebook.com/CAXXuanPhuong/</v>
      </c>
      <c r="D5444" t="str">
        <v>-</v>
      </c>
      <c r="E5444" t="str">
        <v/>
      </c>
      <c r="F5444" t="str">
        <v>-</v>
      </c>
      <c r="G5444" t="str">
        <v>-</v>
      </c>
    </row>
    <row r="5445">
      <c r="A5445">
        <v>5444</v>
      </c>
      <c r="B5445">
        <f>HYPERLINK("https://phubinh.thainguyen.gov.vn/xa-xuan-phuong", "UBND Ủy ban nhân dân xã Xuân Phương  tỉnh Thái Nguyên")</f>
      </c>
      <c r="C5445" t="str">
        <v>https://phubinh.thainguyen.gov.vn/xa-xuan-phuong</v>
      </c>
      <c r="D5445" t="str">
        <v>-</v>
      </c>
      <c r="E5445" t="str">
        <v>-</v>
      </c>
      <c r="F5445" t="str">
        <v>-</v>
      </c>
      <c r="G5445" t="str">
        <v>-</v>
      </c>
    </row>
    <row r="5446">
      <c r="A5446">
        <v>5445</v>
      </c>
      <c r="B5446">
        <f>HYPERLINK("https://www.facebook.com/p/C%C3%B4ng-an-x%C3%A3-T%C3%A2n-%C4%90%E1%BB%A9c-huy%E1%BB%87n-Ph%C3%BA-B%C3%ACnh-t%E1%BB%89nh-Th%C3%A1i-Nguy%C3%AAn-100080395517632/", "Công an xã Tân Đức  tỉnh Thái Nguyên")</f>
      </c>
      <c r="C5446" t="str">
        <v>https://www.facebook.com/p/C%C3%B4ng-an-x%C3%A3-T%C3%A2n-%C4%90%E1%BB%A9c-huy%E1%BB%87n-Ph%C3%BA-B%C3%ACnh-t%E1%BB%89nh-Th%C3%A1i-Nguy%C3%AAn-100080395517632/</v>
      </c>
      <c r="D5446" t="str">
        <v>-</v>
      </c>
      <c r="E5446" t="str">
        <v/>
      </c>
      <c r="F5446" t="str">
        <v>-</v>
      </c>
      <c r="G5446" t="str">
        <v>-</v>
      </c>
    </row>
    <row r="5447">
      <c r="A5447">
        <v>5446</v>
      </c>
      <c r="B5447">
        <f>HYPERLINK("https://phubinh.thainguyen.gov.vn/xa-tan-duc", "UBND Ủy ban nhân dân xã Tân Đức  tỉnh Thái Nguyên")</f>
      </c>
      <c r="C5447" t="str">
        <v>https://phubinh.thainguyen.gov.vn/xa-tan-duc</v>
      </c>
      <c r="D5447" t="str">
        <v>-</v>
      </c>
      <c r="E5447" t="str">
        <v>-</v>
      </c>
      <c r="F5447" t="str">
        <v>-</v>
      </c>
      <c r="G5447" t="str">
        <v>-</v>
      </c>
    </row>
    <row r="5448">
      <c r="A5448">
        <v>5447</v>
      </c>
      <c r="B5448">
        <f>HYPERLINK("https://www.facebook.com/p/C%C3%B4ng-An-x%C3%A3-%C3%9Ac-K%E1%BB%B3-huy%E1%BB%87n-Ph%C3%BA-B%C3%ACnh-t%E1%BB%89nh-Th%C3%A1i-Nguy%C3%AAn-100079671240551/", "Công an xã Úc Kỳ  tỉnh Thái Nguyên")</f>
      </c>
      <c r="C5448" t="str">
        <v>https://www.facebook.com/p/C%C3%B4ng-An-x%C3%A3-%C3%9Ac-K%E1%BB%B3-huy%E1%BB%87n-Ph%C3%BA-B%C3%ACnh-t%E1%BB%89nh-Th%C3%A1i-Nguy%C3%AAn-100079671240551/</v>
      </c>
      <c r="D5448" t="str">
        <v>-</v>
      </c>
      <c r="E5448" t="str">
        <v/>
      </c>
      <c r="F5448" t="str">
        <v>-</v>
      </c>
      <c r="G5448" t="str">
        <v>-</v>
      </c>
    </row>
    <row r="5449">
      <c r="A5449">
        <v>5448</v>
      </c>
      <c r="B5449">
        <f>HYPERLINK("https://phubinh.thainguyen.gov.vn/xa-uc-ky", "UBND Ủy ban nhân dân xã Úc Kỳ  tỉnh Thái Nguyên")</f>
      </c>
      <c r="C5449" t="str">
        <v>https://phubinh.thainguyen.gov.vn/xa-uc-ky</v>
      </c>
      <c r="D5449" t="str">
        <v>-</v>
      </c>
      <c r="E5449" t="str">
        <v>-</v>
      </c>
      <c r="F5449" t="str">
        <v>-</v>
      </c>
      <c r="G5449" t="str">
        <v>-</v>
      </c>
    </row>
    <row r="5450">
      <c r="A5450">
        <v>5449</v>
      </c>
      <c r="B5450" t="str">
        <v>Công an xã Lương Phú  tỉnh Thái Nguyên</v>
      </c>
      <c r="C5450" t="str">
        <v>-</v>
      </c>
      <c r="D5450" t="str">
        <v>-</v>
      </c>
      <c r="E5450" t="str">
        <v/>
      </c>
      <c r="F5450" t="str">
        <v>-</v>
      </c>
      <c r="G5450" t="str">
        <v>-</v>
      </c>
    </row>
    <row r="5451">
      <c r="A5451">
        <v>5450</v>
      </c>
      <c r="B5451">
        <f>HYPERLINK("https://phubinh.thainguyen.gov.vn/xa-luong-phu", "UBND Ủy ban nhân dân xã Lương Phú  tỉnh Thái Nguyên")</f>
      </c>
      <c r="C5451" t="str">
        <v>https://phubinh.thainguyen.gov.vn/xa-luong-phu</v>
      </c>
      <c r="D5451" t="str">
        <v>-</v>
      </c>
      <c r="E5451" t="str">
        <v>-</v>
      </c>
      <c r="F5451" t="str">
        <v>-</v>
      </c>
      <c r="G5451" t="str">
        <v>-</v>
      </c>
    </row>
    <row r="5452">
      <c r="A5452">
        <v>5451</v>
      </c>
      <c r="B5452">
        <f>HYPERLINK("https://www.facebook.com/p/C%C3%B4ng-an-x%C3%A3-Nga-My-huy%E1%BB%87n-Ph%C3%BA-B%C3%ACnh-t%E1%BB%89nh-Th%C3%A1i-Nguy%C3%AAn-100075797061436/", "Công an xã Nga My  tỉnh Thái Nguyên")</f>
      </c>
      <c r="C5452" t="str">
        <v>https://www.facebook.com/p/C%C3%B4ng-an-x%C3%A3-Nga-My-huy%E1%BB%87n-Ph%C3%BA-B%C3%ACnh-t%E1%BB%89nh-Th%C3%A1i-Nguy%C3%AAn-100075797061436/</v>
      </c>
      <c r="D5452" t="str">
        <v>-</v>
      </c>
      <c r="E5452" t="str">
        <v/>
      </c>
      <c r="F5452" t="str">
        <v>-</v>
      </c>
      <c r="G5452" t="str">
        <v>-</v>
      </c>
    </row>
    <row r="5453">
      <c r="A5453">
        <v>5452</v>
      </c>
      <c r="B5453">
        <f>HYPERLINK("https://phubinh.thainguyen.gov.vn/xa-nga-my", "UBND Ủy ban nhân dân xã Nga My  tỉnh Thái Nguyên")</f>
      </c>
      <c r="C5453" t="str">
        <v>https://phubinh.thainguyen.gov.vn/xa-nga-my</v>
      </c>
      <c r="D5453" t="str">
        <v>-</v>
      </c>
      <c r="E5453" t="str">
        <v>-</v>
      </c>
      <c r="F5453" t="str">
        <v>-</v>
      </c>
      <c r="G5453" t="str">
        <v>-</v>
      </c>
    </row>
    <row r="5454">
      <c r="A5454">
        <v>5453</v>
      </c>
      <c r="B5454">
        <f>HYPERLINK("https://www.facebook.com/p/C%C3%B4ng-an-x%C3%A3-Kha-S%C6%A1n-huy%E1%BB%87n-Ph%C3%BA-B%C3%ACnh-t%E1%BB%89nh-Th%C3%A1i-Nguy%C3%AAn-100074959407128/", "Công an xã Kha Sơn  tỉnh Thái Nguyên")</f>
      </c>
      <c r="C5454" t="str">
        <v>https://www.facebook.com/p/C%C3%B4ng-an-x%C3%A3-Kha-S%C6%A1n-huy%E1%BB%87n-Ph%C3%BA-B%C3%ACnh-t%E1%BB%89nh-Th%C3%A1i-Nguy%C3%AAn-100074959407128/</v>
      </c>
      <c r="D5454" t="str">
        <v>-</v>
      </c>
      <c r="E5454" t="str">
        <v/>
      </c>
      <c r="F5454" t="str">
        <v>-</v>
      </c>
      <c r="G5454" t="str">
        <v>-</v>
      </c>
    </row>
    <row r="5455">
      <c r="A5455">
        <v>5454</v>
      </c>
      <c r="B5455">
        <f>HYPERLINK("https://phubinh.thainguyen.gov.vn/xa-kha-son", "UBND Ủy ban nhân dân xã Kha Sơn  tỉnh Thái Nguyên")</f>
      </c>
      <c r="C5455" t="str">
        <v>https://phubinh.thainguyen.gov.vn/xa-kha-son</v>
      </c>
      <c r="D5455" t="str">
        <v>-</v>
      </c>
      <c r="E5455" t="str">
        <v>-</v>
      </c>
      <c r="F5455" t="str">
        <v>-</v>
      </c>
      <c r="G5455" t="str">
        <v>-</v>
      </c>
    </row>
    <row r="5456">
      <c r="A5456">
        <v>5455</v>
      </c>
      <c r="B5456">
        <f>HYPERLINK("https://www.facebook.com/FcMatXacA7/", "Công an xã Thanh Ninh  tỉnh Thái Nguyên")</f>
      </c>
      <c r="C5456" t="str">
        <v>https://www.facebook.com/FcMatXacA7/</v>
      </c>
      <c r="D5456" t="str">
        <v>-</v>
      </c>
      <c r="E5456" t="str">
        <v/>
      </c>
      <c r="F5456" t="str">
        <v>-</v>
      </c>
      <c r="G5456" t="str">
        <v>-</v>
      </c>
    </row>
    <row r="5457">
      <c r="A5457">
        <v>5456</v>
      </c>
      <c r="B5457">
        <f>HYPERLINK("https://phubinh.thainguyen.gov.vn/xa-thanh-ninh", "UBND Ủy ban nhân dân xã Thanh Ninh  tỉnh Thái Nguyên")</f>
      </c>
      <c r="C5457" t="str">
        <v>https://phubinh.thainguyen.gov.vn/xa-thanh-ninh</v>
      </c>
      <c r="D5457" t="str">
        <v>-</v>
      </c>
      <c r="E5457" t="str">
        <v>-</v>
      </c>
      <c r="F5457" t="str">
        <v>-</v>
      </c>
      <c r="G5457" t="str">
        <v>-</v>
      </c>
    </row>
    <row r="5458">
      <c r="A5458">
        <v>5457</v>
      </c>
      <c r="B5458">
        <f>HYPERLINK("https://www.facebook.com/p/C%C3%B4ng-an-x%C3%A3-D%C6%B0%C6%A1ng-Th%C3%A0nh-Ph%C3%BA-B%C3%ACnh-Th%C3%A1i-Nguy%C3%AAn-100081135273039/", "Công an xã Dương Thành  tỉnh Thái Nguyên")</f>
      </c>
      <c r="C5458" t="str">
        <v>https://www.facebook.com/p/C%C3%B4ng-an-x%C3%A3-D%C6%B0%C6%A1ng-Th%C3%A0nh-Ph%C3%BA-B%C3%ACnh-Th%C3%A1i-Nguy%C3%AAn-100081135273039/</v>
      </c>
      <c r="D5458" t="str">
        <v>-</v>
      </c>
      <c r="E5458" t="str">
        <v/>
      </c>
      <c r="F5458" t="str">
        <v>-</v>
      </c>
      <c r="G5458" t="str">
        <v>-</v>
      </c>
    </row>
    <row r="5459">
      <c r="A5459">
        <v>5458</v>
      </c>
      <c r="B5459">
        <f>HYPERLINK("https://phubinh.thainguyen.gov.vn/xa-duong-thanh", "UBND Ủy ban nhân dân xã Dương Thành  tỉnh Thái Nguyên")</f>
      </c>
      <c r="C5459" t="str">
        <v>https://phubinh.thainguyen.gov.vn/xa-duong-thanh</v>
      </c>
      <c r="D5459" t="str">
        <v>-</v>
      </c>
      <c r="E5459" t="str">
        <v>-</v>
      </c>
      <c r="F5459" t="str">
        <v>-</v>
      </c>
      <c r="G5459" t="str">
        <v>-</v>
      </c>
    </row>
    <row r="5460">
      <c r="A5460">
        <v>5459</v>
      </c>
      <c r="B5460">
        <f>HYPERLINK("https://www.facebook.com/CAXHaChau/", "Công an xã Hà Châu  tỉnh Thái Nguyên")</f>
      </c>
      <c r="C5460" t="str">
        <v>https://www.facebook.com/CAXHaChau/</v>
      </c>
      <c r="D5460" t="str">
        <v>-</v>
      </c>
      <c r="E5460" t="str">
        <v/>
      </c>
      <c r="F5460" t="str">
        <v>-</v>
      </c>
      <c r="G5460" t="str">
        <v>-</v>
      </c>
    </row>
    <row r="5461">
      <c r="A5461">
        <v>5460</v>
      </c>
      <c r="B5461">
        <f>HYPERLINK("https://phubinh.thainguyen.gov.vn/xa-ha-chau", "UBND Ủy ban nhân dân xã Hà Châu  tỉnh Thái Nguyên")</f>
      </c>
      <c r="C5461" t="str">
        <v>https://phubinh.thainguyen.gov.vn/xa-ha-chau</v>
      </c>
      <c r="D5461" t="str">
        <v>-</v>
      </c>
      <c r="E5461" t="str">
        <v>-</v>
      </c>
      <c r="F5461" t="str">
        <v>-</v>
      </c>
      <c r="G5461" t="str">
        <v>-</v>
      </c>
    </row>
    <row r="5462">
      <c r="A5462">
        <v>5461</v>
      </c>
      <c r="B5462">
        <f>HYPERLINK("https://www.facebook.com/p/Ph%C6%B0%E1%BB%9Dng-Ho%C3%A0ng-V%C4%83n-Th%E1%BB%A5-Th%C3%A0nh-ph%E1%BB%91-L%E1%BA%A1ng-S%C6%A1n-100077203242718/", "Công an phường Hoàng Văn Thụ  tỉnh Lạng Sơn")</f>
      </c>
      <c r="C5462" t="str">
        <v>https://www.facebook.com/p/Ph%C6%B0%E1%BB%9Dng-Ho%C3%A0ng-V%C4%83n-Th%E1%BB%A5-Th%C3%A0nh-ph%E1%BB%91-L%E1%BA%A1ng-S%C6%A1n-100077203242718/</v>
      </c>
      <c r="D5462" t="str">
        <v>-</v>
      </c>
      <c r="E5462" t="str">
        <v/>
      </c>
      <c r="F5462" t="str">
        <v>-</v>
      </c>
      <c r="G5462" t="str">
        <v>-</v>
      </c>
    </row>
    <row r="5463">
      <c r="A5463">
        <v>5462</v>
      </c>
      <c r="B5463">
        <f>HYPERLINK("https://thanhpho.langson.gov.vn/", "UBND Ủy ban nhân dân phường Hoàng Văn Thụ  tỉnh Lạng Sơn")</f>
      </c>
      <c r="C5463" t="str">
        <v>https://thanhpho.langson.gov.vn/</v>
      </c>
      <c r="D5463" t="str">
        <v>-</v>
      </c>
      <c r="E5463" t="str">
        <v>-</v>
      </c>
      <c r="F5463" t="str">
        <v>-</v>
      </c>
      <c r="G5463" t="str">
        <v>-</v>
      </c>
    </row>
    <row r="5464">
      <c r="A5464">
        <v>5463</v>
      </c>
      <c r="B5464" t="str">
        <v>Công an phường Tam Thanh  tỉnh Lạng Sơn</v>
      </c>
      <c r="C5464" t="str">
        <v>-</v>
      </c>
      <c r="D5464" t="str">
        <v>-</v>
      </c>
      <c r="E5464" t="str">
        <v/>
      </c>
      <c r="F5464" t="str">
        <v>-</v>
      </c>
      <c r="G5464" t="str">
        <v>-</v>
      </c>
    </row>
    <row r="5465">
      <c r="A5465">
        <v>5464</v>
      </c>
      <c r="B5465">
        <f>HYPERLINK("https://thanhpho.langson.gov.vn/thong-tin-theo-linh-vuc/van-hoa-xa-hoi/ubnd-phuong-tam-thanh-phoi-hop-voi-ubnd-thanh-pho-lang-son-to-chuc-le-ra-quan-dieu-tra-dan-so-va-nha-o-giua-ky-01-4-2024.html", "UBND Ủy ban nhân dân phường Tam Thanh  tỉnh Lạng Sơn")</f>
      </c>
      <c r="C5465" t="str">
        <v>https://thanhpho.langson.gov.vn/thong-tin-theo-linh-vuc/van-hoa-xa-hoi/ubnd-phuong-tam-thanh-phoi-hop-voi-ubnd-thanh-pho-lang-son-to-chuc-le-ra-quan-dieu-tra-dan-so-va-nha-o-giua-ky-01-4-2024.html</v>
      </c>
      <c r="D5465" t="str">
        <v>-</v>
      </c>
      <c r="E5465" t="str">
        <v>-</v>
      </c>
      <c r="F5465" t="str">
        <v>-</v>
      </c>
      <c r="G5465" t="str">
        <v>-</v>
      </c>
    </row>
    <row r="5466">
      <c r="A5466">
        <v>5465</v>
      </c>
      <c r="B5466" t="str">
        <v>Công an phường Vĩnh Trại  tỉnh Lạng Sơn</v>
      </c>
      <c r="C5466" t="str">
        <v>-</v>
      </c>
      <c r="D5466" t="str">
        <v>-</v>
      </c>
      <c r="E5466" t="str">
        <v/>
      </c>
      <c r="F5466" t="str">
        <v>-</v>
      </c>
      <c r="G5466" t="str">
        <v>-</v>
      </c>
    </row>
    <row r="5467">
      <c r="A5467">
        <v>5466</v>
      </c>
      <c r="B5467">
        <f>HYPERLINK("https://thanhpho.langson.gov.vn/", "UBND Ủy ban nhân dân phường Vĩnh Trại  tỉnh Lạng Sơn")</f>
      </c>
      <c r="C5467" t="str">
        <v>https://thanhpho.langson.gov.vn/</v>
      </c>
      <c r="D5467" t="str">
        <v>-</v>
      </c>
      <c r="E5467" t="str">
        <v>-</v>
      </c>
      <c r="F5467" t="str">
        <v>-</v>
      </c>
      <c r="G5467" t="str">
        <v>-</v>
      </c>
    </row>
    <row r="5468">
      <c r="A5468">
        <v>5467</v>
      </c>
      <c r="B5468" t="str">
        <v>Công an phường Đông Kinh  tỉnh Lạng Sơn</v>
      </c>
      <c r="C5468" t="str">
        <v>-</v>
      </c>
      <c r="D5468" t="str">
        <v>-</v>
      </c>
      <c r="E5468" t="str">
        <v/>
      </c>
      <c r="F5468" t="str">
        <v>-</v>
      </c>
      <c r="G5468" t="str">
        <v>-</v>
      </c>
    </row>
    <row r="5469">
      <c r="A5469">
        <v>5468</v>
      </c>
      <c r="B5469">
        <f>HYPERLINK("https://langson.gov.vn/thong-tin-quy-hoach/ve-viec-giao-dat-cho-ubnd-phuong-dong-kinh-thanh-pho-lang-son-de-su-dung-vao-muc-dich-dat-xay-dung-co-so-van-hoa-nha-van.html", "UBND Ủy ban nhân dân phường Đông Kinh  tỉnh Lạng Sơn")</f>
      </c>
      <c r="C5469" t="str">
        <v>https://langson.gov.vn/thong-tin-quy-hoach/ve-viec-giao-dat-cho-ubnd-phuong-dong-kinh-thanh-pho-lang-son-de-su-dung-vao-muc-dich-dat-xay-dung-co-so-van-hoa-nha-van.html</v>
      </c>
      <c r="D5469" t="str">
        <v>-</v>
      </c>
      <c r="E5469" t="str">
        <v>-</v>
      </c>
      <c r="F5469" t="str">
        <v>-</v>
      </c>
      <c r="G5469" t="str">
        <v>-</v>
      </c>
    </row>
    <row r="5470">
      <c r="A5470">
        <v>5469</v>
      </c>
      <c r="B5470" t="str">
        <v>Công an phường Chi Lăng  tỉnh Lạng Sơn</v>
      </c>
      <c r="C5470" t="str">
        <v>-</v>
      </c>
      <c r="D5470" t="str">
        <v>-</v>
      </c>
      <c r="E5470" t="str">
        <v/>
      </c>
      <c r="F5470" t="str">
        <v>-</v>
      </c>
      <c r="G5470" t="str">
        <v>-</v>
      </c>
    </row>
    <row r="5471">
      <c r="A5471">
        <v>5470</v>
      </c>
      <c r="B5471">
        <f>HYPERLINK("https://langson.gov.vn/", "UBND Ủy ban nhân dân phường Chi Lăng  tỉnh Lạng Sơn")</f>
      </c>
      <c r="C5471" t="str">
        <v>https://langson.gov.vn/</v>
      </c>
      <c r="D5471" t="str">
        <v>-</v>
      </c>
      <c r="E5471" t="str">
        <v>-</v>
      </c>
      <c r="F5471" t="str">
        <v>-</v>
      </c>
      <c r="G5471" t="str">
        <v>-</v>
      </c>
    </row>
    <row r="5472">
      <c r="A5472">
        <v>5471</v>
      </c>
      <c r="B5472">
        <f>HYPERLINK("https://www.facebook.com/p/Tu%E1%BB%95i-tr%E1%BA%BB-C%C3%B4ng-an-huy%E1%BB%87n-B%C3%ACnh-Gia-100070618760059/", "Công an xã Hoàng Đồng  tỉnh Lạng Sơn")</f>
      </c>
      <c r="C5472" t="str">
        <v>https://www.facebook.com/p/Tu%E1%BB%95i-tr%E1%BA%BB-C%C3%B4ng-an-huy%E1%BB%87n-B%C3%ACnh-Gia-100070618760059/</v>
      </c>
      <c r="D5472" t="str">
        <v>-</v>
      </c>
      <c r="E5472" t="str">
        <v/>
      </c>
      <c r="F5472" t="str">
        <v>-</v>
      </c>
      <c r="G5472" t="str">
        <v>-</v>
      </c>
    </row>
    <row r="5473">
      <c r="A5473">
        <v>5472</v>
      </c>
      <c r="B5473">
        <f>HYPERLINK("https://langson.gov.vn/thong-tin-quy-hoach/giao-dat-cho-ubnd-xa-hoang-dong-thanh-pho-lang-son-de-su-dung-vao-muc-dich-dat-xay-dung-co-so-van-hoa-nha-van-hoa-thon-h.html", "UBND Ủy ban nhân dân xã Hoàng Đồng  tỉnh Lạng Sơn")</f>
      </c>
      <c r="C5473" t="str">
        <v>https://langson.gov.vn/thong-tin-quy-hoach/giao-dat-cho-ubnd-xa-hoang-dong-thanh-pho-lang-son-de-su-dung-vao-muc-dich-dat-xay-dung-co-so-van-hoa-nha-van-hoa-thon-h.html</v>
      </c>
      <c r="D5473" t="str">
        <v>-</v>
      </c>
      <c r="E5473" t="str">
        <v>-</v>
      </c>
      <c r="F5473" t="str">
        <v>-</v>
      </c>
      <c r="G5473" t="str">
        <v>-</v>
      </c>
    </row>
    <row r="5474">
      <c r="A5474">
        <v>5473</v>
      </c>
      <c r="B5474" t="str">
        <v>Công an xã Quảng Lạc  tỉnh Lạng Sơn</v>
      </c>
      <c r="C5474" t="str">
        <v>-</v>
      </c>
      <c r="D5474" t="str">
        <v>-</v>
      </c>
      <c r="E5474" t="str">
        <v/>
      </c>
      <c r="F5474" t="str">
        <v>-</v>
      </c>
      <c r="G5474" t="str">
        <v>-</v>
      </c>
    </row>
    <row r="5475">
      <c r="A5475">
        <v>5474</v>
      </c>
      <c r="B5475">
        <f>HYPERLINK("https://vanphong.langson.gov.vn/van-ban-chi-dao-dieu-hanh/chi-dao-dieu-hanh-noi-bat-trong-tuan/sao-y-quyet-dinh-thi-hanh-ky-luat-dong-chi-pham-dinh-duy-uy-vien-ban-thuong-vu-thanh-uy-bi-thu-dang-uy-chu-tich-ubnd-xa-.html", "UBND Ủy ban nhân dân xã Quảng Lạc  tỉnh Lạng Sơn")</f>
      </c>
      <c r="C5475" t="str">
        <v>https://vanphong.langson.gov.vn/van-ban-chi-dao-dieu-hanh/chi-dao-dieu-hanh-noi-bat-trong-tuan/sao-y-quyet-dinh-thi-hanh-ky-luat-dong-chi-pham-dinh-duy-uy-vien-ban-thuong-vu-thanh-uy-bi-thu-dang-uy-chu-tich-ubnd-xa-.html</v>
      </c>
      <c r="D5475" t="str">
        <v>-</v>
      </c>
      <c r="E5475" t="str">
        <v>-</v>
      </c>
      <c r="F5475" t="str">
        <v>-</v>
      </c>
      <c r="G5475" t="str">
        <v>-</v>
      </c>
    </row>
    <row r="5476">
      <c r="A5476">
        <v>5475</v>
      </c>
      <c r="B5476">
        <f>HYPERLINK("https://www.facebook.com/phongpc06conganlangson/?locale=hi_IN", "Công an xã Mai Pha  tỉnh Lạng Sơn")</f>
      </c>
      <c r="C5476" t="str">
        <v>https://www.facebook.com/phongpc06conganlangson/?locale=hi_IN</v>
      </c>
      <c r="D5476" t="str">
        <v>-</v>
      </c>
      <c r="E5476" t="str">
        <v/>
      </c>
      <c r="F5476" t="str">
        <v>-</v>
      </c>
      <c r="G5476" t="str">
        <v>-</v>
      </c>
    </row>
    <row r="5477">
      <c r="A5477">
        <v>5476</v>
      </c>
      <c r="B5477">
        <f>HYPERLINK("http://thanhpho.langson.gov.vn/thong-tin-theo-linh-vuc/kinh-te-chinh-tri/xa-mai-pha-to-chuc-ky-hop-thu-10-hdnd-xa-khoa-xxi-nhiem-ky-2021-2026.html", "UBND Ủy ban nhân dân xã Mai Pha  tỉnh Lạng Sơn")</f>
      </c>
      <c r="C5477" t="str">
        <v>http://thanhpho.langson.gov.vn/thong-tin-theo-linh-vuc/kinh-te-chinh-tri/xa-mai-pha-to-chuc-ky-hop-thu-10-hdnd-xa-khoa-xxi-nhiem-ky-2021-2026.html</v>
      </c>
      <c r="D5477" t="str">
        <v>-</v>
      </c>
      <c r="E5477" t="str">
        <v>-</v>
      </c>
      <c r="F5477" t="str">
        <v>-</v>
      </c>
      <c r="G5477" t="str">
        <v>-</v>
      </c>
    </row>
    <row r="5478">
      <c r="A5478">
        <v>5477</v>
      </c>
      <c r="B5478">
        <f>HYPERLINK("https://www.facebook.com/reel/498306619784196/", "Công an thị trấn Thất Khê  tỉnh Lạng Sơn")</f>
      </c>
      <c r="C5478" t="str">
        <v>https://www.facebook.com/reel/498306619784196/</v>
      </c>
      <c r="D5478" t="str">
        <v>-</v>
      </c>
      <c r="E5478" t="str">
        <v/>
      </c>
      <c r="F5478" t="str">
        <v>-</v>
      </c>
      <c r="G5478" t="str">
        <v>-</v>
      </c>
    </row>
    <row r="5479">
      <c r="A5479">
        <v>5478</v>
      </c>
      <c r="B5479">
        <f>HYPERLINK("https://trangdinh.langson.gov.vn/", "UBND Ủy ban nhân dân thị trấn Thất Khê  tỉnh Lạng Sơn")</f>
      </c>
      <c r="C5479" t="str">
        <v>https://trangdinh.langson.gov.vn/</v>
      </c>
      <c r="D5479" t="str">
        <v>-</v>
      </c>
      <c r="E5479" t="str">
        <v>-</v>
      </c>
      <c r="F5479" t="str">
        <v>-</v>
      </c>
      <c r="G5479" t="str">
        <v>-</v>
      </c>
    </row>
    <row r="5480">
      <c r="A5480">
        <v>5479</v>
      </c>
      <c r="B5480">
        <f>HYPERLINK("https://www.facebook.com/tuoitreconganlangson/", "Công an xã Khánh Long  tỉnh Lạng Sơn")</f>
      </c>
      <c r="C5480" t="str">
        <v>https://www.facebook.com/tuoitreconganlangson/</v>
      </c>
      <c r="D5480" t="str">
        <v>-</v>
      </c>
      <c r="E5480" t="str">
        <v/>
      </c>
      <c r="F5480" t="str">
        <v>-</v>
      </c>
      <c r="G5480" t="str">
        <v>-</v>
      </c>
    </row>
    <row r="5481">
      <c r="A5481">
        <v>5480</v>
      </c>
      <c r="B5481">
        <f>HYPERLINK("https://langson.toaan.gov.vn/webcenter/portal/langson/chitiettin?dDocName=TAND199236", "UBND Ủy ban nhân dân xã Khánh Long  tỉnh Lạng Sơn")</f>
      </c>
      <c r="C5481" t="str">
        <v>https://langson.toaan.gov.vn/webcenter/portal/langson/chitiettin?dDocName=TAND199236</v>
      </c>
      <c r="D5481" t="str">
        <v>-</v>
      </c>
      <c r="E5481" t="str">
        <v>-</v>
      </c>
      <c r="F5481" t="str">
        <v>-</v>
      </c>
      <c r="G5481" t="str">
        <v>-</v>
      </c>
    </row>
    <row r="5482">
      <c r="A5482">
        <v>5481</v>
      </c>
      <c r="B5482" t="str">
        <v>Công an xã Đoàn Kết  tỉnh Lạng Sơn</v>
      </c>
      <c r="C5482" t="str">
        <v>-</v>
      </c>
      <c r="D5482" t="str">
        <v>-</v>
      </c>
      <c r="E5482" t="str">
        <v/>
      </c>
      <c r="F5482" t="str">
        <v>-</v>
      </c>
      <c r="G5482" t="str">
        <v>-</v>
      </c>
    </row>
    <row r="5483">
      <c r="A5483">
        <v>5482</v>
      </c>
      <c r="B5483">
        <f>HYPERLINK("https://langson.gov.vn/tin-moi/lanh-dao-ubnd-tinh-du-ngay-hoi-dai-doan-ket-toan-dan-toc-tai-khu-dan-cu-thon-pa-phieng-xa-hong-phong-huyen-cao-loc.html", "UBND Ủy ban nhân dân xã Đoàn Kết  tỉnh Lạng Sơn")</f>
      </c>
      <c r="C5483" t="str">
        <v>https://langson.gov.vn/tin-moi/lanh-dao-ubnd-tinh-du-ngay-hoi-dai-doan-ket-toan-dan-toc-tai-khu-dan-cu-thon-pa-phieng-xa-hong-phong-huyen-cao-loc.html</v>
      </c>
      <c r="D5483" t="str">
        <v>-</v>
      </c>
      <c r="E5483" t="str">
        <v>-</v>
      </c>
      <c r="F5483" t="str">
        <v>-</v>
      </c>
      <c r="G5483" t="str">
        <v>-</v>
      </c>
    </row>
    <row r="5484">
      <c r="A5484">
        <v>5483</v>
      </c>
      <c r="B5484" t="str">
        <v>Công an xã Quốc Khánh  tỉnh Lạng Sơn</v>
      </c>
      <c r="C5484" t="str">
        <v>-</v>
      </c>
      <c r="D5484" t="str">
        <v>-</v>
      </c>
      <c r="E5484" t="str">
        <v/>
      </c>
      <c r="F5484" t="str">
        <v>-</v>
      </c>
      <c r="G5484" t="str">
        <v>-</v>
      </c>
    </row>
    <row r="5485">
      <c r="A5485">
        <v>5484</v>
      </c>
      <c r="B5485">
        <f>HYPERLINK("https://langson.gov.vn/", "UBND Ủy ban nhân dân xã Quốc Khánh  tỉnh Lạng Sơn")</f>
      </c>
      <c r="C5485" t="str">
        <v>https://langson.gov.vn/</v>
      </c>
      <c r="D5485" t="str">
        <v>-</v>
      </c>
      <c r="E5485" t="str">
        <v>-</v>
      </c>
      <c r="F5485" t="str">
        <v>-</v>
      </c>
      <c r="G5485" t="str">
        <v>-</v>
      </c>
    </row>
    <row r="5486">
      <c r="A5486">
        <v>5485</v>
      </c>
      <c r="B5486">
        <f>HYPERLINK("https://www.facebook.com/p/%C4%90o%C3%A0n-Thanh-Ni%C3%AAn-C%C3%B4ng-An-Huy%E1%BB%87n-Tr%C3%A0ng-%C4%90%E1%BB%8Bnh-100066714612141/", "Công an xã Vĩnh Tiến  tỉnh Lạng Sơn")</f>
      </c>
      <c r="C5486" t="str">
        <v>https://www.facebook.com/p/%C4%90o%C3%A0n-Thanh-Ni%C3%AAn-C%C3%B4ng-An-Huy%E1%BB%87n-Tr%C3%A0ng-%C4%90%E1%BB%8Bnh-100066714612141/</v>
      </c>
      <c r="D5486" t="str">
        <v>-</v>
      </c>
      <c r="E5486" t="str">
        <v/>
      </c>
      <c r="F5486" t="str">
        <v>-</v>
      </c>
      <c r="G5486" t="str">
        <v>-</v>
      </c>
    </row>
    <row r="5487">
      <c r="A5487">
        <v>5486</v>
      </c>
      <c r="B5487">
        <f>HYPERLINK("https://anhson.nghean.gov.vn/vinh-son/vinh-son-454103", "UBND Ủy ban nhân dân xã Vĩnh Tiến  tỉnh Lạng Sơn")</f>
      </c>
      <c r="C5487" t="str">
        <v>https://anhson.nghean.gov.vn/vinh-son/vinh-son-454103</v>
      </c>
      <c r="D5487" t="str">
        <v>-</v>
      </c>
      <c r="E5487" t="str">
        <v>-</v>
      </c>
      <c r="F5487" t="str">
        <v>-</v>
      </c>
      <c r="G5487" t="str">
        <v>-</v>
      </c>
    </row>
    <row r="5488">
      <c r="A5488">
        <v>5487</v>
      </c>
      <c r="B5488">
        <f>HYPERLINK("https://www.facebook.com/tuoitreconganlangson/", "Công an xã Cao Minh  tỉnh Lạng Sơn")</f>
      </c>
      <c r="C5488" t="str">
        <v>https://www.facebook.com/tuoitreconganlangson/</v>
      </c>
      <c r="D5488" t="str">
        <v>-</v>
      </c>
      <c r="E5488" t="str">
        <v/>
      </c>
      <c r="F5488" t="str">
        <v>-</v>
      </c>
      <c r="G5488" t="str">
        <v>-</v>
      </c>
    </row>
    <row r="5489">
      <c r="A5489">
        <v>5488</v>
      </c>
      <c r="B5489">
        <f>HYPERLINK("https://langson.gov.vn/", "UBND Ủy ban nhân dân xã Cao Minh  tỉnh Lạng Sơn")</f>
      </c>
      <c r="C5489" t="str">
        <v>https://langson.gov.vn/</v>
      </c>
      <c r="D5489" t="str">
        <v>-</v>
      </c>
      <c r="E5489" t="str">
        <v>-</v>
      </c>
      <c r="F5489" t="str">
        <v>-</v>
      </c>
      <c r="G5489" t="str">
        <v>-</v>
      </c>
    </row>
    <row r="5490">
      <c r="A5490">
        <v>5489</v>
      </c>
      <c r="B5490">
        <f>HYPERLINK("https://www.facebook.com/tuoitreconganlangson/", "Công an xã Chí Minh  tỉnh Lạng Sơn")</f>
      </c>
      <c r="C5490" t="str">
        <v>https://www.facebook.com/tuoitreconganlangson/</v>
      </c>
      <c r="D5490" t="str">
        <v>-</v>
      </c>
      <c r="E5490" t="str">
        <v/>
      </c>
      <c r="F5490" t="str">
        <v>-</v>
      </c>
      <c r="G5490" t="str">
        <v>-</v>
      </c>
    </row>
    <row r="5491">
      <c r="A5491">
        <v>5490</v>
      </c>
      <c r="B5491">
        <f>HYPERLINK("https://langson.gov.vn/", "UBND Ủy ban nhân dân xã Chí Minh  tỉnh Lạng Sơn")</f>
      </c>
      <c r="C5491" t="str">
        <v>https://langson.gov.vn/</v>
      </c>
      <c r="D5491" t="str">
        <v>-</v>
      </c>
      <c r="E5491" t="str">
        <v>-</v>
      </c>
      <c r="F5491" t="str">
        <v>-</v>
      </c>
      <c r="G5491" t="str">
        <v>-</v>
      </c>
    </row>
    <row r="5492">
      <c r="A5492">
        <v>5491</v>
      </c>
      <c r="B5492">
        <f>HYPERLINK("https://www.facebook.com/reel/1946959099121360/", "Công an xã Tri Phương  tỉnh Lạng Sơn")</f>
      </c>
      <c r="C5492" t="str">
        <v>https://www.facebook.com/reel/1946959099121360/</v>
      </c>
      <c r="D5492" t="str">
        <v>-</v>
      </c>
      <c r="E5492" t="str">
        <v/>
      </c>
      <c r="F5492" t="str">
        <v>-</v>
      </c>
      <c r="G5492" t="str">
        <v>-</v>
      </c>
    </row>
    <row r="5493">
      <c r="A5493">
        <v>5492</v>
      </c>
      <c r="B5493">
        <f>HYPERLINK("https://langson.toaan.gov.vn/webcenter/portal/langson/chitiettin?dDocName=TAND213776", "UBND Ủy ban nhân dân xã Tri Phương  tỉnh Lạng Sơn")</f>
      </c>
      <c r="C5493" t="str">
        <v>https://langson.toaan.gov.vn/webcenter/portal/langson/chitiettin?dDocName=TAND213776</v>
      </c>
      <c r="D5493" t="str">
        <v>-</v>
      </c>
      <c r="E5493" t="str">
        <v>-</v>
      </c>
      <c r="F5493" t="str">
        <v>-</v>
      </c>
      <c r="G5493" t="str">
        <v>-</v>
      </c>
    </row>
    <row r="5494">
      <c r="A5494">
        <v>5493</v>
      </c>
      <c r="B5494" t="str">
        <v>Công an xã Tân Tiến  tỉnh Lạng Sơn</v>
      </c>
      <c r="C5494" t="str">
        <v>-</v>
      </c>
      <c r="D5494" t="str">
        <v>-</v>
      </c>
      <c r="E5494" t="str">
        <v/>
      </c>
      <c r="F5494" t="str">
        <v>-</v>
      </c>
      <c r="G5494" t="str">
        <v>-</v>
      </c>
    </row>
    <row r="5495">
      <c r="A5495">
        <v>5494</v>
      </c>
      <c r="B5495">
        <f>HYPERLINK("https://trangdinh.langson.gov.vn/", "UBND Ủy ban nhân dân xã Tân Tiến  tỉnh Lạng Sơn")</f>
      </c>
      <c r="C5495" t="str">
        <v>https://trangdinh.langson.gov.vn/</v>
      </c>
      <c r="D5495" t="str">
        <v>-</v>
      </c>
      <c r="E5495" t="str">
        <v>-</v>
      </c>
      <c r="F5495" t="str">
        <v>-</v>
      </c>
      <c r="G5495" t="str">
        <v>-</v>
      </c>
    </row>
    <row r="5496">
      <c r="A5496">
        <v>5495</v>
      </c>
      <c r="B5496">
        <f>HYPERLINK("https://www.facebook.com/tuoitreconganhuyenvanquan/", "Công an xã Tân Yên  tỉnh Lạng Sơn")</f>
      </c>
      <c r="C5496" t="str">
        <v>https://www.facebook.com/tuoitreconganhuyenvanquan/</v>
      </c>
      <c r="D5496" t="str">
        <v>-</v>
      </c>
      <c r="E5496" t="str">
        <v/>
      </c>
      <c r="F5496" t="str">
        <v>-</v>
      </c>
      <c r="G5496" t="str">
        <v>-</v>
      </c>
    </row>
    <row r="5497">
      <c r="A5497">
        <v>5496</v>
      </c>
      <c r="B5497">
        <f>HYPERLINK("https://hcc.bacgiang.gov.vn/en_US/web/ubnd-xa-lien-son/chi-tiet-van-ban?p_p_id=xemchitietvanban_WAR_portalvbpqportlet&amp;p_p_lifecycle=0&amp;p_p_state=normal&amp;p_p_mode=view&amp;p_p_col_id=_118_INSTANCE_wVbdWqvvJF85__column-2&amp;p_p_col_count=1&amp;_xemchitietvanban_WAR_portalvbpqportlet_vanBanId=696000", "UBND Ủy ban nhân dân xã Tân Yên  tỉnh Lạng Sơn")</f>
      </c>
      <c r="C5497" t="str">
        <v>https://hcc.bacgiang.gov.vn/en_US/web/ubnd-xa-lien-son/chi-tiet-van-ban?p_p_id=xemchitietvanban_WAR_portalvbpqportlet&amp;p_p_lifecycle=0&amp;p_p_state=normal&amp;p_p_mode=view&amp;p_p_col_id=_118_INSTANCE_wVbdWqvvJF85__column-2&amp;p_p_col_count=1&amp;_xemchitietvanban_WAR_portalvbpqportlet_vanBanId=696000</v>
      </c>
      <c r="D5497" t="str">
        <v>-</v>
      </c>
      <c r="E5497" t="str">
        <v>-</v>
      </c>
      <c r="F5497" t="str">
        <v>-</v>
      </c>
      <c r="G5497" t="str">
        <v>-</v>
      </c>
    </row>
    <row r="5498">
      <c r="A5498">
        <v>5497</v>
      </c>
      <c r="B5498">
        <f>HYPERLINK("https://www.facebook.com/tuoitreconganlangson/", "Công an xã Đội Cấn  tỉnh Lạng Sơn")</f>
      </c>
      <c r="C5498" t="str">
        <v>https://www.facebook.com/tuoitreconganlangson/</v>
      </c>
      <c r="D5498" t="str">
        <v>-</v>
      </c>
      <c r="E5498" t="str">
        <v/>
      </c>
      <c r="F5498" t="str">
        <v>-</v>
      </c>
      <c r="G5498" t="str">
        <v>-</v>
      </c>
    </row>
    <row r="5499">
      <c r="A5499">
        <v>5498</v>
      </c>
      <c r="B5499">
        <f>HYPERLINK("https://vanphong.langson.gov.vn/tin-tuc-su-kien/tin-hoat-dong/cum-thi-dua-so-4-cong-doan-vien-chuc-tinh-ban-giao-cong-trinh-thap-sang-duong-thon-bien-gioi-tai-xa-doi-can-huyen-trang-.html", "UBND Ủy ban nhân dân xã Đội Cấn  tỉnh Lạng Sơn")</f>
      </c>
      <c r="C5499" t="str">
        <v>https://vanphong.langson.gov.vn/tin-tuc-su-kien/tin-hoat-dong/cum-thi-dua-so-4-cong-doan-vien-chuc-tinh-ban-giao-cong-trinh-thap-sang-duong-thon-bien-gioi-tai-xa-doi-can-huyen-trang-.html</v>
      </c>
      <c r="D5499" t="str">
        <v>-</v>
      </c>
      <c r="E5499" t="str">
        <v>-</v>
      </c>
      <c r="F5499" t="str">
        <v>-</v>
      </c>
      <c r="G5499" t="str">
        <v>-</v>
      </c>
    </row>
    <row r="5500">
      <c r="A5500">
        <v>5499</v>
      </c>
      <c r="B5500" t="str">
        <v>Công an xã Tân Minh  tỉnh Lạng Sơn</v>
      </c>
      <c r="C5500" t="str">
        <v>-</v>
      </c>
      <c r="D5500" t="str">
        <v>-</v>
      </c>
      <c r="E5500" t="str">
        <v/>
      </c>
      <c r="F5500" t="str">
        <v>-</v>
      </c>
      <c r="G5500" t="str">
        <v>-</v>
      </c>
    </row>
    <row r="5501">
      <c r="A5501">
        <v>5500</v>
      </c>
      <c r="B5501">
        <f>HYPERLINK("https://trangdinh.langson.gov.vn/", "UBND Ủy ban nhân dân xã Tân Minh  tỉnh Lạng Sơn")</f>
      </c>
      <c r="C5501" t="str">
        <v>https://trangdinh.langson.gov.vn/</v>
      </c>
      <c r="D5501" t="str">
        <v>-</v>
      </c>
      <c r="E5501" t="str">
        <v>-</v>
      </c>
      <c r="F5501" t="str">
        <v>-</v>
      </c>
      <c r="G5501" t="str">
        <v>-</v>
      </c>
    </row>
    <row r="5502">
      <c r="A5502">
        <v>5501</v>
      </c>
      <c r="B5502" t="str">
        <v>Công an xã Kim Đồng  tỉnh Lạng Sơn</v>
      </c>
      <c r="C5502" t="str">
        <v>-</v>
      </c>
      <c r="D5502" t="str">
        <v>-</v>
      </c>
      <c r="E5502" t="str">
        <v/>
      </c>
      <c r="F5502" t="str">
        <v>-</v>
      </c>
      <c r="G5502" t="str">
        <v>-</v>
      </c>
    </row>
    <row r="5503">
      <c r="A5503">
        <v>5502</v>
      </c>
      <c r="B5503">
        <f>HYPERLINK("https://langson.gov.vn/tin-moi/dong-chi-duong-xuan-huyen-pho-chu-tich-thuong-truc-ubnd-tinh-tham-tang-qua-gia-dinh-chinh-sach-nguoi-co-cong-nhan-dip-ky.html", "UBND Ủy ban nhân dân xã Kim Đồng  tỉnh Lạng Sơn")</f>
      </c>
      <c r="C5503" t="str">
        <v>https://langson.gov.vn/tin-moi/dong-chi-duong-xuan-huyen-pho-chu-tich-thuong-truc-ubnd-tinh-tham-tang-qua-gia-dinh-chinh-sach-nguoi-co-cong-nhan-dip-ky.html</v>
      </c>
      <c r="D5503" t="str">
        <v>-</v>
      </c>
      <c r="E5503" t="str">
        <v>-</v>
      </c>
      <c r="F5503" t="str">
        <v>-</v>
      </c>
      <c r="G5503" t="str">
        <v>-</v>
      </c>
    </row>
    <row r="5504">
      <c r="A5504">
        <v>5503</v>
      </c>
      <c r="B5504">
        <f>HYPERLINK("https://www.facebook.com/tuoitreconganlangson/", "Công an xã Chi Lăng  tỉnh Lạng Sơn")</f>
      </c>
      <c r="C5504" t="str">
        <v>https://www.facebook.com/tuoitreconganlangson/</v>
      </c>
      <c r="D5504" t="str">
        <v>-</v>
      </c>
      <c r="E5504" t="str">
        <v/>
      </c>
      <c r="F5504" t="str">
        <v>-</v>
      </c>
      <c r="G5504" t="str">
        <v>-</v>
      </c>
    </row>
    <row r="5505">
      <c r="A5505">
        <v>5504</v>
      </c>
      <c r="B5505">
        <f>HYPERLINK("https://chilang.langson.gov.vn/thong-tin-tuyen-truyen/tuyen-truyen-c", "UBND Ủy ban nhân dân xã Chi Lăng  tỉnh Lạng Sơn")</f>
      </c>
      <c r="C5505" t="str">
        <v>https://chilang.langson.gov.vn/thong-tin-tuyen-truyen/tuyen-truyen-c</v>
      </c>
      <c r="D5505" t="str">
        <v>-</v>
      </c>
      <c r="E5505" t="str">
        <v>-</v>
      </c>
      <c r="F5505" t="str">
        <v>-</v>
      </c>
      <c r="G5505" t="str">
        <v>-</v>
      </c>
    </row>
    <row r="5506">
      <c r="A5506">
        <v>5505</v>
      </c>
      <c r="B5506">
        <f>HYPERLINK("https://www.facebook.com/tuoitreconganhuyenvanquan/", "Công an xã Trung Thành  tỉnh Lạng Sơn")</f>
      </c>
      <c r="C5506" t="str">
        <v>https://www.facebook.com/tuoitreconganhuyenvanquan/</v>
      </c>
      <c r="D5506" t="str">
        <v>-</v>
      </c>
      <c r="E5506" t="str">
        <v/>
      </c>
      <c r="F5506" t="str">
        <v>-</v>
      </c>
      <c r="G5506" t="str">
        <v>-</v>
      </c>
    </row>
    <row r="5507">
      <c r="A5507">
        <v>5506</v>
      </c>
      <c r="B5507">
        <f>HYPERLINK("https://mttq.langson.gov.vn/tin-tuc-su-kien/dai-doan-ket/lanh-dao-uy-ban-mttq-tinh-du-ngay-hoi-dai-doan-ket-toan-dan-toc-tai-huyen-trang-dinh.html", "UBND Ủy ban nhân dân xã Trung Thành  tỉnh Lạng Sơn")</f>
      </c>
      <c r="C5507" t="str">
        <v>https://mttq.langson.gov.vn/tin-tuc-su-kien/dai-doan-ket/lanh-dao-uy-ban-mttq-tinh-du-ngay-hoi-dai-doan-ket-toan-dan-toc-tai-huyen-trang-dinh.html</v>
      </c>
      <c r="D5507" t="str">
        <v>-</v>
      </c>
      <c r="E5507" t="str">
        <v>-</v>
      </c>
      <c r="F5507" t="str">
        <v>-</v>
      </c>
      <c r="G5507" t="str">
        <v>-</v>
      </c>
    </row>
    <row r="5508">
      <c r="A5508">
        <v>5507</v>
      </c>
      <c r="B5508">
        <f>HYPERLINK("https://www.facebook.com/tuoitreconganlangson/", "Công an xã Đại Đồng  tỉnh Lạng Sơn")</f>
      </c>
      <c r="C5508" t="str">
        <v>https://www.facebook.com/tuoitreconganlangson/</v>
      </c>
      <c r="D5508" t="str">
        <v>-</v>
      </c>
      <c r="E5508" t="str">
        <v/>
      </c>
      <c r="F5508" t="str">
        <v>-</v>
      </c>
      <c r="G5508" t="str">
        <v>-</v>
      </c>
    </row>
    <row r="5509">
      <c r="A5509">
        <v>5508</v>
      </c>
      <c r="B5509">
        <f>HYPERLINK("https://trangdinh.langson.gov.vn/", "UBND Ủy ban nhân dân xã Đại Đồng  tỉnh Lạng Sơn")</f>
      </c>
      <c r="C5509" t="str">
        <v>https://trangdinh.langson.gov.vn/</v>
      </c>
      <c r="D5509" t="str">
        <v>-</v>
      </c>
      <c r="E5509" t="str">
        <v>-</v>
      </c>
      <c r="F5509" t="str">
        <v>-</v>
      </c>
      <c r="G5509" t="str">
        <v>-</v>
      </c>
    </row>
    <row r="5510">
      <c r="A5510">
        <v>5509</v>
      </c>
      <c r="B5510" t="str">
        <v>Công an xã Đào Viên  tỉnh Lạng Sơn</v>
      </c>
      <c r="C5510" t="str">
        <v>-</v>
      </c>
      <c r="D5510" t="str">
        <v>-</v>
      </c>
      <c r="E5510" t="str">
        <v/>
      </c>
      <c r="F5510" t="str">
        <v>-</v>
      </c>
      <c r="G5510" t="str">
        <v>-</v>
      </c>
    </row>
    <row r="5511">
      <c r="A5511">
        <v>5510</v>
      </c>
      <c r="B5511">
        <f>HYPERLINK("https://langson.gov.vn/", "UBND Ủy ban nhân dân xã Đào Viên  tỉnh Lạng Sơn")</f>
      </c>
      <c r="C5511" t="str">
        <v>https://langson.gov.vn/</v>
      </c>
      <c r="D5511" t="str">
        <v>-</v>
      </c>
      <c r="E5511" t="str">
        <v>-</v>
      </c>
      <c r="F5511" t="str">
        <v>-</v>
      </c>
      <c r="G5511" t="str">
        <v>-</v>
      </c>
    </row>
    <row r="5512">
      <c r="A5512">
        <v>5511</v>
      </c>
      <c r="B5512">
        <f>HYPERLINK("https://www.facebook.com/p/%C4%90o%C3%A0n-Thanh-Ni%C3%AAn-C%C3%B4ng-An-Huy%E1%BB%87n-Tr%C3%A0ng-%C4%90%E1%BB%8Bnh-100066714612141/", "Công an xã Đề Thám  tỉnh Lạng Sơn")</f>
      </c>
      <c r="C5512" t="str">
        <v>https://www.facebook.com/p/%C4%90o%C3%A0n-Thanh-Ni%C3%AAn-C%C3%B4ng-An-Huy%E1%BB%87n-Tr%C3%A0ng-%C4%90%E1%BB%8Bnh-100066714612141/</v>
      </c>
      <c r="D5512" t="str">
        <v>-</v>
      </c>
      <c r="E5512" t="str">
        <v/>
      </c>
      <c r="F5512" t="str">
        <v>-</v>
      </c>
      <c r="G5512" t="str">
        <v>-</v>
      </c>
    </row>
    <row r="5513">
      <c r="A5513">
        <v>5512</v>
      </c>
      <c r="B5513">
        <f>HYPERLINK("https://trangdinh.langson.gov.vn/", "UBND Ủy ban nhân dân xã Đề Thám  tỉnh Lạng Sơn")</f>
      </c>
      <c r="C5513" t="str">
        <v>https://trangdinh.langson.gov.vn/</v>
      </c>
      <c r="D5513" t="str">
        <v>-</v>
      </c>
      <c r="E5513" t="str">
        <v>-</v>
      </c>
      <c r="F5513" t="str">
        <v>-</v>
      </c>
      <c r="G5513" t="str">
        <v>-</v>
      </c>
    </row>
    <row r="5514">
      <c r="A5514">
        <v>5513</v>
      </c>
      <c r="B5514">
        <f>HYPERLINK("https://www.facebook.com/chidoan.congan/", "Công an xã Kháng Chiến  tỉnh Lạng Sơn")</f>
      </c>
      <c r="C5514" t="str">
        <v>https://www.facebook.com/chidoan.congan/</v>
      </c>
      <c r="D5514" t="str">
        <v>-</v>
      </c>
      <c r="E5514" t="str">
        <v/>
      </c>
      <c r="F5514" t="str">
        <v>-</v>
      </c>
      <c r="G5514" t="str">
        <v>-</v>
      </c>
    </row>
    <row r="5515">
      <c r="A5515">
        <v>5514</v>
      </c>
      <c r="B5515">
        <f>HYPERLINK("https://vanphong.langson.gov.vn/gioi-thieu/gioi-thieu-qua-trinh-hinh-thanh-va-phat-trien-cua-van-phong-ubnd-tinh-lang-son", "UBND Ủy ban nhân dân xã Kháng Chiến  tỉnh Lạng Sơn")</f>
      </c>
      <c r="C5515" t="str">
        <v>https://vanphong.langson.gov.vn/gioi-thieu/gioi-thieu-qua-trinh-hinh-thanh-va-phat-trien-cua-van-phong-ubnd-tinh-lang-son</v>
      </c>
      <c r="D5515" t="str">
        <v>-</v>
      </c>
      <c r="E5515" t="str">
        <v>-</v>
      </c>
      <c r="F5515" t="str">
        <v>-</v>
      </c>
      <c r="G5515" t="str">
        <v>-</v>
      </c>
    </row>
    <row r="5516">
      <c r="A5516">
        <v>5515</v>
      </c>
      <c r="B5516">
        <f>HYPERLINK("https://www.facebook.com/478648843520957", "Công an xã Bắc Ái  tỉnh Lạng Sơn")</f>
      </c>
      <c r="C5516" t="str">
        <v>https://www.facebook.com/478648843520957</v>
      </c>
      <c r="D5516" t="str">
        <v>-</v>
      </c>
      <c r="E5516" t="str">
        <v/>
      </c>
      <c r="F5516" t="str">
        <v>-</v>
      </c>
      <c r="G5516" t="str">
        <v>-</v>
      </c>
    </row>
    <row r="5517">
      <c r="A5517">
        <v>5516</v>
      </c>
      <c r="B5517">
        <f>HYPERLINK("https://langson.toaan.gov.vn/webcenter/portal/langson/chitiettin?dDocName=TAND058521", "UBND Ủy ban nhân dân xã Bắc Ái  tỉnh Lạng Sơn")</f>
      </c>
      <c r="C5517" t="str">
        <v>https://langson.toaan.gov.vn/webcenter/portal/langson/chitiettin?dDocName=TAND058521</v>
      </c>
      <c r="D5517" t="str">
        <v>-</v>
      </c>
      <c r="E5517" t="str">
        <v>-</v>
      </c>
      <c r="F5517" t="str">
        <v>-</v>
      </c>
      <c r="G5517" t="str">
        <v>-</v>
      </c>
    </row>
    <row r="5518">
      <c r="A5518">
        <v>5517</v>
      </c>
      <c r="B5518" t="str">
        <v>Công an xã Hùng Sơn  tỉnh Lạng Sơn</v>
      </c>
      <c r="C5518" t="str">
        <v>-</v>
      </c>
      <c r="D5518" t="str">
        <v>-</v>
      </c>
      <c r="E5518" t="str">
        <v/>
      </c>
      <c r="F5518" t="str">
        <v>-</v>
      </c>
      <c r="G5518" t="str">
        <v>-</v>
      </c>
    </row>
    <row r="5519">
      <c r="A5519">
        <v>5518</v>
      </c>
      <c r="B5519">
        <f>HYPERLINK("https://hungson.anhson.nghean.gov.vn/", "UBND Ủy ban nhân dân xã Hùng Sơn  tỉnh Lạng Sơn")</f>
      </c>
      <c r="C5519" t="str">
        <v>https://hungson.anhson.nghean.gov.vn/</v>
      </c>
      <c r="D5519" t="str">
        <v>-</v>
      </c>
      <c r="E5519" t="str">
        <v>-</v>
      </c>
      <c r="F5519" t="str">
        <v>-</v>
      </c>
      <c r="G5519" t="str">
        <v>-</v>
      </c>
    </row>
    <row r="5520">
      <c r="A5520">
        <v>5519</v>
      </c>
      <c r="B5520" t="str">
        <v>Công an xã Quốc Việt  tỉnh Lạng Sơn</v>
      </c>
      <c r="C5520" t="str">
        <v>-</v>
      </c>
      <c r="D5520" t="str">
        <v>-</v>
      </c>
      <c r="E5520" t="str">
        <v/>
      </c>
      <c r="F5520" t="str">
        <v>-</v>
      </c>
      <c r="G5520" t="str">
        <v>-</v>
      </c>
    </row>
    <row r="5521">
      <c r="A5521">
        <v>5520</v>
      </c>
      <c r="B5521">
        <f>HYPERLINK("https://trangdinh.langson.gov.vn/", "UBND Ủy ban nhân dân xã Quốc Việt  tỉnh Lạng Sơn")</f>
      </c>
      <c r="C5521" t="str">
        <v>https://trangdinh.langson.gov.vn/</v>
      </c>
      <c r="D5521" t="str">
        <v>-</v>
      </c>
      <c r="E5521" t="str">
        <v>-</v>
      </c>
      <c r="F5521" t="str">
        <v>-</v>
      </c>
      <c r="G5521" t="str">
        <v>-</v>
      </c>
    </row>
    <row r="5522">
      <c r="A5522">
        <v>5521</v>
      </c>
      <c r="B5522" t="str">
        <v>Công an xã Hùng Việt  tỉnh Lạng Sơn</v>
      </c>
      <c r="C5522" t="str">
        <v>-</v>
      </c>
      <c r="D5522" t="str">
        <v>-</v>
      </c>
      <c r="E5522" t="str">
        <v/>
      </c>
      <c r="F5522" t="str">
        <v>-</v>
      </c>
      <c r="G5522" t="str">
        <v>-</v>
      </c>
    </row>
    <row r="5523">
      <c r="A5523">
        <v>5522</v>
      </c>
      <c r="B5523">
        <f>HYPERLINK("https://trangdinh.langson.gov.vn/", "UBND Ủy ban nhân dân xã Hùng Việt  tỉnh Lạng Sơn")</f>
      </c>
      <c r="C5523" t="str">
        <v>https://trangdinh.langson.gov.vn/</v>
      </c>
      <c r="D5523" t="str">
        <v>-</v>
      </c>
      <c r="E5523" t="str">
        <v>-</v>
      </c>
      <c r="F5523" t="str">
        <v>-</v>
      </c>
      <c r="G5523" t="str">
        <v>-</v>
      </c>
    </row>
    <row r="5524">
      <c r="A5524">
        <v>5523</v>
      </c>
      <c r="B5524">
        <f>HYPERLINK("https://www.facebook.com/p/Tu%E1%BB%95i-tr%E1%BA%BB-C%C3%B4ng-an-huy%E1%BB%87n-B%C3%ACnh-Gia-100070618760059/", "Công an thị trấn Bình Gia  tỉnh Lạng Sơn")</f>
      </c>
      <c r="C5524" t="str">
        <v>https://www.facebook.com/p/Tu%E1%BB%95i-tr%E1%BA%BB-C%C3%B4ng-an-huy%E1%BB%87n-B%C3%ACnh-Gia-100070618760059/</v>
      </c>
      <c r="D5524" t="str">
        <v>-</v>
      </c>
      <c r="E5524" t="str">
        <v/>
      </c>
      <c r="F5524" t="str">
        <v>-</v>
      </c>
      <c r="G5524" t="str">
        <v>-</v>
      </c>
    </row>
    <row r="5525">
      <c r="A5525">
        <v>5524</v>
      </c>
      <c r="B5525">
        <f>HYPERLINK("https://binhgia.langson.gov.vn/", "UBND Ủy ban nhân dân thị trấn Bình Gia  tỉnh Lạng Sơn")</f>
      </c>
      <c r="C5525" t="str">
        <v>https://binhgia.langson.gov.vn/</v>
      </c>
      <c r="D5525" t="str">
        <v>-</v>
      </c>
      <c r="E5525" t="str">
        <v>-</v>
      </c>
      <c r="F5525" t="str">
        <v>-</v>
      </c>
      <c r="G5525" t="str">
        <v>-</v>
      </c>
    </row>
    <row r="5526">
      <c r="A5526">
        <v>5525</v>
      </c>
      <c r="B5526">
        <f>HYPERLINK("https://www.facebook.com/p/Tu%E1%BB%95i-tr%E1%BA%BB-C%C3%B4ng-an-huy%E1%BB%87n-B%C3%ACnh-Gia-100070618760059/", "Công an xã Hưng Đạo  tỉnh Lạng Sơn")</f>
      </c>
      <c r="C5526" t="str">
        <v>https://www.facebook.com/p/Tu%E1%BB%95i-tr%E1%BA%BB-C%C3%B4ng-an-huy%E1%BB%87n-B%C3%ACnh-Gia-100070618760059/</v>
      </c>
      <c r="D5526" t="str">
        <v>-</v>
      </c>
      <c r="E5526" t="str">
        <v/>
      </c>
      <c r="F5526" t="str">
        <v>-</v>
      </c>
      <c r="G5526" t="str">
        <v>-</v>
      </c>
    </row>
    <row r="5527">
      <c r="A5527">
        <v>5526</v>
      </c>
      <c r="B5527">
        <f>HYPERLINK("https://binhgia.langson.gov.vn/", "UBND Ủy ban nhân dân xã Hưng Đạo  tỉnh Lạng Sơn")</f>
      </c>
      <c r="C5527" t="str">
        <v>https://binhgia.langson.gov.vn/</v>
      </c>
      <c r="D5527" t="str">
        <v>-</v>
      </c>
      <c r="E5527" t="str">
        <v>-</v>
      </c>
      <c r="F5527" t="str">
        <v>-</v>
      </c>
      <c r="G5527" t="str">
        <v>-</v>
      </c>
    </row>
    <row r="5528">
      <c r="A5528">
        <v>5527</v>
      </c>
      <c r="B5528">
        <f>HYPERLINK("https://www.facebook.com/p/Tu%E1%BB%95i-tr%E1%BA%BB-C%C3%B4ng-an-Th%C3%A0nh-ph%E1%BB%91-V%C4%A9nh-Y%C3%AAn-100066497717181/", "Công an xã Vĩnh Yên  tỉnh Lạng Sơn")</f>
      </c>
      <c r="C5528" t="str">
        <v>https://www.facebook.com/p/Tu%E1%BB%95i-tr%E1%BA%BB-C%C3%B4ng-an-Th%C3%A0nh-ph%E1%BB%91-V%C4%A9nh-Y%C3%AAn-100066497717181/</v>
      </c>
      <c r="D5528" t="str">
        <v>-</v>
      </c>
      <c r="E5528" t="str">
        <v/>
      </c>
      <c r="F5528" t="str">
        <v>-</v>
      </c>
      <c r="G5528" t="str">
        <v>-</v>
      </c>
    </row>
    <row r="5529">
      <c r="A5529">
        <v>5528</v>
      </c>
      <c r="B5529">
        <f>HYPERLINK("https://binhgia.langson.gov.vn/", "UBND Ủy ban nhân dân xã Vĩnh Yên  tỉnh Lạng Sơn")</f>
      </c>
      <c r="C5529" t="str">
        <v>https://binhgia.langson.gov.vn/</v>
      </c>
      <c r="D5529" t="str">
        <v>-</v>
      </c>
      <c r="E5529" t="str">
        <v>-</v>
      </c>
      <c r="F5529" t="str">
        <v>-</v>
      </c>
      <c r="G5529" t="str">
        <v>-</v>
      </c>
    </row>
    <row r="5530">
      <c r="A5530">
        <v>5529</v>
      </c>
      <c r="B5530">
        <f>HYPERLINK("https://www.facebook.com/p/C%C3%B4ng-An-X%C3%A3-Hoa-Th%C3%A1m-100067120195216/?locale=vi_VN", "Công an xã Hoa Thám  tỉnh Lạng Sơn")</f>
      </c>
      <c r="C5530" t="str">
        <v>https://www.facebook.com/p/C%C3%B4ng-An-X%C3%A3-Hoa-Th%C3%A1m-100067120195216/?locale=vi_VN</v>
      </c>
      <c r="D5530" t="str">
        <v>-</v>
      </c>
      <c r="E5530" t="str">
        <v/>
      </c>
      <c r="F5530" t="str">
        <v>-</v>
      </c>
      <c r="G5530" t="str">
        <v>-</v>
      </c>
    </row>
    <row r="5531">
      <c r="A5531">
        <v>5530</v>
      </c>
      <c r="B5531">
        <f>HYPERLINK("https://binhgia.langson.gov.vn/", "UBND Ủy ban nhân dân xã Hoa Thám  tỉnh Lạng Sơn")</f>
      </c>
      <c r="C5531" t="str">
        <v>https://binhgia.langson.gov.vn/</v>
      </c>
      <c r="D5531" t="str">
        <v>-</v>
      </c>
      <c r="E5531" t="str">
        <v>-</v>
      </c>
      <c r="F5531" t="str">
        <v>-</v>
      </c>
      <c r="G5531" t="str">
        <v>-</v>
      </c>
    </row>
    <row r="5532">
      <c r="A5532">
        <v>5531</v>
      </c>
      <c r="B5532">
        <f>HYPERLINK("https://www.facebook.com/p/Tu%E1%BB%95i-tr%E1%BA%BB-C%C3%B4ng-an-huy%E1%BB%87n-B%C3%ACnh-Gia-100070618760059/", "Công an xã Quý Hòa  tỉnh Lạng Sơn")</f>
      </c>
      <c r="C5532" t="str">
        <v>https://www.facebook.com/p/Tu%E1%BB%95i-tr%E1%BA%BB-C%C3%B4ng-an-huy%E1%BB%87n-B%C3%ACnh-Gia-100070618760059/</v>
      </c>
      <c r="D5532" t="str">
        <v>-</v>
      </c>
      <c r="E5532" t="str">
        <v/>
      </c>
      <c r="F5532" t="str">
        <v>-</v>
      </c>
      <c r="G5532" t="str">
        <v>-</v>
      </c>
    </row>
    <row r="5533">
      <c r="A5533">
        <v>5532</v>
      </c>
      <c r="B5533">
        <f>HYPERLINK("https://langson.gov.vn/", "UBND Ủy ban nhân dân xã Quý Hòa  tỉnh Lạng Sơn")</f>
      </c>
      <c r="C5533" t="str">
        <v>https://langson.gov.vn/</v>
      </c>
      <c r="D5533" t="str">
        <v>-</v>
      </c>
      <c r="E5533" t="str">
        <v>-</v>
      </c>
      <c r="F5533" t="str">
        <v>-</v>
      </c>
      <c r="G5533" t="str">
        <v>-</v>
      </c>
    </row>
    <row r="5534">
      <c r="A5534">
        <v>5533</v>
      </c>
      <c r="B5534">
        <f>HYPERLINK("https://www.facebook.com/p/Tu%E1%BB%95i-tr%E1%BA%BB-C%C3%B4ng-an-huy%E1%BB%87n-B%C3%ACnh-Gia-100070618760059/", "Công an xã Hồng Phong  tỉnh Lạng Sơn")</f>
      </c>
      <c r="C5534" t="str">
        <v>https://www.facebook.com/p/Tu%E1%BB%95i-tr%E1%BA%BB-C%C3%B4ng-an-huy%E1%BB%87n-B%C3%ACnh-Gia-100070618760059/</v>
      </c>
      <c r="D5534" t="str">
        <v>-</v>
      </c>
      <c r="E5534" t="str">
        <v/>
      </c>
      <c r="F5534" t="str">
        <v>-</v>
      </c>
      <c r="G5534" t="str">
        <v>-</v>
      </c>
    </row>
    <row r="5535">
      <c r="A5535">
        <v>5534</v>
      </c>
      <c r="B5535">
        <f>HYPERLINK("https://langson.gov.vn/tin-moi/lanh-dao-ubnd-tinh-du-ngay-hoi-dai-doan-ket-toan-dan-toc-tai-khu-dan-cu-thon-pa-phieng-xa-hong-phong-huyen-cao-loc.html", "UBND Ủy ban nhân dân xã Hồng Phong  tỉnh Lạng Sơn")</f>
      </c>
      <c r="C5535" t="str">
        <v>https://langson.gov.vn/tin-moi/lanh-dao-ubnd-tinh-du-ngay-hoi-dai-doan-ket-toan-dan-toc-tai-khu-dan-cu-thon-pa-phieng-xa-hong-phong-huyen-cao-loc.html</v>
      </c>
      <c r="D5535" t="str">
        <v>-</v>
      </c>
      <c r="E5535" t="str">
        <v>-</v>
      </c>
      <c r="F5535" t="str">
        <v>-</v>
      </c>
      <c r="G5535" t="str">
        <v>-</v>
      </c>
    </row>
    <row r="5536">
      <c r="A5536">
        <v>5535</v>
      </c>
      <c r="B5536" t="str">
        <v>Công an xã Yên Lỗ  tỉnh Lạng Sơn</v>
      </c>
      <c r="C5536" t="str">
        <v>-</v>
      </c>
      <c r="D5536" t="str">
        <v>-</v>
      </c>
      <c r="E5536" t="str">
        <v/>
      </c>
      <c r="F5536" t="str">
        <v>-</v>
      </c>
      <c r="G5536" t="str">
        <v>-</v>
      </c>
    </row>
    <row r="5537">
      <c r="A5537">
        <v>5536</v>
      </c>
      <c r="B5537">
        <f>HYPERLINK("https://binhgia.langson.gov.vn/", "UBND Ủy ban nhân dân xã Yên Lỗ  tỉnh Lạng Sơn")</f>
      </c>
      <c r="C5537" t="str">
        <v>https://binhgia.langson.gov.vn/</v>
      </c>
      <c r="D5537" t="str">
        <v>-</v>
      </c>
      <c r="E5537" t="str">
        <v>-</v>
      </c>
      <c r="F5537" t="str">
        <v>-</v>
      </c>
      <c r="G5537" t="str">
        <v>-</v>
      </c>
    </row>
    <row r="5538">
      <c r="A5538">
        <v>5537</v>
      </c>
      <c r="B5538" t="str">
        <v>Công an xã Thiện Hòa  tỉnh Lạng Sơn</v>
      </c>
      <c r="C5538" t="str">
        <v>-</v>
      </c>
      <c r="D5538" t="str">
        <v>-</v>
      </c>
      <c r="E5538" t="str">
        <v/>
      </c>
      <c r="F5538" t="str">
        <v>-</v>
      </c>
      <c r="G5538" t="str">
        <v>-</v>
      </c>
    </row>
    <row r="5539">
      <c r="A5539">
        <v>5538</v>
      </c>
      <c r="B5539">
        <f>HYPERLINK("https://binhgia.langson.gov.vn/", "UBND Ủy ban nhân dân xã Thiện Hòa  tỉnh Lạng Sơn")</f>
      </c>
      <c r="C5539" t="str">
        <v>https://binhgia.langson.gov.vn/</v>
      </c>
      <c r="D5539" t="str">
        <v>-</v>
      </c>
      <c r="E5539" t="str">
        <v>-</v>
      </c>
      <c r="F5539" t="str">
        <v>-</v>
      </c>
      <c r="G5539" t="str">
        <v>-</v>
      </c>
    </row>
    <row r="5540">
      <c r="A5540">
        <v>5539</v>
      </c>
      <c r="B5540">
        <f>HYPERLINK("https://www.facebook.com/p/Tu%E1%BB%95i-tr%E1%BA%BB-C%C3%B4ng-an-huy%E1%BB%87n-B%C3%ACnh-Gia-100070618760059/", "Công an xã Quang Trung  tỉnh Lạng Sơn")</f>
      </c>
      <c r="C5540" t="str">
        <v>https://www.facebook.com/p/Tu%E1%BB%95i-tr%E1%BA%BB-C%C3%B4ng-an-huy%E1%BB%87n-B%C3%ACnh-Gia-100070618760059/</v>
      </c>
      <c r="D5540" t="str">
        <v>-</v>
      </c>
      <c r="E5540" t="str">
        <v/>
      </c>
      <c r="F5540" t="str">
        <v>-</v>
      </c>
      <c r="G5540" t="str">
        <v>-</v>
      </c>
    </row>
    <row r="5541">
      <c r="A5541">
        <v>5540</v>
      </c>
      <c r="B5541">
        <f>HYPERLINK("https://binhgia.langson.gov.vn/", "UBND Ủy ban nhân dân xã Quang Trung  tỉnh Lạng Sơn")</f>
      </c>
      <c r="C5541" t="str">
        <v>https://binhgia.langson.gov.vn/</v>
      </c>
      <c r="D5541" t="str">
        <v>-</v>
      </c>
      <c r="E5541" t="str">
        <v>-</v>
      </c>
      <c r="F5541" t="str">
        <v>-</v>
      </c>
      <c r="G5541" t="str">
        <v>-</v>
      </c>
    </row>
    <row r="5542">
      <c r="A5542">
        <v>5541</v>
      </c>
      <c r="B5542">
        <f>HYPERLINK("https://www.facebook.com/p/Tu%E1%BB%95i-tr%E1%BA%BB-C%C3%B4ng-an-huy%E1%BB%87n-B%C3%ACnh-Gia-100070618760059/", "Công an xã Thiện Thuật  tỉnh Lạng Sơn")</f>
      </c>
      <c r="C5542" t="str">
        <v>https://www.facebook.com/p/Tu%E1%BB%95i-tr%E1%BA%BB-C%C3%B4ng-an-huy%E1%BB%87n-B%C3%ACnh-Gia-100070618760059/</v>
      </c>
      <c r="D5542" t="str">
        <v>-</v>
      </c>
      <c r="E5542" t="str">
        <v/>
      </c>
      <c r="F5542" t="str">
        <v>-</v>
      </c>
      <c r="G5542" t="str">
        <v>-</v>
      </c>
    </row>
    <row r="5543">
      <c r="A5543">
        <v>5542</v>
      </c>
      <c r="B5543">
        <f>HYPERLINK("https://binhgia.langson.gov.vn/", "UBND Ủy ban nhân dân xã Thiện Thuật  tỉnh Lạng Sơn")</f>
      </c>
      <c r="C5543" t="str">
        <v>https://binhgia.langson.gov.vn/</v>
      </c>
      <c r="D5543" t="str">
        <v>-</v>
      </c>
      <c r="E5543" t="str">
        <v>-</v>
      </c>
      <c r="F5543" t="str">
        <v>-</v>
      </c>
      <c r="G5543" t="str">
        <v>-</v>
      </c>
    </row>
    <row r="5544">
      <c r="A5544">
        <v>5543</v>
      </c>
      <c r="B5544" t="str">
        <v>Công an xã Minh Khai  tỉnh Lạng Sơn</v>
      </c>
      <c r="C5544" t="str">
        <v>-</v>
      </c>
      <c r="D5544" t="str">
        <v>-</v>
      </c>
      <c r="E5544" t="str">
        <v/>
      </c>
      <c r="F5544" t="str">
        <v>-</v>
      </c>
      <c r="G5544" t="str">
        <v>-</v>
      </c>
    </row>
    <row r="5545">
      <c r="A5545">
        <v>5544</v>
      </c>
      <c r="B5545">
        <f>HYPERLINK("https://langson.gov.vn/", "UBND Ủy ban nhân dân xã Minh Khai  tỉnh Lạng Sơn")</f>
      </c>
      <c r="C5545" t="str">
        <v>https://langson.gov.vn/</v>
      </c>
      <c r="D5545" t="str">
        <v>-</v>
      </c>
      <c r="E5545" t="str">
        <v>-</v>
      </c>
      <c r="F5545" t="str">
        <v>-</v>
      </c>
      <c r="G5545" t="str">
        <v>-</v>
      </c>
    </row>
    <row r="5546">
      <c r="A5546">
        <v>5545</v>
      </c>
      <c r="B5546">
        <f>HYPERLINK("https://www.facebook.com/p/Tu%E1%BB%95i-tr%E1%BA%BB-C%C3%B4ng-an-huy%E1%BB%87n-B%C3%ACnh-Gia-100070618760059/", "Công an xã Thiện Long  tỉnh Lạng Sơn")</f>
      </c>
      <c r="C5546" t="str">
        <v>https://www.facebook.com/p/Tu%E1%BB%95i-tr%E1%BA%BB-C%C3%B4ng-an-huy%E1%BB%87n-B%C3%ACnh-Gia-100070618760059/</v>
      </c>
      <c r="D5546" t="str">
        <v>-</v>
      </c>
      <c r="E5546" t="str">
        <v/>
      </c>
      <c r="F5546" t="str">
        <v>-</v>
      </c>
      <c r="G5546" t="str">
        <v>-</v>
      </c>
    </row>
    <row r="5547">
      <c r="A5547">
        <v>5546</v>
      </c>
      <c r="B5547">
        <f>HYPERLINK("https://binhgia.langson.gov.vn/", "UBND Ủy ban nhân dân xã Thiện Long  tỉnh Lạng Sơn")</f>
      </c>
      <c r="C5547" t="str">
        <v>https://binhgia.langson.gov.vn/</v>
      </c>
      <c r="D5547" t="str">
        <v>-</v>
      </c>
      <c r="E5547" t="str">
        <v>-</v>
      </c>
      <c r="F5547" t="str">
        <v>-</v>
      </c>
      <c r="G5547" t="str">
        <v>-</v>
      </c>
    </row>
    <row r="5548">
      <c r="A5548">
        <v>5547</v>
      </c>
      <c r="B5548">
        <f>HYPERLINK("https://www.facebook.com/p/C%C3%B4ng-an-x%C3%A3-Ho%C3%A0ng-V%C4%83n-Th%E1%BB%A5-huy%E1%BB%87n-V%C4%83n-L%C3%A3ng-100075987228691/", "Công an xã Hoàng Văn Thụ  tỉnh Lạng Sơn")</f>
      </c>
      <c r="C5548" t="str">
        <v>https://www.facebook.com/p/C%C3%B4ng-an-x%C3%A3-Ho%C3%A0ng-V%C4%83n-Th%E1%BB%A5-huy%E1%BB%87n-V%C4%83n-L%C3%A3ng-100075987228691/</v>
      </c>
      <c r="D5548" t="str">
        <v>-</v>
      </c>
      <c r="E5548" t="str">
        <v/>
      </c>
      <c r="F5548" t="str">
        <v>-</v>
      </c>
      <c r="G5548" t="str">
        <v>-</v>
      </c>
    </row>
    <row r="5549">
      <c r="A5549">
        <v>5548</v>
      </c>
      <c r="B5549">
        <f>HYPERLINK("https://langson.gov.vn/tin-moi/doan-dai-bieu-tinh-lang-son-va-doan-dai-bieu-tham-gia-ngay-hoi-van-hoa-the-thao-va-du-lich-cac-dan-toc-vung-dong-bac-dan.html", "UBND Ủy ban nhân dân xã Hoàng Văn Thụ  tỉnh Lạng Sơn")</f>
      </c>
      <c r="C5549" t="str">
        <v>https://langson.gov.vn/tin-moi/doan-dai-bieu-tinh-lang-son-va-doan-dai-bieu-tham-gia-ngay-hoi-van-hoa-the-thao-va-du-lich-cac-dan-toc-vung-dong-bac-dan.html</v>
      </c>
      <c r="D5549" t="str">
        <v>-</v>
      </c>
      <c r="E5549" t="str">
        <v>-</v>
      </c>
      <c r="F5549" t="str">
        <v>-</v>
      </c>
      <c r="G5549" t="str">
        <v>-</v>
      </c>
    </row>
    <row r="5550">
      <c r="A5550">
        <v>5549</v>
      </c>
      <c r="B5550">
        <f>HYPERLINK("https://www.facebook.com/p/Tu%E1%BB%95i-tr%E1%BA%BB-C%C3%B4ng-an-huy%E1%BB%87n-B%C3%ACnh-Gia-100070618760059/", "Công an xã Hòa Bình  tỉnh Lạng Sơn")</f>
      </c>
      <c r="C5550" t="str">
        <v>https://www.facebook.com/p/Tu%E1%BB%95i-tr%E1%BA%BB-C%C3%B4ng-an-huy%E1%BB%87n-B%C3%ACnh-Gia-100070618760059/</v>
      </c>
      <c r="D5550" t="str">
        <v>-</v>
      </c>
      <c r="E5550" t="str">
        <v/>
      </c>
      <c r="F5550" t="str">
        <v>-</v>
      </c>
      <c r="G5550" t="str">
        <v>-</v>
      </c>
    </row>
    <row r="5551">
      <c r="A5551">
        <v>5550</v>
      </c>
      <c r="B5551">
        <f>HYPERLINK("https://langson.baohiemxahoi.gov.vn/vanban/Pages/default.aspx?ItemID=9813", "UBND Ủy ban nhân dân xã Hòa Bình  tỉnh Lạng Sơn")</f>
      </c>
      <c r="C5551" t="str">
        <v>https://langson.baohiemxahoi.gov.vn/vanban/Pages/default.aspx?ItemID=9813</v>
      </c>
      <c r="D5551" t="str">
        <v>-</v>
      </c>
      <c r="E5551" t="str">
        <v>-</v>
      </c>
      <c r="F5551" t="str">
        <v>-</v>
      </c>
      <c r="G5551" t="str">
        <v>-</v>
      </c>
    </row>
    <row r="5552">
      <c r="A5552">
        <v>5551</v>
      </c>
      <c r="B5552" t="str">
        <v>Công an xã Mông Ân  tỉnh Lạng Sơn</v>
      </c>
      <c r="C5552" t="str">
        <v>-</v>
      </c>
      <c r="D5552" t="str">
        <v>-</v>
      </c>
      <c r="E5552" t="str">
        <v/>
      </c>
      <c r="F5552" t="str">
        <v>-</v>
      </c>
      <c r="G5552" t="str">
        <v>-</v>
      </c>
    </row>
    <row r="5553">
      <c r="A5553">
        <v>5552</v>
      </c>
      <c r="B5553">
        <f>HYPERLINK("https://binhgia.langson.gov.vn/", "UBND Ủy ban nhân dân xã Mông Ân  tỉnh Lạng Sơn")</f>
      </c>
      <c r="C5553" t="str">
        <v>https://binhgia.langson.gov.vn/</v>
      </c>
      <c r="D5553" t="str">
        <v>-</v>
      </c>
      <c r="E5553" t="str">
        <v>-</v>
      </c>
      <c r="F5553" t="str">
        <v>-</v>
      </c>
      <c r="G5553" t="str">
        <v>-</v>
      </c>
    </row>
    <row r="5554">
      <c r="A5554">
        <v>5553</v>
      </c>
      <c r="B5554" t="str">
        <v>Công an xã Tân Hòa  tỉnh Lạng Sơn</v>
      </c>
      <c r="C5554" t="str">
        <v>-</v>
      </c>
      <c r="D5554" t="str">
        <v>-</v>
      </c>
      <c r="E5554" t="str">
        <v/>
      </c>
      <c r="F5554" t="str">
        <v>-</v>
      </c>
      <c r="G5554" t="str">
        <v>-</v>
      </c>
    </row>
    <row r="5555">
      <c r="A5555">
        <v>5554</v>
      </c>
      <c r="B5555">
        <f>HYPERLINK("https://langson.gov.vn/tin-moi/dong-chi-duong-xuan-huyen-pho-chu-tich-thuong-truc-ubnd-tinh-du-ngay-hoi-dai-doan-ket-toan-dan-toc-tai-huyen-binh-gia.html", "UBND Ủy ban nhân dân xã Tân Hòa  tỉnh Lạng Sơn")</f>
      </c>
      <c r="C5555" t="str">
        <v>https://langson.gov.vn/tin-moi/dong-chi-duong-xuan-huyen-pho-chu-tich-thuong-truc-ubnd-tinh-du-ngay-hoi-dai-doan-ket-toan-dan-toc-tai-huyen-binh-gia.html</v>
      </c>
      <c r="D5555" t="str">
        <v>-</v>
      </c>
      <c r="E5555" t="str">
        <v>-</v>
      </c>
      <c r="F5555" t="str">
        <v>-</v>
      </c>
      <c r="G5555" t="str">
        <v>-</v>
      </c>
    </row>
    <row r="5556">
      <c r="A5556">
        <v>5555</v>
      </c>
      <c r="B5556">
        <f>HYPERLINK("https://www.facebook.com/p/Tr%C6%B0%E1%BB%9Dng-THCS-T%C3%B4-Hi%E1%BB%87u-huy%E1%BB%87n-B%C3%ACnh-Gia-t%E1%BB%89nh-L%E1%BA%A1ng-S%C6%A1n-100083097824153/", "Công an xã Tô Hiệu  tỉnh Lạng Sơn")</f>
      </c>
      <c r="C5556" t="str">
        <v>https://www.facebook.com/p/Tr%C6%B0%E1%BB%9Dng-THCS-T%C3%B4-Hi%E1%BB%87u-huy%E1%BB%87n-B%C3%ACnh-Gia-t%E1%BB%89nh-L%E1%BA%A1ng-S%C6%A1n-100083097824153/</v>
      </c>
      <c r="D5556" t="str">
        <v>-</v>
      </c>
      <c r="E5556" t="str">
        <v/>
      </c>
      <c r="F5556" t="str">
        <v>-</v>
      </c>
      <c r="G5556" t="str">
        <v>-</v>
      </c>
    </row>
    <row r="5557">
      <c r="A5557">
        <v>5556</v>
      </c>
      <c r="B5557">
        <f>HYPERLINK("https://tnmt.langson.gov.vn/upload/105376/20231225/a6c5d7799747b03882bc389dda81e3ea278.pdf", "UBND Ủy ban nhân dân xã Tô Hiệu  tỉnh Lạng Sơn")</f>
      </c>
      <c r="C5557" t="str">
        <v>https://tnmt.langson.gov.vn/upload/105376/20231225/a6c5d7799747b03882bc389dda81e3ea278.pdf</v>
      </c>
      <c r="D5557" t="str">
        <v>-</v>
      </c>
      <c r="E5557" t="str">
        <v>-</v>
      </c>
      <c r="F5557" t="str">
        <v>-</v>
      </c>
      <c r="G5557" t="str">
        <v>-</v>
      </c>
    </row>
    <row r="5558">
      <c r="A5558">
        <v>5557</v>
      </c>
      <c r="B5558">
        <f>HYPERLINK("https://www.facebook.com/p/Tr%C6%B0%E1%BB%9Dng-M%E1%BA%A7m-non-x%C3%A3-H%E1%BB%93ng-Th%C3%A1i-huy%E1%BB%87n-V%C4%83n-L%C3%A3ng-t%E1%BB%89nh-L%E1%BA%A1ng-S%C6%A1n-100076499536596/?locale=nb_NO", "Công an xã Hồng Thái  tỉnh Lạng Sơn")</f>
      </c>
      <c r="C5558" t="str">
        <v>https://www.facebook.com/p/Tr%C6%B0%E1%BB%9Dng-M%E1%BA%A7m-non-x%C3%A3-H%E1%BB%93ng-Th%C3%A1i-huy%E1%BB%87n-V%C4%83n-L%C3%A3ng-t%E1%BB%89nh-L%E1%BA%A1ng-S%C6%A1n-100076499536596/?locale=nb_NO</v>
      </c>
      <c r="D5558" t="str">
        <v>-</v>
      </c>
      <c r="E5558" t="str">
        <v/>
      </c>
      <c r="F5558" t="str">
        <v>-</v>
      </c>
      <c r="G5558" t="str">
        <v>-</v>
      </c>
    </row>
    <row r="5559">
      <c r="A5559">
        <v>5558</v>
      </c>
      <c r="B5559">
        <f>HYPERLINK("https://vanlang.langson.gov.vn/", "UBND Ủy ban nhân dân xã Hồng Thái  tỉnh Lạng Sơn")</f>
      </c>
      <c r="C5559" t="str">
        <v>https://vanlang.langson.gov.vn/</v>
      </c>
      <c r="D5559" t="str">
        <v>-</v>
      </c>
      <c r="E5559" t="str">
        <v>-</v>
      </c>
      <c r="F5559" t="str">
        <v>-</v>
      </c>
      <c r="G5559" t="str">
        <v>-</v>
      </c>
    </row>
    <row r="5560">
      <c r="A5560">
        <v>5559</v>
      </c>
      <c r="B5560">
        <f>HYPERLINK("https://www.facebook.com/tuoitreconganhuyenvanquan/", "Công an xã Bình La  tỉnh Lạng Sơn")</f>
      </c>
      <c r="C5560" t="str">
        <v>https://www.facebook.com/tuoitreconganhuyenvanquan/</v>
      </c>
      <c r="D5560" t="str">
        <v>-</v>
      </c>
      <c r="E5560" t="str">
        <v/>
      </c>
      <c r="F5560" t="str">
        <v>-</v>
      </c>
      <c r="G5560" t="str">
        <v>-</v>
      </c>
    </row>
    <row r="5561">
      <c r="A5561">
        <v>5560</v>
      </c>
      <c r="B5561">
        <f>HYPERLINK("https://binhgia.langson.gov.vn/", "UBND Ủy ban nhân dân xã Bình La  tỉnh Lạng Sơn")</f>
      </c>
      <c r="C5561" t="str">
        <v>https://binhgia.langson.gov.vn/</v>
      </c>
      <c r="D5561" t="str">
        <v>-</v>
      </c>
      <c r="E5561" t="str">
        <v>-</v>
      </c>
      <c r="F5561" t="str">
        <v>-</v>
      </c>
      <c r="G5561" t="str">
        <v>-</v>
      </c>
    </row>
    <row r="5562">
      <c r="A5562">
        <v>5561</v>
      </c>
      <c r="B5562" t="str">
        <v>Công an xã Tân Văn  tỉnh Lạng Sơn</v>
      </c>
      <c r="C5562" t="str">
        <v>-</v>
      </c>
      <c r="D5562" t="str">
        <v>-</v>
      </c>
      <c r="E5562" t="str">
        <v/>
      </c>
      <c r="F5562" t="str">
        <v>-</v>
      </c>
      <c r="G5562" t="str">
        <v>-</v>
      </c>
    </row>
    <row r="5563">
      <c r="A5563">
        <v>5562</v>
      </c>
      <c r="B5563">
        <f>HYPERLINK("https://binhgia.langson.gov.vn/", "UBND Ủy ban nhân dân xã Tân Văn  tỉnh Lạng Sơn")</f>
      </c>
      <c r="C5563" t="str">
        <v>https://binhgia.langson.gov.vn/</v>
      </c>
      <c r="D5563" t="str">
        <v>-</v>
      </c>
      <c r="E5563" t="str">
        <v>-</v>
      </c>
      <c r="F5563" t="str">
        <v>-</v>
      </c>
      <c r="G5563" t="str">
        <v>-</v>
      </c>
    </row>
    <row r="5564">
      <c r="A5564">
        <v>5563</v>
      </c>
      <c r="B5564">
        <f>HYPERLINK("https://www.facebook.com/p/Tr%C6%B0%E1%BB%9Dng-M%E1%BA%A7m-non-th%E1%BB%8B-tr%E1%BA%A5n-Na-S%E1%BA%A7m-huy%E1%BB%87n-V%C4%83n-L%C3%A3ng-t%E1%BB%89nh-L%E1%BA%A1ng-S%C6%A1n-100085026423476/", "Công an thị trấn Na Sầm  tỉnh Lạng Sơn")</f>
      </c>
      <c r="C5564" t="str">
        <v>https://www.facebook.com/p/Tr%C6%B0%E1%BB%9Dng-M%E1%BA%A7m-non-th%E1%BB%8B-tr%E1%BA%A5n-Na-S%E1%BA%A7m-huy%E1%BB%87n-V%C4%83n-L%C3%A3ng-t%E1%BB%89nh-L%E1%BA%A1ng-S%C6%A1n-100085026423476/</v>
      </c>
      <c r="D5564" t="str">
        <v>-</v>
      </c>
      <c r="E5564" t="str">
        <v/>
      </c>
      <c r="F5564" t="str">
        <v>-</v>
      </c>
      <c r="G5564" t="str">
        <v>-</v>
      </c>
    </row>
    <row r="5565">
      <c r="A5565">
        <v>5564</v>
      </c>
      <c r="B5565">
        <f>HYPERLINK("https://vanlang.langson.gov.vn/", "UBND Ủy ban nhân dân thị trấn Na Sầm  tỉnh Lạng Sơn")</f>
      </c>
      <c r="C5565" t="str">
        <v>https://vanlang.langson.gov.vn/</v>
      </c>
      <c r="D5565" t="str">
        <v>-</v>
      </c>
      <c r="E5565" t="str">
        <v>-</v>
      </c>
      <c r="F5565" t="str">
        <v>-</v>
      </c>
      <c r="G5565" t="str">
        <v>-</v>
      </c>
    </row>
    <row r="5566">
      <c r="A5566">
        <v>5565</v>
      </c>
      <c r="B5566" t="str">
        <v>Công an xã Trùng Khánh  tỉnh Lạng Sơn</v>
      </c>
      <c r="C5566" t="str">
        <v>-</v>
      </c>
      <c r="D5566" t="str">
        <v>-</v>
      </c>
      <c r="E5566" t="str">
        <v/>
      </c>
      <c r="F5566" t="str">
        <v>-</v>
      </c>
      <c r="G5566" t="str">
        <v>-</v>
      </c>
    </row>
    <row r="5567">
      <c r="A5567">
        <v>5566</v>
      </c>
      <c r="B5567">
        <f>HYPERLINK("https://trungkhanh.caobang.gov.vn/", "UBND Ủy ban nhân dân xã Trùng Khánh  tỉnh Lạng Sơn")</f>
      </c>
      <c r="C5567" t="str">
        <v>https://trungkhanh.caobang.gov.vn/</v>
      </c>
      <c r="D5567" t="str">
        <v>-</v>
      </c>
      <c r="E5567" t="str">
        <v>-</v>
      </c>
      <c r="F5567" t="str">
        <v>-</v>
      </c>
      <c r="G5567" t="str">
        <v>-</v>
      </c>
    </row>
    <row r="5568">
      <c r="A5568">
        <v>5567</v>
      </c>
      <c r="B5568" t="str">
        <v>Công an xã Tân Việt  tỉnh Lạng Sơn</v>
      </c>
      <c r="C5568" t="str">
        <v>-</v>
      </c>
      <c r="D5568" t="str">
        <v>-</v>
      </c>
      <c r="E5568" t="str">
        <v/>
      </c>
      <c r="F5568" t="str">
        <v>-</v>
      </c>
      <c r="G5568" t="str">
        <v>-</v>
      </c>
    </row>
    <row r="5569">
      <c r="A5569">
        <v>5568</v>
      </c>
      <c r="B5569">
        <f>HYPERLINK("https://dongtrieu.quangninh.gov.vn/Trang/ChiTietBVGioiThieu.aspx?bvid=208", "UBND Ủy ban nhân dân xã Tân Việt  tỉnh Lạng Sơn")</f>
      </c>
      <c r="C5569" t="str">
        <v>https://dongtrieu.quangninh.gov.vn/Trang/ChiTietBVGioiThieu.aspx?bvid=208</v>
      </c>
      <c r="D5569" t="str">
        <v>-</v>
      </c>
      <c r="E5569" t="str">
        <v>-</v>
      </c>
      <c r="F5569" t="str">
        <v>-</v>
      </c>
      <c r="G5569" t="str">
        <v>-</v>
      </c>
    </row>
    <row r="5570">
      <c r="A5570">
        <v>5569</v>
      </c>
      <c r="B5570">
        <f>HYPERLINK("https://www.facebook.com/chidoan.congan/", "Công an xã Bắc La  tỉnh Lạng Sơn")</f>
      </c>
      <c r="C5570" t="str">
        <v>https://www.facebook.com/chidoan.congan/</v>
      </c>
      <c r="D5570" t="str">
        <v>-</v>
      </c>
      <c r="E5570" t="str">
        <v/>
      </c>
      <c r="F5570" t="str">
        <v>-</v>
      </c>
      <c r="G5570" t="str">
        <v>-</v>
      </c>
    </row>
    <row r="5571">
      <c r="A5571">
        <v>5570</v>
      </c>
      <c r="B5571">
        <f>HYPERLINK("https://bacson.langson.gov.vn/", "UBND Ủy ban nhân dân xã Bắc La  tỉnh Lạng Sơn")</f>
      </c>
      <c r="C5571" t="str">
        <v>https://bacson.langson.gov.vn/</v>
      </c>
      <c r="D5571" t="str">
        <v>-</v>
      </c>
      <c r="E5571" t="str">
        <v>-</v>
      </c>
      <c r="F5571" t="str">
        <v>-</v>
      </c>
      <c r="G5571" t="str">
        <v>-</v>
      </c>
    </row>
    <row r="5572">
      <c r="A5572">
        <v>5571</v>
      </c>
      <c r="B5572" t="str">
        <v>Công an xã Thụy Hùng  tỉnh Lạng Sơn</v>
      </c>
      <c r="C5572" t="str">
        <v>-</v>
      </c>
      <c r="D5572" t="str">
        <v>-</v>
      </c>
      <c r="E5572" t="str">
        <v/>
      </c>
      <c r="F5572" t="str">
        <v>-</v>
      </c>
      <c r="G5572" t="str">
        <v>-</v>
      </c>
    </row>
    <row r="5573">
      <c r="A5573">
        <v>5572</v>
      </c>
      <c r="B5573">
        <f>HYPERLINK("https://caoloc.langson.gov.vn/gioi-thieu/co-cau-to-chuc/uy-ban-nhan-dan-huyen/cac-xa-thi-tran", "UBND Ủy ban nhân dân xã Thụy Hùng  tỉnh Lạng Sơn")</f>
      </c>
      <c r="C5573" t="str">
        <v>https://caoloc.langson.gov.vn/gioi-thieu/co-cau-to-chuc/uy-ban-nhan-dan-huyen/cac-xa-thi-tran</v>
      </c>
      <c r="D5573" t="str">
        <v>-</v>
      </c>
      <c r="E5573" t="str">
        <v>-</v>
      </c>
      <c r="F5573" t="str">
        <v>-</v>
      </c>
      <c r="G5573" t="str">
        <v>-</v>
      </c>
    </row>
    <row r="5574">
      <c r="A5574">
        <v>5573</v>
      </c>
      <c r="B5574">
        <f>HYPERLINK("https://www.facebook.com/tuoitreconganhuyenvanquan/", "Công an xã Trùng Quán  tỉnh Lạng Sơn")</f>
      </c>
      <c r="C5574" t="str">
        <v>https://www.facebook.com/tuoitreconganhuyenvanquan/</v>
      </c>
      <c r="D5574" t="str">
        <v>-</v>
      </c>
      <c r="E5574" t="str">
        <v/>
      </c>
      <c r="F5574" t="str">
        <v>-</v>
      </c>
      <c r="G5574" t="str">
        <v>-</v>
      </c>
    </row>
    <row r="5575">
      <c r="A5575">
        <v>5574</v>
      </c>
      <c r="B5575">
        <f>HYPERLINK("https://langson.gov.vn/", "UBND Ủy ban nhân dân xã Trùng Quán  tỉnh Lạng Sơn")</f>
      </c>
      <c r="C5575" t="str">
        <v>https://langson.gov.vn/</v>
      </c>
      <c r="D5575" t="str">
        <v>-</v>
      </c>
      <c r="E5575" t="str">
        <v>-</v>
      </c>
      <c r="F5575" t="str">
        <v>-</v>
      </c>
      <c r="G5575" t="str">
        <v>-</v>
      </c>
    </row>
    <row r="5576">
      <c r="A5576">
        <v>5575</v>
      </c>
      <c r="B5576">
        <f>HYPERLINK("https://www.facebook.com/p/C%C3%B4ng-an-x%C3%A3-T%C3%A2n-T%C3%A1c-huy%E1%BB%87n-V%C4%83n-L%C3%A3ng-100080037387060/", "Công an xã Tân Tác  tỉnh Lạng Sơn")</f>
      </c>
      <c r="C5576" t="str">
        <v>https://www.facebook.com/p/C%C3%B4ng-an-x%C3%A3-T%C3%A2n-T%C3%A1c-huy%E1%BB%87n-V%C4%83n-L%C3%A3ng-100080037387060/</v>
      </c>
      <c r="D5576" t="str">
        <v>-</v>
      </c>
      <c r="E5576" t="str">
        <v/>
      </c>
      <c r="F5576" t="str">
        <v>-</v>
      </c>
      <c r="G5576" t="str">
        <v>-</v>
      </c>
    </row>
    <row r="5577">
      <c r="A5577">
        <v>5576</v>
      </c>
      <c r="B5577">
        <f>HYPERLINK("https://vanlang.langson.gov.vn/", "UBND Ủy ban nhân dân xã Tân Tác  tỉnh Lạng Sơn")</f>
      </c>
      <c r="C5577" t="str">
        <v>https://vanlang.langson.gov.vn/</v>
      </c>
      <c r="D5577" t="str">
        <v>-</v>
      </c>
      <c r="E5577" t="str">
        <v>-</v>
      </c>
      <c r="F5577" t="str">
        <v>-</v>
      </c>
      <c r="G5577" t="str">
        <v>-</v>
      </c>
    </row>
    <row r="5578">
      <c r="A5578">
        <v>5577</v>
      </c>
      <c r="B5578">
        <f>HYPERLINK("https://www.facebook.com/chidoan.congan/?locale=vi_VN", "Công an xã An Hùng  tỉnh Lạng Sơn")</f>
      </c>
      <c r="C5578" t="str">
        <v>https://www.facebook.com/chidoan.congan/?locale=vi_VN</v>
      </c>
      <c r="D5578" t="str">
        <v>-</v>
      </c>
      <c r="E5578" t="str">
        <v/>
      </c>
      <c r="F5578" t="str">
        <v>-</v>
      </c>
      <c r="G5578" t="str">
        <v>-</v>
      </c>
    </row>
    <row r="5579">
      <c r="A5579">
        <v>5578</v>
      </c>
      <c r="B5579">
        <f>HYPERLINK("https://langson.gov.vn/", "UBND Ủy ban nhân dân xã An Hùng  tỉnh Lạng Sơn")</f>
      </c>
      <c r="C5579" t="str">
        <v>https://langson.gov.vn/</v>
      </c>
      <c r="D5579" t="str">
        <v>-</v>
      </c>
      <c r="E5579" t="str">
        <v>-</v>
      </c>
      <c r="F5579" t="str">
        <v>-</v>
      </c>
      <c r="G5579" t="str">
        <v>-</v>
      </c>
    </row>
    <row r="5580">
      <c r="A5580">
        <v>5579</v>
      </c>
      <c r="B5580">
        <f>HYPERLINK("https://www.facebook.com/p/C%C3%B4ng-an-x%C3%A3-Thanh-Long-huy%E1%BB%87n-V%C4%83n-L%C3%A3ng-t%E1%BB%89nh-L%E1%BA%A1ng-S%C6%A1n-100077594354406/", "Công an xã Thanh Long  tỉnh Lạng Sơn")</f>
      </c>
      <c r="C5580" t="str">
        <v>https://www.facebook.com/p/C%C3%B4ng-an-x%C3%A3-Thanh-Long-huy%E1%BB%87n-V%C4%83n-L%C3%A3ng-t%E1%BB%89nh-L%E1%BA%A1ng-S%C6%A1n-100077594354406/</v>
      </c>
      <c r="D5580" t="str">
        <v>-</v>
      </c>
      <c r="E5580" t="str">
        <v/>
      </c>
      <c r="F5580" t="str">
        <v>-</v>
      </c>
      <c r="G5580" t="str">
        <v>-</v>
      </c>
    </row>
    <row r="5581">
      <c r="A5581">
        <v>5580</v>
      </c>
      <c r="B5581">
        <f>HYPERLINK("https://vanlang.langson.gov.vn/", "UBND Ủy ban nhân dân xã Thanh Long  tỉnh Lạng Sơn")</f>
      </c>
      <c r="C5581" t="str">
        <v>https://vanlang.langson.gov.vn/</v>
      </c>
      <c r="D5581" t="str">
        <v>-</v>
      </c>
      <c r="E5581" t="str">
        <v>-</v>
      </c>
      <c r="F5581" t="str">
        <v>-</v>
      </c>
      <c r="G5581" t="str">
        <v>-</v>
      </c>
    </row>
    <row r="5582">
      <c r="A5582">
        <v>5581</v>
      </c>
      <c r="B5582">
        <f>HYPERLINK("https://www.facebook.com/p/C%C3%B4ng-an-x%C3%A3-H%E1%BB%99i-Hoan-V%C4%83n-L%C3%A3ng-61552118990925/", "Công an xã Hội Hoan  tỉnh Lạng Sơn")</f>
      </c>
      <c r="C5582" t="str">
        <v>https://www.facebook.com/p/C%C3%B4ng-an-x%C3%A3-H%E1%BB%99i-Hoan-V%C4%83n-L%C3%A3ng-61552118990925/</v>
      </c>
      <c r="D5582" t="str">
        <v>-</v>
      </c>
      <c r="E5582" t="str">
        <v/>
      </c>
      <c r="F5582" t="str">
        <v>-</v>
      </c>
      <c r="G5582" t="str">
        <v>-</v>
      </c>
    </row>
    <row r="5583">
      <c r="A5583">
        <v>5582</v>
      </c>
      <c r="B5583">
        <f>HYPERLINK("https://langson.gov.vn/", "UBND Ủy ban nhân dân xã Hội Hoan  tỉnh Lạng Sơn")</f>
      </c>
      <c r="C5583" t="str">
        <v>https://langson.gov.vn/</v>
      </c>
      <c r="D5583" t="str">
        <v>-</v>
      </c>
      <c r="E5583" t="str">
        <v>-</v>
      </c>
      <c r="F5583" t="str">
        <v>-</v>
      </c>
      <c r="G5583" t="str">
        <v>-</v>
      </c>
    </row>
    <row r="5584">
      <c r="A5584">
        <v>5583</v>
      </c>
      <c r="B5584">
        <f>HYPERLINK("https://www.facebook.com/tuoitreconganlangson/", "Công an xã Tân Lang  tỉnh Lạng Sơn")</f>
      </c>
      <c r="C5584" t="str">
        <v>https://www.facebook.com/tuoitreconganlangson/</v>
      </c>
      <c r="D5584" t="str">
        <v>-</v>
      </c>
      <c r="E5584" t="str">
        <v/>
      </c>
      <c r="F5584" t="str">
        <v>-</v>
      </c>
      <c r="G5584" t="str">
        <v>-</v>
      </c>
    </row>
    <row r="5585">
      <c r="A5585">
        <v>5584</v>
      </c>
      <c r="B5585">
        <f>HYPERLINK("https://www.bacninh.gov.vn/web/xa-tan-lang/-ieu-kien-tu-nhien-xa-hoi", "UBND Ủy ban nhân dân xã Tân Lang  tỉnh Lạng Sơn")</f>
      </c>
      <c r="C5585" t="str">
        <v>https://www.bacninh.gov.vn/web/xa-tan-lang/-ieu-kien-tu-nhien-xa-hoi</v>
      </c>
      <c r="D5585" t="str">
        <v>-</v>
      </c>
      <c r="E5585" t="str">
        <v>-</v>
      </c>
      <c r="F5585" t="str">
        <v>-</v>
      </c>
      <c r="G5585" t="str">
        <v>-</v>
      </c>
    </row>
    <row r="5586">
      <c r="A5586">
        <v>5585</v>
      </c>
      <c r="B5586">
        <f>HYPERLINK("https://www.facebook.com/p/Tr%C6%B0%E1%BB%9Dng-M%E1%BA%A7m-non-x%C3%A3-Ho%C3%A0ng-Vi%E1%BB%87t-huy%E1%BB%87n-V%C4%83n-L%C3%A3ng-L%E1%BA%A1ng-S%C6%A1n-100075670705582/", "Công an xã Hoàng Việt  tỉnh Lạng Sơn")</f>
      </c>
      <c r="C5586" t="str">
        <v>https://www.facebook.com/p/Tr%C6%B0%E1%BB%9Dng-M%E1%BA%A7m-non-x%C3%A3-Ho%C3%A0ng-Vi%E1%BB%87t-huy%E1%BB%87n-V%C4%83n-L%C3%A3ng-L%E1%BA%A1ng-S%C6%A1n-100075670705582/</v>
      </c>
      <c r="D5586" t="str">
        <v>-</v>
      </c>
      <c r="E5586" t="str">
        <v/>
      </c>
      <c r="F5586" t="str">
        <v>-</v>
      </c>
      <c r="G5586" t="str">
        <v>-</v>
      </c>
    </row>
    <row r="5587">
      <c r="A5587">
        <v>5586</v>
      </c>
      <c r="B5587">
        <f>HYPERLINK("https://langson.gov.vn/tin-moi/dong-chi-chu-tich-hdnd-tinh-du-khai-giang-nam-hoc-moi-tai-truong-mam-non-xa-hoang-viet-huyen-van-lang.html", "UBND Ủy ban nhân dân xã Hoàng Việt  tỉnh Lạng Sơn")</f>
      </c>
      <c r="C5587" t="str">
        <v>https://langson.gov.vn/tin-moi/dong-chi-chu-tich-hdnd-tinh-du-khai-giang-nam-hoc-moi-tai-truong-mam-non-xa-hoang-viet-huyen-van-lang.html</v>
      </c>
      <c r="D5587" t="str">
        <v>-</v>
      </c>
      <c r="E5587" t="str">
        <v>-</v>
      </c>
      <c r="F5587" t="str">
        <v>-</v>
      </c>
      <c r="G5587" t="str">
        <v>-</v>
      </c>
    </row>
    <row r="5588">
      <c r="A5588">
        <v>5587</v>
      </c>
      <c r="B5588">
        <f>HYPERLINK("https://www.facebook.com/people/C%C3%B4ng-an-x%C3%A3-Gia-Mi%E1%BB%85n-huy%E1%BB%87n-V%C4%83n-L%C3%A3ng/100083088683342/", "Công an xã Gia Miễn  tỉnh Lạng Sơn")</f>
      </c>
      <c r="C5588" t="str">
        <v>https://www.facebook.com/people/C%C3%B4ng-an-x%C3%A3-Gia-Mi%E1%BB%85n-huy%E1%BB%87n-V%C4%83n-L%C3%A3ng/100083088683342/</v>
      </c>
      <c r="D5588" t="str">
        <v>-</v>
      </c>
      <c r="E5588" t="str">
        <v/>
      </c>
      <c r="F5588" t="str">
        <v>-</v>
      </c>
      <c r="G5588" t="str">
        <v>-</v>
      </c>
    </row>
    <row r="5589">
      <c r="A5589">
        <v>5588</v>
      </c>
      <c r="B5589">
        <f>HYPERLINK("https://langson.gov.vn/tin-moi/khanh-thanh-du-an-tac-dong-nhanh-xay-dung-nha-lop-hoc-2-tang-4-phong-hoc-tai-diem-truong-hua-kieu-thuoc-truong-mam-non-x.html", "UBND Ủy ban nhân dân xã Gia Miễn  tỉnh Lạng Sơn")</f>
      </c>
      <c r="C5589" t="str">
        <v>https://langson.gov.vn/tin-moi/khanh-thanh-du-an-tac-dong-nhanh-xay-dung-nha-lop-hoc-2-tang-4-phong-hoc-tai-diem-truong-hua-kieu-thuoc-truong-mam-non-x.html</v>
      </c>
      <c r="D5589" t="str">
        <v>-</v>
      </c>
      <c r="E5589" t="str">
        <v>-</v>
      </c>
      <c r="F5589" t="str">
        <v>-</v>
      </c>
      <c r="G5589" t="str">
        <v>-</v>
      </c>
    </row>
    <row r="5590">
      <c r="A5590">
        <v>5589</v>
      </c>
      <c r="B5590">
        <f>HYPERLINK("https://www.facebook.com/p/Tu%E1%BB%95i-tr%E1%BA%BB-C%C3%B4ng-an-huy%E1%BB%87n-B%C3%ACnh-Gia-100070618760059/", "Công an xã Thành Hòa  tỉnh Lạng Sơn")</f>
      </c>
      <c r="C5590" t="str">
        <v>https://www.facebook.com/p/Tu%E1%BB%95i-tr%E1%BA%BB-C%C3%B4ng-an-huy%E1%BB%87n-B%C3%ACnh-Gia-100070618760059/</v>
      </c>
      <c r="D5590" t="str">
        <v>-</v>
      </c>
      <c r="E5590" t="str">
        <v/>
      </c>
      <c r="F5590" t="str">
        <v>-</v>
      </c>
      <c r="G5590" t="str">
        <v>-</v>
      </c>
    </row>
    <row r="5591">
      <c r="A5591">
        <v>5590</v>
      </c>
      <c r="B5591">
        <f>HYPERLINK("https://langson.gov.vn/", "UBND Ủy ban nhân dân xã Thành Hòa  tỉnh Lạng Sơn")</f>
      </c>
      <c r="C5591" t="str">
        <v>https://langson.gov.vn/</v>
      </c>
      <c r="D5591" t="str">
        <v>-</v>
      </c>
      <c r="E5591" t="str">
        <v>-</v>
      </c>
      <c r="F5591" t="str">
        <v>-</v>
      </c>
      <c r="G5591" t="str">
        <v>-</v>
      </c>
    </row>
    <row r="5592">
      <c r="A5592">
        <v>5591</v>
      </c>
      <c r="B5592">
        <f>HYPERLINK("https://www.facebook.com/ubndtanthanhhuulunglangson/", "Công an xã Tân Thanh  tỉnh Lạng Sơn")</f>
      </c>
      <c r="C5592" t="str">
        <v>https://www.facebook.com/ubndtanthanhhuulunglangson/</v>
      </c>
      <c r="D5592" t="str">
        <v>-</v>
      </c>
      <c r="E5592" t="str">
        <v/>
      </c>
      <c r="F5592" t="str">
        <v>-</v>
      </c>
      <c r="G5592" t="str">
        <v>-</v>
      </c>
    </row>
    <row r="5593">
      <c r="A5593">
        <v>5592</v>
      </c>
      <c r="B5593">
        <f>HYPERLINK("https://vanlang.langson.gov.vn/", "UBND Ủy ban nhân dân xã Tân Thanh  tỉnh Lạng Sơn")</f>
      </c>
      <c r="C5593" t="str">
        <v>https://vanlang.langson.gov.vn/</v>
      </c>
      <c r="D5593" t="str">
        <v>-</v>
      </c>
      <c r="E5593" t="str">
        <v>-</v>
      </c>
      <c r="F5593" t="str">
        <v>-</v>
      </c>
      <c r="G5593" t="str">
        <v>-</v>
      </c>
    </row>
    <row r="5594">
      <c r="A5594">
        <v>5593</v>
      </c>
      <c r="B5594">
        <f>HYPERLINK("https://www.facebook.com/tuoitreconganlangson/", "Công an xã Nam La  tỉnh Lạng Sơn")</f>
      </c>
      <c r="C5594" t="str">
        <v>https://www.facebook.com/tuoitreconganlangson/</v>
      </c>
      <c r="D5594" t="str">
        <v>-</v>
      </c>
      <c r="E5594" t="str">
        <v/>
      </c>
      <c r="F5594" t="str">
        <v>-</v>
      </c>
      <c r="G5594" t="str">
        <v>-</v>
      </c>
    </row>
    <row r="5595">
      <c r="A5595">
        <v>5594</v>
      </c>
      <c r="B5595">
        <f>HYPERLINK("https://langson.gov.vn/", "UBND Ủy ban nhân dân xã Nam La  tỉnh Lạng Sơn")</f>
      </c>
      <c r="C5595" t="str">
        <v>https://langson.gov.vn/</v>
      </c>
      <c r="D5595" t="str">
        <v>-</v>
      </c>
      <c r="E5595" t="str">
        <v>-</v>
      </c>
      <c r="F5595" t="str">
        <v>-</v>
      </c>
      <c r="G5595" t="str">
        <v>-</v>
      </c>
    </row>
    <row r="5596">
      <c r="A5596">
        <v>5595</v>
      </c>
      <c r="B5596">
        <f>HYPERLINK("https://www.facebook.com/tuoitrexulang/", "Công an xã Tân Mỹ  tỉnh Lạng Sơn")</f>
      </c>
      <c r="C5596" t="str">
        <v>https://www.facebook.com/tuoitrexulang/</v>
      </c>
      <c r="D5596" t="str">
        <v>-</v>
      </c>
      <c r="E5596" t="str">
        <v/>
      </c>
      <c r="F5596" t="str">
        <v>-</v>
      </c>
      <c r="G5596" t="str">
        <v>-</v>
      </c>
    </row>
    <row r="5597">
      <c r="A5597">
        <v>5596</v>
      </c>
      <c r="B5597">
        <f>HYPERLINK("https://vanlang.langson.gov.vn/3rdparty/pdfjs/web/viewer.html?file=https://vanlang.langson.gov.vn/upload/105422/20231225/0b220f24abc3ef3c248b3587471812452166-UBND-KTHT.signed.pdf", "UBND Ủy ban nhân dân xã Tân Mỹ  tỉnh Lạng Sơn")</f>
      </c>
      <c r="C5597" t="str">
        <v>https://vanlang.langson.gov.vn/3rdparty/pdfjs/web/viewer.html?file=https://vanlang.langson.gov.vn/upload/105422/20231225/0b220f24abc3ef3c248b3587471812452166-UBND-KTHT.signed.pdf</v>
      </c>
      <c r="D5597" t="str">
        <v>-</v>
      </c>
      <c r="E5597" t="str">
        <v>-</v>
      </c>
      <c r="F5597" t="str">
        <v>-</v>
      </c>
      <c r="G5597" t="str">
        <v>-</v>
      </c>
    </row>
    <row r="5598">
      <c r="A5598">
        <v>5597</v>
      </c>
      <c r="B5598">
        <f>HYPERLINK("https://www.facebook.com/p/Tr%C6%B0%E1%BB%9Dng-M%E1%BA%A7m-non-x%C3%A3-H%E1%BB%93ng-Th%C3%A1i-huy%E1%BB%87n-V%C4%83n-L%C3%A3ng-t%E1%BB%89nh-L%E1%BA%A1ng-S%C6%A1n-100076499536596/?locale=nb_NO", "Công an xã Hồng Thái  tỉnh Lạng Sơn")</f>
      </c>
      <c r="C5598" t="str">
        <v>https://www.facebook.com/p/Tr%C6%B0%E1%BB%9Dng-M%E1%BA%A7m-non-x%C3%A3-H%E1%BB%93ng-Th%C3%A1i-huy%E1%BB%87n-V%C4%83n-L%C3%A3ng-t%E1%BB%89nh-L%E1%BA%A1ng-S%C6%A1n-100076499536596/?locale=nb_NO</v>
      </c>
      <c r="D5598" t="str">
        <v>-</v>
      </c>
      <c r="E5598" t="str">
        <v/>
      </c>
      <c r="F5598" t="str">
        <v>-</v>
      </c>
      <c r="G5598" t="str">
        <v>-</v>
      </c>
    </row>
    <row r="5599">
      <c r="A5599">
        <v>5598</v>
      </c>
      <c r="B5599">
        <f>HYPERLINK("https://vanlang.langson.gov.vn/", "UBND Ủy ban nhân dân xã Hồng Thái  tỉnh Lạng Sơn")</f>
      </c>
      <c r="C5599" t="str">
        <v>https://vanlang.langson.gov.vn/</v>
      </c>
      <c r="D5599" t="str">
        <v>-</v>
      </c>
      <c r="E5599" t="str">
        <v>-</v>
      </c>
      <c r="F5599" t="str">
        <v>-</v>
      </c>
      <c r="G5599" t="str">
        <v>-</v>
      </c>
    </row>
    <row r="5600">
      <c r="A5600">
        <v>5599</v>
      </c>
      <c r="B5600">
        <f>HYPERLINK("https://www.facebook.com/p/C%C3%B4ng-an-x%C3%A3-Ho%C3%A0ng-V%C4%83n-Th%E1%BB%A5-huy%E1%BB%87n-V%C4%83n-L%C3%A3ng-100075987228691/", "Công an xã  Hoàng Văn Thụ  tỉnh Lạng Sơn")</f>
      </c>
      <c r="C5600" t="str">
        <v>https://www.facebook.com/p/C%C3%B4ng-an-x%C3%A3-Ho%C3%A0ng-V%C4%83n-Th%E1%BB%A5-huy%E1%BB%87n-V%C4%83n-L%C3%A3ng-100075987228691/</v>
      </c>
      <c r="D5600" t="str">
        <v>-</v>
      </c>
      <c r="E5600" t="str">
        <v/>
      </c>
      <c r="F5600" t="str">
        <v>-</v>
      </c>
      <c r="G5600" t="str">
        <v>-</v>
      </c>
    </row>
    <row r="5601">
      <c r="A5601">
        <v>5600</v>
      </c>
      <c r="B5601">
        <f>HYPERLINK("https://langson.gov.vn/tin-moi/doan-dai-bieu-tinh-lang-son-va-doan-dai-bieu-tham-gia-ngay-hoi-van-hoa-the-thao-va-du-lich-cac-dan-toc-vung-dong-bac-dan.html", "UBND Ủy ban nhân dân xã  Hoàng Văn Thụ  tỉnh Lạng Sơn")</f>
      </c>
      <c r="C5601" t="str">
        <v>https://langson.gov.vn/tin-moi/doan-dai-bieu-tinh-lang-son-va-doan-dai-bieu-tham-gia-ngay-hoi-van-hoa-the-thao-va-du-lich-cac-dan-toc-vung-dong-bac-dan.html</v>
      </c>
      <c r="D5601" t="str">
        <v>-</v>
      </c>
      <c r="E5601" t="str">
        <v>-</v>
      </c>
      <c r="F5601" t="str">
        <v>-</v>
      </c>
      <c r="G5601" t="str">
        <v>-</v>
      </c>
    </row>
    <row r="5602">
      <c r="A5602">
        <v>5601</v>
      </c>
      <c r="B5602">
        <f>HYPERLINK("https://www.facebook.com/p/Tr%C6%B0%E1%BB%9Dng-M%E1%BA%A7m-Non-X%C3%A3-Nh%E1%BA%A1c-K%E1%BB%B3-Huy%E1%BB%87n-V%C4%83n-L%C3%A3ng-T%E1%BB%89nh-L%E1%BA%A1ng-S%C6%A1n-61552069763030/?locale=zh_CN", "Công an xã Nhạc Kỳ  tỉnh Lạng Sơn")</f>
      </c>
      <c r="C5602" t="str">
        <v>https://www.facebook.com/p/Tr%C6%B0%E1%BB%9Dng-M%E1%BA%A7m-Non-X%C3%A3-Nh%E1%BA%A1c-K%E1%BB%B3-Huy%E1%BB%87n-V%C4%83n-L%C3%A3ng-T%E1%BB%89nh-L%E1%BA%A1ng-S%C6%A1n-61552069763030/?locale=zh_CN</v>
      </c>
      <c r="D5602" t="str">
        <v>-</v>
      </c>
      <c r="E5602" t="str">
        <v/>
      </c>
      <c r="F5602" t="str">
        <v>-</v>
      </c>
      <c r="G5602" t="str">
        <v>-</v>
      </c>
    </row>
    <row r="5603">
      <c r="A5603">
        <v>5602</v>
      </c>
      <c r="B5603">
        <f>HYPERLINK("https://langson.gov.vn/chi-dao-cua-chu-tich-ubnd-tinh", "UBND Ủy ban nhân dân xã Nhạc Kỳ  tỉnh Lạng Sơn")</f>
      </c>
      <c r="C5603" t="str">
        <v>https://langson.gov.vn/chi-dao-cua-chu-tich-ubnd-tinh</v>
      </c>
      <c r="D5603" t="str">
        <v>-</v>
      </c>
      <c r="E5603" t="str">
        <v>-</v>
      </c>
      <c r="F5603" t="str">
        <v>-</v>
      </c>
      <c r="G5603" t="str">
        <v>-</v>
      </c>
    </row>
    <row r="5604">
      <c r="A5604">
        <v>5603</v>
      </c>
      <c r="B5604">
        <f>HYPERLINK("https://www.facebook.com/tuoitreconganlangson/", "Công an thị trấn Đồng Đăng  tỉnh Lạng Sơn")</f>
      </c>
      <c r="C5604" t="str">
        <v>https://www.facebook.com/tuoitreconganlangson/</v>
      </c>
      <c r="D5604" t="str">
        <v>-</v>
      </c>
      <c r="E5604" t="str">
        <v/>
      </c>
      <c r="F5604" t="str">
        <v>-</v>
      </c>
      <c r="G5604" t="str">
        <v>-</v>
      </c>
    </row>
    <row r="5605">
      <c r="A5605">
        <v>5604</v>
      </c>
      <c r="B5605">
        <f>HYPERLINK("https://caoloc.langson.gov.vn/gioi-thieu/co-cau-to-chuc/uy-ban-nhan-dan-huyen/cac-xa-thi-tran", "UBND Ủy ban nhân dân thị trấn Đồng Đăng  tỉnh Lạng Sơn")</f>
      </c>
      <c r="C5605" t="str">
        <v>https://caoloc.langson.gov.vn/gioi-thieu/co-cau-to-chuc/uy-ban-nhan-dan-huyen/cac-xa-thi-tran</v>
      </c>
      <c r="D5605" t="str">
        <v>-</v>
      </c>
      <c r="E5605" t="str">
        <v>-</v>
      </c>
      <c r="F5605" t="str">
        <v>-</v>
      </c>
      <c r="G5605" t="str">
        <v>-</v>
      </c>
    </row>
    <row r="5606">
      <c r="A5606">
        <v>5605</v>
      </c>
      <c r="B5606">
        <f>HYPERLINK("https://www.facebook.com/p/Tu%E1%BB%95i-tr%E1%BA%BB-C%C3%B4ng-an-huy%E1%BB%87n-Cao-L%E1%BB%99c-100063884749147/", "Công an thị trấn Cao Lộc  tỉnh Lạng Sơn")</f>
      </c>
      <c r="C5606" t="str">
        <v>https://www.facebook.com/p/Tu%E1%BB%95i-tr%E1%BA%BB-C%C3%B4ng-an-huy%E1%BB%87n-Cao-L%E1%BB%99c-100063884749147/</v>
      </c>
      <c r="D5606" t="str">
        <v>-</v>
      </c>
      <c r="E5606" t="str">
        <v/>
      </c>
      <c r="F5606" t="str">
        <v>-</v>
      </c>
      <c r="G5606" t="str">
        <v>-</v>
      </c>
    </row>
    <row r="5607">
      <c r="A5607">
        <v>5606</v>
      </c>
      <c r="B5607">
        <f>HYPERLINK("https://caoloc.langson.gov.vn/", "UBND Ủy ban nhân dân thị trấn Cao Lộc  tỉnh Lạng Sơn")</f>
      </c>
      <c r="C5607" t="str">
        <v>https://caoloc.langson.gov.vn/</v>
      </c>
      <c r="D5607" t="str">
        <v>-</v>
      </c>
      <c r="E5607" t="str">
        <v>-</v>
      </c>
      <c r="F5607" t="str">
        <v>-</v>
      </c>
      <c r="G5607" t="str">
        <v>-</v>
      </c>
    </row>
    <row r="5608">
      <c r="A5608">
        <v>5607</v>
      </c>
      <c r="B5608">
        <f>HYPERLINK("https://www.facebook.com/tuoitreconganhuyenvanquan/", "Công an xã Bảo Lâm  tỉnh Lạng Sơn")</f>
      </c>
      <c r="C5608" t="str">
        <v>https://www.facebook.com/tuoitreconganhuyenvanquan/</v>
      </c>
      <c r="D5608" t="str">
        <v>-</v>
      </c>
      <c r="E5608" t="str">
        <v/>
      </c>
      <c r="F5608" t="str">
        <v>-</v>
      </c>
      <c r="G5608" t="str">
        <v>-</v>
      </c>
    </row>
    <row r="5609">
      <c r="A5609">
        <v>5608</v>
      </c>
      <c r="B5609">
        <f>HYPERLINK("https://caoloc.langson.gov.vn/gioi-thieu/co-cau-to-chuc/uy-ban-nhan-dan-huyen/cac-xa-thi-tran", "UBND Ủy ban nhân dân xã Bảo Lâm  tỉnh Lạng Sơn")</f>
      </c>
      <c r="C5609" t="str">
        <v>https://caoloc.langson.gov.vn/gioi-thieu/co-cau-to-chuc/uy-ban-nhan-dan-huyen/cac-xa-thi-tran</v>
      </c>
      <c r="D5609" t="str">
        <v>-</v>
      </c>
      <c r="E5609" t="str">
        <v>-</v>
      </c>
      <c r="F5609" t="str">
        <v>-</v>
      </c>
      <c r="G5609" t="str">
        <v>-</v>
      </c>
    </row>
    <row r="5610">
      <c r="A5610">
        <v>5609</v>
      </c>
      <c r="B5610">
        <f>HYPERLINK("https://www.facebook.com/tuoitreconganlangson/", "Công an xã Thanh Lòa  tỉnh Lạng Sơn")</f>
      </c>
      <c r="C5610" t="str">
        <v>https://www.facebook.com/tuoitreconganlangson/</v>
      </c>
      <c r="D5610" t="str">
        <v>-</v>
      </c>
      <c r="E5610" t="str">
        <v/>
      </c>
      <c r="F5610" t="str">
        <v>-</v>
      </c>
      <c r="G5610" t="str">
        <v>-</v>
      </c>
    </row>
    <row r="5611">
      <c r="A5611">
        <v>5610</v>
      </c>
      <c r="B5611">
        <f>HYPERLINK("https://mttq.langson.gov.vn/tin-tuc-su-kien/tin-hoat-dong/uy-ban-mttq-tinh-phoi-hop-to-chuc-khanh-thanh-duong-kiem-tra-cot-moc-tai-xa-thanh-loa-huyen-cao-loc.html", "UBND Ủy ban nhân dân xã Thanh Lòa  tỉnh Lạng Sơn")</f>
      </c>
      <c r="C5611" t="str">
        <v>https://mttq.langson.gov.vn/tin-tuc-su-kien/tin-hoat-dong/uy-ban-mttq-tinh-phoi-hop-to-chuc-khanh-thanh-duong-kiem-tra-cot-moc-tai-xa-thanh-loa-huyen-cao-loc.html</v>
      </c>
      <c r="D5611" t="str">
        <v>-</v>
      </c>
      <c r="E5611" t="str">
        <v>-</v>
      </c>
      <c r="F5611" t="str">
        <v>-</v>
      </c>
      <c r="G5611" t="str">
        <v>-</v>
      </c>
    </row>
    <row r="5612">
      <c r="A5612">
        <v>5611</v>
      </c>
      <c r="B5612">
        <f>HYPERLINK("https://www.facebook.com/p/Tu%E1%BB%95i-tr%E1%BA%BB-C%C3%B4ng-an-huy%E1%BB%87n-Cao-L%E1%BB%99c-100063884749147/", "Công an xã Cao Lâu  tỉnh Lạng Sơn")</f>
      </c>
      <c r="C5612" t="str">
        <v>https://www.facebook.com/p/Tu%E1%BB%95i-tr%E1%BA%BB-C%C3%B4ng-an-huy%E1%BB%87n-Cao-L%E1%BB%99c-100063884749147/</v>
      </c>
      <c r="D5612" t="str">
        <v>-</v>
      </c>
      <c r="E5612" t="str">
        <v/>
      </c>
      <c r="F5612" t="str">
        <v>-</v>
      </c>
      <c r="G5612" t="str">
        <v>-</v>
      </c>
    </row>
    <row r="5613">
      <c r="A5613">
        <v>5612</v>
      </c>
      <c r="B5613">
        <f>HYPERLINK("https://caoloc.langson.gov.vn/", "UBND Ủy ban nhân dân xã Cao Lâu  tỉnh Lạng Sơn")</f>
      </c>
      <c r="C5613" t="str">
        <v>https://caoloc.langson.gov.vn/</v>
      </c>
      <c r="D5613" t="str">
        <v>-</v>
      </c>
      <c r="E5613" t="str">
        <v>-</v>
      </c>
      <c r="F5613" t="str">
        <v>-</v>
      </c>
      <c r="G5613" t="str">
        <v>-</v>
      </c>
    </row>
    <row r="5614">
      <c r="A5614">
        <v>5613</v>
      </c>
      <c r="B5614">
        <f>HYPERLINK("https://www.facebook.com/groups/doanxathachdanj/", "Công an xã Thạch Đạn  tỉnh Lạng Sơn")</f>
      </c>
      <c r="C5614" t="str">
        <v>https://www.facebook.com/groups/doanxathachdanj/</v>
      </c>
      <c r="D5614" t="str">
        <v>-</v>
      </c>
      <c r="E5614" t="str">
        <v/>
      </c>
      <c r="F5614" t="str">
        <v>-</v>
      </c>
      <c r="G5614" t="str">
        <v>-</v>
      </c>
    </row>
    <row r="5615">
      <c r="A5615">
        <v>5614</v>
      </c>
      <c r="B5615">
        <f>HYPERLINK("https://caoloc.langson.gov.vn/gioi-thieu/co-cau-to-chuc/uy-ban-nhan-dan-huyen/cac-xa-thi-tran", "UBND Ủy ban nhân dân xã Thạch Đạn  tỉnh Lạng Sơn")</f>
      </c>
      <c r="C5615" t="str">
        <v>https://caoloc.langson.gov.vn/gioi-thieu/co-cau-to-chuc/uy-ban-nhan-dan-huyen/cac-xa-thi-tran</v>
      </c>
      <c r="D5615" t="str">
        <v>-</v>
      </c>
      <c r="E5615" t="str">
        <v>-</v>
      </c>
      <c r="F5615" t="str">
        <v>-</v>
      </c>
      <c r="G5615" t="str">
        <v>-</v>
      </c>
    </row>
    <row r="5616">
      <c r="A5616">
        <v>5615</v>
      </c>
      <c r="B5616">
        <f>HYPERLINK("https://www.facebook.com/chidoan.congan/", "Công an xã Xuất Lễ  tỉnh Lạng Sơn")</f>
      </c>
      <c r="C5616" t="str">
        <v>https://www.facebook.com/chidoan.congan/</v>
      </c>
      <c r="D5616" t="str">
        <v>-</v>
      </c>
      <c r="E5616" t="str">
        <v/>
      </c>
      <c r="F5616" t="str">
        <v>-</v>
      </c>
      <c r="G5616" t="str">
        <v>-</v>
      </c>
    </row>
    <row r="5617">
      <c r="A5617">
        <v>5616</v>
      </c>
      <c r="B5617">
        <f>HYPERLINK("https://langson.gov.vn/", "UBND Ủy ban nhân dân xã Xuất Lễ  tỉnh Lạng Sơn")</f>
      </c>
      <c r="C5617" t="str">
        <v>https://langson.gov.vn/</v>
      </c>
      <c r="D5617" t="str">
        <v>-</v>
      </c>
      <c r="E5617" t="str">
        <v>-</v>
      </c>
      <c r="F5617" t="str">
        <v>-</v>
      </c>
      <c r="G5617" t="str">
        <v>-</v>
      </c>
    </row>
    <row r="5618">
      <c r="A5618">
        <v>5617</v>
      </c>
      <c r="B5618">
        <f>HYPERLINK("https://www.facebook.com/p/Tu%E1%BB%95i-tr%E1%BA%BB-C%C3%B4ng-an-huy%E1%BB%87n-B%C3%ACnh-Gia-100070618760059/", "Công an xã Hồng Phong  tỉnh Lạng Sơn")</f>
      </c>
      <c r="C5618" t="str">
        <v>https://www.facebook.com/p/Tu%E1%BB%95i-tr%E1%BA%BB-C%C3%B4ng-an-huy%E1%BB%87n-B%C3%ACnh-Gia-100070618760059/</v>
      </c>
      <c r="D5618" t="str">
        <v>-</v>
      </c>
      <c r="E5618" t="str">
        <v/>
      </c>
      <c r="F5618" t="str">
        <v>-</v>
      </c>
      <c r="G5618" t="str">
        <v>-</v>
      </c>
    </row>
    <row r="5619">
      <c r="A5619">
        <v>5618</v>
      </c>
      <c r="B5619">
        <f>HYPERLINK("https://langson.gov.vn/tin-moi/lanh-dao-ubnd-tinh-du-ngay-hoi-dai-doan-ket-toan-dan-toc-tai-khu-dan-cu-thon-pa-phieng-xa-hong-phong-huyen-cao-loc.html", "UBND Ủy ban nhân dân xã Hồng Phong  tỉnh Lạng Sơn")</f>
      </c>
      <c r="C5619" t="str">
        <v>https://langson.gov.vn/tin-moi/lanh-dao-ubnd-tinh-du-ngay-hoi-dai-doan-ket-toan-dan-toc-tai-khu-dan-cu-thon-pa-phieng-xa-hong-phong-huyen-cao-loc.html</v>
      </c>
      <c r="D5619" t="str">
        <v>-</v>
      </c>
      <c r="E5619" t="str">
        <v>-</v>
      </c>
      <c r="F5619" t="str">
        <v>-</v>
      </c>
      <c r="G5619" t="str">
        <v>-</v>
      </c>
    </row>
    <row r="5620">
      <c r="A5620">
        <v>5619</v>
      </c>
      <c r="B5620" t="str">
        <v>Công an xã Thụy Hùng  tỉnh Lạng Sơn</v>
      </c>
      <c r="C5620" t="str">
        <v>-</v>
      </c>
      <c r="D5620" t="str">
        <v>-</v>
      </c>
      <c r="E5620" t="str">
        <v/>
      </c>
      <c r="F5620" t="str">
        <v>-</v>
      </c>
      <c r="G5620" t="str">
        <v>-</v>
      </c>
    </row>
    <row r="5621">
      <c r="A5621">
        <v>5620</v>
      </c>
      <c r="B5621">
        <f>HYPERLINK("https://caoloc.langson.gov.vn/gioi-thieu/co-cau-to-chuc/uy-ban-nhan-dan-huyen/cac-xa-thi-tran", "UBND Ủy ban nhân dân xã Thụy Hùng  tỉnh Lạng Sơn")</f>
      </c>
      <c r="C5621" t="str">
        <v>https://caoloc.langson.gov.vn/gioi-thieu/co-cau-to-chuc/uy-ban-nhan-dan-huyen/cac-xa-thi-tran</v>
      </c>
      <c r="D5621" t="str">
        <v>-</v>
      </c>
      <c r="E5621" t="str">
        <v>-</v>
      </c>
      <c r="F5621" t="str">
        <v>-</v>
      </c>
      <c r="G5621" t="str">
        <v>-</v>
      </c>
    </row>
    <row r="5622">
      <c r="A5622">
        <v>5621</v>
      </c>
      <c r="B5622">
        <f>HYPERLINK("https://www.facebook.com/tuoitreconganhuyenvanquan/", "Công an xã Lộc Yên  tỉnh Lạng Sơn")</f>
      </c>
      <c r="C5622" t="str">
        <v>https://www.facebook.com/tuoitreconganhuyenvanquan/</v>
      </c>
      <c r="D5622" t="str">
        <v>-</v>
      </c>
      <c r="E5622" t="str">
        <v/>
      </c>
      <c r="F5622" t="str">
        <v>-</v>
      </c>
      <c r="G5622" t="str">
        <v>-</v>
      </c>
    </row>
    <row r="5623">
      <c r="A5623">
        <v>5622</v>
      </c>
      <c r="B5623">
        <f>HYPERLINK("https://caoloc.langson.gov.vn/gioi-thieu/co-cau-to-chuc/uy-ban-nhan-dan-huyen/cac-xa-thi-tran", "UBND Ủy ban nhân dân xã Lộc Yên  tỉnh Lạng Sơn")</f>
      </c>
      <c r="C5623" t="str">
        <v>https://caoloc.langson.gov.vn/gioi-thieu/co-cau-to-chuc/uy-ban-nhan-dan-huyen/cac-xa-thi-tran</v>
      </c>
      <c r="D5623" t="str">
        <v>-</v>
      </c>
      <c r="E5623" t="str">
        <v>-</v>
      </c>
      <c r="F5623" t="str">
        <v>-</v>
      </c>
      <c r="G5623" t="str">
        <v>-</v>
      </c>
    </row>
    <row r="5624">
      <c r="A5624">
        <v>5623</v>
      </c>
      <c r="B5624">
        <f>HYPERLINK("https://www.facebook.com/tuoitreconganlangson/", "Công an xã Phú Xá  tỉnh Lạng Sơn")</f>
      </c>
      <c r="C5624" t="str">
        <v>https://www.facebook.com/tuoitreconganlangson/</v>
      </c>
      <c r="D5624" t="str">
        <v>-</v>
      </c>
      <c r="E5624" t="str">
        <v/>
      </c>
      <c r="F5624" t="str">
        <v>-</v>
      </c>
      <c r="G5624" t="str">
        <v>-</v>
      </c>
    </row>
    <row r="5625">
      <c r="A5625">
        <v>5624</v>
      </c>
      <c r="B5625">
        <f>HYPERLINK("https://tiepcongdan.langson.gov.vn/upload/105472/20240927/TB_ket_qua_tiep_cong_dan_dinh_ky_cuoi_thang_9_2024_066e5.pdf", "UBND Ủy ban nhân dân xã Phú Xá  tỉnh Lạng Sơn")</f>
      </c>
      <c r="C5625" t="str">
        <v>https://tiepcongdan.langson.gov.vn/upload/105472/20240927/TB_ket_qua_tiep_cong_dan_dinh_ky_cuoi_thang_9_2024_066e5.pdf</v>
      </c>
      <c r="D5625" t="str">
        <v>-</v>
      </c>
      <c r="E5625" t="str">
        <v>-</v>
      </c>
      <c r="F5625" t="str">
        <v>-</v>
      </c>
      <c r="G5625" t="str">
        <v>-</v>
      </c>
    </row>
    <row r="5626">
      <c r="A5626">
        <v>5625</v>
      </c>
      <c r="B5626">
        <f>HYPERLINK("https://www.facebook.com/p/Tu%E1%BB%95i-tr%E1%BA%BB-C%C3%B4ng-an-huy%E1%BB%87n-B%C3%ACnh-Gia-100070618760059/", "Công an xã Bình Trung  tỉnh Lạng Sơn")</f>
      </c>
      <c r="C5626" t="str">
        <v>https://www.facebook.com/p/Tu%E1%BB%95i-tr%E1%BA%BB-C%C3%B4ng-an-huy%E1%BB%87n-B%C3%ACnh-Gia-100070618760059/</v>
      </c>
      <c r="D5626" t="str">
        <v>-</v>
      </c>
      <c r="E5626" t="str">
        <v/>
      </c>
      <c r="F5626" t="str">
        <v>-</v>
      </c>
      <c r="G5626" t="str">
        <v>-</v>
      </c>
    </row>
    <row r="5627">
      <c r="A5627">
        <v>5626</v>
      </c>
      <c r="B5627">
        <f>HYPERLINK("https://binhgia.langson.gov.vn/", "UBND Ủy ban nhân dân xã Bình Trung  tỉnh Lạng Sơn")</f>
      </c>
      <c r="C5627" t="str">
        <v>https://binhgia.langson.gov.vn/</v>
      </c>
      <c r="D5627" t="str">
        <v>-</v>
      </c>
      <c r="E5627" t="str">
        <v>-</v>
      </c>
      <c r="F5627" t="str">
        <v>-</v>
      </c>
      <c r="G5627" t="str">
        <v>-</v>
      </c>
    </row>
    <row r="5628">
      <c r="A5628">
        <v>5627</v>
      </c>
      <c r="B5628">
        <f>HYPERLINK("https://www.facebook.com/3842728065785530", "Công an xã Hải Yến  tỉnh Lạng Sơn")</f>
      </c>
      <c r="C5628" t="str">
        <v>https://www.facebook.com/3842728065785530</v>
      </c>
      <c r="D5628" t="str">
        <v>-</v>
      </c>
      <c r="E5628" t="str">
        <v/>
      </c>
      <c r="F5628" t="str">
        <v>-</v>
      </c>
      <c r="G5628" t="str">
        <v>-</v>
      </c>
    </row>
    <row r="5629">
      <c r="A5629">
        <v>5628</v>
      </c>
      <c r="B5629">
        <f>HYPERLINK("https://caoloc.langson.gov.vn/gioi-thieu/co-cau-to-chuc/uy-ban-nhan-dan-huyen/cac-xa-thi-tran", "UBND Ủy ban nhân dân xã Hải Yến  tỉnh Lạng Sơn")</f>
      </c>
      <c r="C5629" t="str">
        <v>https://caoloc.langson.gov.vn/gioi-thieu/co-cau-to-chuc/uy-ban-nhan-dan-huyen/cac-xa-thi-tran</v>
      </c>
      <c r="D5629" t="str">
        <v>-</v>
      </c>
      <c r="E5629" t="str">
        <v>-</v>
      </c>
      <c r="F5629" t="str">
        <v>-</v>
      </c>
      <c r="G5629" t="str">
        <v>-</v>
      </c>
    </row>
    <row r="5630">
      <c r="A5630">
        <v>5629</v>
      </c>
      <c r="B5630">
        <f>HYPERLINK("https://www.facebook.com/p/Tu%E1%BB%95i-tr%E1%BA%BB-C%C3%B4ng-an-huy%E1%BB%87n-B%C3%ACnh-Gia-100070618760059/", "Công an xã Hòa Cư  tỉnh Lạng Sơn")</f>
      </c>
      <c r="C5630" t="str">
        <v>https://www.facebook.com/p/Tu%E1%BB%95i-tr%E1%BA%BB-C%C3%B4ng-an-huy%E1%BB%87n-B%C3%ACnh-Gia-100070618760059/</v>
      </c>
      <c r="D5630" t="str">
        <v>-</v>
      </c>
      <c r="E5630" t="str">
        <v/>
      </c>
      <c r="F5630" t="str">
        <v>-</v>
      </c>
      <c r="G5630" t="str">
        <v>-</v>
      </c>
    </row>
    <row r="5631">
      <c r="A5631">
        <v>5630</v>
      </c>
      <c r="B5631">
        <f>HYPERLINK("https://langson.gov.vn/", "UBND Ủy ban nhân dân xã Hòa Cư  tỉnh Lạng Sơn")</f>
      </c>
      <c r="C5631" t="str">
        <v>https://langson.gov.vn/</v>
      </c>
      <c r="D5631" t="str">
        <v>-</v>
      </c>
      <c r="E5631" t="str">
        <v>-</v>
      </c>
      <c r="F5631" t="str">
        <v>-</v>
      </c>
      <c r="G5631" t="str">
        <v>-</v>
      </c>
    </row>
    <row r="5632">
      <c r="A5632">
        <v>5631</v>
      </c>
      <c r="B5632">
        <f>HYPERLINK("https://www.facebook.com/tuoitreconganhuyenvanquan/", "Công an xã Hợp Thành  tỉnh Lạng Sơn")</f>
      </c>
      <c r="C5632" t="str">
        <v>https://www.facebook.com/tuoitreconganhuyenvanquan/</v>
      </c>
      <c r="D5632" t="str">
        <v>-</v>
      </c>
      <c r="E5632" t="str">
        <v/>
      </c>
      <c r="F5632" t="str">
        <v>-</v>
      </c>
      <c r="G5632" t="str">
        <v>-</v>
      </c>
    </row>
    <row r="5633">
      <c r="A5633">
        <v>5632</v>
      </c>
      <c r="B5633">
        <f>HYPERLINK("https://langson.gov.vn/", "UBND Ủy ban nhân dân xã Hợp Thành  tỉnh Lạng Sơn")</f>
      </c>
      <c r="C5633" t="str">
        <v>https://langson.gov.vn/</v>
      </c>
      <c r="D5633" t="str">
        <v>-</v>
      </c>
      <c r="E5633" t="str">
        <v>-</v>
      </c>
      <c r="F5633" t="str">
        <v>-</v>
      </c>
      <c r="G5633" t="str">
        <v>-</v>
      </c>
    </row>
    <row r="5634">
      <c r="A5634">
        <v>5633</v>
      </c>
      <c r="B5634" t="str">
        <v>Công an xã Song Giáp  tỉnh Lạng Sơn</v>
      </c>
      <c r="C5634" t="str">
        <v>-</v>
      </c>
      <c r="D5634" t="str">
        <v>-</v>
      </c>
      <c r="E5634" t="str">
        <v/>
      </c>
      <c r="F5634" t="str">
        <v>-</v>
      </c>
      <c r="G5634" t="str">
        <v>-</v>
      </c>
    </row>
    <row r="5635">
      <c r="A5635">
        <v>5634</v>
      </c>
      <c r="B5635">
        <f>HYPERLINK("https://songcong.thainguyen.gov.vn/xa-binh-son", "UBND Ủy ban nhân dân xã Song Giáp  tỉnh Lạng Sơn")</f>
      </c>
      <c r="C5635" t="str">
        <v>https://songcong.thainguyen.gov.vn/xa-binh-son</v>
      </c>
      <c r="D5635" t="str">
        <v>-</v>
      </c>
      <c r="E5635" t="str">
        <v>-</v>
      </c>
      <c r="F5635" t="str">
        <v>-</v>
      </c>
      <c r="G5635" t="str">
        <v>-</v>
      </c>
    </row>
    <row r="5636">
      <c r="A5636">
        <v>5635</v>
      </c>
      <c r="B5636">
        <f>HYPERLINK("https://www.facebook.com/phongpc06conganlangson/?locale=vi_VN", "Công an xã Công Sơn  tỉnh Lạng Sơn")</f>
      </c>
      <c r="C5636" t="str">
        <v>https://www.facebook.com/phongpc06conganlangson/?locale=vi_VN</v>
      </c>
      <c r="D5636" t="str">
        <v>-</v>
      </c>
      <c r="E5636" t="str">
        <v/>
      </c>
      <c r="F5636" t="str">
        <v>-</v>
      </c>
      <c r="G5636" t="str">
        <v>-</v>
      </c>
    </row>
    <row r="5637">
      <c r="A5637">
        <v>5636</v>
      </c>
      <c r="B5637">
        <f>HYPERLINK("https://langson.gov.vn/", "UBND Ủy ban nhân dân xã Công Sơn  tỉnh Lạng Sơn")</f>
      </c>
      <c r="C5637" t="str">
        <v>https://langson.gov.vn/</v>
      </c>
      <c r="D5637" t="str">
        <v>-</v>
      </c>
      <c r="E5637" t="str">
        <v>-</v>
      </c>
      <c r="F5637" t="str">
        <v>-</v>
      </c>
      <c r="G5637" t="str">
        <v>-</v>
      </c>
    </row>
    <row r="5638">
      <c r="A5638">
        <v>5637</v>
      </c>
      <c r="B5638">
        <f>HYPERLINK("https://www.facebook.com/groups/794785347832088/", "Công an xã Gia Cát  tỉnh Lạng Sơn")</f>
      </c>
      <c r="C5638" t="str">
        <v>https://www.facebook.com/groups/794785347832088/</v>
      </c>
      <c r="D5638" t="str">
        <v>-</v>
      </c>
      <c r="E5638" t="str">
        <v/>
      </c>
      <c r="F5638" t="str">
        <v>-</v>
      </c>
      <c r="G5638" t="str">
        <v>-</v>
      </c>
    </row>
    <row r="5639">
      <c r="A5639">
        <v>5638</v>
      </c>
      <c r="B5639">
        <f>HYPERLINK("https://caoloc.langson.gov.vn/gioi-thieu/co-cau-to-chuc/uy-ban-nhan-dan-huyen/cac-xa-thi-tran", "UBND Ủy ban nhân dân xã Gia Cát  tỉnh Lạng Sơn")</f>
      </c>
      <c r="C5639" t="str">
        <v>https://caoloc.langson.gov.vn/gioi-thieu/co-cau-to-chuc/uy-ban-nhan-dan-huyen/cac-xa-thi-tran</v>
      </c>
      <c r="D5639" t="str">
        <v>-</v>
      </c>
      <c r="E5639" t="str">
        <v>-</v>
      </c>
      <c r="F5639" t="str">
        <v>-</v>
      </c>
      <c r="G5639" t="str">
        <v>-</v>
      </c>
    </row>
    <row r="5640">
      <c r="A5640">
        <v>5639</v>
      </c>
      <c r="B5640">
        <f>HYPERLINK("https://www.facebook.com/tuoitrexulang/", "Công an xã Mẫu Sơn  tỉnh Lạng Sơn")</f>
      </c>
      <c r="C5640" t="str">
        <v>https://www.facebook.com/tuoitrexulang/</v>
      </c>
      <c r="D5640" t="str">
        <v>-</v>
      </c>
      <c r="E5640" t="str">
        <v/>
      </c>
      <c r="F5640" t="str">
        <v>-</v>
      </c>
      <c r="G5640" t="str">
        <v>-</v>
      </c>
    </row>
    <row r="5641">
      <c r="A5641">
        <v>5640</v>
      </c>
      <c r="B5641">
        <f>HYPERLINK("https://langson.gov.vn/", "UBND Ủy ban nhân dân xã Mẫu Sơn  tỉnh Lạng Sơn")</f>
      </c>
      <c r="C5641" t="str">
        <v>https://langson.gov.vn/</v>
      </c>
      <c r="D5641" t="str">
        <v>-</v>
      </c>
      <c r="E5641" t="str">
        <v>-</v>
      </c>
      <c r="F5641" t="str">
        <v>-</v>
      </c>
      <c r="G5641" t="str">
        <v>-</v>
      </c>
    </row>
    <row r="5642">
      <c r="A5642">
        <v>5641</v>
      </c>
      <c r="B5642">
        <f>HYPERLINK("https://www.facebook.com/trangtinxaxuanlonghuyencaoloc/", "Công an xã Xuân Long  tỉnh Lạng Sơn")</f>
      </c>
      <c r="C5642" t="str">
        <v>https://www.facebook.com/trangtinxaxuanlonghuyencaoloc/</v>
      </c>
      <c r="D5642" t="str">
        <v>-</v>
      </c>
      <c r="E5642" t="str">
        <v/>
      </c>
      <c r="F5642" t="str">
        <v>-</v>
      </c>
      <c r="G5642" t="str">
        <v>-</v>
      </c>
    </row>
    <row r="5643">
      <c r="A5643">
        <v>5642</v>
      </c>
      <c r="B5643">
        <f>HYPERLINK("https://langson.baohiemxahoi.gov.vn/vanban/Pages/default.aspx?ItemID=9592", "UBND Ủy ban nhân dân xã Xuân Long  tỉnh Lạng Sơn")</f>
      </c>
      <c r="C5643" t="str">
        <v>https://langson.baohiemxahoi.gov.vn/vanban/Pages/default.aspx?ItemID=9592</v>
      </c>
      <c r="D5643" t="str">
        <v>-</v>
      </c>
      <c r="E5643" t="str">
        <v>-</v>
      </c>
      <c r="F5643" t="str">
        <v>-</v>
      </c>
      <c r="G5643" t="str">
        <v>-</v>
      </c>
    </row>
    <row r="5644">
      <c r="A5644">
        <v>5643</v>
      </c>
      <c r="B5644">
        <f>HYPERLINK("https://www.facebook.com/tuoitreconganhuyenvanquan/", "Công an xã Tân Liên  tỉnh Lạng Sơn")</f>
      </c>
      <c r="C5644" t="str">
        <v>https://www.facebook.com/tuoitreconganhuyenvanquan/</v>
      </c>
      <c r="D5644" t="str">
        <v>-</v>
      </c>
      <c r="E5644" t="str">
        <v/>
      </c>
      <c r="F5644" t="str">
        <v>-</v>
      </c>
      <c r="G5644" t="str">
        <v>-</v>
      </c>
    </row>
    <row r="5645">
      <c r="A5645">
        <v>5644</v>
      </c>
      <c r="B5645">
        <f>HYPERLINK("https://caoloc.langson.gov.vn/gioi-thieu/co-cau-to-chuc/uy-ban-nhan-dan-huyen/cac-xa-thi-tran", "UBND Ủy ban nhân dân xã Tân Liên  tỉnh Lạng Sơn")</f>
      </c>
      <c r="C5645" t="str">
        <v>https://caoloc.langson.gov.vn/gioi-thieu/co-cau-to-chuc/uy-ban-nhan-dan-huyen/cac-xa-thi-tran</v>
      </c>
      <c r="D5645" t="str">
        <v>-</v>
      </c>
      <c r="E5645" t="str">
        <v>-</v>
      </c>
      <c r="F5645" t="str">
        <v>-</v>
      </c>
      <c r="G5645" t="str">
        <v>-</v>
      </c>
    </row>
    <row r="5646">
      <c r="A5646">
        <v>5645</v>
      </c>
      <c r="B5646">
        <f>HYPERLINK("https://www.facebook.com/caxyentrach/", "Công an xã Yên Trạch  tỉnh Lạng Sơn")</f>
      </c>
      <c r="C5646" t="str">
        <v>https://www.facebook.com/caxyentrach/</v>
      </c>
      <c r="D5646" t="str">
        <v>-</v>
      </c>
      <c r="E5646" t="str">
        <v/>
      </c>
      <c r="F5646" t="str">
        <v>-</v>
      </c>
      <c r="G5646" t="str">
        <v>-</v>
      </c>
    </row>
    <row r="5647">
      <c r="A5647">
        <v>5646</v>
      </c>
      <c r="B5647">
        <f>HYPERLINK("https://langson.gov.vn/thong-tin-quy-hoach/ve-viec-giao-dat-cho-giao-dat-cho-ubnd-xa-yen-trach-huyen-cao-loc-de-su-dung-vao-muc-dich-dat-xay-dung-co-so-van-hoa-tai.html", "UBND Ủy ban nhân dân xã Yên Trạch  tỉnh Lạng Sơn")</f>
      </c>
      <c r="C5647" t="str">
        <v>https://langson.gov.vn/thong-tin-quy-hoach/ve-viec-giao-dat-cho-giao-dat-cho-ubnd-xa-yen-trach-huyen-cao-loc-de-su-dung-vao-muc-dich-dat-xay-dung-co-so-van-hoa-tai.html</v>
      </c>
      <c r="D5647" t="str">
        <v>-</v>
      </c>
      <c r="E5647" t="str">
        <v>-</v>
      </c>
      <c r="F5647" t="str">
        <v>-</v>
      </c>
      <c r="G5647" t="str">
        <v>-</v>
      </c>
    </row>
    <row r="5648">
      <c r="A5648">
        <v>5647</v>
      </c>
      <c r="B5648">
        <f>HYPERLINK("https://www.facebook.com/ubndtanthanhhuulunglangson/", "Công an xã Tân Thành  tỉnh Lạng Sơn")</f>
      </c>
      <c r="C5648" t="str">
        <v>https://www.facebook.com/ubndtanthanhhuulunglangson/</v>
      </c>
      <c r="D5648" t="str">
        <v>-</v>
      </c>
      <c r="E5648" t="str">
        <v/>
      </c>
      <c r="F5648" t="str">
        <v>-</v>
      </c>
      <c r="G5648" t="str">
        <v>-</v>
      </c>
    </row>
    <row r="5649">
      <c r="A5649">
        <v>5648</v>
      </c>
      <c r="B5649">
        <f>HYPERLINK("https://caoloc.langson.gov.vn/gioi-thieu/co-cau-to-chuc/uy-ban-nhan-dan-huyen/cac-xa-thi-tran", "UBND Ủy ban nhân dân xã Tân Thành  tỉnh Lạng Sơn")</f>
      </c>
      <c r="C5649" t="str">
        <v>https://caoloc.langson.gov.vn/gioi-thieu/co-cau-to-chuc/uy-ban-nhan-dan-huyen/cac-xa-thi-tran</v>
      </c>
      <c r="D5649" t="str">
        <v>-</v>
      </c>
      <c r="E5649" t="str">
        <v>-</v>
      </c>
      <c r="F5649" t="str">
        <v>-</v>
      </c>
      <c r="G5649" t="str">
        <v>-</v>
      </c>
    </row>
    <row r="5650">
      <c r="A5650">
        <v>5649</v>
      </c>
      <c r="B5650">
        <f>HYPERLINK("https://www.facebook.com/tuoitreconganhuyenvanquan/", "Công an thị trấn Văn Quan  tỉnh Lạng Sơn")</f>
      </c>
      <c r="C5650" t="str">
        <v>https://www.facebook.com/tuoitreconganhuyenvanquan/</v>
      </c>
      <c r="D5650" t="str">
        <v>-</v>
      </c>
      <c r="E5650" t="str">
        <v/>
      </c>
      <c r="F5650" t="str">
        <v>-</v>
      </c>
      <c r="G5650" t="str">
        <v>-</v>
      </c>
    </row>
    <row r="5651">
      <c r="A5651">
        <v>5650</v>
      </c>
      <c r="B5651">
        <f>HYPERLINK("https://vanquan.langson.gov.vn/", "UBND Ủy ban nhân dân thị trấn Văn Quan  tỉnh Lạng Sơn")</f>
      </c>
      <c r="C5651" t="str">
        <v>https://vanquan.langson.gov.vn/</v>
      </c>
      <c r="D5651" t="str">
        <v>-</v>
      </c>
      <c r="E5651" t="str">
        <v>-</v>
      </c>
      <c r="F5651" t="str">
        <v>-</v>
      </c>
      <c r="G5651" t="str">
        <v>-</v>
      </c>
    </row>
    <row r="5652">
      <c r="A5652">
        <v>5651</v>
      </c>
      <c r="B5652">
        <f>HYPERLINK("https://www.facebook.com/tuoitreconganlangson/", "Công an xã Trấn Ninh  tỉnh Lạng Sơn")</f>
      </c>
      <c r="C5652" t="str">
        <v>https://www.facebook.com/tuoitreconganlangson/</v>
      </c>
      <c r="D5652" t="str">
        <v>-</v>
      </c>
      <c r="E5652" t="str">
        <v/>
      </c>
      <c r="F5652" t="str">
        <v>-</v>
      </c>
      <c r="G5652" t="str">
        <v>-</v>
      </c>
    </row>
    <row r="5653">
      <c r="A5653">
        <v>5652</v>
      </c>
      <c r="B5653">
        <f>HYPERLINK("https://vanquan.langson.gov.vn/", "UBND Ủy ban nhân dân xã Trấn Ninh  tỉnh Lạng Sơn")</f>
      </c>
      <c r="C5653" t="str">
        <v>https://vanquan.langson.gov.vn/</v>
      </c>
      <c r="D5653" t="str">
        <v>-</v>
      </c>
      <c r="E5653" t="str">
        <v>-</v>
      </c>
      <c r="F5653" t="str">
        <v>-</v>
      </c>
      <c r="G5653" t="str">
        <v>-</v>
      </c>
    </row>
    <row r="5654">
      <c r="A5654">
        <v>5653</v>
      </c>
      <c r="B5654">
        <f>HYPERLINK("https://www.facebook.com/tuoitreconganhuyenvanquan/", "Công an xã Phú Mỹ  tỉnh Lạng Sơn")</f>
      </c>
      <c r="C5654" t="str">
        <v>https://www.facebook.com/tuoitreconganhuyenvanquan/</v>
      </c>
      <c r="D5654" t="str">
        <v>-</v>
      </c>
      <c r="E5654" t="str">
        <v/>
      </c>
      <c r="F5654" t="str">
        <v>-</v>
      </c>
      <c r="G5654" t="str">
        <v>-</v>
      </c>
    </row>
    <row r="5655">
      <c r="A5655">
        <v>5654</v>
      </c>
      <c r="B5655">
        <f>HYPERLINK("https://sonv.langson.gov.vn/van-ban-chi-dao-dieu-hanh/thi-dua-khen-thuong", "UBND Ủy ban nhân dân xã Phú Mỹ  tỉnh Lạng Sơn")</f>
      </c>
      <c r="C5655" t="str">
        <v>https://sonv.langson.gov.vn/van-ban-chi-dao-dieu-hanh/thi-dua-khen-thuong</v>
      </c>
      <c r="D5655" t="str">
        <v>-</v>
      </c>
      <c r="E5655" t="str">
        <v>-</v>
      </c>
      <c r="F5655" t="str">
        <v>-</v>
      </c>
      <c r="G5655" t="str">
        <v>-</v>
      </c>
    </row>
    <row r="5656">
      <c r="A5656">
        <v>5655</v>
      </c>
      <c r="B5656">
        <f>HYPERLINK("https://www.facebook.com/tuoitreconganhuyenvanquan/", "Công an xã Việt Yên  tỉnh Lạng Sơn")</f>
      </c>
      <c r="C5656" t="str">
        <v>https://www.facebook.com/tuoitreconganhuyenvanquan/</v>
      </c>
      <c r="D5656" t="str">
        <v>-</v>
      </c>
      <c r="E5656" t="str">
        <v/>
      </c>
      <c r="F5656" t="str">
        <v>-</v>
      </c>
      <c r="G5656" t="str">
        <v>-</v>
      </c>
    </row>
    <row r="5657">
      <c r="A5657">
        <v>5656</v>
      </c>
      <c r="B5657">
        <f>HYPERLINK("https://vietyen.bacgiang.gov.vn/", "UBND Ủy ban nhân dân xã Việt Yên  tỉnh Lạng Sơn")</f>
      </c>
      <c r="C5657" t="str">
        <v>https://vietyen.bacgiang.gov.vn/</v>
      </c>
      <c r="D5657" t="str">
        <v>-</v>
      </c>
      <c r="E5657" t="str">
        <v>-</v>
      </c>
      <c r="F5657" t="str">
        <v>-</v>
      </c>
      <c r="G5657" t="str">
        <v>-</v>
      </c>
    </row>
    <row r="5658">
      <c r="A5658">
        <v>5657</v>
      </c>
      <c r="B5658">
        <f>HYPERLINK("https://www.facebook.com/tuoitreconganlangson/", "Công an xã Song Giang  tỉnh Lạng Sơn")</f>
      </c>
      <c r="C5658" t="str">
        <v>https://www.facebook.com/tuoitreconganlangson/</v>
      </c>
      <c r="D5658" t="str">
        <v>-</v>
      </c>
      <c r="E5658" t="str">
        <v/>
      </c>
      <c r="F5658" t="str">
        <v>-</v>
      </c>
      <c r="G5658" t="str">
        <v>-</v>
      </c>
    </row>
    <row r="5659">
      <c r="A5659">
        <v>5658</v>
      </c>
      <c r="B5659">
        <f>HYPERLINK("https://langgiang.bacgiang.gov.vn/", "UBND Ủy ban nhân dân xã Song Giang  tỉnh Lạng Sơn")</f>
      </c>
      <c r="C5659" t="str">
        <v>https://langgiang.bacgiang.gov.vn/</v>
      </c>
      <c r="D5659" t="str">
        <v>-</v>
      </c>
      <c r="E5659" t="str">
        <v>-</v>
      </c>
      <c r="F5659" t="str">
        <v>-</v>
      </c>
      <c r="G5659" t="str">
        <v>-</v>
      </c>
    </row>
    <row r="5660">
      <c r="A5660">
        <v>5659</v>
      </c>
      <c r="B5660">
        <f>HYPERLINK("https://www.facebook.com/tuoitreconganhuyenvanquan/", "Công an xã Vân Mộng  tỉnh Lạng Sơn")</f>
      </c>
      <c r="C5660" t="str">
        <v>https://www.facebook.com/tuoitreconganhuyenvanquan/</v>
      </c>
      <c r="D5660" t="str">
        <v>-</v>
      </c>
      <c r="E5660" t="str">
        <v/>
      </c>
      <c r="F5660" t="str">
        <v>-</v>
      </c>
      <c r="G5660" t="str">
        <v>-</v>
      </c>
    </row>
    <row r="5661">
      <c r="A5661">
        <v>5660</v>
      </c>
      <c r="B5661">
        <f>HYPERLINK("https://vanquan.langson.gov.vn/upload/105421/20231225/1198850aa08c9484929afb7a7e4bf3aaBAO_20CAO_20NTM-_20PHUC_20VU_20_C4_90OAN_20KIEM_20TRA_20CUA_20SO_20THONG_20TIN_20VA_20TRUYEN_20THONG.pdf", "UBND Ủy ban nhân dân xã Vân Mộng  tỉnh Lạng Sơn")</f>
      </c>
      <c r="C5661" t="str">
        <v>https://vanquan.langson.gov.vn/upload/105421/20231225/1198850aa08c9484929afb7a7e4bf3aaBAO_20CAO_20NTM-_20PHUC_20VU_20_C4_90OAN_20KIEM_20TRA_20CUA_20SO_20THONG_20TIN_20VA_20TRUYEN_20THONG.pdf</v>
      </c>
      <c r="D5661" t="str">
        <v>-</v>
      </c>
      <c r="E5661" t="str">
        <v>-</v>
      </c>
      <c r="F5661" t="str">
        <v>-</v>
      </c>
      <c r="G5661" t="str">
        <v>-</v>
      </c>
    </row>
    <row r="5662">
      <c r="A5662">
        <v>5661</v>
      </c>
      <c r="B5662">
        <f>HYPERLINK("https://www.facebook.com/tuoitreconganhuyenvanquan/", "Công an xã Vĩnh Lại  tỉnh Lạng Sơn")</f>
      </c>
      <c r="C5662" t="str">
        <v>https://www.facebook.com/tuoitreconganhuyenvanquan/</v>
      </c>
      <c r="D5662" t="str">
        <v>-</v>
      </c>
      <c r="E5662" t="str">
        <v/>
      </c>
      <c r="F5662" t="str">
        <v>-</v>
      </c>
      <c r="G5662" t="str">
        <v>-</v>
      </c>
    </row>
    <row r="5663">
      <c r="A5663">
        <v>5662</v>
      </c>
      <c r="B5663">
        <f>HYPERLINK("https://dinhlap.langson.gov.vn/", "UBND Ủy ban nhân dân xã Vĩnh Lại  tỉnh Lạng Sơn")</f>
      </c>
      <c r="C5663" t="str">
        <v>https://dinhlap.langson.gov.vn/</v>
      </c>
      <c r="D5663" t="str">
        <v>-</v>
      </c>
      <c r="E5663" t="str">
        <v>-</v>
      </c>
      <c r="F5663" t="str">
        <v>-</v>
      </c>
      <c r="G5663" t="str">
        <v>-</v>
      </c>
    </row>
    <row r="5664">
      <c r="A5664">
        <v>5663</v>
      </c>
      <c r="B5664">
        <f>HYPERLINK("https://www.facebook.com/p/Tu%E1%BB%95i-tr%E1%BA%BB-C%C3%B4ng-an-huy%E1%BB%87n-B%C3%ACnh-Gia-100070618760059/", "Công an xã Hòa Bình  tỉnh Lạng Sơn")</f>
      </c>
      <c r="C5664" t="str">
        <v>https://www.facebook.com/p/Tu%E1%BB%95i-tr%E1%BA%BB-C%C3%B4ng-an-huy%E1%BB%87n-B%C3%ACnh-Gia-100070618760059/</v>
      </c>
      <c r="D5664" t="str">
        <v>-</v>
      </c>
      <c r="E5664" t="str">
        <v/>
      </c>
      <c r="F5664" t="str">
        <v>-</v>
      </c>
      <c r="G5664" t="str">
        <v>-</v>
      </c>
    </row>
    <row r="5665">
      <c r="A5665">
        <v>5664</v>
      </c>
      <c r="B5665">
        <f>HYPERLINK("https://langson.baohiemxahoi.gov.vn/vanban/Pages/default.aspx?ItemID=9813", "UBND Ủy ban nhân dân xã Hòa Bình  tỉnh Lạng Sơn")</f>
      </c>
      <c r="C5665" t="str">
        <v>https://langson.baohiemxahoi.gov.vn/vanban/Pages/default.aspx?ItemID=9813</v>
      </c>
      <c r="D5665" t="str">
        <v>-</v>
      </c>
      <c r="E5665" t="str">
        <v>-</v>
      </c>
      <c r="F5665" t="str">
        <v>-</v>
      </c>
      <c r="G5665" t="str">
        <v>-</v>
      </c>
    </row>
    <row r="5666">
      <c r="A5666">
        <v>5665</v>
      </c>
      <c r="B5666">
        <f>HYPERLINK("https://www.facebook.com/tuoitreconganhuyenvanquan/", "Công an xã Tú Xuyên  tỉnh Lạng Sơn")</f>
      </c>
      <c r="C5666" t="str">
        <v>https://www.facebook.com/tuoitreconganhuyenvanquan/</v>
      </c>
      <c r="D5666" t="str">
        <v>-</v>
      </c>
      <c r="E5666" t="str">
        <v/>
      </c>
      <c r="F5666" t="str">
        <v>-</v>
      </c>
      <c r="G5666" t="str">
        <v>-</v>
      </c>
    </row>
    <row r="5667">
      <c r="A5667">
        <v>5666</v>
      </c>
      <c r="B5667">
        <f>HYPERLINK("https://langson.toaan.gov.vn/webcenter/portal/langson/chitiettin?dDocName=TAND058602", "UBND Ủy ban nhân dân xã Tú Xuyên  tỉnh Lạng Sơn")</f>
      </c>
      <c r="C5667" t="str">
        <v>https://langson.toaan.gov.vn/webcenter/portal/langson/chitiettin?dDocName=TAND058602</v>
      </c>
      <c r="D5667" t="str">
        <v>-</v>
      </c>
      <c r="E5667" t="str">
        <v>-</v>
      </c>
      <c r="F5667" t="str">
        <v>-</v>
      </c>
      <c r="G5667" t="str">
        <v>-</v>
      </c>
    </row>
    <row r="5668">
      <c r="A5668">
        <v>5667</v>
      </c>
      <c r="B5668">
        <f>HYPERLINK("https://www.facebook.com/tuoitreconganhuyenvanquan/", "Công an xã Văn An  tỉnh Lạng Sơn")</f>
      </c>
      <c r="C5668" t="str">
        <v>https://www.facebook.com/tuoitreconganhuyenvanquan/</v>
      </c>
      <c r="D5668" t="str">
        <v>-</v>
      </c>
      <c r="E5668" t="str">
        <v/>
      </c>
      <c r="F5668" t="str">
        <v>-</v>
      </c>
      <c r="G5668" t="str">
        <v>-</v>
      </c>
    </row>
    <row r="5669">
      <c r="A5669">
        <v>5668</v>
      </c>
      <c r="B5669">
        <f>HYPERLINK("https://vanlang.langson.gov.vn/", "UBND Ủy ban nhân dân xã Văn An  tỉnh Lạng Sơn")</f>
      </c>
      <c r="C5669" t="str">
        <v>https://vanlang.langson.gov.vn/</v>
      </c>
      <c r="D5669" t="str">
        <v>-</v>
      </c>
      <c r="E5669" t="str">
        <v>-</v>
      </c>
      <c r="F5669" t="str">
        <v>-</v>
      </c>
      <c r="G5669" t="str">
        <v>-</v>
      </c>
    </row>
    <row r="5670">
      <c r="A5670">
        <v>5669</v>
      </c>
      <c r="B5670">
        <f>HYPERLINK("https://www.facebook.com/tuoitreconganlangson/", "Công an xã Đại An  tỉnh Lạng Sơn")</f>
      </c>
      <c r="C5670" t="str">
        <v>https://www.facebook.com/tuoitreconganlangson/</v>
      </c>
      <c r="D5670" t="str">
        <v>-</v>
      </c>
      <c r="E5670" t="str">
        <v/>
      </c>
      <c r="F5670" t="str">
        <v>-</v>
      </c>
      <c r="G5670" t="str">
        <v>-</v>
      </c>
    </row>
    <row r="5671">
      <c r="A5671">
        <v>5670</v>
      </c>
      <c r="B5671">
        <f>HYPERLINK("https://langson.gov.vn/", "UBND Ủy ban nhân dân xã Đại An  tỉnh Lạng Sơn")</f>
      </c>
      <c r="C5671" t="str">
        <v>https://langson.gov.vn/</v>
      </c>
      <c r="D5671" t="str">
        <v>-</v>
      </c>
      <c r="E5671" t="str">
        <v>-</v>
      </c>
      <c r="F5671" t="str">
        <v>-</v>
      </c>
      <c r="G5671" t="str">
        <v>-</v>
      </c>
    </row>
    <row r="5672">
      <c r="A5672">
        <v>5671</v>
      </c>
      <c r="B5672">
        <f>HYPERLINK("https://www.facebook.com/tuoitreconganlangson/", "Công an xã Khánh Khê  tỉnh Lạng Sơn")</f>
      </c>
      <c r="C5672" t="str">
        <v>https://www.facebook.com/tuoitreconganlangson/</v>
      </c>
      <c r="D5672" t="str">
        <v>-</v>
      </c>
      <c r="E5672" t="str">
        <v/>
      </c>
      <c r="F5672" t="str">
        <v>-</v>
      </c>
      <c r="G5672" t="str">
        <v>-</v>
      </c>
    </row>
    <row r="5673">
      <c r="A5673">
        <v>5672</v>
      </c>
      <c r="B5673">
        <f>HYPERLINK("https://vanquan.langson.gov.vn/", "UBND Ủy ban nhân dân xã Khánh Khê  tỉnh Lạng Sơn")</f>
      </c>
      <c r="C5673" t="str">
        <v>https://vanquan.langson.gov.vn/</v>
      </c>
      <c r="D5673" t="str">
        <v>-</v>
      </c>
      <c r="E5673" t="str">
        <v>-</v>
      </c>
      <c r="F5673" t="str">
        <v>-</v>
      </c>
      <c r="G5673" t="str">
        <v>-</v>
      </c>
    </row>
    <row r="5674">
      <c r="A5674">
        <v>5673</v>
      </c>
      <c r="B5674">
        <f>HYPERLINK("https://www.facebook.com/tuoitreconganlangson/", "Công an xã Chu Túc  tỉnh Lạng Sơn")</f>
      </c>
      <c r="C5674" t="str">
        <v>https://www.facebook.com/tuoitreconganlangson/</v>
      </c>
      <c r="D5674" t="str">
        <v>-</v>
      </c>
      <c r="E5674" t="str">
        <v/>
      </c>
      <c r="F5674" t="str">
        <v>-</v>
      </c>
      <c r="G5674" t="str">
        <v>-</v>
      </c>
    </row>
    <row r="5675">
      <c r="A5675">
        <v>5674</v>
      </c>
      <c r="B5675">
        <f>HYPERLINK("https://langson.gov.vn/", "UBND Ủy ban nhân dân xã Chu Túc  tỉnh Lạng Sơn")</f>
      </c>
      <c r="C5675" t="str">
        <v>https://langson.gov.vn/</v>
      </c>
      <c r="D5675" t="str">
        <v>-</v>
      </c>
      <c r="E5675" t="str">
        <v>-</v>
      </c>
      <c r="F5675" t="str">
        <v>-</v>
      </c>
      <c r="G5675" t="str">
        <v>-</v>
      </c>
    </row>
    <row r="5676">
      <c r="A5676">
        <v>5675</v>
      </c>
      <c r="B5676">
        <f>HYPERLINK("https://www.facebook.com/tuoitreconganhuyenvanquan/", "Công an xã Lương Năng  tỉnh Lạng Sơn")</f>
      </c>
      <c r="C5676" t="str">
        <v>https://www.facebook.com/tuoitreconganhuyenvanquan/</v>
      </c>
      <c r="D5676" t="str">
        <v>-</v>
      </c>
      <c r="E5676" t="str">
        <v/>
      </c>
      <c r="F5676" t="str">
        <v>-</v>
      </c>
      <c r="G5676" t="str">
        <v>-</v>
      </c>
    </row>
    <row r="5677">
      <c r="A5677">
        <v>5676</v>
      </c>
      <c r="B5677">
        <f>HYPERLINK("https://vanquan.langson.gov.vn/", "UBND Ủy ban nhân dân xã Lương Năng  tỉnh Lạng Sơn")</f>
      </c>
      <c r="C5677" t="str">
        <v>https://vanquan.langson.gov.vn/</v>
      </c>
      <c r="D5677" t="str">
        <v>-</v>
      </c>
      <c r="E5677" t="str">
        <v>-</v>
      </c>
      <c r="F5677" t="str">
        <v>-</v>
      </c>
      <c r="G5677" t="str">
        <v>-</v>
      </c>
    </row>
    <row r="5678">
      <c r="A5678">
        <v>5677</v>
      </c>
      <c r="B5678" t="str">
        <v>Công an xã Đồng Giáp  tỉnh Lạng Sơn</v>
      </c>
      <c r="C5678" t="str">
        <v>-</v>
      </c>
      <c r="D5678" t="str">
        <v>-</v>
      </c>
      <c r="E5678" t="str">
        <v/>
      </c>
      <c r="F5678" t="str">
        <v>-</v>
      </c>
      <c r="G5678" t="str">
        <v>-</v>
      </c>
    </row>
    <row r="5679">
      <c r="A5679">
        <v>5678</v>
      </c>
      <c r="B5679">
        <f>HYPERLINK("https://dongson.yenthe.bacgiang.gov.vn/gioi-thieu", "UBND Ủy ban nhân dân xã Đồng Giáp  tỉnh Lạng Sơn")</f>
      </c>
      <c r="C5679" t="str">
        <v>https://dongson.yenthe.bacgiang.gov.vn/gioi-thieu</v>
      </c>
      <c r="D5679" t="str">
        <v>-</v>
      </c>
      <c r="E5679" t="str">
        <v>-</v>
      </c>
      <c r="F5679" t="str">
        <v>-</v>
      </c>
      <c r="G5679" t="str">
        <v>-</v>
      </c>
    </row>
    <row r="5680">
      <c r="A5680">
        <v>5679</v>
      </c>
      <c r="B5680">
        <f>HYPERLINK("https://www.facebook.com/tuoitreconganlangson/", "Công an xã Xuân Mai  tỉnh Lạng Sơn")</f>
      </c>
      <c r="C5680" t="str">
        <v>https://www.facebook.com/tuoitreconganlangson/</v>
      </c>
      <c r="D5680" t="str">
        <v>-</v>
      </c>
      <c r="E5680" t="str">
        <v/>
      </c>
      <c r="F5680" t="str">
        <v>-</v>
      </c>
      <c r="G5680" t="str">
        <v>-</v>
      </c>
    </row>
    <row r="5681">
      <c r="A5681">
        <v>5680</v>
      </c>
      <c r="B5681">
        <f>HYPERLINK("https://langson.gov.vn/", "UBND Ủy ban nhân dân xã Xuân Mai  tỉnh Lạng Sơn")</f>
      </c>
      <c r="C5681" t="str">
        <v>https://langson.gov.vn/</v>
      </c>
      <c r="D5681" t="str">
        <v>-</v>
      </c>
      <c r="E5681" t="str">
        <v>-</v>
      </c>
      <c r="F5681" t="str">
        <v>-</v>
      </c>
      <c r="G5681" t="str">
        <v>-</v>
      </c>
    </row>
    <row r="5682">
      <c r="A5682">
        <v>5681</v>
      </c>
      <c r="B5682">
        <f>HYPERLINK("https://www.facebook.com/tuoitreconganhuyenvanquan/", "Công an xã Tràng Các  tỉnh Lạng Sơn")</f>
      </c>
      <c r="C5682" t="str">
        <v>https://www.facebook.com/tuoitreconganhuyenvanquan/</v>
      </c>
      <c r="D5682" t="str">
        <v>-</v>
      </c>
      <c r="E5682" t="str">
        <v/>
      </c>
      <c r="F5682" t="str">
        <v>-</v>
      </c>
      <c r="G5682" t="str">
        <v>-</v>
      </c>
    </row>
    <row r="5683">
      <c r="A5683">
        <v>5682</v>
      </c>
      <c r="B5683">
        <f>HYPERLINK("https://trangdinh.langson.gov.vn/", "UBND Ủy ban nhân dân xã Tràng Các  tỉnh Lạng Sơn")</f>
      </c>
      <c r="C5683" t="str">
        <v>https://trangdinh.langson.gov.vn/</v>
      </c>
      <c r="D5683" t="str">
        <v>-</v>
      </c>
      <c r="E5683" t="str">
        <v>-</v>
      </c>
      <c r="F5683" t="str">
        <v>-</v>
      </c>
      <c r="G5683" t="str">
        <v>-</v>
      </c>
    </row>
    <row r="5684">
      <c r="A5684">
        <v>5683</v>
      </c>
      <c r="B5684">
        <f>HYPERLINK("https://www.facebook.com/tuoitreconganhuyenvanquan/", "Công an xã Tràng Sơn  tỉnh Lạng Sơn")</f>
      </c>
      <c r="C5684" t="str">
        <v>https://www.facebook.com/tuoitreconganhuyenvanquan/</v>
      </c>
      <c r="D5684" t="str">
        <v>-</v>
      </c>
      <c r="E5684" t="str">
        <v/>
      </c>
      <c r="F5684" t="str">
        <v>-</v>
      </c>
      <c r="G5684" t="str">
        <v>-</v>
      </c>
    </row>
    <row r="5685">
      <c r="A5685">
        <v>5684</v>
      </c>
      <c r="B5685">
        <f>HYPERLINK("https://trangdinh.langson.gov.vn/", "UBND Ủy ban nhân dân xã Tràng Sơn  tỉnh Lạng Sơn")</f>
      </c>
      <c r="C5685" t="str">
        <v>https://trangdinh.langson.gov.vn/</v>
      </c>
      <c r="D5685" t="str">
        <v>-</v>
      </c>
      <c r="E5685" t="str">
        <v>-</v>
      </c>
      <c r="F5685" t="str">
        <v>-</v>
      </c>
      <c r="G5685" t="str">
        <v>-</v>
      </c>
    </row>
    <row r="5686">
      <c r="A5686">
        <v>5685</v>
      </c>
      <c r="B5686">
        <f>HYPERLINK("https://www.facebook.com/tuoitreconganhuyenvanquan/", "Công an xã Tân Đoàn  tỉnh Lạng Sơn")</f>
      </c>
      <c r="C5686" t="str">
        <v>https://www.facebook.com/tuoitreconganhuyenvanquan/</v>
      </c>
      <c r="D5686" t="str">
        <v>-</v>
      </c>
      <c r="E5686" t="str">
        <v/>
      </c>
      <c r="F5686" t="str">
        <v>-</v>
      </c>
      <c r="G5686" t="str">
        <v>-</v>
      </c>
    </row>
    <row r="5687">
      <c r="A5687">
        <v>5686</v>
      </c>
      <c r="B5687">
        <f>HYPERLINK("https://vanlang.langson.gov.vn/", "UBND Ủy ban nhân dân xã Tân Đoàn  tỉnh Lạng Sơn")</f>
      </c>
      <c r="C5687" t="str">
        <v>https://vanlang.langson.gov.vn/</v>
      </c>
      <c r="D5687" t="str">
        <v>-</v>
      </c>
      <c r="E5687" t="str">
        <v>-</v>
      </c>
      <c r="F5687" t="str">
        <v>-</v>
      </c>
      <c r="G5687" t="str">
        <v>-</v>
      </c>
    </row>
    <row r="5688">
      <c r="A5688">
        <v>5687</v>
      </c>
      <c r="B5688">
        <f>HYPERLINK("https://www.facebook.com/tuoitreconganhuyenvanquan/", "Công an xã Bình Phúc  tỉnh Lạng Sơn")</f>
      </c>
      <c r="C5688" t="str">
        <v>https://www.facebook.com/tuoitreconganhuyenvanquan/</v>
      </c>
      <c r="D5688" t="str">
        <v>-</v>
      </c>
      <c r="E5688" t="str">
        <v/>
      </c>
      <c r="F5688" t="str">
        <v>-</v>
      </c>
      <c r="G5688" t="str">
        <v>-</v>
      </c>
    </row>
    <row r="5689">
      <c r="A5689">
        <v>5688</v>
      </c>
      <c r="B5689">
        <f>HYPERLINK("https://vanquan.langson.gov.vn/", "UBND Ủy ban nhân dân xã Bình Phúc  tỉnh Lạng Sơn")</f>
      </c>
      <c r="C5689" t="str">
        <v>https://vanquan.langson.gov.vn/</v>
      </c>
      <c r="D5689" t="str">
        <v>-</v>
      </c>
      <c r="E5689" t="str">
        <v>-</v>
      </c>
      <c r="F5689" t="str">
        <v>-</v>
      </c>
      <c r="G5689" t="str">
        <v>-</v>
      </c>
    </row>
    <row r="5690">
      <c r="A5690">
        <v>5689</v>
      </c>
      <c r="B5690">
        <f>HYPERLINK("https://www.facebook.com/tuoitreconganlangson/", "Công an xã Tri Lễ  tỉnh Lạng Sơn")</f>
      </c>
      <c r="C5690" t="str">
        <v>https://www.facebook.com/tuoitreconganlangson/</v>
      </c>
      <c r="D5690" t="str">
        <v>-</v>
      </c>
      <c r="E5690" t="str">
        <v/>
      </c>
      <c r="F5690" t="str">
        <v>-</v>
      </c>
      <c r="G5690" t="str">
        <v>-</v>
      </c>
    </row>
    <row r="5691">
      <c r="A5691">
        <v>5690</v>
      </c>
      <c r="B5691">
        <f>HYPERLINK("https://langson.gov.vn/", "UBND Ủy ban nhân dân xã Tri Lễ  tỉnh Lạng Sơn")</f>
      </c>
      <c r="C5691" t="str">
        <v>https://langson.gov.vn/</v>
      </c>
      <c r="D5691" t="str">
        <v>-</v>
      </c>
      <c r="E5691" t="str">
        <v>-</v>
      </c>
      <c r="F5691" t="str">
        <v>-</v>
      </c>
      <c r="G5691" t="str">
        <v>-</v>
      </c>
    </row>
    <row r="5692">
      <c r="A5692">
        <v>5691</v>
      </c>
      <c r="B5692">
        <f>HYPERLINK("https://www.facebook.com/p/C%C3%B4ng-an-x%C3%A3-Tr%C3%A0ng-Ph%C3%A1i-huy%E1%BB%87n-V%C4%83n-Quan-t%E1%BB%89nh-L%E1%BA%A1ng-S%C6%A1n-100088383233406/", "Công an xã Tràng Phái  tỉnh Lạng Sơn")</f>
      </c>
      <c r="C5692" t="str">
        <v>https://www.facebook.com/p/C%C3%B4ng-an-x%C3%A3-Tr%C3%A0ng-Ph%C3%A1i-huy%E1%BB%87n-V%C4%83n-Quan-t%E1%BB%89nh-L%E1%BA%A1ng-S%C6%A1n-100088383233406/</v>
      </c>
      <c r="D5692" t="str">
        <v>-</v>
      </c>
      <c r="E5692" t="str">
        <v/>
      </c>
      <c r="F5692" t="str">
        <v>-</v>
      </c>
      <c r="G5692" t="str">
        <v>-</v>
      </c>
    </row>
    <row r="5693">
      <c r="A5693">
        <v>5692</v>
      </c>
      <c r="B5693">
        <f>HYPERLINK("https://vanquan.langson.gov.vn/", "UBND Ủy ban nhân dân xã Tràng Phái  tỉnh Lạng Sơn")</f>
      </c>
      <c r="C5693" t="str">
        <v>https://vanquan.langson.gov.vn/</v>
      </c>
      <c r="D5693" t="str">
        <v>-</v>
      </c>
      <c r="E5693" t="str">
        <v>-</v>
      </c>
      <c r="F5693" t="str">
        <v>-</v>
      </c>
      <c r="G5693" t="str">
        <v>-</v>
      </c>
    </row>
    <row r="5694">
      <c r="A5694">
        <v>5693</v>
      </c>
      <c r="B5694">
        <f>HYPERLINK("https://www.facebook.com/tuoitreconganhuyenvanquan/", "Công an xã Yên Phúc  tỉnh Lạng Sơn")</f>
      </c>
      <c r="C5694" t="str">
        <v>https://www.facebook.com/tuoitreconganhuyenvanquan/</v>
      </c>
      <c r="D5694" t="str">
        <v>-</v>
      </c>
      <c r="E5694" t="str">
        <v/>
      </c>
      <c r="F5694" t="str">
        <v>-</v>
      </c>
      <c r="G5694" t="str">
        <v>-</v>
      </c>
    </row>
    <row r="5695">
      <c r="A5695">
        <v>5694</v>
      </c>
      <c r="B5695">
        <f>HYPERLINK("https://vanquan.langson.gov.vn/upload/105421/20240619/2__QD_phe_duyet_Ke_hoach_LCNT__2__9cfc9.pdf", "UBND Ủy ban nhân dân xã Yên Phúc  tỉnh Lạng Sơn")</f>
      </c>
      <c r="C5695" t="str">
        <v>https://vanquan.langson.gov.vn/upload/105421/20240619/2__QD_phe_duyet_Ke_hoach_LCNT__2__9cfc9.pdf</v>
      </c>
      <c r="D5695" t="str">
        <v>-</v>
      </c>
      <c r="E5695" t="str">
        <v>-</v>
      </c>
      <c r="F5695" t="str">
        <v>-</v>
      </c>
      <c r="G5695" t="str">
        <v>-</v>
      </c>
    </row>
    <row r="5696">
      <c r="A5696">
        <v>5695</v>
      </c>
      <c r="B5696">
        <f>HYPERLINK("https://www.facebook.com/p/C%C3%B4ng-an-x%C3%A3-H%E1%BB%AFu-L%E1%BB%85-V%C4%83n-Quan-L%E1%BA%A1ng-S%C6%A1n-100067507393733/", "Công an xã Hữu Lễ  tỉnh Lạng Sơn")</f>
      </c>
      <c r="C5696" t="str">
        <v>https://www.facebook.com/p/C%C3%B4ng-an-x%C3%A3-H%E1%BB%AFu-L%E1%BB%85-V%C4%83n-Quan-L%E1%BA%A1ng-S%C6%A1n-100067507393733/</v>
      </c>
      <c r="D5696" t="str">
        <v>-</v>
      </c>
      <c r="E5696" t="str">
        <v/>
      </c>
      <c r="F5696" t="str">
        <v>-</v>
      </c>
      <c r="G5696" t="str">
        <v>-</v>
      </c>
    </row>
    <row r="5697">
      <c r="A5697">
        <v>5696</v>
      </c>
      <c r="B5697">
        <f>HYPERLINK("https://huulung.langson.gov.vn/", "UBND Ủy ban nhân dân xã Hữu Lễ  tỉnh Lạng Sơn")</f>
      </c>
      <c r="C5697" t="str">
        <v>https://huulung.langson.gov.vn/</v>
      </c>
      <c r="D5697" t="str">
        <v>-</v>
      </c>
      <c r="E5697" t="str">
        <v>-</v>
      </c>
      <c r="F5697" t="str">
        <v>-</v>
      </c>
      <c r="G5697" t="str">
        <v>-</v>
      </c>
    </row>
    <row r="5698">
      <c r="A5698">
        <v>5697</v>
      </c>
      <c r="B5698">
        <f>HYPERLINK("https://www.facebook.com/chidoan.congan/?locale=vi_VN", "Công an thị trấn Bắc Sơn  tỉnh Lạng Sơn")</f>
      </c>
      <c r="C5698" t="str">
        <v>https://www.facebook.com/chidoan.congan/?locale=vi_VN</v>
      </c>
      <c r="D5698" t="str">
        <v>-</v>
      </c>
      <c r="E5698" t="str">
        <v/>
      </c>
      <c r="F5698" t="str">
        <v>-</v>
      </c>
      <c r="G5698" t="str">
        <v>-</v>
      </c>
    </row>
    <row r="5699">
      <c r="A5699">
        <v>5698</v>
      </c>
      <c r="B5699">
        <f>HYPERLINK("https://bacson.langson.gov.vn/", "UBND Ủy ban nhân dân thị trấn Bắc Sơn  tỉnh Lạng Sơn")</f>
      </c>
      <c r="C5699" t="str">
        <v>https://bacson.langson.gov.vn/</v>
      </c>
      <c r="D5699" t="str">
        <v>-</v>
      </c>
      <c r="E5699" t="str">
        <v>-</v>
      </c>
      <c r="F5699" t="str">
        <v>-</v>
      </c>
      <c r="G5699" t="str">
        <v>-</v>
      </c>
    </row>
    <row r="5700">
      <c r="A5700">
        <v>5699</v>
      </c>
      <c r="B5700">
        <f>HYPERLINK("https://www.facebook.com/p/C%C3%B4ng-an-x%C3%A3-Long-%C4%90%E1%BB%91ng-huy%E1%BB%87n-B%E1%BA%AFc-S%C6%A1n-t%E1%BB%89nh-L%E1%BA%A1ng-S%C6%A1n-100083189385968/", "Công an xã Long Đống  tỉnh Lạng Sơn")</f>
      </c>
      <c r="C5700" t="str">
        <v>https://www.facebook.com/p/C%C3%B4ng-an-x%C3%A3-Long-%C4%90%E1%BB%91ng-huy%E1%BB%87n-B%E1%BA%AFc-S%C6%A1n-t%E1%BB%89nh-L%E1%BA%A1ng-S%C6%A1n-100083189385968/</v>
      </c>
      <c r="D5700" t="str">
        <v>-</v>
      </c>
      <c r="E5700" t="str">
        <v/>
      </c>
      <c r="F5700" t="str">
        <v>-</v>
      </c>
      <c r="G5700" t="str">
        <v>-</v>
      </c>
    </row>
    <row r="5701">
      <c r="A5701">
        <v>5700</v>
      </c>
      <c r="B5701">
        <f>HYPERLINK("https://bacson.langson.gov.vn/", "UBND Ủy ban nhân dân xã Long Đống  tỉnh Lạng Sơn")</f>
      </c>
      <c r="C5701" t="str">
        <v>https://bacson.langson.gov.vn/</v>
      </c>
      <c r="D5701" t="str">
        <v>-</v>
      </c>
      <c r="E5701" t="str">
        <v>-</v>
      </c>
      <c r="F5701" t="str">
        <v>-</v>
      </c>
      <c r="G5701" t="str">
        <v>-</v>
      </c>
    </row>
    <row r="5702">
      <c r="A5702">
        <v>5701</v>
      </c>
      <c r="B5702">
        <f>HYPERLINK("https://www.facebook.com/100082912197725", "Công an xã Vạn Thủy  tỉnh Lạng Sơn")</f>
      </c>
      <c r="C5702" t="str">
        <v>https://www.facebook.com/100082912197725</v>
      </c>
      <c r="D5702" t="str">
        <v>-</v>
      </c>
      <c r="E5702" t="str">
        <v>0989611812</v>
      </c>
      <c r="F5702" t="str">
        <v>-</v>
      </c>
      <c r="G5702" t="str">
        <v>-</v>
      </c>
    </row>
    <row r="5703">
      <c r="A5703">
        <v>5702</v>
      </c>
      <c r="B5703">
        <f>HYPERLINK("https://bacson.langson.gov.vn/", "UBND Ủy ban nhân dân xã Vạn Thủy  tỉnh Lạng Sơn")</f>
      </c>
      <c r="C5703" t="str">
        <v>https://bacson.langson.gov.vn/</v>
      </c>
      <c r="D5703" t="str">
        <v>-</v>
      </c>
      <c r="E5703" t="str">
        <v>-</v>
      </c>
      <c r="F5703" t="str">
        <v>-</v>
      </c>
      <c r="G5703" t="str">
        <v>-</v>
      </c>
    </row>
    <row r="5704">
      <c r="A5704">
        <v>5703</v>
      </c>
      <c r="B5704">
        <f>HYPERLINK("https://www.facebook.com/chidoan.congan/", "Công an xã Quỳnh Sơn  tỉnh Lạng Sơn")</f>
      </c>
      <c r="C5704" t="str">
        <v>https://www.facebook.com/chidoan.congan/</v>
      </c>
      <c r="D5704" t="str">
        <v>-</v>
      </c>
      <c r="E5704" t="str">
        <v/>
      </c>
      <c r="F5704" t="str">
        <v>-</v>
      </c>
      <c r="G5704" t="str">
        <v>-</v>
      </c>
    </row>
    <row r="5705">
      <c r="A5705">
        <v>5704</v>
      </c>
      <c r="B5705">
        <f>HYPERLINK("https://langson.gov.vn/", "UBND Ủy ban nhân dân xã Quỳnh Sơn  tỉnh Lạng Sơn")</f>
      </c>
      <c r="C5705" t="str">
        <v>https://langson.gov.vn/</v>
      </c>
      <c r="D5705" t="str">
        <v>-</v>
      </c>
      <c r="E5705" t="str">
        <v>-</v>
      </c>
      <c r="F5705" t="str">
        <v>-</v>
      </c>
      <c r="G5705" t="str">
        <v>-</v>
      </c>
    </row>
    <row r="5706">
      <c r="A5706">
        <v>5705</v>
      </c>
      <c r="B5706">
        <f>HYPERLINK("https://www.facebook.com/p/Tu%E1%BB%95i-tr%E1%BA%BB-C%C3%B4ng-an-huy%E1%BB%87n-B%C3%ACnh-Gia-100070618760059/", "Công an xã Đồng ý  tỉnh Lạng Sơn")</f>
      </c>
      <c r="C5706" t="str">
        <v>https://www.facebook.com/p/Tu%E1%BB%95i-tr%E1%BA%BB-C%C3%B4ng-an-huy%E1%BB%87n-B%C3%ACnh-Gia-100070618760059/</v>
      </c>
      <c r="D5706" t="str">
        <v>-</v>
      </c>
      <c r="E5706" t="str">
        <v/>
      </c>
      <c r="F5706" t="str">
        <v>-</v>
      </c>
      <c r="G5706" t="str">
        <v>-</v>
      </c>
    </row>
    <row r="5707">
      <c r="A5707">
        <v>5706</v>
      </c>
      <c r="B5707">
        <f>HYPERLINK("https://langson.gov.vn/", "UBND Ủy ban nhân dân xã Đồng ý  tỉnh Lạng Sơn")</f>
      </c>
      <c r="C5707" t="str">
        <v>https://langson.gov.vn/</v>
      </c>
      <c r="D5707" t="str">
        <v>-</v>
      </c>
      <c r="E5707" t="str">
        <v>-</v>
      </c>
      <c r="F5707" t="str">
        <v>-</v>
      </c>
      <c r="G5707" t="str">
        <v>-</v>
      </c>
    </row>
    <row r="5708">
      <c r="A5708">
        <v>5707</v>
      </c>
      <c r="B5708">
        <f>HYPERLINK("https://www.facebook.com/tuoitreconganlangson/", "Công an xã Tân Tri  tỉnh Lạng Sơn")</f>
      </c>
      <c r="C5708" t="str">
        <v>https://www.facebook.com/tuoitreconganlangson/</v>
      </c>
      <c r="D5708" t="str">
        <v>-</v>
      </c>
      <c r="E5708" t="str">
        <v/>
      </c>
      <c r="F5708" t="str">
        <v>-</v>
      </c>
      <c r="G5708" t="str">
        <v>-</v>
      </c>
    </row>
    <row r="5709">
      <c r="A5709">
        <v>5708</v>
      </c>
      <c r="B5709">
        <f>HYPERLINK("https://langson.gov.vn/", "UBND Ủy ban nhân dân xã Tân Tri  tỉnh Lạng Sơn")</f>
      </c>
      <c r="C5709" t="str">
        <v>https://langson.gov.vn/</v>
      </c>
      <c r="D5709" t="str">
        <v>-</v>
      </c>
      <c r="E5709" t="str">
        <v>-</v>
      </c>
      <c r="F5709" t="str">
        <v>-</v>
      </c>
      <c r="G5709" t="str">
        <v>-</v>
      </c>
    </row>
    <row r="5710">
      <c r="A5710">
        <v>5709</v>
      </c>
      <c r="B5710">
        <f>HYPERLINK("https://www.facebook.com/chidoan.congan/?locale=vi_VN", "Công an xã Bắc Sơn  tỉnh Lạng Sơn")</f>
      </c>
      <c r="C5710" t="str">
        <v>https://www.facebook.com/chidoan.congan/?locale=vi_VN</v>
      </c>
      <c r="D5710" t="str">
        <v>-</v>
      </c>
      <c r="E5710" t="str">
        <v/>
      </c>
      <c r="F5710" t="str">
        <v>-</v>
      </c>
      <c r="G5710" t="str">
        <v>-</v>
      </c>
    </row>
    <row r="5711">
      <c r="A5711">
        <v>5710</v>
      </c>
      <c r="B5711">
        <f>HYPERLINK("https://bacson.langson.gov.vn/", "UBND Ủy ban nhân dân xã Bắc Sơn  tỉnh Lạng Sơn")</f>
      </c>
      <c r="C5711" t="str">
        <v>https://bacson.langson.gov.vn/</v>
      </c>
      <c r="D5711" t="str">
        <v>-</v>
      </c>
      <c r="E5711" t="str">
        <v>-</v>
      </c>
      <c r="F5711" t="str">
        <v>-</v>
      </c>
      <c r="G5711" t="str">
        <v>-</v>
      </c>
    </row>
    <row r="5712">
      <c r="A5712">
        <v>5711</v>
      </c>
      <c r="B5712">
        <f>HYPERLINK("https://www.facebook.com/tuoitreconganhuyenvanquan/", "Công an xã Hữu Vĩnh  tỉnh Lạng Sơn")</f>
      </c>
      <c r="C5712" t="str">
        <v>https://www.facebook.com/tuoitreconganhuyenvanquan/</v>
      </c>
      <c r="D5712" t="str">
        <v>-</v>
      </c>
      <c r="E5712" t="str">
        <v/>
      </c>
      <c r="F5712" t="str">
        <v>-</v>
      </c>
      <c r="G5712" t="str">
        <v>-</v>
      </c>
    </row>
    <row r="5713">
      <c r="A5713">
        <v>5712</v>
      </c>
      <c r="B5713">
        <f>HYPERLINK("https://huulung.langson.gov.vn/", "UBND Ủy ban nhân dân xã Hữu Vĩnh  tỉnh Lạng Sơn")</f>
      </c>
      <c r="C5713" t="str">
        <v>https://huulung.langson.gov.vn/</v>
      </c>
      <c r="D5713" t="str">
        <v>-</v>
      </c>
      <c r="E5713" t="str">
        <v>-</v>
      </c>
      <c r="F5713" t="str">
        <v>-</v>
      </c>
      <c r="G5713" t="str">
        <v>-</v>
      </c>
    </row>
    <row r="5714">
      <c r="A5714">
        <v>5713</v>
      </c>
      <c r="B5714">
        <f>HYPERLINK("https://www.facebook.com/p/C%C3%B4ng-an-x%C3%A3-H%C6%B0ng-V%C5%A9-100069118393834/", "Công an xã Hưng Vũ  tỉnh Lạng Sơn")</f>
      </c>
      <c r="C5714" t="str">
        <v>https://www.facebook.com/p/C%C3%B4ng-an-x%C3%A3-H%C6%B0ng-V%C5%A9-100069118393834/</v>
      </c>
      <c r="D5714" t="str">
        <v>-</v>
      </c>
      <c r="E5714" t="str">
        <v/>
      </c>
      <c r="F5714" t="str">
        <v>-</v>
      </c>
      <c r="G5714" t="str">
        <v>-</v>
      </c>
    </row>
    <row r="5715">
      <c r="A5715">
        <v>5714</v>
      </c>
      <c r="B5715">
        <f>HYPERLINK("https://langson.gov.vn/", "UBND Ủy ban nhân dân xã Hưng Vũ  tỉnh Lạng Sơn")</f>
      </c>
      <c r="C5715" t="str">
        <v>https://langson.gov.vn/</v>
      </c>
      <c r="D5715" t="str">
        <v>-</v>
      </c>
      <c r="E5715" t="str">
        <v>-</v>
      </c>
      <c r="F5715" t="str">
        <v>-</v>
      </c>
      <c r="G5715" t="str">
        <v>-</v>
      </c>
    </row>
    <row r="5716">
      <c r="A5716">
        <v>5715</v>
      </c>
      <c r="B5716">
        <f>HYPERLINK("https://www.facebook.com/trangthongtinxatanlap/?locale=vi_VN", "Công an xã Tân Lập  tỉnh Lạng Sơn")</f>
      </c>
      <c r="C5716" t="str">
        <v>https://www.facebook.com/trangthongtinxatanlap/?locale=vi_VN</v>
      </c>
      <c r="D5716" t="str">
        <v>-</v>
      </c>
      <c r="E5716" t="str">
        <v/>
      </c>
      <c r="F5716" t="str">
        <v>-</v>
      </c>
      <c r="G5716" t="str">
        <v>-</v>
      </c>
    </row>
    <row r="5717">
      <c r="A5717">
        <v>5716</v>
      </c>
      <c r="B5717">
        <f>HYPERLINK("https://xatanlap.hoabinh.gov.vn/", "UBND Ủy ban nhân dân xã Tân Lập  tỉnh Lạng Sơn")</f>
      </c>
      <c r="C5717" t="str">
        <v>https://xatanlap.hoabinh.gov.vn/</v>
      </c>
      <c r="D5717" t="str">
        <v>-</v>
      </c>
      <c r="E5717" t="str">
        <v>-</v>
      </c>
      <c r="F5717" t="str">
        <v>-</v>
      </c>
      <c r="G5717" t="str">
        <v>-</v>
      </c>
    </row>
    <row r="5718">
      <c r="A5718">
        <v>5717</v>
      </c>
      <c r="B5718">
        <f>HYPERLINK("https://www.facebook.com/p/C%C3%B4ng-an-x%C3%A3-V%C5%A9-S%C6%A1n-huy%E1%BB%87n-B%E1%BA%AFc-S%C6%A1n-t%E1%BB%89nh-L%E1%BA%A1ng-S%C6%A1n-100081483235392/", "Công an xã Vũ Sơn  tỉnh Lạng Sơn")</f>
      </c>
      <c r="C5718" t="str">
        <v>https://www.facebook.com/p/C%C3%B4ng-an-x%C3%A3-V%C5%A9-S%C6%A1n-huy%E1%BB%87n-B%E1%BA%AFc-S%C6%A1n-t%E1%BB%89nh-L%E1%BA%A1ng-S%C6%A1n-100081483235392/</v>
      </c>
      <c r="D5718" t="str">
        <v>-</v>
      </c>
      <c r="E5718" t="str">
        <v/>
      </c>
      <c r="F5718" t="str">
        <v>-</v>
      </c>
      <c r="G5718" t="str">
        <v>-</v>
      </c>
    </row>
    <row r="5719">
      <c r="A5719">
        <v>5718</v>
      </c>
      <c r="B5719">
        <f>HYPERLINK("http://sonn.langson.gov.vn/thong-tin-chuyen-nganh/nong-thon-moi-khuyen-nong/xa-vu-son-huyen-bac-son-don-nhan-bang-cong-nhan-xa-dat-chuan-ntm-nang-cao-nam-2023.html", "UBND Ủy ban nhân dân xã Vũ Sơn  tỉnh Lạng Sơn")</f>
      </c>
      <c r="C5719" t="str">
        <v>http://sonn.langson.gov.vn/thong-tin-chuyen-nganh/nong-thon-moi-khuyen-nong/xa-vu-son-huyen-bac-son-don-nhan-bang-cong-nhan-xa-dat-chuan-ntm-nang-cao-nam-2023.html</v>
      </c>
      <c r="D5719" t="str">
        <v>-</v>
      </c>
      <c r="E5719" t="str">
        <v>-</v>
      </c>
      <c r="F5719" t="str">
        <v>-</v>
      </c>
      <c r="G5719" t="str">
        <v>-</v>
      </c>
    </row>
    <row r="5720">
      <c r="A5720">
        <v>5719</v>
      </c>
      <c r="B5720">
        <f>HYPERLINK("https://www.facebook.com/p/C%C3%B4ng-an-x%C3%A3-V%C5%A9-S%C6%A1n-huy%E1%BB%87n-B%E1%BA%AFc-S%C6%A1n-t%E1%BB%89nh-L%E1%BA%A1ng-S%C6%A1n-100081483235392/", "Công an xã Chiêu Vũ  tỉnh Lạng Sơn")</f>
      </c>
      <c r="C5720" t="str">
        <v>https://www.facebook.com/p/C%C3%B4ng-an-x%C3%A3-V%C5%A9-S%C6%A1n-huy%E1%BB%87n-B%E1%BA%AFc-S%C6%A1n-t%E1%BB%89nh-L%E1%BA%A1ng-S%C6%A1n-100081483235392/</v>
      </c>
      <c r="D5720" t="str">
        <v>-</v>
      </c>
      <c r="E5720" t="str">
        <v/>
      </c>
      <c r="F5720" t="str">
        <v>-</v>
      </c>
      <c r="G5720" t="str">
        <v>-</v>
      </c>
    </row>
    <row r="5721">
      <c r="A5721">
        <v>5720</v>
      </c>
      <c r="B5721">
        <f>HYPERLINK("https://bacson.langson.gov.vn/", "UBND Ủy ban nhân dân xã Chiêu Vũ  tỉnh Lạng Sơn")</f>
      </c>
      <c r="C5721" t="str">
        <v>https://bacson.langson.gov.vn/</v>
      </c>
      <c r="D5721" t="str">
        <v>-</v>
      </c>
      <c r="E5721" t="str">
        <v>-</v>
      </c>
      <c r="F5721" t="str">
        <v>-</v>
      </c>
      <c r="G5721" t="str">
        <v>-</v>
      </c>
    </row>
    <row r="5722">
      <c r="A5722">
        <v>5721</v>
      </c>
      <c r="B5722">
        <f>HYPERLINK("https://www.facebook.com/p/C%C3%B4ng-an-x%C3%A3-T%C3%A2n-H%C6%B0%C6%A1ng-huy%E1%BB%87n-B%E1%BA%AFc-S%C6%A1n-t%E1%BB%89nh-L%E1%BA%A1ng-S%C6%A1n-100079190941271/?locale=vi_VN", "Công an xã Tân Hương  tỉnh Lạng Sơn")</f>
      </c>
      <c r="C5722" t="str">
        <v>https://www.facebook.com/p/C%C3%B4ng-an-x%C3%A3-T%C3%A2n-H%C6%B0%C6%A1ng-huy%E1%BB%87n-B%E1%BA%AFc-S%C6%A1n-t%E1%BB%89nh-L%E1%BA%A1ng-S%C6%A1n-100079190941271/?locale=vi_VN</v>
      </c>
      <c r="D5722" t="str">
        <v>-</v>
      </c>
      <c r="E5722" t="str">
        <v/>
      </c>
      <c r="F5722" t="str">
        <v>-</v>
      </c>
      <c r="G5722" t="str">
        <v>-</v>
      </c>
    </row>
    <row r="5723">
      <c r="A5723">
        <v>5722</v>
      </c>
      <c r="B5723">
        <f>HYPERLINK("https://bacson.langson.gov.vn/upload/105419/20240502/09_KH-UBND_730d6.pdf", "UBND Ủy ban nhân dân xã Tân Hương  tỉnh Lạng Sơn")</f>
      </c>
      <c r="C5723" t="str">
        <v>https://bacson.langson.gov.vn/upload/105419/20240502/09_KH-UBND_730d6.pdf</v>
      </c>
      <c r="D5723" t="str">
        <v>-</v>
      </c>
      <c r="E5723" t="str">
        <v>-</v>
      </c>
      <c r="F5723" t="str">
        <v>-</v>
      </c>
      <c r="G5723" t="str">
        <v>-</v>
      </c>
    </row>
    <row r="5724">
      <c r="A5724">
        <v>5723</v>
      </c>
      <c r="B5724">
        <f>HYPERLINK("https://www.facebook.com/p/C%C3%B4ng-an-x%C3%A3-Chi%E1%BA%BFn-Th%E1%BA%AFng-huy%E1%BB%87n-B%E1%BA%AFc-S%C6%A1n-t%E1%BB%89nh-L%E1%BA%A1ng-S%C6%A1n-100082275770055/", "Công an xã Chiến Thắng  tỉnh Lạng Sơn")</f>
      </c>
      <c r="C5724" t="str">
        <v>https://www.facebook.com/p/C%C3%B4ng-an-x%C3%A3-Chi%E1%BA%BFn-Th%E1%BA%AFng-huy%E1%BB%87n-B%E1%BA%AFc-S%C6%A1n-t%E1%BB%89nh-L%E1%BA%A1ng-S%C6%A1n-100082275770055/</v>
      </c>
      <c r="D5724" t="str">
        <v>-</v>
      </c>
      <c r="E5724" t="str">
        <v/>
      </c>
      <c r="F5724" t="str">
        <v>-</v>
      </c>
      <c r="G5724" t="str">
        <v>-</v>
      </c>
    </row>
    <row r="5725">
      <c r="A5725">
        <v>5724</v>
      </c>
      <c r="B5725">
        <f>HYPERLINK("https://langson.gov.vn/", "UBND Ủy ban nhân dân xã Chiến Thắng  tỉnh Lạng Sơn")</f>
      </c>
      <c r="C5725" t="str">
        <v>https://langson.gov.vn/</v>
      </c>
      <c r="D5725" t="str">
        <v>-</v>
      </c>
      <c r="E5725" t="str">
        <v>-</v>
      </c>
      <c r="F5725" t="str">
        <v>-</v>
      </c>
      <c r="G5725" t="str">
        <v>-</v>
      </c>
    </row>
    <row r="5726">
      <c r="A5726">
        <v>5725</v>
      </c>
      <c r="B5726">
        <f>HYPERLINK("https://www.facebook.com/p/C%C3%B4ng-an-x%C3%A3-V%C5%A9-L%C4%83ng-huy%E1%BB%87n-B%E1%BA%AFc-S%C6%A1n-t%E1%BB%89nh-L%E1%BA%A1ng-S%C6%A1n-100082078634006/", "Công an xã Vũ Lăng  tỉnh Lạng Sơn")</f>
      </c>
      <c r="C5726" t="str">
        <v>https://www.facebook.com/p/C%C3%B4ng-an-x%C3%A3-V%C5%A9-L%C4%83ng-huy%E1%BB%87n-B%E1%BA%AFc-S%C6%A1n-t%E1%BB%89nh-L%E1%BA%A1ng-S%C6%A1n-100082078634006/</v>
      </c>
      <c r="D5726" t="str">
        <v>-</v>
      </c>
      <c r="E5726" t="str">
        <v/>
      </c>
      <c r="F5726" t="str">
        <v>-</v>
      </c>
      <c r="G5726" t="str">
        <v>-</v>
      </c>
    </row>
    <row r="5727">
      <c r="A5727">
        <v>5726</v>
      </c>
      <c r="B5727">
        <f>HYPERLINK("https://langson.gov.vn/", "UBND Ủy ban nhân dân xã Vũ Lăng  tỉnh Lạng Sơn")</f>
      </c>
      <c r="C5727" t="str">
        <v>https://langson.gov.vn/</v>
      </c>
      <c r="D5727" t="str">
        <v>-</v>
      </c>
      <c r="E5727" t="str">
        <v>-</v>
      </c>
      <c r="F5727" t="str">
        <v>-</v>
      </c>
      <c r="G5727" t="str">
        <v>-</v>
      </c>
    </row>
    <row r="5728">
      <c r="A5728">
        <v>5727</v>
      </c>
      <c r="B5728">
        <f>HYPERLINK("https://www.facebook.com/chidoan.congan/?locale=vi_VN", "Công an xã Trấn Yên  tỉnh Lạng Sơn")</f>
      </c>
      <c r="C5728" t="str">
        <v>https://www.facebook.com/chidoan.congan/?locale=vi_VN</v>
      </c>
      <c r="D5728" t="str">
        <v>-</v>
      </c>
      <c r="E5728" t="str">
        <v/>
      </c>
      <c r="F5728" t="str">
        <v>-</v>
      </c>
      <c r="G5728" t="str">
        <v>-</v>
      </c>
    </row>
    <row r="5729">
      <c r="A5729">
        <v>5728</v>
      </c>
      <c r="B5729">
        <f>HYPERLINK("https://langson.baohiemxahoi.gov.vn/vanban/Pages/default.aspx?ItemID=9712", "UBND Ủy ban nhân dân xã Trấn Yên  tỉnh Lạng Sơn")</f>
      </c>
      <c r="C5729" t="str">
        <v>https://langson.baohiemxahoi.gov.vn/vanban/Pages/default.aspx?ItemID=9712</v>
      </c>
      <c r="D5729" t="str">
        <v>-</v>
      </c>
      <c r="E5729" t="str">
        <v>-</v>
      </c>
      <c r="F5729" t="str">
        <v>-</v>
      </c>
      <c r="G5729" t="str">
        <v>-</v>
      </c>
    </row>
    <row r="5730">
      <c r="A5730">
        <v>5729</v>
      </c>
      <c r="B5730">
        <f>HYPERLINK("https://www.facebook.com/p/C%C3%B4ng-an-x%C3%A3-V%C5%A9-L%E1%BB%85-huy%E1%BB%87n-B%E1%BA%AFc-S%C6%A1n-t%E1%BB%89nh-L%E1%BA%A1ng-S%C6%A1n-100078475732959/", "Công an xã Vũ Lễ  tỉnh Lạng Sơn")</f>
      </c>
      <c r="C5730" t="str">
        <v>https://www.facebook.com/p/C%C3%B4ng-an-x%C3%A3-V%C5%A9-L%E1%BB%85-huy%E1%BB%87n-B%E1%BA%AFc-S%C6%A1n-t%E1%BB%89nh-L%E1%BA%A1ng-S%C6%A1n-100078475732959/</v>
      </c>
      <c r="D5730" t="str">
        <v>-</v>
      </c>
      <c r="E5730" t="str">
        <v/>
      </c>
      <c r="F5730" t="str">
        <v>-</v>
      </c>
      <c r="G5730" t="str">
        <v>-</v>
      </c>
    </row>
    <row r="5731">
      <c r="A5731">
        <v>5730</v>
      </c>
      <c r="B5731">
        <f>HYPERLINK("https://bacson.langson.gov.vn/", "UBND Ủy ban nhân dân xã Vũ Lễ  tỉnh Lạng Sơn")</f>
      </c>
      <c r="C5731" t="str">
        <v>https://bacson.langson.gov.vn/</v>
      </c>
      <c r="D5731" t="str">
        <v>-</v>
      </c>
      <c r="E5731" t="str">
        <v>-</v>
      </c>
      <c r="F5731" t="str">
        <v>-</v>
      </c>
      <c r="G5731" t="str">
        <v>-</v>
      </c>
    </row>
    <row r="5732">
      <c r="A5732">
        <v>5731</v>
      </c>
      <c r="B5732">
        <f>HYPERLINK("https://www.facebook.com/HoangViTuyen/", "Công an xã Nhất Hòa  tỉnh Lạng Sơn")</f>
      </c>
      <c r="C5732" t="str">
        <v>https://www.facebook.com/HoangViTuyen/</v>
      </c>
      <c r="D5732" t="str">
        <v>-</v>
      </c>
      <c r="E5732" t="str">
        <v/>
      </c>
      <c r="F5732" t="str">
        <v>-</v>
      </c>
      <c r="G5732" t="str">
        <v>-</v>
      </c>
    </row>
    <row r="5733">
      <c r="A5733">
        <v>5732</v>
      </c>
      <c r="B5733">
        <f>HYPERLINK("https://bacson.langson.gov.vn/", "UBND Ủy ban nhân dân xã Nhất Hòa  tỉnh Lạng Sơn")</f>
      </c>
      <c r="C5733" t="str">
        <v>https://bacson.langson.gov.vn/</v>
      </c>
      <c r="D5733" t="str">
        <v>-</v>
      </c>
      <c r="E5733" t="str">
        <v>-</v>
      </c>
      <c r="F5733" t="str">
        <v>-</v>
      </c>
      <c r="G5733" t="str">
        <v>-</v>
      </c>
    </row>
    <row r="5734">
      <c r="A5734">
        <v>5733</v>
      </c>
      <c r="B5734">
        <f>HYPERLINK("https://www.facebook.com/ubndtanthanhhuulunglangson/", "Công an xã Tân Thành  tỉnh Lạng Sơn")</f>
      </c>
      <c r="C5734" t="str">
        <v>https://www.facebook.com/ubndtanthanhhuulunglangson/</v>
      </c>
      <c r="D5734" t="str">
        <v>-</v>
      </c>
      <c r="E5734" t="str">
        <v/>
      </c>
      <c r="F5734" t="str">
        <v>-</v>
      </c>
      <c r="G5734" t="str">
        <v>-</v>
      </c>
    </row>
    <row r="5735">
      <c r="A5735">
        <v>5734</v>
      </c>
      <c r="B5735">
        <f>HYPERLINK("https://caoloc.langson.gov.vn/gioi-thieu/co-cau-to-chuc/uy-ban-nhan-dan-huyen/cac-xa-thi-tran", "UBND Ủy ban nhân dân xã Tân Thành  tỉnh Lạng Sơn")</f>
      </c>
      <c r="C5735" t="str">
        <v>https://caoloc.langson.gov.vn/gioi-thieu/co-cau-to-chuc/uy-ban-nhan-dan-huyen/cac-xa-thi-tran</v>
      </c>
      <c r="D5735" t="str">
        <v>-</v>
      </c>
      <c r="E5735" t="str">
        <v>-</v>
      </c>
      <c r="F5735" t="str">
        <v>-</v>
      </c>
      <c r="G5735" t="str">
        <v>-</v>
      </c>
    </row>
    <row r="5736">
      <c r="A5736">
        <v>5735</v>
      </c>
      <c r="B5736">
        <f>HYPERLINK("https://www.facebook.com/chidoan.congan/", "Công an xã Nhất Tiến  tỉnh Lạng Sơn")</f>
      </c>
      <c r="C5736" t="str">
        <v>https://www.facebook.com/chidoan.congan/</v>
      </c>
      <c r="D5736" t="str">
        <v>-</v>
      </c>
      <c r="E5736" t="str">
        <v/>
      </c>
      <c r="F5736" t="str">
        <v>-</v>
      </c>
      <c r="G5736" t="str">
        <v>-</v>
      </c>
    </row>
    <row r="5737">
      <c r="A5737">
        <v>5736</v>
      </c>
      <c r="B5737">
        <f>HYPERLINK("https://langson.gov.vn/", "UBND Ủy ban nhân dân xã Nhất Tiến  tỉnh Lạng Sơn")</f>
      </c>
      <c r="C5737" t="str">
        <v>https://langson.gov.vn/</v>
      </c>
      <c r="D5737" t="str">
        <v>-</v>
      </c>
      <c r="E5737" t="str">
        <v>-</v>
      </c>
      <c r="F5737" t="str">
        <v>-</v>
      </c>
      <c r="G5737" t="str">
        <v>-</v>
      </c>
    </row>
    <row r="5738">
      <c r="A5738">
        <v>5737</v>
      </c>
      <c r="B5738" t="str">
        <v>Công an thị trấn Hữu Lũng  tỉnh Lạng Sơn</v>
      </c>
      <c r="C5738" t="str">
        <v>-</v>
      </c>
      <c r="D5738" t="str">
        <v>-</v>
      </c>
      <c r="E5738" t="str">
        <v/>
      </c>
      <c r="F5738" t="str">
        <v>-</v>
      </c>
      <c r="G5738" t="str">
        <v>-</v>
      </c>
    </row>
    <row r="5739">
      <c r="A5739">
        <v>5738</v>
      </c>
      <c r="B5739">
        <f>HYPERLINK("https://huulung.langson.gov.vn/", "UBND Ủy ban nhân dân thị trấn Hữu Lũng  tỉnh Lạng Sơn")</f>
      </c>
      <c r="C5739" t="str">
        <v>https://huulung.langson.gov.vn/</v>
      </c>
      <c r="D5739" t="str">
        <v>-</v>
      </c>
      <c r="E5739" t="str">
        <v>-</v>
      </c>
      <c r="F5739" t="str">
        <v>-</v>
      </c>
      <c r="G5739" t="str">
        <v>-</v>
      </c>
    </row>
    <row r="5740">
      <c r="A5740">
        <v>5739</v>
      </c>
      <c r="B5740">
        <f>HYPERLINK("https://www.facebook.com/MichiCamp.huulunglangson/", "Công an xã Hữu Liên  tỉnh Lạng Sơn")</f>
      </c>
      <c r="C5740" t="str">
        <v>https://www.facebook.com/MichiCamp.huulunglangson/</v>
      </c>
      <c r="D5740" t="str">
        <v>-</v>
      </c>
      <c r="E5740" t="str">
        <v/>
      </c>
      <c r="F5740" t="str">
        <v>-</v>
      </c>
      <c r="G5740" t="str">
        <v>-</v>
      </c>
    </row>
    <row r="5741">
      <c r="A5741">
        <v>5740</v>
      </c>
      <c r="B5741">
        <f>HYPERLINK("https://huulung.langson.gov.vn/", "UBND Ủy ban nhân dân xã Hữu Liên  tỉnh Lạng Sơn")</f>
      </c>
      <c r="C5741" t="str">
        <v>https://huulung.langson.gov.vn/</v>
      </c>
      <c r="D5741" t="str">
        <v>-</v>
      </c>
      <c r="E5741" t="str">
        <v>-</v>
      </c>
      <c r="F5741" t="str">
        <v>-</v>
      </c>
      <c r="G5741" t="str">
        <v>-</v>
      </c>
    </row>
    <row r="5742">
      <c r="A5742">
        <v>5741</v>
      </c>
      <c r="B5742" t="str">
        <v>Công an xã Yên Bình  tỉnh Lạng Sơn</v>
      </c>
      <c r="C5742" t="str">
        <v>-</v>
      </c>
      <c r="D5742" t="str">
        <v>-</v>
      </c>
      <c r="E5742" t="str">
        <v/>
      </c>
      <c r="F5742" t="str">
        <v>-</v>
      </c>
      <c r="G5742" t="str">
        <v>-</v>
      </c>
    </row>
    <row r="5743">
      <c r="A5743">
        <v>5742</v>
      </c>
      <c r="B5743">
        <f>HYPERLINK("http://tnmt.langson.gov.vn/tra-loi-vuong-mac-nguoi-dan-doanh-nghiep/giay-phep-khai-thac-khoang-san-mo-cat-soi-yen-binh-xa-yen-binh-huyen-huu-lung.html", "UBND Ủy ban nhân dân xã Yên Bình  tỉnh Lạng Sơn")</f>
      </c>
      <c r="C5743" t="str">
        <v>http://tnmt.langson.gov.vn/tra-loi-vuong-mac-nguoi-dan-doanh-nghiep/giay-phep-khai-thac-khoang-san-mo-cat-soi-yen-binh-xa-yen-binh-huyen-huu-lung.html</v>
      </c>
      <c r="D5743" t="str">
        <v>-</v>
      </c>
      <c r="E5743" t="str">
        <v>-</v>
      </c>
      <c r="F5743" t="str">
        <v>-</v>
      </c>
      <c r="G5743" t="str">
        <v>-</v>
      </c>
    </row>
    <row r="5744">
      <c r="A5744">
        <v>5743</v>
      </c>
      <c r="B5744" t="str">
        <v>Công an xã Quyết Thắng  tỉnh Lạng Sơn</v>
      </c>
      <c r="C5744" t="str">
        <v>-</v>
      </c>
      <c r="D5744" t="str">
        <v>-</v>
      </c>
      <c r="E5744" t="str">
        <v/>
      </c>
      <c r="F5744" t="str">
        <v>-</v>
      </c>
      <c r="G5744" t="str">
        <v>-</v>
      </c>
    </row>
    <row r="5745">
      <c r="A5745">
        <v>5744</v>
      </c>
      <c r="B5745">
        <f>HYPERLINK("https://langson.gov.vn/", "UBND Ủy ban nhân dân xã Quyết Thắng  tỉnh Lạng Sơn")</f>
      </c>
      <c r="C5745" t="str">
        <v>https://langson.gov.vn/</v>
      </c>
      <c r="D5745" t="str">
        <v>-</v>
      </c>
      <c r="E5745" t="str">
        <v>-</v>
      </c>
      <c r="F5745" t="str">
        <v>-</v>
      </c>
      <c r="G5745" t="str">
        <v>-</v>
      </c>
    </row>
    <row r="5746">
      <c r="A5746">
        <v>5745</v>
      </c>
      <c r="B5746">
        <f>HYPERLINK("https://www.facebook.com/p/Tu%E1%BB%95i-tr%E1%BA%BB-C%C3%B4ng-an-huy%E1%BB%87n-B%C3%ACnh-Gia-100070618760059/", "Công an xã Hòa Bình  tỉnh Lạng Sơn")</f>
      </c>
      <c r="C5746" t="str">
        <v>https://www.facebook.com/p/Tu%E1%BB%95i-tr%E1%BA%BB-C%C3%B4ng-an-huy%E1%BB%87n-B%C3%ACnh-Gia-100070618760059/</v>
      </c>
      <c r="D5746" t="str">
        <v>-</v>
      </c>
      <c r="E5746" t="str">
        <v/>
      </c>
      <c r="F5746" t="str">
        <v>-</v>
      </c>
      <c r="G5746" t="str">
        <v>-</v>
      </c>
    </row>
    <row r="5747">
      <c r="A5747">
        <v>5746</v>
      </c>
      <c r="B5747">
        <f>HYPERLINK("https://langson.baohiemxahoi.gov.vn/vanban/Pages/default.aspx?ItemID=9813", "UBND Ủy ban nhân dân xã Hòa Bình  tỉnh Lạng Sơn")</f>
      </c>
      <c r="C5747" t="str">
        <v>https://langson.baohiemxahoi.gov.vn/vanban/Pages/default.aspx?ItemID=9813</v>
      </c>
      <c r="D5747" t="str">
        <v>-</v>
      </c>
      <c r="E5747" t="str">
        <v>-</v>
      </c>
      <c r="F5747" t="str">
        <v>-</v>
      </c>
      <c r="G5747" t="str">
        <v>-</v>
      </c>
    </row>
    <row r="5748">
      <c r="A5748">
        <v>5747</v>
      </c>
      <c r="B5748">
        <f>HYPERLINK("https://www.facebook.com/p/Tu%E1%BB%95i-tr%E1%BA%BB-C%C3%B4ng-an-Th%C3%A0nh-ph%E1%BB%91-V%C4%A9nh-Y%C3%AAn-100066497717181/?locale=nl_BE", "Công an xã Yên Thịnh  tỉnh Lạng Sơn")</f>
      </c>
      <c r="C5748" t="str">
        <v>https://www.facebook.com/p/Tu%E1%BB%95i-tr%E1%BA%BB-C%C3%B4ng-an-Th%C3%A0nh-ph%E1%BB%91-V%C4%A9nh-Y%C3%AAn-100066497717181/?locale=nl_BE</v>
      </c>
      <c r="D5748" t="str">
        <v>-</v>
      </c>
      <c r="E5748" t="str">
        <v/>
      </c>
      <c r="F5748" t="str">
        <v>-</v>
      </c>
      <c r="G5748" t="str">
        <v>-</v>
      </c>
    </row>
    <row r="5749">
      <c r="A5749">
        <v>5748</v>
      </c>
      <c r="B5749">
        <f>HYPERLINK("https://huulung.langson.gov.vn/tin-tuc-su-kien/van-hoa-xa-hoi/ban-phap-che-hdnd-huyen-giam-sat-tai-ubnd-xa-yen-thinh.html", "UBND Ủy ban nhân dân xã Yên Thịnh  tỉnh Lạng Sơn")</f>
      </c>
      <c r="C5749" t="str">
        <v>https://huulung.langson.gov.vn/tin-tuc-su-kien/van-hoa-xa-hoi/ban-phap-che-hdnd-huyen-giam-sat-tai-ubnd-xa-yen-thinh.html</v>
      </c>
      <c r="D5749" t="str">
        <v>-</v>
      </c>
      <c r="E5749" t="str">
        <v>-</v>
      </c>
      <c r="F5749" t="str">
        <v>-</v>
      </c>
      <c r="G5749" t="str">
        <v>-</v>
      </c>
    </row>
    <row r="5750">
      <c r="A5750">
        <v>5749</v>
      </c>
      <c r="B5750">
        <f>HYPERLINK("https://www.facebook.com/tuoitreconganhuyenvanquan/", "Công an xã Yên Sơn  tỉnh Lạng Sơn")</f>
      </c>
      <c r="C5750" t="str">
        <v>https://www.facebook.com/tuoitreconganhuyenvanquan/</v>
      </c>
      <c r="D5750" t="str">
        <v>-</v>
      </c>
      <c r="E5750" t="str">
        <v/>
      </c>
      <c r="F5750" t="str">
        <v>-</v>
      </c>
      <c r="G5750" t="str">
        <v>-</v>
      </c>
    </row>
    <row r="5751">
      <c r="A5751">
        <v>5750</v>
      </c>
      <c r="B5751">
        <f>HYPERLINK("https://langson.baohiemxahoi.gov.vn/vanban/Pages/default.aspx?ItemID=9869", "UBND Ủy ban nhân dân xã Yên Sơn  tỉnh Lạng Sơn")</f>
      </c>
      <c r="C5751" t="str">
        <v>https://langson.baohiemxahoi.gov.vn/vanban/Pages/default.aspx?ItemID=9869</v>
      </c>
      <c r="D5751" t="str">
        <v>-</v>
      </c>
      <c r="E5751" t="str">
        <v>-</v>
      </c>
      <c r="F5751" t="str">
        <v>-</v>
      </c>
      <c r="G5751" t="str">
        <v>-</v>
      </c>
    </row>
    <row r="5752">
      <c r="A5752">
        <v>5751</v>
      </c>
      <c r="B5752">
        <f>HYPERLINK("https://www.facebook.com/groups/244807582881575/", "Công an xã Thiện Kỵ  tỉnh Lạng Sơn")</f>
      </c>
      <c r="C5752" t="str">
        <v>https://www.facebook.com/groups/244807582881575/</v>
      </c>
      <c r="D5752" t="str">
        <v>-</v>
      </c>
      <c r="E5752" t="str">
        <v/>
      </c>
      <c r="F5752" t="str">
        <v>-</v>
      </c>
      <c r="G5752" t="str">
        <v>-</v>
      </c>
    </row>
    <row r="5753">
      <c r="A5753">
        <v>5752</v>
      </c>
      <c r="B5753">
        <f>HYPERLINK("https://binhgia.langson.gov.vn/", "UBND Ủy ban nhân dân xã Thiện Kỵ  tỉnh Lạng Sơn")</f>
      </c>
      <c r="C5753" t="str">
        <v>https://binhgia.langson.gov.vn/</v>
      </c>
      <c r="D5753" t="str">
        <v>-</v>
      </c>
      <c r="E5753" t="str">
        <v>-</v>
      </c>
      <c r="F5753" t="str">
        <v>-</v>
      </c>
      <c r="G5753" t="str">
        <v>-</v>
      </c>
    </row>
    <row r="5754">
      <c r="A5754">
        <v>5753</v>
      </c>
      <c r="B5754">
        <f>HYPERLINK("https://www.facebook.com/trangthongtinxatanlap/?locale=vi_VN", "Công an xã Tân Lập  tỉnh Lạng Sơn")</f>
      </c>
      <c r="C5754" t="str">
        <v>https://www.facebook.com/trangthongtinxatanlap/?locale=vi_VN</v>
      </c>
      <c r="D5754" t="str">
        <v>-</v>
      </c>
      <c r="E5754" t="str">
        <v/>
      </c>
      <c r="F5754" t="str">
        <v>-</v>
      </c>
      <c r="G5754" t="str">
        <v>-</v>
      </c>
    </row>
    <row r="5755">
      <c r="A5755">
        <v>5754</v>
      </c>
      <c r="B5755">
        <f>HYPERLINK("https://xatanlap.hoabinh.gov.vn/", "UBND Ủy ban nhân dân xã Tân Lập  tỉnh Lạng Sơn")</f>
      </c>
      <c r="C5755" t="str">
        <v>https://xatanlap.hoabinh.gov.vn/</v>
      </c>
      <c r="D5755" t="str">
        <v>-</v>
      </c>
      <c r="E5755" t="str">
        <v>-</v>
      </c>
      <c r="F5755" t="str">
        <v>-</v>
      </c>
      <c r="G5755" t="str">
        <v>-</v>
      </c>
    </row>
    <row r="5756">
      <c r="A5756">
        <v>5755</v>
      </c>
      <c r="B5756" t="str">
        <v>Công an xã Yên Vượng  tỉnh Lạng Sơn</v>
      </c>
      <c r="C5756" t="str">
        <v>-</v>
      </c>
      <c r="D5756" t="str">
        <v>-</v>
      </c>
      <c r="E5756" t="str">
        <v/>
      </c>
      <c r="F5756" t="str">
        <v>-</v>
      </c>
      <c r="G5756" t="str">
        <v>-</v>
      </c>
    </row>
    <row r="5757">
      <c r="A5757">
        <v>5756</v>
      </c>
      <c r="B5757">
        <f>HYPERLINK("https://langson.gov.vn/thong-tin-quy-hoach/ve-viec-dieu-chinh-quyet-dinh-so-1231-qd-ubnd-ngay-08-8-2014-cua-ubnd-tinh-ve-viec-cho-cong-ty-tnhh-nhat-tien-thue-dat-d.html", "UBND Ủy ban nhân dân xã Yên Vượng  tỉnh Lạng Sơn")</f>
      </c>
      <c r="C5757" t="str">
        <v>https://langson.gov.vn/thong-tin-quy-hoach/ve-viec-dieu-chinh-quyet-dinh-so-1231-qd-ubnd-ngay-08-8-2014-cua-ubnd-tinh-ve-viec-cho-cong-ty-tnhh-nhat-tien-thue-dat-d.html</v>
      </c>
      <c r="D5757" t="str">
        <v>-</v>
      </c>
      <c r="E5757" t="str">
        <v>-</v>
      </c>
      <c r="F5757" t="str">
        <v>-</v>
      </c>
      <c r="G5757" t="str">
        <v>-</v>
      </c>
    </row>
    <row r="5758">
      <c r="A5758">
        <v>5757</v>
      </c>
      <c r="B5758">
        <f>HYPERLINK("https://www.facebook.com/Nga3MinhTien/?locale=vi_VN", "Công an xã Minh Tiến  tỉnh Lạng Sơn")</f>
      </c>
      <c r="C5758" t="str">
        <v>https://www.facebook.com/Nga3MinhTien/?locale=vi_VN</v>
      </c>
      <c r="D5758" t="str">
        <v>-</v>
      </c>
      <c r="E5758" t="str">
        <v/>
      </c>
      <c r="F5758" t="str">
        <v>-</v>
      </c>
      <c r="G5758" t="str">
        <v>-</v>
      </c>
    </row>
    <row r="5759">
      <c r="A5759">
        <v>5758</v>
      </c>
      <c r="B5759">
        <f>HYPERLINK("https://langson.gov.vn/", "UBND Ủy ban nhân dân xã Minh Tiến  tỉnh Lạng Sơn")</f>
      </c>
      <c r="C5759" t="str">
        <v>https://langson.gov.vn/</v>
      </c>
      <c r="D5759" t="str">
        <v>-</v>
      </c>
      <c r="E5759" t="str">
        <v>-</v>
      </c>
      <c r="F5759" t="str">
        <v>-</v>
      </c>
      <c r="G5759" t="str">
        <v>-</v>
      </c>
    </row>
    <row r="5760">
      <c r="A5760">
        <v>5759</v>
      </c>
      <c r="B5760">
        <f>HYPERLINK("https://www.facebook.com/chidoan.congan/", "Công an xã Nhật Tiến  tỉnh Lạng Sơn")</f>
      </c>
      <c r="C5760" t="str">
        <v>https://www.facebook.com/chidoan.congan/</v>
      </c>
      <c r="D5760" t="str">
        <v>-</v>
      </c>
      <c r="E5760" t="str">
        <v/>
      </c>
      <c r="F5760" t="str">
        <v>-</v>
      </c>
      <c r="G5760" t="str">
        <v>-</v>
      </c>
    </row>
    <row r="5761">
      <c r="A5761">
        <v>5760</v>
      </c>
      <c r="B5761">
        <f>HYPERLINK("https://langson.gov.vn/", "UBND Ủy ban nhân dân xã Nhật Tiến  tỉnh Lạng Sơn")</f>
      </c>
      <c r="C5761" t="str">
        <v>https://langson.gov.vn/</v>
      </c>
      <c r="D5761" t="str">
        <v>-</v>
      </c>
      <c r="E5761" t="str">
        <v>-</v>
      </c>
      <c r="F5761" t="str">
        <v>-</v>
      </c>
      <c r="G5761" t="str">
        <v>-</v>
      </c>
    </row>
    <row r="5762">
      <c r="A5762">
        <v>5761</v>
      </c>
      <c r="B5762">
        <f>HYPERLINK("https://www.facebook.com/tuoitreconganlangson/", "Công an xã Thanh Sơn  tỉnh Lạng Sơn")</f>
      </c>
      <c r="C5762" t="str">
        <v>https://www.facebook.com/tuoitreconganlangson/</v>
      </c>
      <c r="D5762" t="str">
        <v>-</v>
      </c>
      <c r="E5762" t="str">
        <v/>
      </c>
      <c r="F5762" t="str">
        <v>-</v>
      </c>
      <c r="G5762" t="str">
        <v>-</v>
      </c>
    </row>
    <row r="5763">
      <c r="A5763">
        <v>5762</v>
      </c>
      <c r="B5763">
        <f>HYPERLINK("https://langson.gov.vn/", "UBND Ủy ban nhân dân xã Thanh Sơn  tỉnh Lạng Sơn")</f>
      </c>
      <c r="C5763" t="str">
        <v>https://langson.gov.vn/</v>
      </c>
      <c r="D5763" t="str">
        <v>-</v>
      </c>
      <c r="E5763" t="str">
        <v>-</v>
      </c>
      <c r="F5763" t="str">
        <v>-</v>
      </c>
      <c r="G5763" t="str">
        <v>-</v>
      </c>
    </row>
    <row r="5764">
      <c r="A5764">
        <v>5763</v>
      </c>
      <c r="B5764">
        <f>HYPERLINK("https://www.facebook.com/p/%C4%90o%C3%A0n-x%C3%A3-%C4%90%E1%BB%93ng-T%C3%A2n-H%E1%BB%AFu-L%C5%A9ng-L%E1%BA%A1ng-S%C6%A1n-100027866031524/", "Công an xã Đồng Tân  tỉnh Lạng Sơn")</f>
      </c>
      <c r="C5764" t="str">
        <v>https://www.facebook.com/p/%C4%90o%C3%A0n-x%C3%A3-%C4%90%E1%BB%93ng-T%C3%A2n-H%E1%BB%AFu-L%C5%A9ng-L%E1%BA%A1ng-S%C6%A1n-100027866031524/</v>
      </c>
      <c r="D5764" t="str">
        <v>-</v>
      </c>
      <c r="E5764" t="str">
        <v/>
      </c>
      <c r="F5764" t="str">
        <v>-</v>
      </c>
      <c r="G5764" t="str">
        <v>-</v>
      </c>
    </row>
    <row r="5765">
      <c r="A5765">
        <v>5764</v>
      </c>
      <c r="B5765">
        <f>HYPERLINK("http://huulung.langson.gov.vn/upload/105417/20240523/59__Hoang_Trung_Kien_0a0e8.pdf", "UBND Ủy ban nhân dân xã Đồng Tân  tỉnh Lạng Sơn")</f>
      </c>
      <c r="C5765" t="str">
        <v>http://huulung.langson.gov.vn/upload/105417/20240523/59__Hoang_Trung_Kien_0a0e8.pdf</v>
      </c>
      <c r="D5765" t="str">
        <v>-</v>
      </c>
      <c r="E5765" t="str">
        <v>-</v>
      </c>
      <c r="F5765" t="str">
        <v>-</v>
      </c>
      <c r="G5765" t="str">
        <v>-</v>
      </c>
    </row>
    <row r="5766">
      <c r="A5766">
        <v>5765</v>
      </c>
      <c r="B5766" t="str">
        <v>Công an xã Cai Kinh  tỉnh Lạng Sơn</v>
      </c>
      <c r="C5766" t="str">
        <v>-</v>
      </c>
      <c r="D5766" t="str">
        <v>-</v>
      </c>
      <c r="E5766" t="str">
        <v/>
      </c>
      <c r="F5766" t="str">
        <v>-</v>
      </c>
      <c r="G5766" t="str">
        <v>-</v>
      </c>
    </row>
    <row r="5767">
      <c r="A5767">
        <v>5766</v>
      </c>
      <c r="B5767">
        <f>HYPERLINK("https://langson.gov.vn/", "UBND Ủy ban nhân dân xã Cai Kinh  tỉnh Lạng Sơn")</f>
      </c>
      <c r="C5767" t="str">
        <v>https://langson.gov.vn/</v>
      </c>
      <c r="D5767" t="str">
        <v>-</v>
      </c>
      <c r="E5767" t="str">
        <v>-</v>
      </c>
      <c r="F5767" t="str">
        <v>-</v>
      </c>
      <c r="G5767" t="str">
        <v>-</v>
      </c>
    </row>
    <row r="5768">
      <c r="A5768">
        <v>5767</v>
      </c>
      <c r="B5768">
        <f>HYPERLINK("https://www.facebook.com/3805582662814218", "Công an xã Hòa Lạc  tỉnh Lạng Sơn")</f>
      </c>
      <c r="C5768" t="str">
        <v>https://www.facebook.com/3805582662814218</v>
      </c>
      <c r="D5768" t="str">
        <v>-</v>
      </c>
      <c r="E5768" t="str">
        <v/>
      </c>
      <c r="F5768" t="str">
        <v>-</v>
      </c>
      <c r="G5768" t="str">
        <v>-</v>
      </c>
    </row>
    <row r="5769">
      <c r="A5769">
        <v>5768</v>
      </c>
      <c r="B5769">
        <f>HYPERLINK("https://langson.baohiemxahoi.gov.vn/vanban/Pages/default.aspx?ItemID=9870", "UBND Ủy ban nhân dân xã Hòa Lạc  tỉnh Lạng Sơn")</f>
      </c>
      <c r="C5769" t="str">
        <v>https://langson.baohiemxahoi.gov.vn/vanban/Pages/default.aspx?ItemID=9870</v>
      </c>
      <c r="D5769" t="str">
        <v>-</v>
      </c>
      <c r="E5769" t="str">
        <v>-</v>
      </c>
      <c r="F5769" t="str">
        <v>-</v>
      </c>
      <c r="G5769" t="str">
        <v>-</v>
      </c>
    </row>
    <row r="5770">
      <c r="A5770">
        <v>5769</v>
      </c>
      <c r="B5770">
        <f>HYPERLINK("https://www.facebook.com/tuoitreconganhuyenvanquan/", "Công an xã Vân Nham  tỉnh Lạng Sơn")</f>
      </c>
      <c r="C5770" t="str">
        <v>https://www.facebook.com/tuoitreconganhuyenvanquan/</v>
      </c>
      <c r="D5770" t="str">
        <v>-</v>
      </c>
      <c r="E5770" t="str">
        <v/>
      </c>
      <c r="F5770" t="str">
        <v>-</v>
      </c>
      <c r="G5770" t="str">
        <v>-</v>
      </c>
    </row>
    <row r="5771">
      <c r="A5771">
        <v>5770</v>
      </c>
      <c r="B5771">
        <f>HYPERLINK("https://huulung.langson.gov.vn/3rdparty/pdfjs/web/viewer.html?file=https://huulung.langson.gov.vn/upload/105417/20240715/3__Quyet_dinh_sap_nhap_Truong_TH_va_THCS_xa_Van_Nham_4527a.pdf", "UBND Ủy ban nhân dân xã Vân Nham  tỉnh Lạng Sơn")</f>
      </c>
      <c r="C5771" t="str">
        <v>https://huulung.langson.gov.vn/3rdparty/pdfjs/web/viewer.html?file=https://huulung.langson.gov.vn/upload/105417/20240715/3__Quyet_dinh_sap_nhap_Truong_TH_va_THCS_xa_Van_Nham_4527a.pdf</v>
      </c>
      <c r="D5771" t="str">
        <v>-</v>
      </c>
      <c r="E5771" t="str">
        <v>-</v>
      </c>
      <c r="F5771" t="str">
        <v>-</v>
      </c>
      <c r="G5771" t="str">
        <v>-</v>
      </c>
    </row>
    <row r="5772">
      <c r="A5772">
        <v>5771</v>
      </c>
      <c r="B5772" t="str">
        <v>Công an xã Đồng Tiến  tỉnh Lạng Sơn</v>
      </c>
      <c r="C5772" t="str">
        <v>-</v>
      </c>
      <c r="D5772" t="str">
        <v>-</v>
      </c>
      <c r="E5772" t="str">
        <v/>
      </c>
      <c r="F5772" t="str">
        <v>-</v>
      </c>
      <c r="G5772" t="str">
        <v>-</v>
      </c>
    </row>
    <row r="5773">
      <c r="A5773">
        <v>5772</v>
      </c>
      <c r="B5773">
        <f>HYPERLINK("https://langson.gov.vn/", "UBND Ủy ban nhân dân xã Đồng Tiến  tỉnh Lạng Sơn")</f>
      </c>
      <c r="C5773" t="str">
        <v>https://langson.gov.vn/</v>
      </c>
      <c r="D5773" t="str">
        <v>-</v>
      </c>
      <c r="E5773" t="str">
        <v>-</v>
      </c>
      <c r="F5773" t="str">
        <v>-</v>
      </c>
      <c r="G5773" t="str">
        <v>-</v>
      </c>
    </row>
    <row r="5774">
      <c r="A5774">
        <v>5773</v>
      </c>
      <c r="B5774" t="str">
        <v>Công an xã Đô Lương  tỉnh Lạng Sơn</v>
      </c>
      <c r="C5774" t="str">
        <v>-</v>
      </c>
      <c r="D5774" t="str">
        <v>-</v>
      </c>
      <c r="E5774" t="str">
        <v/>
      </c>
      <c r="F5774" t="str">
        <v>-</v>
      </c>
      <c r="G5774" t="str">
        <v>-</v>
      </c>
    </row>
    <row r="5775">
      <c r="A5775">
        <v>5774</v>
      </c>
      <c r="B5775">
        <f>HYPERLINK("https://doluong.nghean.gov.vn/thuong-son/gioi-thieu-chung-xa-thuong-son-365198", "UBND Ủy ban nhân dân xã Đô Lương  tỉnh Lạng Sơn")</f>
      </c>
      <c r="C5775" t="str">
        <v>https://doluong.nghean.gov.vn/thuong-son/gioi-thieu-chung-xa-thuong-son-365198</v>
      </c>
      <c r="D5775" t="str">
        <v>-</v>
      </c>
      <c r="E5775" t="str">
        <v>-</v>
      </c>
      <c r="F5775" t="str">
        <v>-</v>
      </c>
      <c r="G5775" t="str">
        <v>-</v>
      </c>
    </row>
    <row r="5776">
      <c r="A5776">
        <v>5775</v>
      </c>
      <c r="B5776">
        <f>HYPERLINK("https://www.facebook.com/ubndtanthanhhuulunglangson/", "Công an xã Tân Thành  tỉnh Lạng Sơn")</f>
      </c>
      <c r="C5776" t="str">
        <v>https://www.facebook.com/ubndtanthanhhuulunglangson/</v>
      </c>
      <c r="D5776" t="str">
        <v>-</v>
      </c>
      <c r="E5776" t="str">
        <v/>
      </c>
      <c r="F5776" t="str">
        <v>-</v>
      </c>
      <c r="G5776" t="str">
        <v>-</v>
      </c>
    </row>
    <row r="5777">
      <c r="A5777">
        <v>5776</v>
      </c>
      <c r="B5777">
        <f>HYPERLINK("https://caoloc.langson.gov.vn/gioi-thieu/co-cau-to-chuc/uy-ban-nhan-dan-huyen/cac-xa-thi-tran", "UBND Ủy ban nhân dân xã Tân Thành  tỉnh Lạng Sơn")</f>
      </c>
      <c r="C5777" t="str">
        <v>https://caoloc.langson.gov.vn/gioi-thieu/co-cau-to-chuc/uy-ban-nhan-dan-huyen/cac-xa-thi-tran</v>
      </c>
      <c r="D5777" t="str">
        <v>-</v>
      </c>
      <c r="E5777" t="str">
        <v>-</v>
      </c>
      <c r="F5777" t="str">
        <v>-</v>
      </c>
      <c r="G5777" t="str">
        <v>-</v>
      </c>
    </row>
    <row r="5778">
      <c r="A5778">
        <v>5777</v>
      </c>
      <c r="B5778">
        <f>HYPERLINK("https://www.facebook.com/p/Tu%E1%BB%95i-tr%E1%BA%BB-C%C3%B4ng-an-huy%E1%BB%87n-B%C3%ACnh-Gia-100070618760059/", "Công an xã Hòa Sơn  tỉnh Lạng Sơn")</f>
      </c>
      <c r="C5778" t="str">
        <v>https://www.facebook.com/p/Tu%E1%BB%95i-tr%E1%BA%BB-C%C3%B4ng-an-huy%E1%BB%87n-B%C3%ACnh-Gia-100070618760059/</v>
      </c>
      <c r="D5778" t="str">
        <v>-</v>
      </c>
      <c r="E5778" t="str">
        <v/>
      </c>
      <c r="F5778" t="str">
        <v>-</v>
      </c>
      <c r="G5778" t="str">
        <v>-</v>
      </c>
    </row>
    <row r="5779">
      <c r="A5779">
        <v>5778</v>
      </c>
      <c r="B5779">
        <f>HYPERLINK("https://langson.gov.vn/van-ban-chi-dao-dieu-hanh", "UBND Ủy ban nhân dân xã Hòa Sơn  tỉnh Lạng Sơn")</f>
      </c>
      <c r="C5779" t="str">
        <v>https://langson.gov.vn/van-ban-chi-dao-dieu-hanh</v>
      </c>
      <c r="D5779" t="str">
        <v>-</v>
      </c>
      <c r="E5779" t="str">
        <v>-</v>
      </c>
      <c r="F5779" t="str">
        <v>-</v>
      </c>
      <c r="G5779" t="str">
        <v>-</v>
      </c>
    </row>
    <row r="5780">
      <c r="A5780">
        <v>5779</v>
      </c>
      <c r="B5780">
        <f>HYPERLINK("https://www.facebook.com/tuoitreconganlangson/", "Công an xã Minh Sơn  tỉnh Lạng Sơn")</f>
      </c>
      <c r="C5780" t="str">
        <v>https://www.facebook.com/tuoitreconganlangson/</v>
      </c>
      <c r="D5780" t="str">
        <v>-</v>
      </c>
      <c r="E5780" t="str">
        <v/>
      </c>
      <c r="F5780" t="str">
        <v>-</v>
      </c>
      <c r="G5780" t="str">
        <v>-</v>
      </c>
    </row>
    <row r="5781">
      <c r="A5781">
        <v>5780</v>
      </c>
      <c r="B5781">
        <f>HYPERLINK("https://langson.gov.vn/", "UBND Ủy ban nhân dân xã Minh Sơn  tỉnh Lạng Sơn")</f>
      </c>
      <c r="C5781" t="str">
        <v>https://langson.gov.vn/</v>
      </c>
      <c r="D5781" t="str">
        <v>-</v>
      </c>
      <c r="E5781" t="str">
        <v>-</v>
      </c>
      <c r="F5781" t="str">
        <v>-</v>
      </c>
      <c r="G5781" t="str">
        <v>-</v>
      </c>
    </row>
    <row r="5782">
      <c r="A5782">
        <v>5781</v>
      </c>
      <c r="B5782">
        <f>HYPERLINK("https://www.facebook.com/tuoitreconganlangson/", "Công an xã Hồ Sơn  tỉnh Lạng Sơn")</f>
      </c>
      <c r="C5782" t="str">
        <v>https://www.facebook.com/tuoitreconganlangson/</v>
      </c>
      <c r="D5782" t="str">
        <v>-</v>
      </c>
      <c r="E5782" t="str">
        <v/>
      </c>
      <c r="F5782" t="str">
        <v>-</v>
      </c>
      <c r="G5782" t="str">
        <v>-</v>
      </c>
    </row>
    <row r="5783">
      <c r="A5783">
        <v>5782</v>
      </c>
      <c r="B5783">
        <f>HYPERLINK("https://langson.gov.vn/", "UBND Ủy ban nhân dân xã Hồ Sơn  tỉnh Lạng Sơn")</f>
      </c>
      <c r="C5783" t="str">
        <v>https://langson.gov.vn/</v>
      </c>
      <c r="D5783" t="str">
        <v>-</v>
      </c>
      <c r="E5783" t="str">
        <v>-</v>
      </c>
      <c r="F5783" t="str">
        <v>-</v>
      </c>
      <c r="G5783" t="str">
        <v>-</v>
      </c>
    </row>
    <row r="5784">
      <c r="A5784">
        <v>5783</v>
      </c>
      <c r="B5784">
        <f>HYPERLINK("https://www.facebook.com/p/Tu%E1%BB%95i-tr%E1%BA%BB-C%C3%B4ng-an-th%E1%BB%8B-x%C3%A3-S%C6%A1n-T%C3%A2y-100040884909606/", "Công an xã Sơn Hà  tỉnh Lạng Sơn")</f>
      </c>
      <c r="C5784" t="str">
        <v>https://www.facebook.com/p/Tu%E1%BB%95i-tr%E1%BA%BB-C%C3%B4ng-an-th%E1%BB%8B-x%C3%A3-S%C6%A1n-T%C3%A2y-100040884909606/</v>
      </c>
      <c r="D5784" t="str">
        <v>-</v>
      </c>
      <c r="E5784" t="str">
        <v/>
      </c>
      <c r="F5784" t="str">
        <v>-</v>
      </c>
      <c r="G5784" t="str">
        <v>-</v>
      </c>
    </row>
    <row r="5785">
      <c r="A5785">
        <v>5784</v>
      </c>
      <c r="B5785">
        <f>HYPERLINK("https://xasonha.sonha.quangngai.gov.vn/", "UBND Ủy ban nhân dân xã Sơn Hà  tỉnh Lạng Sơn")</f>
      </c>
      <c r="C5785" t="str">
        <v>https://xasonha.sonha.quangngai.gov.vn/</v>
      </c>
      <c r="D5785" t="str">
        <v>-</v>
      </c>
      <c r="E5785" t="str">
        <v>-</v>
      </c>
      <c r="F5785" t="str">
        <v>-</v>
      </c>
      <c r="G5785" t="str">
        <v>-</v>
      </c>
    </row>
    <row r="5786">
      <c r="A5786">
        <v>5785</v>
      </c>
      <c r="B5786">
        <f>HYPERLINK("https://www.facebook.com/tuoitrexulang/", "Công an xã Minh Hòa  tỉnh Lạng Sơn")</f>
      </c>
      <c r="C5786" t="str">
        <v>https://www.facebook.com/tuoitrexulang/</v>
      </c>
      <c r="D5786" t="str">
        <v>-</v>
      </c>
      <c r="E5786" t="str">
        <v/>
      </c>
      <c r="F5786" t="str">
        <v>-</v>
      </c>
      <c r="G5786" t="str">
        <v>-</v>
      </c>
    </row>
    <row r="5787">
      <c r="A5787">
        <v>5786</v>
      </c>
      <c r="B5787">
        <f>HYPERLINK("https://langson.toaan.gov.vn/webcenter/portal/langson/chitiettin?dDocName=TAND098587", "UBND Ủy ban nhân dân xã Minh Hòa  tỉnh Lạng Sơn")</f>
      </c>
      <c r="C5787" t="str">
        <v>https://langson.toaan.gov.vn/webcenter/portal/langson/chitiettin?dDocName=TAND098587</v>
      </c>
      <c r="D5787" t="str">
        <v>-</v>
      </c>
      <c r="E5787" t="str">
        <v>-</v>
      </c>
      <c r="F5787" t="str">
        <v>-</v>
      </c>
      <c r="G5787" t="str">
        <v>-</v>
      </c>
    </row>
    <row r="5788">
      <c r="A5788">
        <v>5787</v>
      </c>
      <c r="B5788" t="str">
        <v>Công an xã Hòa Thắng  tỉnh Lạng Sơn</v>
      </c>
      <c r="C5788" t="str">
        <v>-</v>
      </c>
      <c r="D5788" t="str">
        <v>-</v>
      </c>
      <c r="E5788" t="str">
        <v/>
      </c>
      <c r="F5788" t="str">
        <v>-</v>
      </c>
      <c r="G5788" t="str">
        <v>-</v>
      </c>
    </row>
    <row r="5789">
      <c r="A5789">
        <v>5788</v>
      </c>
      <c r="B5789">
        <f>HYPERLINK("https://langson.gov.vn/van-ban-chi-dao-dieu-hanh", "UBND Ủy ban nhân dân xã Hòa Thắng  tỉnh Lạng Sơn")</f>
      </c>
      <c r="C5789" t="str">
        <v>https://langson.gov.vn/van-ban-chi-dao-dieu-hanh</v>
      </c>
      <c r="D5789" t="str">
        <v>-</v>
      </c>
      <c r="E5789" t="str">
        <v>-</v>
      </c>
      <c r="F5789" t="str">
        <v>-</v>
      </c>
      <c r="G5789" t="str">
        <v>-</v>
      </c>
    </row>
    <row r="5790">
      <c r="A5790">
        <v>5789</v>
      </c>
      <c r="B5790">
        <f>HYPERLINK("https://www.facebook.com/p/Th%E1%BB%8B-tr%E1%BA%A5n-%C4%90%E1%BB%93ng-M%E1%BB%8F-Huy%E1%BB%87n-Chi-L%C4%83ng-100044399239556/", "Công an thị trấn Đồng Mỏ  tỉnh Lạng Sơn")</f>
      </c>
      <c r="C5790" t="str">
        <v>https://www.facebook.com/p/Th%E1%BB%8B-tr%E1%BA%A5n-%C4%90%E1%BB%93ng-M%E1%BB%8F-Huy%E1%BB%87n-Chi-L%C4%83ng-100044399239556/</v>
      </c>
      <c r="D5790" t="str">
        <v>-</v>
      </c>
      <c r="E5790" t="str">
        <v/>
      </c>
      <c r="F5790" t="str">
        <v>-</v>
      </c>
      <c r="G5790" t="str">
        <v>-</v>
      </c>
    </row>
    <row r="5791">
      <c r="A5791">
        <v>5790</v>
      </c>
      <c r="B5791">
        <f>HYPERLINK("https://chilang.langson.gov.vn/gioi-thieu/co-cau-to-chuc/uy-ban-nhan-dan-huyen/cac-phong-chuyen-mon-va-don-vi-su-nghiep-thuoc-ubnd-huyen", "UBND Ủy ban nhân dân thị trấn Đồng Mỏ  tỉnh Lạng Sơn")</f>
      </c>
      <c r="C5791" t="str">
        <v>https://chilang.langson.gov.vn/gioi-thieu/co-cau-to-chuc/uy-ban-nhan-dan-huyen/cac-phong-chuyen-mon-va-don-vi-su-nghiep-thuoc-ubnd-huyen</v>
      </c>
      <c r="D5791" t="str">
        <v>-</v>
      </c>
      <c r="E5791" t="str">
        <v>-</v>
      </c>
      <c r="F5791" t="str">
        <v>-</v>
      </c>
      <c r="G5791" t="str">
        <v>-</v>
      </c>
    </row>
    <row r="5792">
      <c r="A5792">
        <v>5791</v>
      </c>
      <c r="B5792">
        <f>HYPERLINK("https://www.facebook.com/tuoitreconganlangson/", "Công an thị trấn Chi Lăng  tỉnh Lạng Sơn")</f>
      </c>
      <c r="C5792" t="str">
        <v>https://www.facebook.com/tuoitreconganlangson/</v>
      </c>
      <c r="D5792" t="str">
        <v>-</v>
      </c>
      <c r="E5792" t="str">
        <v/>
      </c>
      <c r="F5792" t="str">
        <v>-</v>
      </c>
      <c r="G5792" t="str">
        <v>-</v>
      </c>
    </row>
    <row r="5793">
      <c r="A5793">
        <v>5792</v>
      </c>
      <c r="B5793">
        <f>HYPERLINK("https://chilang.langson.gov.vn/", "UBND Ủy ban nhân dân thị trấn Chi Lăng  tỉnh Lạng Sơn")</f>
      </c>
      <c r="C5793" t="str">
        <v>https://chilang.langson.gov.vn/</v>
      </c>
      <c r="D5793" t="str">
        <v>-</v>
      </c>
      <c r="E5793" t="str">
        <v>-</v>
      </c>
      <c r="F5793" t="str">
        <v>-</v>
      </c>
      <c r="G5793" t="str">
        <v>-</v>
      </c>
    </row>
    <row r="5794">
      <c r="A5794">
        <v>5793</v>
      </c>
      <c r="B5794">
        <f>HYPERLINK("https://www.facebook.com/tuoitreconganhuyenvanquan/", "Công an xã Vân An  tỉnh Lạng Sơn")</f>
      </c>
      <c r="C5794" t="str">
        <v>https://www.facebook.com/tuoitreconganhuyenvanquan/</v>
      </c>
      <c r="D5794" t="str">
        <v>-</v>
      </c>
      <c r="E5794" t="str">
        <v/>
      </c>
      <c r="F5794" t="str">
        <v>-</v>
      </c>
      <c r="G5794" t="str">
        <v>-</v>
      </c>
    </row>
    <row r="5795">
      <c r="A5795">
        <v>5794</v>
      </c>
      <c r="B5795">
        <f>HYPERLINK("https://chilang.langson.gov.vn/tin-tuc-su-kien/chinh-tri/ban-dan-van-tinh-uy-lang-son-du-sinh-hoat-chuyen-de-o-co-so.html", "UBND Ủy ban nhân dân xã Vân An  tỉnh Lạng Sơn")</f>
      </c>
      <c r="C5795" t="str">
        <v>https://chilang.langson.gov.vn/tin-tuc-su-kien/chinh-tri/ban-dan-van-tinh-uy-lang-son-du-sinh-hoat-chuyen-de-o-co-so.html</v>
      </c>
      <c r="D5795" t="str">
        <v>-</v>
      </c>
      <c r="E5795" t="str">
        <v>-</v>
      </c>
      <c r="F5795" t="str">
        <v>-</v>
      </c>
      <c r="G5795" t="str">
        <v>-</v>
      </c>
    </row>
    <row r="5796">
      <c r="A5796">
        <v>5795</v>
      </c>
      <c r="B5796">
        <f>HYPERLINK("https://www.facebook.com/100082912197725", "Công an xã Vân Thủy  tỉnh Lạng Sơn")</f>
      </c>
      <c r="C5796" t="str">
        <v>https://www.facebook.com/100082912197725</v>
      </c>
      <c r="D5796" t="str">
        <v>-</v>
      </c>
      <c r="E5796" t="str">
        <v>0989611812</v>
      </c>
      <c r="F5796" t="str">
        <v>-</v>
      </c>
      <c r="G5796" t="str">
        <v>-</v>
      </c>
    </row>
    <row r="5797">
      <c r="A5797">
        <v>5796</v>
      </c>
      <c r="B5797">
        <f>HYPERLINK("https://chilang.langson.gov.vn/", "UBND Ủy ban nhân dân xã Vân Thủy  tỉnh Lạng Sơn")</f>
      </c>
      <c r="C5797" t="str">
        <v>https://chilang.langson.gov.vn/</v>
      </c>
      <c r="D5797" t="str">
        <v>-</v>
      </c>
      <c r="E5797" t="str">
        <v>-</v>
      </c>
      <c r="F5797" t="str">
        <v>-</v>
      </c>
      <c r="G5797" t="str">
        <v>-</v>
      </c>
    </row>
    <row r="5798">
      <c r="A5798">
        <v>5797</v>
      </c>
      <c r="B5798">
        <f>HYPERLINK("https://www.facebook.com/tuoitreconganlangson/", "Công an xã Gia Lộc  tỉnh Lạng Sơn")</f>
      </c>
      <c r="C5798" t="str">
        <v>https://www.facebook.com/tuoitreconganlangson/</v>
      </c>
      <c r="D5798" t="str">
        <v>-</v>
      </c>
      <c r="E5798" t="str">
        <v/>
      </c>
      <c r="F5798" t="str">
        <v>-</v>
      </c>
      <c r="G5798" t="str">
        <v>-</v>
      </c>
    </row>
    <row r="5799">
      <c r="A5799">
        <v>5798</v>
      </c>
      <c r="B5799">
        <f>HYPERLINK("https://langson.toaan.gov.vn/webcenter/portal/langson/tintuc?selectedPage=8&amp;docType=TinBai&amp;mucHienThi=1001154", "UBND Ủy ban nhân dân xã Gia Lộc  tỉnh Lạng Sơn")</f>
      </c>
      <c r="C5799" t="str">
        <v>https://langson.toaan.gov.vn/webcenter/portal/langson/tintuc?selectedPage=8&amp;docType=TinBai&amp;mucHienThi=1001154</v>
      </c>
      <c r="D5799" t="str">
        <v>-</v>
      </c>
      <c r="E5799" t="str">
        <v>-</v>
      </c>
      <c r="F5799" t="str">
        <v>-</v>
      </c>
      <c r="G5799" t="str">
        <v>-</v>
      </c>
    </row>
    <row r="5800">
      <c r="A5800">
        <v>5799</v>
      </c>
      <c r="B5800">
        <f>HYPERLINK("https://www.facebook.com/chidoan.congan/", "Công an xã Bắc Thủy  tỉnh Lạng Sơn")</f>
      </c>
      <c r="C5800" t="str">
        <v>https://www.facebook.com/chidoan.congan/</v>
      </c>
      <c r="D5800" t="str">
        <v>-</v>
      </c>
      <c r="E5800" t="str">
        <v/>
      </c>
      <c r="F5800" t="str">
        <v>-</v>
      </c>
      <c r="G5800" t="str">
        <v>-</v>
      </c>
    </row>
    <row r="5801">
      <c r="A5801">
        <v>5800</v>
      </c>
      <c r="B5801">
        <f>HYPERLINK("https://bacson.langson.gov.vn/", "UBND Ủy ban nhân dân xã Bắc Thủy  tỉnh Lạng Sơn")</f>
      </c>
      <c r="C5801" t="str">
        <v>https://bacson.langson.gov.vn/</v>
      </c>
      <c r="D5801" t="str">
        <v>-</v>
      </c>
      <c r="E5801" t="str">
        <v>-</v>
      </c>
      <c r="F5801" t="str">
        <v>-</v>
      </c>
      <c r="G5801" t="str">
        <v>-</v>
      </c>
    </row>
    <row r="5802">
      <c r="A5802">
        <v>5801</v>
      </c>
      <c r="B5802">
        <f>HYPERLINK("https://www.facebook.com/p/C%C3%B4ng-an-x%C3%A3-Chi%E1%BA%BFn-Th%E1%BA%AFng-huy%E1%BB%87n-B%E1%BA%AFc-S%C6%A1n-t%E1%BB%89nh-L%E1%BA%A1ng-S%C6%A1n-100082275770055/", "Công an xã Chiến Thắng  tỉnh Lạng Sơn")</f>
      </c>
      <c r="C5802" t="str">
        <v>https://www.facebook.com/p/C%C3%B4ng-an-x%C3%A3-Chi%E1%BA%BFn-Th%E1%BA%AFng-huy%E1%BB%87n-B%E1%BA%AFc-S%C6%A1n-t%E1%BB%89nh-L%E1%BA%A1ng-S%C6%A1n-100082275770055/</v>
      </c>
      <c r="D5802" t="str">
        <v>-</v>
      </c>
      <c r="E5802" t="str">
        <v/>
      </c>
      <c r="F5802" t="str">
        <v>-</v>
      </c>
      <c r="G5802" t="str">
        <v>-</v>
      </c>
    </row>
    <row r="5803">
      <c r="A5803">
        <v>5802</v>
      </c>
      <c r="B5803">
        <f>HYPERLINK("https://langson.gov.vn/", "UBND Ủy ban nhân dân xã Chiến Thắng  tỉnh Lạng Sơn")</f>
      </c>
      <c r="C5803" t="str">
        <v>https://langson.gov.vn/</v>
      </c>
      <c r="D5803" t="str">
        <v>-</v>
      </c>
      <c r="E5803" t="str">
        <v>-</v>
      </c>
      <c r="F5803" t="str">
        <v>-</v>
      </c>
      <c r="G5803" t="str">
        <v>-</v>
      </c>
    </row>
    <row r="5804">
      <c r="A5804">
        <v>5803</v>
      </c>
      <c r="B5804">
        <f>HYPERLINK("https://www.facebook.com/p/X%C3%A3-Mai-Sao-Huy%E1%BB%87n-Chi-L%C4%83ng-100069003826373/", "Công an xã Mai Sao  tỉnh Lạng Sơn")</f>
      </c>
      <c r="C5804" t="str">
        <v>https://www.facebook.com/p/X%C3%A3-Mai-Sao-Huy%E1%BB%87n-Chi-L%C4%83ng-100069003826373/</v>
      </c>
      <c r="D5804" t="str">
        <v>-</v>
      </c>
      <c r="E5804" t="str">
        <v/>
      </c>
      <c r="F5804" t="str">
        <v>-</v>
      </c>
      <c r="G5804" t="str">
        <v>-</v>
      </c>
    </row>
    <row r="5805">
      <c r="A5805">
        <v>5804</v>
      </c>
      <c r="B5805">
        <f>HYPERLINK("https://langson.gov.vn/thong-tin-quy-hoach/ve-viec-giao-dat-cho-ubnd-xa-mai-sao-huyen-chi-lang-de-su-dung-vao-muc-dich-dat-xay-dung-co-so-van-hoa-nha-van-hoa-thon-.html", "UBND Ủy ban nhân dân xã Mai Sao  tỉnh Lạng Sơn")</f>
      </c>
      <c r="C5805" t="str">
        <v>https://langson.gov.vn/thong-tin-quy-hoach/ve-viec-giao-dat-cho-ubnd-xa-mai-sao-huyen-chi-lang-de-su-dung-vao-muc-dich-dat-xay-dung-co-so-van-hoa-nha-van-hoa-thon-.html</v>
      </c>
      <c r="D5805" t="str">
        <v>-</v>
      </c>
      <c r="E5805" t="str">
        <v>-</v>
      </c>
      <c r="F5805" t="str">
        <v>-</v>
      </c>
      <c r="G5805" t="str">
        <v>-</v>
      </c>
    </row>
    <row r="5806">
      <c r="A5806">
        <v>5805</v>
      </c>
      <c r="B5806">
        <f>HYPERLINK("https://www.facebook.com/media/set/?vanity=clb.tinhnguyen.khoaluat&amp;set=a.2677038525694715&amp;comment_id=2677125389019362", "Công an xã Bằng Hữu  tỉnh Lạng Sơn")</f>
      </c>
      <c r="C5806" t="str">
        <v>https://www.facebook.com/media/set/?vanity=clb.tinhnguyen.khoaluat&amp;set=a.2677038525694715&amp;comment_id=2677125389019362</v>
      </c>
      <c r="D5806" t="str">
        <v>-</v>
      </c>
      <c r="E5806" t="str">
        <v/>
      </c>
      <c r="F5806" t="str">
        <v>-</v>
      </c>
      <c r="G5806" t="str">
        <v>-</v>
      </c>
    </row>
    <row r="5807">
      <c r="A5807">
        <v>5806</v>
      </c>
      <c r="B5807">
        <f>HYPERLINK("https://chilang.langson.gov.vn/", "UBND Ủy ban nhân dân xã Bằng Hữu  tỉnh Lạng Sơn")</f>
      </c>
      <c r="C5807" t="str">
        <v>https://chilang.langson.gov.vn/</v>
      </c>
      <c r="D5807" t="str">
        <v>-</v>
      </c>
      <c r="E5807" t="str">
        <v>-</v>
      </c>
      <c r="F5807" t="str">
        <v>-</v>
      </c>
      <c r="G5807" t="str">
        <v>-</v>
      </c>
    </row>
    <row r="5808">
      <c r="A5808">
        <v>5807</v>
      </c>
      <c r="B5808">
        <f>HYPERLINK("https://www.facebook.com/conganhuyendinhlap/", "Công an xã Thượng Cường  tỉnh Lạng Sơn")</f>
      </c>
      <c r="C5808" t="str">
        <v>https://www.facebook.com/conganhuyendinhlap/</v>
      </c>
      <c r="D5808" t="str">
        <v>-</v>
      </c>
      <c r="E5808" t="str">
        <v/>
      </c>
      <c r="F5808" t="str">
        <v>-</v>
      </c>
      <c r="G5808" t="str">
        <v>-</v>
      </c>
    </row>
    <row r="5809">
      <c r="A5809">
        <v>5808</v>
      </c>
      <c r="B5809">
        <f>HYPERLINK("https://langson.gov.vn/van-ban-chi-dao-dieu-hanh/ve-viec-giao-dat-cho-ubnd-xa-thuong-cuong-huyen-chi-lang-de-su-dung-vao-muc-dich-dat-xay-dung-co-so-van-hoa-tai-thon-cho.html", "UBND Ủy ban nhân dân xã Thượng Cường  tỉnh Lạng Sơn")</f>
      </c>
      <c r="C5809" t="str">
        <v>https://langson.gov.vn/van-ban-chi-dao-dieu-hanh/ve-viec-giao-dat-cho-ubnd-xa-thuong-cuong-huyen-chi-lang-de-su-dung-vao-muc-dich-dat-xay-dung-co-so-van-hoa-tai-thon-cho.html</v>
      </c>
      <c r="D5809" t="str">
        <v>-</v>
      </c>
      <c r="E5809" t="str">
        <v>-</v>
      </c>
      <c r="F5809" t="str">
        <v>-</v>
      </c>
      <c r="G5809" t="str">
        <v>-</v>
      </c>
    </row>
    <row r="5810">
      <c r="A5810">
        <v>5809</v>
      </c>
      <c r="B5810">
        <f>HYPERLINK("https://www.facebook.com/p/UBND-X%C3%83-B%E1%BA%B0NG-M%E1%BA%A0C-61550274262314/", "Công an xã Bằng Mạc  tỉnh Lạng Sơn")</f>
      </c>
      <c r="C5810" t="str">
        <v>https://www.facebook.com/p/UBND-X%C3%83-B%E1%BA%B0NG-M%E1%BA%A0C-61550274262314/</v>
      </c>
      <c r="D5810" t="str">
        <v>-</v>
      </c>
      <c r="E5810" t="str">
        <v/>
      </c>
      <c r="F5810" t="str">
        <v>-</v>
      </c>
      <c r="G5810" t="str">
        <v>-</v>
      </c>
    </row>
    <row r="5811">
      <c r="A5811">
        <v>5810</v>
      </c>
      <c r="B5811">
        <f>HYPERLINK("https://chilang.langson.gov.vn/", "UBND Ủy ban nhân dân xã Bằng Mạc  tỉnh Lạng Sơn")</f>
      </c>
      <c r="C5811" t="str">
        <v>https://chilang.langson.gov.vn/</v>
      </c>
      <c r="D5811" t="str">
        <v>-</v>
      </c>
      <c r="E5811" t="str">
        <v>-</v>
      </c>
      <c r="F5811" t="str">
        <v>-</v>
      </c>
      <c r="G5811" t="str">
        <v>-</v>
      </c>
    </row>
    <row r="5812">
      <c r="A5812">
        <v>5811</v>
      </c>
      <c r="B5812">
        <f>HYPERLINK("https://www.facebook.com/conganhuyendinhlap/", "Công an xã Nhân Lý  tỉnh Lạng Sơn")</f>
      </c>
      <c r="C5812" t="str">
        <v>https://www.facebook.com/conganhuyendinhlap/</v>
      </c>
      <c r="D5812" t="str">
        <v>-</v>
      </c>
      <c r="E5812" t="str">
        <v/>
      </c>
      <c r="F5812" t="str">
        <v>-</v>
      </c>
      <c r="G5812" t="str">
        <v>-</v>
      </c>
    </row>
    <row r="5813">
      <c r="A5813">
        <v>5812</v>
      </c>
      <c r="B5813">
        <f>HYPERLINK("https://chilang.langson.gov.vn/", "UBND Ủy ban nhân dân xã Nhân Lý  tỉnh Lạng Sơn")</f>
      </c>
      <c r="C5813" t="str">
        <v>https://chilang.langson.gov.vn/</v>
      </c>
      <c r="D5813" t="str">
        <v>-</v>
      </c>
      <c r="E5813" t="str">
        <v>-</v>
      </c>
      <c r="F5813" t="str">
        <v>-</v>
      </c>
      <c r="G5813" t="str">
        <v>-</v>
      </c>
    </row>
    <row r="5814">
      <c r="A5814">
        <v>5813</v>
      </c>
      <c r="B5814">
        <f>HYPERLINK("https://www.facebook.com/tuoitreconganhuyenvanquan/", "Công an xã Lâm Sơn  tỉnh Lạng Sơn")</f>
      </c>
      <c r="C5814" t="str">
        <v>https://www.facebook.com/tuoitreconganhuyenvanquan/</v>
      </c>
      <c r="D5814" t="str">
        <v>-</v>
      </c>
      <c r="E5814" t="str">
        <v/>
      </c>
      <c r="F5814" t="str">
        <v>-</v>
      </c>
      <c r="G5814" t="str">
        <v>-</v>
      </c>
    </row>
    <row r="5815">
      <c r="A5815">
        <v>5814</v>
      </c>
      <c r="B5815">
        <f>HYPERLINK("https://langson.gov.vn/", "UBND Ủy ban nhân dân xã Lâm Sơn  tỉnh Lạng Sơn")</f>
      </c>
      <c r="C5815" t="str">
        <v>https://langson.gov.vn/</v>
      </c>
      <c r="D5815" t="str">
        <v>-</v>
      </c>
      <c r="E5815" t="str">
        <v>-</v>
      </c>
      <c r="F5815" t="str">
        <v>-</v>
      </c>
      <c r="G5815" t="str">
        <v>-</v>
      </c>
    </row>
    <row r="5816">
      <c r="A5816">
        <v>5815</v>
      </c>
      <c r="B5816">
        <f>HYPERLINK("https://www.facebook.com/tuoitreconganlangson/", "Công an xã Liên Sơn  tỉnh Lạng Sơn")</f>
      </c>
      <c r="C5816" t="str">
        <v>https://www.facebook.com/tuoitreconganlangson/</v>
      </c>
      <c r="D5816" t="str">
        <v>-</v>
      </c>
      <c r="E5816" t="str">
        <v/>
      </c>
      <c r="F5816" t="str">
        <v>-</v>
      </c>
      <c r="G5816" t="str">
        <v>-</v>
      </c>
    </row>
    <row r="5817">
      <c r="A5817">
        <v>5816</v>
      </c>
      <c r="B5817">
        <f>HYPERLINK("https://xalienson.hoabinh.gov.vn/", "UBND Ủy ban nhân dân xã Liên Sơn  tỉnh Lạng Sơn")</f>
      </c>
      <c r="C5817" t="str">
        <v>https://xalienson.hoabinh.gov.vn/</v>
      </c>
      <c r="D5817" t="str">
        <v>-</v>
      </c>
      <c r="E5817" t="str">
        <v>-</v>
      </c>
      <c r="F5817" t="str">
        <v>-</v>
      </c>
      <c r="G5817" t="str">
        <v>-</v>
      </c>
    </row>
    <row r="5818">
      <c r="A5818">
        <v>5817</v>
      </c>
      <c r="B5818">
        <f>HYPERLINK("https://www.facebook.com/p/Tr%C6%B0%E1%BB%9Dng-THCS-x%C3%A3-V%E1%BA%A1n-Linh-Chi-L%C4%83ng-L%E1%BA%A1ng-S%C6%A1n-100068860151284/", "Công an xã Vạn Linh  tỉnh Lạng Sơn")</f>
      </c>
      <c r="C5818" t="str">
        <v>https://www.facebook.com/p/Tr%C6%B0%E1%BB%9Dng-THCS-x%C3%A3-V%E1%BA%A1n-Linh-Chi-L%C4%83ng-L%E1%BA%A1ng-S%C6%A1n-100068860151284/</v>
      </c>
      <c r="D5818" t="str">
        <v>-</v>
      </c>
      <c r="E5818" t="str">
        <v/>
      </c>
      <c r="F5818" t="str">
        <v>-</v>
      </c>
      <c r="G5818" t="str">
        <v>-</v>
      </c>
    </row>
    <row r="5819">
      <c r="A5819">
        <v>5818</v>
      </c>
      <c r="B5819">
        <f>HYPERLINK("https://chilang.langson.gov.vn/tin-tuc-su-kien/van-hoa-xa-hoi/van-linh-to-chuc-khai-mac-ngay-hoi-truyen-thong-mung-2-thang-2-am-lich.html", "UBND Ủy ban nhân dân xã Vạn Linh  tỉnh Lạng Sơn")</f>
      </c>
      <c r="C5819" t="str">
        <v>https://chilang.langson.gov.vn/tin-tuc-su-kien/van-hoa-xa-hoi/van-linh-to-chuc-khai-mac-ngay-hoi-truyen-thong-mung-2-thang-2-am-lich.html</v>
      </c>
      <c r="D5819" t="str">
        <v>-</v>
      </c>
      <c r="E5819" t="str">
        <v>-</v>
      </c>
      <c r="F5819" t="str">
        <v>-</v>
      </c>
      <c r="G5819" t="str">
        <v>-</v>
      </c>
    </row>
    <row r="5820">
      <c r="A5820">
        <v>5819</v>
      </c>
      <c r="B5820">
        <f>HYPERLINK("https://www.facebook.com/p/Tu%E1%BB%95i-tr%E1%BA%BB-C%C3%B4ng-an-huy%E1%BB%87n-B%C3%ACnh-Gia-100070618760059/", "Công an xã Hòa Bình  tỉnh Lạng Sơn")</f>
      </c>
      <c r="C5820" t="str">
        <v>https://www.facebook.com/p/Tu%E1%BB%95i-tr%E1%BA%BB-C%C3%B4ng-an-huy%E1%BB%87n-B%C3%ACnh-Gia-100070618760059/</v>
      </c>
      <c r="D5820" t="str">
        <v>-</v>
      </c>
      <c r="E5820" t="str">
        <v/>
      </c>
      <c r="F5820" t="str">
        <v>-</v>
      </c>
      <c r="G5820" t="str">
        <v>-</v>
      </c>
    </row>
    <row r="5821">
      <c r="A5821">
        <v>5820</v>
      </c>
      <c r="B5821">
        <f>HYPERLINK("https://langson.baohiemxahoi.gov.vn/vanban/Pages/default.aspx?ItemID=9813", "UBND Ủy ban nhân dân xã Hòa Bình  tỉnh Lạng Sơn")</f>
      </c>
      <c r="C5821" t="str">
        <v>https://langson.baohiemxahoi.gov.vn/vanban/Pages/default.aspx?ItemID=9813</v>
      </c>
      <c r="D5821" t="str">
        <v>-</v>
      </c>
      <c r="E5821" t="str">
        <v>-</v>
      </c>
      <c r="F5821" t="str">
        <v>-</v>
      </c>
      <c r="G5821" t="str">
        <v>-</v>
      </c>
    </row>
    <row r="5822">
      <c r="A5822">
        <v>5821</v>
      </c>
      <c r="B5822">
        <f>HYPERLINK("https://www.facebook.com/tuoitreconganhuyenvanquan/", "Công an xã Quang Lang  tỉnh Lạng Sơn")</f>
      </c>
      <c r="C5822" t="str">
        <v>https://www.facebook.com/tuoitreconganhuyenvanquan/</v>
      </c>
      <c r="D5822" t="str">
        <v>-</v>
      </c>
      <c r="E5822" t="str">
        <v/>
      </c>
      <c r="F5822" t="str">
        <v>-</v>
      </c>
      <c r="G5822" t="str">
        <v>-</v>
      </c>
    </row>
    <row r="5823">
      <c r="A5823">
        <v>5822</v>
      </c>
      <c r="B5823">
        <f>HYPERLINK("https://chilang.langson.gov.vn/", "UBND Ủy ban nhân dân xã Quang Lang  tỉnh Lạng Sơn")</f>
      </c>
      <c r="C5823" t="str">
        <v>https://chilang.langson.gov.vn/</v>
      </c>
      <c r="D5823" t="str">
        <v>-</v>
      </c>
      <c r="E5823" t="str">
        <v>-</v>
      </c>
      <c r="F5823" t="str">
        <v>-</v>
      </c>
      <c r="G5823" t="str">
        <v>-</v>
      </c>
    </row>
    <row r="5824">
      <c r="A5824">
        <v>5823</v>
      </c>
      <c r="B5824">
        <f>HYPERLINK("https://www.facebook.com/tuoitreconganhuyenvanquan/", "Công an xã Hữu Kiên  tỉnh Lạng Sơn")</f>
      </c>
      <c r="C5824" t="str">
        <v>https://www.facebook.com/tuoitreconganhuyenvanquan/</v>
      </c>
      <c r="D5824" t="str">
        <v>-</v>
      </c>
      <c r="E5824" t="str">
        <v/>
      </c>
      <c r="F5824" t="str">
        <v>-</v>
      </c>
      <c r="G5824" t="str">
        <v>-</v>
      </c>
    </row>
    <row r="5825">
      <c r="A5825">
        <v>5824</v>
      </c>
      <c r="B5825">
        <f>HYPERLINK("https://chilang.langson.gov.vn/", "UBND Ủy ban nhân dân xã Hữu Kiên  tỉnh Lạng Sơn")</f>
      </c>
      <c r="C5825" t="str">
        <v>https://chilang.langson.gov.vn/</v>
      </c>
      <c r="D5825" t="str">
        <v>-</v>
      </c>
      <c r="E5825" t="str">
        <v>-</v>
      </c>
      <c r="F5825" t="str">
        <v>-</v>
      </c>
      <c r="G5825" t="str">
        <v>-</v>
      </c>
    </row>
    <row r="5826">
      <c r="A5826">
        <v>5825</v>
      </c>
      <c r="B5826">
        <f>HYPERLINK("https://www.facebook.com/tuoitreconganlangson/", "Công an xã Quan Sơn  tỉnh Lạng Sơn")</f>
      </c>
      <c r="C5826" t="str">
        <v>https://www.facebook.com/tuoitreconganlangson/</v>
      </c>
      <c r="D5826" t="str">
        <v>-</v>
      </c>
      <c r="E5826" t="str">
        <v/>
      </c>
      <c r="F5826" t="str">
        <v>-</v>
      </c>
      <c r="G5826" t="str">
        <v>-</v>
      </c>
    </row>
    <row r="5827">
      <c r="A5827">
        <v>5826</v>
      </c>
      <c r="B5827">
        <f>HYPERLINK("https://langson.gov.vn/", "UBND Ủy ban nhân dân xã Quan Sơn  tỉnh Lạng Sơn")</f>
      </c>
      <c r="C5827" t="str">
        <v>https://langson.gov.vn/</v>
      </c>
      <c r="D5827" t="str">
        <v>-</v>
      </c>
      <c r="E5827" t="str">
        <v>-</v>
      </c>
      <c r="F5827" t="str">
        <v>-</v>
      </c>
      <c r="G5827" t="str">
        <v>-</v>
      </c>
    </row>
    <row r="5828">
      <c r="A5828">
        <v>5827</v>
      </c>
      <c r="B5828">
        <f>HYPERLINK("https://www.facebook.com/tuoitreconganlangson/", "Công an xã Quan Sơn  tỉnh Lạng Sơn")</f>
      </c>
      <c r="C5828" t="str">
        <v>https://www.facebook.com/tuoitreconganlangson/</v>
      </c>
      <c r="D5828" t="str">
        <v>-</v>
      </c>
      <c r="E5828" t="str">
        <v/>
      </c>
      <c r="F5828" t="str">
        <v>-</v>
      </c>
      <c r="G5828" t="str">
        <v>-</v>
      </c>
    </row>
    <row r="5829">
      <c r="A5829">
        <v>5828</v>
      </c>
      <c r="B5829">
        <f>HYPERLINK("https://langson.gov.vn/", "UBND Ủy ban nhân dân xã Quan Sơn  tỉnh Lạng Sơn")</f>
      </c>
      <c r="C5829" t="str">
        <v>https://langson.gov.vn/</v>
      </c>
      <c r="D5829" t="str">
        <v>-</v>
      </c>
      <c r="E5829" t="str">
        <v>-</v>
      </c>
      <c r="F5829" t="str">
        <v>-</v>
      </c>
      <c r="G5829" t="str">
        <v>-</v>
      </c>
    </row>
    <row r="5830">
      <c r="A5830">
        <v>5829</v>
      </c>
      <c r="B5830">
        <f>HYPERLINK("https://www.facebook.com/tuoitreconganlangson/", "Công an xã Chi Lăng  tỉnh Lạng Sơn")</f>
      </c>
      <c r="C5830" t="str">
        <v>https://www.facebook.com/tuoitreconganlangson/</v>
      </c>
      <c r="D5830" t="str">
        <v>-</v>
      </c>
      <c r="E5830" t="str">
        <v/>
      </c>
      <c r="F5830" t="str">
        <v>-</v>
      </c>
      <c r="G5830" t="str">
        <v>-</v>
      </c>
    </row>
    <row r="5831">
      <c r="A5831">
        <v>5830</v>
      </c>
      <c r="B5831">
        <f>HYPERLINK("https://chilang.langson.gov.vn/thong-tin-tuyen-truyen/tuyen-truyen-c", "UBND Ủy ban nhân dân xã Chi Lăng  tỉnh Lạng Sơn")</f>
      </c>
      <c r="C5831" t="str">
        <v>https://chilang.langson.gov.vn/thong-tin-tuyen-truyen/tuyen-truyen-c</v>
      </c>
      <c r="D5831" t="str">
        <v>-</v>
      </c>
      <c r="E5831" t="str">
        <v>-</v>
      </c>
      <c r="F5831" t="str">
        <v>-</v>
      </c>
      <c r="G5831" t="str">
        <v>-</v>
      </c>
    </row>
    <row r="5832">
      <c r="A5832">
        <v>5831</v>
      </c>
      <c r="B5832">
        <f>HYPERLINK("https://www.facebook.com/100091907717072", "Công an thị trấn Na Dương  tỉnh Lạng Sơn")</f>
      </c>
      <c r="C5832" t="str">
        <v>https://www.facebook.com/100091907717072</v>
      </c>
      <c r="D5832" t="str">
        <v>-</v>
      </c>
      <c r="E5832" t="str">
        <v>02056281668</v>
      </c>
      <c r="F5832" t="str">
        <v>-</v>
      </c>
      <c r="G5832" t="str">
        <v>Lang Son, Vietnam</v>
      </c>
    </row>
    <row r="5833">
      <c r="A5833">
        <v>5832</v>
      </c>
      <c r="B5833">
        <f>HYPERLINK("https://langson.gov.vn/thong-tin-tong-hop/thong-tin-quy-hoach/phe-duyet-dieu-chinh-quy-hoach-chung-thi-tran-na-duong-huyen-loc-binh-tinh-lang-son-den-nam-2035-ty-le-1-5.000.html", "UBND Ủy ban nhân dân thị trấn Na Dương  tỉnh Lạng Sơn")</f>
      </c>
      <c r="C5833" t="str">
        <v>https://langson.gov.vn/thong-tin-tong-hop/thong-tin-quy-hoach/phe-duyet-dieu-chinh-quy-hoach-chung-thi-tran-na-duong-huyen-loc-binh-tinh-lang-son-den-nam-2035-ty-le-1-5.000.html</v>
      </c>
      <c r="D5833" t="str">
        <v>-</v>
      </c>
      <c r="E5833" t="str">
        <v>-</v>
      </c>
      <c r="F5833" t="str">
        <v>-</v>
      </c>
      <c r="G5833" t="str">
        <v>-</v>
      </c>
    </row>
    <row r="5834">
      <c r="A5834">
        <v>5833</v>
      </c>
      <c r="B5834">
        <f>HYPERLINK("https://www.facebook.com/p/Tu%E1%BB%95i-tr%E1%BA%BB-C%C3%B4ng-an-huy%E1%BB%87n-L%E1%BB%99c-B%C3%ACnh-100063492099584/", "Công an thị trấn Lộc Bình  tỉnh Lạng Sơn")</f>
      </c>
      <c r="C5834" t="str">
        <v>https://www.facebook.com/p/Tu%E1%BB%95i-tr%E1%BA%BB-C%C3%B4ng-an-huy%E1%BB%87n-L%E1%BB%99c-B%C3%ACnh-100063492099584/</v>
      </c>
      <c r="D5834" t="str">
        <v>-</v>
      </c>
      <c r="E5834" t="str">
        <v/>
      </c>
      <c r="F5834" t="str">
        <v>-</v>
      </c>
      <c r="G5834" t="str">
        <v>-</v>
      </c>
    </row>
    <row r="5835">
      <c r="A5835">
        <v>5834</v>
      </c>
      <c r="B5835">
        <f>HYPERLINK("https://locbinh.langson.gov.vn/", "UBND Ủy ban nhân dân thị trấn Lộc Bình  tỉnh Lạng Sơn")</f>
      </c>
      <c r="C5835" t="str">
        <v>https://locbinh.langson.gov.vn/</v>
      </c>
      <c r="D5835" t="str">
        <v>-</v>
      </c>
      <c r="E5835" t="str">
        <v>-</v>
      </c>
      <c r="F5835" t="str">
        <v>-</v>
      </c>
      <c r="G5835" t="str">
        <v>-</v>
      </c>
    </row>
    <row r="5836">
      <c r="A5836">
        <v>5835</v>
      </c>
      <c r="B5836">
        <f>HYPERLINK("https://www.facebook.com/tuoitrexulang/", "Công an xã Mẫu Sơn  tỉnh Lạng Sơn")</f>
      </c>
      <c r="C5836" t="str">
        <v>https://www.facebook.com/tuoitrexulang/</v>
      </c>
      <c r="D5836" t="str">
        <v>-</v>
      </c>
      <c r="E5836" t="str">
        <v/>
      </c>
      <c r="F5836" t="str">
        <v>-</v>
      </c>
      <c r="G5836" t="str">
        <v>-</v>
      </c>
    </row>
    <row r="5837">
      <c r="A5837">
        <v>5836</v>
      </c>
      <c r="B5837">
        <f>HYPERLINK("https://langson.gov.vn/", "UBND Ủy ban nhân dân xã Mẫu Sơn  tỉnh Lạng Sơn")</f>
      </c>
      <c r="C5837" t="str">
        <v>https://langson.gov.vn/</v>
      </c>
      <c r="D5837" t="str">
        <v>-</v>
      </c>
      <c r="E5837" t="str">
        <v>-</v>
      </c>
      <c r="F5837" t="str">
        <v>-</v>
      </c>
      <c r="G5837" t="str">
        <v>-</v>
      </c>
    </row>
    <row r="5838">
      <c r="A5838">
        <v>5837</v>
      </c>
      <c r="B5838">
        <f>HYPERLINK("https://www.facebook.com/tuoitreconganhuyenvanquan/", "Công an xã Bằng Khánh  tỉnh Lạng Sơn")</f>
      </c>
      <c r="C5838" t="str">
        <v>https://www.facebook.com/tuoitreconganhuyenvanquan/</v>
      </c>
      <c r="D5838" t="str">
        <v>-</v>
      </c>
      <c r="E5838" t="str">
        <v/>
      </c>
      <c r="F5838" t="str">
        <v>-</v>
      </c>
      <c r="G5838" t="str">
        <v>-</v>
      </c>
    </row>
    <row r="5839">
      <c r="A5839">
        <v>5838</v>
      </c>
      <c r="B5839">
        <f>HYPERLINK("https://langson.gov.vn/", "UBND Ủy ban nhân dân xã Bằng Khánh  tỉnh Lạng Sơn")</f>
      </c>
      <c r="C5839" t="str">
        <v>https://langson.gov.vn/</v>
      </c>
      <c r="D5839" t="str">
        <v>-</v>
      </c>
      <c r="E5839" t="str">
        <v>-</v>
      </c>
      <c r="F5839" t="str">
        <v>-</v>
      </c>
      <c r="G5839" t="str">
        <v>-</v>
      </c>
    </row>
    <row r="5840">
      <c r="A5840">
        <v>5839</v>
      </c>
      <c r="B5840">
        <f>HYPERLINK("https://www.facebook.com/tuoitreconganlangson/", "Công an xã Xuân Lễ  tỉnh Lạng Sơn")</f>
      </c>
      <c r="C5840" t="str">
        <v>https://www.facebook.com/tuoitreconganlangson/</v>
      </c>
      <c r="D5840" t="str">
        <v>-</v>
      </c>
      <c r="E5840" t="str">
        <v/>
      </c>
      <c r="F5840" t="str">
        <v>-</v>
      </c>
      <c r="G5840" t="str">
        <v>-</v>
      </c>
    </row>
    <row r="5841">
      <c r="A5841">
        <v>5840</v>
      </c>
      <c r="B5841">
        <f>HYPERLINK("https://langson.gov.vn/", "UBND Ủy ban nhân dân xã Xuân Lễ  tỉnh Lạng Sơn")</f>
      </c>
      <c r="C5841" t="str">
        <v>https://langson.gov.vn/</v>
      </c>
      <c r="D5841" t="str">
        <v>-</v>
      </c>
      <c r="E5841" t="str">
        <v>-</v>
      </c>
      <c r="F5841" t="str">
        <v>-</v>
      </c>
      <c r="G5841" t="str">
        <v>-</v>
      </c>
    </row>
    <row r="5842">
      <c r="A5842">
        <v>5841</v>
      </c>
      <c r="B5842">
        <f>HYPERLINK("https://www.facebook.com/tuoitreconganhuyenvanquan/", "Công an xã Yên Khoái  tỉnh Lạng Sơn")</f>
      </c>
      <c r="C5842" t="str">
        <v>https://www.facebook.com/tuoitreconganhuyenvanquan/</v>
      </c>
      <c r="D5842" t="str">
        <v>-</v>
      </c>
      <c r="E5842" t="str">
        <v/>
      </c>
      <c r="F5842" t="str">
        <v>-</v>
      </c>
      <c r="G5842" t="str">
        <v>-</v>
      </c>
    </row>
    <row r="5843">
      <c r="A5843">
        <v>5842</v>
      </c>
      <c r="B5843">
        <f>HYPERLINK("https://sogtvt.langson.gov.vn/tin-tuc-su-kien/cum-thi-dua-so-3-va-so-4-cong-doan-vien-chuc-tinh-phoi-hop-voi-don-bien-phong-cua-khau-chi-ma-xa-yen-khoai-huyen-loc-bin.html", "UBND Ủy ban nhân dân xã Yên Khoái  tỉnh Lạng Sơn")</f>
      </c>
      <c r="C5843" t="str">
        <v>https://sogtvt.langson.gov.vn/tin-tuc-su-kien/cum-thi-dua-so-3-va-so-4-cong-doan-vien-chuc-tinh-phoi-hop-voi-don-bien-phong-cua-khau-chi-ma-xa-yen-khoai-huyen-loc-bin.html</v>
      </c>
      <c r="D5843" t="str">
        <v>-</v>
      </c>
      <c r="E5843" t="str">
        <v>-</v>
      </c>
      <c r="F5843" t="str">
        <v>-</v>
      </c>
      <c r="G5843" t="str">
        <v>-</v>
      </c>
    </row>
    <row r="5844">
      <c r="A5844">
        <v>5843</v>
      </c>
      <c r="B5844">
        <f>HYPERLINK("https://www.facebook.com/tuoitrexulang/", "Công an xã Xuân Mãn  tỉnh Lạng Sơn")</f>
      </c>
      <c r="C5844" t="str">
        <v>https://www.facebook.com/tuoitrexulang/</v>
      </c>
      <c r="D5844" t="str">
        <v>-</v>
      </c>
      <c r="E5844" t="str">
        <v/>
      </c>
      <c r="F5844" t="str">
        <v>-</v>
      </c>
      <c r="G5844" t="str">
        <v>-</v>
      </c>
    </row>
    <row r="5845">
      <c r="A5845">
        <v>5844</v>
      </c>
      <c r="B5845">
        <f>HYPERLINK("https://khuyennongvn.gov.vn/thien-tai-dich-hai/huyen-loc-binh-tinh-lang-son-chinh-thuc-cong-bo-dich-ta-lon-chau-phi-18335.html", "UBND Ủy ban nhân dân xã Xuân Mãn  tỉnh Lạng Sơn")</f>
      </c>
      <c r="C5845" t="str">
        <v>https://khuyennongvn.gov.vn/thien-tai-dich-hai/huyen-loc-binh-tinh-lang-son-chinh-thuc-cong-bo-dich-ta-lon-chau-phi-18335.html</v>
      </c>
      <c r="D5845" t="str">
        <v>-</v>
      </c>
      <c r="E5845" t="str">
        <v>-</v>
      </c>
      <c r="F5845" t="str">
        <v>-</v>
      </c>
      <c r="G5845" t="str">
        <v>-</v>
      </c>
    </row>
    <row r="5846">
      <c r="A5846">
        <v>5845</v>
      </c>
      <c r="B5846" t="str">
        <v>Công an xã Tú Mịch  tỉnh Lạng Sơn</v>
      </c>
      <c r="C5846" t="str">
        <v>-</v>
      </c>
      <c r="D5846" t="str">
        <v>-</v>
      </c>
      <c r="E5846" t="str">
        <v/>
      </c>
      <c r="F5846" t="str">
        <v>-</v>
      </c>
      <c r="G5846" t="str">
        <v>-</v>
      </c>
    </row>
    <row r="5847">
      <c r="A5847">
        <v>5846</v>
      </c>
      <c r="B5847">
        <f>HYPERLINK("https://locbinh.langson.gov.vn/tin-tuc-su-kien/quoc-phong-an-ninh/xa-tu-mich-huyen-loc-binh-phoi-hop-to-chuc-ngay-hoi-bien-phong-toan-dan-nam-2024.html", "UBND Ủy ban nhân dân xã Tú Mịch  tỉnh Lạng Sơn")</f>
      </c>
      <c r="C5847" t="str">
        <v>https://locbinh.langson.gov.vn/tin-tuc-su-kien/quoc-phong-an-ninh/xa-tu-mich-huyen-loc-binh-phoi-hop-to-chuc-ngay-hoi-bien-phong-toan-dan-nam-2024.html</v>
      </c>
      <c r="D5847" t="str">
        <v>-</v>
      </c>
      <c r="E5847" t="str">
        <v>-</v>
      </c>
      <c r="F5847" t="str">
        <v>-</v>
      </c>
      <c r="G5847" t="str">
        <v>-</v>
      </c>
    </row>
    <row r="5848">
      <c r="A5848">
        <v>5847</v>
      </c>
      <c r="B5848">
        <f>HYPERLINK("https://www.facebook.com/p/Tu%E1%BB%95i-tr%E1%BA%BB-C%C3%B4ng-an-th%E1%BB%8B-x%C3%A3-S%C6%A1n-T%C3%A2y-100040884909606/", "Công an xã Hữu Khánh  tỉnh Lạng Sơn")</f>
      </c>
      <c r="C5848" t="str">
        <v>https://www.facebook.com/p/Tu%E1%BB%95i-tr%E1%BA%BB-C%C3%B4ng-an-th%E1%BB%8B-x%C3%A3-S%C6%A1n-T%C3%A2y-100040884909606/</v>
      </c>
      <c r="D5848" t="str">
        <v>-</v>
      </c>
      <c r="E5848" t="str">
        <v/>
      </c>
      <c r="F5848" t="str">
        <v>-</v>
      </c>
      <c r="G5848" t="str">
        <v>-</v>
      </c>
    </row>
    <row r="5849">
      <c r="A5849">
        <v>5848</v>
      </c>
      <c r="B5849">
        <f>HYPERLINK("https://locbinh.langson.gov.vn/tin-tuc-su-kien/hoat-dong-lanh-dao-huyen/huu-khanh-phat-dong-ban-giao-dat-truoc-nhan-boi-thuong-sau-du-an-quoc-lo-4b.html", "UBND Ủy ban nhân dân xã Hữu Khánh  tỉnh Lạng Sơn")</f>
      </c>
      <c r="C5849" t="str">
        <v>https://locbinh.langson.gov.vn/tin-tuc-su-kien/hoat-dong-lanh-dao-huyen/huu-khanh-phat-dong-ban-giao-dat-truoc-nhan-boi-thuong-sau-du-an-quoc-lo-4b.html</v>
      </c>
      <c r="D5849" t="str">
        <v>-</v>
      </c>
      <c r="E5849" t="str">
        <v>-</v>
      </c>
      <c r="F5849" t="str">
        <v>-</v>
      </c>
      <c r="G5849" t="str">
        <v>-</v>
      </c>
    </row>
    <row r="5850">
      <c r="A5850">
        <v>5849</v>
      </c>
      <c r="B5850">
        <f>HYPERLINK("https://www.facebook.com/conganhuyendinhlap/", "Công an xã Đồng Bục  tỉnh Lạng Sơn")</f>
      </c>
      <c r="C5850" t="str">
        <v>https://www.facebook.com/conganhuyendinhlap/</v>
      </c>
      <c r="D5850" t="str">
        <v>-</v>
      </c>
      <c r="E5850" t="str">
        <v/>
      </c>
      <c r="F5850" t="str">
        <v>-</v>
      </c>
      <c r="G5850" t="str">
        <v>-</v>
      </c>
    </row>
    <row r="5851">
      <c r="A5851">
        <v>5850</v>
      </c>
      <c r="B5851">
        <f>HYPERLINK("https://locbinh.langson.gov.vn/", "UBND Ủy ban nhân dân xã Đồng Bục  tỉnh Lạng Sơn")</f>
      </c>
      <c r="C5851" t="str">
        <v>https://locbinh.langson.gov.vn/</v>
      </c>
      <c r="D5851" t="str">
        <v>-</v>
      </c>
      <c r="E5851" t="str">
        <v>-</v>
      </c>
      <c r="F5851" t="str">
        <v>-</v>
      </c>
      <c r="G5851" t="str">
        <v>-</v>
      </c>
    </row>
    <row r="5852">
      <c r="A5852">
        <v>5851</v>
      </c>
      <c r="B5852">
        <f>HYPERLINK("https://www.facebook.com/tuoitreconganhuyenvanquan/", "Công an xã Vân Mộng  tỉnh Lạng Sơn")</f>
      </c>
      <c r="C5852" t="str">
        <v>https://www.facebook.com/tuoitreconganhuyenvanquan/</v>
      </c>
      <c r="D5852" t="str">
        <v>-</v>
      </c>
      <c r="E5852" t="str">
        <v/>
      </c>
      <c r="F5852" t="str">
        <v>-</v>
      </c>
      <c r="G5852" t="str">
        <v>-</v>
      </c>
    </row>
    <row r="5853">
      <c r="A5853">
        <v>5852</v>
      </c>
      <c r="B5853">
        <f>HYPERLINK("https://vanquan.langson.gov.vn/upload/105421/20231225/1198850aa08c9484929afb7a7e4bf3aaBAO_20CAO_20NTM-_20PHUC_20VU_20_C4_90OAN_20KIEM_20TRA_20CUA_20SO_20THONG_20TIN_20VA_20TRUYEN_20THONG.pdf", "UBND Ủy ban nhân dân xã Vân Mộng  tỉnh Lạng Sơn")</f>
      </c>
      <c r="C5853" t="str">
        <v>https://vanquan.langson.gov.vn/upload/105421/20231225/1198850aa08c9484929afb7a7e4bf3aaBAO_20CAO_20NTM-_20PHUC_20VU_20_C4_90OAN_20KIEM_20TRA_20CUA_20SO_20THONG_20TIN_20VA_20TRUYEN_20THONG.pdf</v>
      </c>
      <c r="D5853" t="str">
        <v>-</v>
      </c>
      <c r="E5853" t="str">
        <v>-</v>
      </c>
      <c r="F5853" t="str">
        <v>-</v>
      </c>
      <c r="G5853" t="str">
        <v>-</v>
      </c>
    </row>
    <row r="5854">
      <c r="A5854">
        <v>5853</v>
      </c>
      <c r="B5854">
        <f>HYPERLINK("https://www.facebook.com/p/Tu%E1%BB%95i-tr%E1%BA%BB-C%C3%B4ng-an-huy%E1%BB%87n-B%C3%ACnh-Gia-100070618760059/", "Công an xã Tam Gia  tỉnh Lạng Sơn")</f>
      </c>
      <c r="C5854" t="str">
        <v>https://www.facebook.com/p/Tu%E1%BB%95i-tr%E1%BA%BB-C%C3%B4ng-an-huy%E1%BB%87n-B%C3%ACnh-Gia-100070618760059/</v>
      </c>
      <c r="D5854" t="str">
        <v>-</v>
      </c>
      <c r="E5854" t="str">
        <v/>
      </c>
      <c r="F5854" t="str">
        <v>-</v>
      </c>
      <c r="G5854" t="str">
        <v>-</v>
      </c>
    </row>
    <row r="5855">
      <c r="A5855">
        <v>5854</v>
      </c>
      <c r="B5855">
        <f>HYPERLINK("https://langson.gov.vn/", "UBND Ủy ban nhân dân xã Tam Gia  tỉnh Lạng Sơn")</f>
      </c>
      <c r="C5855" t="str">
        <v>https://langson.gov.vn/</v>
      </c>
      <c r="D5855" t="str">
        <v>-</v>
      </c>
      <c r="E5855" t="str">
        <v>-</v>
      </c>
      <c r="F5855" t="str">
        <v>-</v>
      </c>
      <c r="G5855" t="str">
        <v>-</v>
      </c>
    </row>
    <row r="5856">
      <c r="A5856">
        <v>5855</v>
      </c>
      <c r="B5856" t="str">
        <v>Công an xã Tú Đoạn  tỉnh Lạng Sơn</v>
      </c>
      <c r="C5856" t="str">
        <v>-</v>
      </c>
      <c r="D5856" t="str">
        <v>-</v>
      </c>
      <c r="E5856" t="str">
        <v/>
      </c>
      <c r="F5856" t="str">
        <v>-</v>
      </c>
      <c r="G5856" t="str">
        <v>-</v>
      </c>
    </row>
    <row r="5857">
      <c r="A5857">
        <v>5856</v>
      </c>
      <c r="B5857">
        <f>HYPERLINK("https://locbinh.langson.gov.vn/tin-tuc-su-kien/hoi-dong-nhan-dan/dai-bieu-hdnd-huyen-tiep-xuc-cu-tri-cum-xa-san-vien-va-xa-tu-doan.html", "UBND Ủy ban nhân dân xã Tú Đoạn  tỉnh Lạng Sơn")</f>
      </c>
      <c r="C5857" t="str">
        <v>https://locbinh.langson.gov.vn/tin-tuc-su-kien/hoi-dong-nhan-dan/dai-bieu-hdnd-huyen-tiep-xuc-cu-tri-cum-xa-san-vien-va-xa-tu-doan.html</v>
      </c>
      <c r="D5857" t="str">
        <v>-</v>
      </c>
      <c r="E5857" t="str">
        <v>-</v>
      </c>
      <c r="F5857" t="str">
        <v>-</v>
      </c>
      <c r="G5857" t="str">
        <v>-</v>
      </c>
    </row>
    <row r="5858">
      <c r="A5858">
        <v>5857</v>
      </c>
      <c r="B5858">
        <f>HYPERLINK("https://www.facebook.com/tuoitreconganhuyenvanquan/", "Công an xã Khuất Xá  tỉnh Lạng Sơn")</f>
      </c>
      <c r="C5858" t="str">
        <v>https://www.facebook.com/tuoitreconganhuyenvanquan/</v>
      </c>
      <c r="D5858" t="str">
        <v>-</v>
      </c>
      <c r="E5858" t="str">
        <v/>
      </c>
      <c r="F5858" t="str">
        <v>-</v>
      </c>
      <c r="G5858" t="str">
        <v>-</v>
      </c>
    </row>
    <row r="5859">
      <c r="A5859">
        <v>5858</v>
      </c>
      <c r="B5859">
        <f>HYPERLINK("https://locbinh.langson.gov.vn/du-lich", "UBND Ủy ban nhân dân xã Khuất Xá  tỉnh Lạng Sơn")</f>
      </c>
      <c r="C5859" t="str">
        <v>https://locbinh.langson.gov.vn/du-lich</v>
      </c>
      <c r="D5859" t="str">
        <v>-</v>
      </c>
      <c r="E5859" t="str">
        <v>-</v>
      </c>
      <c r="F5859" t="str">
        <v>-</v>
      </c>
      <c r="G5859" t="str">
        <v>-</v>
      </c>
    </row>
    <row r="5860">
      <c r="A5860">
        <v>5859</v>
      </c>
      <c r="B5860" t="str">
        <v>Công an xã Như Khuê  tỉnh Lạng Sơn</v>
      </c>
      <c r="C5860" t="str">
        <v>-</v>
      </c>
      <c r="D5860" t="str">
        <v>-</v>
      </c>
      <c r="E5860" t="str">
        <v/>
      </c>
      <c r="F5860" t="str">
        <v>-</v>
      </c>
      <c r="G5860" t="str">
        <v>-</v>
      </c>
    </row>
    <row r="5861">
      <c r="A5861">
        <v>5860</v>
      </c>
      <c r="B5861">
        <f>HYPERLINK("http://locbinh.langson.gov.vn/upload/105424/20240819/1___QDphe_duyet_do_an_QHC_TT_Loc_Binh_0aad8.pdf", "UBND Ủy ban nhân dân xã Như Khuê  tỉnh Lạng Sơn")</f>
      </c>
      <c r="C5861" t="str">
        <v>http://locbinh.langson.gov.vn/upload/105424/20240819/1___QDphe_duyet_do_an_QHC_TT_Loc_Binh_0aad8.pdf</v>
      </c>
      <c r="D5861" t="str">
        <v>-</v>
      </c>
      <c r="E5861" t="str">
        <v>-</v>
      </c>
      <c r="F5861" t="str">
        <v>-</v>
      </c>
      <c r="G5861" t="str">
        <v>-</v>
      </c>
    </row>
    <row r="5862">
      <c r="A5862">
        <v>5861</v>
      </c>
      <c r="B5862">
        <f>HYPERLINK("https://www.facebook.com/tuoitreconganhuyenvanquan/", "Công an xã Lục Thôn  tỉnh Lạng Sơn")</f>
      </c>
      <c r="C5862" t="str">
        <v>https://www.facebook.com/tuoitreconganhuyenvanquan/</v>
      </c>
      <c r="D5862" t="str">
        <v>-</v>
      </c>
      <c r="E5862" t="str">
        <v/>
      </c>
      <c r="F5862" t="str">
        <v>-</v>
      </c>
      <c r="G5862" t="str">
        <v>-</v>
      </c>
    </row>
    <row r="5863">
      <c r="A5863">
        <v>5862</v>
      </c>
      <c r="B5863">
        <f>HYPERLINK("https://langson.gov.vn/", "UBND Ủy ban nhân dân xã Lục Thôn  tỉnh Lạng Sơn")</f>
      </c>
      <c r="C5863" t="str">
        <v>https://langson.gov.vn/</v>
      </c>
      <c r="D5863" t="str">
        <v>-</v>
      </c>
      <c r="E5863" t="str">
        <v>-</v>
      </c>
      <c r="F5863" t="str">
        <v>-</v>
      </c>
      <c r="G5863" t="str">
        <v>-</v>
      </c>
    </row>
    <row r="5864">
      <c r="A5864">
        <v>5863</v>
      </c>
      <c r="B5864" t="str">
        <v>Công an xã Tĩnh Bắc  tỉnh Lạng Sơn</v>
      </c>
      <c r="C5864" t="str">
        <v>-</v>
      </c>
      <c r="D5864" t="str">
        <v>-</v>
      </c>
      <c r="E5864" t="str">
        <v/>
      </c>
      <c r="F5864" t="str">
        <v>-</v>
      </c>
      <c r="G5864" t="str">
        <v>-</v>
      </c>
    </row>
    <row r="5865">
      <c r="A5865">
        <v>5864</v>
      </c>
      <c r="B5865">
        <f>HYPERLINK("https://locbinh.langson.gov.vn/video/xa-tinh-bac-don-bang-cong-nhan-dat-chuan-nong-thon-moi.html", "UBND Ủy ban nhân dân xã Tĩnh Bắc  tỉnh Lạng Sơn")</f>
      </c>
      <c r="C5865" t="str">
        <v>https://locbinh.langson.gov.vn/video/xa-tinh-bac-don-bang-cong-nhan-dat-chuan-nong-thon-moi.html</v>
      </c>
      <c r="D5865" t="str">
        <v>-</v>
      </c>
      <c r="E5865" t="str">
        <v>-</v>
      </c>
      <c r="F5865" t="str">
        <v>-</v>
      </c>
      <c r="G5865" t="str">
        <v>-</v>
      </c>
    </row>
    <row r="5866">
      <c r="A5866">
        <v>5865</v>
      </c>
      <c r="B5866" t="str">
        <v>Công an xã Xuân Tình  tỉnh Lạng Sơn</v>
      </c>
      <c r="C5866" t="str">
        <v>-</v>
      </c>
      <c r="D5866" t="str">
        <v>-</v>
      </c>
      <c r="E5866" t="str">
        <v/>
      </c>
      <c r="F5866" t="str">
        <v>-</v>
      </c>
      <c r="G5866" t="str">
        <v>-</v>
      </c>
    </row>
    <row r="5867">
      <c r="A5867">
        <v>5866</v>
      </c>
      <c r="B5867">
        <f>HYPERLINK("https://langson.gov.vn/", "UBND Ủy ban nhân dân xã Xuân Tình  tỉnh Lạng Sơn")</f>
      </c>
      <c r="C5867" t="str">
        <v>https://langson.gov.vn/</v>
      </c>
      <c r="D5867" t="str">
        <v>-</v>
      </c>
      <c r="E5867" t="str">
        <v>-</v>
      </c>
      <c r="F5867" t="str">
        <v>-</v>
      </c>
      <c r="G5867" t="str">
        <v>-</v>
      </c>
    </row>
    <row r="5868">
      <c r="A5868">
        <v>5867</v>
      </c>
      <c r="B5868" t="str">
        <v>Công an xã Hiệp Hạ  tỉnh Lạng Sơn</v>
      </c>
      <c r="C5868" t="str">
        <v>-</v>
      </c>
      <c r="D5868" t="str">
        <v>-</v>
      </c>
      <c r="E5868" t="str">
        <v/>
      </c>
      <c r="F5868" t="str">
        <v>-</v>
      </c>
      <c r="G5868" t="str">
        <v>-</v>
      </c>
    </row>
    <row r="5869">
      <c r="A5869">
        <v>5868</v>
      </c>
      <c r="B5869">
        <f>HYPERLINK("https://langson.gov.vn/", "UBND Ủy ban nhân dân xã Hiệp Hạ  tỉnh Lạng Sơn")</f>
      </c>
      <c r="C5869" t="str">
        <v>https://langson.gov.vn/</v>
      </c>
      <c r="D5869" t="str">
        <v>-</v>
      </c>
      <c r="E5869" t="str">
        <v>-</v>
      </c>
      <c r="F5869" t="str">
        <v>-</v>
      </c>
      <c r="G5869" t="str">
        <v>-</v>
      </c>
    </row>
    <row r="5870">
      <c r="A5870">
        <v>5869</v>
      </c>
      <c r="B5870" t="str">
        <v>Công an xã Nhượng Bạn  tỉnh Lạng Sơn</v>
      </c>
      <c r="C5870" t="str">
        <v>-</v>
      </c>
      <c r="D5870" t="str">
        <v>-</v>
      </c>
      <c r="E5870" t="str">
        <v/>
      </c>
      <c r="F5870" t="str">
        <v>-</v>
      </c>
      <c r="G5870" t="str">
        <v>-</v>
      </c>
    </row>
    <row r="5871">
      <c r="A5871">
        <v>5870</v>
      </c>
      <c r="B5871">
        <f>HYPERLINK("https://hoaan.caobang.gov.vn/qua-trinh-phat-trien", "UBND Ủy ban nhân dân xã Nhượng Bạn  tỉnh Lạng Sơn")</f>
      </c>
      <c r="C5871" t="str">
        <v>https://hoaan.caobang.gov.vn/qua-trinh-phat-trien</v>
      </c>
      <c r="D5871" t="str">
        <v>-</v>
      </c>
      <c r="E5871" t="str">
        <v>-</v>
      </c>
      <c r="F5871" t="str">
        <v>-</v>
      </c>
      <c r="G5871" t="str">
        <v>-</v>
      </c>
    </row>
    <row r="5872">
      <c r="A5872">
        <v>5871</v>
      </c>
      <c r="B5872">
        <f>HYPERLINK("https://www.facebook.com/tuoitreconganhuyenvanquan/", "Công an xã Quan Bản  tỉnh Lạng Sơn")</f>
      </c>
      <c r="C5872" t="str">
        <v>https://www.facebook.com/tuoitreconganhuyenvanquan/</v>
      </c>
      <c r="D5872" t="str">
        <v>-</v>
      </c>
      <c r="E5872" t="str">
        <v/>
      </c>
      <c r="F5872" t="str">
        <v>-</v>
      </c>
      <c r="G5872" t="str">
        <v>-</v>
      </c>
    </row>
    <row r="5873">
      <c r="A5873">
        <v>5872</v>
      </c>
      <c r="B5873">
        <f>HYPERLINK("https://langson.gov.vn/", "UBND Ủy ban nhân dân xã Quan Bản  tỉnh Lạng Sơn")</f>
      </c>
      <c r="C5873" t="str">
        <v>https://langson.gov.vn/</v>
      </c>
      <c r="D5873" t="str">
        <v>-</v>
      </c>
      <c r="E5873" t="str">
        <v>-</v>
      </c>
      <c r="F5873" t="str">
        <v>-</v>
      </c>
      <c r="G5873" t="str">
        <v>-</v>
      </c>
    </row>
    <row r="5874">
      <c r="A5874">
        <v>5873</v>
      </c>
      <c r="B5874">
        <f>HYPERLINK("https://www.facebook.com/Caxsanvien/", "Công an xã Sàn Viên  tỉnh Lạng Sơn")</f>
      </c>
      <c r="C5874" t="str">
        <v>https://www.facebook.com/Caxsanvien/</v>
      </c>
      <c r="D5874" t="str">
        <v>-</v>
      </c>
      <c r="E5874" t="str">
        <v/>
      </c>
      <c r="F5874" t="str">
        <v>-</v>
      </c>
      <c r="G5874" t="str">
        <v>-</v>
      </c>
    </row>
    <row r="5875">
      <c r="A5875">
        <v>5874</v>
      </c>
      <c r="B5875">
        <f>HYPERLINK("https://locbinh.langson.gov.vn/tin-tuc-su-kien/hoat-dong-lanh-dao-huyen/doan-kiem-tra-cua-ban-thuong-vu-huyen-uy-kiem-tra-dang-uy-xa-san-vien-va-dong-chi-bi-thu-dang-uy-chu-tich-uy-ban-nhan-da.html", "UBND Ủy ban nhân dân xã Sàn Viên  tỉnh Lạng Sơn")</f>
      </c>
      <c r="C5875" t="str">
        <v>https://locbinh.langson.gov.vn/tin-tuc-su-kien/hoat-dong-lanh-dao-huyen/doan-kiem-tra-cua-ban-thuong-vu-huyen-uy-kiem-tra-dang-uy-xa-san-vien-va-dong-chi-bi-thu-dang-uy-chu-tich-uy-ban-nhan-da.html</v>
      </c>
      <c r="D5875" t="str">
        <v>-</v>
      </c>
      <c r="E5875" t="str">
        <v>-</v>
      </c>
      <c r="F5875" t="str">
        <v>-</v>
      </c>
      <c r="G5875" t="str">
        <v>-</v>
      </c>
    </row>
    <row r="5876">
      <c r="A5876">
        <v>5875</v>
      </c>
      <c r="B5876">
        <f>HYPERLINK("https://www.facebook.com/tuoitreconganhuyenvanquan/", "Công an xã Đông Quan  tỉnh Lạng Sơn")</f>
      </c>
      <c r="C5876" t="str">
        <v>https://www.facebook.com/tuoitreconganhuyenvanquan/</v>
      </c>
      <c r="D5876" t="str">
        <v>-</v>
      </c>
      <c r="E5876" t="str">
        <v/>
      </c>
      <c r="F5876" t="str">
        <v>-</v>
      </c>
      <c r="G5876" t="str">
        <v>-</v>
      </c>
    </row>
    <row r="5877">
      <c r="A5877">
        <v>5876</v>
      </c>
      <c r="B5877">
        <f>HYPERLINK("https://locbinh.langson.gov.vn/tin-tuc-su-kien/hoat-dong-cac-xa-thi-tran/xa-dong-quan-to-chuc-hoi-thi-tim-hieu-phap-luat-nam-2024.html", "UBND Ủy ban nhân dân xã Đông Quan  tỉnh Lạng Sơn")</f>
      </c>
      <c r="C5877" t="str">
        <v>https://locbinh.langson.gov.vn/tin-tuc-su-kien/hoat-dong-cac-xa-thi-tran/xa-dong-quan-to-chuc-hoi-thi-tim-hieu-phap-luat-nam-2024.html</v>
      </c>
      <c r="D5877" t="str">
        <v>-</v>
      </c>
      <c r="E5877" t="str">
        <v>-</v>
      </c>
      <c r="F5877" t="str">
        <v>-</v>
      </c>
      <c r="G5877" t="str">
        <v>-</v>
      </c>
    </row>
    <row r="5878">
      <c r="A5878">
        <v>5877</v>
      </c>
      <c r="B5878">
        <f>HYPERLINK("https://www.facebook.com/tuoitreconganlangson/", "Công an xã Minh Phát  tỉnh Lạng Sơn")</f>
      </c>
      <c r="C5878" t="str">
        <v>https://www.facebook.com/tuoitreconganlangson/</v>
      </c>
      <c r="D5878" t="str">
        <v>-</v>
      </c>
      <c r="E5878" t="str">
        <v/>
      </c>
      <c r="F5878" t="str">
        <v>-</v>
      </c>
      <c r="G5878" t="str">
        <v>-</v>
      </c>
    </row>
    <row r="5879">
      <c r="A5879">
        <v>5878</v>
      </c>
      <c r="B5879">
        <f>HYPERLINK("https://langson.gov.vn/", "UBND Ủy ban nhân dân xã Minh Phát  tỉnh Lạng Sơn")</f>
      </c>
      <c r="C5879" t="str">
        <v>https://langson.gov.vn/</v>
      </c>
      <c r="D5879" t="str">
        <v>-</v>
      </c>
      <c r="E5879" t="str">
        <v>-</v>
      </c>
      <c r="F5879" t="str">
        <v>-</v>
      </c>
      <c r="G5879" t="str">
        <v>-</v>
      </c>
    </row>
    <row r="5880">
      <c r="A5880">
        <v>5879</v>
      </c>
      <c r="B5880">
        <f>HYPERLINK("https://www.facebook.com/tuoitreconganhuyenvanquan/", "Công an xã Hữu Lân  tỉnh Lạng Sơn")</f>
      </c>
      <c r="C5880" t="str">
        <v>https://www.facebook.com/tuoitreconganhuyenvanquan/</v>
      </c>
      <c r="D5880" t="str">
        <v>-</v>
      </c>
      <c r="E5880" t="str">
        <v/>
      </c>
      <c r="F5880" t="str">
        <v>-</v>
      </c>
      <c r="G5880" t="str">
        <v>-</v>
      </c>
    </row>
    <row r="5881">
      <c r="A5881">
        <v>5880</v>
      </c>
      <c r="B5881">
        <f>HYPERLINK("http://songv.langson.gov.vn/tin-tuc-su-kien/to-chuc-tuong-lai-tuoi-sang-trao-qua-vien-tro-tai-lang-son.html", "UBND Ủy ban nhân dân xã Hữu Lân  tỉnh Lạng Sơn")</f>
      </c>
      <c r="C5881" t="str">
        <v>http://songv.langson.gov.vn/tin-tuc-su-kien/to-chuc-tuong-lai-tuoi-sang-trao-qua-vien-tro-tai-lang-son.html</v>
      </c>
      <c r="D5881" t="str">
        <v>-</v>
      </c>
      <c r="E5881" t="str">
        <v>-</v>
      </c>
      <c r="F5881" t="str">
        <v>-</v>
      </c>
      <c r="G5881" t="str">
        <v>-</v>
      </c>
    </row>
    <row r="5882">
      <c r="A5882">
        <v>5881</v>
      </c>
      <c r="B5882">
        <f>HYPERLINK("https://www.facebook.com/chidoan.congan/", "Công an xã Lợi Bác  tỉnh Lạng Sơn")</f>
      </c>
      <c r="C5882" t="str">
        <v>https://www.facebook.com/chidoan.congan/</v>
      </c>
      <c r="D5882" t="str">
        <v>-</v>
      </c>
      <c r="E5882" t="str">
        <v/>
      </c>
      <c r="F5882" t="str">
        <v>-</v>
      </c>
      <c r="G5882" t="str">
        <v>-</v>
      </c>
    </row>
    <row r="5883">
      <c r="A5883">
        <v>5882</v>
      </c>
      <c r="B5883">
        <f>HYPERLINK("https://locbinh.langson.gov.vn/tin-tuc-su-kien/hoat-dong-lanh-dao-huyen/dang-uy-xa-loi-bac-hoi-nghi-phat-dong-cuoc-van-dong-ban-giao-dat-truoc-nhan-boi-thuong-sau-du-an-quoc-lo-4b.html", "UBND Ủy ban nhân dân xã Lợi Bác  tỉnh Lạng Sơn")</f>
      </c>
      <c r="C5883" t="str">
        <v>https://locbinh.langson.gov.vn/tin-tuc-su-kien/hoat-dong-lanh-dao-huyen/dang-uy-xa-loi-bac-hoi-nghi-phat-dong-cuoc-van-dong-ban-giao-dat-truoc-nhan-boi-thuong-sau-du-an-quoc-lo-4b.html</v>
      </c>
      <c r="D5883" t="str">
        <v>-</v>
      </c>
      <c r="E5883" t="str">
        <v>-</v>
      </c>
      <c r="F5883" t="str">
        <v>-</v>
      </c>
      <c r="G5883" t="str">
        <v>-</v>
      </c>
    </row>
    <row r="5884">
      <c r="A5884">
        <v>5883</v>
      </c>
      <c r="B5884">
        <f>HYPERLINK("https://www.facebook.com/tuoitreconganhuyenvanquan/", "Công an xã Nam Quan  tỉnh Lạng Sơn")</f>
      </c>
      <c r="C5884" t="str">
        <v>https://www.facebook.com/tuoitreconganhuyenvanquan/</v>
      </c>
      <c r="D5884" t="str">
        <v>-</v>
      </c>
      <c r="E5884" t="str">
        <v/>
      </c>
      <c r="F5884" t="str">
        <v>-</v>
      </c>
      <c r="G5884" t="str">
        <v>-</v>
      </c>
    </row>
    <row r="5885">
      <c r="A5885">
        <v>5884</v>
      </c>
      <c r="B5885">
        <f>HYPERLINK("https://langson.gov.vn/", "UBND Ủy ban nhân dân xã Nam Quan  tỉnh Lạng Sơn")</f>
      </c>
      <c r="C5885" t="str">
        <v>https://langson.gov.vn/</v>
      </c>
      <c r="D5885" t="str">
        <v>-</v>
      </c>
      <c r="E5885" t="str">
        <v>-</v>
      </c>
      <c r="F5885" t="str">
        <v>-</v>
      </c>
      <c r="G5885" t="str">
        <v>-</v>
      </c>
    </row>
    <row r="5886">
      <c r="A5886">
        <v>5885</v>
      </c>
      <c r="B5886">
        <f>HYPERLINK("https://www.facebook.com/265963428377240", "Công an xã Xuân Dương  tỉnh Lạng Sơn")</f>
      </c>
      <c r="C5886" t="str">
        <v>https://www.facebook.com/265963428377240</v>
      </c>
      <c r="D5886" t="str">
        <v>-</v>
      </c>
      <c r="E5886" t="str">
        <v/>
      </c>
      <c r="F5886" t="str">
        <v>-</v>
      </c>
      <c r="G5886" t="str">
        <v>-</v>
      </c>
    </row>
    <row r="5887">
      <c r="A5887">
        <v>5886</v>
      </c>
      <c r="B5887">
        <f>HYPERLINK("https://langson.toaan.gov.vn/webcenter/portal/langson/chitiettin?dDocName=TAND329077", "UBND Ủy ban nhân dân xã Xuân Dương  tỉnh Lạng Sơn")</f>
      </c>
      <c r="C5887" t="str">
        <v>https://langson.toaan.gov.vn/webcenter/portal/langson/chitiettin?dDocName=TAND329077</v>
      </c>
      <c r="D5887" t="str">
        <v>-</v>
      </c>
      <c r="E5887" t="str">
        <v>-</v>
      </c>
      <c r="F5887" t="str">
        <v>-</v>
      </c>
      <c r="G5887" t="str">
        <v>-</v>
      </c>
    </row>
    <row r="5888">
      <c r="A5888">
        <v>5887</v>
      </c>
      <c r="B5888" t="str">
        <v>Công an xã Ái Quốc  tỉnh Lạng Sơn</v>
      </c>
      <c r="C5888" t="str">
        <v>-</v>
      </c>
      <c r="D5888" t="str">
        <v>-</v>
      </c>
      <c r="E5888" t="str">
        <v/>
      </c>
      <c r="F5888" t="str">
        <v>-</v>
      </c>
      <c r="G5888" t="str">
        <v>-</v>
      </c>
    </row>
    <row r="5889">
      <c r="A5889">
        <v>5888</v>
      </c>
      <c r="B5889">
        <f>HYPERLINK("https://langson.gov.vn/", "UBND Ủy ban nhân dân xã Ái Quốc  tỉnh Lạng Sơn")</f>
      </c>
      <c r="C5889" t="str">
        <v>https://langson.gov.vn/</v>
      </c>
      <c r="D5889" t="str">
        <v>-</v>
      </c>
      <c r="E5889" t="str">
        <v>-</v>
      </c>
      <c r="F5889" t="str">
        <v>-</v>
      </c>
      <c r="G5889" t="str">
        <v>-</v>
      </c>
    </row>
    <row r="5890">
      <c r="A5890">
        <v>5889</v>
      </c>
      <c r="B5890">
        <f>HYPERLINK("https://www.facebook.com/conganhuyendinhlap/", "Công an thị trấn Đình Lập  tỉnh Lạng Sơn")</f>
      </c>
      <c r="C5890" t="str">
        <v>https://www.facebook.com/conganhuyendinhlap/</v>
      </c>
      <c r="D5890" t="str">
        <v>-</v>
      </c>
      <c r="E5890" t="str">
        <v/>
      </c>
      <c r="F5890" t="str">
        <v>-</v>
      </c>
      <c r="G5890" t="str">
        <v>-</v>
      </c>
    </row>
    <row r="5891">
      <c r="A5891">
        <v>5890</v>
      </c>
      <c r="B5891">
        <f>HYPERLINK("https://dinhlap.langson.gov.vn/", "UBND Ủy ban nhân dân thị trấn Đình Lập  tỉnh Lạng Sơn")</f>
      </c>
      <c r="C5891" t="str">
        <v>https://dinhlap.langson.gov.vn/</v>
      </c>
      <c r="D5891" t="str">
        <v>-</v>
      </c>
      <c r="E5891" t="str">
        <v>-</v>
      </c>
      <c r="F5891" t="str">
        <v>-</v>
      </c>
      <c r="G5891" t="str">
        <v>-</v>
      </c>
    </row>
    <row r="5892">
      <c r="A5892">
        <v>5891</v>
      </c>
      <c r="B5892" t="str">
        <v>Công an thị trấn NT Thái Bình  tỉnh Lạng Sơn</v>
      </c>
      <c r="C5892" t="str">
        <v>-</v>
      </c>
      <c r="D5892" t="str">
        <v>-</v>
      </c>
      <c r="E5892" t="str">
        <v/>
      </c>
      <c r="F5892" t="str">
        <v>-</v>
      </c>
      <c r="G5892" t="str">
        <v>-</v>
      </c>
    </row>
    <row r="5893">
      <c r="A5893">
        <v>5892</v>
      </c>
      <c r="B5893">
        <f>HYPERLINK("https://dinhlap.langson.gov.vn/", "UBND Ủy ban nhân dân thị trấn NT Thái Bình  tỉnh Lạng Sơn")</f>
      </c>
      <c r="C5893" t="str">
        <v>https://dinhlap.langson.gov.vn/</v>
      </c>
      <c r="D5893" t="str">
        <v>-</v>
      </c>
      <c r="E5893" t="str">
        <v>-</v>
      </c>
      <c r="F5893" t="str">
        <v>-</v>
      </c>
      <c r="G5893" t="str">
        <v>-</v>
      </c>
    </row>
    <row r="5894">
      <c r="A5894">
        <v>5893</v>
      </c>
      <c r="B5894">
        <f>HYPERLINK("https://www.facebook.com/chidoan.congan/", "Công an xã Bắc Xa  tỉnh Lạng Sơn")</f>
      </c>
      <c r="C5894" t="str">
        <v>https://www.facebook.com/chidoan.congan/</v>
      </c>
      <c r="D5894" t="str">
        <v>-</v>
      </c>
      <c r="E5894" t="str">
        <v/>
      </c>
      <c r="F5894" t="str">
        <v>-</v>
      </c>
      <c r="G5894" t="str">
        <v>-</v>
      </c>
    </row>
    <row r="5895">
      <c r="A5895">
        <v>5894</v>
      </c>
      <c r="B5895">
        <f>HYPERLINK("https://bacson.langson.gov.vn/", "UBND Ủy ban nhân dân xã Bắc Xa  tỉnh Lạng Sơn")</f>
      </c>
      <c r="C5895" t="str">
        <v>https://bacson.langson.gov.vn/</v>
      </c>
      <c r="D5895" t="str">
        <v>-</v>
      </c>
      <c r="E5895" t="str">
        <v>-</v>
      </c>
      <c r="F5895" t="str">
        <v>-</v>
      </c>
      <c r="G5895" t="str">
        <v>-</v>
      </c>
    </row>
    <row r="5896">
      <c r="A5896">
        <v>5895</v>
      </c>
      <c r="B5896">
        <f>HYPERLINK("https://www.facebook.com/KienKeng10102020/", "Công an xã Bính Xá  tỉnh Lạng Sơn")</f>
      </c>
      <c r="C5896" t="str">
        <v>https://www.facebook.com/KienKeng10102020/</v>
      </c>
      <c r="D5896" t="str">
        <v>-</v>
      </c>
      <c r="E5896" t="str">
        <v/>
      </c>
      <c r="F5896" t="str">
        <v>-</v>
      </c>
      <c r="G5896" t="str">
        <v>-</v>
      </c>
    </row>
    <row r="5897">
      <c r="A5897">
        <v>5896</v>
      </c>
      <c r="B5897">
        <f>HYPERLINK("https://langson.gov.vn/", "UBND Ủy ban nhân dân xã Bính Xá  tỉnh Lạng Sơn")</f>
      </c>
      <c r="C5897" t="str">
        <v>https://langson.gov.vn/</v>
      </c>
      <c r="D5897" t="str">
        <v>-</v>
      </c>
      <c r="E5897" t="str">
        <v>-</v>
      </c>
      <c r="F5897" t="str">
        <v>-</v>
      </c>
      <c r="G5897" t="str">
        <v>-</v>
      </c>
    </row>
    <row r="5898">
      <c r="A5898">
        <v>5897</v>
      </c>
      <c r="B5898" t="str">
        <v>Công an xã Kiên Mộc  tỉnh Lạng Sơn</v>
      </c>
      <c r="C5898" t="str">
        <v>-</v>
      </c>
      <c r="D5898" t="str">
        <v>-</v>
      </c>
      <c r="E5898" t="str">
        <v/>
      </c>
      <c r="F5898" t="str">
        <v>-</v>
      </c>
      <c r="G5898" t="str">
        <v>-</v>
      </c>
    </row>
    <row r="5899">
      <c r="A5899">
        <v>5898</v>
      </c>
      <c r="B5899">
        <f>HYPERLINK("https://langson.gov.vn/upload/2006486/20240529/5_2024_QD_giao_dat_cho_UBND_xa_Kien_Moc__thon_Ban_Chao__dfc9235.pdf", "UBND Ủy ban nhân dân xã Kiên Mộc  tỉnh Lạng Sơn")</f>
      </c>
      <c r="C5899" t="str">
        <v>https://langson.gov.vn/upload/2006486/20240529/5_2024_QD_giao_dat_cho_UBND_xa_Kien_Moc__thon_Ban_Chao__dfc9235.pdf</v>
      </c>
      <c r="D5899" t="str">
        <v>-</v>
      </c>
      <c r="E5899" t="str">
        <v>-</v>
      </c>
      <c r="F5899" t="str">
        <v>-</v>
      </c>
      <c r="G5899" t="str">
        <v>-</v>
      </c>
    </row>
    <row r="5900">
      <c r="A5900">
        <v>5899</v>
      </c>
      <c r="B5900">
        <f>HYPERLINK("https://www.facebook.com/conganhuyendinhlap/", "Công an xã Đình Lập  tỉnh Lạng Sơn")</f>
      </c>
      <c r="C5900" t="str">
        <v>https://www.facebook.com/conganhuyendinhlap/</v>
      </c>
      <c r="D5900" t="str">
        <v>-</v>
      </c>
      <c r="E5900" t="str">
        <v/>
      </c>
      <c r="F5900" t="str">
        <v>-</v>
      </c>
      <c r="G5900" t="str">
        <v>-</v>
      </c>
    </row>
    <row r="5901">
      <c r="A5901">
        <v>5900</v>
      </c>
      <c r="B5901">
        <f>HYPERLINK("https://dinhlap.langson.gov.vn/", "UBND Ủy ban nhân dân xã Đình Lập  tỉnh Lạng Sơn")</f>
      </c>
      <c r="C5901" t="str">
        <v>https://dinhlap.langson.gov.vn/</v>
      </c>
      <c r="D5901" t="str">
        <v>-</v>
      </c>
      <c r="E5901" t="str">
        <v>-</v>
      </c>
      <c r="F5901" t="str">
        <v>-</v>
      </c>
      <c r="G5901" t="str">
        <v>-</v>
      </c>
    </row>
    <row r="5902">
      <c r="A5902">
        <v>5901</v>
      </c>
      <c r="B5902">
        <f>HYPERLINK("https://www.facebook.com/tuoitreconganhuyenvanquan/", "Công an xã Thái Bình  tỉnh Lạng Sơn")</f>
      </c>
      <c r="C5902" t="str">
        <v>https://www.facebook.com/tuoitreconganhuyenvanquan/</v>
      </c>
      <c r="D5902" t="str">
        <v>-</v>
      </c>
      <c r="E5902" t="str">
        <v/>
      </c>
      <c r="F5902" t="str">
        <v>-</v>
      </c>
      <c r="G5902" t="str">
        <v>-</v>
      </c>
    </row>
    <row r="5903">
      <c r="A5903">
        <v>5902</v>
      </c>
      <c r="B5903">
        <f>HYPERLINK("https://dinhlap.langson.gov.vn/", "UBND Ủy ban nhân dân xã Thái Bình  tỉnh Lạng Sơn")</f>
      </c>
      <c r="C5903" t="str">
        <v>https://dinhlap.langson.gov.vn/</v>
      </c>
      <c r="D5903" t="str">
        <v>-</v>
      </c>
      <c r="E5903" t="str">
        <v>-</v>
      </c>
      <c r="F5903" t="str">
        <v>-</v>
      </c>
      <c r="G5903" t="str">
        <v>-</v>
      </c>
    </row>
    <row r="5904">
      <c r="A5904">
        <v>5903</v>
      </c>
      <c r="B5904">
        <f>HYPERLINK("https://www.facebook.com/p/C%C3%B4ng-an-x%C3%A3-C%C6%B0%E1%BB%9Dng-L%E1%BB%A3i-%C4%90%C3%ACnh-L%E1%BA%ADp-L%E1%BA%A1ng-S%C6%A1n-100089248012202/?locale=sv_SE", "Công an xã Cường Lợi  tỉnh Lạng Sơn")</f>
      </c>
      <c r="C5904" t="str">
        <v>https://www.facebook.com/p/C%C3%B4ng-an-x%C3%A3-C%C6%B0%E1%BB%9Dng-L%E1%BB%A3i-%C4%90%C3%ACnh-L%E1%BA%ADp-L%E1%BA%A1ng-S%C6%A1n-100089248012202/?locale=sv_SE</v>
      </c>
      <c r="D5904" t="str">
        <v>-</v>
      </c>
      <c r="E5904" t="str">
        <v/>
      </c>
      <c r="F5904" t="str">
        <v>-</v>
      </c>
      <c r="G5904" t="str">
        <v>-</v>
      </c>
    </row>
    <row r="5905">
      <c r="A5905">
        <v>5904</v>
      </c>
      <c r="B5905">
        <f>HYPERLINK("https://langson.gov.vn/thong-tin-quy-hoach/ve-viec-giao-dat-cho-ubnd-xa-cuong-loi-huyen-dinh-lap-de-su-dung-vao-muc-dich-dat-xay-dung-co-so-van-hoa-nha-van-hoa-tho.html", "UBND Ủy ban nhân dân xã Cường Lợi  tỉnh Lạng Sơn")</f>
      </c>
      <c r="C5905" t="str">
        <v>https://langson.gov.vn/thong-tin-quy-hoach/ve-viec-giao-dat-cho-ubnd-xa-cuong-loi-huyen-dinh-lap-de-su-dung-vao-muc-dich-dat-xay-dung-co-so-van-hoa-nha-van-hoa-tho.html</v>
      </c>
      <c r="D5905" t="str">
        <v>-</v>
      </c>
      <c r="E5905" t="str">
        <v>-</v>
      </c>
      <c r="F5905" t="str">
        <v>-</v>
      </c>
      <c r="G5905" t="str">
        <v>-</v>
      </c>
    </row>
    <row r="5906">
      <c r="A5906">
        <v>5905</v>
      </c>
      <c r="B5906">
        <f>HYPERLINK("https://www.facebook.com/conganhuyendinhlap/", "Công an xã Châu Sơn  tỉnh Lạng Sơn")</f>
      </c>
      <c r="C5906" t="str">
        <v>https://www.facebook.com/conganhuyendinhlap/</v>
      </c>
      <c r="D5906" t="str">
        <v>-</v>
      </c>
      <c r="E5906" t="str">
        <v/>
      </c>
      <c r="F5906" t="str">
        <v>-</v>
      </c>
      <c r="G5906" t="str">
        <v>-</v>
      </c>
    </row>
    <row r="5907">
      <c r="A5907">
        <v>5906</v>
      </c>
      <c r="B5907">
        <f>HYPERLINK("https://dinhlap.langson.gov.vn/", "UBND Ủy ban nhân dân xã Châu Sơn  tỉnh Lạng Sơn")</f>
      </c>
      <c r="C5907" t="str">
        <v>https://dinhlap.langson.gov.vn/</v>
      </c>
      <c r="D5907" t="str">
        <v>-</v>
      </c>
      <c r="E5907" t="str">
        <v>-</v>
      </c>
      <c r="F5907" t="str">
        <v>-</v>
      </c>
      <c r="G5907" t="str">
        <v>-</v>
      </c>
    </row>
    <row r="5908">
      <c r="A5908">
        <v>5907</v>
      </c>
      <c r="B5908">
        <f>HYPERLINK("https://www.facebook.com/tuoitreconganhuyenvanquan/", "Công an xã Lâm Ca  tỉnh Lạng Sơn")</f>
      </c>
      <c r="C5908" t="str">
        <v>https://www.facebook.com/tuoitreconganhuyenvanquan/</v>
      </c>
      <c r="D5908" t="str">
        <v>-</v>
      </c>
      <c r="E5908" t="str">
        <v/>
      </c>
      <c r="F5908" t="str">
        <v>-</v>
      </c>
      <c r="G5908" t="str">
        <v>-</v>
      </c>
    </row>
    <row r="5909">
      <c r="A5909">
        <v>5908</v>
      </c>
      <c r="B5909">
        <f>HYPERLINK("https://langson.gov.vn/tin-moi/lanh-dao-ubnd-tinh-tiep-cong-dan-dot-xuat-tai-xa-lam-ca-huyen-dinh-lap.html", "UBND Ủy ban nhân dân xã Lâm Ca  tỉnh Lạng Sơn")</f>
      </c>
      <c r="C5909" t="str">
        <v>https://langson.gov.vn/tin-moi/lanh-dao-ubnd-tinh-tiep-cong-dan-dot-xuat-tai-xa-lam-ca-huyen-dinh-lap.html</v>
      </c>
      <c r="D5909" t="str">
        <v>-</v>
      </c>
      <c r="E5909" t="str">
        <v>-</v>
      </c>
      <c r="F5909" t="str">
        <v>-</v>
      </c>
      <c r="G5909" t="str">
        <v>-</v>
      </c>
    </row>
    <row r="5910">
      <c r="A5910">
        <v>5909</v>
      </c>
      <c r="B5910">
        <f>HYPERLINK("https://www.facebook.com/p/C%C3%B4ng-an-x%C3%A3-%C4%90%E1%BB%93ng-Th%E1%BA%AFng-%C4%90%C3%ACnh-L%E1%BA%ADp-L%E1%BA%A1ng-S%C6%A1n-100089897895433/", "Công an xã Đồng Thắng  tỉnh Lạng Sơn")</f>
      </c>
      <c r="C5910" t="str">
        <v>https://www.facebook.com/p/C%C3%B4ng-an-x%C3%A3-%C4%90%E1%BB%93ng-Th%E1%BA%AFng-%C4%90%C3%ACnh-L%E1%BA%ADp-L%E1%BA%A1ng-S%C6%A1n-100089897895433/</v>
      </c>
      <c r="D5910" t="str">
        <v>-</v>
      </c>
      <c r="E5910" t="str">
        <v/>
      </c>
      <c r="F5910" t="str">
        <v>-</v>
      </c>
      <c r="G5910" t="str">
        <v>-</v>
      </c>
    </row>
    <row r="5911">
      <c r="A5911">
        <v>5910</v>
      </c>
      <c r="B5911">
        <f>HYPERLINK("https://langson.gov.vn/", "UBND Ủy ban nhân dân xã Đồng Thắng  tỉnh Lạng Sơn")</f>
      </c>
      <c r="C5911" t="str">
        <v>https://langson.gov.vn/</v>
      </c>
      <c r="D5911" t="str">
        <v>-</v>
      </c>
      <c r="E5911" t="str">
        <v>-</v>
      </c>
      <c r="F5911" t="str">
        <v>-</v>
      </c>
      <c r="G5911" t="str">
        <v>-</v>
      </c>
    </row>
    <row r="5912">
      <c r="A5912">
        <v>5911</v>
      </c>
      <c r="B5912">
        <f>HYPERLINK("https://www.facebook.com/chidoan.congan/", "Công an xã Bắc Lãng  tỉnh Lạng Sơn")</f>
      </c>
      <c r="C5912" t="str">
        <v>https://www.facebook.com/chidoan.congan/</v>
      </c>
      <c r="D5912" t="str">
        <v>-</v>
      </c>
      <c r="E5912" t="str">
        <v/>
      </c>
      <c r="F5912" t="str">
        <v>-</v>
      </c>
      <c r="G5912" t="str">
        <v>-</v>
      </c>
    </row>
    <row r="5913">
      <c r="A5913">
        <v>5912</v>
      </c>
      <c r="B5913">
        <f>HYPERLINK("https://bacson.langson.gov.vn/", "UBND Ủy ban nhân dân xã Bắc Lãng  tỉnh Lạng Sơn")</f>
      </c>
      <c r="C5913" t="str">
        <v>https://bacson.langson.gov.vn/</v>
      </c>
      <c r="D5913" t="str">
        <v>-</v>
      </c>
      <c r="E5913" t="str">
        <v>-</v>
      </c>
      <c r="F5913" t="str">
        <v>-</v>
      </c>
      <c r="G5913" t="str">
        <v>-</v>
      </c>
    </row>
    <row r="5914">
      <c r="A5914">
        <v>5913</v>
      </c>
      <c r="B5914" t="str">
        <v>Công an phường Hà Khánh  tỉnh Quảng Ninh</v>
      </c>
      <c r="C5914" t="str">
        <v>-</v>
      </c>
      <c r="D5914" t="str">
        <v>-</v>
      </c>
      <c r="E5914" t="str">
        <v/>
      </c>
      <c r="F5914" t="str">
        <v>-</v>
      </c>
      <c r="G5914" t="str">
        <v>-</v>
      </c>
    </row>
    <row r="5915">
      <c r="A5915">
        <v>5914</v>
      </c>
      <c r="B5915">
        <f>HYPERLINK("http://hakhanh.halongcity.gov.vn/", "UBND Ủy ban nhân dân phường Hà Khánh  tỉnh Quảng Ninh")</f>
      </c>
      <c r="C5915" t="str">
        <v>http://hakhanh.halongcity.gov.vn/</v>
      </c>
      <c r="D5915" t="str">
        <v>-</v>
      </c>
      <c r="E5915" t="str">
        <v>-</v>
      </c>
      <c r="F5915" t="str">
        <v>-</v>
      </c>
      <c r="G5915" t="str">
        <v>-</v>
      </c>
    </row>
    <row r="5916">
      <c r="A5916">
        <v>5915</v>
      </c>
      <c r="B5916" t="str">
        <v>Công an phường Hà Phong  tỉnh Quảng Ninh</v>
      </c>
      <c r="C5916" t="str">
        <v>-</v>
      </c>
      <c r="D5916" t="str">
        <v>-</v>
      </c>
      <c r="E5916" t="str">
        <v/>
      </c>
      <c r="F5916" t="str">
        <v>-</v>
      </c>
      <c r="G5916" t="str">
        <v>-</v>
      </c>
    </row>
    <row r="5917">
      <c r="A5917">
        <v>5916</v>
      </c>
      <c r="B5917">
        <f>HYPERLINK("https://dichvucong.quangninh.gov.vn/Default.aspx?tabid=110&amp;ctl=ChiTiet&amp;mid=503&amp;id=SQBFAHoAUABMAGoAWgBDAE8ARwBQAEcAagB3AHMAegBFADEAZwBQAEYAdwA9AD0A0&amp;pr=&amp;lv=LwBqAFgAcwBFAHoALwA1AEgAMQBEAEkAWABpAEQAZgBkAEYAOABJAEoAUQA9AD0A0&amp;ttid=NwBvAGwAQQB1ADMAMABLAHQAUwBHAGQAUgBYAFgATQAwADkAeQAyAFYAdwA9AD0A0", "UBND Ủy ban nhân dân phường Hà Phong  tỉnh Quảng Ninh")</f>
      </c>
      <c r="C5917" t="str">
        <v>https://dichvucong.quangninh.gov.vn/Default.aspx?tabid=110&amp;ctl=ChiTiet&amp;mid=503&amp;id=SQBFAHoAUABMAGoAWgBDAE8ARwBQAEcAagB3AHMAegBFADEAZwBQAEYAdwA9AD0A0&amp;pr=&amp;lv=LwBqAFgAcwBFAHoALwA1AEgAMQBEAEkAWABpAEQAZgBkAEYAOABJAEoAUQA9AD0A0&amp;ttid=NwBvAGwAQQB1ADMAMABLAHQAUwBHAGQAUgBYAFgATQAwADkAeQAyAFYAdwA9AD0A0</v>
      </c>
      <c r="D5917" t="str">
        <v>-</v>
      </c>
      <c r="E5917" t="str">
        <v>-</v>
      </c>
      <c r="F5917" t="str">
        <v>-</v>
      </c>
      <c r="G5917" t="str">
        <v>-</v>
      </c>
    </row>
    <row r="5918">
      <c r="A5918">
        <v>5917</v>
      </c>
      <c r="B5918" t="str">
        <v>Công an phường Hà Khẩu  tỉnh Quảng Ninh</v>
      </c>
      <c r="C5918" t="str">
        <v>-</v>
      </c>
      <c r="D5918" t="str">
        <v>-</v>
      </c>
      <c r="E5918" t="str">
        <v/>
      </c>
      <c r="F5918" t="str">
        <v>-</v>
      </c>
      <c r="G5918" t="str">
        <v>-</v>
      </c>
    </row>
    <row r="5919">
      <c r="A5919">
        <v>5918</v>
      </c>
      <c r="B5919">
        <f>HYPERLINK("http://hakhau.halongcity.gov.vn/", "UBND Ủy ban nhân dân phường Hà Khẩu  tỉnh Quảng Ninh")</f>
      </c>
      <c r="C5919" t="str">
        <v>http://hakhau.halongcity.gov.vn/</v>
      </c>
      <c r="D5919" t="str">
        <v>-</v>
      </c>
      <c r="E5919" t="str">
        <v>-</v>
      </c>
      <c r="F5919" t="str">
        <v>-</v>
      </c>
      <c r="G5919" t="str">
        <v>-</v>
      </c>
    </row>
    <row r="5920">
      <c r="A5920">
        <v>5919</v>
      </c>
      <c r="B5920">
        <f>HYPERLINK("https://www.facebook.com/PhuongCaoXanh.HaLong.QuangNinh/", "Công an phường Cao Xanh  tỉnh Quảng Ninh")</f>
      </c>
      <c r="C5920" t="str">
        <v>https://www.facebook.com/PhuongCaoXanh.HaLong.QuangNinh/</v>
      </c>
      <c r="D5920" t="str">
        <v>-</v>
      </c>
      <c r="E5920" t="str">
        <v/>
      </c>
      <c r="F5920" t="str">
        <v>-</v>
      </c>
      <c r="G5920" t="str">
        <v>-</v>
      </c>
    </row>
    <row r="5921">
      <c r="A5921">
        <v>5920</v>
      </c>
      <c r="B5921">
        <f>HYPERLINK("https://dichvucong.quangninh.gov.vn/Default.aspx?tabid=110&amp;ctl=ChiTiet&amp;mid=503&amp;id=dgBDADcAcgBPAG0AWgBTAEwASQAyAFEATwBzAEwARwA1AEQAWABBADEAUQA9AD0A0&amp;pr=&amp;lv=MgBRAGIAMwBLAE4AbwBiAG0AbwB2AE8AVABtAHYAagBHAGsAcwBlADEAdwA9AD0A0&amp;ttid=ZABuAEoAbwBQAEkAbQBlAFgANQBGADcASABkAHAAYgBDAEUAcQAvAGUAUQA9AD0A0", "UBND Ủy ban nhân dân phường Cao Xanh  tỉnh Quảng Ninh")</f>
      </c>
      <c r="C5921" t="str">
        <v>https://dichvucong.quangninh.gov.vn/Default.aspx?tabid=110&amp;ctl=ChiTiet&amp;mid=503&amp;id=dgBDADcAcgBPAG0AWgBTAEwASQAyAFEATwBzAEwARwA1AEQAWABBADEAUQA9AD0A0&amp;pr=&amp;lv=MgBRAGIAMwBLAE4AbwBiAG0AbwB2AE8AVABtAHYAagBHAGsAcwBlADEAdwA9AD0A0&amp;ttid=ZABuAEoAbwBQAEkAbQBlAFgANQBGADcASABkAHAAYgBDAEUAcQAvAGUAUQA9AD0A0</v>
      </c>
      <c r="D5921" t="str">
        <v>-</v>
      </c>
      <c r="E5921" t="str">
        <v>-</v>
      </c>
      <c r="F5921" t="str">
        <v>-</v>
      </c>
      <c r="G5921" t="str">
        <v>-</v>
      </c>
    </row>
    <row r="5922">
      <c r="A5922">
        <v>5921</v>
      </c>
      <c r="B5922" t="str">
        <v>Công an phường Giếng Đáy  tỉnh Quảng Ninh</v>
      </c>
      <c r="C5922" t="str">
        <v>-</v>
      </c>
      <c r="D5922" t="str">
        <v>-</v>
      </c>
      <c r="E5922" t="str">
        <v/>
      </c>
      <c r="F5922" t="str">
        <v>-</v>
      </c>
      <c r="G5922" t="str">
        <v>-</v>
      </c>
    </row>
    <row r="5923">
      <c r="A5923">
        <v>5922</v>
      </c>
      <c r="B5923">
        <f>HYPERLINK("https://dichvucong.quangninh.gov.vn/Default.aspx?tabid=110&amp;ctl=ChiTiet&amp;mid=503&amp;id=aQBpAHAAeABlADQAegA4AGkANgBQAGsAMABLAGgAbgBkAHoAOABOADcAdwA9AD0A0&amp;pr=&amp;lv=MABVADkATQBmAHYAOABzAEwASABNADEAVQBkAE8AWABGAGYAQQA5AGIAdwA9AD0A0&amp;ttid=awBNADIAUwBnAGgATABpAEcAZgBPADkAQwB3AGIARABUAHAAWABBAGkAZwA9AD0A0", "UBND Ủy ban nhân dân phường Giếng Đáy  tỉnh Quảng Ninh")</f>
      </c>
      <c r="C5923" t="str">
        <v>https://dichvucong.quangninh.gov.vn/Default.aspx?tabid=110&amp;ctl=ChiTiet&amp;mid=503&amp;id=aQBpAHAAeABlADQAegA4AGkANgBQAGsAMABLAGgAbgBkAHoAOABOADcAdwA9AD0A0&amp;pr=&amp;lv=MABVADkATQBmAHYAOABzAEwASABNADEAVQBkAE8AWABGAGYAQQA5AGIAdwA9AD0A0&amp;ttid=awBNADIAUwBnAGgATABpAEcAZgBPADkAQwB3AGIARABUAHAAWABBAGkAZwA9AD0A0</v>
      </c>
      <c r="D5923" t="str">
        <v>-</v>
      </c>
      <c r="E5923" t="str">
        <v>-</v>
      </c>
      <c r="F5923" t="str">
        <v>-</v>
      </c>
      <c r="G5923" t="str">
        <v>-</v>
      </c>
    </row>
    <row r="5924">
      <c r="A5924">
        <v>5923</v>
      </c>
      <c r="B5924">
        <f>HYPERLINK("https://www.facebook.com/ubndphuonghatu/", "Công an phường Hà Tu  tỉnh Quảng Ninh")</f>
      </c>
      <c r="C5924" t="str">
        <v>https://www.facebook.com/ubndphuonghatu/</v>
      </c>
      <c r="D5924" t="str">
        <v>-</v>
      </c>
      <c r="E5924" t="str">
        <v/>
      </c>
      <c r="F5924" t="str">
        <v>-</v>
      </c>
      <c r="G5924" t="str">
        <v>-</v>
      </c>
    </row>
    <row r="5925">
      <c r="A5925">
        <v>5924</v>
      </c>
      <c r="B5925">
        <f>HYPERLINK("https://dichvucong.quangninh.gov.vn/Default.aspx?tabid=110&amp;ctl=ChiTiet&amp;mid=503&amp;id=NwBtAHoALwB5AHoAQwBOAEUAUABXADAARgBnAEEAeABPAFUAeABWAEIAQQA9AD0A0&amp;pr=&amp;lv=MABVADkATQBmAHYAOABzAEwASABNADEAVQBkAE8AWABGAGYAQQA5AGIAdwA9AD0A0&amp;ttid=MgB4AC8AZQBuAGgAdQBPADMAaAB5AGwAegBNAGIAaABvAGQAagBmAEoAQQA9AD0A0", "UBND Ủy ban nhân dân phường Hà Tu  tỉnh Quảng Ninh")</f>
      </c>
      <c r="C5925" t="str">
        <v>https://dichvucong.quangninh.gov.vn/Default.aspx?tabid=110&amp;ctl=ChiTiet&amp;mid=503&amp;id=NwBtAHoALwB5AHoAQwBOAEUAUABXADAARgBnAEEAeABPAFUAeABWAEIAQQA9AD0A0&amp;pr=&amp;lv=MABVADkATQBmAHYAOABzAEwASABNADEAVQBkAE8AWABGAGYAQQA5AGIAdwA9AD0A0&amp;ttid=MgB4AC8AZQBuAGgAdQBPADMAaAB5AGwAegBNAGIAaABvAGQAagBmAEoAQQA9AD0A0</v>
      </c>
      <c r="D5925" t="str">
        <v>-</v>
      </c>
      <c r="E5925" t="str">
        <v>-</v>
      </c>
      <c r="F5925" t="str">
        <v>-</v>
      </c>
      <c r="G5925" t="str">
        <v>-</v>
      </c>
    </row>
    <row r="5926">
      <c r="A5926">
        <v>5925</v>
      </c>
      <c r="B5926">
        <f>HYPERLINK("https://www.facebook.com/phuonghatrung10.9.1981/", "Công an phường Hà Trung  tỉnh Quảng Ninh")</f>
      </c>
      <c r="C5926" t="str">
        <v>https://www.facebook.com/phuonghatrung10.9.1981/</v>
      </c>
      <c r="D5926" t="str">
        <v>-</v>
      </c>
      <c r="E5926" t="str">
        <v/>
      </c>
      <c r="F5926" t="str">
        <v>-</v>
      </c>
      <c r="G5926" t="str">
        <v>-</v>
      </c>
    </row>
    <row r="5927">
      <c r="A5927">
        <v>5926</v>
      </c>
      <c r="B5927">
        <f>HYPERLINK("https://dichvucong.quangninh.gov.vn/Default.aspx?tabid=110&amp;ctl=ChiTiet&amp;mid=503&amp;id=RgB5AE4AQgB0ADAAbwBmAE4AUgBNAGkAYQBaADkARwBXAEgAdABCAG4AQQA9AD0A0&amp;pr=&amp;lv=UgBwAEEAeQBVAHoAVQBHAFoAawAzAGIAeABqADgAUgBKAGUASQBIADgAUQA9AD0A0&amp;ttid=dwBLAE0AOABwAFEAQgBLAGkAbAA2AC8ANQA5ADkAUQBXAFEAcQBXADIAZwA9AD0A0", "UBND Ủy ban nhân dân phường Hà Trung  tỉnh Quảng Ninh")</f>
      </c>
      <c r="C5927" t="str">
        <v>https://dichvucong.quangninh.gov.vn/Default.aspx?tabid=110&amp;ctl=ChiTiet&amp;mid=503&amp;id=RgB5AE4AQgB0ADAAbwBmAE4AUgBNAGkAYQBaADkARwBXAEgAdABCAG4AQQA9AD0A0&amp;pr=&amp;lv=UgBwAEEAeQBVAHoAVQBHAFoAawAzAGIAeABqADgAUgBKAGUASQBIADgAUQA9AD0A0&amp;ttid=dwBLAE0AOABwAFEAQgBLAGkAbAA2AC8ANQA5ADkAUQBXAFEAcQBXADIAZwA9AD0A0</v>
      </c>
      <c r="D5927" t="str">
        <v>-</v>
      </c>
      <c r="E5927" t="str">
        <v>-</v>
      </c>
      <c r="F5927" t="str">
        <v>-</v>
      </c>
      <c r="G5927" t="str">
        <v>-</v>
      </c>
    </row>
    <row r="5928">
      <c r="A5928">
        <v>5927</v>
      </c>
      <c r="B5928" t="str">
        <v>Công an phường Hà Lầm  tỉnh Quảng Ninh</v>
      </c>
      <c r="C5928" t="str">
        <v>-</v>
      </c>
      <c r="D5928" t="str">
        <v>-</v>
      </c>
      <c r="E5928" t="str">
        <v/>
      </c>
      <c r="F5928" t="str">
        <v>-</v>
      </c>
      <c r="G5928" t="str">
        <v>-</v>
      </c>
    </row>
    <row r="5929">
      <c r="A5929">
        <v>5928</v>
      </c>
      <c r="B5929">
        <f>HYPERLINK("https://dichvucong.quangninh.gov.vn/Default.aspx?tabid=110&amp;ctl=ChiTiet&amp;mid=503&amp;id=OABYAHIASwBZAFkAbwAyAGEAMwBBAHEALwBJADUAbQBtAG4ATAB0AGkAUQA9AD0A0&amp;pr=&amp;lv=dAA3AEkAVABnAFIAawBLAE4ANABMADIARABYAEMAYgBvAHQAYQA5AE8AZwA9AD0A0&amp;ttid=NwBBAHoAagA5ADYAMQB1AG4AeABLADEAVgB1ADMAdQA5AFoAdQArAGQAZwA9AD0A0", "UBND Ủy ban nhân dân phường Hà Lầm  tỉnh Quảng Ninh")</f>
      </c>
      <c r="C5929" t="str">
        <v>https://dichvucong.quangninh.gov.vn/Default.aspx?tabid=110&amp;ctl=ChiTiet&amp;mid=503&amp;id=OABYAHIASwBZAFkAbwAyAGEAMwBBAHEALwBJADUAbQBtAG4ATAB0AGkAUQA9AD0A0&amp;pr=&amp;lv=dAA3AEkAVABnAFIAawBLAE4ANABMADIARABYAEMAYgBvAHQAYQA5AE8AZwA9AD0A0&amp;ttid=NwBBAHoAagA5ADYAMQB1AG4AeABLADEAVgB1ADMAdQA5AFoAdQArAGQAZwA9AD0A0</v>
      </c>
      <c r="D5929" t="str">
        <v>-</v>
      </c>
      <c r="E5929" t="str">
        <v>-</v>
      </c>
      <c r="F5929" t="str">
        <v>-</v>
      </c>
      <c r="G5929" t="str">
        <v>-</v>
      </c>
    </row>
    <row r="5930">
      <c r="A5930">
        <v>5929</v>
      </c>
      <c r="B5930">
        <f>HYPERLINK("https://www.facebook.com/phuongbaichay.hl/", "Công an phường Bãi Cháy  tỉnh Quảng Ninh")</f>
      </c>
      <c r="C5930" t="str">
        <v>https://www.facebook.com/phuongbaichay.hl/</v>
      </c>
      <c r="D5930" t="str">
        <v>-</v>
      </c>
      <c r="E5930" t="str">
        <v/>
      </c>
      <c r="F5930" t="str">
        <v>-</v>
      </c>
      <c r="G5930" t="str">
        <v>-</v>
      </c>
    </row>
    <row r="5931">
      <c r="A5931">
        <v>5930</v>
      </c>
      <c r="B5931">
        <f>HYPERLINK("https://dichvucong.quangninh.gov.vn/Default.aspx?tabid=110&amp;ctl=ChiTiet&amp;mid=503&amp;id=WgBCAHAAbwBKAHcARQBMAFIAQQBXAEoAZABMAEsATAAxAEQAZQBuAHIAZwA9AD0A0&amp;pr=&amp;lv=MABVADkATQBmAHYAOABzAEwASABNADEAVQBkAE8AWABGAGYAQQA5AGIAdwA9AD0A0&amp;ttid=cwB2AEUAVQBwAE0ASQA4AFgAWgBXAEcAZgAxAEMAcgBnAGQAKwArAE0AUQA9AD0A0", "UBND Ủy ban nhân dân phường Bãi Cháy  tỉnh Quảng Ninh")</f>
      </c>
      <c r="C5931" t="str">
        <v>https://dichvucong.quangninh.gov.vn/Default.aspx?tabid=110&amp;ctl=ChiTiet&amp;mid=503&amp;id=WgBCAHAAbwBKAHcARQBMAFIAQQBXAEoAZABMAEsATAAxAEQAZQBuAHIAZwA9AD0A0&amp;pr=&amp;lv=MABVADkATQBmAHYAOABzAEwASABNADEAVQBkAE8AWABGAGYAQQA5AGIAdwA9AD0A0&amp;ttid=cwB2AEUAVQBwAE0ASQA4AFgAWgBXAEcAZgAxAEMAcgBnAGQAKwArAE0AUQA9AD0A0</v>
      </c>
      <c r="D5931" t="str">
        <v>-</v>
      </c>
      <c r="E5931" t="str">
        <v>-</v>
      </c>
      <c r="F5931" t="str">
        <v>-</v>
      </c>
      <c r="G5931" t="str">
        <v>-</v>
      </c>
    </row>
    <row r="5932">
      <c r="A5932">
        <v>5931</v>
      </c>
      <c r="B5932" t="str">
        <v>Công an phường Cao Thắng  tỉnh Quảng Ninh</v>
      </c>
      <c r="C5932" t="str">
        <v>-</v>
      </c>
      <c r="D5932" t="str">
        <v>-</v>
      </c>
      <c r="E5932" t="str">
        <v/>
      </c>
      <c r="F5932" t="str">
        <v>-</v>
      </c>
      <c r="G5932" t="str">
        <v>-</v>
      </c>
    </row>
    <row r="5933">
      <c r="A5933">
        <v>5932</v>
      </c>
      <c r="B5933">
        <f>HYPERLINK("https://dichvucong.quangninh.gov.vn/Default.aspx?tabid=110&amp;ctl=ChiTiet&amp;mid=503&amp;id=RQByAHEAUQBDAGkAdABkAHgAYQBZADEAcgB1ADYAMgBuAGkAUQAzADYAUQA9AD0A0&amp;pr=&amp;lv=WABNAHoAQwBmAGQAcQBpAGoAMwBUAFQALwA4AG0ANwBFAEkAMQBFADQAZwA9AD0A0&amp;ttid=eQAxAGkAUgBkAEsAVABJAE0ASQBBAFQAawBBADIARQBxAEwAeQBGAEIAUQA9AD0A0", "UBND Ủy ban nhân dân phường Cao Thắng  tỉnh Quảng Ninh")</f>
      </c>
      <c r="C5933" t="str">
        <v>https://dichvucong.quangninh.gov.vn/Default.aspx?tabid=110&amp;ctl=ChiTiet&amp;mid=503&amp;id=RQByAHEAUQBDAGkAdABkAHgAYQBZADEAcgB1ADYAMgBuAGkAUQAzADYAUQA9AD0A0&amp;pr=&amp;lv=WABNAHoAQwBmAGQAcQBpAGoAMwBUAFQALwA4AG0ANwBFAEkAMQBFADQAZwA9AD0A0&amp;ttid=eQAxAGkAUgBkAEsAVABJAE0ASQBBAFQAawBBADIARQBxAEwAeQBGAEIAUQA9AD0A0</v>
      </c>
      <c r="D5933" t="str">
        <v>-</v>
      </c>
      <c r="E5933" t="str">
        <v>-</v>
      </c>
      <c r="F5933" t="str">
        <v>-</v>
      </c>
      <c r="G5933" t="str">
        <v>-</v>
      </c>
    </row>
    <row r="5934">
      <c r="A5934">
        <v>5933</v>
      </c>
      <c r="B5934" t="str">
        <v>Công an phường Hùng Thắng  tỉnh Quảng Ninh</v>
      </c>
      <c r="C5934" t="str">
        <v>-</v>
      </c>
      <c r="D5934" t="str">
        <v>-</v>
      </c>
      <c r="E5934" t="str">
        <v/>
      </c>
      <c r="F5934" t="str">
        <v>-</v>
      </c>
      <c r="G5934" t="str">
        <v>-</v>
      </c>
    </row>
    <row r="5935">
      <c r="A5935">
        <v>5934</v>
      </c>
      <c r="B5935">
        <f>HYPERLINK("https://dichvucong.quangninh.gov.vn/Default.aspx?tabid=110&amp;ctl=ChiTiet&amp;mid=503&amp;id=RwBQADgATQBZADQAOQBYAG0AeABOAG4AcwBSAGwAUQBJAHoAWABqAHgAQQA9AD0A0&amp;pr=&amp;lv=MgBRAGIAMwBLAE4AbwBiAG0AbwB2AE8AVABtAHYAagBHAGsAcwBlADEAdwA9AD0A0&amp;ttid=QgBuAEwAegB5AGwAcwBlAEIAOQBhAGwAVQBSAFIARwAvAHgARgA0ADcAdwA9AD0A0", "UBND Ủy ban nhân dân phường Hùng Thắng  tỉnh Quảng Ninh")</f>
      </c>
      <c r="C5935" t="str">
        <v>https://dichvucong.quangninh.gov.vn/Default.aspx?tabid=110&amp;ctl=ChiTiet&amp;mid=503&amp;id=RwBQADgATQBZADQAOQBYAG0AeABOAG4AcwBSAGwAUQBJAHoAWABqAHgAQQA9AD0A0&amp;pr=&amp;lv=MgBRAGIAMwBLAE4AbwBiAG0AbwB2AE8AVABtAHYAagBHAGsAcwBlADEAdwA9AD0A0&amp;ttid=QgBuAEwAegB5AGwAcwBlAEIAOQBhAGwAVQBSAFIARwAvAHgARgA0ADcAdwA9AD0A0</v>
      </c>
      <c r="D5935" t="str">
        <v>-</v>
      </c>
      <c r="E5935" t="str">
        <v>-</v>
      </c>
      <c r="F5935" t="str">
        <v>-</v>
      </c>
      <c r="G5935" t="str">
        <v>-</v>
      </c>
    </row>
    <row r="5936">
      <c r="A5936">
        <v>5935</v>
      </c>
      <c r="B5936">
        <f>HYPERLINK("https://www.facebook.com/phuongyetkieuhalong/", "Công an phường Yết Kiêu  tỉnh Quảng Ninh")</f>
      </c>
      <c r="C5936" t="str">
        <v>https://www.facebook.com/phuongyetkieuhalong/</v>
      </c>
      <c r="D5936" t="str">
        <v>-</v>
      </c>
      <c r="E5936" t="str">
        <v/>
      </c>
      <c r="F5936" t="str">
        <v>-</v>
      </c>
      <c r="G5936" t="str">
        <v>-</v>
      </c>
    </row>
    <row r="5937">
      <c r="A5937">
        <v>5936</v>
      </c>
      <c r="B5937">
        <f>HYPERLINK("https://dichvucong.quangninh.gov.vn/Default.aspx?tabid=110&amp;ctl=ChiTiet&amp;mid=503&amp;id=YQB3AHUAZABGAEsAawBGAEQAMQBGADIAUwBSAEEALwBZAEcAeQBuAFEAUQA9AD0A0&amp;pr=&amp;lv=MgBRAGIAMwBLAE4AbwBiAG0AbwB2AE8AVABtAHYAagBHAGsAcwBlADEAdwA9AD0A0&amp;ttid=TgAyAGIAOQBsAHgASwBlAGEAaQA1AHAAKwA3ADgAcABhAEoATgBYAHQAZwA9AD0A0", "UBND Ủy ban nhân dân phường Yết Kiêu  tỉnh Quảng Ninh")</f>
      </c>
      <c r="C5937" t="str">
        <v>https://dichvucong.quangninh.gov.vn/Default.aspx?tabid=110&amp;ctl=ChiTiet&amp;mid=503&amp;id=YQB3AHUAZABGAEsAawBGAEQAMQBGADIAUwBSAEEALwBZAEcAeQBuAFEAUQA9AD0A0&amp;pr=&amp;lv=MgBRAGIAMwBLAE4AbwBiAG0AbwB2AE8AVABtAHYAagBHAGsAcwBlADEAdwA9AD0A0&amp;ttid=TgAyAGIAOQBsAHgASwBlAGEAaQA1AHAAKwA3ADgAcABhAEoATgBYAHQAZwA9AD0A0</v>
      </c>
      <c r="D5937" t="str">
        <v>-</v>
      </c>
      <c r="E5937" t="str">
        <v>-</v>
      </c>
      <c r="F5937" t="str">
        <v>-</v>
      </c>
      <c r="G5937" t="str">
        <v>-</v>
      </c>
    </row>
    <row r="5938">
      <c r="A5938">
        <v>5937</v>
      </c>
      <c r="B5938">
        <f>HYPERLINK("https://www.facebook.com/p/C%C3%B4ng-an-ph%C6%B0%E1%BB%9Dng-Tr%E1%BA%A7n-H%C6%B0ng-%C4%90%E1%BA%A1o-Tp-H%E1%BA%A1-Long-100079286793069/", "Công an phường Trần Hưng Đạo  tỉnh Quảng Ninh")</f>
      </c>
      <c r="C5938" t="str">
        <v>https://www.facebook.com/p/C%C3%B4ng-an-ph%C6%B0%E1%BB%9Dng-Tr%E1%BA%A7n-H%C6%B0ng-%C4%90%E1%BA%A1o-Tp-H%E1%BA%A1-Long-100079286793069/</v>
      </c>
      <c r="D5938" t="str">
        <v>-</v>
      </c>
      <c r="E5938" t="str">
        <v/>
      </c>
      <c r="F5938" t="str">
        <v>-</v>
      </c>
      <c r="G5938" t="str">
        <v>-</v>
      </c>
    </row>
    <row r="5939">
      <c r="A5939">
        <v>5938</v>
      </c>
      <c r="B5939">
        <f>HYPERLINK("https://dichvucong.quangninh.gov.vn/Default.aspx?tabid=110&amp;ctl=ChiTiet&amp;mid=503&amp;id=dQA0AFkAZABoAEgAZABQAGcAbgBoAEwAYwBHAEoAYwBCAEQAbgBvAEoAQQA9AD0A0&amp;pr=&amp;lv=WABNAHoAQwBmAGQAcQBpAGoAMwBUAFQALwA4AG0ANwBFAEkAMQBFADQAZwA9AD0A0&amp;ttid=eQAxAGkAUgBkAEsAVABJAE0ASQBBAFQAawBBADIARQBxAEwAeQBGAEIAUQA9AD0A0", "UBND Ủy ban nhân dân phường Trần Hưng Đạo  tỉnh Quảng Ninh")</f>
      </c>
      <c r="C5939" t="str">
        <v>https://dichvucong.quangninh.gov.vn/Default.aspx?tabid=110&amp;ctl=ChiTiet&amp;mid=503&amp;id=dQA0AFkAZABoAEgAZABQAGcAbgBoAEwAYwBHAEoAYwBCAEQAbgBvAEoAQQA9AD0A0&amp;pr=&amp;lv=WABNAHoAQwBmAGQAcQBpAGoAMwBUAFQALwA4AG0ANwBFAEkAMQBFADQAZwA9AD0A0&amp;ttid=eQAxAGkAUgBkAEsAVABJAE0ASQBBAFQAawBBADIARQBxAEwAeQBGAEIAUQA9AD0A0</v>
      </c>
      <c r="D5939" t="str">
        <v>-</v>
      </c>
      <c r="E5939" t="str">
        <v>-</v>
      </c>
      <c r="F5939" t="str">
        <v>-</v>
      </c>
      <c r="G5939" t="str">
        <v>-</v>
      </c>
    </row>
    <row r="5940">
      <c r="A5940">
        <v>5939</v>
      </c>
      <c r="B5940">
        <f>HYPERLINK("https://www.facebook.com/p/UBND-ph%C6%B0%E1%BB%9Dng-H%E1%BB%93ng-H%E1%BA%A3i-th%C3%A0nh-ph%E1%BB%91-H%E1%BA%A1-Long-Qu%E1%BA%A3ng-Ninh-100066221096562/?locale=vi_VN", "Công an phường Hồng Hải  tỉnh Quảng Ninh")</f>
      </c>
      <c r="C5940" t="str">
        <v>https://www.facebook.com/p/UBND-ph%C6%B0%E1%BB%9Dng-H%E1%BB%93ng-H%E1%BA%A3i-th%C3%A0nh-ph%E1%BB%91-H%E1%BA%A1-Long-Qu%E1%BA%A3ng-Ninh-100066221096562/?locale=vi_VN</v>
      </c>
      <c r="D5940" t="str">
        <v>-</v>
      </c>
      <c r="E5940" t="str">
        <v/>
      </c>
      <c r="F5940" t="str">
        <v>-</v>
      </c>
      <c r="G5940" t="str">
        <v>-</v>
      </c>
    </row>
    <row r="5941">
      <c r="A5941">
        <v>5940</v>
      </c>
      <c r="B5941">
        <f>HYPERLINK("https://dichvucong.quangninh.gov.vn/Default.aspx?tabid=110&amp;ctl=ChiTiet&amp;mid=503&amp;id=TgBsAEMANgBnAGEAOQBQAHAATgBCAFEAWABUAGIAbABQAFEAZQBFAGgAZwA9AD0A0&amp;pr=&amp;lv=TQBzAG4ATQBQADEAZABRAHcAYwBHAGMAKwBHAEcAbABJAGgAOQA0AFoAZwA9AD0A0&amp;ttid=RgBoAFIAagBTAGYAZQB0AE4AOQBYAG4AOQBoAG0AdABGAHUAMQBpAHoAdwA9AD0A0", "UBND Ủy ban nhân dân phường Hồng Hải  tỉnh Quảng Ninh")</f>
      </c>
      <c r="C5941" t="str">
        <v>https://dichvucong.quangninh.gov.vn/Default.aspx?tabid=110&amp;ctl=ChiTiet&amp;mid=503&amp;id=TgBsAEMANgBnAGEAOQBQAHAATgBCAFEAWABUAGIAbABQAFEAZQBFAGgAZwA9AD0A0&amp;pr=&amp;lv=TQBzAG4ATQBQADEAZABRAHcAYwBHAGMAKwBHAEcAbABJAGgAOQA0AFoAZwA9AD0A0&amp;ttid=RgBoAFIAagBTAGYAZQB0AE4AOQBYAG4AOQBoAG0AdABGAHUAMQBpAHoAdwA9AD0A0</v>
      </c>
      <c r="D5941" t="str">
        <v>-</v>
      </c>
      <c r="E5941" t="str">
        <v>-</v>
      </c>
      <c r="F5941" t="str">
        <v>-</v>
      </c>
      <c r="G5941" t="str">
        <v>-</v>
      </c>
    </row>
    <row r="5942">
      <c r="A5942">
        <v>5941</v>
      </c>
      <c r="B5942">
        <f>HYPERLINK("https://www.facebook.com/p/Ph%C6%B0%E1%BB%9Dng-H%E1%BB%93ng-Gai-100082981404521/?locale=zh_CN", "Công an phường Hồng Gai  tỉnh Quảng Ninh")</f>
      </c>
      <c r="C5942" t="str">
        <v>https://www.facebook.com/p/Ph%C6%B0%E1%BB%9Dng-H%E1%BB%93ng-Gai-100082981404521/?locale=zh_CN</v>
      </c>
      <c r="D5942" t="str">
        <v>-</v>
      </c>
      <c r="E5942" t="str">
        <v/>
      </c>
      <c r="F5942" t="str">
        <v>-</v>
      </c>
      <c r="G5942" t="str">
        <v>-</v>
      </c>
    </row>
    <row r="5943">
      <c r="A5943">
        <v>5942</v>
      </c>
      <c r="B5943">
        <f>HYPERLINK("https://dichvucong.quangninh.gov.vn/Default.aspx?tabid=110&amp;ctl=ChiTiet&amp;mid=503&amp;id=dgBOAC8AMABaAEYAagBQADMAdgBVAEMAWgA2ADcAUQBHAEgAVgBVAHIAQQA9AD0A0&amp;pr=&amp;lv=WABNAHoAQwBmAGQAcQBpAGoAMwBUAFQALwA4AG0ANwBFAEkAMQBFADQAZwA9AD0A0&amp;ttid=VwAyAFYAYgBhAGMALwBTAEEATABUAHcAWgBlAE0ASABrADUAeAA2AE0AUQA9AD0A0", "UBND Ủy ban nhân dân phường Hồng Gai  tỉnh Quảng Ninh")</f>
      </c>
      <c r="C5943" t="str">
        <v>https://dichvucong.quangninh.gov.vn/Default.aspx?tabid=110&amp;ctl=ChiTiet&amp;mid=503&amp;id=dgBOAC8AMABaAEYAagBQADMAdgBVAEMAWgA2ADcAUQBHAEgAVgBVAHIAQQA9AD0A0&amp;pr=&amp;lv=WABNAHoAQwBmAGQAcQBpAGoAMwBUAFQALwA4AG0ANwBFAEkAMQBFADQAZwA9AD0A0&amp;ttid=VwAyAFYAYgBhAGMALwBTAEEATABUAHcAWgBlAE0ASABrADUAeAA2AE0AUQA9AD0A0</v>
      </c>
      <c r="D5943" t="str">
        <v>-</v>
      </c>
      <c r="E5943" t="str">
        <v>-</v>
      </c>
      <c r="F5943" t="str">
        <v>-</v>
      </c>
      <c r="G5943" t="str">
        <v>-</v>
      </c>
    </row>
    <row r="5944">
      <c r="A5944">
        <v>5943</v>
      </c>
      <c r="B5944">
        <f>HYPERLINK("https://www.facebook.com/p/C%E1%BB%95ng-th%C3%B4ng-tin-ph%C6%B0%E1%BB%9Dng-B%E1%BA%A1ch-%C4%90%E1%BA%B1ng-Th%C3%A0nh-ph%E1%BB%91-H%E1%BA%A1-Long-100068897092684/", "Công an phường Bạch Đằng  tỉnh Quảng Ninh")</f>
      </c>
      <c r="C5944" t="str">
        <v>https://www.facebook.com/p/C%E1%BB%95ng-th%C3%B4ng-tin-ph%C6%B0%E1%BB%9Dng-B%E1%BA%A1ch-%C4%90%E1%BA%B1ng-Th%C3%A0nh-ph%E1%BB%91-H%E1%BA%A1-Long-100068897092684/</v>
      </c>
      <c r="D5944" t="str">
        <v>-</v>
      </c>
      <c r="E5944" t="str">
        <v/>
      </c>
      <c r="F5944" t="str">
        <v>-</v>
      </c>
      <c r="G5944" t="str">
        <v>-</v>
      </c>
    </row>
    <row r="5945">
      <c r="A5945">
        <v>5944</v>
      </c>
      <c r="B5945">
        <f>HYPERLINK("https://dichvucong.quangninh.gov.vn/Default.aspx?tabid=110&amp;ctl=ChiTiet&amp;mid=503&amp;id=LwBJAHYAdAA4AHIATwAwAEEAUgBMAEMAbwBsAHMAVgBsAEgAcQAyADkAdwA9AD0A0&amp;pr=&amp;lv=WABNAHoAQwBmAGQAcQBpAGoAMwBUAFQALwA4AG0ANwBFAEkAMQBFADQAZwA9AD0A0&amp;ttid=cgB3AEEATAB4AEQAYgA4AFYAZgByAFYAMgBCAFMANgBpAHIAbwBJAEYAdwA9AD0A0", "UBND Ủy ban nhân dân phường Bạch Đằng  tỉnh Quảng Ninh")</f>
      </c>
      <c r="C5945" t="str">
        <v>https://dichvucong.quangninh.gov.vn/Default.aspx?tabid=110&amp;ctl=ChiTiet&amp;mid=503&amp;id=LwBJAHYAdAA4AHIATwAwAEEAUgBMAEMAbwBsAHMAVgBsAEgAcQAyADkAdwA9AD0A0&amp;pr=&amp;lv=WABNAHoAQwBmAGQAcQBpAGoAMwBUAFQALwA4AG0ANwBFAEkAMQBFADQAZwA9AD0A0&amp;ttid=cgB3AEEATAB4AEQAYgA4AFYAZgByAFYAMgBCAFMANgBpAHIAbwBJAEYAdwA9AD0A0</v>
      </c>
      <c r="D5945" t="str">
        <v>-</v>
      </c>
      <c r="E5945" t="str">
        <v>-</v>
      </c>
      <c r="F5945" t="str">
        <v>-</v>
      </c>
      <c r="G5945" t="str">
        <v>-</v>
      </c>
    </row>
    <row r="5946">
      <c r="A5946">
        <v>5945</v>
      </c>
      <c r="B5946">
        <f>HYPERLINK("https://www.facebook.com/p/Ph%C6%B0%E1%BB%9Dng-H%E1%BB%93ng-H%C3%A0-100076183321397/", "Công an phường Hồng Hà  tỉnh Quảng Ninh")</f>
      </c>
      <c r="C5946" t="str">
        <v>https://www.facebook.com/p/Ph%C6%B0%E1%BB%9Dng-H%E1%BB%93ng-H%C3%A0-100076183321397/</v>
      </c>
      <c r="D5946" t="str">
        <v>-</v>
      </c>
      <c r="E5946" t="str">
        <v/>
      </c>
      <c r="F5946" t="str">
        <v>-</v>
      </c>
      <c r="G5946" t="str">
        <v>-</v>
      </c>
    </row>
    <row r="5947">
      <c r="A5947">
        <v>5946</v>
      </c>
      <c r="B5947">
        <f>HYPERLINK("https://dichvucong.quangninh.gov.vn/Default.aspx?tabid=110&amp;ctl=ChiTiet&amp;mid=503&amp;id=WgBZAEwAbABjAGIAVgBTADAAcwBNAE8ATwB4AEEATAA1AG0ARAB0AFMAUQA9AD0A0&amp;pr=&amp;lv=MgBRAGIAMwBLAE4AbwBiAG0AbwB2AE8AVABtAHYAagBHAGsAcwBlADEAdwA9AD0A0&amp;ttid=egBrADEAcwBJACsAWQBjAG4AegBqAHUAMQBCADgAMQBCADkAMQBzAFMAQQA9AD0A0", "UBND Ủy ban nhân dân phường Hồng Hà  tỉnh Quảng Ninh")</f>
      </c>
      <c r="C5947" t="str">
        <v>https://dichvucong.quangninh.gov.vn/Default.aspx?tabid=110&amp;ctl=ChiTiet&amp;mid=503&amp;id=WgBZAEwAbABjAGIAVgBTADAAcwBNAE8ATwB4AEEATAA1AG0ARAB0AFMAUQA9AD0A0&amp;pr=&amp;lv=MgBRAGIAMwBLAE4AbwBiAG0AbwB2AE8AVABtAHYAagBHAGsAcwBlADEAdwA9AD0A0&amp;ttid=egBrADEAcwBJACsAWQBjAG4AegBqAHUAMQBCADgAMQBCADkAMQBzAFMAQQA9AD0A0</v>
      </c>
      <c r="D5947" t="str">
        <v>-</v>
      </c>
      <c r="E5947" t="str">
        <v>-</v>
      </c>
      <c r="F5947" t="str">
        <v>-</v>
      </c>
      <c r="G5947" t="str">
        <v>-</v>
      </c>
    </row>
    <row r="5948">
      <c r="A5948">
        <v>5947</v>
      </c>
      <c r="B5948" t="str">
        <v>Công an phường Tuần Châu  tỉnh Quảng Ninh</v>
      </c>
      <c r="C5948" t="str">
        <v>-</v>
      </c>
      <c r="D5948" t="str">
        <v>-</v>
      </c>
      <c r="E5948" t="str">
        <v/>
      </c>
      <c r="F5948" t="str">
        <v>-</v>
      </c>
      <c r="G5948" t="str">
        <v>-</v>
      </c>
    </row>
    <row r="5949">
      <c r="A5949">
        <v>5948</v>
      </c>
      <c r="B5949">
        <f>HYPERLINK("https://dichvucong.quangninh.gov.vn/Default.aspx?tabid=110&amp;ctl=ChiTiet&amp;mid=503&amp;id=aABnAEoAbwBCADUAYgBoAGkAUAA1AEgAaQBnAGMANABUADkAKwBOAHoAZwA9AD0A0&amp;pr=&amp;lv=WQBKAE8AQgBEAGgAOQBuAGQAUgBRAEoAVQBoAEYARQBYAE8AcgBzAGwAZwA9AD0A0&amp;ttid=cgAvADkARQBJAGsAcgBvAFAAUABTAEQAZwBhAHcANABuAHcAOQAxAGIAdwA9AD0A0", "UBND Ủy ban nhân dân phường Tuần Châu  tỉnh Quảng Ninh")</f>
      </c>
      <c r="C5949" t="str">
        <v>https://dichvucong.quangninh.gov.vn/Default.aspx?tabid=110&amp;ctl=ChiTiet&amp;mid=503&amp;id=aABnAEoAbwBCADUAYgBoAGkAUAA1AEgAaQBnAGMANABUADkAKwBOAHoAZwA9AD0A0&amp;pr=&amp;lv=WQBKAE8AQgBEAGgAOQBuAGQAUgBRAEoAVQBoAEYARQBYAE8AcgBzAGwAZwA9AD0A0&amp;ttid=cgAvADkARQBJAGsAcgBvAFAAUABTAEQAZwBhAHcANABuAHcAOQAxAGIAdwA9AD0A0</v>
      </c>
      <c r="D5949" t="str">
        <v>-</v>
      </c>
      <c r="E5949" t="str">
        <v>-</v>
      </c>
      <c r="F5949" t="str">
        <v>-</v>
      </c>
      <c r="G5949" t="str">
        <v>-</v>
      </c>
    </row>
    <row r="5950">
      <c r="A5950">
        <v>5949</v>
      </c>
      <c r="B5950">
        <f>HYPERLINK("https://www.facebook.com/p/THCS-Vi%E1%BB%87t-H%C6%B0ng-H%E1%BA%A1-Long-Qu%E1%BA%A3ng-Ninh-100070703536218/", "Công an phường Việt Hưng  tỉnh Quảng Ninh")</f>
      </c>
      <c r="C5950" t="str">
        <v>https://www.facebook.com/p/THCS-Vi%E1%BB%87t-H%C6%B0ng-H%E1%BA%A1-Long-Qu%E1%BA%A3ng-Ninh-100070703536218/</v>
      </c>
      <c r="D5950" t="str">
        <v>-</v>
      </c>
      <c r="E5950" t="str">
        <v/>
      </c>
      <c r="F5950" t="str">
        <v>-</v>
      </c>
      <c r="G5950" t="str">
        <v>-</v>
      </c>
    </row>
    <row r="5951">
      <c r="A5951">
        <v>5950</v>
      </c>
      <c r="B5951">
        <f>HYPERLINK("https://dichvucong.quangninh.gov.vn/Default.aspx?tabid=110&amp;ctl=ChiTiet&amp;mid=503&amp;id=SABZAHgANgAxADYAVwA3AFAALwBoAEYATQB0AEsAUAAwAEkARQBKAGIAUQA9AD0A0&amp;pr=&amp;lv=MABVADkATQBmAHYAOABzAEwASABNADEAVQBkAE8AWABGAGYAQQA5AGIAdwA9AD0A0&amp;ttid=awBNADIAUwBnAGgATABpAEcAZgBPADkAQwB3AGIARABUAHAAWABBAGkAZwA9AD0A0", "UBND Ủy ban nhân dân phường Việt Hưng  tỉnh Quảng Ninh")</f>
      </c>
      <c r="C5951" t="str">
        <v>https://dichvucong.quangninh.gov.vn/Default.aspx?tabid=110&amp;ctl=ChiTiet&amp;mid=503&amp;id=SABZAHgANgAxADYAVwA3AFAALwBoAEYATQB0AEsAUAAwAEkARQBKAGIAUQA9AD0A0&amp;pr=&amp;lv=MABVADkATQBmAHYAOABzAEwASABNADEAVQBkAE8AWABGAGYAQQA5AGIAdwA9AD0A0&amp;ttid=awBNADIAUwBnAGgATABpAEcAZgBPADkAQwB3AGIARABUAHAAWABBAGkAZwA9AD0A0</v>
      </c>
      <c r="D5951" t="str">
        <v>-</v>
      </c>
      <c r="E5951" t="str">
        <v>-</v>
      </c>
      <c r="F5951" t="str">
        <v>-</v>
      </c>
      <c r="G5951" t="str">
        <v>-</v>
      </c>
    </row>
    <row r="5952">
      <c r="A5952">
        <v>5951</v>
      </c>
      <c r="B5952" t="str">
        <v>Công an phường Đại Yên  tỉnh Quảng Ninh</v>
      </c>
      <c r="C5952" t="str">
        <v>-</v>
      </c>
      <c r="D5952" t="str">
        <v>-</v>
      </c>
      <c r="E5952" t="str">
        <v/>
      </c>
      <c r="F5952" t="str">
        <v>-</v>
      </c>
      <c r="G5952" t="str">
        <v>-</v>
      </c>
    </row>
    <row r="5953">
      <c r="A5953">
        <v>5952</v>
      </c>
      <c r="B5953">
        <f>HYPERLINK("https://dichvucong.quangninh.gov.vn/Default.aspx?tabid=110&amp;ctl=ChiTiet&amp;mid=503&amp;id=cQBUADkASgArADkAMQB2AHgAbgBxAC8AaAAzAHEAZQBvAEUAeABUAGoAUQA9AD0A0&amp;pr=&amp;lv=MABVADkATQBmAHYAOABzAEwASABNADEAVQBkAE8AWABGAGYAQQA5AGIAdwA9AD0A0&amp;ttid=UABSAFMAOQBXAEoAWgBCAEgARABuAGwASgB5AGoAOQBYAE4ARABpAEwAZwA9AD0A0", "UBND Ủy ban nhân dân phường Đại Yên  tỉnh Quảng Ninh")</f>
      </c>
      <c r="C5953" t="str">
        <v>https://dichvucong.quangninh.gov.vn/Default.aspx?tabid=110&amp;ctl=ChiTiet&amp;mid=503&amp;id=cQBUADkASgArADkAMQB2AHgAbgBxAC8AaAAzAHEAZQBvAEUAeABUAGoAUQA9AD0A0&amp;pr=&amp;lv=MABVADkATQBmAHYAOABzAEwASABNADEAVQBkAE8AWABGAGYAQQA5AGIAdwA9AD0A0&amp;ttid=UABSAFMAOQBXAEoAWgBCAEgARABuAGwASgB5AGoAOQBYAE4ARABpAEwAZwA9AD0A0</v>
      </c>
      <c r="D5953" t="str">
        <v>-</v>
      </c>
      <c r="E5953" t="str">
        <v>-</v>
      </c>
      <c r="F5953" t="str">
        <v>-</v>
      </c>
      <c r="G5953" t="str">
        <v>-</v>
      </c>
    </row>
    <row r="5954">
      <c r="A5954">
        <v>5953</v>
      </c>
      <c r="B5954">
        <f>HYPERLINK("https://www.facebook.com/p/Tu%E1%BB%95i-Tr%E1%BA%BB-Ka-Long-100063441297078/", "Công an phường Ka Long  tỉnh Quảng Ninh")</f>
      </c>
      <c r="C5954" t="str">
        <v>https://www.facebook.com/p/Tu%E1%BB%95i-Tr%E1%BA%BB-Ka-Long-100063441297078/</v>
      </c>
      <c r="D5954" t="str">
        <v>-</v>
      </c>
      <c r="E5954" t="str">
        <v/>
      </c>
      <c r="F5954" t="str">
        <v>-</v>
      </c>
      <c r="G5954" t="str">
        <v>-</v>
      </c>
    </row>
    <row r="5955">
      <c r="A5955">
        <v>5954</v>
      </c>
      <c r="B5955">
        <f>HYPERLINK("https://mongcai.gov.vn/vi-vn/trang/phuong-ka-long-p676834", "UBND Ủy ban nhân dân phường Ka Long  tỉnh Quảng Ninh")</f>
      </c>
      <c r="C5955" t="str">
        <v>https://mongcai.gov.vn/vi-vn/trang/phuong-ka-long-p676834</v>
      </c>
      <c r="D5955" t="str">
        <v>-</v>
      </c>
      <c r="E5955" t="str">
        <v>-</v>
      </c>
      <c r="F5955" t="str">
        <v>-</v>
      </c>
      <c r="G5955" t="str">
        <v>-</v>
      </c>
    </row>
    <row r="5956">
      <c r="A5956">
        <v>5955</v>
      </c>
      <c r="B5956" t="str">
        <v>Công an phường Trần Phú  tỉnh Quảng Ninh</v>
      </c>
      <c r="C5956" t="str">
        <v>-</v>
      </c>
      <c r="D5956" t="str">
        <v>-</v>
      </c>
      <c r="E5956" t="str">
        <v/>
      </c>
      <c r="F5956" t="str">
        <v>-</v>
      </c>
      <c r="G5956" t="str">
        <v>-</v>
      </c>
    </row>
    <row r="5957">
      <c r="A5957">
        <v>5956</v>
      </c>
      <c r="B5957">
        <f>HYPERLINK("https://mongcai.gov.vn/vi-vn/tin/thong-tin-lanh-dao-cbcc-phuong-tran-phu-p0-c773587-n479328", "UBND Ủy ban nhân dân phường Trần Phú  tỉnh Quảng Ninh")</f>
      </c>
      <c r="C5957" t="str">
        <v>https://mongcai.gov.vn/vi-vn/tin/thong-tin-lanh-dao-cbcc-phuong-tran-phu-p0-c773587-n479328</v>
      </c>
      <c r="D5957" t="str">
        <v>-</v>
      </c>
      <c r="E5957" t="str">
        <v>-</v>
      </c>
      <c r="F5957" t="str">
        <v>-</v>
      </c>
      <c r="G5957" t="str">
        <v>-</v>
      </c>
    </row>
    <row r="5958">
      <c r="A5958">
        <v>5957</v>
      </c>
      <c r="B5958">
        <f>HYPERLINK("https://www.facebook.com/%40TuoitreNinhDuong/", "Công an phường Ninh Dương  tỉnh Quảng Ninh")</f>
      </c>
      <c r="C5958" t="str">
        <v>https://www.facebook.com/%40TuoitreNinhDuong/</v>
      </c>
      <c r="D5958" t="str">
        <v>-</v>
      </c>
      <c r="E5958" t="str">
        <v/>
      </c>
      <c r="F5958" t="str">
        <v>-</v>
      </c>
      <c r="G5958" t="str">
        <v>-</v>
      </c>
    </row>
    <row r="5959">
      <c r="A5959">
        <v>5958</v>
      </c>
      <c r="B5959">
        <f>HYPERLINK("https://mongcai.gov.vn/vi-vn/trang/phuong-ninh-duong-p675303", "UBND Ủy ban nhân dân phường Ninh Dương  tỉnh Quảng Ninh")</f>
      </c>
      <c r="C5959" t="str">
        <v>https://mongcai.gov.vn/vi-vn/trang/phuong-ninh-duong-p675303</v>
      </c>
      <c r="D5959" t="str">
        <v>-</v>
      </c>
      <c r="E5959" t="str">
        <v>-</v>
      </c>
      <c r="F5959" t="str">
        <v>-</v>
      </c>
      <c r="G5959" t="str">
        <v>-</v>
      </c>
    </row>
    <row r="5960">
      <c r="A5960">
        <v>5959</v>
      </c>
      <c r="B5960" t="str">
        <v>Công an phường Hoà Lạc  tỉnh Quảng Ninh</v>
      </c>
      <c r="C5960" t="str">
        <v>-</v>
      </c>
      <c r="D5960" t="str">
        <v>-</v>
      </c>
      <c r="E5960" t="str">
        <v/>
      </c>
      <c r="F5960" t="str">
        <v>-</v>
      </c>
      <c r="G5960" t="str">
        <v>-</v>
      </c>
    </row>
    <row r="5961">
      <c r="A5961">
        <v>5960</v>
      </c>
      <c r="B5961">
        <f>HYPERLINK("https://mongcai.gov.vn/vi-vn/tin/thong-tin-chung-phuong-hoa-lac-p671133-c707529-n241357", "UBND Ủy ban nhân dân phường Hoà Lạc  tỉnh Quảng Ninh")</f>
      </c>
      <c r="C5961" t="str">
        <v>https://mongcai.gov.vn/vi-vn/tin/thong-tin-chung-phuong-hoa-lac-p671133-c707529-n241357</v>
      </c>
      <c r="D5961" t="str">
        <v>-</v>
      </c>
      <c r="E5961" t="str">
        <v>-</v>
      </c>
      <c r="F5961" t="str">
        <v>-</v>
      </c>
      <c r="G5961" t="str">
        <v>-</v>
      </c>
    </row>
    <row r="5962">
      <c r="A5962">
        <v>5961</v>
      </c>
      <c r="B5962" t="str">
        <v>Công an phường Trà Cổ  tỉnh Quảng Ninh</v>
      </c>
      <c r="C5962" t="str">
        <v>-</v>
      </c>
      <c r="D5962" t="str">
        <v>-</v>
      </c>
      <c r="E5962" t="str">
        <v/>
      </c>
      <c r="F5962" t="str">
        <v>-</v>
      </c>
      <c r="G5962" t="str">
        <v>-</v>
      </c>
    </row>
    <row r="5963">
      <c r="A5963">
        <v>5962</v>
      </c>
      <c r="B5963">
        <f>HYPERLINK("https://mongcai.gov.vn/vi-vn/trang/phuong-tra-co-p99093", "UBND Ủy ban nhân dân phường Trà Cổ  tỉnh Quảng Ninh")</f>
      </c>
      <c r="C5963" t="str">
        <v>https://mongcai.gov.vn/vi-vn/trang/phuong-tra-co-p99093</v>
      </c>
      <c r="D5963" t="str">
        <v>-</v>
      </c>
      <c r="E5963" t="str">
        <v>-</v>
      </c>
      <c r="F5963" t="str">
        <v>-</v>
      </c>
      <c r="G5963" t="str">
        <v>-</v>
      </c>
    </row>
    <row r="5964">
      <c r="A5964">
        <v>5963</v>
      </c>
      <c r="B5964">
        <f>HYPERLINK("https://www.facebook.com/3842728065785530", "Công an xã Hải Sơn  tỉnh Quảng Ninh")</f>
      </c>
      <c r="C5964" t="str">
        <v>https://www.facebook.com/3842728065785530</v>
      </c>
      <c r="D5964" t="str">
        <v>-</v>
      </c>
      <c r="E5964" t="str">
        <v/>
      </c>
      <c r="F5964" t="str">
        <v>-</v>
      </c>
      <c r="G5964" t="str">
        <v>-</v>
      </c>
    </row>
    <row r="5965">
      <c r="A5965">
        <v>5964</v>
      </c>
      <c r="B5965">
        <f>HYPERLINK("https://mongcai.gov.vn/vi-vn/trang/xa-hai-son-p95147", "UBND Ủy ban nhân dân xã Hải Sơn  tỉnh Quảng Ninh")</f>
      </c>
      <c r="C5965" t="str">
        <v>https://mongcai.gov.vn/vi-vn/trang/xa-hai-son-p95147</v>
      </c>
      <c r="D5965" t="str">
        <v>-</v>
      </c>
      <c r="E5965" t="str">
        <v>-</v>
      </c>
      <c r="F5965" t="str">
        <v>-</v>
      </c>
      <c r="G5965" t="str">
        <v>-</v>
      </c>
    </row>
    <row r="5966">
      <c r="A5966">
        <v>5965</v>
      </c>
      <c r="B5966">
        <f>HYPERLINK("https://www.facebook.com/chidoan.congan/?locale=vi_VN", "Công an xã Bắc Sơn  tỉnh Quảng Ninh")</f>
      </c>
      <c r="C5966" t="str">
        <v>https://www.facebook.com/chidoan.congan/?locale=vi_VN</v>
      </c>
      <c r="D5966" t="str">
        <v>-</v>
      </c>
      <c r="E5966" t="str">
        <v/>
      </c>
      <c r="F5966" t="str">
        <v>-</v>
      </c>
      <c r="G5966" t="str">
        <v>-</v>
      </c>
    </row>
    <row r="5967">
      <c r="A5967">
        <v>5966</v>
      </c>
      <c r="B5967">
        <f>HYPERLINK("https://mongcai.gov.vn/vi-vn/tin/thong-tin-can-bo-cong-chuc-xa-bac-son-p726611-c210255-n733959", "UBND Ủy ban nhân dân xã Bắc Sơn  tỉnh Quảng Ninh")</f>
      </c>
      <c r="C5967" t="str">
        <v>https://mongcai.gov.vn/vi-vn/tin/thong-tin-can-bo-cong-chuc-xa-bac-son-p726611-c210255-n733959</v>
      </c>
      <c r="D5967" t="str">
        <v>-</v>
      </c>
      <c r="E5967" t="str">
        <v>-</v>
      </c>
      <c r="F5967" t="str">
        <v>-</v>
      </c>
      <c r="G5967" t="str">
        <v>-</v>
      </c>
    </row>
    <row r="5968">
      <c r="A5968">
        <v>5967</v>
      </c>
      <c r="B5968">
        <f>HYPERLINK("https://www.facebook.com/p/Tu%E1%BB%95i-tr%E1%BA%BB-C%C3%B4ng-an-huy%E1%BB%87n-Ninh-Ph%C6%B0%E1%BB%9Bc-100068114569027/", "Công an xã Hải Đông  tỉnh Quảng Ninh")</f>
      </c>
      <c r="C5968" t="str">
        <v>https://www.facebook.com/p/Tu%E1%BB%95i-tr%E1%BA%BB-C%C3%B4ng-an-huy%E1%BB%87n-Ninh-Ph%C6%B0%E1%BB%9Bc-100068114569027/</v>
      </c>
      <c r="D5968" t="str">
        <v>-</v>
      </c>
      <c r="E5968" t="str">
        <v/>
      </c>
      <c r="F5968" t="str">
        <v>-</v>
      </c>
      <c r="G5968" t="str">
        <v>-</v>
      </c>
    </row>
    <row r="5969">
      <c r="A5969">
        <v>5968</v>
      </c>
      <c r="B5969">
        <f>HYPERLINK("https://mongcai.gov.vn/vi-vn/tin/thong-tin-to-chuc-bo-may-xa-hai-dong-p0-c911238-n773720", "UBND Ủy ban nhân dân xã Hải Đông  tỉnh Quảng Ninh")</f>
      </c>
      <c r="C5969" t="str">
        <v>https://mongcai.gov.vn/vi-vn/tin/thong-tin-to-chuc-bo-may-xa-hai-dong-p0-c911238-n773720</v>
      </c>
      <c r="D5969" t="str">
        <v>-</v>
      </c>
      <c r="E5969" t="str">
        <v>-</v>
      </c>
      <c r="F5969" t="str">
        <v>-</v>
      </c>
      <c r="G5969" t="str">
        <v>-</v>
      </c>
    </row>
    <row r="5970">
      <c r="A5970">
        <v>5969</v>
      </c>
      <c r="B5970" t="str">
        <v>Công an xã Hải Tiến  tỉnh Quảng Ninh</v>
      </c>
      <c r="C5970" t="str">
        <v>-</v>
      </c>
      <c r="D5970" t="str">
        <v>-</v>
      </c>
      <c r="E5970" t="str">
        <v/>
      </c>
      <c r="F5970" t="str">
        <v>-</v>
      </c>
      <c r="G5970" t="str">
        <v>-</v>
      </c>
    </row>
    <row r="5971">
      <c r="A5971">
        <v>5970</v>
      </c>
      <c r="B5971">
        <f>HYPERLINK("https://mongcai.gov.vn/vi-vn/trang/xa-hai-tien-p109594", "UBND Ủy ban nhân dân xã Hải Tiến  tỉnh Quảng Ninh")</f>
      </c>
      <c r="C5971" t="str">
        <v>https://mongcai.gov.vn/vi-vn/trang/xa-hai-tien-p109594</v>
      </c>
      <c r="D5971" t="str">
        <v>-</v>
      </c>
      <c r="E5971" t="str">
        <v>-</v>
      </c>
      <c r="F5971" t="str">
        <v>-</v>
      </c>
      <c r="G5971" t="str">
        <v>-</v>
      </c>
    </row>
    <row r="5972">
      <c r="A5972">
        <v>5971</v>
      </c>
      <c r="B5972">
        <f>HYPERLINK("https://www.facebook.com/p/C%E1%BB%95ng-th%C3%B4ng-tin-%C4%91i%E1%BB%87n-t%E1%BB%AD-Ph%C6%B0%E1%BB%9Dng-H%E1%BA%A3i-Y%C3%AAn-100057463328555/", "Công an phường Hải Yên  tỉnh Quảng Ninh")</f>
      </c>
      <c r="C5972" t="str">
        <v>https://www.facebook.com/p/C%E1%BB%95ng-th%C3%B4ng-tin-%C4%91i%E1%BB%87n-t%E1%BB%AD-Ph%C6%B0%E1%BB%9Dng-H%E1%BA%A3i-Y%C3%AAn-100057463328555/</v>
      </c>
      <c r="D5972" t="str">
        <v>-</v>
      </c>
      <c r="E5972" t="str">
        <v/>
      </c>
      <c r="F5972" t="str">
        <v>-</v>
      </c>
      <c r="G5972" t="str">
        <v>-</v>
      </c>
    </row>
    <row r="5973">
      <c r="A5973">
        <v>5972</v>
      </c>
      <c r="B5973">
        <f>HYPERLINK("https://mongcai.gov.vn/vi-vn/tin/phuong-hai-yen/98210-82347-399824", "UBND Ủy ban nhân dân phường Hải Yên  tỉnh Quảng Ninh")</f>
      </c>
      <c r="C5973" t="str">
        <v>https://mongcai.gov.vn/vi-vn/tin/phuong-hai-yen/98210-82347-399824</v>
      </c>
      <c r="D5973" t="str">
        <v>-</v>
      </c>
      <c r="E5973" t="str">
        <v>-</v>
      </c>
      <c r="F5973" t="str">
        <v>-</v>
      </c>
      <c r="G5973" t="str">
        <v>-</v>
      </c>
    </row>
    <row r="5974">
      <c r="A5974">
        <v>5973</v>
      </c>
      <c r="B5974">
        <f>HYPERLINK("https://www.facebook.com/dtncatquangngai/", "Công an xã Quảng Nghĩa  tỉnh Quảng Ninh")</f>
      </c>
      <c r="C5974" t="str">
        <v>https://www.facebook.com/dtncatquangngai/</v>
      </c>
      <c r="D5974" t="str">
        <v>-</v>
      </c>
      <c r="E5974" t="str">
        <v/>
      </c>
      <c r="F5974" t="str">
        <v>-</v>
      </c>
      <c r="G5974" t="str">
        <v>-</v>
      </c>
    </row>
    <row r="5975">
      <c r="A5975">
        <v>5974</v>
      </c>
      <c r="B5975">
        <f>HYPERLINK("https://mongcai.gov.vn/vi-vn/trang/xa-quang-nghia-p509470", "UBND Ủy ban nhân dân xã Quảng Nghĩa  tỉnh Quảng Ninh")</f>
      </c>
      <c r="C5975" t="str">
        <v>https://mongcai.gov.vn/vi-vn/trang/xa-quang-nghia-p509470</v>
      </c>
      <c r="D5975" t="str">
        <v>-</v>
      </c>
      <c r="E5975" t="str">
        <v>-</v>
      </c>
      <c r="F5975" t="str">
        <v>-</v>
      </c>
      <c r="G5975" t="str">
        <v>-</v>
      </c>
    </row>
    <row r="5976">
      <c r="A5976">
        <v>5975</v>
      </c>
      <c r="B5976" t="str">
        <v>Công an phường Hải Hoà  tỉnh Quảng Ninh</v>
      </c>
      <c r="C5976" t="str">
        <v>-</v>
      </c>
      <c r="D5976" t="str">
        <v>-</v>
      </c>
      <c r="E5976" t="str">
        <v/>
      </c>
      <c r="F5976" t="str">
        <v>-</v>
      </c>
      <c r="G5976" t="str">
        <v>-</v>
      </c>
    </row>
    <row r="5977">
      <c r="A5977">
        <v>5976</v>
      </c>
      <c r="B5977">
        <f>HYPERLINK("https://mongcai.gov.vn/vi-vn/tin/phuong-hai-hoa/0-92541-213632", "UBND Ủy ban nhân dân phường Hải Hoà  tỉnh Quảng Ninh")</f>
      </c>
      <c r="C5977" t="str">
        <v>https://mongcai.gov.vn/vi-vn/tin/phuong-hai-hoa/0-92541-213632</v>
      </c>
      <c r="D5977" t="str">
        <v>-</v>
      </c>
      <c r="E5977" t="str">
        <v>-</v>
      </c>
      <c r="F5977" t="str">
        <v>-</v>
      </c>
      <c r="G5977" t="str">
        <v>-</v>
      </c>
    </row>
    <row r="5978">
      <c r="A5978">
        <v>5977</v>
      </c>
      <c r="B5978">
        <f>HYPERLINK("https://www.facebook.com/p/Trang-Th%C3%B4ng-Tin-X%C3%A3-H%E1%BA%A3i-Xu%C3%A2n-100050507356613/", "Công an xã Hải Xuân  tỉnh Quảng Ninh")</f>
      </c>
      <c r="C5978" t="str">
        <v>https://www.facebook.com/p/Trang-Th%C3%B4ng-Tin-X%C3%A3-H%E1%BA%A3i-Xu%C3%A2n-100050507356613/</v>
      </c>
      <c r="D5978" t="str">
        <v>-</v>
      </c>
      <c r="E5978" t="str">
        <v/>
      </c>
      <c r="F5978" t="str">
        <v>-</v>
      </c>
      <c r="G5978" t="str">
        <v>-</v>
      </c>
    </row>
    <row r="5979">
      <c r="A5979">
        <v>5978</v>
      </c>
      <c r="B5979">
        <f>HYPERLINK("https://mongcai.gov.vn/vi-vn/trang/xa-hai-xuan-p412241", "UBND Ủy ban nhân dân xã Hải Xuân  tỉnh Quảng Ninh")</f>
      </c>
      <c r="C5979" t="str">
        <v>https://mongcai.gov.vn/vi-vn/trang/xa-hai-xuan-p412241</v>
      </c>
      <c r="D5979" t="str">
        <v>-</v>
      </c>
      <c r="E5979" t="str">
        <v>-</v>
      </c>
      <c r="F5979" t="str">
        <v>-</v>
      </c>
      <c r="G5979" t="str">
        <v>-</v>
      </c>
    </row>
    <row r="5980">
      <c r="A5980">
        <v>5979</v>
      </c>
      <c r="B5980" t="str">
        <v>Công an xã Vạn Ninh  tỉnh Quảng Ninh</v>
      </c>
      <c r="C5980" t="str">
        <v>-</v>
      </c>
      <c r="D5980" t="str">
        <v>-</v>
      </c>
      <c r="E5980" t="str">
        <v/>
      </c>
      <c r="F5980" t="str">
        <v>-</v>
      </c>
      <c r="G5980" t="str">
        <v>-</v>
      </c>
    </row>
    <row r="5981">
      <c r="A5981">
        <v>5980</v>
      </c>
      <c r="B5981">
        <f>HYPERLINK("https://mongcai.gov.vn/vi-vn/trang/xa-van-ninh-p355267", "UBND Ủy ban nhân dân xã Vạn Ninh  tỉnh Quảng Ninh")</f>
      </c>
      <c r="C5981" t="str">
        <v>https://mongcai.gov.vn/vi-vn/trang/xa-van-ninh-p355267</v>
      </c>
      <c r="D5981" t="str">
        <v>-</v>
      </c>
      <c r="E5981" t="str">
        <v>-</v>
      </c>
      <c r="F5981" t="str">
        <v>-</v>
      </c>
      <c r="G5981" t="str">
        <v>-</v>
      </c>
    </row>
    <row r="5982">
      <c r="A5982">
        <v>5981</v>
      </c>
      <c r="B5982">
        <f>HYPERLINK("https://www.facebook.com/p/C%C3%B4%CC%89ng-th%C3%B4ng-tin-ph%C6%B0%C6%A1%CC%80ng-Bi%CC%80nh-Ngo%CC%A3c-100064523476645/", "Công an phường Bình Ngọc  tỉnh Quảng Ninh")</f>
      </c>
      <c r="C5982" t="str">
        <v>https://www.facebook.com/p/C%C3%B4%CC%89ng-th%C3%B4ng-tin-ph%C6%B0%C6%A1%CC%80ng-Bi%CC%80nh-Ngo%CC%A3c-100064523476645/</v>
      </c>
      <c r="D5982" t="str">
        <v>-</v>
      </c>
      <c r="E5982" t="str">
        <v/>
      </c>
      <c r="F5982" t="str">
        <v>-</v>
      </c>
      <c r="G5982" t="str">
        <v>-</v>
      </c>
    </row>
    <row r="5983">
      <c r="A5983">
        <v>5982</v>
      </c>
      <c r="B5983">
        <f>HYPERLINK("https://mongcai.gov.vn/vi-vn/tin/thong-tin-chung-dang-uy--hdnd--ubnd-phuong-binh-ngoc-p482340-c944510-n688976", "UBND Ủy ban nhân dân phường Bình Ngọc  tỉnh Quảng Ninh")</f>
      </c>
      <c r="C5983" t="str">
        <v>https://mongcai.gov.vn/vi-vn/tin/thong-tin-chung-dang-uy--hdnd--ubnd-phuong-binh-ngoc-p482340-c944510-n688976</v>
      </c>
      <c r="D5983" t="str">
        <v>-</v>
      </c>
      <c r="E5983" t="str">
        <v>-</v>
      </c>
      <c r="F5983" t="str">
        <v>-</v>
      </c>
      <c r="G5983" t="str">
        <v>-</v>
      </c>
    </row>
    <row r="5984">
      <c r="A5984">
        <v>5983</v>
      </c>
      <c r="B5984" t="str">
        <v>Công an xã Vĩnh Trung  tỉnh Quảng Ninh</v>
      </c>
      <c r="C5984" t="str">
        <v>-</v>
      </c>
      <c r="D5984" t="str">
        <v>-</v>
      </c>
      <c r="E5984" t="str">
        <v/>
      </c>
      <c r="F5984" t="str">
        <v>-</v>
      </c>
      <c r="G5984" t="str">
        <v>-</v>
      </c>
    </row>
    <row r="5985">
      <c r="A5985">
        <v>5984</v>
      </c>
      <c r="B5985">
        <f>HYPERLINK("https://mongcai.gov.vn/vi-vn/tin/xa-vinh-trung-p98210-c0-n958251", "UBND Ủy ban nhân dân xã Vĩnh Trung  tỉnh Quảng Ninh")</f>
      </c>
      <c r="C5985" t="str">
        <v>https://mongcai.gov.vn/vi-vn/tin/xa-vinh-trung-p98210-c0-n958251</v>
      </c>
      <c r="D5985" t="str">
        <v>-</v>
      </c>
      <c r="E5985" t="str">
        <v>-</v>
      </c>
      <c r="F5985" t="str">
        <v>-</v>
      </c>
      <c r="G5985" t="str">
        <v>-</v>
      </c>
    </row>
    <row r="5986">
      <c r="A5986">
        <v>5985</v>
      </c>
      <c r="B5986" t="str">
        <v>Công an xã Vĩnh Thực  tỉnh Quảng Ninh</v>
      </c>
      <c r="C5986" t="str">
        <v>-</v>
      </c>
      <c r="D5986" t="str">
        <v>-</v>
      </c>
      <c r="E5986" t="str">
        <v/>
      </c>
      <c r="F5986" t="str">
        <v>-</v>
      </c>
      <c r="G5986" t="str">
        <v>-</v>
      </c>
    </row>
    <row r="5987">
      <c r="A5987">
        <v>5986</v>
      </c>
      <c r="B5987">
        <f>HYPERLINK("https://mongcai.gov.vn/vi-vn/trang/xa-vinh-thuc-p505571", "UBND Ủy ban nhân dân xã Vĩnh Thực  tỉnh Quảng Ninh")</f>
      </c>
      <c r="C5987" t="str">
        <v>https://mongcai.gov.vn/vi-vn/trang/xa-vinh-thuc-p505571</v>
      </c>
      <c r="D5987" t="str">
        <v>-</v>
      </c>
      <c r="E5987" t="str">
        <v>-</v>
      </c>
      <c r="F5987" t="str">
        <v>-</v>
      </c>
      <c r="G5987" t="str">
        <v>-</v>
      </c>
    </row>
    <row r="5988">
      <c r="A5988">
        <v>5987</v>
      </c>
      <c r="B5988" t="str">
        <v>Công an phường Mông Dương  tỉnh Quảng Ninh</v>
      </c>
      <c r="C5988" t="str">
        <v>-</v>
      </c>
      <c r="D5988" t="str">
        <v>-</v>
      </c>
      <c r="E5988" t="str">
        <v/>
      </c>
      <c r="F5988" t="str">
        <v>-</v>
      </c>
      <c r="G5988" t="str">
        <v>-</v>
      </c>
    </row>
    <row r="5989">
      <c r="A5989">
        <v>5988</v>
      </c>
      <c r="B5989">
        <f>HYPERLINK("https://phuongmongduong.campha.gov.vn/phuongmongduong/thong-tin/to-chuc-bo-may-302", "UBND Ủy ban nhân dân phường Mông Dương  tỉnh Quảng Ninh")</f>
      </c>
      <c r="C5989" t="str">
        <v>https://phuongmongduong.campha.gov.vn/phuongmongduong/thong-tin/to-chuc-bo-may-302</v>
      </c>
      <c r="D5989" t="str">
        <v>-</v>
      </c>
      <c r="E5989" t="str">
        <v>-</v>
      </c>
      <c r="F5989" t="str">
        <v>-</v>
      </c>
      <c r="G5989" t="str">
        <v>-</v>
      </c>
    </row>
    <row r="5990">
      <c r="A5990">
        <v>5989</v>
      </c>
      <c r="B5990">
        <f>HYPERLINK("https://www.facebook.com/p/Ph%C6%B0%E1%BB%9Dng-C%E1%BB%ADa-%C3%94ng-th%C3%A0nh-ph%E1%BB%91-C%E1%BA%A9m-Ph%E1%BA%A3-t%E1%BB%89nh-Qu%E1%BA%A3ng-Ninh-100069188860302/", "Công an phường Cửa Ông  tỉnh Quảng Ninh")</f>
      </c>
      <c r="C5990" t="str">
        <v>https://www.facebook.com/p/Ph%C6%B0%E1%BB%9Dng-C%E1%BB%ADa-%C3%94ng-th%C3%A0nh-ph%E1%BB%91-C%E1%BA%A9m-Ph%E1%BA%A3-t%E1%BB%89nh-Qu%E1%BA%A3ng-Ninh-100069188860302/</v>
      </c>
      <c r="D5990" t="str">
        <v>-</v>
      </c>
      <c r="E5990" t="str">
        <v/>
      </c>
      <c r="F5990" t="str">
        <v>-</v>
      </c>
      <c r="G5990" t="str">
        <v>-</v>
      </c>
    </row>
    <row r="5991">
      <c r="A5991">
        <v>5990</v>
      </c>
      <c r="B5991">
        <f>HYPERLINK("https://tthcc.campha.gov.vn/phuongcuaong/chi-tiet/uy-ban-nhan-dan-phuong-cua-ong-1347", "UBND Ủy ban nhân dân phường Cửa Ông  tỉnh Quảng Ninh")</f>
      </c>
      <c r="C5991" t="str">
        <v>https://tthcc.campha.gov.vn/phuongcuaong/chi-tiet/uy-ban-nhan-dan-phuong-cua-ong-1347</v>
      </c>
      <c r="D5991" t="str">
        <v>-</v>
      </c>
      <c r="E5991" t="str">
        <v>-</v>
      </c>
      <c r="F5991" t="str">
        <v>-</v>
      </c>
      <c r="G5991" t="str">
        <v>-</v>
      </c>
    </row>
    <row r="5992">
      <c r="A5992">
        <v>5991</v>
      </c>
      <c r="B5992" t="str">
        <v>Công an phường Cẩm Sơn  tỉnh Quảng Ninh</v>
      </c>
      <c r="C5992" t="str">
        <v>-</v>
      </c>
      <c r="D5992" t="str">
        <v>-</v>
      </c>
      <c r="E5992" t="str">
        <v/>
      </c>
      <c r="F5992" t="str">
        <v>-</v>
      </c>
      <c r="G5992" t="str">
        <v>-</v>
      </c>
    </row>
    <row r="5993">
      <c r="A5993">
        <v>5992</v>
      </c>
      <c r="B5993">
        <f>HYPERLINK("https://tthcc.campha.gov.vn/phuongcamson/thong-tin/to-chuc-bo-may-182", "UBND Ủy ban nhân dân phường Cẩm Sơn  tỉnh Quảng Ninh")</f>
      </c>
      <c r="C5993" t="str">
        <v>https://tthcc.campha.gov.vn/phuongcamson/thong-tin/to-chuc-bo-may-182</v>
      </c>
      <c r="D5993" t="str">
        <v>-</v>
      </c>
      <c r="E5993" t="str">
        <v>-</v>
      </c>
      <c r="F5993" t="str">
        <v>-</v>
      </c>
      <c r="G5993" t="str">
        <v>-</v>
      </c>
    </row>
    <row r="5994">
      <c r="A5994">
        <v>5993</v>
      </c>
      <c r="B5994" t="str">
        <v>Công an phường Cẩm Đông  tỉnh Quảng Ninh</v>
      </c>
      <c r="C5994" t="str">
        <v>-</v>
      </c>
      <c r="D5994" t="str">
        <v>-</v>
      </c>
      <c r="E5994" t="str">
        <v/>
      </c>
      <c r="F5994" t="str">
        <v>-</v>
      </c>
      <c r="G5994" t="str">
        <v>-</v>
      </c>
    </row>
    <row r="5995">
      <c r="A5995">
        <v>5994</v>
      </c>
      <c r="B5995">
        <f>HYPERLINK("https://www.quangninh.gov.vn/donvi/phuongcamdong/Trang/Default.aspx", "UBND Ủy ban nhân dân phường Cẩm Đông  tỉnh Quảng Ninh")</f>
      </c>
      <c r="C5995" t="str">
        <v>https://www.quangninh.gov.vn/donvi/phuongcamdong/Trang/Default.aspx</v>
      </c>
      <c r="D5995" t="str">
        <v>-</v>
      </c>
      <c r="E5995" t="str">
        <v>-</v>
      </c>
      <c r="F5995" t="str">
        <v>-</v>
      </c>
      <c r="G5995" t="str">
        <v>-</v>
      </c>
    </row>
    <row r="5996">
      <c r="A5996">
        <v>5995</v>
      </c>
      <c r="B5996" t="str">
        <v>Công an phường Cẩm Phú  tỉnh Quảng Ninh</v>
      </c>
      <c r="C5996" t="str">
        <v>-</v>
      </c>
      <c r="D5996" t="str">
        <v>-</v>
      </c>
      <c r="E5996" t="str">
        <v/>
      </c>
      <c r="F5996" t="str">
        <v>-</v>
      </c>
      <c r="G5996" t="str">
        <v>-</v>
      </c>
    </row>
    <row r="5997">
      <c r="A5997">
        <v>5996</v>
      </c>
      <c r="B5997">
        <f>HYPERLINK("https://www.quangninh.gov.vn/donvi/tpcampha/Trang/ChiTietTinTuc.aspx?nid=8847", "UBND Ủy ban nhân dân phường Cẩm Phú  tỉnh Quảng Ninh")</f>
      </c>
      <c r="C5997" t="str">
        <v>https://www.quangninh.gov.vn/donvi/tpcampha/Trang/ChiTietTinTuc.aspx?nid=8847</v>
      </c>
      <c r="D5997" t="str">
        <v>-</v>
      </c>
      <c r="E5997" t="str">
        <v>-</v>
      </c>
      <c r="F5997" t="str">
        <v>-</v>
      </c>
      <c r="G5997" t="str">
        <v>-</v>
      </c>
    </row>
    <row r="5998">
      <c r="A5998">
        <v>5997</v>
      </c>
      <c r="B5998" t="str">
        <v>Công an phường Cẩm Tây  tỉnh Quảng Ninh</v>
      </c>
      <c r="C5998" t="str">
        <v>-</v>
      </c>
      <c r="D5998" t="str">
        <v>-</v>
      </c>
      <c r="E5998" t="str">
        <v/>
      </c>
      <c r="F5998" t="str">
        <v>-</v>
      </c>
      <c r="G5998" t="str">
        <v>-</v>
      </c>
    </row>
    <row r="5999">
      <c r="A5999">
        <v>5998</v>
      </c>
      <c r="B5999">
        <f>HYPERLINK("https://tthcc.campha.gov.vn/phuongcamtay/thong-tin/to-chuc-bo-may-197", "UBND Ủy ban nhân dân phường Cẩm Tây  tỉnh Quảng Ninh")</f>
      </c>
      <c r="C5999" t="str">
        <v>https://tthcc.campha.gov.vn/phuongcamtay/thong-tin/to-chuc-bo-may-197</v>
      </c>
      <c r="D5999" t="str">
        <v>-</v>
      </c>
      <c r="E5999" t="str">
        <v>-</v>
      </c>
      <c r="F5999" t="str">
        <v>-</v>
      </c>
      <c r="G5999" t="str">
        <v>-</v>
      </c>
    </row>
    <row r="6000">
      <c r="A6000">
        <v>5999</v>
      </c>
      <c r="B6000" t="str">
        <v>Công an phường Quang Hanh  tỉnh Quảng Ninh</v>
      </c>
      <c r="C6000" t="str">
        <v>-</v>
      </c>
      <c r="D6000" t="str">
        <v>-</v>
      </c>
      <c r="E6000" t="str">
        <v/>
      </c>
      <c r="F6000" t="str">
        <v>-</v>
      </c>
      <c r="G6000" t="str">
        <v>-</v>
      </c>
    </row>
    <row r="6001">
      <c r="A6001">
        <v>6000</v>
      </c>
      <c r="B6001">
        <f>HYPERLINK("https://tthcc.campha.gov.vn/phuongquanghanh/chi-tiet/phuong-quang-hanh-15397", "UBND Ủy ban nhân dân phường Quang Hanh  tỉnh Quảng Ninh")</f>
      </c>
      <c r="C6001" t="str">
        <v>https://tthcc.campha.gov.vn/phuongquanghanh/chi-tiet/phuong-quang-hanh-15397</v>
      </c>
      <c r="D6001" t="str">
        <v>-</v>
      </c>
      <c r="E6001" t="str">
        <v>-</v>
      </c>
      <c r="F6001" t="str">
        <v>-</v>
      </c>
      <c r="G6001" t="str">
        <v>-</v>
      </c>
    </row>
    <row r="6002">
      <c r="A6002">
        <v>6001</v>
      </c>
      <c r="B6002">
        <f>HYPERLINK("https://www.facebook.com/p/%C4%90o%C3%A0n-ph%C6%B0%E1%BB%9Dng-C%E1%BA%A9m-Th%E1%BB%8Bnh-100064029249495/", "Công an phường Cẩm Thịnh  tỉnh Quảng Ninh")</f>
      </c>
      <c r="C6002" t="str">
        <v>https://www.facebook.com/p/%C4%90o%C3%A0n-ph%C6%B0%E1%BB%9Dng-C%E1%BA%A9m-Th%E1%BB%8Bnh-100064029249495/</v>
      </c>
      <c r="D6002" t="str">
        <v>-</v>
      </c>
      <c r="E6002" t="str">
        <v/>
      </c>
      <c r="F6002" t="str">
        <v>-</v>
      </c>
      <c r="G6002" t="str">
        <v>-</v>
      </c>
    </row>
    <row r="6003">
      <c r="A6003">
        <v>6002</v>
      </c>
      <c r="B6003">
        <f>HYPERLINK("https://phuongcamthinh.campha.gov.vn/phuongcamthinh/thong-tin/to-chuc-bo-may-242", "UBND Ủy ban nhân dân phường Cẩm Thịnh  tỉnh Quảng Ninh")</f>
      </c>
      <c r="C6003" t="str">
        <v>https://phuongcamthinh.campha.gov.vn/phuongcamthinh/thong-tin/to-chuc-bo-may-242</v>
      </c>
      <c r="D6003" t="str">
        <v>-</v>
      </c>
      <c r="E6003" t="str">
        <v>-</v>
      </c>
      <c r="F6003" t="str">
        <v>-</v>
      </c>
      <c r="G6003" t="str">
        <v>-</v>
      </c>
    </row>
    <row r="6004">
      <c r="A6004">
        <v>6003</v>
      </c>
      <c r="B6004" t="str">
        <v>Công an phường Cẩm Thủy  tỉnh Quảng Ninh</v>
      </c>
      <c r="C6004" t="str">
        <v>-</v>
      </c>
      <c r="D6004" t="str">
        <v>-</v>
      </c>
      <c r="E6004" t="str">
        <v/>
      </c>
      <c r="F6004" t="str">
        <v>-</v>
      </c>
      <c r="G6004" t="str">
        <v>-</v>
      </c>
    </row>
    <row r="6005">
      <c r="A6005">
        <v>6004</v>
      </c>
      <c r="B6005">
        <f>HYPERLINK("https://tthcc.campha.gov.vn/phuongcamthuy/thong-tin/to-chuc-bo-may-257", "UBND Ủy ban nhân dân phường Cẩm Thủy  tỉnh Quảng Ninh")</f>
      </c>
      <c r="C6005" t="str">
        <v>https://tthcc.campha.gov.vn/phuongcamthuy/thong-tin/to-chuc-bo-may-257</v>
      </c>
      <c r="D6005" t="str">
        <v>-</v>
      </c>
      <c r="E6005" t="str">
        <v>-</v>
      </c>
      <c r="F6005" t="str">
        <v>-</v>
      </c>
      <c r="G6005" t="str">
        <v>-</v>
      </c>
    </row>
    <row r="6006">
      <c r="A6006">
        <v>6005</v>
      </c>
      <c r="B6006" t="str">
        <v>Công an phường Cẩm Thạch  tỉnh Quảng Ninh</v>
      </c>
      <c r="C6006" t="str">
        <v>-</v>
      </c>
      <c r="D6006" t="str">
        <v>-</v>
      </c>
      <c r="E6006" t="str">
        <v/>
      </c>
      <c r="F6006" t="str">
        <v>-</v>
      </c>
      <c r="G6006" t="str">
        <v>-</v>
      </c>
    </row>
    <row r="6007">
      <c r="A6007">
        <v>6006</v>
      </c>
      <c r="B6007">
        <f>HYPERLINK("https://www.quangninh.gov.vn/donvi/tpcampha/Trang/ChiTietTinTuc.aspx?nid=8836", "UBND Ủy ban nhân dân phường Cẩm Thạch  tỉnh Quảng Ninh")</f>
      </c>
      <c r="C6007" t="str">
        <v>https://www.quangninh.gov.vn/donvi/tpcampha/Trang/ChiTietTinTuc.aspx?nid=8836</v>
      </c>
      <c r="D6007" t="str">
        <v>-</v>
      </c>
      <c r="E6007" t="str">
        <v>-</v>
      </c>
      <c r="F6007" t="str">
        <v>-</v>
      </c>
      <c r="G6007" t="str">
        <v>-</v>
      </c>
    </row>
    <row r="6008">
      <c r="A6008">
        <v>6007</v>
      </c>
      <c r="B6008" t="str">
        <v>Công an phường Cẩm Thành  tỉnh Quảng Ninh</v>
      </c>
      <c r="C6008" t="str">
        <v>-</v>
      </c>
      <c r="D6008" t="str">
        <v>-</v>
      </c>
      <c r="E6008" t="str">
        <v/>
      </c>
      <c r="F6008" t="str">
        <v>-</v>
      </c>
      <c r="G6008" t="str">
        <v>-</v>
      </c>
    </row>
    <row r="6009">
      <c r="A6009">
        <v>6008</v>
      </c>
      <c r="B6009">
        <f>HYPERLINK("https://tthcc.campha.gov.vn/phuongcamthanh/thong-tin/to-chuc-bo-may-5451", "UBND Ủy ban nhân dân phường Cẩm Thành  tỉnh Quảng Ninh")</f>
      </c>
      <c r="C6009" t="str">
        <v>https://tthcc.campha.gov.vn/phuongcamthanh/thong-tin/to-chuc-bo-may-5451</v>
      </c>
      <c r="D6009" t="str">
        <v>-</v>
      </c>
      <c r="E6009" t="str">
        <v>-</v>
      </c>
      <c r="F6009" t="str">
        <v>-</v>
      </c>
      <c r="G6009" t="str">
        <v>-</v>
      </c>
    </row>
    <row r="6010">
      <c r="A6010">
        <v>6009</v>
      </c>
      <c r="B6010" t="str">
        <v>Công an phường Cẩm Trung  tỉnh Quảng Ninh</v>
      </c>
      <c r="C6010" t="str">
        <v>-</v>
      </c>
      <c r="D6010" t="str">
        <v>-</v>
      </c>
      <c r="E6010" t="str">
        <v/>
      </c>
      <c r="F6010" t="str">
        <v>-</v>
      </c>
      <c r="G6010" t="str">
        <v>-</v>
      </c>
    </row>
    <row r="6011">
      <c r="A6011">
        <v>6010</v>
      </c>
      <c r="B6011">
        <f>HYPERLINK("https://tthcc.campha.gov.vn/phuongcamtrung/chi-tiet/to-chuc-bo-may-phuong-cam-trung-15356", "UBND Ủy ban nhân dân phường Cẩm Trung  tỉnh Quảng Ninh")</f>
      </c>
      <c r="C6011" t="str">
        <v>https://tthcc.campha.gov.vn/phuongcamtrung/chi-tiet/to-chuc-bo-may-phuong-cam-trung-15356</v>
      </c>
      <c r="D6011" t="str">
        <v>-</v>
      </c>
      <c r="E6011" t="str">
        <v>-</v>
      </c>
      <c r="F6011" t="str">
        <v>-</v>
      </c>
      <c r="G6011" t="str">
        <v>-</v>
      </c>
    </row>
    <row r="6012">
      <c r="A6012">
        <v>6011</v>
      </c>
      <c r="B6012">
        <f>HYPERLINK("https://www.facebook.com/p/Ph%C6%B0%E1%BB%9Dng-C%E1%BA%A9m-B%C3%ACnh-C%E1%BA%A9m-Ph%E1%BA%A3-Qu%E1%BA%A3ng-Ninh-100064338356151/", "Công an phường Cẩm Bình  tỉnh Quảng Ninh")</f>
      </c>
      <c r="C6012" t="str">
        <v>https://www.facebook.com/p/Ph%C6%B0%E1%BB%9Dng-C%E1%BA%A9m-B%C3%ACnh-C%E1%BA%A9m-Ph%E1%BA%A3-Qu%E1%BA%A3ng-Ninh-100064338356151/</v>
      </c>
      <c r="D6012" t="str">
        <v>-</v>
      </c>
      <c r="E6012" t="str">
        <v/>
      </c>
      <c r="F6012" t="str">
        <v>-</v>
      </c>
      <c r="G6012" t="str">
        <v>-</v>
      </c>
    </row>
    <row r="6013">
      <c r="A6013">
        <v>6012</v>
      </c>
      <c r="B6013">
        <f>HYPERLINK("https://tthcc.campha.gov.vn/phuongcambinh/chi-tiet/uy-ban-nhan-dan-phuong-cam-binh-14297", "UBND Ủy ban nhân dân phường Cẩm Bình  tỉnh Quảng Ninh")</f>
      </c>
      <c r="C6013" t="str">
        <v>https://tthcc.campha.gov.vn/phuongcambinh/chi-tiet/uy-ban-nhan-dan-phuong-cam-binh-14297</v>
      </c>
      <c r="D6013" t="str">
        <v>-</v>
      </c>
      <c r="E6013" t="str">
        <v>-</v>
      </c>
      <c r="F6013" t="str">
        <v>-</v>
      </c>
      <c r="G6013" t="str">
        <v>-</v>
      </c>
    </row>
    <row r="6014">
      <c r="A6014">
        <v>6013</v>
      </c>
      <c r="B6014">
        <f>HYPERLINK("https://www.facebook.com/conghoacpqn/?locale=vi_VN", "Công an xã Cộng Hòa  tỉnh Quảng Ninh")</f>
      </c>
      <c r="C6014" t="str">
        <v>https://www.facebook.com/conghoacpqn/?locale=vi_VN</v>
      </c>
      <c r="D6014" t="str">
        <v>-</v>
      </c>
      <c r="E6014" t="str">
        <v/>
      </c>
      <c r="F6014" t="str">
        <v>-</v>
      </c>
      <c r="G6014" t="str">
        <v>-</v>
      </c>
    </row>
    <row r="6015">
      <c r="A6015">
        <v>6014</v>
      </c>
      <c r="B6015">
        <f>HYPERLINK("https://www.quangninh.gov.vn/donvi/TXQuangYen/Trang/ChiTietBVGioiThieu.aspx?bvid=199", "UBND Ủy ban nhân dân xã Cộng Hòa  tỉnh Quảng Ninh")</f>
      </c>
      <c r="C6015" t="str">
        <v>https://www.quangninh.gov.vn/donvi/TXQuangYen/Trang/ChiTietBVGioiThieu.aspx?bvid=199</v>
      </c>
      <c r="D6015" t="str">
        <v>-</v>
      </c>
      <c r="E6015" t="str">
        <v>-</v>
      </c>
      <c r="F6015" t="str">
        <v>-</v>
      </c>
      <c r="G6015" t="str">
        <v>-</v>
      </c>
    </row>
    <row r="6016">
      <c r="A6016">
        <v>6015</v>
      </c>
      <c r="B6016" t="str">
        <v>Công an xã Cẩm Hải  tỉnh Quảng Ninh</v>
      </c>
      <c r="C6016" t="str">
        <v>-</v>
      </c>
      <c r="D6016" t="str">
        <v>-</v>
      </c>
      <c r="E6016" t="str">
        <v/>
      </c>
      <c r="F6016" t="str">
        <v>-</v>
      </c>
      <c r="G6016" t="str">
        <v>-</v>
      </c>
    </row>
    <row r="6017">
      <c r="A6017">
        <v>6016</v>
      </c>
      <c r="B6017">
        <f>HYPERLINK("https://xacamhai.campha.gov.vn/xacamhai/thong-tin/to-chuc-bo-may-79", "UBND Ủy ban nhân dân xã Cẩm Hải  tỉnh Quảng Ninh")</f>
      </c>
      <c r="C6017" t="str">
        <v>https://xacamhai.campha.gov.vn/xacamhai/thong-tin/to-chuc-bo-may-79</v>
      </c>
      <c r="D6017" t="str">
        <v>-</v>
      </c>
      <c r="E6017" t="str">
        <v>-</v>
      </c>
      <c r="F6017" t="str">
        <v>-</v>
      </c>
      <c r="G6017" t="str">
        <v>-</v>
      </c>
    </row>
    <row r="6018">
      <c r="A6018">
        <v>6017</v>
      </c>
      <c r="B6018" t="str">
        <v>Công an xã Dương Huy  tỉnh Quảng Ninh</v>
      </c>
      <c r="C6018" t="str">
        <v>-</v>
      </c>
      <c r="D6018" t="str">
        <v>-</v>
      </c>
      <c r="E6018" t="str">
        <v/>
      </c>
      <c r="F6018" t="str">
        <v>-</v>
      </c>
      <c r="G6018" t="str">
        <v>-</v>
      </c>
    </row>
    <row r="6019">
      <c r="A6019">
        <v>6018</v>
      </c>
      <c r="B6019">
        <f>HYPERLINK("https://www.quangninh.gov.vn/donvi/xaduonghuy/Trang/ChiTietTinTuc.aspx?nid=75", "UBND Ủy ban nhân dân xã Dương Huy  tỉnh Quảng Ninh")</f>
      </c>
      <c r="C6019" t="str">
        <v>https://www.quangninh.gov.vn/donvi/xaduonghuy/Trang/ChiTietTinTuc.aspx?nid=75</v>
      </c>
      <c r="D6019" t="str">
        <v>-</v>
      </c>
      <c r="E6019" t="str">
        <v>-</v>
      </c>
      <c r="F6019" t="str">
        <v>-</v>
      </c>
      <c r="G6019" t="str">
        <v>-</v>
      </c>
    </row>
    <row r="6020">
      <c r="A6020">
        <v>6019</v>
      </c>
      <c r="B6020" t="str">
        <v>Công an phường Vàng Danh  tỉnh Quảng Ninh</v>
      </c>
      <c r="C6020" t="str">
        <v>-</v>
      </c>
      <c r="D6020" t="str">
        <v>-</v>
      </c>
      <c r="E6020" t="str">
        <v/>
      </c>
      <c r="F6020" t="str">
        <v>-</v>
      </c>
      <c r="G6020" t="str">
        <v>-</v>
      </c>
    </row>
    <row r="6021">
      <c r="A6021">
        <v>6020</v>
      </c>
      <c r="B6021">
        <f>HYPERLINK("https://www.quangninh.gov.vn/donvi/tpuongbi/Trang/ChiTietBVGioiThieu.aspx?bvid=133", "UBND Ủy ban nhân dân phường Vàng Danh  tỉnh Quảng Ninh")</f>
      </c>
      <c r="C6021" t="str">
        <v>https://www.quangninh.gov.vn/donvi/tpuongbi/Trang/ChiTietBVGioiThieu.aspx?bvid=133</v>
      </c>
      <c r="D6021" t="str">
        <v>-</v>
      </c>
      <c r="E6021" t="str">
        <v>-</v>
      </c>
      <c r="F6021" t="str">
        <v>-</v>
      </c>
      <c r="G6021" t="str">
        <v>-</v>
      </c>
    </row>
    <row r="6022">
      <c r="A6022">
        <v>6021</v>
      </c>
      <c r="B6022">
        <f>HYPERLINK("https://www.facebook.com/p/Tu%E1%BB%95i-tr%E1%BA%BB-C%C3%B4ng-an-TP-S%E1%BA%A7m-S%C6%A1n-100069346653553/?locale=cs_CZ", "Công an phường Thanh Sơn  tỉnh Quảng Ninh")</f>
      </c>
      <c r="C6022" t="str">
        <v>https://www.facebook.com/p/Tu%E1%BB%95i-tr%E1%BA%BB-C%C3%B4ng-an-TP-S%E1%BA%A7m-S%C6%A1n-100069346653553/?locale=cs_CZ</v>
      </c>
      <c r="D6022" t="str">
        <v>-</v>
      </c>
      <c r="E6022" t="str">
        <v/>
      </c>
      <c r="F6022" t="str">
        <v>-</v>
      </c>
      <c r="G6022" t="str">
        <v>-</v>
      </c>
    </row>
    <row r="6023">
      <c r="A6023">
        <v>6022</v>
      </c>
      <c r="B6023">
        <f>HYPERLINK("https://www.quangninh.gov.vn/donvi/tpuongbi/Trang/ChiTietBVGioiThieu.aspx?bvid=128", "UBND Ủy ban nhân dân phường Thanh Sơn  tỉnh Quảng Ninh")</f>
      </c>
      <c r="C6023" t="str">
        <v>https://www.quangninh.gov.vn/donvi/tpuongbi/Trang/ChiTietBVGioiThieu.aspx?bvid=128</v>
      </c>
      <c r="D6023" t="str">
        <v>-</v>
      </c>
      <c r="E6023" t="str">
        <v>-</v>
      </c>
      <c r="F6023" t="str">
        <v>-</v>
      </c>
      <c r="G6023" t="str">
        <v>-</v>
      </c>
    </row>
    <row r="6024">
      <c r="A6024">
        <v>6023</v>
      </c>
      <c r="B6024" t="str">
        <v>Công an phường Bắc Sơn  tỉnh Quảng Ninh</v>
      </c>
      <c r="C6024" t="str">
        <v>-</v>
      </c>
      <c r="D6024" t="str">
        <v>-</v>
      </c>
      <c r="E6024" t="str">
        <v/>
      </c>
      <c r="F6024" t="str">
        <v>-</v>
      </c>
      <c r="G6024" t="str">
        <v>-</v>
      </c>
    </row>
    <row r="6025">
      <c r="A6025">
        <v>6024</v>
      </c>
      <c r="B6025">
        <f>HYPERLINK("https://uongbi.gov.vn/uy-ban-nhan-dan-phuong-bac-son.-p13n6741.html", "UBND Ủy ban nhân dân phường Bắc Sơn  tỉnh Quảng Ninh")</f>
      </c>
      <c r="C6025" t="str">
        <v>https://uongbi.gov.vn/uy-ban-nhan-dan-phuong-bac-son.-p13n6741.html</v>
      </c>
      <c r="D6025" t="str">
        <v>-</v>
      </c>
      <c r="E6025" t="str">
        <v>-</v>
      </c>
      <c r="F6025" t="str">
        <v>-</v>
      </c>
      <c r="G6025" t="str">
        <v>-</v>
      </c>
    </row>
    <row r="6026">
      <c r="A6026">
        <v>6025</v>
      </c>
      <c r="B6026">
        <f>HYPERLINK("https://www.facebook.com/p/Ph%C6%B0%E1%BB%9Dng-Quang-Trung-Th%C3%A0nh-ph%E1%BB%91-U%C3%B4ng-B%C3%AD-T%E1%BB%89nh-Qu%E1%BA%A3ng-Ninh-100089528376577/", "Công an phường Quang Trung  tỉnh Quảng Ninh")</f>
      </c>
      <c r="C6026" t="str">
        <v>https://www.facebook.com/p/Ph%C6%B0%E1%BB%9Dng-Quang-Trung-Th%C3%A0nh-ph%E1%BB%91-U%C3%B4ng-B%C3%AD-T%E1%BB%89nh-Qu%E1%BA%A3ng-Ninh-100089528376577/</v>
      </c>
      <c r="D6026" t="str">
        <v>-</v>
      </c>
      <c r="E6026" t="str">
        <v/>
      </c>
      <c r="F6026" t="str">
        <v>-</v>
      </c>
      <c r="G6026" t="str">
        <v>-</v>
      </c>
    </row>
    <row r="6027">
      <c r="A6027">
        <v>6026</v>
      </c>
      <c r="B6027">
        <f>HYPERLINK("https://www.quangninh.gov.vn/donvi/tpuongbi/Trang/ChiTietBVGioiThieu.aspx?bvid=127", "UBND Ủy ban nhân dân phường Quang Trung  tỉnh Quảng Ninh")</f>
      </c>
      <c r="C6027" t="str">
        <v>https://www.quangninh.gov.vn/donvi/tpuongbi/Trang/ChiTietBVGioiThieu.aspx?bvid=127</v>
      </c>
      <c r="D6027" t="str">
        <v>-</v>
      </c>
      <c r="E6027" t="str">
        <v>-</v>
      </c>
      <c r="F6027" t="str">
        <v>-</v>
      </c>
      <c r="G6027" t="str">
        <v>-</v>
      </c>
    </row>
    <row r="6028">
      <c r="A6028">
        <v>6027</v>
      </c>
      <c r="B6028">
        <f>HYPERLINK("https://www.facebook.com/p/C%E1%BB%ADa-s%E1%BB%95-ph%C6%B0%E1%BB%9Dng-Tr%C6%B0ng-V%C6%B0%C6%A1ng-%C4%90i%E1%BB%81n-C%C3%B4ng-100028942127646/", "Công an phường Trưng Vương  tỉnh Quảng Ninh")</f>
      </c>
      <c r="C6028" t="str">
        <v>https://www.facebook.com/p/C%E1%BB%ADa-s%E1%BB%95-ph%C6%B0%E1%BB%9Dng-Tr%C6%B0ng-V%C6%B0%C6%A1ng-%C4%90i%E1%BB%81n-C%C3%B4ng-100028942127646/</v>
      </c>
      <c r="D6028" t="str">
        <v>-</v>
      </c>
      <c r="E6028" t="str">
        <v/>
      </c>
      <c r="F6028" t="str">
        <v>-</v>
      </c>
      <c r="G6028" t="str">
        <v>-</v>
      </c>
    </row>
    <row r="6029">
      <c r="A6029">
        <v>6028</v>
      </c>
      <c r="B6029">
        <f>HYPERLINK("https://www.quangninh.gov.vn/donvi/tpuongbi/Trang/ChiTietBVGioiThieu.aspx?bvid=129", "UBND Ủy ban nhân dân phường Trưng Vương  tỉnh Quảng Ninh")</f>
      </c>
      <c r="C6029" t="str">
        <v>https://www.quangninh.gov.vn/donvi/tpuongbi/Trang/ChiTietBVGioiThieu.aspx?bvid=129</v>
      </c>
      <c r="D6029" t="str">
        <v>-</v>
      </c>
      <c r="E6029" t="str">
        <v>-</v>
      </c>
      <c r="F6029" t="str">
        <v>-</v>
      </c>
      <c r="G6029" t="str">
        <v>-</v>
      </c>
    </row>
    <row r="6030">
      <c r="A6030">
        <v>6029</v>
      </c>
      <c r="B6030" t="str">
        <v>Công an phường Nam Khê  tỉnh Quảng Ninh</v>
      </c>
      <c r="C6030" t="str">
        <v>-</v>
      </c>
      <c r="D6030" t="str">
        <v>-</v>
      </c>
      <c r="E6030" t="str">
        <v/>
      </c>
      <c r="F6030" t="str">
        <v>-</v>
      </c>
      <c r="G6030" t="str">
        <v>-</v>
      </c>
    </row>
    <row r="6031">
      <c r="A6031">
        <v>6030</v>
      </c>
      <c r="B6031">
        <f>HYPERLINK("https://uongbi.gov.vn/uy-ban-nhan-dan-phuong-nam-khe--p13n6739.html", "UBND Ủy ban nhân dân phường Nam Khê  tỉnh Quảng Ninh")</f>
      </c>
      <c r="C6031" t="str">
        <v>https://uongbi.gov.vn/uy-ban-nhan-dan-phuong-nam-khe--p13n6739.html</v>
      </c>
      <c r="D6031" t="str">
        <v>-</v>
      </c>
      <c r="E6031" t="str">
        <v>-</v>
      </c>
      <c r="F6031" t="str">
        <v>-</v>
      </c>
      <c r="G6031" t="str">
        <v>-</v>
      </c>
    </row>
    <row r="6032">
      <c r="A6032">
        <v>6031</v>
      </c>
      <c r="B6032" t="str">
        <v>Công an phường Yên Thanh  tỉnh Quảng Ninh</v>
      </c>
      <c r="C6032" t="str">
        <v>-</v>
      </c>
      <c r="D6032" t="str">
        <v>-</v>
      </c>
      <c r="E6032" t="str">
        <v/>
      </c>
      <c r="F6032" t="str">
        <v>-</v>
      </c>
      <c r="G6032" t="str">
        <v>-</v>
      </c>
    </row>
    <row r="6033">
      <c r="A6033">
        <v>6032</v>
      </c>
      <c r="B6033">
        <f>HYPERLINK("https://uongbi.gov.vn/ubnd-phuong-yen-thanh-p13n4371.html", "UBND Ủy ban nhân dân phường Yên Thanh  tỉnh Quảng Ninh")</f>
      </c>
      <c r="C6033" t="str">
        <v>https://uongbi.gov.vn/ubnd-phuong-yen-thanh-p13n4371.html</v>
      </c>
      <c r="D6033" t="str">
        <v>-</v>
      </c>
      <c r="E6033" t="str">
        <v>-</v>
      </c>
      <c r="F6033" t="str">
        <v>-</v>
      </c>
      <c r="G6033" t="str">
        <v>-</v>
      </c>
    </row>
    <row r="6034">
      <c r="A6034">
        <v>6033</v>
      </c>
      <c r="B6034" t="str">
        <v>Công an xã Thượng Yên Công  tỉnh Quảng Ninh</v>
      </c>
      <c r="C6034" t="str">
        <v>-</v>
      </c>
      <c r="D6034" t="str">
        <v>-</v>
      </c>
      <c r="E6034" t="str">
        <v/>
      </c>
      <c r="F6034" t="str">
        <v>-</v>
      </c>
      <c r="G6034" t="str">
        <v>-</v>
      </c>
    </row>
    <row r="6035">
      <c r="A6035">
        <v>6034</v>
      </c>
      <c r="B6035">
        <f>HYPERLINK("https://www.quangninh.gov.vn/donvi/tpuongbi/Trang/ChiTietBVGioiThieu.aspx?bvid=137", "UBND Ủy ban nhân dân xã Thượng Yên Công  tỉnh Quảng Ninh")</f>
      </c>
      <c r="C6035" t="str">
        <v>https://www.quangninh.gov.vn/donvi/tpuongbi/Trang/ChiTietBVGioiThieu.aspx?bvid=137</v>
      </c>
      <c r="D6035" t="str">
        <v>-</v>
      </c>
      <c r="E6035" t="str">
        <v>-</v>
      </c>
      <c r="F6035" t="str">
        <v>-</v>
      </c>
      <c r="G6035" t="str">
        <v>-</v>
      </c>
    </row>
    <row r="6036">
      <c r="A6036">
        <v>6035</v>
      </c>
      <c r="B6036" t="str">
        <v>Công an phường Phương Đông  tỉnh Quảng Ninh</v>
      </c>
      <c r="C6036" t="str">
        <v>-</v>
      </c>
      <c r="D6036" t="str">
        <v>-</v>
      </c>
      <c r="E6036" t="str">
        <v/>
      </c>
      <c r="F6036" t="str">
        <v>-</v>
      </c>
      <c r="G6036" t="str">
        <v>-</v>
      </c>
    </row>
    <row r="6037">
      <c r="A6037">
        <v>6036</v>
      </c>
      <c r="B6037">
        <f>HYPERLINK("https://www.quangninh.gov.vn/donvi/phuongphuongdong/Trang/ChiTietBVGioiThieu.aspx?bvid=6", "UBND Ủy ban nhân dân phường Phương Đông  tỉnh Quảng Ninh")</f>
      </c>
      <c r="C6037" t="str">
        <v>https://www.quangninh.gov.vn/donvi/phuongphuongdong/Trang/ChiTietBVGioiThieu.aspx?bvid=6</v>
      </c>
      <c r="D6037" t="str">
        <v>-</v>
      </c>
      <c r="E6037" t="str">
        <v>-</v>
      </c>
      <c r="F6037" t="str">
        <v>-</v>
      </c>
      <c r="G6037" t="str">
        <v>-</v>
      </c>
    </row>
    <row r="6038">
      <c r="A6038">
        <v>6037</v>
      </c>
      <c r="B6038">
        <f>HYPERLINK("https://www.facebook.com/UBNDphuongnam/", "Công an phường Phương Nam  tỉnh Quảng Ninh")</f>
      </c>
      <c r="C6038" t="str">
        <v>https://www.facebook.com/UBNDphuongnam/</v>
      </c>
      <c r="D6038" t="str">
        <v>-</v>
      </c>
      <c r="E6038" t="str">
        <v/>
      </c>
      <c r="F6038" t="str">
        <v>-</v>
      </c>
      <c r="G6038" t="str">
        <v>-</v>
      </c>
    </row>
    <row r="6039">
      <c r="A6039">
        <v>6038</v>
      </c>
      <c r="B6039">
        <f>HYPERLINK("https://www.quangninh.gov.vn/donvi/tpuongbi/Trang/ChiTietBVGioiThieu.aspx?bvid=135", "UBND Ủy ban nhân dân phường Phương Nam  tỉnh Quảng Ninh")</f>
      </c>
      <c r="C6039" t="str">
        <v>https://www.quangninh.gov.vn/donvi/tpuongbi/Trang/ChiTietBVGioiThieu.aspx?bvid=135</v>
      </c>
      <c r="D6039" t="str">
        <v>-</v>
      </c>
      <c r="E6039" t="str">
        <v>-</v>
      </c>
      <c r="F6039" t="str">
        <v>-</v>
      </c>
      <c r="G6039" t="str">
        <v>-</v>
      </c>
    </row>
    <row r="6040">
      <c r="A6040">
        <v>6039</v>
      </c>
      <c r="B6040" t="str">
        <v>Công an xã Điền Công  tỉnh Quảng Ninh</v>
      </c>
      <c r="C6040" t="str">
        <v>-</v>
      </c>
      <c r="D6040" t="str">
        <v>-</v>
      </c>
      <c r="E6040" t="str">
        <v/>
      </c>
      <c r="F6040" t="str">
        <v>-</v>
      </c>
      <c r="G6040" t="str">
        <v>-</v>
      </c>
    </row>
    <row r="6041">
      <c r="A6041">
        <v>6040</v>
      </c>
      <c r="B6041">
        <f>HYPERLINK("https://www.quangninh.gov.vn/donvi/huyentienyen/Trang/ChiTietBVGioiThieu.aspx?bvid=109", "UBND Ủy ban nhân dân xã Điền Công  tỉnh Quảng Ninh")</f>
      </c>
      <c r="C6041" t="str">
        <v>https://www.quangninh.gov.vn/donvi/huyentienyen/Trang/ChiTietBVGioiThieu.aspx?bvid=109</v>
      </c>
      <c r="D6041" t="str">
        <v>-</v>
      </c>
      <c r="E6041" t="str">
        <v>-</v>
      </c>
      <c r="F6041" t="str">
        <v>-</v>
      </c>
      <c r="G6041" t="str">
        <v>-</v>
      </c>
    </row>
    <row r="6042">
      <c r="A6042">
        <v>6041</v>
      </c>
      <c r="B6042">
        <f>HYPERLINK("https://www.facebook.com/thitranbinhlieu/", "Công an thị trấn Bình Liêu  tỉnh Quảng Ninh")</f>
      </c>
      <c r="C6042" t="str">
        <v>https://www.facebook.com/thitranbinhlieu/</v>
      </c>
      <c r="D6042" t="str">
        <v>-</v>
      </c>
      <c r="E6042" t="str">
        <v/>
      </c>
      <c r="F6042" t="str">
        <v>-</v>
      </c>
      <c r="G6042" t="str">
        <v>-</v>
      </c>
    </row>
    <row r="6043">
      <c r="A6043">
        <v>6042</v>
      </c>
      <c r="B6043">
        <f>HYPERLINK("https://binhlieu.quangninh.gov.vn/", "UBND Ủy ban nhân dân thị trấn Bình Liêu  tỉnh Quảng Ninh")</f>
      </c>
      <c r="C6043" t="str">
        <v>https://binhlieu.quangninh.gov.vn/</v>
      </c>
      <c r="D6043" t="str">
        <v>-</v>
      </c>
      <c r="E6043" t="str">
        <v>-</v>
      </c>
      <c r="F6043" t="str">
        <v>-</v>
      </c>
      <c r="G6043" t="str">
        <v>-</v>
      </c>
    </row>
    <row r="6044">
      <c r="A6044">
        <v>6043</v>
      </c>
      <c r="B6044" t="str">
        <v>Công an xã Hoành Mô  tỉnh Quảng Ninh</v>
      </c>
      <c r="C6044" t="str">
        <v>-</v>
      </c>
      <c r="D6044" t="str">
        <v>-</v>
      </c>
      <c r="E6044" t="str">
        <v/>
      </c>
      <c r="F6044" t="str">
        <v>-</v>
      </c>
      <c r="G6044" t="str">
        <v>-</v>
      </c>
    </row>
    <row r="6045">
      <c r="A6045">
        <v>6044</v>
      </c>
      <c r="B6045">
        <f>HYPERLINK("https://binhlieu.quangninh.gov.vn/Trang/ChiTietBVGioiThieu.aspx?bvid=42", "UBND Ủy ban nhân dân xã Hoành Mô  tỉnh Quảng Ninh")</f>
      </c>
      <c r="C6045" t="str">
        <v>https://binhlieu.quangninh.gov.vn/Trang/ChiTietBVGioiThieu.aspx?bvid=42</v>
      </c>
      <c r="D6045" t="str">
        <v>-</v>
      </c>
      <c r="E6045" t="str">
        <v>-</v>
      </c>
      <c r="F6045" t="str">
        <v>-</v>
      </c>
      <c r="G6045" t="str">
        <v>-</v>
      </c>
    </row>
    <row r="6046">
      <c r="A6046">
        <v>6045</v>
      </c>
      <c r="B6046" t="str">
        <v>Công an xã Đồng Tâm  tỉnh Quảng Ninh</v>
      </c>
      <c r="C6046" t="str">
        <v>-</v>
      </c>
      <c r="D6046" t="str">
        <v>-</v>
      </c>
      <c r="E6046" t="str">
        <v/>
      </c>
      <c r="F6046" t="str">
        <v>-</v>
      </c>
      <c r="G6046" t="str">
        <v>-</v>
      </c>
    </row>
    <row r="6047">
      <c r="A6047">
        <v>6046</v>
      </c>
      <c r="B6047">
        <f>HYPERLINK("https://www.quangninh.gov.vn/donvi/xadongtam/Trang/Default.aspx", "UBND Ủy ban nhân dân xã Đồng Tâm  tỉnh Quảng Ninh")</f>
      </c>
      <c r="C6047" t="str">
        <v>https://www.quangninh.gov.vn/donvi/xadongtam/Trang/Default.aspx</v>
      </c>
      <c r="D6047" t="str">
        <v>-</v>
      </c>
      <c r="E6047" t="str">
        <v>-</v>
      </c>
      <c r="F6047" t="str">
        <v>-</v>
      </c>
      <c r="G6047" t="str">
        <v>-</v>
      </c>
    </row>
    <row r="6048">
      <c r="A6048">
        <v>6047</v>
      </c>
      <c r="B6048" t="str">
        <v>Công an xã Đồng Văn  tỉnh Quảng Ninh</v>
      </c>
      <c r="C6048" t="str">
        <v>-</v>
      </c>
      <c r="D6048" t="str">
        <v>-</v>
      </c>
      <c r="E6048" t="str">
        <v/>
      </c>
      <c r="F6048" t="str">
        <v>-</v>
      </c>
      <c r="G6048" t="str">
        <v>-</v>
      </c>
    </row>
    <row r="6049">
      <c r="A6049">
        <v>6048</v>
      </c>
      <c r="B6049">
        <f>HYPERLINK("https://www.quangninh.gov.vn/donvi/xadongvan/Trang/Default.aspx", "UBND Ủy ban nhân dân xã Đồng Văn  tỉnh Quảng Ninh")</f>
      </c>
      <c r="C6049" t="str">
        <v>https://www.quangninh.gov.vn/donvi/xadongvan/Trang/Default.aspx</v>
      </c>
      <c r="D6049" t="str">
        <v>-</v>
      </c>
      <c r="E6049" t="str">
        <v>-</v>
      </c>
      <c r="F6049" t="str">
        <v>-</v>
      </c>
      <c r="G6049" t="str">
        <v>-</v>
      </c>
    </row>
    <row r="6050">
      <c r="A6050">
        <v>6049</v>
      </c>
      <c r="B6050" t="str">
        <v>Công an xã Tình Húc  tỉnh Quảng Ninh</v>
      </c>
      <c r="C6050" t="str">
        <v>-</v>
      </c>
      <c r="D6050" t="str">
        <v>-</v>
      </c>
      <c r="E6050" t="str">
        <v/>
      </c>
      <c r="F6050" t="str">
        <v>-</v>
      </c>
      <c r="G6050" t="str">
        <v>-</v>
      </c>
    </row>
    <row r="6051">
      <c r="A6051">
        <v>6050</v>
      </c>
      <c r="B6051">
        <f>HYPERLINK("https://binhlieu.quangninh.gov.vn/Trang/ChiTietTinTuc.aspx?nid=2203", "UBND Ủy ban nhân dân xã Tình Húc  tỉnh Quảng Ninh")</f>
      </c>
      <c r="C6051" t="str">
        <v>https://binhlieu.quangninh.gov.vn/Trang/ChiTietTinTuc.aspx?nid=2203</v>
      </c>
      <c r="D6051" t="str">
        <v>-</v>
      </c>
      <c r="E6051" t="str">
        <v>-</v>
      </c>
      <c r="F6051" t="str">
        <v>-</v>
      </c>
      <c r="G6051" t="str">
        <v>-</v>
      </c>
    </row>
    <row r="6052">
      <c r="A6052">
        <v>6051</v>
      </c>
      <c r="B6052" t="str">
        <v>Công an xã Vô Ngại  tỉnh Quảng Ninh</v>
      </c>
      <c r="C6052" t="str">
        <v>-</v>
      </c>
      <c r="D6052" t="str">
        <v>-</v>
      </c>
      <c r="E6052" t="str">
        <v/>
      </c>
      <c r="F6052" t="str">
        <v>-</v>
      </c>
      <c r="G6052" t="str">
        <v>-</v>
      </c>
    </row>
    <row r="6053">
      <c r="A6053">
        <v>6052</v>
      </c>
      <c r="B6053">
        <f>HYPERLINK("https://www.quangninh.gov.vn/donvi/xavongai/Trang/ChiTietTinTuc.aspx?nid=12", "UBND Ủy ban nhân dân xã Vô Ngại  tỉnh Quảng Ninh")</f>
      </c>
      <c r="C6053" t="str">
        <v>https://www.quangninh.gov.vn/donvi/xavongai/Trang/ChiTietTinTuc.aspx?nid=12</v>
      </c>
      <c r="D6053" t="str">
        <v>-</v>
      </c>
      <c r="E6053" t="str">
        <v>-</v>
      </c>
      <c r="F6053" t="str">
        <v>-</v>
      </c>
      <c r="G6053" t="str">
        <v>-</v>
      </c>
    </row>
    <row r="6054">
      <c r="A6054">
        <v>6053</v>
      </c>
      <c r="B6054" t="str">
        <v>Công an xã Lục Hồn  tỉnh Quảng Ninh</v>
      </c>
      <c r="C6054" t="str">
        <v>-</v>
      </c>
      <c r="D6054" t="str">
        <v>-</v>
      </c>
      <c r="E6054" t="str">
        <v/>
      </c>
      <c r="F6054" t="str">
        <v>-</v>
      </c>
      <c r="G6054" t="str">
        <v>-</v>
      </c>
    </row>
    <row r="6055">
      <c r="A6055">
        <v>6054</v>
      </c>
      <c r="B6055">
        <f>HYPERLINK("https://www.quangninh.gov.vn/donvi/xaluchon/Trang/Default.aspx", "UBND Ủy ban nhân dân xã Lục Hồn  tỉnh Quảng Ninh")</f>
      </c>
      <c r="C6055" t="str">
        <v>https://www.quangninh.gov.vn/donvi/xaluchon/Trang/Default.aspx</v>
      </c>
      <c r="D6055" t="str">
        <v>-</v>
      </c>
      <c r="E6055" t="str">
        <v>-</v>
      </c>
      <c r="F6055" t="str">
        <v>-</v>
      </c>
      <c r="G6055" t="str">
        <v>-</v>
      </c>
    </row>
    <row r="6056">
      <c r="A6056">
        <v>6055</v>
      </c>
      <c r="B6056" t="str">
        <v>Công an xã Húc Động  tỉnh Quảng Ninh</v>
      </c>
      <c r="C6056" t="str">
        <v>-</v>
      </c>
      <c r="D6056" t="str">
        <v>-</v>
      </c>
      <c r="E6056" t="str">
        <v/>
      </c>
      <c r="F6056" t="str">
        <v>-</v>
      </c>
      <c r="G6056" t="str">
        <v>-</v>
      </c>
    </row>
    <row r="6057">
      <c r="A6057">
        <v>6056</v>
      </c>
      <c r="B6057">
        <f>HYPERLINK("https://binhlieu.quangninh.gov.vn/Trang/ChiTietBVGioiThieu.aspx?bvid=42", "UBND Ủy ban nhân dân xã Húc Động  tỉnh Quảng Ninh")</f>
      </c>
      <c r="C6057" t="str">
        <v>https://binhlieu.quangninh.gov.vn/Trang/ChiTietBVGioiThieu.aspx?bvid=42</v>
      </c>
      <c r="D6057" t="str">
        <v>-</v>
      </c>
      <c r="E6057" t="str">
        <v>-</v>
      </c>
      <c r="F6057" t="str">
        <v>-</v>
      </c>
      <c r="G6057" t="str">
        <v>-</v>
      </c>
    </row>
    <row r="6058">
      <c r="A6058">
        <v>6057</v>
      </c>
      <c r="B6058">
        <f>HYPERLINK("https://www.facebook.com/Truong.THCS.Thi.tran.Tien.Yen/", "Công an thị trấn Tiên Yên  tỉnh Quảng Ninh")</f>
      </c>
      <c r="C6058" t="str">
        <v>https://www.facebook.com/Truong.THCS.Thi.tran.Tien.Yen/</v>
      </c>
      <c r="D6058" t="str">
        <v>-</v>
      </c>
      <c r="E6058" t="str">
        <v/>
      </c>
      <c r="F6058" t="str">
        <v>-</v>
      </c>
      <c r="G6058" t="str">
        <v>-</v>
      </c>
    </row>
    <row r="6059">
      <c r="A6059">
        <v>6058</v>
      </c>
      <c r="B6059">
        <f>HYPERLINK("https://www.quangninh.gov.vn/donvi/huyentienyen/Trang/ChiTietBVGioiThieu.aspx?bvid=70", "UBND Ủy ban nhân dân thị trấn Tiên Yên  tỉnh Quảng Ninh")</f>
      </c>
      <c r="C6059" t="str">
        <v>https://www.quangninh.gov.vn/donvi/huyentienyen/Trang/ChiTietBVGioiThieu.aspx?bvid=70</v>
      </c>
      <c r="D6059" t="str">
        <v>-</v>
      </c>
      <c r="E6059" t="str">
        <v>-</v>
      </c>
      <c r="F6059" t="str">
        <v>-</v>
      </c>
      <c r="G6059" t="str">
        <v>-</v>
      </c>
    </row>
    <row r="6060">
      <c r="A6060">
        <v>6059</v>
      </c>
      <c r="B6060" t="str">
        <v>Công an xã Hà Lâu  tỉnh Quảng Ninh</v>
      </c>
      <c r="C6060" t="str">
        <v>-</v>
      </c>
      <c r="D6060" t="str">
        <v>-</v>
      </c>
      <c r="E6060" t="str">
        <v/>
      </c>
      <c r="F6060" t="str">
        <v>-</v>
      </c>
      <c r="G6060" t="str">
        <v>-</v>
      </c>
    </row>
    <row r="6061">
      <c r="A6061">
        <v>6060</v>
      </c>
      <c r="B6061">
        <f>HYPERLINK("https://www.quangninh.gov.vn/donvi/huyentienyen/Trang/ChiTietBVGioiThieu.aspx?bvid=110", "UBND Ủy ban nhân dân xã Hà Lâu  tỉnh Quảng Ninh")</f>
      </c>
      <c r="C6061" t="str">
        <v>https://www.quangninh.gov.vn/donvi/huyentienyen/Trang/ChiTietBVGioiThieu.aspx?bvid=110</v>
      </c>
      <c r="D6061" t="str">
        <v>-</v>
      </c>
      <c r="E6061" t="str">
        <v>-</v>
      </c>
      <c r="F6061" t="str">
        <v>-</v>
      </c>
      <c r="G6061" t="str">
        <v>-</v>
      </c>
    </row>
    <row r="6062">
      <c r="A6062">
        <v>6061</v>
      </c>
      <c r="B6062" t="str">
        <v>Công an xã Đại Dực  tỉnh Quảng Ninh</v>
      </c>
      <c r="C6062" t="str">
        <v>-</v>
      </c>
      <c r="D6062" t="str">
        <v>-</v>
      </c>
      <c r="E6062" t="str">
        <v/>
      </c>
      <c r="F6062" t="str">
        <v>-</v>
      </c>
      <c r="G6062" t="str">
        <v>-</v>
      </c>
    </row>
    <row r="6063">
      <c r="A6063">
        <v>6062</v>
      </c>
      <c r="B6063">
        <f>HYPERLINK("https://www.quangninh.gov.vn/donvi/huyentienyen/Trang/ChiTietBVGioiThieu.aspx?bvid=71", "UBND Ủy ban nhân dân xã Đại Dực  tỉnh Quảng Ninh")</f>
      </c>
      <c r="C6063" t="str">
        <v>https://www.quangninh.gov.vn/donvi/huyentienyen/Trang/ChiTietBVGioiThieu.aspx?bvid=71</v>
      </c>
      <c r="D6063" t="str">
        <v>-</v>
      </c>
      <c r="E6063" t="str">
        <v>-</v>
      </c>
      <c r="F6063" t="str">
        <v>-</v>
      </c>
      <c r="G6063" t="str">
        <v>-</v>
      </c>
    </row>
    <row r="6064">
      <c r="A6064">
        <v>6063</v>
      </c>
      <c r="B6064">
        <f>HYPERLINK("https://www.facebook.com/tuoitreconganquangbinh/", "Công an xã Đại Thành  tỉnh Quảng Ninh")</f>
      </c>
      <c r="C6064" t="str">
        <v>https://www.facebook.com/tuoitreconganquangbinh/</v>
      </c>
      <c r="D6064" t="str">
        <v>-</v>
      </c>
      <c r="E6064" t="str">
        <v/>
      </c>
      <c r="F6064" t="str">
        <v>-</v>
      </c>
      <c r="G6064" t="str">
        <v>-</v>
      </c>
    </row>
    <row r="6065">
      <c r="A6065">
        <v>6064</v>
      </c>
      <c r="B6065">
        <f>HYPERLINK("https://daithanh.hiephoa.bacgiang.gov.vn/", "UBND Ủy ban nhân dân xã Đại Thành  tỉnh Quảng Ninh")</f>
      </c>
      <c r="C6065" t="str">
        <v>https://daithanh.hiephoa.bacgiang.gov.vn/</v>
      </c>
      <c r="D6065" t="str">
        <v>-</v>
      </c>
      <c r="E6065" t="str">
        <v>-</v>
      </c>
      <c r="F6065" t="str">
        <v>-</v>
      </c>
      <c r="G6065" t="str">
        <v>-</v>
      </c>
    </row>
    <row r="6066">
      <c r="A6066">
        <v>6065</v>
      </c>
      <c r="B6066" t="str">
        <v>Công an xã Phong Dụ  tỉnh Quảng Ninh</v>
      </c>
      <c r="C6066" t="str">
        <v>-</v>
      </c>
      <c r="D6066" t="str">
        <v>-</v>
      </c>
      <c r="E6066" t="str">
        <v/>
      </c>
      <c r="F6066" t="str">
        <v>-</v>
      </c>
      <c r="G6066" t="str">
        <v>-</v>
      </c>
    </row>
    <row r="6067">
      <c r="A6067">
        <v>6066</v>
      </c>
      <c r="B6067">
        <f>HYPERLINK("https://www.quangninh.gov.vn/donvi/huyentienyen/Trang/ChiTietBVGioiThieu.aspx?bvid=72", "UBND Ủy ban nhân dân xã Phong Dụ  tỉnh Quảng Ninh")</f>
      </c>
      <c r="C6067" t="str">
        <v>https://www.quangninh.gov.vn/donvi/huyentienyen/Trang/ChiTietBVGioiThieu.aspx?bvid=72</v>
      </c>
      <c r="D6067" t="str">
        <v>-</v>
      </c>
      <c r="E6067" t="str">
        <v>-</v>
      </c>
      <c r="F6067" t="str">
        <v>-</v>
      </c>
      <c r="G6067" t="str">
        <v>-</v>
      </c>
    </row>
    <row r="6068">
      <c r="A6068">
        <v>6067</v>
      </c>
      <c r="B6068" t="str">
        <v>Công an xã Điền Xá  tỉnh Quảng Ninh</v>
      </c>
      <c r="C6068" t="str">
        <v>-</v>
      </c>
      <c r="D6068" t="str">
        <v>-</v>
      </c>
      <c r="E6068" t="str">
        <v/>
      </c>
      <c r="F6068" t="str">
        <v>-</v>
      </c>
      <c r="G6068" t="str">
        <v>-</v>
      </c>
    </row>
    <row r="6069">
      <c r="A6069">
        <v>6068</v>
      </c>
      <c r="B6069">
        <f>HYPERLINK("https://www.quangninh.gov.vn/donvi/huyentienyen/Trang/ChiTietBVGioiThieu.aspx?bvid=109", "UBND Ủy ban nhân dân xã Điền Xá  tỉnh Quảng Ninh")</f>
      </c>
      <c r="C6069" t="str">
        <v>https://www.quangninh.gov.vn/donvi/huyentienyen/Trang/ChiTietBVGioiThieu.aspx?bvid=109</v>
      </c>
      <c r="D6069" t="str">
        <v>-</v>
      </c>
      <c r="E6069" t="str">
        <v>-</v>
      </c>
      <c r="F6069" t="str">
        <v>-</v>
      </c>
      <c r="G6069" t="str">
        <v>-</v>
      </c>
    </row>
    <row r="6070">
      <c r="A6070">
        <v>6069</v>
      </c>
      <c r="B6070">
        <f>HYPERLINK("https://www.facebook.com/THCSDongNgu/", "Công an xã Đông Ngũ  tỉnh Quảng Ninh")</f>
      </c>
      <c r="C6070" t="str">
        <v>https://www.facebook.com/THCSDongNgu/</v>
      </c>
      <c r="D6070" t="str">
        <v>-</v>
      </c>
      <c r="E6070" t="str">
        <v/>
      </c>
      <c r="F6070" t="str">
        <v>-</v>
      </c>
      <c r="G6070" t="str">
        <v>-</v>
      </c>
    </row>
    <row r="6071">
      <c r="A6071">
        <v>6070</v>
      </c>
      <c r="B6071">
        <f>HYPERLINK("https://www.quangninh.gov.vn/donvi/huyentienyen/Trang/ChiTietBVGioiThieu.aspx?bvid=68", "UBND Ủy ban nhân dân xã Đông Ngũ  tỉnh Quảng Ninh")</f>
      </c>
      <c r="C6071" t="str">
        <v>https://www.quangninh.gov.vn/donvi/huyentienyen/Trang/ChiTietBVGioiThieu.aspx?bvid=68</v>
      </c>
      <c r="D6071" t="str">
        <v>-</v>
      </c>
      <c r="E6071" t="str">
        <v>-</v>
      </c>
      <c r="F6071" t="str">
        <v>-</v>
      </c>
      <c r="G6071" t="str">
        <v>-</v>
      </c>
    </row>
    <row r="6072">
      <c r="A6072">
        <v>6071</v>
      </c>
      <c r="B6072" t="str">
        <v>Công an xã Yên Than  tỉnh Quảng Ninh</v>
      </c>
      <c r="C6072" t="str">
        <v>-</v>
      </c>
      <c r="D6072" t="str">
        <v>-</v>
      </c>
      <c r="E6072" t="str">
        <v/>
      </c>
      <c r="F6072" t="str">
        <v>-</v>
      </c>
      <c r="G6072" t="str">
        <v>-</v>
      </c>
    </row>
    <row r="6073">
      <c r="A6073">
        <v>6072</v>
      </c>
      <c r="B6073">
        <f>HYPERLINK("https://www.quangninh.gov.vn/donvi/huyentienyen/Trang/ChiTietBVGioiThieu.aspx?bvid=74", "UBND Ủy ban nhân dân xã Yên Than  tỉnh Quảng Ninh")</f>
      </c>
      <c r="C6073" t="str">
        <v>https://www.quangninh.gov.vn/donvi/huyentienyen/Trang/ChiTietBVGioiThieu.aspx?bvid=74</v>
      </c>
      <c r="D6073" t="str">
        <v>-</v>
      </c>
      <c r="E6073" t="str">
        <v>-</v>
      </c>
      <c r="F6073" t="str">
        <v>-</v>
      </c>
      <c r="G6073" t="str">
        <v>-</v>
      </c>
    </row>
    <row r="6074">
      <c r="A6074">
        <v>6073</v>
      </c>
      <c r="B6074">
        <f>HYPERLINK("https://www.facebook.com/p/C%C3%B4ng-an-x%C3%A3-%C4%90%C3%B4ng-H%E1%BA%A3i-huy%E1%BB%87n-Ti%C3%AAn-Y%C3%AAn-Qu%E1%BA%A3ng-Ninh-100069372711821/", "Công an xã Đông Hải  tỉnh Quảng Ninh")</f>
      </c>
      <c r="C6074" t="str">
        <v>https://www.facebook.com/p/C%C3%B4ng-an-x%C3%A3-%C4%90%C3%B4ng-H%E1%BA%A3i-huy%E1%BB%87n-Ti%C3%AAn-Y%C3%AAn-Qu%E1%BA%A3ng-Ninh-100069372711821/</v>
      </c>
      <c r="D6074" t="str">
        <v>-</v>
      </c>
      <c r="E6074" t="str">
        <v/>
      </c>
      <c r="F6074" t="str">
        <v>-</v>
      </c>
      <c r="G6074" t="str">
        <v>-</v>
      </c>
    </row>
    <row r="6075">
      <c r="A6075">
        <v>6074</v>
      </c>
      <c r="B6075">
        <f>HYPERLINK("https://www.quangninh.gov.vn/donvi/huyentienyen/Trang/ChiTietBVGioiThieu.aspx?bvid=67", "UBND Ủy ban nhân dân xã Đông Hải  tỉnh Quảng Ninh")</f>
      </c>
      <c r="C6075" t="str">
        <v>https://www.quangninh.gov.vn/donvi/huyentienyen/Trang/ChiTietBVGioiThieu.aspx?bvid=67</v>
      </c>
      <c r="D6075" t="str">
        <v>-</v>
      </c>
      <c r="E6075" t="str">
        <v>-</v>
      </c>
      <c r="F6075" t="str">
        <v>-</v>
      </c>
      <c r="G6075" t="str">
        <v>-</v>
      </c>
    </row>
    <row r="6076">
      <c r="A6076">
        <v>6075</v>
      </c>
      <c r="B6076" t="str">
        <v>Công an xã Hải Lạng  tỉnh Quảng Ninh</v>
      </c>
      <c r="C6076" t="str">
        <v>-</v>
      </c>
      <c r="D6076" t="str">
        <v>-</v>
      </c>
      <c r="E6076" t="str">
        <v/>
      </c>
      <c r="F6076" t="str">
        <v>-</v>
      </c>
      <c r="G6076" t="str">
        <v>-</v>
      </c>
    </row>
    <row r="6077">
      <c r="A6077">
        <v>6076</v>
      </c>
      <c r="B6077">
        <f>HYPERLINK("https://www.quangninh.gov.vn/donvi/huyentienyen/Trang/ChiTietBVGioiThieu.aspx?bvid=107", "UBND Ủy ban nhân dân xã Hải Lạng  tỉnh Quảng Ninh")</f>
      </c>
      <c r="C6077" t="str">
        <v>https://www.quangninh.gov.vn/donvi/huyentienyen/Trang/ChiTietBVGioiThieu.aspx?bvid=107</v>
      </c>
      <c r="D6077" t="str">
        <v>-</v>
      </c>
      <c r="E6077" t="str">
        <v>-</v>
      </c>
      <c r="F6077" t="str">
        <v>-</v>
      </c>
      <c r="G6077" t="str">
        <v>-</v>
      </c>
    </row>
    <row r="6078">
      <c r="A6078">
        <v>6077</v>
      </c>
      <c r="B6078">
        <f>HYPERLINK("https://www.facebook.com/p/%C4%90o%C3%A0n-TN-x%C3%A3-Ti%C3%AAn-L%C3%A3ng-100083504244301/", "Công an xã Tiên Lãng  tỉnh Quảng Ninh")</f>
      </c>
      <c r="C6078" t="str">
        <v>https://www.facebook.com/p/%C4%90o%C3%A0n-TN-x%C3%A3-Ti%C3%AAn-L%C3%A3ng-100083504244301/</v>
      </c>
      <c r="D6078" t="str">
        <v>-</v>
      </c>
      <c r="E6078" t="str">
        <v/>
      </c>
      <c r="F6078" t="str">
        <v>-</v>
      </c>
      <c r="G6078" t="str">
        <v>-</v>
      </c>
    </row>
    <row r="6079">
      <c r="A6079">
        <v>6078</v>
      </c>
      <c r="B6079">
        <f>HYPERLINK("https://www.quangninh.gov.vn/donvi/huyentienyen/Trang/ChiTietBVGioiThieu.aspx?bvid=69", "UBND Ủy ban nhân dân xã Tiên Lãng  tỉnh Quảng Ninh")</f>
      </c>
      <c r="C6079" t="str">
        <v>https://www.quangninh.gov.vn/donvi/huyentienyen/Trang/ChiTietBVGioiThieu.aspx?bvid=69</v>
      </c>
      <c r="D6079" t="str">
        <v>-</v>
      </c>
      <c r="E6079" t="str">
        <v>-</v>
      </c>
      <c r="F6079" t="str">
        <v>-</v>
      </c>
      <c r="G6079" t="str">
        <v>-</v>
      </c>
    </row>
    <row r="6080">
      <c r="A6080">
        <v>6079</v>
      </c>
      <c r="B6080" t="str">
        <v>Công an xã Đồng Rui  tỉnh Quảng Ninh</v>
      </c>
      <c r="C6080" t="str">
        <v>-</v>
      </c>
      <c r="D6080" t="str">
        <v>-</v>
      </c>
      <c r="E6080" t="str">
        <v/>
      </c>
      <c r="F6080" t="str">
        <v>-</v>
      </c>
      <c r="G6080" t="str">
        <v>-</v>
      </c>
    </row>
    <row r="6081">
      <c r="A6081">
        <v>6080</v>
      </c>
      <c r="B6081">
        <f>HYPERLINK("https://www.quangninh.gov.vn/donvi/huyentienyen/Trang/ChiTietBVGioiThieu.aspx?bvid=108", "UBND Ủy ban nhân dân xã Đồng Rui  tỉnh Quảng Ninh")</f>
      </c>
      <c r="C6081" t="str">
        <v>https://www.quangninh.gov.vn/donvi/huyentienyen/Trang/ChiTietBVGioiThieu.aspx?bvid=108</v>
      </c>
      <c r="D6081" t="str">
        <v>-</v>
      </c>
      <c r="E6081" t="str">
        <v>-</v>
      </c>
      <c r="F6081" t="str">
        <v>-</v>
      </c>
      <c r="G6081" t="str">
        <v>-</v>
      </c>
    </row>
    <row r="6082">
      <c r="A6082">
        <v>6081</v>
      </c>
      <c r="B6082">
        <f>HYPERLINK("https://www.facebook.com/ddcihuyendamha/", "Công an thị trấn Đầm Hà  tỉnh Quảng Ninh")</f>
      </c>
      <c r="C6082" t="str">
        <v>https://www.facebook.com/ddcihuyendamha/</v>
      </c>
      <c r="D6082" t="str">
        <v>-</v>
      </c>
      <c r="E6082" t="str">
        <v/>
      </c>
      <c r="F6082" t="str">
        <v>-</v>
      </c>
      <c r="G6082" t="str">
        <v>-</v>
      </c>
    </row>
    <row r="6083">
      <c r="A6083">
        <v>6082</v>
      </c>
      <c r="B6083">
        <f>HYPERLINK("https://www.quangninh.gov.vn/donvi/huyendamha/Trang/ChiTietBVGioiThieu.aspx?bvid=72", "UBND Ủy ban nhân dân thị trấn Đầm Hà  tỉnh Quảng Ninh")</f>
      </c>
      <c r="C6083" t="str">
        <v>https://www.quangninh.gov.vn/donvi/huyendamha/Trang/ChiTietBVGioiThieu.aspx?bvid=72</v>
      </c>
      <c r="D6083" t="str">
        <v>-</v>
      </c>
      <c r="E6083" t="str">
        <v>-</v>
      </c>
      <c r="F6083" t="str">
        <v>-</v>
      </c>
      <c r="G6083" t="str">
        <v>-</v>
      </c>
    </row>
    <row r="6084">
      <c r="A6084">
        <v>6083</v>
      </c>
      <c r="B6084" t="str">
        <v>Công an xã Quảng Lâm  tỉnh Quảng Ninh</v>
      </c>
      <c r="C6084" t="str">
        <v>-</v>
      </c>
      <c r="D6084" t="str">
        <v>-</v>
      </c>
      <c r="E6084" t="str">
        <v/>
      </c>
      <c r="F6084" t="str">
        <v>-</v>
      </c>
      <c r="G6084" t="str">
        <v>-</v>
      </c>
    </row>
    <row r="6085">
      <c r="A6085">
        <v>6084</v>
      </c>
      <c r="B6085">
        <f>HYPERLINK("https://www.quangninh.gov.vn/donvi/huyendamha/Trang/ChiTietBVGioiThieu.aspx?bvid=78", "UBND Ủy ban nhân dân xã Quảng Lâm  tỉnh Quảng Ninh")</f>
      </c>
      <c r="C6085" t="str">
        <v>https://www.quangninh.gov.vn/donvi/huyendamha/Trang/ChiTietBVGioiThieu.aspx?bvid=78</v>
      </c>
      <c r="D6085" t="str">
        <v>-</v>
      </c>
      <c r="E6085" t="str">
        <v>-</v>
      </c>
      <c r="F6085" t="str">
        <v>-</v>
      </c>
      <c r="G6085" t="str">
        <v>-</v>
      </c>
    </row>
    <row r="6086">
      <c r="A6086">
        <v>6085</v>
      </c>
      <c r="B6086">
        <f>HYPERLINK("https://www.facebook.com/tuoitreconganquangbinh/", "Công an xã Quảng An  tỉnh Quảng Ninh")</f>
      </c>
      <c r="C6086" t="str">
        <v>https://www.facebook.com/tuoitreconganquangbinh/</v>
      </c>
      <c r="D6086" t="str">
        <v>-</v>
      </c>
      <c r="E6086" t="str">
        <v/>
      </c>
      <c r="F6086" t="str">
        <v>-</v>
      </c>
      <c r="G6086" t="str">
        <v>-</v>
      </c>
    </row>
    <row r="6087">
      <c r="A6087">
        <v>6086</v>
      </c>
      <c r="B6087">
        <f>HYPERLINK("https://www.quangninh.gov.vn/donvi/TXQuangYen/Trang/ChiTietBVGioiThieu.aspx?bvid=202", "UBND Ủy ban nhân dân xã Quảng An  tỉnh Quảng Ninh")</f>
      </c>
      <c r="C6087" t="str">
        <v>https://www.quangninh.gov.vn/donvi/TXQuangYen/Trang/ChiTietBVGioiThieu.aspx?bvid=202</v>
      </c>
      <c r="D6087" t="str">
        <v>-</v>
      </c>
      <c r="E6087" t="str">
        <v>-</v>
      </c>
      <c r="F6087" t="str">
        <v>-</v>
      </c>
      <c r="G6087" t="str">
        <v>-</v>
      </c>
    </row>
    <row r="6088">
      <c r="A6088">
        <v>6087</v>
      </c>
      <c r="B6088" t="str">
        <v>Công an xã Tân Bình  tỉnh Quảng Ninh</v>
      </c>
      <c r="C6088" t="str">
        <v>-</v>
      </c>
      <c r="D6088" t="str">
        <v>-</v>
      </c>
      <c r="E6088" t="str">
        <v/>
      </c>
      <c r="F6088" t="str">
        <v>-</v>
      </c>
      <c r="G6088" t="str">
        <v>-</v>
      </c>
    </row>
    <row r="6089">
      <c r="A6089">
        <v>6088</v>
      </c>
      <c r="B6089">
        <f>HYPERLINK("https://www.quangninh.gov.vn/donvi/huyendamha/Trang/ChiTietBVGioiThieu.aspx?bvid=80", "UBND Ủy ban nhân dân xã Tân Bình  tỉnh Quảng Ninh")</f>
      </c>
      <c r="C6089" t="str">
        <v>https://www.quangninh.gov.vn/donvi/huyendamha/Trang/ChiTietBVGioiThieu.aspx?bvid=80</v>
      </c>
      <c r="D6089" t="str">
        <v>-</v>
      </c>
      <c r="E6089" t="str">
        <v>-</v>
      </c>
      <c r="F6089" t="str">
        <v>-</v>
      </c>
      <c r="G6089" t="str">
        <v>-</v>
      </c>
    </row>
    <row r="6090">
      <c r="A6090">
        <v>6089</v>
      </c>
      <c r="B6090" t="str">
        <v>Công an xã Quảng Lợi  tỉnh Quảng Ninh</v>
      </c>
      <c r="C6090" t="str">
        <v>-</v>
      </c>
      <c r="D6090" t="str">
        <v>-</v>
      </c>
      <c r="E6090" t="str">
        <v/>
      </c>
      <c r="F6090" t="str">
        <v>-</v>
      </c>
      <c r="G6090" t="str">
        <v>-</v>
      </c>
    </row>
    <row r="6091">
      <c r="A6091">
        <v>6090</v>
      </c>
      <c r="B6091">
        <f>HYPERLINK("https://quangloi.thuathienhue.gov.vn/?gd=4", "UBND Ủy ban nhân dân xã Quảng Lợi  tỉnh Quảng Ninh")</f>
      </c>
      <c r="C6091" t="str">
        <v>https://quangloi.thuathienhue.gov.vn/?gd=4</v>
      </c>
      <c r="D6091" t="str">
        <v>-</v>
      </c>
      <c r="E6091" t="str">
        <v>-</v>
      </c>
      <c r="F6091" t="str">
        <v>-</v>
      </c>
      <c r="G6091" t="str">
        <v>-</v>
      </c>
    </row>
    <row r="6092">
      <c r="A6092">
        <v>6091</v>
      </c>
      <c r="B6092">
        <f>HYPERLINK("https://www.facebook.com/xaducyen/", "Công an xã Dực Yên  tỉnh Quảng Ninh")</f>
      </c>
      <c r="C6092" t="str">
        <v>https://www.facebook.com/xaducyen/</v>
      </c>
      <c r="D6092" t="str">
        <v>-</v>
      </c>
      <c r="E6092" t="str">
        <v/>
      </c>
      <c r="F6092" t="str">
        <v>-</v>
      </c>
      <c r="G6092" t="str">
        <v>-</v>
      </c>
    </row>
    <row r="6093">
      <c r="A6093">
        <v>6092</v>
      </c>
      <c r="B6093">
        <f>HYPERLINK("https://www.quangninh.gov.vn/donvi/huyendamha/Trang/ChiTietBVGioiThieu.aspx?bvid=74", "UBND Ủy ban nhân dân xã Dực Yên  tỉnh Quảng Ninh")</f>
      </c>
      <c r="C6093" t="str">
        <v>https://www.quangninh.gov.vn/donvi/huyendamha/Trang/ChiTietBVGioiThieu.aspx?bvid=74</v>
      </c>
      <c r="D6093" t="str">
        <v>-</v>
      </c>
      <c r="E6093" t="str">
        <v>-</v>
      </c>
      <c r="F6093" t="str">
        <v>-</v>
      </c>
      <c r="G6093" t="str">
        <v>-</v>
      </c>
    </row>
    <row r="6094">
      <c r="A6094">
        <v>6093</v>
      </c>
      <c r="B6094">
        <f>HYPERLINK("https://www.facebook.com/p/C%C3%B4ng-an-x%C3%A3-Qu%E1%BA%A3ng-T%C3%A2n-C%C3%B4ng-an-th%E1%BB%8B-x%C3%A3-Ba-%C4%90%E1%BB%93n-100089357495082/", "Công an xã Quảng Tân  tỉnh Quảng Ninh")</f>
      </c>
      <c r="C6094" t="str">
        <v>https://www.facebook.com/p/C%C3%B4ng-an-x%C3%A3-Qu%E1%BA%A3ng-T%C3%A2n-C%C3%B4ng-an-th%E1%BB%8B-x%C3%A3-Ba-%C4%90%E1%BB%93n-100089357495082/</v>
      </c>
      <c r="D6094" t="str">
        <v>-</v>
      </c>
      <c r="E6094" t="str">
        <v/>
      </c>
      <c r="F6094" t="str">
        <v>-</v>
      </c>
      <c r="G6094" t="str">
        <v>-</v>
      </c>
    </row>
    <row r="6095">
      <c r="A6095">
        <v>6094</v>
      </c>
      <c r="B6095">
        <f>HYPERLINK("https://www.quangninh.gov.vn/donvi/huyendamha/Trang/ChiTietBVGioiThieu.aspx?bvid=75", "UBND Ủy ban nhân dân xã Quảng Tân  tỉnh Quảng Ninh")</f>
      </c>
      <c r="C6095" t="str">
        <v>https://www.quangninh.gov.vn/donvi/huyendamha/Trang/ChiTietBVGioiThieu.aspx?bvid=75</v>
      </c>
      <c r="D6095" t="str">
        <v>-</v>
      </c>
      <c r="E6095" t="str">
        <v>-</v>
      </c>
      <c r="F6095" t="str">
        <v>-</v>
      </c>
      <c r="G6095" t="str">
        <v>-</v>
      </c>
    </row>
    <row r="6096">
      <c r="A6096">
        <v>6095</v>
      </c>
      <c r="B6096">
        <f>HYPERLINK("https://www.facebook.com/tuoitredamha/", "Công an xã Đầm Hà  tỉnh Quảng Ninh")</f>
      </c>
      <c r="C6096" t="str">
        <v>https://www.facebook.com/tuoitredamha/</v>
      </c>
      <c r="D6096" t="str">
        <v>-</v>
      </c>
      <c r="E6096" t="str">
        <v/>
      </c>
      <c r="F6096" t="str">
        <v>-</v>
      </c>
      <c r="G6096" t="str">
        <v>-</v>
      </c>
    </row>
    <row r="6097">
      <c r="A6097">
        <v>6096</v>
      </c>
      <c r="B6097">
        <f>HYPERLINK("https://www.quangninh.gov.vn/donvi/huyendamha/Trang/Default.aspx", "UBND Ủy ban nhân dân xã Đầm Hà  tỉnh Quảng Ninh")</f>
      </c>
      <c r="C6097" t="str">
        <v>https://www.quangninh.gov.vn/donvi/huyendamha/Trang/Default.aspx</v>
      </c>
      <c r="D6097" t="str">
        <v>-</v>
      </c>
      <c r="E6097" t="str">
        <v>-</v>
      </c>
      <c r="F6097" t="str">
        <v>-</v>
      </c>
      <c r="G6097" t="str">
        <v>-</v>
      </c>
    </row>
    <row r="6098">
      <c r="A6098">
        <v>6097</v>
      </c>
      <c r="B6098" t="str">
        <v>Công an xã Tân Lập  tỉnh Quảng Ninh</v>
      </c>
      <c r="C6098" t="str">
        <v>-</v>
      </c>
      <c r="D6098" t="str">
        <v>-</v>
      </c>
      <c r="E6098" t="str">
        <v/>
      </c>
      <c r="F6098" t="str">
        <v>-</v>
      </c>
      <c r="G6098" t="str">
        <v>-</v>
      </c>
    </row>
    <row r="6099">
      <c r="A6099">
        <v>6098</v>
      </c>
      <c r="B6099">
        <f>HYPERLINK("https://dongtrieu.quangninh.gov.vn/Trang/ChiTietBVGioiThieu.aspx?bvid=208", "UBND Ủy ban nhân dân xã Tân Lập  tỉnh Quảng Ninh")</f>
      </c>
      <c r="C6099" t="str">
        <v>https://dongtrieu.quangninh.gov.vn/Trang/ChiTietBVGioiThieu.aspx?bvid=208</v>
      </c>
      <c r="D6099" t="str">
        <v>-</v>
      </c>
      <c r="E6099" t="str">
        <v>-</v>
      </c>
      <c r="F6099" t="str">
        <v>-</v>
      </c>
      <c r="G6099" t="str">
        <v>-</v>
      </c>
    </row>
    <row r="6100">
      <c r="A6100">
        <v>6099</v>
      </c>
      <c r="B6100">
        <f>HYPERLINK("https://www.facebook.com/tuoitreconganquangbinh/", "Công an xã Đại Bình  tỉnh Quảng Ninh")</f>
      </c>
      <c r="C6100" t="str">
        <v>https://www.facebook.com/tuoitreconganquangbinh/</v>
      </c>
      <c r="D6100" t="str">
        <v>-</v>
      </c>
      <c r="E6100" t="str">
        <v/>
      </c>
      <c r="F6100" t="str">
        <v>-</v>
      </c>
      <c r="G6100" t="str">
        <v>-</v>
      </c>
    </row>
    <row r="6101">
      <c r="A6101">
        <v>6100</v>
      </c>
      <c r="B6101">
        <f>HYPERLINK("https://www.quangninh.gov.vn/donvi/huyendamha/Trang/ChiTietBVGioiThieu.aspx?bvid=73", "UBND Ủy ban nhân dân xã Đại Bình  tỉnh Quảng Ninh")</f>
      </c>
      <c r="C6101" t="str">
        <v>https://www.quangninh.gov.vn/donvi/huyendamha/Trang/ChiTietBVGioiThieu.aspx?bvid=73</v>
      </c>
      <c r="D6101" t="str">
        <v>-</v>
      </c>
      <c r="E6101" t="str">
        <v>-</v>
      </c>
      <c r="F6101" t="str">
        <v>-</v>
      </c>
      <c r="G6101" t="str">
        <v>-</v>
      </c>
    </row>
    <row r="6102">
      <c r="A6102">
        <v>6101</v>
      </c>
      <c r="B6102" t="str">
        <v>Công an thị trấn Quảng Hà  tỉnh Quảng Ninh</v>
      </c>
      <c r="C6102" t="str">
        <v>-</v>
      </c>
      <c r="D6102" t="str">
        <v>-</v>
      </c>
      <c r="E6102" t="str">
        <v/>
      </c>
      <c r="F6102" t="str">
        <v>-</v>
      </c>
      <c r="G6102" t="str">
        <v>-</v>
      </c>
    </row>
    <row r="6103">
      <c r="A6103">
        <v>6102</v>
      </c>
      <c r="B6103">
        <f>HYPERLINK("https://haiha.quangninh.gov.vn/trang/chitietbvgioithieu.aspx?bvid=112", "UBND Ủy ban nhân dân thị trấn Quảng Hà  tỉnh Quảng Ninh")</f>
      </c>
      <c r="C6103" t="str">
        <v>https://haiha.quangninh.gov.vn/trang/chitietbvgioithieu.aspx?bvid=112</v>
      </c>
      <c r="D6103" t="str">
        <v>-</v>
      </c>
      <c r="E6103" t="str">
        <v>-</v>
      </c>
      <c r="F6103" t="str">
        <v>-</v>
      </c>
      <c r="G6103" t="str">
        <v>-</v>
      </c>
    </row>
    <row r="6104">
      <c r="A6104">
        <v>6103</v>
      </c>
      <c r="B6104" t="str">
        <v>Công an xã Quảng Đức  tỉnh Quảng Ninh</v>
      </c>
      <c r="C6104" t="str">
        <v>-</v>
      </c>
      <c r="D6104" t="str">
        <v>-</v>
      </c>
      <c r="E6104" t="str">
        <v/>
      </c>
      <c r="F6104" t="str">
        <v>-</v>
      </c>
      <c r="G6104" t="str">
        <v>-</v>
      </c>
    </row>
    <row r="6105">
      <c r="A6105">
        <v>6104</v>
      </c>
      <c r="B6105">
        <f>HYPERLINK("https://haiha.quangninh.gov.vn/Trang/ChiTietBVGioiThieu.aspx?bvid=126", "UBND Ủy ban nhân dân xã Quảng Đức  tỉnh Quảng Ninh")</f>
      </c>
      <c r="C6105" t="str">
        <v>https://haiha.quangninh.gov.vn/Trang/ChiTietBVGioiThieu.aspx?bvid=126</v>
      </c>
      <c r="D6105" t="str">
        <v>-</v>
      </c>
      <c r="E6105" t="str">
        <v>-</v>
      </c>
      <c r="F6105" t="str">
        <v>-</v>
      </c>
      <c r="G6105" t="str">
        <v>-</v>
      </c>
    </row>
    <row r="6106">
      <c r="A6106">
        <v>6105</v>
      </c>
      <c r="B6106">
        <f>HYPERLINK("https://www.facebook.com/p/C%C3%B4ng-an-x%C3%A3-Qu%E1%BA%A3ng-S%C6%A1n-100068854224748/", "Công an xã Quảng Sơn  tỉnh Quảng Ninh")</f>
      </c>
      <c r="C6106" t="str">
        <v>https://www.facebook.com/p/C%C3%B4ng-an-x%C3%A3-Qu%E1%BA%A3ng-S%C6%A1n-100068854224748/</v>
      </c>
      <c r="D6106" t="str">
        <v>-</v>
      </c>
      <c r="E6106" t="str">
        <v/>
      </c>
      <c r="F6106" t="str">
        <v>-</v>
      </c>
      <c r="G6106" t="str">
        <v>-</v>
      </c>
    </row>
    <row r="6107">
      <c r="A6107">
        <v>6106</v>
      </c>
      <c r="B6107">
        <f>HYPERLINK("https://haiha.quangninh.gov.vn/Trang/ChiTietBVGioiThieu.aspx?bvid=134", "UBND Ủy ban nhân dân xã Quảng Sơn  tỉnh Quảng Ninh")</f>
      </c>
      <c r="C6107" t="str">
        <v>https://haiha.quangninh.gov.vn/Trang/ChiTietBVGioiThieu.aspx?bvid=134</v>
      </c>
      <c r="D6107" t="str">
        <v>-</v>
      </c>
      <c r="E6107" t="str">
        <v>-</v>
      </c>
      <c r="F6107" t="str">
        <v>-</v>
      </c>
      <c r="G6107" t="str">
        <v>-</v>
      </c>
    </row>
    <row r="6108">
      <c r="A6108">
        <v>6107</v>
      </c>
      <c r="B6108">
        <f>HYPERLINK("https://www.facebook.com/AnreQuoc/", "Công an xã Quảng Thành  tỉnh Quảng Ninh")</f>
      </c>
      <c r="C6108" t="str">
        <v>https://www.facebook.com/AnreQuoc/</v>
      </c>
      <c r="D6108" t="str">
        <v>-</v>
      </c>
      <c r="E6108" t="str">
        <v/>
      </c>
      <c r="F6108" t="str">
        <v>-</v>
      </c>
      <c r="G6108" t="str">
        <v>-</v>
      </c>
    </row>
    <row r="6109">
      <c r="A6109">
        <v>6108</v>
      </c>
      <c r="B6109">
        <f>HYPERLINK("https://quangthanh.chauduc.baria-vungtau.gov.vn/", "UBND Ủy ban nhân dân xã Quảng Thành  tỉnh Quảng Ninh")</f>
      </c>
      <c r="C6109" t="str">
        <v>https://quangthanh.chauduc.baria-vungtau.gov.vn/</v>
      </c>
      <c r="D6109" t="str">
        <v>-</v>
      </c>
      <c r="E6109" t="str">
        <v>-</v>
      </c>
      <c r="F6109" t="str">
        <v>-</v>
      </c>
      <c r="G6109" t="str">
        <v>-</v>
      </c>
    </row>
    <row r="6110">
      <c r="A6110">
        <v>6109</v>
      </c>
      <c r="B6110" t="str">
        <v>Công an xã Quảng Thắng  tỉnh Quảng Ninh</v>
      </c>
      <c r="C6110" t="str">
        <v>-</v>
      </c>
      <c r="D6110" t="str">
        <v>-</v>
      </c>
      <c r="E6110" t="str">
        <v/>
      </c>
      <c r="F6110" t="str">
        <v>-</v>
      </c>
      <c r="G6110" t="str">
        <v>-</v>
      </c>
    </row>
    <row r="6111">
      <c r="A6111">
        <v>6110</v>
      </c>
      <c r="B6111">
        <f>HYPERLINK("https://dichvucong.quangninh.gov.vn/Default.aspx?tabid=121&amp;ctl=ndetail&amp;mid=511&amp;nid=186547", "UBND Ủy ban nhân dân xã Quảng Thắng  tỉnh Quảng Ninh")</f>
      </c>
      <c r="C6111" t="str">
        <v>https://dichvucong.quangninh.gov.vn/Default.aspx?tabid=121&amp;ctl=ndetail&amp;mid=511&amp;nid=186547</v>
      </c>
      <c r="D6111" t="str">
        <v>-</v>
      </c>
      <c r="E6111" t="str">
        <v>-</v>
      </c>
      <c r="F6111" t="str">
        <v>-</v>
      </c>
      <c r="G6111" t="str">
        <v>-</v>
      </c>
    </row>
    <row r="6112">
      <c r="A6112">
        <v>6111</v>
      </c>
      <c r="B6112">
        <f>HYPERLINK("https://www.facebook.com/capquangthinh.th.vn/", "Công an xã Quảng Thịnh  tỉnh Quảng Ninh")</f>
      </c>
      <c r="C6112" t="str">
        <v>https://www.facebook.com/capquangthinh.th.vn/</v>
      </c>
      <c r="D6112" t="str">
        <v>-</v>
      </c>
      <c r="E6112" t="str">
        <v/>
      </c>
      <c r="F6112" t="str">
        <v>-</v>
      </c>
      <c r="G6112" t="str">
        <v>-</v>
      </c>
    </row>
    <row r="6113">
      <c r="A6113">
        <v>6112</v>
      </c>
      <c r="B6113">
        <f>HYPERLINK("https://haiha.quangninh.gov.vn/Trang/ChiTietBVGioiThieu.aspx?bvid=133", "UBND Ủy ban nhân dân xã Quảng Thịnh  tỉnh Quảng Ninh")</f>
      </c>
      <c r="C6113" t="str">
        <v>https://haiha.quangninh.gov.vn/Trang/ChiTietBVGioiThieu.aspx?bvid=133</v>
      </c>
      <c r="D6113" t="str">
        <v>-</v>
      </c>
      <c r="E6113" t="str">
        <v>-</v>
      </c>
      <c r="F6113" t="str">
        <v>-</v>
      </c>
      <c r="G6113" t="str">
        <v>-</v>
      </c>
    </row>
    <row r="6114">
      <c r="A6114">
        <v>6113</v>
      </c>
      <c r="B6114">
        <f>HYPERLINK("https://www.facebook.com/tuoitreconganquangbinh/", "Công an xã Quảng Minh  tỉnh Quảng Ninh")</f>
      </c>
      <c r="C6114" t="str">
        <v>https://www.facebook.com/tuoitreconganquangbinh/</v>
      </c>
      <c r="D6114" t="str">
        <v>-</v>
      </c>
      <c r="E6114" t="str">
        <v/>
      </c>
      <c r="F6114" t="str">
        <v>-</v>
      </c>
      <c r="G6114" t="str">
        <v>-</v>
      </c>
    </row>
    <row r="6115">
      <c r="A6115">
        <v>6114</v>
      </c>
      <c r="B6115">
        <f>HYPERLINK("https://haiha.quangninh.gov.vn/Trang/ChiTietBVGioiThieu.aspx?bvid=128", "UBND Ủy ban nhân dân xã Quảng Minh  tỉnh Quảng Ninh")</f>
      </c>
      <c r="C6115" t="str">
        <v>https://haiha.quangninh.gov.vn/Trang/ChiTietBVGioiThieu.aspx?bvid=128</v>
      </c>
      <c r="D6115" t="str">
        <v>-</v>
      </c>
      <c r="E6115" t="str">
        <v>-</v>
      </c>
      <c r="F6115" t="str">
        <v>-</v>
      </c>
      <c r="G6115" t="str">
        <v>-</v>
      </c>
    </row>
    <row r="6116">
      <c r="A6116">
        <v>6115</v>
      </c>
      <c r="B6116">
        <f>HYPERLINK("https://www.facebook.com/tuoitreconganquangbinh/", "Công an xã Quảng Chính  tỉnh Quảng Ninh")</f>
      </c>
      <c r="C6116" t="str">
        <v>https://www.facebook.com/tuoitreconganquangbinh/</v>
      </c>
      <c r="D6116" t="str">
        <v>-</v>
      </c>
      <c r="E6116" t="str">
        <v/>
      </c>
      <c r="F6116" t="str">
        <v>-</v>
      </c>
      <c r="G6116" t="str">
        <v>-</v>
      </c>
    </row>
    <row r="6117">
      <c r="A6117">
        <v>6116</v>
      </c>
      <c r="B6117">
        <f>HYPERLINK("https://haiha.quangninh.gov.vn/trang/chitietbvgioithieu.aspx?bvid=117", "UBND Ủy ban nhân dân xã Quảng Chính  tỉnh Quảng Ninh")</f>
      </c>
      <c r="C6117" t="str">
        <v>https://haiha.quangninh.gov.vn/trang/chitietbvgioithieu.aspx?bvid=117</v>
      </c>
      <c r="D6117" t="str">
        <v>-</v>
      </c>
      <c r="E6117" t="str">
        <v>-</v>
      </c>
      <c r="F6117" t="str">
        <v>-</v>
      </c>
      <c r="G6117" t="str">
        <v>-</v>
      </c>
    </row>
    <row r="6118">
      <c r="A6118">
        <v>6117</v>
      </c>
      <c r="B6118">
        <f>HYPERLINK("https://www.facebook.com/p/C%C3%B4ng-an-x%C3%A3-Qu%E1%BA%A3ng-Long-Qu%E1%BA%A3ng-X%C6%B0%C6%A1ng-Thanh-H%C3%B3a-100064958701361/", "Công an xã Quảng Long  tỉnh Quảng Ninh")</f>
      </c>
      <c r="C6118" t="str">
        <v>https://www.facebook.com/p/C%C3%B4ng-an-x%C3%A3-Qu%E1%BA%A3ng-Long-Qu%E1%BA%A3ng-X%C6%B0%C6%A1ng-Thanh-H%C3%B3a-100064958701361/</v>
      </c>
      <c r="D6118" t="str">
        <v>-</v>
      </c>
      <c r="E6118" t="str">
        <v/>
      </c>
      <c r="F6118" t="str">
        <v>-</v>
      </c>
      <c r="G6118" t="str">
        <v>-</v>
      </c>
    </row>
    <row r="6119">
      <c r="A6119">
        <v>6118</v>
      </c>
      <c r="B6119">
        <f>HYPERLINK("https://haiha.quangninh.gov.vn/trang/chitietbvgioithieu.aspx?bvid=129", "UBND Ủy ban nhân dân xã Quảng Long  tỉnh Quảng Ninh")</f>
      </c>
      <c r="C6119" t="str">
        <v>https://haiha.quangninh.gov.vn/trang/chitietbvgioithieu.aspx?bvid=129</v>
      </c>
      <c r="D6119" t="str">
        <v>-</v>
      </c>
      <c r="E6119" t="str">
        <v>-</v>
      </c>
      <c r="F6119" t="str">
        <v>-</v>
      </c>
      <c r="G6119" t="str">
        <v>-</v>
      </c>
    </row>
    <row r="6120">
      <c r="A6120">
        <v>6119</v>
      </c>
      <c r="B6120" t="str">
        <v>Công an xã Đường Hoa  tỉnh Quảng Ninh</v>
      </c>
      <c r="C6120" t="str">
        <v>-</v>
      </c>
      <c r="D6120" t="str">
        <v>-</v>
      </c>
      <c r="E6120" t="str">
        <v/>
      </c>
      <c r="F6120" t="str">
        <v>-</v>
      </c>
      <c r="G6120" t="str">
        <v>-</v>
      </c>
    </row>
    <row r="6121">
      <c r="A6121">
        <v>6120</v>
      </c>
      <c r="B6121">
        <f>HYPERLINK("https://haiha.quangninh.gov.vn/Trang/ChiTietBVGioiThieu.aspx?bvid=124", "UBND Ủy ban nhân dân xã Đường Hoa  tỉnh Quảng Ninh")</f>
      </c>
      <c r="C6121" t="str">
        <v>https://haiha.quangninh.gov.vn/Trang/ChiTietBVGioiThieu.aspx?bvid=124</v>
      </c>
      <c r="D6121" t="str">
        <v>-</v>
      </c>
      <c r="E6121" t="str">
        <v>-</v>
      </c>
      <c r="F6121" t="str">
        <v>-</v>
      </c>
      <c r="G6121" t="str">
        <v>-</v>
      </c>
    </row>
    <row r="6122">
      <c r="A6122">
        <v>6121</v>
      </c>
      <c r="B6122" t="str">
        <v>Công an xã Quảng Phong  tỉnh Quảng Ninh</v>
      </c>
      <c r="C6122" t="str">
        <v>-</v>
      </c>
      <c r="D6122" t="str">
        <v>-</v>
      </c>
      <c r="E6122" t="str">
        <v/>
      </c>
      <c r="F6122" t="str">
        <v>-</v>
      </c>
      <c r="G6122" t="str">
        <v>-</v>
      </c>
    </row>
    <row r="6123">
      <c r="A6123">
        <v>6122</v>
      </c>
      <c r="B6123">
        <f>HYPERLINK("https://haiha.quangninh.gov.vn/Trang/ChiTietBVGioiThieu.aspx?bvid=130", "UBND Ủy ban nhân dân xã Quảng Phong  tỉnh Quảng Ninh")</f>
      </c>
      <c r="C6123" t="str">
        <v>https://haiha.quangninh.gov.vn/Trang/ChiTietBVGioiThieu.aspx?bvid=130</v>
      </c>
      <c r="D6123" t="str">
        <v>-</v>
      </c>
      <c r="E6123" t="str">
        <v>-</v>
      </c>
      <c r="F6123" t="str">
        <v>-</v>
      </c>
      <c r="G6123" t="str">
        <v>-</v>
      </c>
    </row>
    <row r="6124">
      <c r="A6124">
        <v>6123</v>
      </c>
      <c r="B6124">
        <f>HYPERLINK("https://www.facebook.com/tuoitreconganquangbinh/", "Công an xã Quảng Trung  tỉnh Quảng Ninh")</f>
      </c>
      <c r="C6124" t="str">
        <v>https://www.facebook.com/tuoitreconganquangbinh/</v>
      </c>
      <c r="D6124" t="str">
        <v>-</v>
      </c>
      <c r="E6124" t="str">
        <v/>
      </c>
      <c r="F6124" t="str">
        <v>-</v>
      </c>
      <c r="G6124" t="str">
        <v>-</v>
      </c>
    </row>
    <row r="6125">
      <c r="A6125">
        <v>6124</v>
      </c>
      <c r="B6125">
        <f>HYPERLINK("https://haiha.quangninh.gov.vn/trang/chitietbvgioithieu.aspx?bvid=117", "UBND Ủy ban nhân dân xã Quảng Trung  tỉnh Quảng Ninh")</f>
      </c>
      <c r="C6125" t="str">
        <v>https://haiha.quangninh.gov.vn/trang/chitietbvgioithieu.aspx?bvid=117</v>
      </c>
      <c r="D6125" t="str">
        <v>-</v>
      </c>
      <c r="E6125" t="str">
        <v>-</v>
      </c>
      <c r="F6125" t="str">
        <v>-</v>
      </c>
      <c r="G6125" t="str">
        <v>-</v>
      </c>
    </row>
    <row r="6126">
      <c r="A6126">
        <v>6125</v>
      </c>
      <c r="B6126" t="str">
        <v>Công an xã Phú Hải  tỉnh Quảng Ninh</v>
      </c>
      <c r="C6126" t="str">
        <v>-</v>
      </c>
      <c r="D6126" t="str">
        <v>-</v>
      </c>
      <c r="E6126" t="str">
        <v/>
      </c>
      <c r="F6126" t="str">
        <v>-</v>
      </c>
      <c r="G6126" t="str">
        <v>-</v>
      </c>
    </row>
    <row r="6127">
      <c r="A6127">
        <v>6126</v>
      </c>
      <c r="B6127">
        <f>HYPERLINK("https://www.quangninh.gov.vn/", "UBND Ủy ban nhân dân xã Phú Hải  tỉnh Quảng Ninh")</f>
      </c>
      <c r="C6127" t="str">
        <v>https://www.quangninh.gov.vn/</v>
      </c>
      <c r="D6127" t="str">
        <v>-</v>
      </c>
      <c r="E6127" t="str">
        <v>-</v>
      </c>
      <c r="F6127" t="str">
        <v>-</v>
      </c>
      <c r="G6127" t="str">
        <v>-</v>
      </c>
    </row>
    <row r="6128">
      <c r="A6128">
        <v>6127</v>
      </c>
      <c r="B6128" t="str">
        <v>Công an xã Quảng Điền  tỉnh Quảng Ninh</v>
      </c>
      <c r="C6128" t="str">
        <v>-</v>
      </c>
      <c r="D6128" t="str">
        <v>-</v>
      </c>
      <c r="E6128" t="str">
        <v/>
      </c>
      <c r="F6128" t="str">
        <v>-</v>
      </c>
      <c r="G6128" t="str">
        <v>-</v>
      </c>
    </row>
    <row r="6129">
      <c r="A6129">
        <v>6128</v>
      </c>
      <c r="B6129">
        <f>HYPERLINK("https://krongana.daklak.gov.vn/uy-ban-nhan-dan-xa-quang-dien-to-chuc-hoi-nghi-trao-doi-doi-thoai-voi-nhan-dan-nam-2020-6163.html", "UBND Ủy ban nhân dân xã Quảng Điền  tỉnh Quảng Ninh")</f>
      </c>
      <c r="C6129" t="str">
        <v>https://krongana.daklak.gov.vn/uy-ban-nhan-dan-xa-quang-dien-to-chuc-hoi-nghi-trao-doi-doi-thoai-voi-nhan-dan-nam-2020-6163.html</v>
      </c>
      <c r="D6129" t="str">
        <v>-</v>
      </c>
      <c r="E6129" t="str">
        <v>-</v>
      </c>
      <c r="F6129" t="str">
        <v>-</v>
      </c>
      <c r="G6129" t="str">
        <v>-</v>
      </c>
    </row>
    <row r="6130">
      <c r="A6130">
        <v>6129</v>
      </c>
      <c r="B6130" t="str">
        <v>Công an xã Tiến Tới  tỉnh Quảng Ninh</v>
      </c>
      <c r="C6130" t="str">
        <v>-</v>
      </c>
      <c r="D6130" t="str">
        <v>-</v>
      </c>
      <c r="E6130" t="str">
        <v/>
      </c>
      <c r="F6130" t="str">
        <v>-</v>
      </c>
      <c r="G6130" t="str">
        <v>-</v>
      </c>
    </row>
    <row r="6131">
      <c r="A6131">
        <v>6130</v>
      </c>
      <c r="B6131">
        <f>HYPERLINK("https://www.quangninh.gov.vn/", "UBND Ủy ban nhân dân xã Tiến Tới  tỉnh Quảng Ninh")</f>
      </c>
      <c r="C6131" t="str">
        <v>https://www.quangninh.gov.vn/</v>
      </c>
      <c r="D6131" t="str">
        <v>-</v>
      </c>
      <c r="E6131" t="str">
        <v>-</v>
      </c>
      <c r="F6131" t="str">
        <v>-</v>
      </c>
      <c r="G6131" t="str">
        <v>-</v>
      </c>
    </row>
    <row r="6132">
      <c r="A6132">
        <v>6131</v>
      </c>
      <c r="B6132">
        <f>HYPERLINK("https://www.facebook.com/groups/caichien/", "Công an xã Cái Chiên  tỉnh Quảng Ninh")</f>
      </c>
      <c r="C6132" t="str">
        <v>https://www.facebook.com/groups/caichien/</v>
      </c>
      <c r="D6132" t="str">
        <v>-</v>
      </c>
      <c r="E6132" t="str">
        <v/>
      </c>
      <c r="F6132" t="str">
        <v>-</v>
      </c>
      <c r="G6132" t="str">
        <v>-</v>
      </c>
    </row>
    <row r="6133">
      <c r="A6133">
        <v>6132</v>
      </c>
      <c r="B6133">
        <f>HYPERLINK("https://haiha.quangninh.gov.vn/Trang/ChiTietBVGioiThieu.aspx?bvid=125", "UBND Ủy ban nhân dân xã Cái Chiên  tỉnh Quảng Ninh")</f>
      </c>
      <c r="C6133" t="str">
        <v>https://haiha.quangninh.gov.vn/Trang/ChiTietBVGioiThieu.aspx?bvid=125</v>
      </c>
      <c r="D6133" t="str">
        <v>-</v>
      </c>
      <c r="E6133" t="str">
        <v>-</v>
      </c>
      <c r="F6133" t="str">
        <v>-</v>
      </c>
      <c r="G6133" t="str">
        <v>-</v>
      </c>
    </row>
    <row r="6134">
      <c r="A6134">
        <v>6133</v>
      </c>
      <c r="B6134" t="str">
        <v>Công an thị trấn Ba Chẽ  tỉnh Quảng Ninh</v>
      </c>
      <c r="C6134" t="str">
        <v>-</v>
      </c>
      <c r="D6134" t="str">
        <v>-</v>
      </c>
      <c r="E6134" t="str">
        <v/>
      </c>
      <c r="F6134" t="str">
        <v>-</v>
      </c>
      <c r="G6134" t="str">
        <v>-</v>
      </c>
    </row>
    <row r="6135">
      <c r="A6135">
        <v>6134</v>
      </c>
      <c r="B6135">
        <f>HYPERLINK("https://www.quangninh.gov.vn/donvi/huyenbache/Trang/Default.aspx", "UBND Ủy ban nhân dân thị trấn Ba Chẽ  tỉnh Quảng Ninh")</f>
      </c>
      <c r="C6135" t="str">
        <v>https://www.quangninh.gov.vn/donvi/huyenbache/Trang/Default.aspx</v>
      </c>
      <c r="D6135" t="str">
        <v>-</v>
      </c>
      <c r="E6135" t="str">
        <v>-</v>
      </c>
      <c r="F6135" t="str">
        <v>-</v>
      </c>
      <c r="G6135" t="str">
        <v>-</v>
      </c>
    </row>
    <row r="6136">
      <c r="A6136">
        <v>6135</v>
      </c>
      <c r="B6136" t="str">
        <v>Công an xã Thanh Sơn  tỉnh Quảng Ninh</v>
      </c>
      <c r="C6136" t="str">
        <v>-</v>
      </c>
      <c r="D6136" t="str">
        <v>-</v>
      </c>
      <c r="E6136" t="str">
        <v/>
      </c>
      <c r="F6136" t="str">
        <v>-</v>
      </c>
      <c r="G6136" t="str">
        <v>-</v>
      </c>
    </row>
    <row r="6137">
      <c r="A6137">
        <v>6136</v>
      </c>
      <c r="B6137">
        <f>HYPERLINK("https://www.quangninh.gov.vn/donvi/huyenbache/Trang/ChiTietBVGioiThieu.aspx?bvid=108", "UBND Ủy ban nhân dân xã Thanh Sơn  tỉnh Quảng Ninh")</f>
      </c>
      <c r="C6137" t="str">
        <v>https://www.quangninh.gov.vn/donvi/huyenbache/Trang/ChiTietBVGioiThieu.aspx?bvid=108</v>
      </c>
      <c r="D6137" t="str">
        <v>-</v>
      </c>
      <c r="E6137" t="str">
        <v>-</v>
      </c>
      <c r="F6137" t="str">
        <v>-</v>
      </c>
      <c r="G6137" t="str">
        <v>-</v>
      </c>
    </row>
    <row r="6138">
      <c r="A6138">
        <v>6137</v>
      </c>
      <c r="B6138" t="str">
        <v>Công an xã Thanh Lâm  tỉnh Quảng Ninh</v>
      </c>
      <c r="C6138" t="str">
        <v>-</v>
      </c>
      <c r="D6138" t="str">
        <v>-</v>
      </c>
      <c r="E6138" t="str">
        <v/>
      </c>
      <c r="F6138" t="str">
        <v>-</v>
      </c>
      <c r="G6138" t="str">
        <v>-</v>
      </c>
    </row>
    <row r="6139">
      <c r="A6139">
        <v>6138</v>
      </c>
      <c r="B6139">
        <f>HYPERLINK("https://www.quangninh.gov.vn/donvi/huyenbache/Trang/ChiTietBVGioiThieu.aspx?bvid=107", "UBND Ủy ban nhân dân xã Thanh Lâm  tỉnh Quảng Ninh")</f>
      </c>
      <c r="C6139" t="str">
        <v>https://www.quangninh.gov.vn/donvi/huyenbache/Trang/ChiTietBVGioiThieu.aspx?bvid=107</v>
      </c>
      <c r="D6139" t="str">
        <v>-</v>
      </c>
      <c r="E6139" t="str">
        <v>-</v>
      </c>
      <c r="F6139" t="str">
        <v>-</v>
      </c>
      <c r="G6139" t="str">
        <v>-</v>
      </c>
    </row>
    <row r="6140">
      <c r="A6140">
        <v>6139</v>
      </c>
      <c r="B6140">
        <f>HYPERLINK("https://www.facebook.com/tuoitreconganquangbinh/", "Công an xã Đạp Thanh  tỉnh Quảng Ninh")</f>
      </c>
      <c r="C6140" t="str">
        <v>https://www.facebook.com/tuoitreconganquangbinh/</v>
      </c>
      <c r="D6140" t="str">
        <v>-</v>
      </c>
      <c r="E6140" t="str">
        <v/>
      </c>
      <c r="F6140" t="str">
        <v>-</v>
      </c>
      <c r="G6140" t="str">
        <v>-</v>
      </c>
    </row>
    <row r="6141">
      <c r="A6141">
        <v>6140</v>
      </c>
      <c r="B6141">
        <f>HYPERLINK("https://www.quangninh.gov.vn/donvi/huyenbache/Trang/ChiTietBVGioiThieu.aspx?bvid=106", "UBND Ủy ban nhân dân xã Đạp Thanh  tỉnh Quảng Ninh")</f>
      </c>
      <c r="C6141" t="str">
        <v>https://www.quangninh.gov.vn/donvi/huyenbache/Trang/ChiTietBVGioiThieu.aspx?bvid=106</v>
      </c>
      <c r="D6141" t="str">
        <v>-</v>
      </c>
      <c r="E6141" t="str">
        <v>-</v>
      </c>
      <c r="F6141" t="str">
        <v>-</v>
      </c>
      <c r="G6141" t="str">
        <v>-</v>
      </c>
    </row>
    <row r="6142">
      <c r="A6142">
        <v>6141</v>
      </c>
      <c r="B6142">
        <f>HYPERLINK("https://www.facebook.com/tuoitreconganquangnam/", "Công an xã Nam Sơn  tỉnh Quảng Ninh")</f>
      </c>
      <c r="C6142" t="str">
        <v>https://www.facebook.com/tuoitreconganquangnam/</v>
      </c>
      <c r="D6142" t="str">
        <v>-</v>
      </c>
      <c r="E6142" t="str">
        <v/>
      </c>
      <c r="F6142" t="str">
        <v>-</v>
      </c>
      <c r="G6142" t="str">
        <v>-</v>
      </c>
    </row>
    <row r="6143">
      <c r="A6143">
        <v>6142</v>
      </c>
      <c r="B6143">
        <f>HYPERLINK("https://www.quangninh.gov.vn/donvi/huyenbache/Trang/ChiTietBVGioiThieu.aspx?bvid=110", "UBND Ủy ban nhân dân xã Nam Sơn  tỉnh Quảng Ninh")</f>
      </c>
      <c r="C6143" t="str">
        <v>https://www.quangninh.gov.vn/donvi/huyenbache/Trang/ChiTietBVGioiThieu.aspx?bvid=110</v>
      </c>
      <c r="D6143" t="str">
        <v>-</v>
      </c>
      <c r="E6143" t="str">
        <v>-</v>
      </c>
      <c r="F6143" t="str">
        <v>-</v>
      </c>
      <c r="G6143" t="str">
        <v>-</v>
      </c>
    </row>
    <row r="6144">
      <c r="A6144">
        <v>6143</v>
      </c>
      <c r="B6144" t="str">
        <v>Công an xã Lương Mông  tỉnh Quảng Ninh</v>
      </c>
      <c r="C6144" t="str">
        <v>-</v>
      </c>
      <c r="D6144" t="str">
        <v>-</v>
      </c>
      <c r="E6144" t="str">
        <v/>
      </c>
      <c r="F6144" t="str">
        <v>-</v>
      </c>
      <c r="G6144" t="str">
        <v>-</v>
      </c>
    </row>
    <row r="6145">
      <c r="A6145">
        <v>6144</v>
      </c>
      <c r="B6145">
        <f>HYPERLINK("https://www.quangninh.gov.vn/donvi/huyenbache/Trang/ChiTietBVGioiThieu.aspx?bvid=104", "UBND Ủy ban nhân dân xã Lương Mông  tỉnh Quảng Ninh")</f>
      </c>
      <c r="C6145" t="str">
        <v>https://www.quangninh.gov.vn/donvi/huyenbache/Trang/ChiTietBVGioiThieu.aspx?bvid=104</v>
      </c>
      <c r="D6145" t="str">
        <v>-</v>
      </c>
      <c r="E6145" t="str">
        <v>-</v>
      </c>
      <c r="F6145" t="str">
        <v>-</v>
      </c>
      <c r="G6145" t="str">
        <v>-</v>
      </c>
    </row>
    <row r="6146">
      <c r="A6146">
        <v>6145</v>
      </c>
      <c r="B6146" t="str">
        <v>Công an xã Đồn Đạc  tỉnh Quảng Ninh</v>
      </c>
      <c r="C6146" t="str">
        <v>-</v>
      </c>
      <c r="D6146" t="str">
        <v>-</v>
      </c>
      <c r="E6146" t="str">
        <v/>
      </c>
      <c r="F6146" t="str">
        <v>-</v>
      </c>
      <c r="G6146" t="str">
        <v>-</v>
      </c>
    </row>
    <row r="6147">
      <c r="A6147">
        <v>6146</v>
      </c>
      <c r="B6147">
        <f>HYPERLINK("https://www.quangninh.gov.vn/donvi/huyenbache/Trang/ChiTietBVGioiThieu.aspx?bvid=109", "UBND Ủy ban nhân dân xã Đồn Đạc  tỉnh Quảng Ninh")</f>
      </c>
      <c r="C6147" t="str">
        <v>https://www.quangninh.gov.vn/donvi/huyenbache/Trang/ChiTietBVGioiThieu.aspx?bvid=109</v>
      </c>
      <c r="D6147" t="str">
        <v>-</v>
      </c>
      <c r="E6147" t="str">
        <v>-</v>
      </c>
      <c r="F6147" t="str">
        <v>-</v>
      </c>
      <c r="G6147" t="str">
        <v>-</v>
      </c>
    </row>
    <row r="6148">
      <c r="A6148">
        <v>6147</v>
      </c>
      <c r="B6148" t="str">
        <v>Công an xã Minh Cầm  tỉnh Quảng Ninh</v>
      </c>
      <c r="C6148" t="str">
        <v>-</v>
      </c>
      <c r="D6148" t="str">
        <v>-</v>
      </c>
      <c r="E6148" t="str">
        <v/>
      </c>
      <c r="F6148" t="str">
        <v>-</v>
      </c>
      <c r="G6148" t="str">
        <v>-</v>
      </c>
    </row>
    <row r="6149">
      <c r="A6149">
        <v>6148</v>
      </c>
      <c r="B6149">
        <f>HYPERLINK("https://www.quangninh.gov.vn/donvi/huyenbache/Trang/ChiTietBVGioiThieu.aspx?bvid=105", "UBND Ủy ban nhân dân xã Minh Cầm  tỉnh Quảng Ninh")</f>
      </c>
      <c r="C6149" t="str">
        <v>https://www.quangninh.gov.vn/donvi/huyenbache/Trang/ChiTietBVGioiThieu.aspx?bvid=105</v>
      </c>
      <c r="D6149" t="str">
        <v>-</v>
      </c>
      <c r="E6149" t="str">
        <v>-</v>
      </c>
      <c r="F6149" t="str">
        <v>-</v>
      </c>
      <c r="G6149" t="str">
        <v>-</v>
      </c>
    </row>
    <row r="6150">
      <c r="A6150">
        <v>6149</v>
      </c>
      <c r="B6150">
        <f>HYPERLINK("https://www.facebook.com/265963428377240", "Công an thị trấn Cái Rồng  tỉnh Quảng Ninh")</f>
      </c>
      <c r="C6150" t="str">
        <v>https://www.facebook.com/265963428377240</v>
      </c>
      <c r="D6150" t="str">
        <v>-</v>
      </c>
      <c r="E6150" t="str">
        <v/>
      </c>
      <c r="F6150" t="str">
        <v>-</v>
      </c>
      <c r="G6150" t="str">
        <v>-</v>
      </c>
    </row>
    <row r="6151">
      <c r="A6151">
        <v>6150</v>
      </c>
      <c r="B6151">
        <f>HYPERLINK("https://vandon.quangninh.gov.vn/Trang/ChiTietBVGioiThieu.aspx?bvid=176", "UBND Ủy ban nhân dân thị trấn Cái Rồng  tỉnh Quảng Ninh")</f>
      </c>
      <c r="C6151" t="str">
        <v>https://vandon.quangninh.gov.vn/Trang/ChiTietBVGioiThieu.aspx?bvid=176</v>
      </c>
      <c r="D6151" t="str">
        <v>-</v>
      </c>
      <c r="E6151" t="str">
        <v>-</v>
      </c>
      <c r="F6151" t="str">
        <v>-</v>
      </c>
      <c r="G6151" t="str">
        <v>-</v>
      </c>
    </row>
    <row r="6152">
      <c r="A6152">
        <v>6151</v>
      </c>
      <c r="B6152">
        <f>HYPERLINK("https://www.facebook.com/p/C%C3%B4ng-an-x%C3%A3-%C4%90%C3%A0i-Xuy%C3%AAn-huy%E1%BB%87n-V%C3%A2n-%C4%90%E1%BB%93n-t%E1%BB%89nh-Qu%E1%BA%A3ng-Ninh-100065143945710/", "Công an xã Đài Xuyên  tỉnh Quảng Ninh")</f>
      </c>
      <c r="C6152" t="str">
        <v>https://www.facebook.com/p/C%C3%B4ng-an-x%C3%A3-%C4%90%C3%A0i-Xuy%C3%AAn-huy%E1%BB%87n-V%C3%A2n-%C4%90%E1%BB%93n-t%E1%BB%89nh-Qu%E1%BA%A3ng-Ninh-100065143945710/</v>
      </c>
      <c r="D6152" t="str">
        <v>-</v>
      </c>
      <c r="E6152" t="str">
        <v/>
      </c>
      <c r="F6152" t="str">
        <v>-</v>
      </c>
      <c r="G6152" t="str">
        <v>-</v>
      </c>
    </row>
    <row r="6153">
      <c r="A6153">
        <v>6152</v>
      </c>
      <c r="B6153">
        <f>HYPERLINK("https://www.quangninh.gov.vn/donvi/xadaixuyen/Trang/Default.aspx", "UBND Ủy ban nhân dân xã Đài Xuyên  tỉnh Quảng Ninh")</f>
      </c>
      <c r="C6153" t="str">
        <v>https://www.quangninh.gov.vn/donvi/xadaixuyen/Trang/Default.aspx</v>
      </c>
      <c r="D6153" t="str">
        <v>-</v>
      </c>
      <c r="E6153" t="str">
        <v>-</v>
      </c>
      <c r="F6153" t="str">
        <v>-</v>
      </c>
      <c r="G6153" t="str">
        <v>-</v>
      </c>
    </row>
    <row r="6154">
      <c r="A6154">
        <v>6153</v>
      </c>
      <c r="B6154">
        <f>HYPERLINK("https://www.facebook.com/caxbinhdanvd/", "Công an xã Bình Dân  tỉnh Quảng Ninh")</f>
      </c>
      <c r="C6154" t="str">
        <v>https://www.facebook.com/caxbinhdanvd/</v>
      </c>
      <c r="D6154" t="str">
        <v>-</v>
      </c>
      <c r="E6154" t="str">
        <v/>
      </c>
      <c r="F6154" t="str">
        <v>-</v>
      </c>
      <c r="G6154" t="str">
        <v>-</v>
      </c>
    </row>
    <row r="6155">
      <c r="A6155">
        <v>6154</v>
      </c>
      <c r="B6155">
        <f>HYPERLINK("https://www.quangninh.gov.vn/donvi/xabinhdan/Trang/so-do.aspx", "UBND Ủy ban nhân dân xã Bình Dân  tỉnh Quảng Ninh")</f>
      </c>
      <c r="C6155" t="str">
        <v>https://www.quangninh.gov.vn/donvi/xabinhdan/Trang/so-do.aspx</v>
      </c>
      <c r="D6155" t="str">
        <v>-</v>
      </c>
      <c r="E6155" t="str">
        <v>-</v>
      </c>
      <c r="F6155" t="str">
        <v>-</v>
      </c>
      <c r="G6155" t="str">
        <v>-</v>
      </c>
    </row>
    <row r="6156">
      <c r="A6156">
        <v>6155</v>
      </c>
      <c r="B6156">
        <f>HYPERLINK("https://www.facebook.com/p/C%C3%B4ng-an-x%C3%A3-V%E1%BA%A1n-Y%C3%AAn-100064755400737/", "Công an xã Vạn Yên  tỉnh Quảng Ninh")</f>
      </c>
      <c r="C6156" t="str">
        <v>https://www.facebook.com/p/C%C3%B4ng-an-x%C3%A3-V%E1%BA%A1n-Y%C3%AAn-100064755400737/</v>
      </c>
      <c r="D6156" t="str">
        <v>-</v>
      </c>
      <c r="E6156" t="str">
        <v/>
      </c>
      <c r="F6156" t="str">
        <v>-</v>
      </c>
      <c r="G6156" t="str">
        <v>-</v>
      </c>
    </row>
    <row r="6157">
      <c r="A6157">
        <v>6156</v>
      </c>
      <c r="B6157">
        <f>HYPERLINK("https://www.quangninh.gov.vn/donvi/xavanyen/Trang/ChiTietTinTuc.aspx?nid=798", "UBND Ủy ban nhân dân xã Vạn Yên  tỉnh Quảng Ninh")</f>
      </c>
      <c r="C6157" t="str">
        <v>https://www.quangninh.gov.vn/donvi/xavanyen/Trang/ChiTietTinTuc.aspx?nid=798</v>
      </c>
      <c r="D6157" t="str">
        <v>-</v>
      </c>
      <c r="E6157" t="str">
        <v>-</v>
      </c>
      <c r="F6157" t="str">
        <v>-</v>
      </c>
      <c r="G6157" t="str">
        <v>-</v>
      </c>
    </row>
    <row r="6158">
      <c r="A6158">
        <v>6157</v>
      </c>
      <c r="B6158">
        <f>HYPERLINK("https://www.facebook.com/p/C%C3%B4ng-an-x%C3%A3-Minh-Ch%C3%A2u-huy%E1%BB%87n-V%C3%A2n-%C4%90%E1%BB%93n-t%E1%BB%89nh-Qu%E1%BA%A3ng-Ninh-100069379675761/", "Công an xã Minh Châu  tỉnh Quảng Ninh")</f>
      </c>
      <c r="C6158" t="str">
        <v>https://www.facebook.com/p/C%C3%B4ng-an-x%C3%A3-Minh-Ch%C3%A2u-huy%E1%BB%87n-V%C3%A2n-%C4%90%E1%BB%93n-t%E1%BB%89nh-Qu%E1%BA%A3ng-Ninh-100069379675761/</v>
      </c>
      <c r="D6158" t="str">
        <v>-</v>
      </c>
      <c r="E6158" t="str">
        <v/>
      </c>
      <c r="F6158" t="str">
        <v>-</v>
      </c>
      <c r="G6158" t="str">
        <v>-</v>
      </c>
    </row>
    <row r="6159">
      <c r="A6159">
        <v>6158</v>
      </c>
      <c r="B6159">
        <f>HYPERLINK("https://www.quangninh.gov.vn/donvi/xaminhchau/Trang/Default.aspx", "UBND Ủy ban nhân dân xã Minh Châu  tỉnh Quảng Ninh")</f>
      </c>
      <c r="C6159" t="str">
        <v>https://www.quangninh.gov.vn/donvi/xaminhchau/Trang/Default.aspx</v>
      </c>
      <c r="D6159" t="str">
        <v>-</v>
      </c>
      <c r="E6159" t="str">
        <v>-</v>
      </c>
      <c r="F6159" t="str">
        <v>-</v>
      </c>
      <c r="G6159" t="str">
        <v>-</v>
      </c>
    </row>
    <row r="6160">
      <c r="A6160">
        <v>6159</v>
      </c>
      <c r="B6160" t="str">
        <v>Công an xã Đoàn Kết  tỉnh Quảng Ninh</v>
      </c>
      <c r="C6160" t="str">
        <v>-</v>
      </c>
      <c r="D6160" t="str">
        <v>-</v>
      </c>
      <c r="E6160" t="str">
        <v/>
      </c>
      <c r="F6160" t="str">
        <v>-</v>
      </c>
      <c r="G6160" t="str">
        <v>-</v>
      </c>
    </row>
    <row r="6161">
      <c r="A6161">
        <v>6160</v>
      </c>
      <c r="B6161">
        <f>HYPERLINK("https://www.quangninh.gov.vn/donvi/xadoanket/Trang/so-do.aspx", "UBND Ủy ban nhân dân xã Đoàn Kết  tỉnh Quảng Ninh")</f>
      </c>
      <c r="C6161" t="str">
        <v>https://www.quangninh.gov.vn/donvi/xadoanket/Trang/so-do.aspx</v>
      </c>
      <c r="D6161" t="str">
        <v>-</v>
      </c>
      <c r="E6161" t="str">
        <v>-</v>
      </c>
      <c r="F6161" t="str">
        <v>-</v>
      </c>
      <c r="G6161" t="str">
        <v>-</v>
      </c>
    </row>
    <row r="6162">
      <c r="A6162">
        <v>6161</v>
      </c>
      <c r="B6162">
        <f>HYPERLINK("https://www.facebook.com/csqlhcquangninh/", "Công an xã Hạ Long  tỉnh Quảng Ninh")</f>
      </c>
      <c r="C6162" t="str">
        <v>https://www.facebook.com/csqlhcquangninh/</v>
      </c>
      <c r="D6162" t="str">
        <v>-</v>
      </c>
      <c r="E6162" t="str">
        <v/>
      </c>
      <c r="F6162" t="str">
        <v>-</v>
      </c>
      <c r="G6162" t="str">
        <v>-</v>
      </c>
    </row>
    <row r="6163">
      <c r="A6163">
        <v>6162</v>
      </c>
      <c r="B6163">
        <f>HYPERLINK("https://vandon.quangninh.gov.vn/Trang/ChiTietBVGioiThieu.aspx?bvid=177", "UBND Ủy ban nhân dân xã Hạ Long  tỉnh Quảng Ninh")</f>
      </c>
      <c r="C6163" t="str">
        <v>https://vandon.quangninh.gov.vn/Trang/ChiTietBVGioiThieu.aspx?bvid=177</v>
      </c>
      <c r="D6163" t="str">
        <v>-</v>
      </c>
      <c r="E6163" t="str">
        <v>-</v>
      </c>
      <c r="F6163" t="str">
        <v>-</v>
      </c>
      <c r="G6163" t="str">
        <v>-</v>
      </c>
    </row>
    <row r="6164">
      <c r="A6164">
        <v>6163</v>
      </c>
      <c r="B6164">
        <f>HYPERLINK("https://www.facebook.com/100057383292350", "Công an xã Đông Xá  tỉnh Quảng Ninh")</f>
      </c>
      <c r="C6164" t="str">
        <v>https://www.facebook.com/100057383292350</v>
      </c>
      <c r="D6164" t="str">
        <v>-</v>
      </c>
      <c r="E6164" t="str">
        <v>02033874120</v>
      </c>
      <c r="F6164" t="str">
        <v>c2dongxa.vd.quangninh@moet.edu.vn</v>
      </c>
      <c r="G6164" t="str">
        <v>Đường 334</v>
      </c>
    </row>
    <row r="6165">
      <c r="A6165">
        <v>6164</v>
      </c>
      <c r="B6165">
        <f>HYPERLINK("https://www.quangninh.gov.vn/donvi/xadongxa/Trang/Default.aspx", "UBND Ủy ban nhân dân xã Đông Xá  tỉnh Quảng Ninh")</f>
      </c>
      <c r="C6165" t="str">
        <v>https://www.quangninh.gov.vn/donvi/xadongxa/Trang/Default.aspx</v>
      </c>
      <c r="D6165" t="str">
        <v>-</v>
      </c>
      <c r="E6165" t="str">
        <v>-</v>
      </c>
      <c r="F6165" t="str">
        <v>-</v>
      </c>
      <c r="G6165" t="str">
        <v>-</v>
      </c>
    </row>
    <row r="6166">
      <c r="A6166">
        <v>6165</v>
      </c>
      <c r="B6166" t="str">
        <v>Công an xã Bản Sen  tỉnh Quảng Ninh</v>
      </c>
      <c r="C6166" t="str">
        <v>-</v>
      </c>
      <c r="D6166" t="str">
        <v>-</v>
      </c>
      <c r="E6166" t="str">
        <v/>
      </c>
      <c r="F6166" t="str">
        <v>-</v>
      </c>
      <c r="G6166" t="str">
        <v>-</v>
      </c>
    </row>
    <row r="6167">
      <c r="A6167">
        <v>6166</v>
      </c>
      <c r="B6167">
        <f>HYPERLINK("https://www.quangninh.gov.vn/bannganh/BanDanVan/Trang/ChiTietTinTuc.aspx?nid=2166", "UBND Ủy ban nhân dân xã Bản Sen  tỉnh Quảng Ninh")</f>
      </c>
      <c r="C6167" t="str">
        <v>https://www.quangninh.gov.vn/bannganh/BanDanVan/Trang/ChiTietTinTuc.aspx?nid=2166</v>
      </c>
      <c r="D6167" t="str">
        <v>-</v>
      </c>
      <c r="E6167" t="str">
        <v>-</v>
      </c>
      <c r="F6167" t="str">
        <v>-</v>
      </c>
      <c r="G6167" t="str">
        <v>-</v>
      </c>
    </row>
    <row r="6168">
      <c r="A6168">
        <v>6167</v>
      </c>
      <c r="B6168" t="str">
        <v>Công an xã Thắng Lợi  tỉnh Quảng Ninh</v>
      </c>
      <c r="C6168" t="str">
        <v>-</v>
      </c>
      <c r="D6168" t="str">
        <v>-</v>
      </c>
      <c r="E6168" t="str">
        <v/>
      </c>
      <c r="F6168" t="str">
        <v>-</v>
      </c>
      <c r="G6168" t="str">
        <v>-</v>
      </c>
    </row>
    <row r="6169">
      <c r="A6169">
        <v>6168</v>
      </c>
      <c r="B6169">
        <f>HYPERLINK("https://www.quangninh.gov.vn/donvi/xathangloi/Trang/ChiTietBVGioiThieu.aspx?bvid=9", "UBND Ủy ban nhân dân xã Thắng Lợi  tỉnh Quảng Ninh")</f>
      </c>
      <c r="C6169" t="str">
        <v>https://www.quangninh.gov.vn/donvi/xathangloi/Trang/ChiTietBVGioiThieu.aspx?bvid=9</v>
      </c>
      <c r="D6169" t="str">
        <v>-</v>
      </c>
      <c r="E6169" t="str">
        <v>-</v>
      </c>
      <c r="F6169" t="str">
        <v>-</v>
      </c>
      <c r="G6169" t="str">
        <v>-</v>
      </c>
    </row>
    <row r="6170">
      <c r="A6170">
        <v>6169</v>
      </c>
      <c r="B6170">
        <f>HYPERLINK("https://www.facebook.com/tuoitreconganquangbinh/", "Công an xã Quan Lạn  tỉnh Quảng Ninh")</f>
      </c>
      <c r="C6170" t="str">
        <v>https://www.facebook.com/tuoitreconganquangbinh/</v>
      </c>
      <c r="D6170" t="str">
        <v>-</v>
      </c>
      <c r="E6170" t="str">
        <v/>
      </c>
      <c r="F6170" t="str">
        <v>-</v>
      </c>
      <c r="G6170" t="str">
        <v>-</v>
      </c>
    </row>
    <row r="6171">
      <c r="A6171">
        <v>6170</v>
      </c>
      <c r="B6171">
        <f>HYPERLINK("https://www.quangninh.gov.vn/donvi/xaquanlan/Trang/ChiTietBVGioiThieu.aspx?bvid=5", "UBND Ủy ban nhân dân xã Quan Lạn  tỉnh Quảng Ninh")</f>
      </c>
      <c r="C6171" t="str">
        <v>https://www.quangninh.gov.vn/donvi/xaquanlan/Trang/ChiTietBVGioiThieu.aspx?bvid=5</v>
      </c>
      <c r="D6171" t="str">
        <v>-</v>
      </c>
      <c r="E6171" t="str">
        <v>-</v>
      </c>
      <c r="F6171" t="str">
        <v>-</v>
      </c>
      <c r="G6171" t="str">
        <v>-</v>
      </c>
    </row>
    <row r="6172">
      <c r="A6172">
        <v>6171</v>
      </c>
      <c r="B6172" t="str">
        <v>Công an xã Ngọc Vừng  tỉnh Quảng Ninh</v>
      </c>
      <c r="C6172" t="str">
        <v>-</v>
      </c>
      <c r="D6172" t="str">
        <v>-</v>
      </c>
      <c r="E6172" t="str">
        <v/>
      </c>
      <c r="F6172" t="str">
        <v>-</v>
      </c>
      <c r="G6172" t="str">
        <v>-</v>
      </c>
    </row>
    <row r="6173">
      <c r="A6173">
        <v>6172</v>
      </c>
      <c r="B6173">
        <f>HYPERLINK("https://www.quangninh.gov.vn/donvi/xangocvung/Trang/ChiTietBVGioiThieu.aspx?bvid=83", "UBND Ủy ban nhân dân xã Ngọc Vừng  tỉnh Quảng Ninh")</f>
      </c>
      <c r="C6173" t="str">
        <v>https://www.quangninh.gov.vn/donvi/xangocvung/Trang/ChiTietBVGioiThieu.aspx?bvid=83</v>
      </c>
      <c r="D6173" t="str">
        <v>-</v>
      </c>
      <c r="E6173" t="str">
        <v>-</v>
      </c>
      <c r="F6173" t="str">
        <v>-</v>
      </c>
      <c r="G6173" t="str">
        <v>-</v>
      </c>
    </row>
    <row r="6174">
      <c r="A6174">
        <v>6173</v>
      </c>
      <c r="B6174" t="str">
        <v>Công an thị trấn Trới  tỉnh Quảng Ninh</v>
      </c>
      <c r="C6174" t="str">
        <v>-</v>
      </c>
      <c r="D6174" t="str">
        <v>-</v>
      </c>
      <c r="E6174" t="str">
        <v/>
      </c>
      <c r="F6174" t="str">
        <v>-</v>
      </c>
      <c r="G6174" t="str">
        <v>-</v>
      </c>
    </row>
    <row r="6175">
      <c r="A6175">
        <v>6174</v>
      </c>
      <c r="B6175">
        <f>HYPERLINK("https://dichvucong.quangninh.gov.vn/Default.aspx?tabid=119&amp;ctl=view&amp;mid=507&amp;id=71024&amp;dv=607&amp;pr=1", "UBND Ủy ban nhân dân thị trấn Trới  tỉnh Quảng Ninh")</f>
      </c>
      <c r="C6175" t="str">
        <v>https://dichvucong.quangninh.gov.vn/Default.aspx?tabid=119&amp;ctl=view&amp;mid=507&amp;id=71024&amp;dv=607&amp;pr=1</v>
      </c>
      <c r="D6175" t="str">
        <v>-</v>
      </c>
      <c r="E6175" t="str">
        <v>-</v>
      </c>
      <c r="F6175" t="str">
        <v>-</v>
      </c>
      <c r="G6175" t="str">
        <v>-</v>
      </c>
    </row>
    <row r="6176">
      <c r="A6176">
        <v>6175</v>
      </c>
      <c r="B6176" t="str">
        <v>Công an xã Kỳ Thượng  tỉnh Quảng Ninh</v>
      </c>
      <c r="C6176" t="str">
        <v>-</v>
      </c>
      <c r="D6176" t="str">
        <v>-</v>
      </c>
      <c r="E6176" t="str">
        <v/>
      </c>
      <c r="F6176" t="str">
        <v>-</v>
      </c>
      <c r="G6176" t="str">
        <v>-</v>
      </c>
    </row>
    <row r="6177">
      <c r="A6177">
        <v>6176</v>
      </c>
      <c r="B6177">
        <f>HYPERLINK("https://dichvucong.quangninh.gov.vn/Default.aspx?tabid=110&amp;ctl=ChiTiet&amp;mid=503&amp;id=UgBoAHUAQgBTADgAYgBaAE0ARgBCAHIAWgB0ADAAagBJADIAWABkAFkAdwA9AD0A0&amp;pr=&amp;lv=UgBwAEEAeQBVAHoAVQBHAFoAawAzAGIAeABqADgAUgBKAGUASQBIADgAUQA9AD0A0&amp;ttid=WgBlAEoAYQA4ADAAVwB3AFUARwBvAFIATgA2AEMAOQBmAHEAcwBQAHIAUQA9AD0A0", "UBND Ủy ban nhân dân xã Kỳ Thượng  tỉnh Quảng Ninh")</f>
      </c>
      <c r="C6177" t="str">
        <v>https://dichvucong.quangninh.gov.vn/Default.aspx?tabid=110&amp;ctl=ChiTiet&amp;mid=503&amp;id=UgBoAHUAQgBTADgAYgBaAE0ARgBCAHIAWgB0ADAAagBJADIAWABkAFkAdwA9AD0A0&amp;pr=&amp;lv=UgBwAEEAeQBVAHoAVQBHAFoAawAzAGIAeABqADgAUgBKAGUASQBIADgAUQA9AD0A0&amp;ttid=WgBlAEoAYQA4ADAAVwB3AFUARwBvAFIATgA2AEMAOQBmAHEAcwBQAHIAUQA9AD0A0</v>
      </c>
      <c r="D6177" t="str">
        <v>-</v>
      </c>
      <c r="E6177" t="str">
        <v>-</v>
      </c>
      <c r="F6177" t="str">
        <v>-</v>
      </c>
      <c r="G6177" t="str">
        <v>-</v>
      </c>
    </row>
    <row r="6178">
      <c r="A6178">
        <v>6177</v>
      </c>
      <c r="B6178" t="str">
        <v>Công an xã Đồng Sơn  tỉnh Quảng Ninh</v>
      </c>
      <c r="C6178" t="str">
        <v>-</v>
      </c>
      <c r="D6178" t="str">
        <v>-</v>
      </c>
      <c r="E6178" t="str">
        <v/>
      </c>
      <c r="F6178" t="str">
        <v>-</v>
      </c>
      <c r="G6178" t="str">
        <v>-</v>
      </c>
    </row>
    <row r="6179">
      <c r="A6179">
        <v>6178</v>
      </c>
      <c r="B6179">
        <f>HYPERLINK("https://www.quangninh.gov.vn/", "UBND Ủy ban nhân dân xã Đồng Sơn  tỉnh Quảng Ninh")</f>
      </c>
      <c r="C6179" t="str">
        <v>https://www.quangninh.gov.vn/</v>
      </c>
      <c r="D6179" t="str">
        <v>-</v>
      </c>
      <c r="E6179" t="str">
        <v>-</v>
      </c>
      <c r="F6179" t="str">
        <v>-</v>
      </c>
      <c r="G6179" t="str">
        <v>-</v>
      </c>
    </row>
    <row r="6180">
      <c r="A6180">
        <v>6179</v>
      </c>
      <c r="B6180">
        <f>HYPERLINK("https://www.facebook.com/p/C%C3%B4ng-an-x%C3%A3-T%C3%A2n-D%C3%A2n-TP-H%E1%BA%A1-Long-Qu%E1%BA%A3ng-Ninh-100069899052309/", "Công an xã Tân Dân  tỉnh Quảng Ninh")</f>
      </c>
      <c r="C6180" t="str">
        <v>https://www.facebook.com/p/C%C3%B4ng-an-x%C3%A3-T%C3%A2n-D%C3%A2n-TP-H%E1%BA%A1-Long-Qu%E1%BA%A3ng-Ninh-100069899052309/</v>
      </c>
      <c r="D6180" t="str">
        <v>-</v>
      </c>
      <c r="E6180" t="str">
        <v/>
      </c>
      <c r="F6180" t="str">
        <v>-</v>
      </c>
      <c r="G6180" t="str">
        <v>-</v>
      </c>
    </row>
    <row r="6181">
      <c r="A6181">
        <v>6180</v>
      </c>
      <c r="B6181">
        <f>HYPERLINK("https://dongtrieu.quangninh.gov.vn/Trang/ChiTietBVGioiThieu.aspx?bvid=208", "UBND Ủy ban nhân dân xã Tân Dân  tỉnh Quảng Ninh")</f>
      </c>
      <c r="C6181" t="str">
        <v>https://dongtrieu.quangninh.gov.vn/Trang/ChiTietBVGioiThieu.aspx?bvid=208</v>
      </c>
      <c r="D6181" t="str">
        <v>-</v>
      </c>
      <c r="E6181" t="str">
        <v>-</v>
      </c>
      <c r="F6181" t="str">
        <v>-</v>
      </c>
      <c r="G6181" t="str">
        <v>-</v>
      </c>
    </row>
    <row r="6182">
      <c r="A6182">
        <v>6181</v>
      </c>
      <c r="B6182" t="str">
        <v>Công an xã Đồng Lâm  tỉnh Quảng Ninh</v>
      </c>
      <c r="C6182" t="str">
        <v>-</v>
      </c>
      <c r="D6182" t="str">
        <v>-</v>
      </c>
      <c r="E6182" t="str">
        <v/>
      </c>
      <c r="F6182" t="str">
        <v>-</v>
      </c>
      <c r="G6182" t="str">
        <v>-</v>
      </c>
    </row>
    <row r="6183">
      <c r="A6183">
        <v>6182</v>
      </c>
      <c r="B6183">
        <f>HYPERLINK("https://dichvucong.quangninh.gov.vn/Default.aspx?tabid=110&amp;ctl=ChiTiet&amp;mid=503&amp;id=cABkAEkAcwBCAHoAKwBEAEUAMgByAEYAbQBaAFUAVwBtADYAZABFAE0AdwA9AD0A0&amp;pr=&amp;lv=WABNAHoAQwBmAGQAcQBpAGoAMwBUAFQALwA4AG0ANwBFAEkAMQBFADQAZwA9AD0A0&amp;ttid=VwBJAFoAdQBWAE4AbgB2AFYARABFAFMAWgAwAEMAYwAxAEYAZwBQAFYAQQA9AD0A0", "UBND Ủy ban nhân dân xã Đồng Lâm  tỉnh Quảng Ninh")</f>
      </c>
      <c r="C6183" t="str">
        <v>https://dichvucong.quangninh.gov.vn/Default.aspx?tabid=110&amp;ctl=ChiTiet&amp;mid=503&amp;id=cABkAEkAcwBCAHoAKwBEAEUAMgByAEYAbQBaAFUAVwBtADYAZABFAE0AdwA9AD0A0&amp;pr=&amp;lv=WABNAHoAQwBmAGQAcQBpAGoAMwBUAFQALwA4AG0ANwBFAEkAMQBFADQAZwA9AD0A0&amp;ttid=VwBJAFoAdQBWAE4AbgB2AFYARABFAFMAWgAwAEMAYwAxAEYAZwBQAFYAQQA9AD0A0</v>
      </c>
      <c r="D6183" t="str">
        <v>-</v>
      </c>
      <c r="E6183" t="str">
        <v>-</v>
      </c>
      <c r="F6183" t="str">
        <v>-</v>
      </c>
      <c r="G6183" t="str">
        <v>-</v>
      </c>
    </row>
    <row r="6184">
      <c r="A6184">
        <v>6183</v>
      </c>
      <c r="B6184">
        <f>HYPERLINK("https://www.facebook.com/tuoitreconganquangbinh/", "Công an xã Hòa Bình  tỉnh Quảng Ninh")</f>
      </c>
      <c r="C6184" t="str">
        <v>https://www.facebook.com/tuoitreconganquangbinh/</v>
      </c>
      <c r="D6184" t="str">
        <v>-</v>
      </c>
      <c r="E6184" t="str">
        <v/>
      </c>
      <c r="F6184" t="str">
        <v>-</v>
      </c>
      <c r="G6184" t="str">
        <v>-</v>
      </c>
    </row>
    <row r="6185">
      <c r="A6185">
        <v>6184</v>
      </c>
      <c r="B6185">
        <f>HYPERLINK("https://www.quangninh.gov.vn/", "UBND Ủy ban nhân dân xã Hòa Bình  tỉnh Quảng Ninh")</f>
      </c>
      <c r="C6185" t="str">
        <v>https://www.quangninh.gov.vn/</v>
      </c>
      <c r="D6185" t="str">
        <v>-</v>
      </c>
      <c r="E6185" t="str">
        <v>-</v>
      </c>
      <c r="F6185" t="str">
        <v>-</v>
      </c>
      <c r="G6185" t="str">
        <v>-</v>
      </c>
    </row>
    <row r="6186">
      <c r="A6186">
        <v>6185</v>
      </c>
      <c r="B6186" t="str">
        <v>Công an xã Vũ Oai  tỉnh Quảng Ninh</v>
      </c>
      <c r="C6186" t="str">
        <v>-</v>
      </c>
      <c r="D6186" t="str">
        <v>-</v>
      </c>
      <c r="E6186" t="str">
        <v/>
      </c>
      <c r="F6186" t="str">
        <v>-</v>
      </c>
      <c r="G6186" t="str">
        <v>-</v>
      </c>
    </row>
    <row r="6187">
      <c r="A6187">
        <v>6186</v>
      </c>
      <c r="B6187">
        <f>HYPERLINK("https://dichvucong.quangninh.gov.vn/Default.aspx?tabid=121&amp;ctl=ndetail&amp;mid=511&amp;nid=330086", "UBND Ủy ban nhân dân xã Vũ Oai  tỉnh Quảng Ninh")</f>
      </c>
      <c r="C6187" t="str">
        <v>https://dichvucong.quangninh.gov.vn/Default.aspx?tabid=121&amp;ctl=ndetail&amp;mid=511&amp;nid=330086</v>
      </c>
      <c r="D6187" t="str">
        <v>-</v>
      </c>
      <c r="E6187" t="str">
        <v>-</v>
      </c>
      <c r="F6187" t="str">
        <v>-</v>
      </c>
      <c r="G6187" t="str">
        <v>-</v>
      </c>
    </row>
    <row r="6188">
      <c r="A6188">
        <v>6187</v>
      </c>
      <c r="B6188" t="str">
        <v>Công an xã Dân Chủ  tỉnh Quảng Ninh</v>
      </c>
      <c r="C6188" t="str">
        <v>-</v>
      </c>
      <c r="D6188" t="str">
        <v>-</v>
      </c>
      <c r="E6188" t="str">
        <v/>
      </c>
      <c r="F6188" t="str">
        <v>-</v>
      </c>
      <c r="G6188" t="str">
        <v>-</v>
      </c>
    </row>
    <row r="6189">
      <c r="A6189">
        <v>6188</v>
      </c>
      <c r="B6189">
        <f>HYPERLINK("https://www.quangninh.gov.vn/donvi/xadanchu/Trang/ChiTietBVGioiThieu.aspx?bvid=1", "UBND Ủy ban nhân dân xã Dân Chủ  tỉnh Quảng Ninh")</f>
      </c>
      <c r="C6189" t="str">
        <v>https://www.quangninh.gov.vn/donvi/xadanchu/Trang/ChiTietBVGioiThieu.aspx?bvid=1</v>
      </c>
      <c r="D6189" t="str">
        <v>-</v>
      </c>
      <c r="E6189" t="str">
        <v>-</v>
      </c>
      <c r="F6189" t="str">
        <v>-</v>
      </c>
      <c r="G6189" t="str">
        <v>-</v>
      </c>
    </row>
    <row r="6190">
      <c r="A6190">
        <v>6189</v>
      </c>
      <c r="B6190">
        <f>HYPERLINK("https://www.facebook.com/tuoitreconganquangbinh/", "Công an xã Quảng La  tỉnh Quảng Ninh")</f>
      </c>
      <c r="C6190" t="str">
        <v>https://www.facebook.com/tuoitreconganquangbinh/</v>
      </c>
      <c r="D6190" t="str">
        <v>-</v>
      </c>
      <c r="E6190" t="str">
        <v/>
      </c>
      <c r="F6190" t="str">
        <v>-</v>
      </c>
      <c r="G6190" t="str">
        <v>-</v>
      </c>
    </row>
    <row r="6191">
      <c r="A6191">
        <v>6190</v>
      </c>
      <c r="B6191">
        <f>HYPERLINK("https://dichvucong.quangninh.gov.vn/Default.aspx?tabid=110&amp;ctl=ChiTiet&amp;mid=503&amp;id=VABvAEwAYgBLAFYAYQBlAFgAVABVAHkAUgBoAGUAYgBaADQAagA1AGIAUQA9AD0A0&amp;pr=&amp;lv=dAA3AEkAVABnAFIAawBLAE4ANABMADIARABYAEMAYgBvAHQAYQA5AE8AZwA9AD0A0&amp;ttid=dQBBAHMAegBTAEcAUABDAFAAMABOAEIAeQBqAEEAcQBIAEsAUwBGAEEAdwA9AD0A0", "UBND Ủy ban nhân dân xã Quảng La  tỉnh Quảng Ninh")</f>
      </c>
      <c r="C6191" t="str">
        <v>https://dichvucong.quangninh.gov.vn/Default.aspx?tabid=110&amp;ctl=ChiTiet&amp;mid=503&amp;id=VABvAEwAYgBLAFYAYQBlAFgAVABVAHkAUgBoAGUAYgBaADQAagA1AGIAUQA9AD0A0&amp;pr=&amp;lv=dAA3AEkAVABnAFIAawBLAE4ANABMADIARABYAEMAYgBvAHQAYQA5AE8AZwA9AD0A0&amp;ttid=dQBBAHMAegBTAEcAUABDAFAAMABOAEIAeQBqAEEAcQBIAEsAUwBGAEEAdwA9AD0A0</v>
      </c>
      <c r="D6191" t="str">
        <v>-</v>
      </c>
      <c r="E6191" t="str">
        <v>-</v>
      </c>
      <c r="F6191" t="str">
        <v>-</v>
      </c>
      <c r="G6191" t="str">
        <v>-</v>
      </c>
    </row>
    <row r="6192">
      <c r="A6192">
        <v>6191</v>
      </c>
      <c r="B6192" t="str">
        <v>Công an xã Bằng Cả  tỉnh Quảng Ninh</v>
      </c>
      <c r="C6192" t="str">
        <v>-</v>
      </c>
      <c r="D6192" t="str">
        <v>-</v>
      </c>
      <c r="E6192" t="str">
        <v/>
      </c>
      <c r="F6192" t="str">
        <v>-</v>
      </c>
      <c r="G6192" t="str">
        <v>-</v>
      </c>
    </row>
    <row r="6193">
      <c r="A6193">
        <v>6192</v>
      </c>
      <c r="B6193">
        <f>HYPERLINK("https://dichvucong.quangninh.gov.vn/Default.aspx?tabid=110&amp;ctl=ChiTiet&amp;mid=503&amp;id=QwBZAGkAVgBWADMAQwBQAEQAUgBMAFQAOQAvADQAZAA3AHcAZwBpADgAQQA9AD0A0&amp;pr=&amp;lv=WABNAHoAQwBmAGQAcQBpAGoAMwBUAFQALwA4AG0ANwBFAEkAMQBFADQAZwA9AD0A0&amp;ttid=egBxADUAYgB4ADUALwBnAEwAVgBWAEMASwB2AFMAKwAwADEAQwBoAHAAdwA9AD0A0", "UBND Ủy ban nhân dân xã Bằng Cả  tỉnh Quảng Ninh")</f>
      </c>
      <c r="C6193" t="str">
        <v>https://dichvucong.quangninh.gov.vn/Default.aspx?tabid=110&amp;ctl=ChiTiet&amp;mid=503&amp;id=QwBZAGkAVgBWADMAQwBQAEQAUgBMAFQAOQAvADQAZAA3AHcAZwBpADgAQQA9AD0A0&amp;pr=&amp;lv=WABNAHoAQwBmAGQAcQBpAGoAMwBUAFQALwA4AG0ANwBFAEkAMQBFADQAZwA9AD0A0&amp;ttid=egBxADUAYgB4ADUALwBnAEwAVgBWAEMASwB2AFMAKwAwADEAQwBoAHAAdwA9AD0A0</v>
      </c>
      <c r="D6193" t="str">
        <v>-</v>
      </c>
      <c r="E6193" t="str">
        <v>-</v>
      </c>
      <c r="F6193" t="str">
        <v>-</v>
      </c>
      <c r="G6193" t="str">
        <v>-</v>
      </c>
    </row>
    <row r="6194">
      <c r="A6194">
        <v>6193</v>
      </c>
      <c r="B6194">
        <f>HYPERLINK("https://www.facebook.com/tuoitreconganquangbinh/", "Công an xã Thống Nhất  tỉnh Quảng Ninh")</f>
      </c>
      <c r="C6194" t="str">
        <v>https://www.facebook.com/tuoitreconganquangbinh/</v>
      </c>
      <c r="D6194" t="str">
        <v>-</v>
      </c>
      <c r="E6194" t="str">
        <v/>
      </c>
      <c r="F6194" t="str">
        <v>-</v>
      </c>
      <c r="G6194" t="str">
        <v>-</v>
      </c>
    </row>
    <row r="6195">
      <c r="A6195">
        <v>6194</v>
      </c>
      <c r="B6195">
        <f>HYPERLINK("https://dichvucong.quangninh.gov.vn/Default.aspx?tabid=110&amp;ctl=ChiTiet&amp;mid=503&amp;id=TQBUAHMAdgA1AHUAOQAvAEkANQBMAHMAQgB4ADgAVQBmAGkAYwBGAEMAQQA9AD0A0&amp;pr=&amp;lv=WQBKAE8AQgBEAGgAOQBuAGQAUgBRAEoAVQBoAEYARQBYAE8AcgBzAGwAZwA9AD0A0&amp;ttid=dgBzAEgAZgBlAEoAegBQAHoAQwArAGUAcAArAEsAWAA4AC8AMwBqAG4AUQA9AD0A0", "UBND Ủy ban nhân dân xã Thống Nhất  tỉnh Quảng Ninh")</f>
      </c>
      <c r="C6195" t="str">
        <v>https://dichvucong.quangninh.gov.vn/Default.aspx?tabid=110&amp;ctl=ChiTiet&amp;mid=503&amp;id=TQBUAHMAdgA1AHUAOQAvAEkANQBMAHMAQgB4ADgAVQBmAGkAYwBGAEMAQQA9AD0A0&amp;pr=&amp;lv=WQBKAE8AQgBEAGgAOQBuAGQAUgBRAEoAVQBoAEYARQBYAE8AcgBzAGwAZwA9AD0A0&amp;ttid=dgBzAEgAZgBlAEoAegBQAHoAQwArAGUAcAArAEsAWAA4AC8AMwBqAG4AUQA9AD0A0</v>
      </c>
      <c r="D6195" t="str">
        <v>-</v>
      </c>
      <c r="E6195" t="str">
        <v>-</v>
      </c>
      <c r="F6195" t="str">
        <v>-</v>
      </c>
      <c r="G6195" t="str">
        <v>-</v>
      </c>
    </row>
    <row r="6196">
      <c r="A6196">
        <v>6195</v>
      </c>
      <c r="B6196" t="str">
        <v>Công an xã Sơn Dương  tỉnh Quảng Ninh</v>
      </c>
      <c r="C6196" t="str">
        <v>-</v>
      </c>
      <c r="D6196" t="str">
        <v>-</v>
      </c>
      <c r="E6196" t="str">
        <v/>
      </c>
      <c r="F6196" t="str">
        <v>-</v>
      </c>
      <c r="G6196" t="str">
        <v>-</v>
      </c>
    </row>
    <row r="6197">
      <c r="A6197">
        <v>6196</v>
      </c>
      <c r="B6197">
        <f>HYPERLINK("https://dichvucong.quangninh.gov.vn/Default.aspx?tabid=110&amp;ctl=ChiTiet&amp;mid=503&amp;id=dABYADcAZABlAFoAUwBSAEEAMABOAGwAYwBvAGUASgBiAGMAbABiAEgAUQA9AD0A0&amp;pr=&amp;lv=WABNAHoAQwBmAGQAcQBpAGoAMwBUAFQALwA4AG0ANwBFAEkAMQBFADQAZwA9AD0A0&amp;ttid=LwBqAHcAMwB4AEoATgBkAGUAQQBzAEEAYgBZAHIAZABsADYAKwBHAHkAZwA9AD0A0", "UBND Ủy ban nhân dân xã Sơn Dương  tỉnh Quảng Ninh")</f>
      </c>
      <c r="C6197" t="str">
        <v>https://dichvucong.quangninh.gov.vn/Default.aspx?tabid=110&amp;ctl=ChiTiet&amp;mid=503&amp;id=dABYADcAZABlAFoAUwBSAEEAMABOAGwAYwBvAGUASgBiAGMAbABiAEgAUQA9AD0A0&amp;pr=&amp;lv=WABNAHoAQwBmAGQAcQBpAGoAMwBUAFQALwA4AG0ANwBFAEkAMQBFADQAZwA9AD0A0&amp;ttid=LwBqAHcAMwB4AEoATgBkAGUAQQBzAEEAYgBZAHIAZABsADYAKwBHAHkAZwA9AD0A0</v>
      </c>
      <c r="D6197" t="str">
        <v>-</v>
      </c>
      <c r="E6197" t="str">
        <v>-</v>
      </c>
      <c r="F6197" t="str">
        <v>-</v>
      </c>
      <c r="G6197" t="str">
        <v>-</v>
      </c>
    </row>
    <row r="6198">
      <c r="A6198">
        <v>6197</v>
      </c>
      <c r="B6198">
        <f>HYPERLINK("https://www.facebook.com/p/Tu%E1%BB%95i-tr%E1%BA%BB-C%C3%B4ng-an-TP-S%E1%BA%A7m-S%C6%A1n-100069346653553/?locale=gn_PY", "Công an xã Lê Lợi  tỉnh Quảng Ninh")</f>
      </c>
      <c r="C6198" t="str">
        <v>https://www.facebook.com/p/Tu%E1%BB%95i-tr%E1%BA%BB-C%C3%B4ng-an-TP-S%E1%BA%A7m-S%C6%A1n-100069346653553/?locale=gn_PY</v>
      </c>
      <c r="D6198" t="str">
        <v>-</v>
      </c>
      <c r="E6198" t="str">
        <v/>
      </c>
      <c r="F6198" t="str">
        <v>-</v>
      </c>
      <c r="G6198" t="str">
        <v>-</v>
      </c>
    </row>
    <row r="6199">
      <c r="A6199">
        <v>6198</v>
      </c>
      <c r="B6199">
        <f>HYPERLINK("https://dichvucong.quangninh.gov.vn/Default.aspx?tabid=110&amp;ctl=ChiTiet&amp;mid=503&amp;id=SgBoAEIAZwAzAHEAcQBIAFAAZwB3AHgAVwBRADEAMgBjADAATABsAFYAZwA9AD0A0&amp;pr=&amp;lv=WQBKAE8AQgBEAGgAOQBuAGQAUgBRAEoAVQBoAEYARQBYAE8AcgBzAGwAZwA9AD0A0&amp;ttid=agBOAFkAZABvAEsASABIAGgASQBZAGcAQgB0AC8ASQBwAE0AdwBzADUAdwA9AD0A0", "UBND Ủy ban nhân dân xã Lê Lợi  tỉnh Quảng Ninh")</f>
      </c>
      <c r="C6199" t="str">
        <v>https://dichvucong.quangninh.gov.vn/Default.aspx?tabid=110&amp;ctl=ChiTiet&amp;mid=503&amp;id=SgBoAEIAZwAzAHEAcQBIAFAAZwB3AHgAVwBRADEAMgBjADAATABsAFYAZwA9AD0A0&amp;pr=&amp;lv=WQBKAE8AQgBEAGgAOQBuAGQAUgBRAEoAVQBoAEYARQBYAE8AcgBzAGwAZwA9AD0A0&amp;ttid=agBOAFkAZABvAEsASABIAGgASQBZAGcAQgB0AC8ASQBwAE0AdwBzADUAdwA9AD0A0</v>
      </c>
      <c r="D6199" t="str">
        <v>-</v>
      </c>
      <c r="E6199" t="str">
        <v>-</v>
      </c>
      <c r="F6199" t="str">
        <v>-</v>
      </c>
      <c r="G6199" t="str">
        <v>-</v>
      </c>
    </row>
    <row r="6200">
      <c r="A6200">
        <v>6199</v>
      </c>
      <c r="B6200">
        <f>HYPERLINK("https://www.facebook.com/Thuy19968/", "Công an phường Mạo Khê  tỉnh Quảng Ninh")</f>
      </c>
      <c r="C6200" t="str">
        <v>https://www.facebook.com/Thuy19968/</v>
      </c>
      <c r="D6200" t="str">
        <v>-</v>
      </c>
      <c r="E6200" t="str">
        <v/>
      </c>
      <c r="F6200" t="str">
        <v>-</v>
      </c>
      <c r="G6200" t="str">
        <v>-</v>
      </c>
    </row>
    <row r="6201">
      <c r="A6201">
        <v>6200</v>
      </c>
      <c r="B6201">
        <f>HYPERLINK("https://dongtrieu.quangninh.gov.vn/Trang/ChiTietBVGioiThieu.aspx?bvid=189", "UBND Ủy ban nhân dân phường Mạo Khê  tỉnh Quảng Ninh")</f>
      </c>
      <c r="C6201" t="str">
        <v>https://dongtrieu.quangninh.gov.vn/Trang/ChiTietBVGioiThieu.aspx?bvid=189</v>
      </c>
      <c r="D6201" t="str">
        <v>-</v>
      </c>
      <c r="E6201" t="str">
        <v>-</v>
      </c>
      <c r="F6201" t="str">
        <v>-</v>
      </c>
      <c r="G6201" t="str">
        <v>-</v>
      </c>
    </row>
    <row r="6202">
      <c r="A6202">
        <v>6201</v>
      </c>
      <c r="B6202">
        <f>HYPERLINK("https://www.facebook.com/tuoitre.dongtrieu/", "Công an phường Đông Triều  tỉnh Quảng Ninh")</f>
      </c>
      <c r="C6202" t="str">
        <v>https://www.facebook.com/tuoitre.dongtrieu/</v>
      </c>
      <c r="D6202" t="str">
        <v>-</v>
      </c>
      <c r="E6202" t="str">
        <v/>
      </c>
      <c r="F6202" t="str">
        <v>-</v>
      </c>
      <c r="G6202" t="str">
        <v>-</v>
      </c>
    </row>
    <row r="6203">
      <c r="A6203">
        <v>6202</v>
      </c>
      <c r="B6203">
        <f>HYPERLINK("https://dongtrieu.quangninh.gov.vn/Trang/ChiTietBVGioiThieu.aspx?bvid=188", "UBND Ủy ban nhân dân phường Đông Triều  tỉnh Quảng Ninh")</f>
      </c>
      <c r="C6203" t="str">
        <v>https://dongtrieu.quangninh.gov.vn/Trang/ChiTietBVGioiThieu.aspx?bvid=188</v>
      </c>
      <c r="D6203" t="str">
        <v>-</v>
      </c>
      <c r="E6203" t="str">
        <v>-</v>
      </c>
      <c r="F6203" t="str">
        <v>-</v>
      </c>
      <c r="G6203" t="str">
        <v>-</v>
      </c>
    </row>
    <row r="6204">
      <c r="A6204">
        <v>6203</v>
      </c>
      <c r="B6204">
        <f>HYPERLINK("https://www.facebook.com/tuoitreconganquangbinh/", "Công an xã An Sinh  tỉnh Quảng Ninh")</f>
      </c>
      <c r="C6204" t="str">
        <v>https://www.facebook.com/tuoitreconganquangbinh/</v>
      </c>
      <c r="D6204" t="str">
        <v>-</v>
      </c>
      <c r="E6204" t="str">
        <v/>
      </c>
      <c r="F6204" t="str">
        <v>-</v>
      </c>
      <c r="G6204" t="str">
        <v>-</v>
      </c>
    </row>
    <row r="6205">
      <c r="A6205">
        <v>6204</v>
      </c>
      <c r="B6205">
        <f>HYPERLINK("https://dongtrieu.quangninh.gov.vn/Trang/ChiTietBVGioiThieu.aspx?bvid=271", "UBND Ủy ban nhân dân xã An Sinh  tỉnh Quảng Ninh")</f>
      </c>
      <c r="C6205" t="str">
        <v>https://dongtrieu.quangninh.gov.vn/Trang/ChiTietBVGioiThieu.aspx?bvid=271</v>
      </c>
      <c r="D6205" t="str">
        <v>-</v>
      </c>
      <c r="E6205" t="str">
        <v>-</v>
      </c>
      <c r="F6205" t="str">
        <v>-</v>
      </c>
      <c r="G6205" t="str">
        <v>-</v>
      </c>
    </row>
    <row r="6206">
      <c r="A6206">
        <v>6205</v>
      </c>
      <c r="B6206">
        <f>HYPERLINK("https://www.facebook.com/trangluong.gov.com.vn/", "Công an xã Tràng Lương  tỉnh Quảng Ninh")</f>
      </c>
      <c r="C6206" t="str">
        <v>https://www.facebook.com/trangluong.gov.com.vn/</v>
      </c>
      <c r="D6206" t="str">
        <v>-</v>
      </c>
      <c r="E6206" t="str">
        <v/>
      </c>
      <c r="F6206" t="str">
        <v>-</v>
      </c>
      <c r="G6206" t="str">
        <v>-</v>
      </c>
    </row>
    <row r="6207">
      <c r="A6207">
        <v>6206</v>
      </c>
      <c r="B6207">
        <f>HYPERLINK("https://www.quangninh.gov.vn/donvi/xatrangluong/Trang/ChiTietBVGioiThieu.aspx?bvid=9", "UBND Ủy ban nhân dân xã Tràng Lương  tỉnh Quảng Ninh")</f>
      </c>
      <c r="C6207" t="str">
        <v>https://www.quangninh.gov.vn/donvi/xatrangluong/Trang/ChiTietBVGioiThieu.aspx?bvid=9</v>
      </c>
      <c r="D6207" t="str">
        <v>-</v>
      </c>
      <c r="E6207" t="str">
        <v>-</v>
      </c>
      <c r="F6207" t="str">
        <v>-</v>
      </c>
      <c r="G6207" t="str">
        <v>-</v>
      </c>
    </row>
    <row r="6208">
      <c r="A6208">
        <v>6207</v>
      </c>
      <c r="B6208">
        <f>HYPERLINK("https://www.facebook.com/p/X%C3%A3-B%C3%ACnh-Kh%C3%AA-Th%E1%BB%8B-x%C3%A3-%C4%90%C3%B4ng-Tri%E1%BB%81u-T%E1%BB%89nh-Qu%E1%BA%A3ng-Ninh-100076220717736/?locale=vi_VN", "Công an xã Bình Khê  tỉnh Quảng Ninh")</f>
      </c>
      <c r="C6208" t="str">
        <v>https://www.facebook.com/p/X%C3%A3-B%C3%ACnh-Kh%C3%AA-Th%E1%BB%8B-x%C3%A3-%C4%90%C3%B4ng-Tri%E1%BB%81u-T%E1%BB%89nh-Qu%E1%BA%A3ng-Ninh-100076220717736/?locale=vi_VN</v>
      </c>
      <c r="D6208" t="str">
        <v>-</v>
      </c>
      <c r="E6208" t="str">
        <v/>
      </c>
      <c r="F6208" t="str">
        <v>-</v>
      </c>
      <c r="G6208" t="str">
        <v>-</v>
      </c>
    </row>
    <row r="6209">
      <c r="A6209">
        <v>6208</v>
      </c>
      <c r="B6209">
        <f>HYPERLINK("https://dongtrieu.quangninh.gov.vn/Trang/ChiTietBVGioiThieu.aspx?bvid=212", "UBND Ủy ban nhân dân xã Bình Khê  tỉnh Quảng Ninh")</f>
      </c>
      <c r="C6209" t="str">
        <v>https://dongtrieu.quangninh.gov.vn/Trang/ChiTietBVGioiThieu.aspx?bvid=212</v>
      </c>
      <c r="D6209" t="str">
        <v>-</v>
      </c>
      <c r="E6209" t="str">
        <v>-</v>
      </c>
      <c r="F6209" t="str">
        <v>-</v>
      </c>
      <c r="G6209" t="str">
        <v>-</v>
      </c>
    </row>
    <row r="6210">
      <c r="A6210">
        <v>6209</v>
      </c>
      <c r="B6210">
        <f>HYPERLINK("https://www.facebook.com/tuoitreconganquangbinh/", "Công an xã Việt Dân  tỉnh Quảng Ninh")</f>
      </c>
      <c r="C6210" t="str">
        <v>https://www.facebook.com/tuoitreconganquangbinh/</v>
      </c>
      <c r="D6210" t="str">
        <v>-</v>
      </c>
      <c r="E6210" t="str">
        <v/>
      </c>
      <c r="F6210" t="str">
        <v>-</v>
      </c>
      <c r="G6210" t="str">
        <v>-</v>
      </c>
    </row>
    <row r="6211">
      <c r="A6211">
        <v>6210</v>
      </c>
      <c r="B6211">
        <f>HYPERLINK("https://dongtrieu.quangninh.gov.vn/Trang/ChiTietBVGioiThieu.aspx?bvid=204", "UBND Ủy ban nhân dân xã Việt Dân  tỉnh Quảng Ninh")</f>
      </c>
      <c r="C6211" t="str">
        <v>https://dongtrieu.quangninh.gov.vn/Trang/ChiTietBVGioiThieu.aspx?bvid=204</v>
      </c>
      <c r="D6211" t="str">
        <v>-</v>
      </c>
      <c r="E6211" t="str">
        <v>-</v>
      </c>
      <c r="F6211" t="str">
        <v>-</v>
      </c>
      <c r="G6211" t="str">
        <v>-</v>
      </c>
    </row>
    <row r="6212">
      <c r="A6212">
        <v>6211</v>
      </c>
      <c r="B6212" t="str">
        <v>Công an xã Tân Việt  tỉnh Quảng Ninh</v>
      </c>
      <c r="C6212" t="str">
        <v>-</v>
      </c>
      <c r="D6212" t="str">
        <v>-</v>
      </c>
      <c r="E6212" t="str">
        <v/>
      </c>
      <c r="F6212" t="str">
        <v>-</v>
      </c>
      <c r="G6212" t="str">
        <v>-</v>
      </c>
    </row>
    <row r="6213">
      <c r="A6213">
        <v>6212</v>
      </c>
      <c r="B6213">
        <f>HYPERLINK("https://dongtrieu.quangninh.gov.vn/Trang/ChiTietBVGioiThieu.aspx?bvid=208", "UBND Ủy ban nhân dân xã Tân Việt  tỉnh Quảng Ninh")</f>
      </c>
      <c r="C6213" t="str">
        <v>https://dongtrieu.quangninh.gov.vn/Trang/ChiTietBVGioiThieu.aspx?bvid=208</v>
      </c>
      <c r="D6213" t="str">
        <v>-</v>
      </c>
      <c r="E6213" t="str">
        <v>-</v>
      </c>
      <c r="F6213" t="str">
        <v>-</v>
      </c>
      <c r="G6213" t="str">
        <v>-</v>
      </c>
    </row>
    <row r="6214">
      <c r="A6214">
        <v>6213</v>
      </c>
      <c r="B6214">
        <f>HYPERLINK("https://www.facebook.com/tuoitreconganquangbinh/", "Công an xã Bình Dương  tỉnh Quảng Ninh")</f>
      </c>
      <c r="C6214" t="str">
        <v>https://www.facebook.com/tuoitreconganquangbinh/</v>
      </c>
      <c r="D6214" t="str">
        <v>-</v>
      </c>
      <c r="E6214" t="str">
        <v/>
      </c>
      <c r="F6214" t="str">
        <v>-</v>
      </c>
      <c r="G6214" t="str">
        <v>-</v>
      </c>
    </row>
    <row r="6215">
      <c r="A6215">
        <v>6214</v>
      </c>
      <c r="B6215">
        <f>HYPERLINK("https://dongtrieu.quangninh.gov.vn/Trang/ChiTietBVGioiThieu.aspx?bvid=190", "UBND Ủy ban nhân dân xã Bình Dương  tỉnh Quảng Ninh")</f>
      </c>
      <c r="C6215" t="str">
        <v>https://dongtrieu.quangninh.gov.vn/Trang/ChiTietBVGioiThieu.aspx?bvid=190</v>
      </c>
      <c r="D6215" t="str">
        <v>-</v>
      </c>
      <c r="E6215" t="str">
        <v>-</v>
      </c>
      <c r="F6215" t="str">
        <v>-</v>
      </c>
      <c r="G6215" t="str">
        <v>-</v>
      </c>
    </row>
    <row r="6216">
      <c r="A6216">
        <v>6215</v>
      </c>
      <c r="B6216" t="str">
        <v>Công an phường Đức Chính  tỉnh Quảng Ninh</v>
      </c>
      <c r="C6216" t="str">
        <v>-</v>
      </c>
      <c r="D6216" t="str">
        <v>-</v>
      </c>
      <c r="E6216" t="str">
        <v/>
      </c>
      <c r="F6216" t="str">
        <v>-</v>
      </c>
      <c r="G6216" t="str">
        <v>-</v>
      </c>
    </row>
    <row r="6217">
      <c r="A6217">
        <v>6216</v>
      </c>
      <c r="B6217">
        <f>HYPERLINK("https://www.quangninh.gov.vn/donvi/phuongducchinh/Trang/ChiTietBVGioiThieu.aspx?bvid=5", "UBND Ủy ban nhân dân phường Đức Chính  tỉnh Quảng Ninh")</f>
      </c>
      <c r="C6217" t="str">
        <v>https://www.quangninh.gov.vn/donvi/phuongducchinh/Trang/ChiTietBVGioiThieu.aspx?bvid=5</v>
      </c>
      <c r="D6217" t="str">
        <v>-</v>
      </c>
      <c r="E6217" t="str">
        <v>-</v>
      </c>
      <c r="F6217" t="str">
        <v>-</v>
      </c>
      <c r="G6217" t="str">
        <v>-</v>
      </c>
    </row>
    <row r="6218">
      <c r="A6218">
        <v>6217</v>
      </c>
      <c r="B6218" t="str">
        <v>Công an xã Tràng An  tỉnh Quảng Ninh</v>
      </c>
      <c r="C6218" t="str">
        <v>-</v>
      </c>
      <c r="D6218" t="str">
        <v>-</v>
      </c>
      <c r="E6218" t="str">
        <v/>
      </c>
      <c r="F6218" t="str">
        <v>-</v>
      </c>
      <c r="G6218" t="str">
        <v>-</v>
      </c>
    </row>
    <row r="6219">
      <c r="A6219">
        <v>6218</v>
      </c>
      <c r="B6219">
        <f>HYPERLINK("https://www.quangninh.gov.vn/donvi/xatrangan/Trang/ChiTietBVGioiThieu.aspx?bvid=1", "UBND Ủy ban nhân dân xã Tràng An  tỉnh Quảng Ninh")</f>
      </c>
      <c r="C6219" t="str">
        <v>https://www.quangninh.gov.vn/donvi/xatrangan/Trang/ChiTietBVGioiThieu.aspx?bvid=1</v>
      </c>
      <c r="D6219" t="str">
        <v>-</v>
      </c>
      <c r="E6219" t="str">
        <v>-</v>
      </c>
      <c r="F6219" t="str">
        <v>-</v>
      </c>
      <c r="G6219" t="str">
        <v>-</v>
      </c>
    </row>
    <row r="6220">
      <c r="A6220">
        <v>6219</v>
      </c>
      <c r="B6220">
        <f>HYPERLINK("https://www.facebook.com/tuoitreconganthuathienhue/", "Công an xã Nguyễn Huệ  tỉnh Quảng Ninh")</f>
      </c>
      <c r="C6220" t="str">
        <v>https://www.facebook.com/tuoitreconganthuathienhue/</v>
      </c>
      <c r="D6220" t="str">
        <v>-</v>
      </c>
      <c r="E6220" t="str">
        <v/>
      </c>
      <c r="F6220" t="str">
        <v>-</v>
      </c>
      <c r="G6220" t="str">
        <v>-</v>
      </c>
    </row>
    <row r="6221">
      <c r="A6221">
        <v>6220</v>
      </c>
      <c r="B6221">
        <f>HYPERLINK("https://www.quangninh.gov.vn/donvi/xanguyenhue/Trang/ChiTietBVGioiThieu.aspx?bvid=2", "UBND Ủy ban nhân dân xã Nguyễn Huệ  tỉnh Quảng Ninh")</f>
      </c>
      <c r="C6221" t="str">
        <v>https://www.quangninh.gov.vn/donvi/xanguyenhue/Trang/ChiTietBVGioiThieu.aspx?bvid=2</v>
      </c>
      <c r="D6221" t="str">
        <v>-</v>
      </c>
      <c r="E6221" t="str">
        <v>-</v>
      </c>
      <c r="F6221" t="str">
        <v>-</v>
      </c>
      <c r="G6221" t="str">
        <v>-</v>
      </c>
    </row>
    <row r="6222">
      <c r="A6222">
        <v>6221</v>
      </c>
      <c r="B6222" t="str">
        <v>Công an xã Thủy An  tỉnh Quảng Ninh</v>
      </c>
      <c r="C6222" t="str">
        <v>-</v>
      </c>
      <c r="D6222" t="str">
        <v>-</v>
      </c>
      <c r="E6222" t="str">
        <v/>
      </c>
      <c r="F6222" t="str">
        <v>-</v>
      </c>
      <c r="G6222" t="str">
        <v>-</v>
      </c>
    </row>
    <row r="6223">
      <c r="A6223">
        <v>6222</v>
      </c>
      <c r="B6223">
        <f>HYPERLINK("https://dongtrieu.quangninh.gov.vn/Trang/ChiTietBVGioiThieu.aspx?bvid=207", "UBND Ủy ban nhân dân xã Thủy An  tỉnh Quảng Ninh")</f>
      </c>
      <c r="C6223" t="str">
        <v>https://dongtrieu.quangninh.gov.vn/Trang/ChiTietBVGioiThieu.aspx?bvid=207</v>
      </c>
      <c r="D6223" t="str">
        <v>-</v>
      </c>
      <c r="E6223" t="str">
        <v>-</v>
      </c>
      <c r="F6223" t="str">
        <v>-</v>
      </c>
      <c r="G6223" t="str">
        <v>-</v>
      </c>
    </row>
    <row r="6224">
      <c r="A6224">
        <v>6223</v>
      </c>
      <c r="B6224">
        <f>HYPERLINK("https://www.facebook.com/UBNDXuanSon/", "Công an phường Xuân Sơn  tỉnh Quảng Ninh")</f>
      </c>
      <c r="C6224" t="str">
        <v>https://www.facebook.com/UBNDXuanSon/</v>
      </c>
      <c r="D6224" t="str">
        <v>-</v>
      </c>
      <c r="E6224" t="str">
        <v/>
      </c>
      <c r="F6224" t="str">
        <v>-</v>
      </c>
      <c r="G6224" t="str">
        <v>-</v>
      </c>
    </row>
    <row r="6225">
      <c r="A6225">
        <v>6224</v>
      </c>
      <c r="B6225">
        <f>HYPERLINK("https://dongtrieu.quangninh.gov.vn/Trang/ChiTietBVGioiThieu.aspx?bvid=215", "UBND Ủy ban nhân dân phường Xuân Sơn  tỉnh Quảng Ninh")</f>
      </c>
      <c r="C6225" t="str">
        <v>https://dongtrieu.quangninh.gov.vn/Trang/ChiTietBVGioiThieu.aspx?bvid=215</v>
      </c>
      <c r="D6225" t="str">
        <v>-</v>
      </c>
      <c r="E6225" t="str">
        <v>-</v>
      </c>
      <c r="F6225" t="str">
        <v>-</v>
      </c>
      <c r="G6225" t="str">
        <v>-</v>
      </c>
    </row>
    <row r="6226">
      <c r="A6226">
        <v>6225</v>
      </c>
      <c r="B6226">
        <f>HYPERLINK("https://www.facebook.com/p/H%E1%BB%93ng-th%C3%A1i-t%C3%A2y-%C4%90%C3%B4ng-Tri%E1%BB%81u-Qu%E1%BA%A3ng-Ninh-100063798630454/", "Công an xã Hồng Thái Tây  tỉnh Quảng Ninh")</f>
      </c>
      <c r="C6226" t="str">
        <v>https://www.facebook.com/p/H%E1%BB%93ng-th%C3%A1i-t%C3%A2y-%C4%90%C3%B4ng-Tri%E1%BB%81u-Qu%E1%BA%A3ng-Ninh-100063798630454/</v>
      </c>
      <c r="D6226" t="str">
        <v>-</v>
      </c>
      <c r="E6226" t="str">
        <v/>
      </c>
      <c r="F6226" t="str">
        <v>-</v>
      </c>
      <c r="G6226" t="str">
        <v>-</v>
      </c>
    </row>
    <row r="6227">
      <c r="A6227">
        <v>6226</v>
      </c>
      <c r="B6227">
        <f>HYPERLINK("https://dongtrieu.quangninh.gov.vn/Trang/ChiTietBVGioiThieu.aspx?bvid=219", "UBND Ủy ban nhân dân xã Hồng Thái Tây  tỉnh Quảng Ninh")</f>
      </c>
      <c r="C6227" t="str">
        <v>https://dongtrieu.quangninh.gov.vn/Trang/ChiTietBVGioiThieu.aspx?bvid=219</v>
      </c>
      <c r="D6227" t="str">
        <v>-</v>
      </c>
      <c r="E6227" t="str">
        <v>-</v>
      </c>
      <c r="F6227" t="str">
        <v>-</v>
      </c>
      <c r="G6227" t="str">
        <v>-</v>
      </c>
    </row>
    <row r="6228">
      <c r="A6228">
        <v>6227</v>
      </c>
      <c r="B6228">
        <f>HYPERLINK("https://www.facebook.com/xahongthaidong/?locale=vi_VN", "Công an xã Hồng Thái Đông  tỉnh Quảng Ninh")</f>
      </c>
      <c r="C6228" t="str">
        <v>https://www.facebook.com/xahongthaidong/?locale=vi_VN</v>
      </c>
      <c r="D6228" t="str">
        <v>-</v>
      </c>
      <c r="E6228" t="str">
        <v/>
      </c>
      <c r="F6228" t="str">
        <v>-</v>
      </c>
      <c r="G6228" t="str">
        <v>-</v>
      </c>
    </row>
    <row r="6229">
      <c r="A6229">
        <v>6228</v>
      </c>
      <c r="B6229">
        <f>HYPERLINK("https://dongtrieu.quangninh.gov.vn/Trang/ChiTietBVGioiThieu.aspx?bvid=220", "UBND Ủy ban nhân dân xã Hồng Thái Đông  tỉnh Quảng Ninh")</f>
      </c>
      <c r="C6229" t="str">
        <v>https://dongtrieu.quangninh.gov.vn/Trang/ChiTietBVGioiThieu.aspx?bvid=220</v>
      </c>
      <c r="D6229" t="str">
        <v>-</v>
      </c>
      <c r="E6229" t="str">
        <v>-</v>
      </c>
      <c r="F6229" t="str">
        <v>-</v>
      </c>
      <c r="G6229" t="str">
        <v>-</v>
      </c>
    </row>
    <row r="6230">
      <c r="A6230">
        <v>6229</v>
      </c>
      <c r="B6230">
        <f>HYPERLINK("https://www.facebook.com/ubndphuonghoangque/", "Công an xã Hoàng Quế  tỉnh Quảng Ninh")</f>
      </c>
      <c r="C6230" t="str">
        <v>https://www.facebook.com/ubndphuonghoangque/</v>
      </c>
      <c r="D6230" t="str">
        <v>-</v>
      </c>
      <c r="E6230" t="str">
        <v/>
      </c>
      <c r="F6230" t="str">
        <v>-</v>
      </c>
      <c r="G6230" t="str">
        <v>-</v>
      </c>
    </row>
    <row r="6231">
      <c r="A6231">
        <v>6230</v>
      </c>
      <c r="B6231">
        <f>HYPERLINK("https://dongtrieu.quangninh.gov.vn/Trang/ChiTietBVGioiThieu.aspx?bvid=182", "UBND Ủy ban nhân dân xã Hoàng Quế  tỉnh Quảng Ninh")</f>
      </c>
      <c r="C6231" t="str">
        <v>https://dongtrieu.quangninh.gov.vn/Trang/ChiTietBVGioiThieu.aspx?bvid=182</v>
      </c>
      <c r="D6231" t="str">
        <v>-</v>
      </c>
      <c r="E6231" t="str">
        <v>-</v>
      </c>
      <c r="F6231" t="str">
        <v>-</v>
      </c>
      <c r="G6231" t="str">
        <v>-</v>
      </c>
    </row>
    <row r="6232">
      <c r="A6232">
        <v>6231</v>
      </c>
      <c r="B6232">
        <f>HYPERLINK("https://www.facebook.com/p/Ph%C6%B0%E1%BB%9Dng-Y%C3%AAn-Th%E1%BB%8D-Th%E1%BB%8B-x%C3%A3-%C4%90%C3%B4ng-Tri%E1%BB%81u-T%E1%BB%89nh-Qu%E1%BA%A3ng-Ninh-100046929739539/", "Công an xã Yên Thọ  tỉnh Quảng Ninh")</f>
      </c>
      <c r="C6232" t="str">
        <v>https://www.facebook.com/p/Ph%C6%B0%E1%BB%9Dng-Y%C3%AAn-Th%E1%BB%8D-Th%E1%BB%8B-x%C3%A3-%C4%90%C3%B4ng-Tri%E1%BB%81u-T%E1%BB%89nh-Qu%E1%BA%A3ng-Ninh-100046929739539/</v>
      </c>
      <c r="D6232" t="str">
        <v>-</v>
      </c>
      <c r="E6232" t="str">
        <v/>
      </c>
      <c r="F6232" t="str">
        <v>-</v>
      </c>
      <c r="G6232" t="str">
        <v>-</v>
      </c>
    </row>
    <row r="6233">
      <c r="A6233">
        <v>6232</v>
      </c>
      <c r="B6233">
        <f>HYPERLINK("https://dongtrieu.quangninh.gov.vn/Trang/ChiTietBVGioiThieu.aspx?bvid=218", "UBND Ủy ban nhân dân xã Yên Thọ  tỉnh Quảng Ninh")</f>
      </c>
      <c r="C6233" t="str">
        <v>https://dongtrieu.quangninh.gov.vn/Trang/ChiTietBVGioiThieu.aspx?bvid=218</v>
      </c>
      <c r="D6233" t="str">
        <v>-</v>
      </c>
      <c r="E6233" t="str">
        <v>-</v>
      </c>
      <c r="F6233" t="str">
        <v>-</v>
      </c>
      <c r="G6233" t="str">
        <v>-</v>
      </c>
    </row>
    <row r="6234">
      <c r="A6234">
        <v>6233</v>
      </c>
      <c r="B6234" t="str">
        <v>Công an xã Hồng Phong  tỉnh Quảng Ninh</v>
      </c>
      <c r="C6234" t="str">
        <v>-</v>
      </c>
      <c r="D6234" t="str">
        <v>-</v>
      </c>
      <c r="E6234" t="str">
        <v/>
      </c>
      <c r="F6234" t="str">
        <v>-</v>
      </c>
      <c r="G6234" t="str">
        <v>-</v>
      </c>
    </row>
    <row r="6235">
      <c r="A6235">
        <v>6234</v>
      </c>
      <c r="B6235">
        <f>HYPERLINK("https://dongtrieu.quangninh.gov.vn/Trang/ChiTietBVGioiThieu.aspx?bvid=206", "UBND Ủy ban nhân dân xã Hồng Phong  tỉnh Quảng Ninh")</f>
      </c>
      <c r="C6235" t="str">
        <v>https://dongtrieu.quangninh.gov.vn/Trang/ChiTietBVGioiThieu.aspx?bvid=206</v>
      </c>
      <c r="D6235" t="str">
        <v>-</v>
      </c>
      <c r="E6235" t="str">
        <v>-</v>
      </c>
      <c r="F6235" t="str">
        <v>-</v>
      </c>
      <c r="G6235" t="str">
        <v>-</v>
      </c>
    </row>
    <row r="6236">
      <c r="A6236">
        <v>6235</v>
      </c>
      <c r="B6236">
        <f>HYPERLINK("https://www.facebook.com/p/Tu%E1%BB%95i-tr%E1%BA%BB-ph%C6%B0%E1%BB%9Dng-Kim-S%C6%A1n-100068969837544/", "Công an phường Kim Sơn  tỉnh Quảng Ninh")</f>
      </c>
      <c r="C6236" t="str">
        <v>https://www.facebook.com/p/Tu%E1%BB%95i-tr%E1%BA%BB-ph%C6%B0%E1%BB%9Dng-Kim-S%C6%A1n-100068969837544/</v>
      </c>
      <c r="D6236" t="str">
        <v>-</v>
      </c>
      <c r="E6236" t="str">
        <v/>
      </c>
      <c r="F6236" t="str">
        <v>-</v>
      </c>
      <c r="G6236" t="str">
        <v>-</v>
      </c>
    </row>
    <row r="6237">
      <c r="A6237">
        <v>6236</v>
      </c>
      <c r="B6237">
        <f>HYPERLINK("https://www.quangninh.gov.vn/donvi/phuongkimson/Trang/ChiTietBVGioiThieu.aspx?bvid=2", "UBND Ủy ban nhân dân phường Kim Sơn  tỉnh Quảng Ninh")</f>
      </c>
      <c r="C6237" t="str">
        <v>https://www.quangninh.gov.vn/donvi/phuongkimson/Trang/ChiTietBVGioiThieu.aspx?bvid=2</v>
      </c>
      <c r="D6237" t="str">
        <v>-</v>
      </c>
      <c r="E6237" t="str">
        <v>-</v>
      </c>
      <c r="F6237" t="str">
        <v>-</v>
      </c>
      <c r="G6237" t="str">
        <v>-</v>
      </c>
    </row>
    <row r="6238">
      <c r="A6238">
        <v>6237</v>
      </c>
      <c r="B6238">
        <f>HYPERLINK("https://www.facebook.com/HungDao.DongTrieu.QN/", "Công an phường Hưng Đạo  tỉnh Quảng Ninh")</f>
      </c>
      <c r="C6238" t="str">
        <v>https://www.facebook.com/HungDao.DongTrieu.QN/</v>
      </c>
      <c r="D6238" t="str">
        <v>-</v>
      </c>
      <c r="E6238" t="str">
        <v/>
      </c>
      <c r="F6238" t="str">
        <v>-</v>
      </c>
      <c r="G6238" t="str">
        <v>-</v>
      </c>
    </row>
    <row r="6239">
      <c r="A6239">
        <v>6238</v>
      </c>
      <c r="B6239">
        <f>HYPERLINK("https://dongtrieu.quangninh.gov.vn/Trang/ChiTietBVGioiThieu.aspx?bvid=214", "UBND Ủy ban nhân dân phường Hưng Đạo  tỉnh Quảng Ninh")</f>
      </c>
      <c r="C6239" t="str">
        <v>https://dongtrieu.quangninh.gov.vn/Trang/ChiTietBVGioiThieu.aspx?bvid=214</v>
      </c>
      <c r="D6239" t="str">
        <v>-</v>
      </c>
      <c r="E6239" t="str">
        <v>-</v>
      </c>
      <c r="F6239" t="str">
        <v>-</v>
      </c>
      <c r="G6239" t="str">
        <v>-</v>
      </c>
    </row>
    <row r="6240">
      <c r="A6240">
        <v>6239</v>
      </c>
      <c r="B6240" t="str">
        <v>Công an xã Yên Đức  tỉnh Quảng Ninh</v>
      </c>
      <c r="C6240" t="str">
        <v>-</v>
      </c>
      <c r="D6240" t="str">
        <v>-</v>
      </c>
      <c r="E6240" t="str">
        <v/>
      </c>
      <c r="F6240" t="str">
        <v>-</v>
      </c>
      <c r="G6240" t="str">
        <v>-</v>
      </c>
    </row>
    <row r="6241">
      <c r="A6241">
        <v>6240</v>
      </c>
      <c r="B6241">
        <f>HYPERLINK("https://dongtrieu.quangninh.gov.vn/Trang/ChiTietBVGioiThieu.aspx?bvid=217", "UBND Ủy ban nhân dân xã Yên Đức  tỉnh Quảng Ninh")</f>
      </c>
      <c r="C6241" t="str">
        <v>https://dongtrieu.quangninh.gov.vn/Trang/ChiTietBVGioiThieu.aspx?bvid=217</v>
      </c>
      <c r="D6241" t="str">
        <v>-</v>
      </c>
      <c r="E6241" t="str">
        <v>-</v>
      </c>
      <c r="F6241" t="str">
        <v>-</v>
      </c>
      <c r="G6241" t="str">
        <v>-</v>
      </c>
    </row>
    <row r="6242">
      <c r="A6242">
        <v>6241</v>
      </c>
      <c r="B6242">
        <f>HYPERLINK("https://www.facebook.com/p/C%C3%B4ng-an-ph%C6%B0%E1%BB%9Dng-Qu%E1%BA%A3ng-Y%C3%AAn-100083013174872/?locale=hr_HR", "Công an phường Quảng Yên  tỉnh Quảng Ninh")</f>
      </c>
      <c r="C6242" t="str">
        <v>https://www.facebook.com/p/C%C3%B4ng-an-ph%C6%B0%E1%BB%9Dng-Qu%E1%BA%A3ng-Y%C3%AAn-100083013174872/?locale=hr_HR</v>
      </c>
      <c r="D6242" t="str">
        <v>-</v>
      </c>
      <c r="E6242" t="str">
        <v/>
      </c>
      <c r="F6242" t="str">
        <v>-</v>
      </c>
      <c r="G6242" t="str">
        <v>-</v>
      </c>
    </row>
    <row r="6243">
      <c r="A6243">
        <v>6242</v>
      </c>
      <c r="B6243">
        <f>HYPERLINK("https://www.quangninh.gov.vn/donvi/TXQuangYen/Trang/ChiTietBVGioiThieu.aspx?bvid=197", "UBND Ủy ban nhân dân phường Quảng Yên  tỉnh Quảng Ninh")</f>
      </c>
      <c r="C6243" t="str">
        <v>https://www.quangninh.gov.vn/donvi/TXQuangYen/Trang/ChiTietBVGioiThieu.aspx?bvid=197</v>
      </c>
      <c r="D6243" t="str">
        <v>-</v>
      </c>
      <c r="E6243" t="str">
        <v>-</v>
      </c>
      <c r="F6243" t="str">
        <v>-</v>
      </c>
      <c r="G6243" t="str">
        <v>-</v>
      </c>
    </row>
    <row r="6244">
      <c r="A6244">
        <v>6243</v>
      </c>
      <c r="B6244">
        <f>HYPERLINK("https://www.facebook.com/p/M%E1%BA%B7t-tr%E1%BA%ADn-ph%C6%B0%E1%BB%9Dng-%C4%90%C3%B4ng-Mai-Qu%E1%BA%A3ng-Y%C3%AAn-Qu%E1%BA%A3ng-Ninh-100082081204420/", "Công an phường Đông Mai  tỉnh Quảng Ninh")</f>
      </c>
      <c r="C6244" t="str">
        <v>https://www.facebook.com/p/M%E1%BA%B7t-tr%E1%BA%ADn-ph%C6%B0%E1%BB%9Dng-%C4%90%C3%B4ng-Mai-Qu%E1%BA%A3ng-Y%C3%AAn-Qu%E1%BA%A3ng-Ninh-100082081204420/</v>
      </c>
      <c r="D6244" t="str">
        <v>-</v>
      </c>
      <c r="E6244" t="str">
        <v/>
      </c>
      <c r="F6244" t="str">
        <v>-</v>
      </c>
      <c r="G6244" t="str">
        <v>-</v>
      </c>
    </row>
    <row r="6245">
      <c r="A6245">
        <v>6244</v>
      </c>
      <c r="B6245">
        <f>HYPERLINK("https://www.quangninh.gov.vn/donvi/TXQuangYen/Trang/ChiTietBVGioiThieu.aspx?bvid=200", "UBND Ủy ban nhân dân phường Đông Mai  tỉnh Quảng Ninh")</f>
      </c>
      <c r="C6245" t="str">
        <v>https://www.quangninh.gov.vn/donvi/TXQuangYen/Trang/ChiTietBVGioiThieu.aspx?bvid=200</v>
      </c>
      <c r="D6245" t="str">
        <v>-</v>
      </c>
      <c r="E6245" t="str">
        <v>-</v>
      </c>
      <c r="F6245" t="str">
        <v>-</v>
      </c>
      <c r="G6245" t="str">
        <v>-</v>
      </c>
    </row>
    <row r="6246">
      <c r="A6246">
        <v>6245</v>
      </c>
      <c r="B6246" t="str">
        <v>Công an phường Minh Thành  tỉnh Quảng Ninh</v>
      </c>
      <c r="C6246" t="str">
        <v>-</v>
      </c>
      <c r="D6246" t="str">
        <v>-</v>
      </c>
      <c r="E6246" t="str">
        <v/>
      </c>
      <c r="F6246" t="str">
        <v>-</v>
      </c>
      <c r="G6246" t="str">
        <v>-</v>
      </c>
    </row>
    <row r="6247">
      <c r="A6247">
        <v>6246</v>
      </c>
      <c r="B6247">
        <f>HYPERLINK("https://www.quangninh.gov.vn/donvi/TXQuangYen/Trang/ChiTietBVGioiThieu.aspx?bvid=205", "UBND Ủy ban nhân dân phường Minh Thành  tỉnh Quảng Ninh")</f>
      </c>
      <c r="C6247" t="str">
        <v>https://www.quangninh.gov.vn/donvi/TXQuangYen/Trang/ChiTietBVGioiThieu.aspx?bvid=205</v>
      </c>
      <c r="D6247" t="str">
        <v>-</v>
      </c>
      <c r="E6247" t="str">
        <v>-</v>
      </c>
      <c r="F6247" t="str">
        <v>-</v>
      </c>
      <c r="G6247" t="str">
        <v>-</v>
      </c>
    </row>
    <row r="6248">
      <c r="A6248">
        <v>6247</v>
      </c>
      <c r="B6248">
        <f>HYPERLINK("https://www.facebook.com/suctreQuangNinh/?locale=sq_AL", "Công an xã Sông Khoai  tỉnh Quảng Ninh")</f>
      </c>
      <c r="C6248" t="str">
        <v>https://www.facebook.com/suctreQuangNinh/?locale=sq_AL</v>
      </c>
      <c r="D6248" t="str">
        <v>-</v>
      </c>
      <c r="E6248" t="str">
        <v/>
      </c>
      <c r="F6248" t="str">
        <v>-</v>
      </c>
      <c r="G6248" t="str">
        <v>-</v>
      </c>
    </row>
    <row r="6249">
      <c r="A6249">
        <v>6248</v>
      </c>
      <c r="B6249">
        <f>HYPERLINK("https://www.quangninh.gov.vn/donvi/TXQuangYen/Trang/ChiTietBVGioiThieu.aspx?bvid=209", "UBND Ủy ban nhân dân xã Sông Khoai  tỉnh Quảng Ninh")</f>
      </c>
      <c r="C6249" t="str">
        <v>https://www.quangninh.gov.vn/donvi/TXQuangYen/Trang/ChiTietBVGioiThieu.aspx?bvid=209</v>
      </c>
      <c r="D6249" t="str">
        <v>-</v>
      </c>
      <c r="E6249" t="str">
        <v>-</v>
      </c>
      <c r="F6249" t="str">
        <v>-</v>
      </c>
      <c r="G6249" t="str">
        <v>-</v>
      </c>
    </row>
    <row r="6250">
      <c r="A6250">
        <v>6249</v>
      </c>
      <c r="B6250" t="str">
        <v>Công an xã Hiệp Hòa  tỉnh Quảng Ninh</v>
      </c>
      <c r="C6250" t="str">
        <v>-</v>
      </c>
      <c r="D6250" t="str">
        <v>-</v>
      </c>
      <c r="E6250" t="str">
        <v/>
      </c>
      <c r="F6250" t="str">
        <v>-</v>
      </c>
      <c r="G6250" t="str">
        <v>-</v>
      </c>
    </row>
    <row r="6251">
      <c r="A6251">
        <v>6250</v>
      </c>
      <c r="B6251">
        <f>HYPERLINK("https://www.quangninh.gov.vn/donvi/TXQuangYen/Trang/ChiTietBVGioiThieu.aspx?bvid=203", "UBND Ủy ban nhân dân xã Hiệp Hòa  tỉnh Quảng Ninh")</f>
      </c>
      <c r="C6251" t="str">
        <v>https://www.quangninh.gov.vn/donvi/TXQuangYen/Trang/ChiTietBVGioiThieu.aspx?bvid=203</v>
      </c>
      <c r="D6251" t="str">
        <v>-</v>
      </c>
      <c r="E6251" t="str">
        <v>-</v>
      </c>
      <c r="F6251" t="str">
        <v>-</v>
      </c>
      <c r="G6251" t="str">
        <v>-</v>
      </c>
    </row>
    <row r="6252">
      <c r="A6252">
        <v>6251</v>
      </c>
      <c r="B6252" t="str">
        <v>Công an phường Cộng Hòa  tỉnh Quảng Ninh</v>
      </c>
      <c r="C6252" t="str">
        <v>-</v>
      </c>
      <c r="D6252" t="str">
        <v>-</v>
      </c>
      <c r="E6252" t="str">
        <v/>
      </c>
      <c r="F6252" t="str">
        <v>-</v>
      </c>
      <c r="G6252" t="str">
        <v>-</v>
      </c>
    </row>
    <row r="6253">
      <c r="A6253">
        <v>6252</v>
      </c>
      <c r="B6253">
        <f>HYPERLINK("https://www.quangninh.gov.vn/donvi/TXQuangYen/Trang/ChiTietBVGioiThieu.aspx?bvid=199", "UBND Ủy ban nhân dân phường Cộng Hòa  tỉnh Quảng Ninh")</f>
      </c>
      <c r="C6253" t="str">
        <v>https://www.quangninh.gov.vn/donvi/TXQuangYen/Trang/ChiTietBVGioiThieu.aspx?bvid=199</v>
      </c>
      <c r="D6253" t="str">
        <v>-</v>
      </c>
      <c r="E6253" t="str">
        <v>-</v>
      </c>
      <c r="F6253" t="str">
        <v>-</v>
      </c>
      <c r="G6253" t="str">
        <v>-</v>
      </c>
    </row>
    <row r="6254">
      <c r="A6254">
        <v>6253</v>
      </c>
      <c r="B6254" t="str">
        <v>Công an xã Tiền An  tỉnh Quảng Ninh</v>
      </c>
      <c r="C6254" t="str">
        <v>-</v>
      </c>
      <c r="D6254" t="str">
        <v>-</v>
      </c>
      <c r="E6254" t="str">
        <v/>
      </c>
      <c r="F6254" t="str">
        <v>-</v>
      </c>
      <c r="G6254" t="str">
        <v>-</v>
      </c>
    </row>
    <row r="6255">
      <c r="A6255">
        <v>6254</v>
      </c>
      <c r="B6255">
        <f>HYPERLINK("https://www.quangninh.gov.vn/donvi/TXQuangYen/Trang/ChiTietBVGioiThieu.aspx?bvid=211", "UBND Ủy ban nhân dân xã Tiền An  tỉnh Quảng Ninh")</f>
      </c>
      <c r="C6255" t="str">
        <v>https://www.quangninh.gov.vn/donvi/TXQuangYen/Trang/ChiTietBVGioiThieu.aspx?bvid=211</v>
      </c>
      <c r="D6255" t="str">
        <v>-</v>
      </c>
      <c r="E6255" t="str">
        <v>-</v>
      </c>
      <c r="F6255" t="str">
        <v>-</v>
      </c>
      <c r="G6255" t="str">
        <v>-</v>
      </c>
    </row>
    <row r="6256">
      <c r="A6256">
        <v>6255</v>
      </c>
      <c r="B6256">
        <f>HYPERLINK("https://www.facebook.com/p/X%C3%A3-Ho%C3%A0ng-T%C3%A2n-th%E1%BB%8B-x%C3%A3-Qu%E1%BA%A3ng-Y%C3%AAn-100064352455830/", "Công an xã Hoàng Tân  tỉnh Quảng Ninh")</f>
      </c>
      <c r="C6256" t="str">
        <v>https://www.facebook.com/p/X%C3%A3-Ho%C3%A0ng-T%C3%A2n-th%E1%BB%8B-x%C3%A3-Qu%E1%BA%A3ng-Y%C3%AAn-100064352455830/</v>
      </c>
      <c r="D6256" t="str">
        <v>-</v>
      </c>
      <c r="E6256" t="str">
        <v/>
      </c>
      <c r="F6256" t="str">
        <v>-</v>
      </c>
      <c r="G6256" t="str">
        <v>-</v>
      </c>
    </row>
    <row r="6257">
      <c r="A6257">
        <v>6256</v>
      </c>
      <c r="B6257">
        <f>HYPERLINK("https://www.quangninh.gov.vn/donvi/TXQuangYen/Trang/ChiTietBVGioiThieu.aspx?bvid=204", "UBND Ủy ban nhân dân xã Hoàng Tân  tỉnh Quảng Ninh")</f>
      </c>
      <c r="C6257" t="str">
        <v>https://www.quangninh.gov.vn/donvi/TXQuangYen/Trang/ChiTietBVGioiThieu.aspx?bvid=204</v>
      </c>
      <c r="D6257" t="str">
        <v>-</v>
      </c>
      <c r="E6257" t="str">
        <v>-</v>
      </c>
      <c r="F6257" t="str">
        <v>-</v>
      </c>
      <c r="G6257" t="str">
        <v>-</v>
      </c>
    </row>
    <row r="6258">
      <c r="A6258">
        <v>6257</v>
      </c>
      <c r="B6258">
        <f>HYPERLINK("https://www.facebook.com/p/C%C3%B4ng-an-Ph%C6%B0%E1%BB%9Dng-T%C3%A2n-An-Th%E1%BB%8B-x%C3%A3-Qu%E1%BA%A3ng-Y%C3%AAn-100075915578321/", "Công an phường Tân An  tỉnh Quảng Ninh")</f>
      </c>
      <c r="C6258" t="str">
        <v>https://www.facebook.com/p/C%C3%B4ng-an-Ph%C6%B0%E1%BB%9Dng-T%C3%A2n-An-Th%E1%BB%8B-x%C3%A3-Qu%E1%BA%A3ng-Y%C3%AAn-100075915578321/</v>
      </c>
      <c r="D6258" t="str">
        <v>-</v>
      </c>
      <c r="E6258" t="str">
        <v/>
      </c>
      <c r="F6258" t="str">
        <v>-</v>
      </c>
      <c r="G6258" t="str">
        <v>-</v>
      </c>
    </row>
    <row r="6259">
      <c r="A6259">
        <v>6258</v>
      </c>
      <c r="B6259">
        <f>HYPERLINK("https://www.quangninh.gov.vn/donvi/TXQuangYen/Trang/ChiTietBVGioiThieu.aspx?bvid=210", "UBND Ủy ban nhân dân phường Tân An  tỉnh Quảng Ninh")</f>
      </c>
      <c r="C6259" t="str">
        <v>https://www.quangninh.gov.vn/donvi/TXQuangYen/Trang/ChiTietBVGioiThieu.aspx?bvid=210</v>
      </c>
      <c r="D6259" t="str">
        <v>-</v>
      </c>
      <c r="E6259" t="str">
        <v>-</v>
      </c>
      <c r="F6259" t="str">
        <v>-</v>
      </c>
      <c r="G6259" t="str">
        <v>-</v>
      </c>
    </row>
    <row r="6260">
      <c r="A6260">
        <v>6259</v>
      </c>
      <c r="B6260">
        <f>HYPERLINK("https://www.facebook.com/UBNDphuongYenGiang/", "Công an phường Yên Giang  tỉnh Quảng Ninh")</f>
      </c>
      <c r="C6260" t="str">
        <v>https://www.facebook.com/UBNDphuongYenGiang/</v>
      </c>
      <c r="D6260" t="str">
        <v>-</v>
      </c>
      <c r="E6260" t="str">
        <v/>
      </c>
      <c r="F6260" t="str">
        <v>-</v>
      </c>
      <c r="G6260" t="str">
        <v>-</v>
      </c>
    </row>
    <row r="6261">
      <c r="A6261">
        <v>6260</v>
      </c>
      <c r="B6261">
        <f>HYPERLINK("https://www.quangninh.gov.vn/donvi/TXQuangYen/Trang/ChiTietBVGioiThieu.aspx?bvid=213", "UBND Ủy ban nhân dân phường Yên Giang  tỉnh Quảng Ninh")</f>
      </c>
      <c r="C6261" t="str">
        <v>https://www.quangninh.gov.vn/donvi/TXQuangYen/Trang/ChiTietBVGioiThieu.aspx?bvid=213</v>
      </c>
      <c r="D6261" t="str">
        <v>-</v>
      </c>
      <c r="E6261" t="str">
        <v>-</v>
      </c>
      <c r="F6261" t="str">
        <v>-</v>
      </c>
      <c r="G6261" t="str">
        <v>-</v>
      </c>
    </row>
    <row r="6262">
      <c r="A6262">
        <v>6261</v>
      </c>
      <c r="B6262">
        <f>HYPERLINK("https://www.facebook.com/p/C%C3%B4ng-an-ph%C6%B0%E1%BB%9Dng-Nam-Ho%C3%A0-C%C3%B4ng-an-th%E1%BB%8B-x%C3%A3-Qu%E1%BA%A3ng-Y%C3%AAn-100070869695745/", "Công an phường Nam Hoà  tỉnh Quảng Ninh")</f>
      </c>
      <c r="C6262" t="str">
        <v>https://www.facebook.com/p/C%C3%B4ng-an-ph%C6%B0%E1%BB%9Dng-Nam-Ho%C3%A0-C%C3%B4ng-an-th%E1%BB%8B-x%C3%A3-Qu%E1%BA%A3ng-Y%C3%AAn-100070869695745/</v>
      </c>
      <c r="D6262" t="str">
        <v>-</v>
      </c>
      <c r="E6262" t="str">
        <v/>
      </c>
      <c r="F6262" t="str">
        <v>-</v>
      </c>
      <c r="G6262" t="str">
        <v>-</v>
      </c>
    </row>
    <row r="6263">
      <c r="A6263">
        <v>6262</v>
      </c>
      <c r="B6263">
        <f>HYPERLINK("https://www.quangninh.gov.vn/donvi/TXQuangYen/Trang/ChiTietBVGioiThieu.aspx?bvid=206", "UBND Ủy ban nhân dân phường Nam Hoà  tỉnh Quảng Ninh")</f>
      </c>
      <c r="C6263" t="str">
        <v>https://www.quangninh.gov.vn/donvi/TXQuangYen/Trang/ChiTietBVGioiThieu.aspx?bvid=206</v>
      </c>
      <c r="D6263" t="str">
        <v>-</v>
      </c>
      <c r="E6263" t="str">
        <v>-</v>
      </c>
      <c r="F6263" t="str">
        <v>-</v>
      </c>
      <c r="G6263" t="str">
        <v>-</v>
      </c>
    </row>
    <row r="6264">
      <c r="A6264">
        <v>6263</v>
      </c>
      <c r="B6264">
        <f>HYPERLINK("https://www.facebook.com/ubndphuonghatu/", "Công an phường Hà An  tỉnh Quảng Ninh")</f>
      </c>
      <c r="C6264" t="str">
        <v>https://www.facebook.com/ubndphuonghatu/</v>
      </c>
      <c r="D6264" t="str">
        <v>-</v>
      </c>
      <c r="E6264" t="str">
        <v/>
      </c>
      <c r="F6264" t="str">
        <v>-</v>
      </c>
      <c r="G6264" t="str">
        <v>-</v>
      </c>
    </row>
    <row r="6265">
      <c r="A6265">
        <v>6264</v>
      </c>
      <c r="B6265">
        <f>HYPERLINK("https://www.quangninh.gov.vn/donvi/TXQuangYen/Trang/ChiTietBVGioiThieu.aspx?bvid=201", "UBND Ủy ban nhân dân phường Hà An  tỉnh Quảng Ninh")</f>
      </c>
      <c r="C6265" t="str">
        <v>https://www.quangninh.gov.vn/donvi/TXQuangYen/Trang/ChiTietBVGioiThieu.aspx?bvid=201</v>
      </c>
      <c r="D6265" t="str">
        <v>-</v>
      </c>
      <c r="E6265" t="str">
        <v>-</v>
      </c>
      <c r="F6265" t="str">
        <v>-</v>
      </c>
      <c r="G6265" t="str">
        <v>-</v>
      </c>
    </row>
    <row r="6266">
      <c r="A6266">
        <v>6265</v>
      </c>
      <c r="B6266" t="str">
        <v>Công an xã Cẩm La  tỉnh Quảng Ninh</v>
      </c>
      <c r="C6266" t="str">
        <v>-</v>
      </c>
      <c r="D6266" t="str">
        <v>-</v>
      </c>
      <c r="E6266" t="str">
        <v/>
      </c>
      <c r="F6266" t="str">
        <v>-</v>
      </c>
      <c r="G6266" t="str">
        <v>-</v>
      </c>
    </row>
    <row r="6267">
      <c r="A6267">
        <v>6266</v>
      </c>
      <c r="B6267">
        <f>HYPERLINK("https://www.quangninh.gov.vn/donvi/TXQuangYen/Trang/ChiTietBVGioiThieu.aspx?bvid=198", "UBND Ủy ban nhân dân xã Cẩm La  tỉnh Quảng Ninh")</f>
      </c>
      <c r="C6267" t="str">
        <v>https://www.quangninh.gov.vn/donvi/TXQuangYen/Trang/ChiTietBVGioiThieu.aspx?bvid=198</v>
      </c>
      <c r="D6267" t="str">
        <v>-</v>
      </c>
      <c r="E6267" t="str">
        <v>-</v>
      </c>
      <c r="F6267" t="str">
        <v>-</v>
      </c>
      <c r="G6267" t="str">
        <v>-</v>
      </c>
    </row>
    <row r="6268">
      <c r="A6268">
        <v>6267</v>
      </c>
      <c r="B6268">
        <f>HYPERLINK("https://www.facebook.com/265963428377240", "Công an phường Phong Hải  tỉnh Quảng Ninh")</f>
      </c>
      <c r="C6268" t="str">
        <v>https://www.facebook.com/265963428377240</v>
      </c>
      <c r="D6268" t="str">
        <v>-</v>
      </c>
      <c r="E6268" t="str">
        <v/>
      </c>
      <c r="F6268" t="str">
        <v>-</v>
      </c>
      <c r="G6268" t="str">
        <v>-</v>
      </c>
    </row>
    <row r="6269">
      <c r="A6269">
        <v>6268</v>
      </c>
      <c r="B6269">
        <f>HYPERLINK("https://www.quangninh.gov.vn/donvi/TXQuangYen/Trang/ChiTietBVGioiThieu.aspx?bvid=208", "UBND Ủy ban nhân dân phường Phong Hải  tỉnh Quảng Ninh")</f>
      </c>
      <c r="C6269" t="str">
        <v>https://www.quangninh.gov.vn/donvi/TXQuangYen/Trang/ChiTietBVGioiThieu.aspx?bvid=208</v>
      </c>
      <c r="D6269" t="str">
        <v>-</v>
      </c>
      <c r="E6269" t="str">
        <v>-</v>
      </c>
      <c r="F6269" t="str">
        <v>-</v>
      </c>
      <c r="G6269" t="str">
        <v>-</v>
      </c>
    </row>
    <row r="6270">
      <c r="A6270">
        <v>6269</v>
      </c>
      <c r="B6270" t="str">
        <v>Công an phường Yên Hải  tỉnh Quảng Ninh</v>
      </c>
      <c r="C6270" t="str">
        <v>-</v>
      </c>
      <c r="D6270" t="str">
        <v>-</v>
      </c>
      <c r="E6270" t="str">
        <v/>
      </c>
      <c r="F6270" t="str">
        <v>-</v>
      </c>
      <c r="G6270" t="str">
        <v>-</v>
      </c>
    </row>
    <row r="6271">
      <c r="A6271">
        <v>6270</v>
      </c>
      <c r="B6271">
        <f>HYPERLINK("https://www.quangninh.gov.vn/donvi/TXQuangYen/Trang/ChiTietBVGioiThieu.aspx?bvid=214", "UBND Ủy ban nhân dân phường Yên Hải  tỉnh Quảng Ninh")</f>
      </c>
      <c r="C6271" t="str">
        <v>https://www.quangninh.gov.vn/donvi/TXQuangYen/Trang/ChiTietBVGioiThieu.aspx?bvid=214</v>
      </c>
      <c r="D6271" t="str">
        <v>-</v>
      </c>
      <c r="E6271" t="str">
        <v>-</v>
      </c>
      <c r="F6271" t="str">
        <v>-</v>
      </c>
      <c r="G6271" t="str">
        <v>-</v>
      </c>
    </row>
    <row r="6272">
      <c r="A6272">
        <v>6271</v>
      </c>
      <c r="B6272">
        <f>HYPERLINK("https://www.facebook.com/conganlienhoa/", "Công an xã Liên Hòa  tỉnh Quảng Ninh")</f>
      </c>
      <c r="C6272" t="str">
        <v>https://www.facebook.com/conganlienhoa/</v>
      </c>
      <c r="D6272" t="str">
        <v>-</v>
      </c>
      <c r="E6272" t="str">
        <v/>
      </c>
      <c r="F6272" t="str">
        <v>-</v>
      </c>
      <c r="G6272" t="str">
        <v>-</v>
      </c>
    </row>
    <row r="6273">
      <c r="A6273">
        <v>6272</v>
      </c>
      <c r="B6273">
        <f>HYPERLINK("https://www.quangninh.gov.vn/donvi/TXQuangYen/Trang/ChiTietBVGioiThieu.aspx?bvid=202", "UBND Ủy ban nhân dân xã Liên Hòa  tỉnh Quảng Ninh")</f>
      </c>
      <c r="C6273" t="str">
        <v>https://www.quangninh.gov.vn/donvi/TXQuangYen/Trang/ChiTietBVGioiThieu.aspx?bvid=202</v>
      </c>
      <c r="D6273" t="str">
        <v>-</v>
      </c>
      <c r="E6273" t="str">
        <v>-</v>
      </c>
      <c r="F6273" t="str">
        <v>-</v>
      </c>
      <c r="G6273" t="str">
        <v>-</v>
      </c>
    </row>
    <row r="6274">
      <c r="A6274">
        <v>6273</v>
      </c>
      <c r="B6274" t="str">
        <v>Công an phường Phong Cốc  tỉnh Quảng Ninh</v>
      </c>
      <c r="C6274" t="str">
        <v>-</v>
      </c>
      <c r="D6274" t="str">
        <v>-</v>
      </c>
      <c r="E6274" t="str">
        <v/>
      </c>
      <c r="F6274" t="str">
        <v>-</v>
      </c>
      <c r="G6274" t="str">
        <v>-</v>
      </c>
    </row>
    <row r="6275">
      <c r="A6275">
        <v>6274</v>
      </c>
      <c r="B6275">
        <f>HYPERLINK("https://www.quangninh.gov.vn/donvi/TXQuangYen/Trang/ChiTietBVGioiThieu.aspx?bvid=207", "UBND Ủy ban nhân dân phường Phong Cốc  tỉnh Quảng Ninh")</f>
      </c>
      <c r="C6275" t="str">
        <v>https://www.quangninh.gov.vn/donvi/TXQuangYen/Trang/ChiTietBVGioiThieu.aspx?bvid=207</v>
      </c>
      <c r="D6275" t="str">
        <v>-</v>
      </c>
      <c r="E6275" t="str">
        <v>-</v>
      </c>
      <c r="F6275" t="str">
        <v>-</v>
      </c>
      <c r="G6275" t="str">
        <v>-</v>
      </c>
    </row>
    <row r="6276">
      <c r="A6276">
        <v>6275</v>
      </c>
      <c r="B6276" t="str">
        <v>Công an xã Liên Vị  tỉnh Quảng Ninh</v>
      </c>
      <c r="C6276" t="str">
        <v>-</v>
      </c>
      <c r="D6276" t="str">
        <v>-</v>
      </c>
      <c r="E6276" t="str">
        <v/>
      </c>
      <c r="F6276" t="str">
        <v>-</v>
      </c>
      <c r="G6276" t="str">
        <v>-</v>
      </c>
    </row>
    <row r="6277">
      <c r="A6277">
        <v>6276</v>
      </c>
      <c r="B6277">
        <f>HYPERLINK("https://www.quangninh.gov.vn/donvi/TXQuangYen/Trang/ChiTietBVGioiThieu.aspx?bvid=215", "UBND Ủy ban nhân dân xã Liên Vị  tỉnh Quảng Ninh")</f>
      </c>
      <c r="C6277" t="str">
        <v>https://www.quangninh.gov.vn/donvi/TXQuangYen/Trang/ChiTietBVGioiThieu.aspx?bvid=215</v>
      </c>
      <c r="D6277" t="str">
        <v>-</v>
      </c>
      <c r="E6277" t="str">
        <v>-</v>
      </c>
      <c r="F6277" t="str">
        <v>-</v>
      </c>
      <c r="G6277" t="str">
        <v>-</v>
      </c>
    </row>
    <row r="6278">
      <c r="A6278">
        <v>6277</v>
      </c>
      <c r="B6278" t="str">
        <v>Công an xã Tiền Phong  tỉnh Quảng Ninh</v>
      </c>
      <c r="C6278" t="str">
        <v>-</v>
      </c>
      <c r="D6278" t="str">
        <v>-</v>
      </c>
      <c r="E6278" t="str">
        <v/>
      </c>
      <c r="F6278" t="str">
        <v>-</v>
      </c>
      <c r="G6278" t="str">
        <v>-</v>
      </c>
    </row>
    <row r="6279">
      <c r="A6279">
        <v>6278</v>
      </c>
      <c r="B6279">
        <f>HYPERLINK("https://www.quangninh.gov.vn/donvi/TXQuangYen/Trang/ChiTietBVGioiThieu.aspx?bvid=212", "UBND Ủy ban nhân dân xã Tiền Phong  tỉnh Quảng Ninh")</f>
      </c>
      <c r="C6279" t="str">
        <v>https://www.quangninh.gov.vn/donvi/TXQuangYen/Trang/ChiTietBVGioiThieu.aspx?bvid=212</v>
      </c>
      <c r="D6279" t="str">
        <v>-</v>
      </c>
      <c r="E6279" t="str">
        <v>-</v>
      </c>
      <c r="F6279" t="str">
        <v>-</v>
      </c>
      <c r="G6279" t="str">
        <v>-</v>
      </c>
    </row>
    <row r="6280">
      <c r="A6280">
        <v>6279</v>
      </c>
      <c r="B6280" t="str">
        <v>Công an thị trấn Cô Tô  tỉnh Quảng Ninh</v>
      </c>
      <c r="C6280" t="str">
        <v>-</v>
      </c>
      <c r="D6280" t="str">
        <v>-</v>
      </c>
      <c r="E6280" t="str">
        <v/>
      </c>
      <c r="F6280" t="str">
        <v>-</v>
      </c>
      <c r="G6280" t="str">
        <v>-</v>
      </c>
    </row>
    <row r="6281">
      <c r="A6281">
        <v>6280</v>
      </c>
      <c r="B6281">
        <f>HYPERLINK("https://www.quangninh.gov.vn/donvi/huyencoto/Trang/ChiTietBVGioiThieu.aspx?bvid=114", "UBND Ủy ban nhân dân thị trấn Cô Tô  tỉnh Quảng Ninh")</f>
      </c>
      <c r="C6281" t="str">
        <v>https://www.quangninh.gov.vn/donvi/huyencoto/Trang/ChiTietBVGioiThieu.aspx?bvid=114</v>
      </c>
      <c r="D6281" t="str">
        <v>-</v>
      </c>
      <c r="E6281" t="str">
        <v>-</v>
      </c>
      <c r="F6281" t="str">
        <v>-</v>
      </c>
      <c r="G6281" t="str">
        <v>-</v>
      </c>
    </row>
    <row r="6282">
      <c r="A6282">
        <v>6281</v>
      </c>
      <c r="B6282">
        <f>HYPERLINK("https://www.facebook.com/CaxDongTien.TS/", "Công an xã Đồng Tiến  tỉnh Quảng Ninh")</f>
      </c>
      <c r="C6282" t="str">
        <v>https://www.facebook.com/CaxDongTien.TS/</v>
      </c>
      <c r="D6282" t="str">
        <v>-</v>
      </c>
      <c r="E6282" t="str">
        <v/>
      </c>
      <c r="F6282" t="str">
        <v>-</v>
      </c>
      <c r="G6282" t="str">
        <v>-</v>
      </c>
    </row>
    <row r="6283">
      <c r="A6283">
        <v>6282</v>
      </c>
      <c r="B6283">
        <f>HYPERLINK("https://www.quangninh.gov.vn/donvi/huyencoto/Trang/ChiTietBVGioiThieu.aspx?bvid=95", "UBND Ủy ban nhân dân xã Đồng Tiến  tỉnh Quảng Ninh")</f>
      </c>
      <c r="C6283" t="str">
        <v>https://www.quangninh.gov.vn/donvi/huyencoto/Trang/ChiTietBVGioiThieu.aspx?bvid=95</v>
      </c>
      <c r="D6283" t="str">
        <v>-</v>
      </c>
      <c r="E6283" t="str">
        <v>-</v>
      </c>
      <c r="F6283" t="str">
        <v>-</v>
      </c>
      <c r="G6283" t="str">
        <v>-</v>
      </c>
    </row>
    <row r="6284">
      <c r="A6284">
        <v>6283</v>
      </c>
      <c r="B6284">
        <f>HYPERLINK("https://www.facebook.com/100075797689158", "Công an xã Thanh Lân  tỉnh Quảng Ninh")</f>
      </c>
      <c r="C6284" t="str">
        <v>https://www.facebook.com/100075797689158</v>
      </c>
      <c r="D6284" t="str">
        <v>-</v>
      </c>
      <c r="E6284" t="str">
        <v>0902068663</v>
      </c>
      <c r="F6284" t="str">
        <v>hoangnam151091@gmail.com</v>
      </c>
      <c r="G6284" t="str">
        <v>Thôn 2, xã Thanh Lân, huyện Cô Tô, tỉnh Quảng Ninh</v>
      </c>
    </row>
    <row r="6285">
      <c r="A6285">
        <v>6284</v>
      </c>
      <c r="B6285">
        <f>HYPERLINK("https://www.quangninh.gov.vn/donvi/xathanhlan/Trang/ChiTietBVGioiThieu.aspx?bvid=1", "UBND Ủy ban nhân dân xã Thanh Lân  tỉnh Quảng Ninh")</f>
      </c>
      <c r="C6285" t="str">
        <v>https://www.quangninh.gov.vn/donvi/xathanhlan/Trang/ChiTietBVGioiThieu.aspx?bvid=1</v>
      </c>
      <c r="D6285" t="str">
        <v>-</v>
      </c>
      <c r="E6285" t="str">
        <v>-</v>
      </c>
      <c r="F6285" t="str">
        <v>-</v>
      </c>
      <c r="G6285" t="str">
        <v>-</v>
      </c>
    </row>
    <row r="6286">
      <c r="A6286">
        <v>6285</v>
      </c>
      <c r="B6286" t="str">
        <v>Công an phường Thọ Xương  tỉnh Bắc Giang</v>
      </c>
      <c r="C6286" t="str">
        <v>-</v>
      </c>
      <c r="D6286" t="str">
        <v>-</v>
      </c>
      <c r="E6286" t="str">
        <v/>
      </c>
      <c r="F6286" t="str">
        <v>-</v>
      </c>
      <c r="G6286" t="str">
        <v>-</v>
      </c>
    </row>
    <row r="6287">
      <c r="A6287">
        <v>6286</v>
      </c>
      <c r="B6287">
        <f>HYPERLINK("https://thoxuong.tpbacgiang.bacgiang.gov.vn/", "UBND Ủy ban nhân dân phường Thọ Xương  tỉnh Bắc Giang")</f>
      </c>
      <c r="C6287" t="str">
        <v>https://thoxuong.tpbacgiang.bacgiang.gov.vn/</v>
      </c>
      <c r="D6287" t="str">
        <v>-</v>
      </c>
      <c r="E6287" t="str">
        <v>-</v>
      </c>
      <c r="F6287" t="str">
        <v>-</v>
      </c>
      <c r="G6287" t="str">
        <v>-</v>
      </c>
    </row>
    <row r="6288">
      <c r="A6288">
        <v>6287</v>
      </c>
      <c r="B6288" t="str">
        <v>Công an phường Trần Nguyên Hãn  tỉnh Bắc Giang</v>
      </c>
      <c r="C6288" t="str">
        <v>-</v>
      </c>
      <c r="D6288" t="str">
        <v>-</v>
      </c>
      <c r="E6288" t="str">
        <v/>
      </c>
      <c r="F6288" t="str">
        <v>-</v>
      </c>
      <c r="G6288" t="str">
        <v>-</v>
      </c>
    </row>
    <row r="6289">
      <c r="A6289">
        <v>6288</v>
      </c>
      <c r="B6289">
        <f>HYPERLINK("https://trannguyenhan.tpbacgiang.bacgiang.gov.vn/", "UBND Ủy ban nhân dân phường Trần Nguyên Hãn  tỉnh Bắc Giang")</f>
      </c>
      <c r="C6289" t="str">
        <v>https://trannguyenhan.tpbacgiang.bacgiang.gov.vn/</v>
      </c>
      <c r="D6289" t="str">
        <v>-</v>
      </c>
      <c r="E6289" t="str">
        <v>-</v>
      </c>
      <c r="F6289" t="str">
        <v>-</v>
      </c>
      <c r="G6289" t="str">
        <v>-</v>
      </c>
    </row>
    <row r="6290">
      <c r="A6290">
        <v>6289</v>
      </c>
      <c r="B6290" t="str">
        <v>Công an phường Ngô Quyền  tỉnh Bắc Giang</v>
      </c>
      <c r="C6290" t="str">
        <v>-</v>
      </c>
      <c r="D6290" t="str">
        <v>-</v>
      </c>
      <c r="E6290" t="str">
        <v/>
      </c>
      <c r="F6290" t="str">
        <v>-</v>
      </c>
      <c r="G6290" t="str">
        <v>-</v>
      </c>
    </row>
    <row r="6291">
      <c r="A6291">
        <v>6290</v>
      </c>
      <c r="B6291">
        <f>HYPERLINK("https://ngoquyen.tpbacgiang.bacgiang.gov.vn/", "UBND Ủy ban nhân dân phường Ngô Quyền  tỉnh Bắc Giang")</f>
      </c>
      <c r="C6291" t="str">
        <v>https://ngoquyen.tpbacgiang.bacgiang.gov.vn/</v>
      </c>
      <c r="D6291" t="str">
        <v>-</v>
      </c>
      <c r="E6291" t="str">
        <v>-</v>
      </c>
      <c r="F6291" t="str">
        <v>-</v>
      </c>
      <c r="G6291" t="str">
        <v>-</v>
      </c>
    </row>
    <row r="6292">
      <c r="A6292">
        <v>6291</v>
      </c>
      <c r="B6292" t="str">
        <v>Công an phường Hoàng Văn Thụ  tỉnh Bắc Giang</v>
      </c>
      <c r="C6292" t="str">
        <v>-</v>
      </c>
      <c r="D6292" t="str">
        <v>-</v>
      </c>
      <c r="E6292" t="str">
        <v/>
      </c>
      <c r="F6292" t="str">
        <v>-</v>
      </c>
      <c r="G6292" t="str">
        <v>-</v>
      </c>
    </row>
    <row r="6293">
      <c r="A6293">
        <v>6292</v>
      </c>
      <c r="B6293">
        <f>HYPERLINK("https://hoangvanthu.tpbacgiang.bacgiang.gov.vn/", "UBND Ủy ban nhân dân phường Hoàng Văn Thụ  tỉnh Bắc Giang")</f>
      </c>
      <c r="C6293" t="str">
        <v>https://hoangvanthu.tpbacgiang.bacgiang.gov.vn/</v>
      </c>
      <c r="D6293" t="str">
        <v>-</v>
      </c>
      <c r="E6293" t="str">
        <v>-</v>
      </c>
      <c r="F6293" t="str">
        <v>-</v>
      </c>
      <c r="G6293" t="str">
        <v>-</v>
      </c>
    </row>
    <row r="6294">
      <c r="A6294">
        <v>6293</v>
      </c>
      <c r="B6294" t="str">
        <v>Công an phường Trần Phú  tỉnh Bắc Giang</v>
      </c>
      <c r="C6294" t="str">
        <v>-</v>
      </c>
      <c r="D6294" t="str">
        <v>-</v>
      </c>
      <c r="E6294" t="str">
        <v/>
      </c>
      <c r="F6294" t="str">
        <v>-</v>
      </c>
      <c r="G6294" t="str">
        <v>-</v>
      </c>
    </row>
    <row r="6295">
      <c r="A6295">
        <v>6294</v>
      </c>
      <c r="B6295">
        <f>HYPERLINK("https://tranphu.tpbacgiang.bacgiang.gov.vn/", "UBND Ủy ban nhân dân phường Trần Phú  tỉnh Bắc Giang")</f>
      </c>
      <c r="C6295" t="str">
        <v>https://tranphu.tpbacgiang.bacgiang.gov.vn/</v>
      </c>
      <c r="D6295" t="str">
        <v>-</v>
      </c>
      <c r="E6295" t="str">
        <v>-</v>
      </c>
      <c r="F6295" t="str">
        <v>-</v>
      </c>
      <c r="G6295" t="str">
        <v>-</v>
      </c>
    </row>
    <row r="6296">
      <c r="A6296">
        <v>6295</v>
      </c>
      <c r="B6296" t="str">
        <v>Công an phường Mỹ Độ  tỉnh Bắc Giang</v>
      </c>
      <c r="C6296" t="str">
        <v>-</v>
      </c>
      <c r="D6296" t="str">
        <v>-</v>
      </c>
      <c r="E6296" t="str">
        <v/>
      </c>
      <c r="F6296" t="str">
        <v>-</v>
      </c>
      <c r="G6296" t="str">
        <v>-</v>
      </c>
    </row>
    <row r="6297">
      <c r="A6297">
        <v>6296</v>
      </c>
      <c r="B6297">
        <f>HYPERLINK("https://mydo.tpbacgiang.bacgiang.gov.vn/", "UBND Ủy ban nhân dân phường Mỹ Độ  tỉnh Bắc Giang")</f>
      </c>
      <c r="C6297" t="str">
        <v>https://mydo.tpbacgiang.bacgiang.gov.vn/</v>
      </c>
      <c r="D6297" t="str">
        <v>-</v>
      </c>
      <c r="E6297" t="str">
        <v>-</v>
      </c>
      <c r="F6297" t="str">
        <v>-</v>
      </c>
      <c r="G6297" t="str">
        <v>-</v>
      </c>
    </row>
    <row r="6298">
      <c r="A6298">
        <v>6297</v>
      </c>
      <c r="B6298">
        <f>HYPERLINK("https://www.facebook.com/PhuongLeLoiTPBacGiang/?locale=vi_VN", "Công an phường Lê Lợi  tỉnh Bắc Giang")</f>
      </c>
      <c r="C6298" t="str">
        <v>https://www.facebook.com/PhuongLeLoiTPBacGiang/?locale=vi_VN</v>
      </c>
      <c r="D6298" t="str">
        <v>-</v>
      </c>
      <c r="E6298" t="str">
        <v/>
      </c>
      <c r="F6298" t="str">
        <v>-</v>
      </c>
      <c r="G6298" t="str">
        <v>-</v>
      </c>
    </row>
    <row r="6299">
      <c r="A6299">
        <v>6298</v>
      </c>
      <c r="B6299">
        <f>HYPERLINK("https://leloi.tpbacgiang.bacgiang.gov.vn/", "UBND Ủy ban nhân dân phường Lê Lợi  tỉnh Bắc Giang")</f>
      </c>
      <c r="C6299" t="str">
        <v>https://leloi.tpbacgiang.bacgiang.gov.vn/</v>
      </c>
      <c r="D6299" t="str">
        <v>-</v>
      </c>
      <c r="E6299" t="str">
        <v>-</v>
      </c>
      <c r="F6299" t="str">
        <v>-</v>
      </c>
      <c r="G6299" t="str">
        <v>-</v>
      </c>
    </row>
    <row r="6300">
      <c r="A6300">
        <v>6299</v>
      </c>
      <c r="B6300" t="str">
        <v>Công an xã Song Mai  tỉnh Bắc Giang</v>
      </c>
      <c r="C6300" t="str">
        <v>-</v>
      </c>
      <c r="D6300" t="str">
        <v>-</v>
      </c>
      <c r="E6300" t="str">
        <v/>
      </c>
      <c r="F6300" t="str">
        <v>-</v>
      </c>
      <c r="G6300" t="str">
        <v>-</v>
      </c>
    </row>
    <row r="6301">
      <c r="A6301">
        <v>6300</v>
      </c>
      <c r="B6301">
        <f>HYPERLINK("https://songmai.tpbacgiang.bacgiang.gov.vn/", "UBND Ủy ban nhân dân xã Song Mai  tỉnh Bắc Giang")</f>
      </c>
      <c r="C6301" t="str">
        <v>https://songmai.tpbacgiang.bacgiang.gov.vn/</v>
      </c>
      <c r="D6301" t="str">
        <v>-</v>
      </c>
      <c r="E6301" t="str">
        <v>-</v>
      </c>
      <c r="F6301" t="str">
        <v>-</v>
      </c>
      <c r="G6301" t="str">
        <v>-</v>
      </c>
    </row>
    <row r="6302">
      <c r="A6302">
        <v>6301</v>
      </c>
      <c r="B6302" t="str">
        <v>Công an phường Xương Giang  tỉnh Bắc Giang</v>
      </c>
      <c r="C6302" t="str">
        <v>-</v>
      </c>
      <c r="D6302" t="str">
        <v>-</v>
      </c>
      <c r="E6302" t="str">
        <v/>
      </c>
      <c r="F6302" t="str">
        <v>-</v>
      </c>
      <c r="G6302" t="str">
        <v>-</v>
      </c>
    </row>
    <row r="6303">
      <c r="A6303">
        <v>6302</v>
      </c>
      <c r="B6303">
        <f>HYPERLINK("https://xuonggiang.tpbacgiang.bacgiang.gov.vn/", "UBND Ủy ban nhân dân phường Xương Giang  tỉnh Bắc Giang")</f>
      </c>
      <c r="C6303" t="str">
        <v>https://xuonggiang.tpbacgiang.bacgiang.gov.vn/</v>
      </c>
      <c r="D6303" t="str">
        <v>-</v>
      </c>
      <c r="E6303" t="str">
        <v>-</v>
      </c>
      <c r="F6303" t="str">
        <v>-</v>
      </c>
      <c r="G6303" t="str">
        <v>-</v>
      </c>
    </row>
    <row r="6304">
      <c r="A6304">
        <v>6303</v>
      </c>
      <c r="B6304" t="str">
        <v>Công an phường Đa Mai  tỉnh Bắc Giang</v>
      </c>
      <c r="C6304" t="str">
        <v>-</v>
      </c>
      <c r="D6304" t="str">
        <v>-</v>
      </c>
      <c r="E6304" t="str">
        <v/>
      </c>
      <c r="F6304" t="str">
        <v>-</v>
      </c>
      <c r="G6304" t="str">
        <v>-</v>
      </c>
    </row>
    <row r="6305">
      <c r="A6305">
        <v>6304</v>
      </c>
      <c r="B6305">
        <f>HYPERLINK("https://damai.tpbacgiang.bacgiang.gov.vn/", "UBND Ủy ban nhân dân phường Đa Mai  tỉnh Bắc Giang")</f>
      </c>
      <c r="C6305" t="str">
        <v>https://damai.tpbacgiang.bacgiang.gov.vn/</v>
      </c>
      <c r="D6305" t="str">
        <v>-</v>
      </c>
      <c r="E6305" t="str">
        <v>-</v>
      </c>
      <c r="F6305" t="str">
        <v>-</v>
      </c>
      <c r="G6305" t="str">
        <v>-</v>
      </c>
    </row>
    <row r="6306">
      <c r="A6306">
        <v>6305</v>
      </c>
      <c r="B6306" t="str">
        <v>Công an phường Dĩnh Kế  tỉnh Bắc Giang</v>
      </c>
      <c r="C6306" t="str">
        <v>-</v>
      </c>
      <c r="D6306" t="str">
        <v>-</v>
      </c>
      <c r="E6306" t="str">
        <v/>
      </c>
      <c r="F6306" t="str">
        <v>-</v>
      </c>
      <c r="G6306" t="str">
        <v>-</v>
      </c>
    </row>
    <row r="6307">
      <c r="A6307">
        <v>6306</v>
      </c>
      <c r="B6307">
        <f>HYPERLINK("https://dinhke.tpbacgiang.bacgiang.gov.vn/", "UBND Ủy ban nhân dân phường Dĩnh Kế  tỉnh Bắc Giang")</f>
      </c>
      <c r="C6307" t="str">
        <v>https://dinhke.tpbacgiang.bacgiang.gov.vn/</v>
      </c>
      <c r="D6307" t="str">
        <v>-</v>
      </c>
      <c r="E6307" t="str">
        <v>-</v>
      </c>
      <c r="F6307" t="str">
        <v>-</v>
      </c>
      <c r="G6307" t="str">
        <v>-</v>
      </c>
    </row>
    <row r="6308">
      <c r="A6308">
        <v>6307</v>
      </c>
      <c r="B6308">
        <f>HYPERLINK("https://www.facebook.com/BacGiangcitytelevision/videos/tri%E1%BB%83n-khai-ph%C6%B0%C6%A1ng-%C3%A1n-c%C6%B0%E1%BB%A1ng-ch%E1%BA%BF-thu-h%E1%BB%93i-%C4%91%E1%BA%A5t-t%E1%BA%A1i-x%C3%A3-d%C4%A9nh-tr%C3%AC/415265981647106/", "Công an xã Dĩnh Trì  tỉnh Bắc Giang")</f>
      </c>
      <c r="C6308" t="str">
        <v>https://www.facebook.com/BacGiangcitytelevision/videos/tri%E1%BB%83n-khai-ph%C6%B0%C6%A1ng-%C3%A1n-c%C6%B0%E1%BB%A1ng-ch%E1%BA%BF-thu-h%E1%BB%93i-%C4%91%E1%BA%A5t-t%E1%BA%A1i-x%C3%A3-d%C4%A9nh-tr%C3%AC/415265981647106/</v>
      </c>
      <c r="D6308" t="str">
        <v>-</v>
      </c>
      <c r="E6308" t="str">
        <v/>
      </c>
      <c r="F6308" t="str">
        <v>-</v>
      </c>
      <c r="G6308" t="str">
        <v>-</v>
      </c>
    </row>
    <row r="6309">
      <c r="A6309">
        <v>6308</v>
      </c>
      <c r="B6309">
        <f>HYPERLINK("https://dinhtri.tpbacgiang.bacgiang.gov.vn/", "UBND Ủy ban nhân dân xã Dĩnh Trì  tỉnh Bắc Giang")</f>
      </c>
      <c r="C6309" t="str">
        <v>https://dinhtri.tpbacgiang.bacgiang.gov.vn/</v>
      </c>
      <c r="D6309" t="str">
        <v>-</v>
      </c>
      <c r="E6309" t="str">
        <v>-</v>
      </c>
      <c r="F6309" t="str">
        <v>-</v>
      </c>
      <c r="G6309" t="str">
        <v>-</v>
      </c>
    </row>
    <row r="6310">
      <c r="A6310">
        <v>6309</v>
      </c>
      <c r="B6310" t="str">
        <v>Công an xã Tân Mỹ  tỉnh Bắc Giang</v>
      </c>
      <c r="C6310" t="str">
        <v>-</v>
      </c>
      <c r="D6310" t="str">
        <v>-</v>
      </c>
      <c r="E6310" t="str">
        <v/>
      </c>
      <c r="F6310" t="str">
        <v>-</v>
      </c>
      <c r="G6310" t="str">
        <v>-</v>
      </c>
    </row>
    <row r="6311">
      <c r="A6311">
        <v>6310</v>
      </c>
      <c r="B6311">
        <f>HYPERLINK("https://tanmy.tpbacgiang.bacgiang.gov.vn/", "UBND Ủy ban nhân dân xã Tân Mỹ  tỉnh Bắc Giang")</f>
      </c>
      <c r="C6311" t="str">
        <v>https://tanmy.tpbacgiang.bacgiang.gov.vn/</v>
      </c>
      <c r="D6311" t="str">
        <v>-</v>
      </c>
      <c r="E6311" t="str">
        <v>-</v>
      </c>
      <c r="F6311" t="str">
        <v>-</v>
      </c>
      <c r="G6311" t="str">
        <v>-</v>
      </c>
    </row>
    <row r="6312">
      <c r="A6312">
        <v>6311</v>
      </c>
      <c r="B6312" t="str">
        <v>Công an xã Đồng Sơn  tỉnh Bắc Giang</v>
      </c>
      <c r="C6312" t="str">
        <v>-</v>
      </c>
      <c r="D6312" t="str">
        <v>-</v>
      </c>
      <c r="E6312" t="str">
        <v/>
      </c>
      <c r="F6312" t="str">
        <v>-</v>
      </c>
      <c r="G6312" t="str">
        <v>-</v>
      </c>
    </row>
    <row r="6313">
      <c r="A6313">
        <v>6312</v>
      </c>
      <c r="B6313">
        <f>HYPERLINK("https://dongson.tpbacgiang.bacgiang.gov.vn/", "UBND Ủy ban nhân dân xã Đồng Sơn  tỉnh Bắc Giang")</f>
      </c>
      <c r="C6313" t="str">
        <v>https://dongson.tpbacgiang.bacgiang.gov.vn/</v>
      </c>
      <c r="D6313" t="str">
        <v>-</v>
      </c>
      <c r="E6313" t="str">
        <v>-</v>
      </c>
      <c r="F6313" t="str">
        <v>-</v>
      </c>
      <c r="G6313" t="str">
        <v>-</v>
      </c>
    </row>
    <row r="6314">
      <c r="A6314">
        <v>6313</v>
      </c>
      <c r="B6314" t="str">
        <v>Công an xã Tân Tiến  tỉnh Bắc Giang</v>
      </c>
      <c r="C6314" t="str">
        <v>-</v>
      </c>
      <c r="D6314" t="str">
        <v>-</v>
      </c>
      <c r="E6314" t="str">
        <v/>
      </c>
      <c r="F6314" t="str">
        <v>-</v>
      </c>
      <c r="G6314" t="str">
        <v>-</v>
      </c>
    </row>
    <row r="6315">
      <c r="A6315">
        <v>6314</v>
      </c>
      <c r="B6315">
        <f>HYPERLINK("https://tantien.tpbacgiang.bacgiang.gov.vn/", "UBND Ủy ban nhân dân xã Tân Tiến  tỉnh Bắc Giang")</f>
      </c>
      <c r="C6315" t="str">
        <v>https://tantien.tpbacgiang.bacgiang.gov.vn/</v>
      </c>
      <c r="D6315" t="str">
        <v>-</v>
      </c>
      <c r="E6315" t="str">
        <v>-</v>
      </c>
      <c r="F6315" t="str">
        <v>-</v>
      </c>
      <c r="G6315" t="str">
        <v>-</v>
      </c>
    </row>
    <row r="6316">
      <c r="A6316">
        <v>6315</v>
      </c>
      <c r="B6316">
        <f>HYPERLINK("https://www.facebook.com/BacGiangcitytelevision/videos/tri%E1%BB%83n-khai-ph%C6%B0%C6%A1ng-%C3%A1n-c%C6%B0%E1%BB%A1ng-ch%E1%BA%BF-thu-h%E1%BB%93i-%C4%91%E1%BA%A5t-th%E1%BB%B1c-hi%E1%BB%87n-d%E1%BB%B1-%C3%A1n-kdc-song-kh%C3%AA-2-x%C3%A3-son/567532695659620/", "Công an xã Song Khê  tỉnh Bắc Giang")</f>
      </c>
      <c r="C6316" t="str">
        <v>https://www.facebook.com/BacGiangcitytelevision/videos/tri%E1%BB%83n-khai-ph%C6%B0%C6%A1ng-%C3%A1n-c%C6%B0%E1%BB%A1ng-ch%E1%BA%BF-thu-h%E1%BB%93i-%C4%91%E1%BA%A5t-th%E1%BB%B1c-hi%E1%BB%87n-d%E1%BB%B1-%C3%A1n-kdc-song-kh%C3%AA-2-x%C3%A3-son/567532695659620/</v>
      </c>
      <c r="D6316" t="str">
        <v>-</v>
      </c>
      <c r="E6316" t="str">
        <v/>
      </c>
      <c r="F6316" t="str">
        <v>-</v>
      </c>
      <c r="G6316" t="str">
        <v>-</v>
      </c>
    </row>
    <row r="6317">
      <c r="A6317">
        <v>6316</v>
      </c>
      <c r="B6317">
        <f>HYPERLINK("https://songkhe.tpbacgiang.bacgiang.gov.vn/", "UBND Ủy ban nhân dân xã Song Khê  tỉnh Bắc Giang")</f>
      </c>
      <c r="C6317" t="str">
        <v>https://songkhe.tpbacgiang.bacgiang.gov.vn/</v>
      </c>
      <c r="D6317" t="str">
        <v>-</v>
      </c>
      <c r="E6317" t="str">
        <v>-</v>
      </c>
      <c r="F6317" t="str">
        <v>-</v>
      </c>
      <c r="G6317" t="str">
        <v>-</v>
      </c>
    </row>
    <row r="6318">
      <c r="A6318">
        <v>6317</v>
      </c>
      <c r="B6318" t="str">
        <v>Công an thị trấn Cầu Gồ  tỉnh Bắc Giang</v>
      </c>
      <c r="C6318" t="str">
        <v>-</v>
      </c>
      <c r="D6318" t="str">
        <v>-</v>
      </c>
      <c r="E6318" t="str">
        <v/>
      </c>
      <c r="F6318" t="str">
        <v>-</v>
      </c>
      <c r="G6318" t="str">
        <v>-</v>
      </c>
    </row>
    <row r="6319">
      <c r="A6319">
        <v>6318</v>
      </c>
      <c r="B6319">
        <f>HYPERLINK("https://ttboha.yenthe.bacgiang.gov.vn/chi-tiet-tin-tuc/-/asset_publisher/M0UUAFstbTMq/content/yen-the-nhap-xa-bo-ha-vao-thi-tran-bo-ha-thanh-lap-thi-tran-bo-ha-nhap-xa-phon-xuong-vao-thi-tran-cau-go-thanh-lap-thi-tran-phon-xuong", "UBND Ủy ban nhân dân thị trấn Cầu Gồ  tỉnh Bắc Giang")</f>
      </c>
      <c r="C6319" t="str">
        <v>https://ttboha.yenthe.bacgiang.gov.vn/chi-tiet-tin-tuc/-/asset_publisher/M0UUAFstbTMq/content/yen-the-nhap-xa-bo-ha-vao-thi-tran-bo-ha-thanh-lap-thi-tran-bo-ha-nhap-xa-phon-xuong-vao-thi-tran-cau-go-thanh-lap-thi-tran-phon-xuong</v>
      </c>
      <c r="D6319" t="str">
        <v>-</v>
      </c>
      <c r="E6319" t="str">
        <v>-</v>
      </c>
      <c r="F6319" t="str">
        <v>-</v>
      </c>
      <c r="G6319" t="str">
        <v>-</v>
      </c>
    </row>
    <row r="6320">
      <c r="A6320">
        <v>6319</v>
      </c>
      <c r="B6320">
        <f>HYPERLINK("https://www.facebook.com/conganttbohayenthe.bacgiang/", "Công an thị trấn Bố Hạ  tỉnh Bắc Giang")</f>
      </c>
      <c r="C6320" t="str">
        <v>https://www.facebook.com/conganttbohayenthe.bacgiang/</v>
      </c>
      <c r="D6320" t="str">
        <v>-</v>
      </c>
      <c r="E6320" t="str">
        <v/>
      </c>
      <c r="F6320" t="str">
        <v>-</v>
      </c>
      <c r="G6320" t="str">
        <v>-</v>
      </c>
    </row>
    <row r="6321">
      <c r="A6321">
        <v>6320</v>
      </c>
      <c r="B6321">
        <f>HYPERLINK("https://ttboha.yenthe.bacgiang.gov.vn/", "UBND Ủy ban nhân dân thị trấn Bố Hạ  tỉnh Bắc Giang")</f>
      </c>
      <c r="C6321" t="str">
        <v>https://ttboha.yenthe.bacgiang.gov.vn/</v>
      </c>
      <c r="D6321" t="str">
        <v>-</v>
      </c>
      <c r="E6321" t="str">
        <v>-</v>
      </c>
      <c r="F6321" t="str">
        <v>-</v>
      </c>
      <c r="G6321" t="str">
        <v>-</v>
      </c>
    </row>
    <row r="6322">
      <c r="A6322">
        <v>6321</v>
      </c>
      <c r="B6322">
        <f>HYPERLINK("https://www.facebook.com/p/C%C3%B4ng-an-x%C3%A3-%C4%90%E1%BB%93ng-Ti%E1%BA%BFn-Y%C3%AAn-Th%E1%BA%BF-B%E1%BA%AFc-Giang-100055980432762/", "Công an xã Đồng Tiến  tỉnh Bắc Giang")</f>
      </c>
      <c r="C6322" t="str">
        <v>https://www.facebook.com/p/C%C3%B4ng-an-x%C3%A3-%C4%90%E1%BB%93ng-Ti%E1%BA%BFn-Y%C3%AAn-Th%E1%BA%BF-B%E1%BA%AFc-Giang-100055980432762/</v>
      </c>
      <c r="D6322" t="str">
        <v>-</v>
      </c>
      <c r="E6322" t="str">
        <v/>
      </c>
      <c r="F6322" t="str">
        <v>-</v>
      </c>
      <c r="G6322" t="str">
        <v>-</v>
      </c>
    </row>
    <row r="6323">
      <c r="A6323">
        <v>6322</v>
      </c>
      <c r="B6323">
        <f>HYPERLINK("https://dongtien.yenthe.bacgiang.gov.vn/", "UBND Ủy ban nhân dân xã Đồng Tiến  tỉnh Bắc Giang")</f>
      </c>
      <c r="C6323" t="str">
        <v>https://dongtien.yenthe.bacgiang.gov.vn/</v>
      </c>
      <c r="D6323" t="str">
        <v>-</v>
      </c>
      <c r="E6323" t="str">
        <v>-</v>
      </c>
      <c r="F6323" t="str">
        <v>-</v>
      </c>
      <c r="G6323" t="str">
        <v>-</v>
      </c>
    </row>
    <row r="6324">
      <c r="A6324">
        <v>6323</v>
      </c>
      <c r="B6324" t="str">
        <v>Công an xã Canh Nậu  tỉnh Bắc Giang</v>
      </c>
      <c r="C6324" t="str">
        <v>-</v>
      </c>
      <c r="D6324" t="str">
        <v>-</v>
      </c>
      <c r="E6324" t="str">
        <v/>
      </c>
      <c r="F6324" t="str">
        <v>-</v>
      </c>
      <c r="G6324" t="str">
        <v>-</v>
      </c>
    </row>
    <row r="6325">
      <c r="A6325">
        <v>6324</v>
      </c>
      <c r="B6325">
        <f>HYPERLINK("https://canhnau.yenthe.bacgiang.gov.vn/", "UBND Ủy ban nhân dân xã Canh Nậu  tỉnh Bắc Giang")</f>
      </c>
      <c r="C6325" t="str">
        <v>https://canhnau.yenthe.bacgiang.gov.vn/</v>
      </c>
      <c r="D6325" t="str">
        <v>-</v>
      </c>
      <c r="E6325" t="str">
        <v>-</v>
      </c>
      <c r="F6325" t="str">
        <v>-</v>
      </c>
      <c r="G6325" t="str">
        <v>-</v>
      </c>
    </row>
    <row r="6326">
      <c r="A6326">
        <v>6325</v>
      </c>
      <c r="B6326" t="str">
        <v>Công an xã Xuân Lương  tỉnh Bắc Giang</v>
      </c>
      <c r="C6326" t="str">
        <v>-</v>
      </c>
      <c r="D6326" t="str">
        <v>-</v>
      </c>
      <c r="E6326" t="str">
        <v/>
      </c>
      <c r="F6326" t="str">
        <v>-</v>
      </c>
      <c r="G6326" t="str">
        <v>-</v>
      </c>
    </row>
    <row r="6327">
      <c r="A6327">
        <v>6326</v>
      </c>
      <c r="B6327">
        <f>HYPERLINK("https://xuanluong.yenthe.bacgiang.gov.vn/", "UBND Ủy ban nhân dân xã Xuân Lương  tỉnh Bắc Giang")</f>
      </c>
      <c r="C6327" t="str">
        <v>https://xuanluong.yenthe.bacgiang.gov.vn/</v>
      </c>
      <c r="D6327" t="str">
        <v>-</v>
      </c>
      <c r="E6327" t="str">
        <v>-</v>
      </c>
      <c r="F6327" t="str">
        <v>-</v>
      </c>
      <c r="G6327" t="str">
        <v>-</v>
      </c>
    </row>
    <row r="6328">
      <c r="A6328">
        <v>6327</v>
      </c>
      <c r="B6328">
        <f>HYPERLINK("https://www.facebook.com/p/C%C3%B4ng-an-x%C3%A3-Tam-Ti%E1%BA%BFn-huy%E1%BB%87n-Y%C3%AAn-Th%E1%BA%BF-B%E1%BA%AFc-Giang-100063760157490/", "Công an xã Tam Tiến  tỉnh Bắc Giang")</f>
      </c>
      <c r="C6328" t="str">
        <v>https://www.facebook.com/p/C%C3%B4ng-an-x%C3%A3-Tam-Ti%E1%BA%BFn-huy%E1%BB%87n-Y%C3%AAn-Th%E1%BA%BF-B%E1%BA%AFc-Giang-100063760157490/</v>
      </c>
      <c r="D6328" t="str">
        <v>-</v>
      </c>
      <c r="E6328" t="str">
        <v/>
      </c>
      <c r="F6328" t="str">
        <v>-</v>
      </c>
      <c r="G6328" t="str">
        <v>-</v>
      </c>
    </row>
    <row r="6329">
      <c r="A6329">
        <v>6328</v>
      </c>
      <c r="B6329">
        <f>HYPERLINK("https://tamtien.yenthe.bacgiang.gov.vn/", "UBND Ủy ban nhân dân xã Tam Tiến  tỉnh Bắc Giang")</f>
      </c>
      <c r="C6329" t="str">
        <v>https://tamtien.yenthe.bacgiang.gov.vn/</v>
      </c>
      <c r="D6329" t="str">
        <v>-</v>
      </c>
      <c r="E6329" t="str">
        <v>-</v>
      </c>
      <c r="F6329" t="str">
        <v>-</v>
      </c>
      <c r="G6329" t="str">
        <v>-</v>
      </c>
    </row>
    <row r="6330">
      <c r="A6330">
        <v>6329</v>
      </c>
      <c r="B6330">
        <f>HYPERLINK("https://www.facebook.com/p/C%C3%B4ng-an-x%C3%A3-%C4%90%E1%BB%93ng-V%C6%B0%C6%A1ng-Y%C3%AAn-Th%E1%BA%BF-100023841949778/", "Công an xã Đồng Vương  tỉnh Bắc Giang")</f>
      </c>
      <c r="C6330" t="str">
        <v>https://www.facebook.com/p/C%C3%B4ng-an-x%C3%A3-%C4%90%E1%BB%93ng-V%C6%B0%C6%A1ng-Y%C3%AAn-Th%E1%BA%BF-100023841949778/</v>
      </c>
      <c r="D6330" t="str">
        <v>-</v>
      </c>
      <c r="E6330" t="str">
        <v/>
      </c>
      <c r="F6330" t="str">
        <v>-</v>
      </c>
      <c r="G6330" t="str">
        <v>-</v>
      </c>
    </row>
    <row r="6331">
      <c r="A6331">
        <v>6330</v>
      </c>
      <c r="B6331">
        <f>HYPERLINK("https://dongvuong.yenthe.bacgiang.gov.vn/", "UBND Ủy ban nhân dân xã Đồng Vương  tỉnh Bắc Giang")</f>
      </c>
      <c r="C6331" t="str">
        <v>https://dongvuong.yenthe.bacgiang.gov.vn/</v>
      </c>
      <c r="D6331" t="str">
        <v>-</v>
      </c>
      <c r="E6331" t="str">
        <v>-</v>
      </c>
      <c r="F6331" t="str">
        <v>-</v>
      </c>
      <c r="G6331" t="str">
        <v>-</v>
      </c>
    </row>
    <row r="6332">
      <c r="A6332">
        <v>6331</v>
      </c>
      <c r="B6332">
        <f>HYPERLINK("https://www.facebook.com/p/C%C3%B4ng-an-x%C3%A3-%C4%90%E1%BB%93ng-H%C6%B0u-huy%E1%BB%87n-Y%C3%AAn-Th%E1%BA%BF-t%E1%BB%89nh-B%E1%BA%AFc-Giang-100063475754164/", "Công an xã Đồng Hưu  tỉnh Bắc Giang")</f>
      </c>
      <c r="C6332" t="str">
        <v>https://www.facebook.com/p/C%C3%B4ng-an-x%C3%A3-%C4%90%E1%BB%93ng-H%C6%B0u-huy%E1%BB%87n-Y%C3%AAn-Th%E1%BA%BF-t%E1%BB%89nh-B%E1%BA%AFc-Giang-100063475754164/</v>
      </c>
      <c r="D6332" t="str">
        <v>-</v>
      </c>
      <c r="E6332" t="str">
        <v/>
      </c>
      <c r="F6332" t="str">
        <v>-</v>
      </c>
      <c r="G6332" t="str">
        <v>-</v>
      </c>
    </row>
    <row r="6333">
      <c r="A6333">
        <v>6332</v>
      </c>
      <c r="B6333">
        <f>HYPERLINK("https://donghuu.yenthe.bacgiang.gov.vn/", "UBND Ủy ban nhân dân xã Đồng Hưu  tỉnh Bắc Giang")</f>
      </c>
      <c r="C6333" t="str">
        <v>https://donghuu.yenthe.bacgiang.gov.vn/</v>
      </c>
      <c r="D6333" t="str">
        <v>-</v>
      </c>
      <c r="E6333" t="str">
        <v>-</v>
      </c>
      <c r="F6333" t="str">
        <v>-</v>
      </c>
      <c r="G6333" t="str">
        <v>-</v>
      </c>
    </row>
    <row r="6334">
      <c r="A6334">
        <v>6333</v>
      </c>
      <c r="B6334" t="str">
        <v>Công an xã Đồng Tâm  tỉnh Bắc Giang</v>
      </c>
      <c r="C6334" t="str">
        <v>-</v>
      </c>
      <c r="D6334" t="str">
        <v>-</v>
      </c>
      <c r="E6334" t="str">
        <v/>
      </c>
      <c r="F6334" t="str">
        <v>-</v>
      </c>
      <c r="G6334" t="str">
        <v>-</v>
      </c>
    </row>
    <row r="6335">
      <c r="A6335">
        <v>6334</v>
      </c>
      <c r="B6335">
        <f>HYPERLINK("https://dongtam.yenthe.bacgiang.gov.vn/", "UBND Ủy ban nhân dân xã Đồng Tâm  tỉnh Bắc Giang")</f>
      </c>
      <c r="C6335" t="str">
        <v>https://dongtam.yenthe.bacgiang.gov.vn/</v>
      </c>
      <c r="D6335" t="str">
        <v>-</v>
      </c>
      <c r="E6335" t="str">
        <v>-</v>
      </c>
      <c r="F6335" t="str">
        <v>-</v>
      </c>
      <c r="G6335" t="str">
        <v>-</v>
      </c>
    </row>
    <row r="6336">
      <c r="A6336">
        <v>6335</v>
      </c>
      <c r="B6336">
        <f>HYPERLINK("https://www.facebook.com/p/C%C3%B4ng-an-x%C3%A3-Tam-Hi%E1%BB%87p-huy%E1%BB%87n-Y%C3%AAn-Th%E1%BA%BF-61551214854498/", "Công an xã Tam Hiệp  tỉnh Bắc Giang")</f>
      </c>
      <c r="C6336" t="str">
        <v>https://www.facebook.com/p/C%C3%B4ng-an-x%C3%A3-Tam-Hi%E1%BB%87p-huy%E1%BB%87n-Y%C3%AAn-Th%E1%BA%BF-61551214854498/</v>
      </c>
      <c r="D6336" t="str">
        <v>-</v>
      </c>
      <c r="E6336" t="str">
        <v/>
      </c>
      <c r="F6336" t="str">
        <v>-</v>
      </c>
      <c r="G6336" t="str">
        <v>-</v>
      </c>
    </row>
    <row r="6337">
      <c r="A6337">
        <v>6336</v>
      </c>
      <c r="B6337">
        <f>HYPERLINK("https://tamhiep.yenthe.bacgiang.gov.vn/", "UBND Ủy ban nhân dân xã Tam Hiệp  tỉnh Bắc Giang")</f>
      </c>
      <c r="C6337" t="str">
        <v>https://tamhiep.yenthe.bacgiang.gov.vn/</v>
      </c>
      <c r="D6337" t="str">
        <v>-</v>
      </c>
      <c r="E6337" t="str">
        <v>-</v>
      </c>
      <c r="F6337" t="str">
        <v>-</v>
      </c>
      <c r="G6337" t="str">
        <v>-</v>
      </c>
    </row>
    <row r="6338">
      <c r="A6338">
        <v>6337</v>
      </c>
      <c r="B6338" t="str">
        <v>Công an xã Tiến Thắng  tỉnh Bắc Giang</v>
      </c>
      <c r="C6338" t="str">
        <v>-</v>
      </c>
      <c r="D6338" t="str">
        <v>-</v>
      </c>
      <c r="E6338" t="str">
        <v/>
      </c>
      <c r="F6338" t="str">
        <v>-</v>
      </c>
      <c r="G6338" t="str">
        <v>-</v>
      </c>
    </row>
    <row r="6339">
      <c r="A6339">
        <v>6338</v>
      </c>
      <c r="B6339">
        <f>HYPERLINK("https://tienthang.yenthe.bacgiang.gov.vn/", "UBND Ủy ban nhân dân xã Tiến Thắng  tỉnh Bắc Giang")</f>
      </c>
      <c r="C6339" t="str">
        <v>https://tienthang.yenthe.bacgiang.gov.vn/</v>
      </c>
      <c r="D6339" t="str">
        <v>-</v>
      </c>
      <c r="E6339" t="str">
        <v>-</v>
      </c>
      <c r="F6339" t="str">
        <v>-</v>
      </c>
      <c r="G6339" t="str">
        <v>-</v>
      </c>
    </row>
    <row r="6340">
      <c r="A6340">
        <v>6339</v>
      </c>
      <c r="B6340" t="str">
        <v>Công an xã Hồng Kỳ  tỉnh Bắc Giang</v>
      </c>
      <c r="C6340" t="str">
        <v>-</v>
      </c>
      <c r="D6340" t="str">
        <v>-</v>
      </c>
      <c r="E6340" t="str">
        <v/>
      </c>
      <c r="F6340" t="str">
        <v>-</v>
      </c>
      <c r="G6340" t="str">
        <v>-</v>
      </c>
    </row>
    <row r="6341">
      <c r="A6341">
        <v>6340</v>
      </c>
      <c r="B6341">
        <f>HYPERLINK("https://hongky.yenthe.bacgiang.gov.vn/", "UBND Ủy ban nhân dân xã Hồng Kỳ  tỉnh Bắc Giang")</f>
      </c>
      <c r="C6341" t="str">
        <v>https://hongky.yenthe.bacgiang.gov.vn/</v>
      </c>
      <c r="D6341" t="str">
        <v>-</v>
      </c>
      <c r="E6341" t="str">
        <v>-</v>
      </c>
      <c r="F6341" t="str">
        <v>-</v>
      </c>
      <c r="G6341" t="str">
        <v>-</v>
      </c>
    </row>
    <row r="6342">
      <c r="A6342">
        <v>6341</v>
      </c>
      <c r="B6342">
        <f>HYPERLINK("https://www.facebook.com/p/C%C3%B4ng-an-x%C3%A3-%C4%90%E1%BB%93ng-L%E1%BA%A1chuy%E1%BB%87n-Y%C3%AAn-Th%E1%BA%BF-t%E1%BB%89nh-B%E1%BA%AFc-Giang-100064084207434/", "Công an xã Đồng Lạc  tỉnh Bắc Giang")</f>
      </c>
      <c r="C6342" t="str">
        <v>https://www.facebook.com/p/C%C3%B4ng-an-x%C3%A3-%C4%90%E1%BB%93ng-L%E1%BA%A1chuy%E1%BB%87n-Y%C3%AAn-Th%E1%BA%BF-t%E1%BB%89nh-B%E1%BA%AFc-Giang-100064084207434/</v>
      </c>
      <c r="D6342" t="str">
        <v>-</v>
      </c>
      <c r="E6342" t="str">
        <v/>
      </c>
      <c r="F6342" t="str">
        <v>-</v>
      </c>
      <c r="G6342" t="str">
        <v>-</v>
      </c>
    </row>
    <row r="6343">
      <c r="A6343">
        <v>6342</v>
      </c>
      <c r="B6343">
        <f>HYPERLINK("https://donglac.yenthe.bacgiang.gov.vn/", "UBND Ủy ban nhân dân xã Đồng Lạc  tỉnh Bắc Giang")</f>
      </c>
      <c r="C6343" t="str">
        <v>https://donglac.yenthe.bacgiang.gov.vn/</v>
      </c>
      <c r="D6343" t="str">
        <v>-</v>
      </c>
      <c r="E6343" t="str">
        <v>-</v>
      </c>
      <c r="F6343" t="str">
        <v>-</v>
      </c>
      <c r="G6343" t="str">
        <v>-</v>
      </c>
    </row>
    <row r="6344">
      <c r="A6344">
        <v>6343</v>
      </c>
      <c r="B6344">
        <f>HYPERLINK("https://www.facebook.com/conganxadongson/", "Công an xã Đông Sơn  tỉnh Bắc Giang")</f>
      </c>
      <c r="C6344" t="str">
        <v>https://www.facebook.com/conganxadongson/</v>
      </c>
      <c r="D6344" t="str">
        <v>-</v>
      </c>
      <c r="E6344" t="str">
        <v/>
      </c>
      <c r="F6344" t="str">
        <v>-</v>
      </c>
      <c r="G6344" t="str">
        <v>-</v>
      </c>
    </row>
    <row r="6345">
      <c r="A6345">
        <v>6344</v>
      </c>
      <c r="B6345">
        <f>HYPERLINK("https://dongson.tpbacgiang.bacgiang.gov.vn/", "UBND Ủy ban nhân dân xã Đông Sơn  tỉnh Bắc Giang")</f>
      </c>
      <c r="C6345" t="str">
        <v>https://dongson.tpbacgiang.bacgiang.gov.vn/</v>
      </c>
      <c r="D6345" t="str">
        <v>-</v>
      </c>
      <c r="E6345" t="str">
        <v>-</v>
      </c>
      <c r="F6345" t="str">
        <v>-</v>
      </c>
      <c r="G6345" t="str">
        <v>-</v>
      </c>
    </row>
    <row r="6346">
      <c r="A6346">
        <v>6345</v>
      </c>
      <c r="B6346">
        <f>HYPERLINK("https://www.facebook.com/caxtanhiep/", "Công an xã Tân Hiệp  tỉnh Bắc Giang")</f>
      </c>
      <c r="C6346" t="str">
        <v>https://www.facebook.com/caxtanhiep/</v>
      </c>
      <c r="D6346" t="str">
        <v>-</v>
      </c>
      <c r="E6346" t="str">
        <v/>
      </c>
      <c r="F6346" t="str">
        <v>-</v>
      </c>
      <c r="G6346" t="str">
        <v>-</v>
      </c>
    </row>
    <row r="6347">
      <c r="A6347">
        <v>6346</v>
      </c>
      <c r="B6347">
        <f>HYPERLINK("https://tanhiep.yenthe.bacgiang.gov.vn/", "UBND Ủy ban nhân dân xã Tân Hiệp  tỉnh Bắc Giang")</f>
      </c>
      <c r="C6347" t="str">
        <v>https://tanhiep.yenthe.bacgiang.gov.vn/</v>
      </c>
      <c r="D6347" t="str">
        <v>-</v>
      </c>
      <c r="E6347" t="str">
        <v>-</v>
      </c>
      <c r="F6347" t="str">
        <v>-</v>
      </c>
      <c r="G6347" t="str">
        <v>-</v>
      </c>
    </row>
    <row r="6348">
      <c r="A6348">
        <v>6347</v>
      </c>
      <c r="B6348">
        <f>HYPERLINK("https://www.facebook.com/caxhuongvi/", "Công an xã Hương Vĩ  tỉnh Bắc Giang")</f>
      </c>
      <c r="C6348" t="str">
        <v>https://www.facebook.com/caxhuongvi/</v>
      </c>
      <c r="D6348" t="str">
        <v>-</v>
      </c>
      <c r="E6348" t="str">
        <v/>
      </c>
      <c r="F6348" t="str">
        <v>-</v>
      </c>
      <c r="G6348" t="str">
        <v>-</v>
      </c>
    </row>
    <row r="6349">
      <c r="A6349">
        <v>6348</v>
      </c>
      <c r="B6349">
        <f>HYPERLINK("https://huongvi.yenthe.bacgiang.gov.vn/", "UBND Ủy ban nhân dân xã Hương Vĩ  tỉnh Bắc Giang")</f>
      </c>
      <c r="C6349" t="str">
        <v>https://huongvi.yenthe.bacgiang.gov.vn/</v>
      </c>
      <c r="D6349" t="str">
        <v>-</v>
      </c>
      <c r="E6349" t="str">
        <v>-</v>
      </c>
      <c r="F6349" t="str">
        <v>-</v>
      </c>
      <c r="G6349" t="str">
        <v>-</v>
      </c>
    </row>
    <row r="6350">
      <c r="A6350">
        <v>6349</v>
      </c>
      <c r="B6350">
        <f>HYPERLINK("https://www.facebook.com/p/C%C3%B4ng-an-x%C3%A3-%C4%90%E1%BB%93ng-K%E1%BB%B3-huy%E1%BB%87n-Y%C3%AAn-Th%E1%BA%BF-100040276068469/", "Công an xã Đồng Kỳ  tỉnh Bắc Giang")</f>
      </c>
      <c r="C6350" t="str">
        <v>https://www.facebook.com/p/C%C3%B4ng-an-x%C3%A3-%C4%90%E1%BB%93ng-K%E1%BB%B3-huy%E1%BB%87n-Y%C3%AAn-Th%E1%BA%BF-100040276068469/</v>
      </c>
      <c r="D6350" t="str">
        <v>-</v>
      </c>
      <c r="E6350" t="str">
        <v/>
      </c>
      <c r="F6350" t="str">
        <v>-</v>
      </c>
      <c r="G6350" t="str">
        <v>-</v>
      </c>
    </row>
    <row r="6351">
      <c r="A6351">
        <v>6350</v>
      </c>
      <c r="B6351">
        <f>HYPERLINK("https://dongky.yenthe.bacgiang.gov.vn/", "UBND Ủy ban nhân dân xã Đồng Kỳ  tỉnh Bắc Giang")</f>
      </c>
      <c r="C6351" t="str">
        <v>https://dongky.yenthe.bacgiang.gov.vn/</v>
      </c>
      <c r="D6351" t="str">
        <v>-</v>
      </c>
      <c r="E6351" t="str">
        <v>-</v>
      </c>
      <c r="F6351" t="str">
        <v>-</v>
      </c>
      <c r="G6351" t="str">
        <v>-</v>
      </c>
    </row>
    <row r="6352">
      <c r="A6352">
        <v>6351</v>
      </c>
      <c r="B6352">
        <f>HYPERLINK("https://www.facebook.com/caxanthuongytbg/", "Công an xã An Thượng  tỉnh Bắc Giang")</f>
      </c>
      <c r="C6352" t="str">
        <v>https://www.facebook.com/caxanthuongytbg/</v>
      </c>
      <c r="D6352" t="str">
        <v>-</v>
      </c>
      <c r="E6352" t="str">
        <v/>
      </c>
      <c r="F6352" t="str">
        <v>-</v>
      </c>
      <c r="G6352" t="str">
        <v>-</v>
      </c>
    </row>
    <row r="6353">
      <c r="A6353">
        <v>6352</v>
      </c>
      <c r="B6353">
        <f>HYPERLINK("https://anthuong.yenthe.bacgiang.gov.vn/", "UBND Ủy ban nhân dân xã An Thượng  tỉnh Bắc Giang")</f>
      </c>
      <c r="C6353" t="str">
        <v>https://anthuong.yenthe.bacgiang.gov.vn/</v>
      </c>
      <c r="D6353" t="str">
        <v>-</v>
      </c>
      <c r="E6353" t="str">
        <v>-</v>
      </c>
      <c r="F6353" t="str">
        <v>-</v>
      </c>
      <c r="G6353" t="str">
        <v>-</v>
      </c>
    </row>
    <row r="6354">
      <c r="A6354">
        <v>6353</v>
      </c>
      <c r="B6354" t="str">
        <v>Công an xã Phồn Xương  tỉnh Bắc Giang</v>
      </c>
      <c r="C6354" t="str">
        <v>-</v>
      </c>
      <c r="D6354" t="str">
        <v>-</v>
      </c>
      <c r="E6354" t="str">
        <v/>
      </c>
      <c r="F6354" t="str">
        <v>-</v>
      </c>
      <c r="G6354" t="str">
        <v>-</v>
      </c>
    </row>
    <row r="6355">
      <c r="A6355">
        <v>6354</v>
      </c>
      <c r="B6355">
        <f>HYPERLINK("https://yenthe.bacgiang.gov.vn/cac-xa-thi-tran", "UBND Ủy ban nhân dân xã Phồn Xương  tỉnh Bắc Giang")</f>
      </c>
      <c r="C6355" t="str">
        <v>https://yenthe.bacgiang.gov.vn/cac-xa-thi-tran</v>
      </c>
      <c r="D6355" t="str">
        <v>-</v>
      </c>
      <c r="E6355" t="str">
        <v>-</v>
      </c>
      <c r="F6355" t="str">
        <v>-</v>
      </c>
      <c r="G6355" t="str">
        <v>-</v>
      </c>
    </row>
    <row r="6356">
      <c r="A6356">
        <v>6355</v>
      </c>
      <c r="B6356">
        <f>HYPERLINK("https://www.facebook.com/conganxathaidao/videos/800154997621765/", "Công an xã Tân Sỏi  tỉnh Bắc Giang")</f>
      </c>
      <c r="C6356" t="str">
        <v>https://www.facebook.com/conganxathaidao/videos/800154997621765/</v>
      </c>
      <c r="D6356" t="str">
        <v>-</v>
      </c>
      <c r="E6356" t="str">
        <v/>
      </c>
      <c r="F6356" t="str">
        <v>-</v>
      </c>
      <c r="G6356" t="str">
        <v>-</v>
      </c>
    </row>
    <row r="6357">
      <c r="A6357">
        <v>6356</v>
      </c>
      <c r="B6357">
        <f>HYPERLINK("https://tansoi.yenthe.bacgiang.gov.vn/", "UBND Ủy ban nhân dân xã Tân Sỏi  tỉnh Bắc Giang")</f>
      </c>
      <c r="C6357" t="str">
        <v>https://tansoi.yenthe.bacgiang.gov.vn/</v>
      </c>
      <c r="D6357" t="str">
        <v>-</v>
      </c>
      <c r="E6357" t="str">
        <v>-</v>
      </c>
      <c r="F6357" t="str">
        <v>-</v>
      </c>
      <c r="G6357" t="str">
        <v>-</v>
      </c>
    </row>
    <row r="6358">
      <c r="A6358">
        <v>6357</v>
      </c>
      <c r="B6358">
        <f>HYPERLINK("https://www.facebook.com/conganttbohayenthe.bacgiang/", "Công an xã Bố Hạ  tỉnh Bắc Giang")</f>
      </c>
      <c r="C6358" t="str">
        <v>https://www.facebook.com/conganttbohayenthe.bacgiang/</v>
      </c>
      <c r="D6358" t="str">
        <v>-</v>
      </c>
      <c r="E6358" t="str">
        <v/>
      </c>
      <c r="F6358" t="str">
        <v>-</v>
      </c>
      <c r="G6358" t="str">
        <v>-</v>
      </c>
    </row>
    <row r="6359">
      <c r="A6359">
        <v>6358</v>
      </c>
      <c r="B6359">
        <f>HYPERLINK("https://ttboha.yenthe.bacgiang.gov.vn/", "UBND Ủy ban nhân dân xã Bố Hạ  tỉnh Bắc Giang")</f>
      </c>
      <c r="C6359" t="str">
        <v>https://ttboha.yenthe.bacgiang.gov.vn/</v>
      </c>
      <c r="D6359" t="str">
        <v>-</v>
      </c>
      <c r="E6359" t="str">
        <v>-</v>
      </c>
      <c r="F6359" t="str">
        <v>-</v>
      </c>
      <c r="G6359" t="str">
        <v>-</v>
      </c>
    </row>
    <row r="6360">
      <c r="A6360">
        <v>6359</v>
      </c>
      <c r="B6360">
        <f>HYPERLINK("https://www.facebook.com/p/C%C3%B4ng-an-huy%E1%BB%87n-T%C3%A2n-Y%C3%AAn-B%E1%BA%AFc-Giang-100080975141230/?locale=fa_IR", "Công an thị trấn Cao Thượng  tỉnh Bắc Giang")</f>
      </c>
      <c r="C6360" t="str">
        <v>https://www.facebook.com/p/C%C3%B4ng-an-huy%E1%BB%87n-T%C3%A2n-Y%C3%AAn-B%E1%BA%AFc-Giang-100080975141230/?locale=fa_IR</v>
      </c>
      <c r="D6360" t="str">
        <v>-</v>
      </c>
      <c r="E6360" t="str">
        <v/>
      </c>
      <c r="F6360" t="str">
        <v>-</v>
      </c>
      <c r="G6360" t="str">
        <v>-</v>
      </c>
    </row>
    <row r="6361">
      <c r="A6361">
        <v>6360</v>
      </c>
      <c r="B6361">
        <f>HYPERLINK("https://thitrancaothuong.tanyen.bacgiang.gov.vn/", "UBND Ủy ban nhân dân thị trấn Cao Thượng  tỉnh Bắc Giang")</f>
      </c>
      <c r="C6361" t="str">
        <v>https://thitrancaothuong.tanyen.bacgiang.gov.vn/</v>
      </c>
      <c r="D6361" t="str">
        <v>-</v>
      </c>
      <c r="E6361" t="str">
        <v>-</v>
      </c>
      <c r="F6361" t="str">
        <v>-</v>
      </c>
      <c r="G6361" t="str">
        <v>-</v>
      </c>
    </row>
    <row r="6362">
      <c r="A6362">
        <v>6361</v>
      </c>
      <c r="B6362" t="str">
        <v>Công an thị trấn Nhã Nam  tỉnh Bắc Giang</v>
      </c>
      <c r="C6362" t="str">
        <v>-</v>
      </c>
      <c r="D6362" t="str">
        <v>-</v>
      </c>
      <c r="E6362" t="str">
        <v/>
      </c>
      <c r="F6362" t="str">
        <v>-</v>
      </c>
      <c r="G6362" t="str">
        <v>-</v>
      </c>
    </row>
    <row r="6363">
      <c r="A6363">
        <v>6362</v>
      </c>
      <c r="B6363">
        <f>HYPERLINK("https://thitrannhanam.tanyen.bacgiang.gov.vn/", "UBND Ủy ban nhân dân thị trấn Nhã Nam  tỉnh Bắc Giang")</f>
      </c>
      <c r="C6363" t="str">
        <v>https://thitrannhanam.tanyen.bacgiang.gov.vn/</v>
      </c>
      <c r="D6363" t="str">
        <v>-</v>
      </c>
      <c r="E6363" t="str">
        <v>-</v>
      </c>
      <c r="F6363" t="str">
        <v>-</v>
      </c>
      <c r="G6363" t="str">
        <v>-</v>
      </c>
    </row>
    <row r="6364">
      <c r="A6364">
        <v>6363</v>
      </c>
      <c r="B6364" t="str">
        <v>Công an xã Lan Giới  tỉnh Bắc Giang</v>
      </c>
      <c r="C6364" t="str">
        <v>-</v>
      </c>
      <c r="D6364" t="str">
        <v>-</v>
      </c>
      <c r="E6364" t="str">
        <v/>
      </c>
      <c r="F6364" t="str">
        <v>-</v>
      </c>
      <c r="G6364" t="str">
        <v>-</v>
      </c>
    </row>
    <row r="6365">
      <c r="A6365">
        <v>6364</v>
      </c>
      <c r="B6365">
        <f>HYPERLINK("https://langioi-tanyen.bacgiang.gov.vn/", "UBND Ủy ban nhân dân xã Lan Giới  tỉnh Bắc Giang")</f>
      </c>
      <c r="C6365" t="str">
        <v>https://langioi-tanyen.bacgiang.gov.vn/</v>
      </c>
      <c r="D6365" t="str">
        <v>-</v>
      </c>
      <c r="E6365" t="str">
        <v>-</v>
      </c>
      <c r="F6365" t="str">
        <v>-</v>
      </c>
      <c r="G6365" t="str">
        <v>-</v>
      </c>
    </row>
    <row r="6366">
      <c r="A6366">
        <v>6365</v>
      </c>
      <c r="B6366" t="str">
        <v>Công an xã Nhã Nam  tỉnh Bắc Giang</v>
      </c>
      <c r="C6366" t="str">
        <v>-</v>
      </c>
      <c r="D6366" t="str">
        <v>-</v>
      </c>
      <c r="E6366" t="str">
        <v/>
      </c>
      <c r="F6366" t="str">
        <v>-</v>
      </c>
      <c r="G6366" t="str">
        <v>-</v>
      </c>
    </row>
    <row r="6367">
      <c r="A6367">
        <v>6366</v>
      </c>
      <c r="B6367">
        <f>HYPERLINK("https://thitrannhanam.tanyen.bacgiang.gov.vn/", "UBND Ủy ban nhân dân xã Nhã Nam  tỉnh Bắc Giang")</f>
      </c>
      <c r="C6367" t="str">
        <v>https://thitrannhanam.tanyen.bacgiang.gov.vn/</v>
      </c>
      <c r="D6367" t="str">
        <v>-</v>
      </c>
      <c r="E6367" t="str">
        <v>-</v>
      </c>
      <c r="F6367" t="str">
        <v>-</v>
      </c>
      <c r="G6367" t="str">
        <v>-</v>
      </c>
    </row>
    <row r="6368">
      <c r="A6368">
        <v>6367</v>
      </c>
      <c r="B6368" t="str">
        <v>Công an xã Tân Trung  tỉnh Bắc Giang</v>
      </c>
      <c r="C6368" t="str">
        <v>-</v>
      </c>
      <c r="D6368" t="str">
        <v>-</v>
      </c>
      <c r="E6368" t="str">
        <v/>
      </c>
      <c r="F6368" t="str">
        <v>-</v>
      </c>
      <c r="G6368" t="str">
        <v>-</v>
      </c>
    </row>
    <row r="6369">
      <c r="A6369">
        <v>6368</v>
      </c>
      <c r="B6369">
        <f>HYPERLINK("https://tantrung.tanyen.bacgiang.gov.vn/", "UBND Ủy ban nhân dân xã Tân Trung  tỉnh Bắc Giang")</f>
      </c>
      <c r="C6369" t="str">
        <v>https://tantrung.tanyen.bacgiang.gov.vn/</v>
      </c>
      <c r="D6369" t="str">
        <v>-</v>
      </c>
      <c r="E6369" t="str">
        <v>-</v>
      </c>
      <c r="F6369" t="str">
        <v>-</v>
      </c>
      <c r="G6369" t="str">
        <v>-</v>
      </c>
    </row>
    <row r="6370">
      <c r="A6370">
        <v>6369</v>
      </c>
      <c r="B6370">
        <f>HYPERLINK("https://www.facebook.com/p/C%C3%B4ng-an-x%C3%A3-%C4%90%E1%BA%A1i-Ho%C3%A1-huy%E1%BB%87n-T%C3%A2n-Y%C3%AAn-t%E1%BB%89nh-B%E1%BA%AFc-Giang-100063552843813/", "Công an xã Đại Hóa  tỉnh Bắc Giang")</f>
      </c>
      <c r="C6370" t="str">
        <v>https://www.facebook.com/p/C%C3%B4ng-an-x%C3%A3-%C4%90%E1%BA%A1i-Ho%C3%A1-huy%E1%BB%87n-T%C3%A2n-Y%C3%AAn-t%E1%BB%89nh-B%E1%BA%AFc-Giang-100063552843813/</v>
      </c>
      <c r="D6370" t="str">
        <v>-</v>
      </c>
      <c r="E6370" t="str">
        <v/>
      </c>
      <c r="F6370" t="str">
        <v>-</v>
      </c>
      <c r="G6370" t="str">
        <v>-</v>
      </c>
    </row>
    <row r="6371">
      <c r="A6371">
        <v>6370</v>
      </c>
      <c r="B6371">
        <f>HYPERLINK("https://daithanh.hiephoa.bacgiang.gov.vn/", "UBND Ủy ban nhân dân xã Đại Hóa  tỉnh Bắc Giang")</f>
      </c>
      <c r="C6371" t="str">
        <v>https://daithanh.hiephoa.bacgiang.gov.vn/</v>
      </c>
      <c r="D6371" t="str">
        <v>-</v>
      </c>
      <c r="E6371" t="str">
        <v>-</v>
      </c>
      <c r="F6371" t="str">
        <v>-</v>
      </c>
      <c r="G6371" t="str">
        <v>-</v>
      </c>
    </row>
    <row r="6372">
      <c r="A6372">
        <v>6371</v>
      </c>
      <c r="B6372" t="str">
        <v>Công an xã Quang Tiến  tỉnh Bắc Giang</v>
      </c>
      <c r="C6372" t="str">
        <v>-</v>
      </c>
      <c r="D6372" t="str">
        <v>-</v>
      </c>
      <c r="E6372" t="str">
        <v/>
      </c>
      <c r="F6372" t="str">
        <v>-</v>
      </c>
      <c r="G6372" t="str">
        <v>-</v>
      </c>
    </row>
    <row r="6373">
      <c r="A6373">
        <v>6372</v>
      </c>
      <c r="B6373">
        <f>HYPERLINK("https://quangtien-tanyen.bacgiang.gov.vn/", "UBND Ủy ban nhân dân xã Quang Tiến  tỉnh Bắc Giang")</f>
      </c>
      <c r="C6373" t="str">
        <v>https://quangtien-tanyen.bacgiang.gov.vn/</v>
      </c>
      <c r="D6373" t="str">
        <v>-</v>
      </c>
      <c r="E6373" t="str">
        <v>-</v>
      </c>
      <c r="F6373" t="str">
        <v>-</v>
      </c>
      <c r="G6373" t="str">
        <v>-</v>
      </c>
    </row>
    <row r="6374">
      <c r="A6374">
        <v>6373</v>
      </c>
      <c r="B6374">
        <f>HYPERLINK("https://www.facebook.com/tuoitrecongansonla/", "Công an xã Phúc Sơn  tỉnh Bắc Giang")</f>
      </c>
      <c r="C6374" t="str">
        <v>https://www.facebook.com/tuoitrecongansonla/</v>
      </c>
      <c r="D6374" t="str">
        <v>-</v>
      </c>
      <c r="E6374" t="str">
        <v/>
      </c>
      <c r="F6374" t="str">
        <v>-</v>
      </c>
      <c r="G6374" t="str">
        <v>-</v>
      </c>
    </row>
    <row r="6375">
      <c r="A6375">
        <v>6374</v>
      </c>
      <c r="B6375">
        <f>HYPERLINK("https://phucson-tanyen.bacgiang.gov.vn/", "UBND Ủy ban nhân dân xã Phúc Sơn  tỉnh Bắc Giang")</f>
      </c>
      <c r="C6375" t="str">
        <v>https://phucson-tanyen.bacgiang.gov.vn/</v>
      </c>
      <c r="D6375" t="str">
        <v>-</v>
      </c>
      <c r="E6375" t="str">
        <v>-</v>
      </c>
      <c r="F6375" t="str">
        <v>-</v>
      </c>
      <c r="G6375" t="str">
        <v>-</v>
      </c>
    </row>
    <row r="6376">
      <c r="A6376">
        <v>6375</v>
      </c>
      <c r="B6376" t="str">
        <v>Công an xã An Dương  tỉnh Bắc Giang</v>
      </c>
      <c r="C6376" t="str">
        <v>-</v>
      </c>
      <c r="D6376" t="str">
        <v>-</v>
      </c>
      <c r="E6376" t="str">
        <v/>
      </c>
      <c r="F6376" t="str">
        <v>-</v>
      </c>
      <c r="G6376" t="str">
        <v>-</v>
      </c>
    </row>
    <row r="6377">
      <c r="A6377">
        <v>6376</v>
      </c>
      <c r="B6377">
        <f>HYPERLINK("https://anduong.tanyen.bacgiang.gov.vn/", "UBND Ủy ban nhân dân xã An Dương  tỉnh Bắc Giang")</f>
      </c>
      <c r="C6377" t="str">
        <v>https://anduong.tanyen.bacgiang.gov.vn/</v>
      </c>
      <c r="D6377" t="str">
        <v>-</v>
      </c>
      <c r="E6377" t="str">
        <v>-</v>
      </c>
      <c r="F6377" t="str">
        <v>-</v>
      </c>
      <c r="G6377" t="str">
        <v>-</v>
      </c>
    </row>
    <row r="6378">
      <c r="A6378">
        <v>6377</v>
      </c>
      <c r="B6378" t="str">
        <v>Công an xã Phúc Hòa  tỉnh Bắc Giang</v>
      </c>
      <c r="C6378" t="str">
        <v>-</v>
      </c>
      <c r="D6378" t="str">
        <v>-</v>
      </c>
      <c r="E6378" t="str">
        <v/>
      </c>
      <c r="F6378" t="str">
        <v>-</v>
      </c>
      <c r="G6378" t="str">
        <v>-</v>
      </c>
    </row>
    <row r="6379">
      <c r="A6379">
        <v>6378</v>
      </c>
      <c r="B6379">
        <f>HYPERLINK("https://phuchoa.tanyen.bacgiang.gov.vn/", "UBND Ủy ban nhân dân xã Phúc Hòa  tỉnh Bắc Giang")</f>
      </c>
      <c r="C6379" t="str">
        <v>https://phuchoa.tanyen.bacgiang.gov.vn/</v>
      </c>
      <c r="D6379" t="str">
        <v>-</v>
      </c>
      <c r="E6379" t="str">
        <v>-</v>
      </c>
      <c r="F6379" t="str">
        <v>-</v>
      </c>
      <c r="G6379" t="str">
        <v>-</v>
      </c>
    </row>
    <row r="6380">
      <c r="A6380">
        <v>6379</v>
      </c>
      <c r="B6380" t="str">
        <v>Công an xã Liên Sơn  tỉnh Bắc Giang</v>
      </c>
      <c r="C6380" t="str">
        <v>-</v>
      </c>
      <c r="D6380" t="str">
        <v>-</v>
      </c>
      <c r="E6380" t="str">
        <v/>
      </c>
      <c r="F6380" t="str">
        <v>-</v>
      </c>
      <c r="G6380" t="str">
        <v>-</v>
      </c>
    </row>
    <row r="6381">
      <c r="A6381">
        <v>6380</v>
      </c>
      <c r="B6381">
        <f>HYPERLINK("https://lienson.tanyen.bacgiang.gov.vn/", "UBND Ủy ban nhân dân xã Liên Sơn  tỉnh Bắc Giang")</f>
      </c>
      <c r="C6381" t="str">
        <v>https://lienson.tanyen.bacgiang.gov.vn/</v>
      </c>
      <c r="D6381" t="str">
        <v>-</v>
      </c>
      <c r="E6381" t="str">
        <v>-</v>
      </c>
      <c r="F6381" t="str">
        <v>-</v>
      </c>
      <c r="G6381" t="str">
        <v>-</v>
      </c>
    </row>
    <row r="6382">
      <c r="A6382">
        <v>6381</v>
      </c>
      <c r="B6382" t="str">
        <v>Công an xã Hợp Đức  tỉnh Bắc Giang</v>
      </c>
      <c r="C6382" t="str">
        <v>-</v>
      </c>
      <c r="D6382" t="str">
        <v>-</v>
      </c>
      <c r="E6382" t="str">
        <v/>
      </c>
      <c r="F6382" t="str">
        <v>-</v>
      </c>
      <c r="G6382" t="str">
        <v>-</v>
      </c>
    </row>
    <row r="6383">
      <c r="A6383">
        <v>6382</v>
      </c>
      <c r="B6383">
        <f>HYPERLINK("https://hopduc.tanyen.bacgiang.gov.vn/", "UBND Ủy ban nhân dân xã Hợp Đức  tỉnh Bắc Giang")</f>
      </c>
      <c r="C6383" t="str">
        <v>https://hopduc.tanyen.bacgiang.gov.vn/</v>
      </c>
      <c r="D6383" t="str">
        <v>-</v>
      </c>
      <c r="E6383" t="str">
        <v>-</v>
      </c>
      <c r="F6383" t="str">
        <v>-</v>
      </c>
      <c r="G6383" t="str">
        <v>-</v>
      </c>
    </row>
    <row r="6384">
      <c r="A6384">
        <v>6383</v>
      </c>
      <c r="B6384">
        <f>HYPERLINK("https://www.facebook.com/p/C%C3%B4ng-an-x%C3%A3-Lam-C%E1%BB%91t-100063645669904/", "Công an xã Lam Cốt  tỉnh Bắc Giang")</f>
      </c>
      <c r="C6384" t="str">
        <v>https://www.facebook.com/p/C%C3%B4ng-an-x%C3%A3-Lam-C%E1%BB%91t-100063645669904/</v>
      </c>
      <c r="D6384" t="str">
        <v>-</v>
      </c>
      <c r="E6384" t="str">
        <v/>
      </c>
      <c r="F6384" t="str">
        <v>-</v>
      </c>
      <c r="G6384" t="str">
        <v>-</v>
      </c>
    </row>
    <row r="6385">
      <c r="A6385">
        <v>6384</v>
      </c>
      <c r="B6385">
        <f>HYPERLINK("https://lamcot-tanyen.bacgiang.gov.vn/", "UBND Ủy ban nhân dân xã Lam Cốt  tỉnh Bắc Giang")</f>
      </c>
      <c r="C6385" t="str">
        <v>https://lamcot-tanyen.bacgiang.gov.vn/</v>
      </c>
      <c r="D6385" t="str">
        <v>-</v>
      </c>
      <c r="E6385" t="str">
        <v>-</v>
      </c>
      <c r="F6385" t="str">
        <v>-</v>
      </c>
      <c r="G6385" t="str">
        <v>-</v>
      </c>
    </row>
    <row r="6386">
      <c r="A6386">
        <v>6385</v>
      </c>
      <c r="B6386" t="str">
        <v>Công an xã Cao Xá  tỉnh Bắc Giang</v>
      </c>
      <c r="C6386" t="str">
        <v>-</v>
      </c>
      <c r="D6386" t="str">
        <v>-</v>
      </c>
      <c r="E6386" t="str">
        <v/>
      </c>
      <c r="F6386" t="str">
        <v>-</v>
      </c>
      <c r="G6386" t="str">
        <v>-</v>
      </c>
    </row>
    <row r="6387">
      <c r="A6387">
        <v>6386</v>
      </c>
      <c r="B6387">
        <f>HYPERLINK("https://caoxa.tanyen.bacgiang.gov.vn/", "UBND Ủy ban nhân dân xã Cao Xá  tỉnh Bắc Giang")</f>
      </c>
      <c r="C6387" t="str">
        <v>https://caoxa.tanyen.bacgiang.gov.vn/</v>
      </c>
      <c r="D6387" t="str">
        <v>-</v>
      </c>
      <c r="E6387" t="str">
        <v>-</v>
      </c>
      <c r="F6387" t="str">
        <v>-</v>
      </c>
      <c r="G6387" t="str">
        <v>-</v>
      </c>
    </row>
    <row r="6388">
      <c r="A6388">
        <v>6387</v>
      </c>
      <c r="B6388" t="str">
        <v>Công an xã Cao Thượng  tỉnh Bắc Giang</v>
      </c>
      <c r="C6388" t="str">
        <v>-</v>
      </c>
      <c r="D6388" t="str">
        <v>-</v>
      </c>
      <c r="E6388" t="str">
        <v/>
      </c>
      <c r="F6388" t="str">
        <v>-</v>
      </c>
      <c r="G6388" t="str">
        <v>-</v>
      </c>
    </row>
    <row r="6389">
      <c r="A6389">
        <v>6388</v>
      </c>
      <c r="B6389">
        <f>HYPERLINK("https://thitrancaothuong.tanyen.bacgiang.gov.vn/", "UBND Ủy ban nhân dân xã Cao Thượng  tỉnh Bắc Giang")</f>
      </c>
      <c r="C6389" t="str">
        <v>https://thitrancaothuong.tanyen.bacgiang.gov.vn/</v>
      </c>
      <c r="D6389" t="str">
        <v>-</v>
      </c>
      <c r="E6389" t="str">
        <v>-</v>
      </c>
      <c r="F6389" t="str">
        <v>-</v>
      </c>
      <c r="G6389" t="str">
        <v>-</v>
      </c>
    </row>
    <row r="6390">
      <c r="A6390">
        <v>6389</v>
      </c>
      <c r="B6390" t="str">
        <v>Công an xã Việt Ngọc  tỉnh Bắc Giang</v>
      </c>
      <c r="C6390" t="str">
        <v>-</v>
      </c>
      <c r="D6390" t="str">
        <v>-</v>
      </c>
      <c r="E6390" t="str">
        <v/>
      </c>
      <c r="F6390" t="str">
        <v>-</v>
      </c>
      <c r="G6390" t="str">
        <v>-</v>
      </c>
    </row>
    <row r="6391">
      <c r="A6391">
        <v>6390</v>
      </c>
      <c r="B6391">
        <f>HYPERLINK("https://vietngoc.tanyen.bacgiang.gov.vn/", "UBND Ủy ban nhân dân xã Việt Ngọc  tỉnh Bắc Giang")</f>
      </c>
      <c r="C6391" t="str">
        <v>https://vietngoc.tanyen.bacgiang.gov.vn/</v>
      </c>
      <c r="D6391" t="str">
        <v>-</v>
      </c>
      <c r="E6391" t="str">
        <v>-</v>
      </c>
      <c r="F6391" t="str">
        <v>-</v>
      </c>
      <c r="G6391" t="str">
        <v>-</v>
      </c>
    </row>
    <row r="6392">
      <c r="A6392">
        <v>6391</v>
      </c>
      <c r="B6392" t="str">
        <v>Công an xã Song Vân  tỉnh Bắc Giang</v>
      </c>
      <c r="C6392" t="str">
        <v>-</v>
      </c>
      <c r="D6392" t="str">
        <v>-</v>
      </c>
      <c r="E6392" t="str">
        <v/>
      </c>
      <c r="F6392" t="str">
        <v>-</v>
      </c>
      <c r="G6392" t="str">
        <v>-</v>
      </c>
    </row>
    <row r="6393">
      <c r="A6393">
        <v>6392</v>
      </c>
      <c r="B6393">
        <f>HYPERLINK("https://songvan.tanyen.bacgiang.gov.vn/", "UBND Ủy ban nhân dân xã Song Vân  tỉnh Bắc Giang")</f>
      </c>
      <c r="C6393" t="str">
        <v>https://songvan.tanyen.bacgiang.gov.vn/</v>
      </c>
      <c r="D6393" t="str">
        <v>-</v>
      </c>
      <c r="E6393" t="str">
        <v>-</v>
      </c>
      <c r="F6393" t="str">
        <v>-</v>
      </c>
      <c r="G6393" t="str">
        <v>-</v>
      </c>
    </row>
    <row r="6394">
      <c r="A6394">
        <v>6393</v>
      </c>
      <c r="B6394" t="str">
        <v>Công an xã Ngọc Châu  tỉnh Bắc Giang</v>
      </c>
      <c r="C6394" t="str">
        <v>-</v>
      </c>
      <c r="D6394" t="str">
        <v>-</v>
      </c>
      <c r="E6394" t="str">
        <v/>
      </c>
      <c r="F6394" t="str">
        <v>-</v>
      </c>
      <c r="G6394" t="str">
        <v>-</v>
      </c>
    </row>
    <row r="6395">
      <c r="A6395">
        <v>6394</v>
      </c>
      <c r="B6395">
        <f>HYPERLINK("https://ngocchau.tanyen.bacgiang.gov.vn/", "UBND Ủy ban nhân dân xã Ngọc Châu  tỉnh Bắc Giang")</f>
      </c>
      <c r="C6395" t="str">
        <v>https://ngocchau.tanyen.bacgiang.gov.vn/</v>
      </c>
      <c r="D6395" t="str">
        <v>-</v>
      </c>
      <c r="E6395" t="str">
        <v>-</v>
      </c>
      <c r="F6395" t="str">
        <v>-</v>
      </c>
      <c r="G6395" t="str">
        <v>-</v>
      </c>
    </row>
    <row r="6396">
      <c r="A6396">
        <v>6395</v>
      </c>
      <c r="B6396" t="str">
        <v>Công an xã Ngọc Vân  tỉnh Bắc Giang</v>
      </c>
      <c r="C6396" t="str">
        <v>-</v>
      </c>
      <c r="D6396" t="str">
        <v>-</v>
      </c>
      <c r="E6396" t="str">
        <v/>
      </c>
      <c r="F6396" t="str">
        <v>-</v>
      </c>
      <c r="G6396" t="str">
        <v>-</v>
      </c>
    </row>
    <row r="6397">
      <c r="A6397">
        <v>6396</v>
      </c>
      <c r="B6397">
        <f>HYPERLINK("https://ngocvan.tanyen.bacgiang.gov.vn/", "UBND Ủy ban nhân dân xã Ngọc Vân  tỉnh Bắc Giang")</f>
      </c>
      <c r="C6397" t="str">
        <v>https://ngocvan.tanyen.bacgiang.gov.vn/</v>
      </c>
      <c r="D6397" t="str">
        <v>-</v>
      </c>
      <c r="E6397" t="str">
        <v>-</v>
      </c>
      <c r="F6397" t="str">
        <v>-</v>
      </c>
      <c r="G6397" t="str">
        <v>-</v>
      </c>
    </row>
    <row r="6398">
      <c r="A6398">
        <v>6397</v>
      </c>
      <c r="B6398" t="str">
        <v>Công an xã Việt Lập  tỉnh Bắc Giang</v>
      </c>
      <c r="C6398" t="str">
        <v>-</v>
      </c>
      <c r="D6398" t="str">
        <v>-</v>
      </c>
      <c r="E6398" t="str">
        <v/>
      </c>
      <c r="F6398" t="str">
        <v>-</v>
      </c>
      <c r="G6398" t="str">
        <v>-</v>
      </c>
    </row>
    <row r="6399">
      <c r="A6399">
        <v>6398</v>
      </c>
      <c r="B6399">
        <f>HYPERLINK("https://vietlap.tanyen.bacgiang.gov.vn/", "UBND Ủy ban nhân dân xã Việt Lập  tỉnh Bắc Giang")</f>
      </c>
      <c r="C6399" t="str">
        <v>https://vietlap.tanyen.bacgiang.gov.vn/</v>
      </c>
      <c r="D6399" t="str">
        <v>-</v>
      </c>
      <c r="E6399" t="str">
        <v>-</v>
      </c>
      <c r="F6399" t="str">
        <v>-</v>
      </c>
      <c r="G6399" t="str">
        <v>-</v>
      </c>
    </row>
    <row r="6400">
      <c r="A6400">
        <v>6399</v>
      </c>
      <c r="B6400" t="str">
        <v>Công an xã Liên Chung  tỉnh Bắc Giang</v>
      </c>
      <c r="C6400" t="str">
        <v>-</v>
      </c>
      <c r="D6400" t="str">
        <v>-</v>
      </c>
      <c r="E6400" t="str">
        <v/>
      </c>
      <c r="F6400" t="str">
        <v>-</v>
      </c>
      <c r="G6400" t="str">
        <v>-</v>
      </c>
    </row>
    <row r="6401">
      <c r="A6401">
        <v>6400</v>
      </c>
      <c r="B6401">
        <f>HYPERLINK("https://lienchung.tanyen.bacgiang.gov.vn/", "UBND Ủy ban nhân dân xã Liên Chung  tỉnh Bắc Giang")</f>
      </c>
      <c r="C6401" t="str">
        <v>https://lienchung.tanyen.bacgiang.gov.vn/</v>
      </c>
      <c r="D6401" t="str">
        <v>-</v>
      </c>
      <c r="E6401" t="str">
        <v>-</v>
      </c>
      <c r="F6401" t="str">
        <v>-</v>
      </c>
      <c r="G6401" t="str">
        <v>-</v>
      </c>
    </row>
    <row r="6402">
      <c r="A6402">
        <v>6401</v>
      </c>
      <c r="B6402" t="str">
        <v>Công an xã Ngọc Thiện  tỉnh Bắc Giang</v>
      </c>
      <c r="C6402" t="str">
        <v>-</v>
      </c>
      <c r="D6402" t="str">
        <v>-</v>
      </c>
      <c r="E6402" t="str">
        <v/>
      </c>
      <c r="F6402" t="str">
        <v>-</v>
      </c>
      <c r="G6402" t="str">
        <v>-</v>
      </c>
    </row>
    <row r="6403">
      <c r="A6403">
        <v>6402</v>
      </c>
      <c r="B6403">
        <f>HYPERLINK("https://ngocthien.tanyen.bacgiang.gov.vn/", "UBND Ủy ban nhân dân xã Ngọc Thiện  tỉnh Bắc Giang")</f>
      </c>
      <c r="C6403" t="str">
        <v>https://ngocthien.tanyen.bacgiang.gov.vn/</v>
      </c>
      <c r="D6403" t="str">
        <v>-</v>
      </c>
      <c r="E6403" t="str">
        <v>-</v>
      </c>
      <c r="F6403" t="str">
        <v>-</v>
      </c>
      <c r="G6403" t="str">
        <v>-</v>
      </c>
    </row>
    <row r="6404">
      <c r="A6404">
        <v>6403</v>
      </c>
      <c r="B6404" t="str">
        <v>Công an xã Ngọc Lý  tỉnh Bắc Giang</v>
      </c>
      <c r="C6404" t="str">
        <v>-</v>
      </c>
      <c r="D6404" t="str">
        <v>-</v>
      </c>
      <c r="E6404" t="str">
        <v/>
      </c>
      <c r="F6404" t="str">
        <v>-</v>
      </c>
      <c r="G6404" t="str">
        <v>-</v>
      </c>
    </row>
    <row r="6405">
      <c r="A6405">
        <v>6404</v>
      </c>
      <c r="B6405">
        <f>HYPERLINK("https://ngocly.tanyen.bacgiang.gov.vn/", "UBND Ủy ban nhân dân xã Ngọc Lý  tỉnh Bắc Giang")</f>
      </c>
      <c r="C6405" t="str">
        <v>https://ngocly.tanyen.bacgiang.gov.vn/</v>
      </c>
      <c r="D6405" t="str">
        <v>-</v>
      </c>
      <c r="E6405" t="str">
        <v>-</v>
      </c>
      <c r="F6405" t="str">
        <v>-</v>
      </c>
      <c r="G6405" t="str">
        <v>-</v>
      </c>
    </row>
    <row r="6406">
      <c r="A6406">
        <v>6405</v>
      </c>
      <c r="B6406" t="str">
        <v>Công an xã Quế Nham  tỉnh Bắc Giang</v>
      </c>
      <c r="C6406" t="str">
        <v>-</v>
      </c>
      <c r="D6406" t="str">
        <v>-</v>
      </c>
      <c r="E6406" t="str">
        <v/>
      </c>
      <c r="F6406" t="str">
        <v>-</v>
      </c>
      <c r="G6406" t="str">
        <v>-</v>
      </c>
    </row>
    <row r="6407">
      <c r="A6407">
        <v>6406</v>
      </c>
      <c r="B6407">
        <f>HYPERLINK("https://quenham.tanyen.bacgiang.gov.vn/", "UBND Ủy ban nhân dân xã Quế Nham  tỉnh Bắc Giang")</f>
      </c>
      <c r="C6407" t="str">
        <v>https://quenham.tanyen.bacgiang.gov.vn/</v>
      </c>
      <c r="D6407" t="str">
        <v>-</v>
      </c>
      <c r="E6407" t="str">
        <v>-</v>
      </c>
      <c r="F6407" t="str">
        <v>-</v>
      </c>
      <c r="G6407" t="str">
        <v>-</v>
      </c>
    </row>
    <row r="6408">
      <c r="A6408">
        <v>6407</v>
      </c>
      <c r="B6408" t="str">
        <v>Công an thị trấn Kép  tỉnh Bắc Giang</v>
      </c>
      <c r="C6408" t="str">
        <v>-</v>
      </c>
      <c r="D6408" t="str">
        <v>-</v>
      </c>
      <c r="E6408" t="str">
        <v/>
      </c>
      <c r="F6408" t="str">
        <v>-</v>
      </c>
      <c r="G6408" t="str">
        <v>-</v>
      </c>
    </row>
    <row r="6409">
      <c r="A6409">
        <v>6408</v>
      </c>
      <c r="B6409">
        <f>HYPERLINK("https://kep.langgiang.bacgiang.gov.vn/", "UBND Ủy ban nhân dân thị trấn Kép  tỉnh Bắc Giang")</f>
      </c>
      <c r="C6409" t="str">
        <v>https://kep.langgiang.bacgiang.gov.vn/</v>
      </c>
      <c r="D6409" t="str">
        <v>-</v>
      </c>
      <c r="E6409" t="str">
        <v>-</v>
      </c>
      <c r="F6409" t="str">
        <v>-</v>
      </c>
      <c r="G6409" t="str">
        <v>-</v>
      </c>
    </row>
    <row r="6410">
      <c r="A6410">
        <v>6409</v>
      </c>
      <c r="B6410">
        <f>HYPERLINK("https://www.facebook.com/cathitranvoi/", "Công an thị trấn Vôi  tỉnh Bắc Giang")</f>
      </c>
      <c r="C6410" t="str">
        <v>https://www.facebook.com/cathitranvoi/</v>
      </c>
      <c r="D6410" t="str">
        <v>-</v>
      </c>
      <c r="E6410" t="str">
        <v/>
      </c>
      <c r="F6410" t="str">
        <v>-</v>
      </c>
      <c r="G6410" t="str">
        <v>-</v>
      </c>
    </row>
    <row r="6411">
      <c r="A6411">
        <v>6410</v>
      </c>
      <c r="B6411">
        <f>HYPERLINK("https://voi.langgiang.bacgiang.gov.vn/", "UBND Ủy ban nhân dân thị trấn Vôi  tỉnh Bắc Giang")</f>
      </c>
      <c r="C6411" t="str">
        <v>https://voi.langgiang.bacgiang.gov.vn/</v>
      </c>
      <c r="D6411" t="str">
        <v>-</v>
      </c>
      <c r="E6411" t="str">
        <v>-</v>
      </c>
      <c r="F6411" t="str">
        <v>-</v>
      </c>
      <c r="G6411" t="str">
        <v>-</v>
      </c>
    </row>
    <row r="6412">
      <c r="A6412">
        <v>6411</v>
      </c>
      <c r="B6412">
        <f>HYPERLINK("https://www.facebook.com/p/C%C3%B4ng-an-x%C3%A3-Ngh%C4%A9a-Ho%C3%A0-100082855706411/", "Công an xã Nghĩa Hòa  tỉnh Bắc Giang")</f>
      </c>
      <c r="C6412" t="str">
        <v>https://www.facebook.com/p/C%C3%B4ng-an-x%C3%A3-Ngh%C4%A9a-Ho%C3%A0-100082855706411/</v>
      </c>
      <c r="D6412" t="str">
        <v>-</v>
      </c>
      <c r="E6412" t="str">
        <v/>
      </c>
      <c r="F6412" t="str">
        <v>-</v>
      </c>
      <c r="G6412" t="str">
        <v>-</v>
      </c>
    </row>
    <row r="6413">
      <c r="A6413">
        <v>6412</v>
      </c>
      <c r="B6413">
        <f>HYPERLINK("https://nghiahoa.langgiang.bacgiang.gov.vn/", "UBND Ủy ban nhân dân xã Nghĩa Hòa  tỉnh Bắc Giang")</f>
      </c>
      <c r="C6413" t="str">
        <v>https://nghiahoa.langgiang.bacgiang.gov.vn/</v>
      </c>
      <c r="D6413" t="str">
        <v>-</v>
      </c>
      <c r="E6413" t="str">
        <v>-</v>
      </c>
      <c r="F6413" t="str">
        <v>-</v>
      </c>
      <c r="G6413" t="str">
        <v>-</v>
      </c>
    </row>
    <row r="6414">
      <c r="A6414">
        <v>6413</v>
      </c>
      <c r="B6414">
        <f>HYPERLINK("https://www.facebook.com/conganxanghiahung", "Công an xã Nghĩa Hưng  tỉnh Bắc Giang")</f>
      </c>
      <c r="C6414" t="str">
        <v>https://www.facebook.com/conganxanghiahung</v>
      </c>
      <c r="D6414" t="str">
        <v>-</v>
      </c>
      <c r="E6414" t="str">
        <v/>
      </c>
      <c r="F6414" t="str">
        <v>-</v>
      </c>
      <c r="G6414" t="str">
        <v>-</v>
      </c>
    </row>
    <row r="6415">
      <c r="A6415">
        <v>6414</v>
      </c>
      <c r="B6415">
        <f>HYPERLINK("https://nghiahung.langgiang.bacgiang.gov.vn/", "UBND Ủy ban nhân dân xã Nghĩa Hưng  tỉnh Bắc Giang")</f>
      </c>
      <c r="C6415" t="str">
        <v>https://nghiahung.langgiang.bacgiang.gov.vn/</v>
      </c>
      <c r="D6415" t="str">
        <v>-</v>
      </c>
      <c r="E6415" t="str">
        <v>-</v>
      </c>
      <c r="F6415" t="str">
        <v>-</v>
      </c>
      <c r="G6415" t="str">
        <v>-</v>
      </c>
    </row>
    <row r="6416">
      <c r="A6416">
        <v>6415</v>
      </c>
      <c r="B6416">
        <f>HYPERLINK("https://www.facebook.com/p/C%C3%B4ng-an-x%C3%A3-Quang-Th%E1%BB%8Bnh-100064386754001/", "Công an xã Quang Thịnh  tỉnh Bắc Giang")</f>
      </c>
      <c r="C6416" t="str">
        <v>https://www.facebook.com/p/C%C3%B4ng-an-x%C3%A3-Quang-Th%E1%BB%8Bnh-100064386754001/</v>
      </c>
      <c r="D6416" t="str">
        <v>-</v>
      </c>
      <c r="E6416" t="str">
        <v/>
      </c>
      <c r="F6416" t="str">
        <v>-</v>
      </c>
      <c r="G6416" t="str">
        <v>-</v>
      </c>
    </row>
    <row r="6417">
      <c r="A6417">
        <v>6416</v>
      </c>
      <c r="B6417">
        <f>HYPERLINK("https://langgiang.bacgiang.gov.vn/chi-tiet-tin-tuc/-/asset_publisher/0tBnd4sOntxK/content/xa-quang-thinh-on-nhan-quyet-inh-cong-nhan-xa-at-chuan-nong-thon-moi-nang-cao-nam-2022?inheritRedirect=false", "UBND Ủy ban nhân dân xã Quang Thịnh  tỉnh Bắc Giang")</f>
      </c>
      <c r="C6417" t="str">
        <v>https://langgiang.bacgiang.gov.vn/chi-tiet-tin-tuc/-/asset_publisher/0tBnd4sOntxK/content/xa-quang-thinh-on-nhan-quyet-inh-cong-nhan-xa-at-chuan-nong-thon-moi-nang-cao-nam-2022?inheritRedirect=false</v>
      </c>
      <c r="D6417" t="str">
        <v>-</v>
      </c>
      <c r="E6417" t="str">
        <v>-</v>
      </c>
      <c r="F6417" t="str">
        <v>-</v>
      </c>
      <c r="G6417" t="str">
        <v>-</v>
      </c>
    </row>
    <row r="6418">
      <c r="A6418">
        <v>6417</v>
      </c>
      <c r="B6418" t="str">
        <v>Công an xã Hương Sơn  tỉnh Bắc Giang</v>
      </c>
      <c r="C6418" t="str">
        <v>-</v>
      </c>
      <c r="D6418" t="str">
        <v>-</v>
      </c>
      <c r="E6418" t="str">
        <v/>
      </c>
      <c r="F6418" t="str">
        <v>-</v>
      </c>
      <c r="G6418" t="str">
        <v>-</v>
      </c>
    </row>
    <row r="6419">
      <c r="A6419">
        <v>6418</v>
      </c>
      <c r="B6419">
        <f>HYPERLINK("https://huongson.langgiang.bacgiang.gov.vn/", "UBND Ủy ban nhân dân xã Hương Sơn  tỉnh Bắc Giang")</f>
      </c>
      <c r="C6419" t="str">
        <v>https://huongson.langgiang.bacgiang.gov.vn/</v>
      </c>
      <c r="D6419" t="str">
        <v>-</v>
      </c>
      <c r="E6419" t="str">
        <v>-</v>
      </c>
      <c r="F6419" t="str">
        <v>-</v>
      </c>
      <c r="G6419" t="str">
        <v>-</v>
      </c>
    </row>
    <row r="6420">
      <c r="A6420">
        <v>6419</v>
      </c>
      <c r="B6420" t="str">
        <v>Công an xã Đào Mỹ  tỉnh Bắc Giang</v>
      </c>
      <c r="C6420" t="str">
        <v>-</v>
      </c>
      <c r="D6420" t="str">
        <v>-</v>
      </c>
      <c r="E6420" t="str">
        <v/>
      </c>
      <c r="F6420" t="str">
        <v>-</v>
      </c>
      <c r="G6420" t="str">
        <v>-</v>
      </c>
    </row>
    <row r="6421">
      <c r="A6421">
        <v>6420</v>
      </c>
      <c r="B6421">
        <f>HYPERLINK("https://langgiang.bacgiang.gov.vn/", "UBND Ủy ban nhân dân xã Đào Mỹ  tỉnh Bắc Giang")</f>
      </c>
      <c r="C6421" t="str">
        <v>https://langgiang.bacgiang.gov.vn/</v>
      </c>
      <c r="D6421" t="str">
        <v>-</v>
      </c>
      <c r="E6421" t="str">
        <v>-</v>
      </c>
      <c r="F6421" t="str">
        <v>-</v>
      </c>
      <c r="G6421" t="str">
        <v>-</v>
      </c>
    </row>
    <row r="6422">
      <c r="A6422">
        <v>6421</v>
      </c>
      <c r="B6422">
        <f>HYPERLINK("https://www.facebook.com/p/C%C3%B4ng-an-x%C3%A3-Ti%C3%AAn-L%E1%BB%A5c-100068308819972/", "Công an xã Tiên Lục  tỉnh Bắc Giang")</f>
      </c>
      <c r="C6422" t="str">
        <v>https://www.facebook.com/p/C%C3%B4ng-an-x%C3%A3-Ti%C3%AAn-L%E1%BB%A5c-100068308819972/</v>
      </c>
      <c r="D6422" t="str">
        <v>-</v>
      </c>
      <c r="E6422" t="str">
        <v/>
      </c>
      <c r="F6422" t="str">
        <v>-</v>
      </c>
      <c r="G6422" t="str">
        <v>-</v>
      </c>
    </row>
    <row r="6423">
      <c r="A6423">
        <v>6422</v>
      </c>
      <c r="B6423">
        <f>HYPERLINK("https://tienluc.langgiang.bacgiang.gov.vn/", "UBND Ủy ban nhân dân xã Tiên Lục  tỉnh Bắc Giang")</f>
      </c>
      <c r="C6423" t="str">
        <v>https://tienluc.langgiang.bacgiang.gov.vn/</v>
      </c>
      <c r="D6423" t="str">
        <v>-</v>
      </c>
      <c r="E6423" t="str">
        <v>-</v>
      </c>
      <c r="F6423" t="str">
        <v>-</v>
      </c>
      <c r="G6423" t="str">
        <v>-</v>
      </c>
    </row>
    <row r="6424">
      <c r="A6424">
        <v>6423</v>
      </c>
      <c r="B6424" t="str">
        <v>Công an xã An Hà  tỉnh Bắc Giang</v>
      </c>
      <c r="C6424" t="str">
        <v>-</v>
      </c>
      <c r="D6424" t="str">
        <v>-</v>
      </c>
      <c r="E6424" t="str">
        <v/>
      </c>
      <c r="F6424" t="str">
        <v>-</v>
      </c>
      <c r="G6424" t="str">
        <v>-</v>
      </c>
    </row>
    <row r="6425">
      <c r="A6425">
        <v>6424</v>
      </c>
      <c r="B6425">
        <f>HYPERLINK("https://vietyen.bacgiang.gov.vn/xuat-ban-thong-tin/-/asset_publisher/vYGFBWdWN3jE/content/van-ha", "UBND Ủy ban nhân dân xã An Hà  tỉnh Bắc Giang")</f>
      </c>
      <c r="C6425" t="str">
        <v>https://vietyen.bacgiang.gov.vn/xuat-ban-thong-tin/-/asset_publisher/vYGFBWdWN3jE/content/van-ha</v>
      </c>
      <c r="D6425" t="str">
        <v>-</v>
      </c>
      <c r="E6425" t="str">
        <v>-</v>
      </c>
      <c r="F6425" t="str">
        <v>-</v>
      </c>
      <c r="G6425" t="str">
        <v>-</v>
      </c>
    </row>
    <row r="6426">
      <c r="A6426">
        <v>6425</v>
      </c>
      <c r="B6426" t="str">
        <v>Công an xã Tân Thịnh  tỉnh Bắc Giang</v>
      </c>
      <c r="C6426" t="str">
        <v>-</v>
      </c>
      <c r="D6426" t="str">
        <v>-</v>
      </c>
      <c r="E6426" t="str">
        <v/>
      </c>
      <c r="F6426" t="str">
        <v>-</v>
      </c>
      <c r="G6426" t="str">
        <v>-</v>
      </c>
    </row>
    <row r="6427">
      <c r="A6427">
        <v>6426</v>
      </c>
      <c r="B6427">
        <f>HYPERLINK("https://langgiang.bacgiang.gov.vn/chi-tiet-tin-tuc/-/asset_publisher/0tBnd4sOntxK/content/-ang-uy-ubnd-xa-thi-tran", "UBND Ủy ban nhân dân xã Tân Thịnh  tỉnh Bắc Giang")</f>
      </c>
      <c r="C6427" t="str">
        <v>https://langgiang.bacgiang.gov.vn/chi-tiet-tin-tuc/-/asset_publisher/0tBnd4sOntxK/content/-ang-uy-ubnd-xa-thi-tran</v>
      </c>
      <c r="D6427" t="str">
        <v>-</v>
      </c>
      <c r="E6427" t="str">
        <v>-</v>
      </c>
      <c r="F6427" t="str">
        <v>-</v>
      </c>
      <c r="G6427" t="str">
        <v>-</v>
      </c>
    </row>
    <row r="6428">
      <c r="A6428">
        <v>6427</v>
      </c>
      <c r="B6428" t="str">
        <v>Công an xã Mỹ Hà  tỉnh Bắc Giang</v>
      </c>
      <c r="C6428" t="str">
        <v>-</v>
      </c>
      <c r="D6428" t="str">
        <v>-</v>
      </c>
      <c r="E6428" t="str">
        <v/>
      </c>
      <c r="F6428" t="str">
        <v>-</v>
      </c>
      <c r="G6428" t="str">
        <v>-</v>
      </c>
    </row>
    <row r="6429">
      <c r="A6429">
        <v>6428</v>
      </c>
      <c r="B6429">
        <f>HYPERLINK("https://myha.langgiang.bacgiang.gov.vn/", "UBND Ủy ban nhân dân xã Mỹ Hà  tỉnh Bắc Giang")</f>
      </c>
      <c r="C6429" t="str">
        <v>https://myha.langgiang.bacgiang.gov.vn/</v>
      </c>
      <c r="D6429" t="str">
        <v>-</v>
      </c>
      <c r="E6429" t="str">
        <v>-</v>
      </c>
      <c r="F6429" t="str">
        <v>-</v>
      </c>
      <c r="G6429" t="str">
        <v>-</v>
      </c>
    </row>
    <row r="6430">
      <c r="A6430">
        <v>6429</v>
      </c>
      <c r="B6430" t="str">
        <v>Công an xã Hương Lạc  tỉnh Bắc Giang</v>
      </c>
      <c r="C6430" t="str">
        <v>-</v>
      </c>
      <c r="D6430" t="str">
        <v>-</v>
      </c>
      <c r="E6430" t="str">
        <v/>
      </c>
      <c r="F6430" t="str">
        <v>-</v>
      </c>
      <c r="G6430" t="str">
        <v>-</v>
      </c>
    </row>
    <row r="6431">
      <c r="A6431">
        <v>6430</v>
      </c>
      <c r="B6431" t="str">
        <v>UBND Ủy ban nhân dân xã Hương Lạc  tỉnh Bắc Giang</v>
      </c>
      <c r="C6431" t="str">
        <v>-</v>
      </c>
      <c r="D6431" t="str">
        <v>-</v>
      </c>
      <c r="E6431" t="str">
        <v>-</v>
      </c>
      <c r="F6431" t="str">
        <v>-</v>
      </c>
      <c r="G6431" t="str">
        <v>-</v>
      </c>
    </row>
    <row r="6432">
      <c r="A6432">
        <v>6431</v>
      </c>
      <c r="B6432" t="str">
        <v>Công an xã Dương Đức  tỉnh Bắc Giang</v>
      </c>
      <c r="C6432" t="str">
        <v>-</v>
      </c>
      <c r="D6432" t="str">
        <v>-</v>
      </c>
      <c r="E6432" t="str">
        <v/>
      </c>
      <c r="F6432" t="str">
        <v>-</v>
      </c>
      <c r="G6432" t="str">
        <v>-</v>
      </c>
    </row>
    <row r="6433">
      <c r="A6433">
        <v>6432</v>
      </c>
      <c r="B6433">
        <f>HYPERLINK("https://langgiang.bacgiang.gov.vn/chi-tiet-tin-tuc/-/asset_publisher/0tBnd4sOntxK/content/xa-duong-uc-to-chuc-le-cong-bo-quyet-inh-cua-ubnd-tinh-cong-nhan-at-bo-tieu-chi-quoc-gia-ve-y-te-xa-giai-oan-en-nam-2030-va-ky-niem-69-nam-ngay-thay-t", "UBND Ủy ban nhân dân xã Dương Đức  tỉnh Bắc Giang")</f>
      </c>
      <c r="C6433" t="str">
        <v>https://langgiang.bacgiang.gov.vn/chi-tiet-tin-tuc/-/asset_publisher/0tBnd4sOntxK/content/xa-duong-uc-to-chuc-le-cong-bo-quyet-inh-cua-ubnd-tinh-cong-nhan-at-bo-tieu-chi-quoc-gia-ve-y-te-xa-giai-oan-en-nam-2030-va-ky-niem-69-nam-ngay-thay-t</v>
      </c>
      <c r="D6433" t="str">
        <v>-</v>
      </c>
      <c r="E6433" t="str">
        <v>-</v>
      </c>
      <c r="F6433" t="str">
        <v>-</v>
      </c>
      <c r="G6433" t="str">
        <v>-</v>
      </c>
    </row>
    <row r="6434">
      <c r="A6434">
        <v>6433</v>
      </c>
      <c r="B6434" t="str">
        <v>Công an xã Tân Thanh  tỉnh Bắc Giang</v>
      </c>
      <c r="C6434" t="str">
        <v>-</v>
      </c>
      <c r="D6434" t="str">
        <v>-</v>
      </c>
      <c r="E6434" t="str">
        <v/>
      </c>
      <c r="F6434" t="str">
        <v>-</v>
      </c>
      <c r="G6434" t="str">
        <v>-</v>
      </c>
    </row>
    <row r="6435">
      <c r="A6435">
        <v>6434</v>
      </c>
      <c r="B6435" t="str">
        <v>UBND Ủy ban nhân dân xã Tân Thanh  tỉnh Bắc Giang</v>
      </c>
      <c r="C6435" t="str">
        <v>-</v>
      </c>
      <c r="D6435" t="str">
        <v>-</v>
      </c>
      <c r="E6435" t="str">
        <v>-</v>
      </c>
      <c r="F6435" t="str">
        <v>-</v>
      </c>
      <c r="G6435" t="str">
        <v>-</v>
      </c>
    </row>
    <row r="6436">
      <c r="A6436">
        <v>6435</v>
      </c>
      <c r="B6436" t="str">
        <v>Công an xã Yên Mỹ  tỉnh Bắc Giang</v>
      </c>
      <c r="C6436" t="str">
        <v>-</v>
      </c>
      <c r="D6436" t="str">
        <v>-</v>
      </c>
      <c r="E6436" t="str">
        <v/>
      </c>
      <c r="F6436" t="str">
        <v>-</v>
      </c>
      <c r="G6436" t="str">
        <v>-</v>
      </c>
    </row>
    <row r="6437">
      <c r="A6437">
        <v>6436</v>
      </c>
      <c r="B6437" t="str">
        <v>UBND Ủy ban nhân dân xã Yên Mỹ  tỉnh Bắc Giang</v>
      </c>
      <c r="C6437" t="str">
        <v>-</v>
      </c>
      <c r="D6437" t="str">
        <v>-</v>
      </c>
      <c r="E6437" t="str">
        <v>-</v>
      </c>
      <c r="F6437" t="str">
        <v>-</v>
      </c>
      <c r="G6437" t="str">
        <v>-</v>
      </c>
    </row>
    <row r="6438">
      <c r="A6438">
        <v>6437</v>
      </c>
      <c r="B6438" t="str">
        <v>Công an xã Tân Hưng  tỉnh Bắc Giang</v>
      </c>
      <c r="C6438" t="str">
        <v>-</v>
      </c>
      <c r="D6438" t="str">
        <v>-</v>
      </c>
      <c r="E6438" t="str">
        <v/>
      </c>
      <c r="F6438" t="str">
        <v>-</v>
      </c>
      <c r="G6438" t="str">
        <v>-</v>
      </c>
    </row>
    <row r="6439">
      <c r="A6439">
        <v>6438</v>
      </c>
      <c r="B6439" t="str">
        <v>UBND Ủy ban nhân dân xã Tân Hưng  tỉnh Bắc Giang</v>
      </c>
      <c r="C6439" t="str">
        <v>-</v>
      </c>
      <c r="D6439" t="str">
        <v>-</v>
      </c>
      <c r="E6439" t="str">
        <v>-</v>
      </c>
      <c r="F6439" t="str">
        <v>-</v>
      </c>
      <c r="G6439" t="str">
        <v>-</v>
      </c>
    </row>
    <row r="6440">
      <c r="A6440">
        <v>6439</v>
      </c>
      <c r="B6440" t="str">
        <v>Công an xã Mỹ Thái  tỉnh Bắc Giang</v>
      </c>
      <c r="C6440" t="str">
        <v>-</v>
      </c>
      <c r="D6440" t="str">
        <v>-</v>
      </c>
      <c r="E6440" t="str">
        <v/>
      </c>
      <c r="F6440" t="str">
        <v>-</v>
      </c>
      <c r="G6440" t="str">
        <v>-</v>
      </c>
    </row>
    <row r="6441">
      <c r="A6441">
        <v>6440</v>
      </c>
      <c r="B6441" t="str">
        <v>UBND Ủy ban nhân dân xã Mỹ Thái  tỉnh Bắc Giang</v>
      </c>
      <c r="C6441" t="str">
        <v>-</v>
      </c>
      <c r="D6441" t="str">
        <v>-</v>
      </c>
      <c r="E6441" t="str">
        <v>-</v>
      </c>
      <c r="F6441" t="str">
        <v>-</v>
      </c>
      <c r="G6441" t="str">
        <v>-</v>
      </c>
    </row>
    <row r="6442">
      <c r="A6442">
        <v>6441</v>
      </c>
      <c r="B6442" t="str">
        <v>Công an xã Phi Mô  tỉnh Bắc Giang</v>
      </c>
      <c r="C6442" t="str">
        <v>-</v>
      </c>
      <c r="D6442" t="str">
        <v>-</v>
      </c>
      <c r="E6442" t="str">
        <v/>
      </c>
      <c r="F6442" t="str">
        <v>-</v>
      </c>
      <c r="G6442" t="str">
        <v>-</v>
      </c>
    </row>
    <row r="6443">
      <c r="A6443">
        <v>6442</v>
      </c>
      <c r="B6443" t="str">
        <v>UBND Ủy ban nhân dân xã Phi Mô  tỉnh Bắc Giang</v>
      </c>
      <c r="C6443" t="str">
        <v>-</v>
      </c>
      <c r="D6443" t="str">
        <v>-</v>
      </c>
      <c r="E6443" t="str">
        <v>-</v>
      </c>
      <c r="F6443" t="str">
        <v>-</v>
      </c>
      <c r="G6443" t="str">
        <v>-</v>
      </c>
    </row>
    <row r="6444">
      <c r="A6444">
        <v>6443</v>
      </c>
      <c r="B6444" t="str">
        <v>Công an xã Xương Lâm  tỉnh Bắc Giang</v>
      </c>
      <c r="C6444" t="str">
        <v>-</v>
      </c>
      <c r="D6444" t="str">
        <v>-</v>
      </c>
      <c r="E6444" t="str">
        <v/>
      </c>
      <c r="F6444" t="str">
        <v>-</v>
      </c>
      <c r="G6444" t="str">
        <v>-</v>
      </c>
    </row>
    <row r="6445">
      <c r="A6445">
        <v>6444</v>
      </c>
      <c r="B6445" t="str">
        <v>UBND Ủy ban nhân dân xã Xương Lâm  tỉnh Bắc Giang</v>
      </c>
      <c r="C6445" t="str">
        <v>-</v>
      </c>
      <c r="D6445" t="str">
        <v>-</v>
      </c>
      <c r="E6445" t="str">
        <v>-</v>
      </c>
      <c r="F6445" t="str">
        <v>-</v>
      </c>
      <c r="G6445" t="str">
        <v>-</v>
      </c>
    </row>
    <row r="6446">
      <c r="A6446">
        <v>6445</v>
      </c>
      <c r="B6446" t="str">
        <v>Công an xã Xuân Hương  tỉnh Bắc Giang</v>
      </c>
      <c r="C6446" t="str">
        <v>-</v>
      </c>
      <c r="D6446" t="str">
        <v>-</v>
      </c>
      <c r="E6446" t="str">
        <v/>
      </c>
      <c r="F6446" t="str">
        <v>-</v>
      </c>
      <c r="G6446" t="str">
        <v>-</v>
      </c>
    </row>
    <row r="6447">
      <c r="A6447">
        <v>6446</v>
      </c>
      <c r="B6447" t="str">
        <v>UBND Ủy ban nhân dân xã Xuân Hương  tỉnh Bắc Giang</v>
      </c>
      <c r="C6447" t="str">
        <v>-</v>
      </c>
      <c r="D6447" t="str">
        <v>-</v>
      </c>
      <c r="E6447" t="str">
        <v>-</v>
      </c>
      <c r="F6447" t="str">
        <v>-</v>
      </c>
      <c r="G6447" t="str">
        <v>-</v>
      </c>
    </row>
    <row r="6448">
      <c r="A6448">
        <v>6447</v>
      </c>
      <c r="B6448" t="str">
        <v>Công an xã Tân Dĩnh  tỉnh Bắc Giang</v>
      </c>
      <c r="C6448" t="str">
        <v>-</v>
      </c>
      <c r="D6448" t="str">
        <v>-</v>
      </c>
      <c r="E6448" t="str">
        <v/>
      </c>
      <c r="F6448" t="str">
        <v>-</v>
      </c>
      <c r="G6448" t="str">
        <v>-</v>
      </c>
    </row>
    <row r="6449">
      <c r="A6449">
        <v>6448</v>
      </c>
      <c r="B6449" t="str">
        <v>UBND Ủy ban nhân dân xã Tân Dĩnh  tỉnh Bắc Giang</v>
      </c>
      <c r="C6449" t="str">
        <v>-</v>
      </c>
      <c r="D6449" t="str">
        <v>-</v>
      </c>
      <c r="E6449" t="str">
        <v>-</v>
      </c>
      <c r="F6449" t="str">
        <v>-</v>
      </c>
      <c r="G6449" t="str">
        <v>-</v>
      </c>
    </row>
    <row r="6450">
      <c r="A6450">
        <v>6449</v>
      </c>
      <c r="B6450" t="str">
        <v>Công an xã Đại Lâm  tỉnh Bắc Giang</v>
      </c>
      <c r="C6450" t="str">
        <v>-</v>
      </c>
      <c r="D6450" t="str">
        <v>-</v>
      </c>
      <c r="E6450" t="str">
        <v/>
      </c>
      <c r="F6450" t="str">
        <v>-</v>
      </c>
      <c r="G6450" t="str">
        <v>-</v>
      </c>
    </row>
    <row r="6451">
      <c r="A6451">
        <v>6450</v>
      </c>
      <c r="B6451" t="str">
        <v>UBND Ủy ban nhân dân xã Đại Lâm  tỉnh Bắc Giang</v>
      </c>
      <c r="C6451" t="str">
        <v>-</v>
      </c>
      <c r="D6451" t="str">
        <v>-</v>
      </c>
      <c r="E6451" t="str">
        <v>-</v>
      </c>
      <c r="F6451" t="str">
        <v>-</v>
      </c>
      <c r="G6451" t="str">
        <v>-</v>
      </c>
    </row>
    <row r="6452">
      <c r="A6452">
        <v>6451</v>
      </c>
      <c r="B6452" t="str">
        <v>Công an xã Thái Đào  tỉnh Bắc Giang</v>
      </c>
      <c r="C6452" t="str">
        <v>-</v>
      </c>
      <c r="D6452" t="str">
        <v>-</v>
      </c>
      <c r="E6452" t="str">
        <v/>
      </c>
      <c r="F6452" t="str">
        <v>-</v>
      </c>
      <c r="G6452" t="str">
        <v>-</v>
      </c>
    </row>
    <row r="6453">
      <c r="A6453">
        <v>6452</v>
      </c>
      <c r="B6453" t="str">
        <v>UBND Ủy ban nhân dân xã Thái Đào  tỉnh Bắc Giang</v>
      </c>
      <c r="C6453" t="str">
        <v>-</v>
      </c>
      <c r="D6453" t="str">
        <v>-</v>
      </c>
      <c r="E6453" t="str">
        <v>-</v>
      </c>
      <c r="F6453" t="str">
        <v>-</v>
      </c>
      <c r="G6453" t="str">
        <v>-</v>
      </c>
    </row>
    <row r="6454">
      <c r="A6454">
        <v>6453</v>
      </c>
      <c r="B6454" t="str">
        <v>Công an thị trấn Đồi Ngô  tỉnh Bắc Giang</v>
      </c>
      <c r="C6454" t="str">
        <v>-</v>
      </c>
      <c r="D6454" t="str">
        <v>-</v>
      </c>
      <c r="E6454" t="str">
        <v/>
      </c>
      <c r="F6454" t="str">
        <v>-</v>
      </c>
      <c r="G6454" t="str">
        <v>-</v>
      </c>
    </row>
    <row r="6455">
      <c r="A6455">
        <v>6454</v>
      </c>
      <c r="B6455" t="str">
        <v>UBND Ủy ban nhân dân thị trấn Đồi Ngô  tỉnh Bắc Giang</v>
      </c>
      <c r="C6455" t="str">
        <v>-</v>
      </c>
      <c r="D6455" t="str">
        <v>-</v>
      </c>
      <c r="E6455" t="str">
        <v>-</v>
      </c>
      <c r="F6455" t="str">
        <v>-</v>
      </c>
      <c r="G6455" t="str">
        <v>-</v>
      </c>
    </row>
    <row r="6456">
      <c r="A6456">
        <v>6455</v>
      </c>
      <c r="B6456" t="str">
        <v>Công an thị trấn Lục Nam  tỉnh Bắc Giang</v>
      </c>
      <c r="C6456" t="str">
        <v>-</v>
      </c>
      <c r="D6456" t="str">
        <v>-</v>
      </c>
      <c r="E6456" t="str">
        <v/>
      </c>
      <c r="F6456" t="str">
        <v>-</v>
      </c>
      <c r="G6456" t="str">
        <v>-</v>
      </c>
    </row>
    <row r="6457">
      <c r="A6457">
        <v>6456</v>
      </c>
      <c r="B6457" t="str">
        <v>UBND Ủy ban nhân dân thị trấn Lục Nam  tỉnh Bắc Giang</v>
      </c>
      <c r="C6457" t="str">
        <v>-</v>
      </c>
      <c r="D6457" t="str">
        <v>-</v>
      </c>
      <c r="E6457" t="str">
        <v>-</v>
      </c>
      <c r="F6457" t="str">
        <v>-</v>
      </c>
      <c r="G6457" t="str">
        <v>-</v>
      </c>
    </row>
    <row r="6458">
      <c r="A6458">
        <v>6457</v>
      </c>
      <c r="B6458" t="str">
        <v>Công an xã Đông Hưng  tỉnh Bắc Giang</v>
      </c>
      <c r="C6458" t="str">
        <v>-</v>
      </c>
      <c r="D6458" t="str">
        <v>-</v>
      </c>
      <c r="E6458" t="str">
        <v/>
      </c>
      <c r="F6458" t="str">
        <v>-</v>
      </c>
      <c r="G6458" t="str">
        <v>-</v>
      </c>
    </row>
    <row r="6459">
      <c r="A6459">
        <v>6458</v>
      </c>
      <c r="B6459" t="str">
        <v>UBND Ủy ban nhân dân xã Đông Hưng  tỉnh Bắc Giang</v>
      </c>
      <c r="C6459" t="str">
        <v>-</v>
      </c>
      <c r="D6459" t="str">
        <v>-</v>
      </c>
      <c r="E6459" t="str">
        <v>-</v>
      </c>
      <c r="F6459" t="str">
        <v>-</v>
      </c>
      <c r="G6459" t="str">
        <v>-</v>
      </c>
    </row>
    <row r="6460">
      <c r="A6460">
        <v>6459</v>
      </c>
      <c r="B6460" t="str">
        <v>Công an xã Đông Phú  tỉnh Bắc Giang</v>
      </c>
      <c r="C6460" t="str">
        <v>-</v>
      </c>
      <c r="D6460" t="str">
        <v>-</v>
      </c>
      <c r="E6460" t="str">
        <v/>
      </c>
      <c r="F6460" t="str">
        <v>-</v>
      </c>
      <c r="G6460" t="str">
        <v>-</v>
      </c>
    </row>
    <row r="6461">
      <c r="A6461">
        <v>6460</v>
      </c>
      <c r="B6461" t="str">
        <v>UBND Ủy ban nhân dân xã Đông Phú  tỉnh Bắc Giang</v>
      </c>
      <c r="C6461" t="str">
        <v>-</v>
      </c>
      <c r="D6461" t="str">
        <v>-</v>
      </c>
      <c r="E6461" t="str">
        <v>-</v>
      </c>
      <c r="F6461" t="str">
        <v>-</v>
      </c>
      <c r="G6461" t="str">
        <v>-</v>
      </c>
    </row>
    <row r="6462">
      <c r="A6462">
        <v>6461</v>
      </c>
      <c r="B6462" t="str">
        <v>Công an xã Tam Dị  tỉnh Bắc Giang</v>
      </c>
      <c r="C6462" t="str">
        <v>-</v>
      </c>
      <c r="D6462" t="str">
        <v>-</v>
      </c>
      <c r="E6462" t="str">
        <v/>
      </c>
      <c r="F6462" t="str">
        <v>-</v>
      </c>
      <c r="G6462" t="str">
        <v>-</v>
      </c>
    </row>
    <row r="6463">
      <c r="A6463">
        <v>6462</v>
      </c>
      <c r="B6463" t="str">
        <v>UBND Ủy ban nhân dân xã Tam Dị  tỉnh Bắc Giang</v>
      </c>
      <c r="C6463" t="str">
        <v>-</v>
      </c>
      <c r="D6463" t="str">
        <v>-</v>
      </c>
      <c r="E6463" t="str">
        <v>-</v>
      </c>
      <c r="F6463" t="str">
        <v>-</v>
      </c>
      <c r="G6463" t="str">
        <v>-</v>
      </c>
    </row>
    <row r="6464">
      <c r="A6464">
        <v>6463</v>
      </c>
      <c r="B6464" t="str">
        <v>Công an xã Bảo Sơn  tỉnh Bắc Giang</v>
      </c>
      <c r="C6464" t="str">
        <v>-</v>
      </c>
      <c r="D6464" t="str">
        <v>-</v>
      </c>
      <c r="E6464" t="str">
        <v/>
      </c>
      <c r="F6464" t="str">
        <v>-</v>
      </c>
      <c r="G6464" t="str">
        <v>-</v>
      </c>
    </row>
    <row r="6465">
      <c r="A6465">
        <v>6464</v>
      </c>
      <c r="B6465" t="str">
        <v>UBND Ủy ban nhân dân xã Bảo Sơn  tỉnh Bắc Giang</v>
      </c>
      <c r="C6465" t="str">
        <v>-</v>
      </c>
      <c r="D6465" t="str">
        <v>-</v>
      </c>
      <c r="E6465" t="str">
        <v>-</v>
      </c>
      <c r="F6465" t="str">
        <v>-</v>
      </c>
      <c r="G6465" t="str">
        <v>-</v>
      </c>
    </row>
    <row r="6466">
      <c r="A6466">
        <v>6465</v>
      </c>
      <c r="B6466" t="str">
        <v>Công an xã Bảo Đài  tỉnh Bắc Giang</v>
      </c>
      <c r="C6466" t="str">
        <v>-</v>
      </c>
      <c r="D6466" t="str">
        <v>-</v>
      </c>
      <c r="E6466" t="str">
        <v/>
      </c>
      <c r="F6466" t="str">
        <v>-</v>
      </c>
      <c r="G6466" t="str">
        <v>-</v>
      </c>
    </row>
    <row r="6467">
      <c r="A6467">
        <v>6466</v>
      </c>
      <c r="B6467" t="str">
        <v>UBND Ủy ban nhân dân xã Bảo Đài  tỉnh Bắc Giang</v>
      </c>
      <c r="C6467" t="str">
        <v>-</v>
      </c>
      <c r="D6467" t="str">
        <v>-</v>
      </c>
      <c r="E6467" t="str">
        <v>-</v>
      </c>
      <c r="F6467" t="str">
        <v>-</v>
      </c>
      <c r="G6467" t="str">
        <v>-</v>
      </c>
    </row>
    <row r="6468">
      <c r="A6468">
        <v>6467</v>
      </c>
      <c r="B6468" t="str">
        <v>Công an xã Thanh Lâm  tỉnh Bắc Giang</v>
      </c>
      <c r="C6468" t="str">
        <v>-</v>
      </c>
      <c r="D6468" t="str">
        <v>-</v>
      </c>
      <c r="E6468" t="str">
        <v/>
      </c>
      <c r="F6468" t="str">
        <v>-</v>
      </c>
      <c r="G6468" t="str">
        <v>-</v>
      </c>
    </row>
    <row r="6469">
      <c r="A6469">
        <v>6468</v>
      </c>
      <c r="B6469" t="str">
        <v>UBND Ủy ban nhân dân xã Thanh Lâm  tỉnh Bắc Giang</v>
      </c>
      <c r="C6469" t="str">
        <v>-</v>
      </c>
      <c r="D6469" t="str">
        <v>-</v>
      </c>
      <c r="E6469" t="str">
        <v>-</v>
      </c>
      <c r="F6469" t="str">
        <v>-</v>
      </c>
      <c r="G6469" t="str">
        <v>-</v>
      </c>
    </row>
    <row r="6470">
      <c r="A6470">
        <v>6469</v>
      </c>
      <c r="B6470" t="str">
        <v>Công an xã Tiên Nha  tỉnh Bắc Giang</v>
      </c>
      <c r="C6470" t="str">
        <v>-</v>
      </c>
      <c r="D6470" t="str">
        <v>-</v>
      </c>
      <c r="E6470" t="str">
        <v/>
      </c>
      <c r="F6470" t="str">
        <v>-</v>
      </c>
      <c r="G6470" t="str">
        <v>-</v>
      </c>
    </row>
    <row r="6471">
      <c r="A6471">
        <v>6470</v>
      </c>
      <c r="B6471" t="str">
        <v>UBND Ủy ban nhân dân xã Tiên Nha  tỉnh Bắc Giang</v>
      </c>
      <c r="C6471" t="str">
        <v>-</v>
      </c>
      <c r="D6471" t="str">
        <v>-</v>
      </c>
      <c r="E6471" t="str">
        <v>-</v>
      </c>
      <c r="F6471" t="str">
        <v>-</v>
      </c>
      <c r="G6471" t="str">
        <v>-</v>
      </c>
    </row>
    <row r="6472">
      <c r="A6472">
        <v>6471</v>
      </c>
      <c r="B6472" t="str">
        <v>Công an xã Trường Giang  tỉnh Bắc Giang</v>
      </c>
      <c r="C6472" t="str">
        <v>-</v>
      </c>
      <c r="D6472" t="str">
        <v>-</v>
      </c>
      <c r="E6472" t="str">
        <v/>
      </c>
      <c r="F6472" t="str">
        <v>-</v>
      </c>
      <c r="G6472" t="str">
        <v>-</v>
      </c>
    </row>
    <row r="6473">
      <c r="A6473">
        <v>6472</v>
      </c>
      <c r="B6473" t="str">
        <v>UBND Ủy ban nhân dân xã Trường Giang  tỉnh Bắc Giang</v>
      </c>
      <c r="C6473" t="str">
        <v>-</v>
      </c>
      <c r="D6473" t="str">
        <v>-</v>
      </c>
      <c r="E6473" t="str">
        <v>-</v>
      </c>
      <c r="F6473" t="str">
        <v>-</v>
      </c>
      <c r="G6473" t="str">
        <v>-</v>
      </c>
    </row>
    <row r="6474">
      <c r="A6474">
        <v>6473</v>
      </c>
      <c r="B6474" t="str">
        <v>Công an xã Tiên Hưng  tỉnh Bắc Giang</v>
      </c>
      <c r="C6474" t="str">
        <v>-</v>
      </c>
      <c r="D6474" t="str">
        <v>-</v>
      </c>
      <c r="E6474" t="str">
        <v/>
      </c>
      <c r="F6474" t="str">
        <v>-</v>
      </c>
      <c r="G6474" t="str">
        <v>-</v>
      </c>
    </row>
    <row r="6475">
      <c r="A6475">
        <v>6474</v>
      </c>
      <c r="B6475" t="str">
        <v>UBND Ủy ban nhân dân xã Tiên Hưng  tỉnh Bắc Giang</v>
      </c>
      <c r="C6475" t="str">
        <v>-</v>
      </c>
      <c r="D6475" t="str">
        <v>-</v>
      </c>
      <c r="E6475" t="str">
        <v>-</v>
      </c>
      <c r="F6475" t="str">
        <v>-</v>
      </c>
      <c r="G6475" t="str">
        <v>-</v>
      </c>
    </row>
    <row r="6476">
      <c r="A6476">
        <v>6475</v>
      </c>
      <c r="B6476" t="str">
        <v>Công an xã Phương Sơn  tỉnh Bắc Giang</v>
      </c>
      <c r="C6476" t="str">
        <v>-</v>
      </c>
      <c r="D6476" t="str">
        <v>-</v>
      </c>
      <c r="E6476" t="str">
        <v/>
      </c>
      <c r="F6476" t="str">
        <v>-</v>
      </c>
      <c r="G6476" t="str">
        <v>-</v>
      </c>
    </row>
    <row r="6477">
      <c r="A6477">
        <v>6476</v>
      </c>
      <c r="B6477" t="str">
        <v>UBND Ủy ban nhân dân xã Phương Sơn  tỉnh Bắc Giang</v>
      </c>
      <c r="C6477" t="str">
        <v>-</v>
      </c>
      <c r="D6477" t="str">
        <v>-</v>
      </c>
      <c r="E6477" t="str">
        <v>-</v>
      </c>
      <c r="F6477" t="str">
        <v>-</v>
      </c>
      <c r="G6477" t="str">
        <v>-</v>
      </c>
    </row>
    <row r="6478">
      <c r="A6478">
        <v>6477</v>
      </c>
      <c r="B6478" t="str">
        <v>Công an xã Chu Điện  tỉnh Bắc Giang</v>
      </c>
      <c r="C6478" t="str">
        <v>-</v>
      </c>
      <c r="D6478" t="str">
        <v>-</v>
      </c>
      <c r="E6478" t="str">
        <v/>
      </c>
      <c r="F6478" t="str">
        <v>-</v>
      </c>
      <c r="G6478" t="str">
        <v>-</v>
      </c>
    </row>
    <row r="6479">
      <c r="A6479">
        <v>6478</v>
      </c>
      <c r="B6479" t="str">
        <v>UBND Ủy ban nhân dân xã Chu Điện  tỉnh Bắc Giang</v>
      </c>
      <c r="C6479" t="str">
        <v>-</v>
      </c>
      <c r="D6479" t="str">
        <v>-</v>
      </c>
      <c r="E6479" t="str">
        <v>-</v>
      </c>
      <c r="F6479" t="str">
        <v>-</v>
      </c>
      <c r="G6479" t="str">
        <v>-</v>
      </c>
    </row>
    <row r="6480">
      <c r="A6480">
        <v>6479</v>
      </c>
      <c r="B6480" t="str">
        <v>Công an xã Cương Sơn  tỉnh Bắc Giang</v>
      </c>
      <c r="C6480" t="str">
        <v>-</v>
      </c>
      <c r="D6480" t="str">
        <v>-</v>
      </c>
      <c r="E6480" t="str">
        <v/>
      </c>
      <c r="F6480" t="str">
        <v>-</v>
      </c>
      <c r="G6480" t="str">
        <v>-</v>
      </c>
    </row>
    <row r="6481">
      <c r="A6481">
        <v>6480</v>
      </c>
      <c r="B6481" t="str">
        <v>UBND Ủy ban nhân dân xã Cương Sơn  tỉnh Bắc Giang</v>
      </c>
      <c r="C6481" t="str">
        <v>-</v>
      </c>
      <c r="D6481" t="str">
        <v>-</v>
      </c>
      <c r="E6481" t="str">
        <v>-</v>
      </c>
      <c r="F6481" t="str">
        <v>-</v>
      </c>
      <c r="G6481" t="str">
        <v>-</v>
      </c>
    </row>
    <row r="6482">
      <c r="A6482">
        <v>6481</v>
      </c>
      <c r="B6482" t="str">
        <v>Công an xã Nghĩa Phương  tỉnh Bắc Giang</v>
      </c>
      <c r="C6482" t="str">
        <v>-</v>
      </c>
      <c r="D6482" t="str">
        <v>-</v>
      </c>
      <c r="E6482" t="str">
        <v/>
      </c>
      <c r="F6482" t="str">
        <v>-</v>
      </c>
      <c r="G6482" t="str">
        <v>-</v>
      </c>
    </row>
    <row r="6483">
      <c r="A6483">
        <v>6482</v>
      </c>
      <c r="B6483" t="str">
        <v>UBND Ủy ban nhân dân xã Nghĩa Phương  tỉnh Bắc Giang</v>
      </c>
      <c r="C6483" t="str">
        <v>-</v>
      </c>
      <c r="D6483" t="str">
        <v>-</v>
      </c>
      <c r="E6483" t="str">
        <v>-</v>
      </c>
      <c r="F6483" t="str">
        <v>-</v>
      </c>
      <c r="G6483" t="str">
        <v>-</v>
      </c>
    </row>
    <row r="6484">
      <c r="A6484">
        <v>6483</v>
      </c>
      <c r="B6484" t="str">
        <v>Công an xã Vô Tranh  tỉnh Bắc Giang</v>
      </c>
      <c r="C6484" t="str">
        <v>-</v>
      </c>
      <c r="D6484" t="str">
        <v>-</v>
      </c>
      <c r="E6484" t="str">
        <v/>
      </c>
      <c r="F6484" t="str">
        <v>-</v>
      </c>
      <c r="G6484" t="str">
        <v>-</v>
      </c>
    </row>
    <row r="6485">
      <c r="A6485">
        <v>6484</v>
      </c>
      <c r="B6485" t="str">
        <v>UBND Ủy ban nhân dân xã Vô Tranh  tỉnh Bắc Giang</v>
      </c>
      <c r="C6485" t="str">
        <v>-</v>
      </c>
      <c r="D6485" t="str">
        <v>-</v>
      </c>
      <c r="E6485" t="str">
        <v>-</v>
      </c>
      <c r="F6485" t="str">
        <v>-</v>
      </c>
      <c r="G6485" t="str">
        <v>-</v>
      </c>
    </row>
    <row r="6486">
      <c r="A6486">
        <v>6485</v>
      </c>
      <c r="B6486" t="str">
        <v>Công an xã Bình Sơn  tỉnh Bắc Giang</v>
      </c>
      <c r="C6486" t="str">
        <v>-</v>
      </c>
      <c r="D6486" t="str">
        <v>-</v>
      </c>
      <c r="E6486" t="str">
        <v/>
      </c>
      <c r="F6486" t="str">
        <v>-</v>
      </c>
      <c r="G6486" t="str">
        <v>-</v>
      </c>
    </row>
    <row r="6487">
      <c r="A6487">
        <v>6486</v>
      </c>
      <c r="B6487" t="str">
        <v>UBND Ủy ban nhân dân xã Bình Sơn  tỉnh Bắc Giang</v>
      </c>
      <c r="C6487" t="str">
        <v>-</v>
      </c>
      <c r="D6487" t="str">
        <v>-</v>
      </c>
      <c r="E6487" t="str">
        <v>-</v>
      </c>
      <c r="F6487" t="str">
        <v>-</v>
      </c>
      <c r="G6487" t="str">
        <v>-</v>
      </c>
    </row>
    <row r="6488">
      <c r="A6488">
        <v>6487</v>
      </c>
      <c r="B6488" t="str">
        <v>Công an xã Lan Mẫu  tỉnh Bắc Giang</v>
      </c>
      <c r="C6488" t="str">
        <v>-</v>
      </c>
      <c r="D6488" t="str">
        <v>-</v>
      </c>
      <c r="E6488" t="str">
        <v/>
      </c>
      <c r="F6488" t="str">
        <v>-</v>
      </c>
      <c r="G6488" t="str">
        <v>-</v>
      </c>
    </row>
    <row r="6489">
      <c r="A6489">
        <v>6488</v>
      </c>
      <c r="B6489" t="str">
        <v>UBND Ủy ban nhân dân xã Lan Mẫu  tỉnh Bắc Giang</v>
      </c>
      <c r="C6489" t="str">
        <v>-</v>
      </c>
      <c r="D6489" t="str">
        <v>-</v>
      </c>
      <c r="E6489" t="str">
        <v>-</v>
      </c>
      <c r="F6489" t="str">
        <v>-</v>
      </c>
      <c r="G6489" t="str">
        <v>-</v>
      </c>
    </row>
    <row r="6490">
      <c r="A6490">
        <v>6489</v>
      </c>
      <c r="B6490" t="str">
        <v>Công an xã Yên Sơn  tỉnh Bắc Giang</v>
      </c>
      <c r="C6490" t="str">
        <v>-</v>
      </c>
      <c r="D6490" t="str">
        <v>-</v>
      </c>
      <c r="E6490" t="str">
        <v/>
      </c>
      <c r="F6490" t="str">
        <v>-</v>
      </c>
      <c r="G6490" t="str">
        <v>-</v>
      </c>
    </row>
    <row r="6491">
      <c r="A6491">
        <v>6490</v>
      </c>
      <c r="B6491" t="str">
        <v>UBND Ủy ban nhân dân xã Yên Sơn  tỉnh Bắc Giang</v>
      </c>
      <c r="C6491" t="str">
        <v>-</v>
      </c>
      <c r="D6491" t="str">
        <v>-</v>
      </c>
      <c r="E6491" t="str">
        <v>-</v>
      </c>
      <c r="F6491" t="str">
        <v>-</v>
      </c>
      <c r="G6491" t="str">
        <v>-</v>
      </c>
    </row>
    <row r="6492">
      <c r="A6492">
        <v>6491</v>
      </c>
      <c r="B6492" t="str">
        <v>Công an xã Khám Lạng  tỉnh Bắc Giang</v>
      </c>
      <c r="C6492" t="str">
        <v>-</v>
      </c>
      <c r="D6492" t="str">
        <v>-</v>
      </c>
      <c r="E6492" t="str">
        <v/>
      </c>
      <c r="F6492" t="str">
        <v>-</v>
      </c>
      <c r="G6492" t="str">
        <v>-</v>
      </c>
    </row>
    <row r="6493">
      <c r="A6493">
        <v>6492</v>
      </c>
      <c r="B6493" t="str">
        <v>UBND Ủy ban nhân dân xã Khám Lạng  tỉnh Bắc Giang</v>
      </c>
      <c r="C6493" t="str">
        <v>-</v>
      </c>
      <c r="D6493" t="str">
        <v>-</v>
      </c>
      <c r="E6493" t="str">
        <v>-</v>
      </c>
      <c r="F6493" t="str">
        <v>-</v>
      </c>
      <c r="G6493" t="str">
        <v>-</v>
      </c>
    </row>
    <row r="6494">
      <c r="A6494">
        <v>6493</v>
      </c>
      <c r="B6494" t="str">
        <v>Công an xã Huyền Sơn  tỉnh Bắc Giang</v>
      </c>
      <c r="C6494" t="str">
        <v>-</v>
      </c>
      <c r="D6494" t="str">
        <v>-</v>
      </c>
      <c r="E6494" t="str">
        <v/>
      </c>
      <c r="F6494" t="str">
        <v>-</v>
      </c>
      <c r="G6494" t="str">
        <v>-</v>
      </c>
    </row>
    <row r="6495">
      <c r="A6495">
        <v>6494</v>
      </c>
      <c r="B6495" t="str">
        <v>UBND Ủy ban nhân dân xã Huyền Sơn  tỉnh Bắc Giang</v>
      </c>
      <c r="C6495" t="str">
        <v>-</v>
      </c>
      <c r="D6495" t="str">
        <v>-</v>
      </c>
      <c r="E6495" t="str">
        <v>-</v>
      </c>
      <c r="F6495" t="str">
        <v>-</v>
      </c>
      <c r="G6495" t="str">
        <v>-</v>
      </c>
    </row>
    <row r="6496">
      <c r="A6496">
        <v>6495</v>
      </c>
      <c r="B6496" t="str">
        <v>Công an xã Trường Sơn  tỉnh Bắc Giang</v>
      </c>
      <c r="C6496" t="str">
        <v>-</v>
      </c>
      <c r="D6496" t="str">
        <v>-</v>
      </c>
      <c r="E6496" t="str">
        <v/>
      </c>
      <c r="F6496" t="str">
        <v>-</v>
      </c>
      <c r="G6496" t="str">
        <v>-</v>
      </c>
    </row>
    <row r="6497">
      <c r="A6497">
        <v>6496</v>
      </c>
      <c r="B6497" t="str">
        <v>UBND Ủy ban nhân dân xã Trường Sơn  tỉnh Bắc Giang</v>
      </c>
      <c r="C6497" t="str">
        <v>-</v>
      </c>
      <c r="D6497" t="str">
        <v>-</v>
      </c>
      <c r="E6497" t="str">
        <v>-</v>
      </c>
      <c r="F6497" t="str">
        <v>-</v>
      </c>
      <c r="G6497" t="str">
        <v>-</v>
      </c>
    </row>
    <row r="6498">
      <c r="A6498">
        <v>6497</v>
      </c>
      <c r="B6498" t="str">
        <v>Công an xã Lục Sơn  tỉnh Bắc Giang</v>
      </c>
      <c r="C6498" t="str">
        <v>-</v>
      </c>
      <c r="D6498" t="str">
        <v>-</v>
      </c>
      <c r="E6498" t="str">
        <v/>
      </c>
      <c r="F6498" t="str">
        <v>-</v>
      </c>
      <c r="G6498" t="str">
        <v>-</v>
      </c>
    </row>
    <row r="6499">
      <c r="A6499">
        <v>6498</v>
      </c>
      <c r="B6499" t="str">
        <v>UBND Ủy ban nhân dân xã Lục Sơn  tỉnh Bắc Giang</v>
      </c>
      <c r="C6499" t="str">
        <v>-</v>
      </c>
      <c r="D6499" t="str">
        <v>-</v>
      </c>
      <c r="E6499" t="str">
        <v>-</v>
      </c>
      <c r="F6499" t="str">
        <v>-</v>
      </c>
      <c r="G6499" t="str">
        <v>-</v>
      </c>
    </row>
    <row r="6500">
      <c r="A6500">
        <v>6499</v>
      </c>
      <c r="B6500" t="str">
        <v>Công an xã Bắc Lũng  tỉnh Bắc Giang</v>
      </c>
      <c r="C6500" t="str">
        <v>-</v>
      </c>
      <c r="D6500" t="str">
        <v>-</v>
      </c>
      <c r="E6500" t="str">
        <v/>
      </c>
      <c r="F6500" t="str">
        <v>-</v>
      </c>
      <c r="G6500" t="str">
        <v>-</v>
      </c>
    </row>
    <row r="6501">
      <c r="A6501">
        <v>6500</v>
      </c>
      <c r="B6501" t="str">
        <v>UBND Ủy ban nhân dân xã Bắc Lũng  tỉnh Bắc Giang</v>
      </c>
      <c r="C6501" t="str">
        <v>-</v>
      </c>
      <c r="D6501" t="str">
        <v>-</v>
      </c>
      <c r="E6501" t="str">
        <v>-</v>
      </c>
      <c r="F6501" t="str">
        <v>-</v>
      </c>
      <c r="G6501" t="str">
        <v>-</v>
      </c>
    </row>
    <row r="6502">
      <c r="A6502">
        <v>6501</v>
      </c>
      <c r="B6502" t="str">
        <v>Công an xã Vũ Xá  tỉnh Bắc Giang</v>
      </c>
      <c r="C6502" t="str">
        <v>-</v>
      </c>
      <c r="D6502" t="str">
        <v>-</v>
      </c>
      <c r="E6502" t="str">
        <v/>
      </c>
      <c r="F6502" t="str">
        <v>-</v>
      </c>
      <c r="G6502" t="str">
        <v>-</v>
      </c>
    </row>
    <row r="6503">
      <c r="A6503">
        <v>6502</v>
      </c>
      <c r="B6503" t="str">
        <v>UBND Ủy ban nhân dân xã Vũ Xá  tỉnh Bắc Giang</v>
      </c>
      <c r="C6503" t="str">
        <v>-</v>
      </c>
      <c r="D6503" t="str">
        <v>-</v>
      </c>
      <c r="E6503" t="str">
        <v>-</v>
      </c>
      <c r="F6503" t="str">
        <v>-</v>
      </c>
      <c r="G6503" t="str">
        <v>-</v>
      </c>
    </row>
    <row r="6504">
      <c r="A6504">
        <v>6503</v>
      </c>
      <c r="B6504" t="str">
        <v>Công an xã Cẩm Lý  tỉnh Bắc Giang</v>
      </c>
      <c r="C6504" t="str">
        <v>-</v>
      </c>
      <c r="D6504" t="str">
        <v>-</v>
      </c>
      <c r="E6504" t="str">
        <v/>
      </c>
      <c r="F6504" t="str">
        <v>-</v>
      </c>
      <c r="G6504" t="str">
        <v>-</v>
      </c>
    </row>
    <row r="6505">
      <c r="A6505">
        <v>6504</v>
      </c>
      <c r="B6505" t="str">
        <v>UBND Ủy ban nhân dân xã Cẩm Lý  tỉnh Bắc Giang</v>
      </c>
      <c r="C6505" t="str">
        <v>-</v>
      </c>
      <c r="D6505" t="str">
        <v>-</v>
      </c>
      <c r="E6505" t="str">
        <v>-</v>
      </c>
      <c r="F6505" t="str">
        <v>-</v>
      </c>
      <c r="G6505" t="str">
        <v>-</v>
      </c>
    </row>
    <row r="6506">
      <c r="A6506">
        <v>6505</v>
      </c>
      <c r="B6506" t="str">
        <v>Công an xã Đan Hội  tỉnh Bắc Giang</v>
      </c>
      <c r="C6506" t="str">
        <v>-</v>
      </c>
      <c r="D6506" t="str">
        <v>-</v>
      </c>
      <c r="E6506" t="str">
        <v/>
      </c>
      <c r="F6506" t="str">
        <v>-</v>
      </c>
      <c r="G6506" t="str">
        <v>-</v>
      </c>
    </row>
    <row r="6507">
      <c r="A6507">
        <v>6506</v>
      </c>
      <c r="B6507" t="str">
        <v>UBND Ủy ban nhân dân xã Đan Hội  tỉnh Bắc Giang</v>
      </c>
      <c r="C6507" t="str">
        <v>-</v>
      </c>
      <c r="D6507" t="str">
        <v>-</v>
      </c>
      <c r="E6507" t="str">
        <v>-</v>
      </c>
      <c r="F6507" t="str">
        <v>-</v>
      </c>
      <c r="G6507" t="str">
        <v>-</v>
      </c>
    </row>
    <row r="6508">
      <c r="A6508">
        <v>6507</v>
      </c>
      <c r="B6508" t="str">
        <v>Công an thị trấn Chũ  tỉnh Bắc Giang</v>
      </c>
      <c r="C6508" t="str">
        <v>-</v>
      </c>
      <c r="D6508" t="str">
        <v>-</v>
      </c>
      <c r="E6508" t="str">
        <v/>
      </c>
      <c r="F6508" t="str">
        <v>-</v>
      </c>
      <c r="G6508" t="str">
        <v>-</v>
      </c>
    </row>
    <row r="6509">
      <c r="A6509">
        <v>6508</v>
      </c>
      <c r="B6509" t="str">
        <v>UBND Ủy ban nhân dân thị trấn Chũ  tỉnh Bắc Giang</v>
      </c>
      <c r="C6509" t="str">
        <v>-</v>
      </c>
      <c r="D6509" t="str">
        <v>-</v>
      </c>
      <c r="E6509" t="str">
        <v>-</v>
      </c>
      <c r="F6509" t="str">
        <v>-</v>
      </c>
      <c r="G6509" t="str">
        <v>-</v>
      </c>
    </row>
    <row r="6510">
      <c r="A6510">
        <v>6509</v>
      </c>
      <c r="B6510" t="str">
        <v>Công an xã Cấm Sơn  tỉnh Bắc Giang</v>
      </c>
      <c r="C6510" t="str">
        <v>-</v>
      </c>
      <c r="D6510" t="str">
        <v>-</v>
      </c>
      <c r="E6510" t="str">
        <v/>
      </c>
      <c r="F6510" t="str">
        <v>-</v>
      </c>
      <c r="G6510" t="str">
        <v>-</v>
      </c>
    </row>
    <row r="6511">
      <c r="A6511">
        <v>6510</v>
      </c>
      <c r="B6511" t="str">
        <v>UBND Ủy ban nhân dân xã Cấm Sơn  tỉnh Bắc Giang</v>
      </c>
      <c r="C6511" t="str">
        <v>-</v>
      </c>
      <c r="D6511" t="str">
        <v>-</v>
      </c>
      <c r="E6511" t="str">
        <v>-</v>
      </c>
      <c r="F6511" t="str">
        <v>-</v>
      </c>
      <c r="G6511" t="str">
        <v>-</v>
      </c>
    </row>
    <row r="6512">
      <c r="A6512">
        <v>6511</v>
      </c>
      <c r="B6512" t="str">
        <v>Công an xã Tân Sơn  tỉnh Bắc Giang</v>
      </c>
      <c r="C6512" t="str">
        <v>-</v>
      </c>
      <c r="D6512" t="str">
        <v>-</v>
      </c>
      <c r="E6512" t="str">
        <v/>
      </c>
      <c r="F6512" t="str">
        <v>-</v>
      </c>
      <c r="G6512" t="str">
        <v>-</v>
      </c>
    </row>
    <row r="6513">
      <c r="A6513">
        <v>6512</v>
      </c>
      <c r="B6513" t="str">
        <v>UBND Ủy ban nhân dân xã Tân Sơn  tỉnh Bắc Giang</v>
      </c>
      <c r="C6513" t="str">
        <v>-</v>
      </c>
      <c r="D6513" t="str">
        <v>-</v>
      </c>
      <c r="E6513" t="str">
        <v>-</v>
      </c>
      <c r="F6513" t="str">
        <v>-</v>
      </c>
      <c r="G6513" t="str">
        <v>-</v>
      </c>
    </row>
    <row r="6514">
      <c r="A6514">
        <v>6513</v>
      </c>
      <c r="B6514" t="str">
        <v>Công an xã Phong Minh  tỉnh Bắc Giang</v>
      </c>
      <c r="C6514" t="str">
        <v>-</v>
      </c>
      <c r="D6514" t="str">
        <v>-</v>
      </c>
      <c r="E6514" t="str">
        <v/>
      </c>
      <c r="F6514" t="str">
        <v>-</v>
      </c>
      <c r="G6514" t="str">
        <v>-</v>
      </c>
    </row>
    <row r="6515">
      <c r="A6515">
        <v>6514</v>
      </c>
      <c r="B6515" t="str">
        <v>UBND Ủy ban nhân dân xã Phong Minh  tỉnh Bắc Giang</v>
      </c>
      <c r="C6515" t="str">
        <v>-</v>
      </c>
      <c r="D6515" t="str">
        <v>-</v>
      </c>
      <c r="E6515" t="str">
        <v>-</v>
      </c>
      <c r="F6515" t="str">
        <v>-</v>
      </c>
      <c r="G6515" t="str">
        <v>-</v>
      </c>
    </row>
    <row r="6516">
      <c r="A6516">
        <v>6515</v>
      </c>
      <c r="B6516" t="str">
        <v>Công an xã Phong Vân  tỉnh Bắc Giang</v>
      </c>
      <c r="C6516" t="str">
        <v>-</v>
      </c>
      <c r="D6516" t="str">
        <v>-</v>
      </c>
      <c r="E6516" t="str">
        <v/>
      </c>
      <c r="F6516" t="str">
        <v>-</v>
      </c>
      <c r="G6516" t="str">
        <v>-</v>
      </c>
    </row>
    <row r="6517">
      <c r="A6517">
        <v>6516</v>
      </c>
      <c r="B6517" t="str">
        <v>UBND Ủy ban nhân dân xã Phong Vân  tỉnh Bắc Giang</v>
      </c>
      <c r="C6517" t="str">
        <v>-</v>
      </c>
      <c r="D6517" t="str">
        <v>-</v>
      </c>
      <c r="E6517" t="str">
        <v>-</v>
      </c>
      <c r="F6517" t="str">
        <v>-</v>
      </c>
      <c r="G6517" t="str">
        <v>-</v>
      </c>
    </row>
    <row r="6518">
      <c r="A6518">
        <v>6517</v>
      </c>
      <c r="B6518" t="str">
        <v>Công an xã Xa Lý  tỉnh Bắc Giang</v>
      </c>
      <c r="C6518" t="str">
        <v>-</v>
      </c>
      <c r="D6518" t="str">
        <v>-</v>
      </c>
      <c r="E6518" t="str">
        <v/>
      </c>
      <c r="F6518" t="str">
        <v>-</v>
      </c>
      <c r="G6518" t="str">
        <v>-</v>
      </c>
    </row>
    <row r="6519">
      <c r="A6519">
        <v>6518</v>
      </c>
      <c r="B6519" t="str">
        <v>UBND Ủy ban nhân dân xã Xa Lý  tỉnh Bắc Giang</v>
      </c>
      <c r="C6519" t="str">
        <v>-</v>
      </c>
      <c r="D6519" t="str">
        <v>-</v>
      </c>
      <c r="E6519" t="str">
        <v>-</v>
      </c>
      <c r="F6519" t="str">
        <v>-</v>
      </c>
      <c r="G6519" t="str">
        <v>-</v>
      </c>
    </row>
    <row r="6520">
      <c r="A6520">
        <v>6519</v>
      </c>
      <c r="B6520" t="str">
        <v>Công an xã Hộ Đáp  tỉnh Bắc Giang</v>
      </c>
      <c r="C6520" t="str">
        <v>-</v>
      </c>
      <c r="D6520" t="str">
        <v>-</v>
      </c>
      <c r="E6520" t="str">
        <v/>
      </c>
      <c r="F6520" t="str">
        <v>-</v>
      </c>
      <c r="G6520" t="str">
        <v>-</v>
      </c>
    </row>
    <row r="6521">
      <c r="A6521">
        <v>6520</v>
      </c>
      <c r="B6521" t="str">
        <v>UBND Ủy ban nhân dân xã Hộ Đáp  tỉnh Bắc Giang</v>
      </c>
      <c r="C6521" t="str">
        <v>-</v>
      </c>
      <c r="D6521" t="str">
        <v>-</v>
      </c>
      <c r="E6521" t="str">
        <v>-</v>
      </c>
      <c r="F6521" t="str">
        <v>-</v>
      </c>
      <c r="G6521" t="str">
        <v>-</v>
      </c>
    </row>
    <row r="6522">
      <c r="A6522">
        <v>6521</v>
      </c>
      <c r="B6522" t="str">
        <v>Công an xã Sơn Hải  tỉnh Bắc Giang</v>
      </c>
      <c r="C6522" t="str">
        <v>-</v>
      </c>
      <c r="D6522" t="str">
        <v>-</v>
      </c>
      <c r="E6522" t="str">
        <v/>
      </c>
      <c r="F6522" t="str">
        <v>-</v>
      </c>
      <c r="G6522" t="str">
        <v>-</v>
      </c>
    </row>
    <row r="6523">
      <c r="A6523">
        <v>6522</v>
      </c>
      <c r="B6523" t="str">
        <v>UBND Ủy ban nhân dân xã Sơn Hải  tỉnh Bắc Giang</v>
      </c>
      <c r="C6523" t="str">
        <v>-</v>
      </c>
      <c r="D6523" t="str">
        <v>-</v>
      </c>
      <c r="E6523" t="str">
        <v>-</v>
      </c>
      <c r="F6523" t="str">
        <v>-</v>
      </c>
      <c r="G6523" t="str">
        <v>-</v>
      </c>
    </row>
    <row r="6524">
      <c r="A6524">
        <v>6523</v>
      </c>
      <c r="B6524" t="str">
        <v>Công an xã Thanh Hải  tỉnh Bắc Giang</v>
      </c>
      <c r="C6524" t="str">
        <v>-</v>
      </c>
      <c r="D6524" t="str">
        <v>-</v>
      </c>
      <c r="E6524" t="str">
        <v/>
      </c>
      <c r="F6524" t="str">
        <v>-</v>
      </c>
      <c r="G6524" t="str">
        <v>-</v>
      </c>
    </row>
    <row r="6525">
      <c r="A6525">
        <v>6524</v>
      </c>
      <c r="B6525" t="str">
        <v>UBND Ủy ban nhân dân xã Thanh Hải  tỉnh Bắc Giang</v>
      </c>
      <c r="C6525" t="str">
        <v>-</v>
      </c>
      <c r="D6525" t="str">
        <v>-</v>
      </c>
      <c r="E6525" t="str">
        <v>-</v>
      </c>
      <c r="F6525" t="str">
        <v>-</v>
      </c>
      <c r="G6525" t="str">
        <v>-</v>
      </c>
    </row>
    <row r="6526">
      <c r="A6526">
        <v>6525</v>
      </c>
      <c r="B6526" t="str">
        <v>Công an xã Kiên Lao  tỉnh Bắc Giang</v>
      </c>
      <c r="C6526" t="str">
        <v>-</v>
      </c>
      <c r="D6526" t="str">
        <v>-</v>
      </c>
      <c r="E6526" t="str">
        <v/>
      </c>
      <c r="F6526" t="str">
        <v>-</v>
      </c>
      <c r="G6526" t="str">
        <v>-</v>
      </c>
    </row>
    <row r="6527">
      <c r="A6527">
        <v>6526</v>
      </c>
      <c r="B6527" t="str">
        <v>UBND Ủy ban nhân dân xã Kiên Lao  tỉnh Bắc Giang</v>
      </c>
      <c r="C6527" t="str">
        <v>-</v>
      </c>
      <c r="D6527" t="str">
        <v>-</v>
      </c>
      <c r="E6527" t="str">
        <v>-</v>
      </c>
      <c r="F6527" t="str">
        <v>-</v>
      </c>
      <c r="G6527" t="str">
        <v>-</v>
      </c>
    </row>
    <row r="6528">
      <c r="A6528">
        <v>6527</v>
      </c>
      <c r="B6528" t="str">
        <v>Công an xã Biên Sơn  tỉnh Bắc Giang</v>
      </c>
      <c r="C6528" t="str">
        <v>-</v>
      </c>
      <c r="D6528" t="str">
        <v>-</v>
      </c>
      <c r="E6528" t="str">
        <v/>
      </c>
      <c r="F6528" t="str">
        <v>-</v>
      </c>
      <c r="G6528" t="str">
        <v>-</v>
      </c>
    </row>
    <row r="6529">
      <c r="A6529">
        <v>6528</v>
      </c>
      <c r="B6529" t="str">
        <v>UBND Ủy ban nhân dân xã Biên Sơn  tỉnh Bắc Giang</v>
      </c>
      <c r="C6529" t="str">
        <v>-</v>
      </c>
      <c r="D6529" t="str">
        <v>-</v>
      </c>
      <c r="E6529" t="str">
        <v>-</v>
      </c>
      <c r="F6529" t="str">
        <v>-</v>
      </c>
      <c r="G6529" t="str">
        <v>-</v>
      </c>
    </row>
    <row r="6530">
      <c r="A6530">
        <v>6529</v>
      </c>
      <c r="B6530" t="str">
        <v>Công an xã Kiên Thành  tỉnh Bắc Giang</v>
      </c>
      <c r="C6530" t="str">
        <v>-</v>
      </c>
      <c r="D6530" t="str">
        <v>-</v>
      </c>
      <c r="E6530" t="str">
        <v/>
      </c>
      <c r="F6530" t="str">
        <v>-</v>
      </c>
      <c r="G6530" t="str">
        <v>-</v>
      </c>
    </row>
    <row r="6531">
      <c r="A6531">
        <v>6530</v>
      </c>
      <c r="B6531" t="str">
        <v>UBND Ủy ban nhân dân xã Kiên Thành  tỉnh Bắc Giang</v>
      </c>
      <c r="C6531" t="str">
        <v>-</v>
      </c>
      <c r="D6531" t="str">
        <v>-</v>
      </c>
      <c r="E6531" t="str">
        <v>-</v>
      </c>
      <c r="F6531" t="str">
        <v>-</v>
      </c>
      <c r="G6531" t="str">
        <v>-</v>
      </c>
    </row>
    <row r="6532">
      <c r="A6532">
        <v>6531</v>
      </c>
      <c r="B6532" t="str">
        <v>Công an xã Hồng Giang  tỉnh Bắc Giang</v>
      </c>
      <c r="C6532" t="str">
        <v>-</v>
      </c>
      <c r="D6532" t="str">
        <v>-</v>
      </c>
      <c r="E6532" t="str">
        <v/>
      </c>
      <c r="F6532" t="str">
        <v>-</v>
      </c>
      <c r="G6532" t="str">
        <v>-</v>
      </c>
    </row>
    <row r="6533">
      <c r="A6533">
        <v>6532</v>
      </c>
      <c r="B6533" t="str">
        <v>UBND Ủy ban nhân dân xã Hồng Giang  tỉnh Bắc Giang</v>
      </c>
      <c r="C6533" t="str">
        <v>-</v>
      </c>
      <c r="D6533" t="str">
        <v>-</v>
      </c>
      <c r="E6533" t="str">
        <v>-</v>
      </c>
      <c r="F6533" t="str">
        <v>-</v>
      </c>
      <c r="G6533" t="str">
        <v>-</v>
      </c>
    </row>
    <row r="6534">
      <c r="A6534">
        <v>6533</v>
      </c>
      <c r="B6534" t="str">
        <v>Công an xã Kim Sơn  tỉnh Bắc Giang</v>
      </c>
      <c r="C6534" t="str">
        <v>-</v>
      </c>
      <c r="D6534" t="str">
        <v>-</v>
      </c>
      <c r="E6534" t="str">
        <v/>
      </c>
      <c r="F6534" t="str">
        <v>-</v>
      </c>
      <c r="G6534" t="str">
        <v>-</v>
      </c>
    </row>
    <row r="6535">
      <c r="A6535">
        <v>6534</v>
      </c>
      <c r="B6535" t="str">
        <v>UBND Ủy ban nhân dân xã Kim Sơn  tỉnh Bắc Giang</v>
      </c>
      <c r="C6535" t="str">
        <v>-</v>
      </c>
      <c r="D6535" t="str">
        <v>-</v>
      </c>
      <c r="E6535" t="str">
        <v>-</v>
      </c>
      <c r="F6535" t="str">
        <v>-</v>
      </c>
      <c r="G6535" t="str">
        <v>-</v>
      </c>
    </row>
    <row r="6536">
      <c r="A6536">
        <v>6535</v>
      </c>
      <c r="B6536" t="str">
        <v>Công an xã Tân Hoa  tỉnh Bắc Giang</v>
      </c>
      <c r="C6536" t="str">
        <v>-</v>
      </c>
      <c r="D6536" t="str">
        <v>-</v>
      </c>
      <c r="E6536" t="str">
        <v/>
      </c>
      <c r="F6536" t="str">
        <v>-</v>
      </c>
      <c r="G6536" t="str">
        <v>-</v>
      </c>
    </row>
    <row r="6537">
      <c r="A6537">
        <v>6536</v>
      </c>
      <c r="B6537" t="str">
        <v>UBND Ủy ban nhân dân xã Tân Hoa  tỉnh Bắc Giang</v>
      </c>
      <c r="C6537" t="str">
        <v>-</v>
      </c>
      <c r="D6537" t="str">
        <v>-</v>
      </c>
      <c r="E6537" t="str">
        <v>-</v>
      </c>
      <c r="F6537" t="str">
        <v>-</v>
      </c>
      <c r="G6537" t="str">
        <v>-</v>
      </c>
    </row>
    <row r="6538">
      <c r="A6538">
        <v>6537</v>
      </c>
      <c r="B6538" t="str">
        <v>Công an xã Giáp Sơn  tỉnh Bắc Giang</v>
      </c>
      <c r="C6538" t="str">
        <v>-</v>
      </c>
      <c r="D6538" t="str">
        <v>-</v>
      </c>
      <c r="E6538" t="str">
        <v/>
      </c>
      <c r="F6538" t="str">
        <v>-</v>
      </c>
      <c r="G6538" t="str">
        <v>-</v>
      </c>
    </row>
    <row r="6539">
      <c r="A6539">
        <v>6538</v>
      </c>
      <c r="B6539" t="str">
        <v>UBND Ủy ban nhân dân xã Giáp Sơn  tỉnh Bắc Giang</v>
      </c>
      <c r="C6539" t="str">
        <v>-</v>
      </c>
      <c r="D6539" t="str">
        <v>-</v>
      </c>
      <c r="E6539" t="str">
        <v>-</v>
      </c>
      <c r="F6539" t="str">
        <v>-</v>
      </c>
      <c r="G6539" t="str">
        <v>-</v>
      </c>
    </row>
    <row r="6540">
      <c r="A6540">
        <v>6539</v>
      </c>
      <c r="B6540" t="str">
        <v>Công an xã Biển Động  tỉnh Bắc Giang</v>
      </c>
      <c r="C6540" t="str">
        <v>-</v>
      </c>
      <c r="D6540" t="str">
        <v>-</v>
      </c>
      <c r="E6540" t="str">
        <v/>
      </c>
      <c r="F6540" t="str">
        <v>-</v>
      </c>
      <c r="G6540" t="str">
        <v>-</v>
      </c>
    </row>
    <row r="6541">
      <c r="A6541">
        <v>6540</v>
      </c>
      <c r="B6541" t="str">
        <v>UBND Ủy ban nhân dân xã Biển Động  tỉnh Bắc Giang</v>
      </c>
      <c r="C6541" t="str">
        <v>-</v>
      </c>
      <c r="D6541" t="str">
        <v>-</v>
      </c>
      <c r="E6541" t="str">
        <v>-</v>
      </c>
      <c r="F6541" t="str">
        <v>-</v>
      </c>
      <c r="G6541" t="str">
        <v>-</v>
      </c>
    </row>
    <row r="6542">
      <c r="A6542">
        <v>6541</v>
      </c>
      <c r="B6542" t="str">
        <v>Công an xã Quý Sơn  tỉnh Bắc Giang</v>
      </c>
      <c r="C6542" t="str">
        <v>-</v>
      </c>
      <c r="D6542" t="str">
        <v>-</v>
      </c>
      <c r="E6542" t="str">
        <v/>
      </c>
      <c r="F6542" t="str">
        <v>-</v>
      </c>
      <c r="G6542" t="str">
        <v>-</v>
      </c>
    </row>
    <row r="6543">
      <c r="A6543">
        <v>6542</v>
      </c>
      <c r="B6543" t="str">
        <v>UBND Ủy ban nhân dân xã Quý Sơn  tỉnh Bắc Giang</v>
      </c>
      <c r="C6543" t="str">
        <v>-</v>
      </c>
      <c r="D6543" t="str">
        <v>-</v>
      </c>
      <c r="E6543" t="str">
        <v>-</v>
      </c>
      <c r="F6543" t="str">
        <v>-</v>
      </c>
      <c r="G6543" t="str">
        <v>-</v>
      </c>
    </row>
    <row r="6544">
      <c r="A6544">
        <v>6543</v>
      </c>
      <c r="B6544" t="str">
        <v>Công an xã Trù Hựu  tỉnh Bắc Giang</v>
      </c>
      <c r="C6544" t="str">
        <v>-</v>
      </c>
      <c r="D6544" t="str">
        <v>-</v>
      </c>
      <c r="E6544" t="str">
        <v/>
      </c>
      <c r="F6544" t="str">
        <v>-</v>
      </c>
      <c r="G6544" t="str">
        <v>-</v>
      </c>
    </row>
    <row r="6545">
      <c r="A6545">
        <v>6544</v>
      </c>
      <c r="B6545" t="str">
        <v>UBND Ủy ban nhân dân xã Trù Hựu  tỉnh Bắc Giang</v>
      </c>
      <c r="C6545" t="str">
        <v>-</v>
      </c>
      <c r="D6545" t="str">
        <v>-</v>
      </c>
      <c r="E6545" t="str">
        <v>-</v>
      </c>
      <c r="F6545" t="str">
        <v>-</v>
      </c>
      <c r="G6545" t="str">
        <v>-</v>
      </c>
    </row>
    <row r="6546">
      <c r="A6546">
        <v>6545</v>
      </c>
      <c r="B6546" t="str">
        <v>Công an xã Phì Điền  tỉnh Bắc Giang</v>
      </c>
      <c r="C6546" t="str">
        <v>-</v>
      </c>
      <c r="D6546" t="str">
        <v>-</v>
      </c>
      <c r="E6546" t="str">
        <v/>
      </c>
      <c r="F6546" t="str">
        <v>-</v>
      </c>
      <c r="G6546" t="str">
        <v>-</v>
      </c>
    </row>
    <row r="6547">
      <c r="A6547">
        <v>6546</v>
      </c>
      <c r="B6547" t="str">
        <v>UBND Ủy ban nhân dân xã Phì Điền  tỉnh Bắc Giang</v>
      </c>
      <c r="C6547" t="str">
        <v>-</v>
      </c>
      <c r="D6547" t="str">
        <v>-</v>
      </c>
      <c r="E6547" t="str">
        <v>-</v>
      </c>
      <c r="F6547" t="str">
        <v>-</v>
      </c>
      <c r="G6547" t="str">
        <v>-</v>
      </c>
    </row>
    <row r="6548">
      <c r="A6548">
        <v>6547</v>
      </c>
      <c r="B6548" t="str">
        <v>Công an xã Nghĩa Hồ  tỉnh Bắc Giang</v>
      </c>
      <c r="C6548" t="str">
        <v>-</v>
      </c>
      <c r="D6548" t="str">
        <v>-</v>
      </c>
      <c r="E6548" t="str">
        <v/>
      </c>
      <c r="F6548" t="str">
        <v>-</v>
      </c>
      <c r="G6548" t="str">
        <v>-</v>
      </c>
    </row>
    <row r="6549">
      <c r="A6549">
        <v>6548</v>
      </c>
      <c r="B6549" t="str">
        <v>UBND Ủy ban nhân dân xã Nghĩa Hồ  tỉnh Bắc Giang</v>
      </c>
      <c r="C6549" t="str">
        <v>-</v>
      </c>
      <c r="D6549" t="str">
        <v>-</v>
      </c>
      <c r="E6549" t="str">
        <v>-</v>
      </c>
      <c r="F6549" t="str">
        <v>-</v>
      </c>
      <c r="G6549" t="str">
        <v>-</v>
      </c>
    </row>
    <row r="6550">
      <c r="A6550">
        <v>6549</v>
      </c>
      <c r="B6550" t="str">
        <v>Công an xã Tân Quang  tỉnh Bắc Giang</v>
      </c>
      <c r="C6550" t="str">
        <v>-</v>
      </c>
      <c r="D6550" t="str">
        <v>-</v>
      </c>
      <c r="E6550" t="str">
        <v/>
      </c>
      <c r="F6550" t="str">
        <v>-</v>
      </c>
      <c r="G6550" t="str">
        <v>-</v>
      </c>
    </row>
    <row r="6551">
      <c r="A6551">
        <v>6550</v>
      </c>
      <c r="B6551" t="str">
        <v>UBND Ủy ban nhân dân xã Tân Quang  tỉnh Bắc Giang</v>
      </c>
      <c r="C6551" t="str">
        <v>-</v>
      </c>
      <c r="D6551" t="str">
        <v>-</v>
      </c>
      <c r="E6551" t="str">
        <v>-</v>
      </c>
      <c r="F6551" t="str">
        <v>-</v>
      </c>
      <c r="G6551" t="str">
        <v>-</v>
      </c>
    </row>
    <row r="6552">
      <c r="A6552">
        <v>6551</v>
      </c>
      <c r="B6552" t="str">
        <v>Công an xã Đồng Cốc  tỉnh Bắc Giang</v>
      </c>
      <c r="C6552" t="str">
        <v>-</v>
      </c>
      <c r="D6552" t="str">
        <v>-</v>
      </c>
      <c r="E6552" t="str">
        <v/>
      </c>
      <c r="F6552" t="str">
        <v>-</v>
      </c>
      <c r="G6552" t="str">
        <v>-</v>
      </c>
    </row>
    <row r="6553">
      <c r="A6553">
        <v>6552</v>
      </c>
      <c r="B6553" t="str">
        <v>UBND Ủy ban nhân dân xã Đồng Cốc  tỉnh Bắc Giang</v>
      </c>
      <c r="C6553" t="str">
        <v>-</v>
      </c>
      <c r="D6553" t="str">
        <v>-</v>
      </c>
      <c r="E6553" t="str">
        <v>-</v>
      </c>
      <c r="F6553" t="str">
        <v>-</v>
      </c>
      <c r="G6553" t="str">
        <v>-</v>
      </c>
    </row>
    <row r="6554">
      <c r="A6554">
        <v>6553</v>
      </c>
      <c r="B6554" t="str">
        <v>Công an xã Tân Lập  tỉnh Bắc Giang</v>
      </c>
      <c r="C6554" t="str">
        <v>-</v>
      </c>
      <c r="D6554" t="str">
        <v>-</v>
      </c>
      <c r="E6554" t="str">
        <v/>
      </c>
      <c r="F6554" t="str">
        <v>-</v>
      </c>
      <c r="G6554" t="str">
        <v>-</v>
      </c>
    </row>
    <row r="6555">
      <c r="A6555">
        <v>6554</v>
      </c>
      <c r="B6555" t="str">
        <v>UBND Ủy ban nhân dân xã Tân Lập  tỉnh Bắc Giang</v>
      </c>
      <c r="C6555" t="str">
        <v>-</v>
      </c>
      <c r="D6555" t="str">
        <v>-</v>
      </c>
      <c r="E6555" t="str">
        <v>-</v>
      </c>
      <c r="F6555" t="str">
        <v>-</v>
      </c>
      <c r="G6555" t="str">
        <v>-</v>
      </c>
    </row>
    <row r="6556">
      <c r="A6556">
        <v>6555</v>
      </c>
      <c r="B6556" t="str">
        <v>Công an xã Phú Nhuận  tỉnh Bắc Giang</v>
      </c>
      <c r="C6556" t="str">
        <v>-</v>
      </c>
      <c r="D6556" t="str">
        <v>-</v>
      </c>
      <c r="E6556" t="str">
        <v/>
      </c>
      <c r="F6556" t="str">
        <v>-</v>
      </c>
      <c r="G6556" t="str">
        <v>-</v>
      </c>
    </row>
    <row r="6557">
      <c r="A6557">
        <v>6556</v>
      </c>
      <c r="B6557" t="str">
        <v>UBND Ủy ban nhân dân xã Phú Nhuận  tỉnh Bắc Giang</v>
      </c>
      <c r="C6557" t="str">
        <v>-</v>
      </c>
      <c r="D6557" t="str">
        <v>-</v>
      </c>
      <c r="E6557" t="str">
        <v>-</v>
      </c>
      <c r="F6557" t="str">
        <v>-</v>
      </c>
      <c r="G6557" t="str">
        <v>-</v>
      </c>
    </row>
    <row r="6558">
      <c r="A6558">
        <v>6557</v>
      </c>
      <c r="B6558" t="str">
        <v>Công an xã Mỹ An  tỉnh Bắc Giang</v>
      </c>
      <c r="C6558" t="str">
        <v>-</v>
      </c>
      <c r="D6558" t="str">
        <v>-</v>
      </c>
      <c r="E6558" t="str">
        <v/>
      </c>
      <c r="F6558" t="str">
        <v>-</v>
      </c>
      <c r="G6558" t="str">
        <v>-</v>
      </c>
    </row>
    <row r="6559">
      <c r="A6559">
        <v>6558</v>
      </c>
      <c r="B6559" t="str">
        <v>UBND Ủy ban nhân dân xã Mỹ An  tỉnh Bắc Giang</v>
      </c>
      <c r="C6559" t="str">
        <v>-</v>
      </c>
      <c r="D6559" t="str">
        <v>-</v>
      </c>
      <c r="E6559" t="str">
        <v>-</v>
      </c>
      <c r="F6559" t="str">
        <v>-</v>
      </c>
      <c r="G6559" t="str">
        <v>-</v>
      </c>
    </row>
    <row r="6560">
      <c r="A6560">
        <v>6559</v>
      </c>
      <c r="B6560" t="str">
        <v>Công an xã Nam Dương  tỉnh Bắc Giang</v>
      </c>
      <c r="C6560" t="str">
        <v>-</v>
      </c>
      <c r="D6560" t="str">
        <v>-</v>
      </c>
      <c r="E6560" t="str">
        <v/>
      </c>
      <c r="F6560" t="str">
        <v>-</v>
      </c>
      <c r="G6560" t="str">
        <v>-</v>
      </c>
    </row>
    <row r="6561">
      <c r="A6561">
        <v>6560</v>
      </c>
      <c r="B6561" t="str">
        <v>UBND Ủy ban nhân dân xã Nam Dương  tỉnh Bắc Giang</v>
      </c>
      <c r="C6561" t="str">
        <v>-</v>
      </c>
      <c r="D6561" t="str">
        <v>-</v>
      </c>
      <c r="E6561" t="str">
        <v>-</v>
      </c>
      <c r="F6561" t="str">
        <v>-</v>
      </c>
      <c r="G6561" t="str">
        <v>-</v>
      </c>
    </row>
    <row r="6562">
      <c r="A6562">
        <v>6561</v>
      </c>
      <c r="B6562" t="str">
        <v>Công an xã Tân Mộc  tỉnh Bắc Giang</v>
      </c>
      <c r="C6562" t="str">
        <v>-</v>
      </c>
      <c r="D6562" t="str">
        <v>-</v>
      </c>
      <c r="E6562" t="str">
        <v/>
      </c>
      <c r="F6562" t="str">
        <v>-</v>
      </c>
      <c r="G6562" t="str">
        <v>-</v>
      </c>
    </row>
    <row r="6563">
      <c r="A6563">
        <v>6562</v>
      </c>
      <c r="B6563" t="str">
        <v>UBND Ủy ban nhân dân xã Tân Mộc  tỉnh Bắc Giang</v>
      </c>
      <c r="C6563" t="str">
        <v>-</v>
      </c>
      <c r="D6563" t="str">
        <v>-</v>
      </c>
      <c r="E6563" t="str">
        <v>-</v>
      </c>
      <c r="F6563" t="str">
        <v>-</v>
      </c>
      <c r="G6563" t="str">
        <v>-</v>
      </c>
    </row>
    <row r="6564">
      <c r="A6564">
        <v>6563</v>
      </c>
      <c r="B6564" t="str">
        <v>Công an xã Đèo Gia  tỉnh Bắc Giang</v>
      </c>
      <c r="C6564" t="str">
        <v>-</v>
      </c>
      <c r="D6564" t="str">
        <v>-</v>
      </c>
      <c r="E6564" t="str">
        <v/>
      </c>
      <c r="F6564" t="str">
        <v>-</v>
      </c>
      <c r="G6564" t="str">
        <v>-</v>
      </c>
    </row>
    <row r="6565">
      <c r="A6565">
        <v>6564</v>
      </c>
      <c r="B6565" t="str">
        <v>UBND Ủy ban nhân dân xã Đèo Gia  tỉnh Bắc Giang</v>
      </c>
      <c r="C6565" t="str">
        <v>-</v>
      </c>
      <c r="D6565" t="str">
        <v>-</v>
      </c>
      <c r="E6565" t="str">
        <v>-</v>
      </c>
      <c r="F6565" t="str">
        <v>-</v>
      </c>
      <c r="G6565" t="str">
        <v>-</v>
      </c>
    </row>
    <row r="6566">
      <c r="A6566">
        <v>6565</v>
      </c>
      <c r="B6566" t="str">
        <v>Công an xã Phượng Sơn  tỉnh Bắc Giang</v>
      </c>
      <c r="C6566" t="str">
        <v>-</v>
      </c>
      <c r="D6566" t="str">
        <v>-</v>
      </c>
      <c r="E6566" t="str">
        <v/>
      </c>
      <c r="F6566" t="str">
        <v>-</v>
      </c>
      <c r="G6566" t="str">
        <v>-</v>
      </c>
    </row>
    <row r="6567">
      <c r="A6567">
        <v>6566</v>
      </c>
      <c r="B6567" t="str">
        <v>UBND Ủy ban nhân dân xã Phượng Sơn  tỉnh Bắc Giang</v>
      </c>
      <c r="C6567" t="str">
        <v>-</v>
      </c>
      <c r="D6567" t="str">
        <v>-</v>
      </c>
      <c r="E6567" t="str">
        <v>-</v>
      </c>
      <c r="F6567" t="str">
        <v>-</v>
      </c>
      <c r="G6567" t="str">
        <v>-</v>
      </c>
    </row>
    <row r="6568">
      <c r="A6568">
        <v>6567</v>
      </c>
      <c r="B6568" t="str">
        <v>Công an thị trấn An Châu  tỉnh Bắc Giang</v>
      </c>
      <c r="C6568" t="str">
        <v>-</v>
      </c>
      <c r="D6568" t="str">
        <v>-</v>
      </c>
      <c r="E6568" t="str">
        <v/>
      </c>
      <c r="F6568" t="str">
        <v>-</v>
      </c>
      <c r="G6568" t="str">
        <v>-</v>
      </c>
    </row>
    <row r="6569">
      <c r="A6569">
        <v>6568</v>
      </c>
      <c r="B6569" t="str">
        <v>UBND Ủy ban nhân dân thị trấn An Châu  tỉnh Bắc Giang</v>
      </c>
      <c r="C6569" t="str">
        <v>-</v>
      </c>
      <c r="D6569" t="str">
        <v>-</v>
      </c>
      <c r="E6569" t="str">
        <v>-</v>
      </c>
      <c r="F6569" t="str">
        <v>-</v>
      </c>
      <c r="G6569" t="str">
        <v>-</v>
      </c>
    </row>
    <row r="6570">
      <c r="A6570">
        <v>6569</v>
      </c>
      <c r="B6570" t="str">
        <v>Công an thị trấn Thanh Sơn  tỉnh Bắc Giang</v>
      </c>
      <c r="C6570" t="str">
        <v>-</v>
      </c>
      <c r="D6570" t="str">
        <v>-</v>
      </c>
      <c r="E6570" t="str">
        <v/>
      </c>
      <c r="F6570" t="str">
        <v>-</v>
      </c>
      <c r="G6570" t="str">
        <v>-</v>
      </c>
    </row>
    <row r="6571">
      <c r="A6571">
        <v>6570</v>
      </c>
      <c r="B6571" t="str">
        <v>UBND Ủy ban nhân dân thị trấn Thanh Sơn  tỉnh Bắc Giang</v>
      </c>
      <c r="C6571" t="str">
        <v>-</v>
      </c>
      <c r="D6571" t="str">
        <v>-</v>
      </c>
      <c r="E6571" t="str">
        <v>-</v>
      </c>
      <c r="F6571" t="str">
        <v>-</v>
      </c>
      <c r="G6571" t="str">
        <v>-</v>
      </c>
    </row>
    <row r="6572">
      <c r="A6572">
        <v>6571</v>
      </c>
      <c r="B6572" t="str">
        <v>Công an xã Thạch Sơn  tỉnh Bắc Giang</v>
      </c>
      <c r="C6572" t="str">
        <v>-</v>
      </c>
      <c r="D6572" t="str">
        <v>-</v>
      </c>
      <c r="E6572" t="str">
        <v/>
      </c>
      <c r="F6572" t="str">
        <v>-</v>
      </c>
      <c r="G6572" t="str">
        <v>-</v>
      </c>
    </row>
    <row r="6573">
      <c r="A6573">
        <v>6572</v>
      </c>
      <c r="B6573" t="str">
        <v>UBND Ủy ban nhân dân xã Thạch Sơn  tỉnh Bắc Giang</v>
      </c>
      <c r="C6573" t="str">
        <v>-</v>
      </c>
      <c r="D6573" t="str">
        <v>-</v>
      </c>
      <c r="E6573" t="str">
        <v>-</v>
      </c>
      <c r="F6573" t="str">
        <v>-</v>
      </c>
      <c r="G6573" t="str">
        <v>-</v>
      </c>
    </row>
    <row r="6574">
      <c r="A6574">
        <v>6573</v>
      </c>
      <c r="B6574" t="str">
        <v>Công an xã Vân Sơn  tỉnh Bắc Giang</v>
      </c>
      <c r="C6574" t="str">
        <v>-</v>
      </c>
      <c r="D6574" t="str">
        <v>-</v>
      </c>
      <c r="E6574" t="str">
        <v/>
      </c>
      <c r="F6574" t="str">
        <v>-</v>
      </c>
      <c r="G6574" t="str">
        <v>-</v>
      </c>
    </row>
    <row r="6575">
      <c r="A6575">
        <v>6574</v>
      </c>
      <c r="B6575" t="str">
        <v>UBND Ủy ban nhân dân xã Vân Sơn  tỉnh Bắc Giang</v>
      </c>
      <c r="C6575" t="str">
        <v>-</v>
      </c>
      <c r="D6575" t="str">
        <v>-</v>
      </c>
      <c r="E6575" t="str">
        <v>-</v>
      </c>
      <c r="F6575" t="str">
        <v>-</v>
      </c>
      <c r="G6575" t="str">
        <v>-</v>
      </c>
    </row>
    <row r="6576">
      <c r="A6576">
        <v>6575</v>
      </c>
      <c r="B6576" t="str">
        <v>Công an xã Hữu Sản  tỉnh Bắc Giang</v>
      </c>
      <c r="C6576" t="str">
        <v>-</v>
      </c>
      <c r="D6576" t="str">
        <v>-</v>
      </c>
      <c r="E6576" t="str">
        <v/>
      </c>
      <c r="F6576" t="str">
        <v>-</v>
      </c>
      <c r="G6576" t="str">
        <v>-</v>
      </c>
    </row>
    <row r="6577">
      <c r="A6577">
        <v>6576</v>
      </c>
      <c r="B6577" t="str">
        <v>UBND Ủy ban nhân dân xã Hữu Sản  tỉnh Bắc Giang</v>
      </c>
      <c r="C6577" t="str">
        <v>-</v>
      </c>
      <c r="D6577" t="str">
        <v>-</v>
      </c>
      <c r="E6577" t="str">
        <v>-</v>
      </c>
      <c r="F6577" t="str">
        <v>-</v>
      </c>
      <c r="G6577" t="str">
        <v>-</v>
      </c>
    </row>
    <row r="6578">
      <c r="A6578">
        <v>6577</v>
      </c>
      <c r="B6578" t="str">
        <v>Công an xã Quế Sơn  tỉnh Bắc Giang</v>
      </c>
      <c r="C6578" t="str">
        <v>-</v>
      </c>
      <c r="D6578" t="str">
        <v>-</v>
      </c>
      <c r="E6578" t="str">
        <v/>
      </c>
      <c r="F6578" t="str">
        <v>-</v>
      </c>
      <c r="G6578" t="str">
        <v>-</v>
      </c>
    </row>
    <row r="6579">
      <c r="A6579">
        <v>6578</v>
      </c>
      <c r="B6579" t="str">
        <v>UBND Ủy ban nhân dân xã Quế Sơn  tỉnh Bắc Giang</v>
      </c>
      <c r="C6579" t="str">
        <v>-</v>
      </c>
      <c r="D6579" t="str">
        <v>-</v>
      </c>
      <c r="E6579" t="str">
        <v>-</v>
      </c>
      <c r="F6579" t="str">
        <v>-</v>
      </c>
      <c r="G6579" t="str">
        <v>-</v>
      </c>
    </row>
    <row r="6580">
      <c r="A6580">
        <v>6579</v>
      </c>
      <c r="B6580" t="str">
        <v>Công an xã Phúc Thắng  tỉnh Bắc Giang</v>
      </c>
      <c r="C6580" t="str">
        <v>-</v>
      </c>
      <c r="D6580" t="str">
        <v>-</v>
      </c>
      <c r="E6580" t="str">
        <v/>
      </c>
      <c r="F6580" t="str">
        <v>-</v>
      </c>
      <c r="G6580" t="str">
        <v>-</v>
      </c>
    </row>
    <row r="6581">
      <c r="A6581">
        <v>6580</v>
      </c>
      <c r="B6581" t="str">
        <v>UBND Ủy ban nhân dân xã Phúc Thắng  tỉnh Bắc Giang</v>
      </c>
      <c r="C6581" t="str">
        <v>-</v>
      </c>
      <c r="D6581" t="str">
        <v>-</v>
      </c>
      <c r="E6581" t="str">
        <v>-</v>
      </c>
      <c r="F6581" t="str">
        <v>-</v>
      </c>
      <c r="G6581" t="str">
        <v>-</v>
      </c>
    </row>
    <row r="6582">
      <c r="A6582">
        <v>6581</v>
      </c>
      <c r="B6582" t="str">
        <v>Công an xã Chiên Sơn  tỉnh Bắc Giang</v>
      </c>
      <c r="C6582" t="str">
        <v>-</v>
      </c>
      <c r="D6582" t="str">
        <v>-</v>
      </c>
      <c r="E6582" t="str">
        <v/>
      </c>
      <c r="F6582" t="str">
        <v>-</v>
      </c>
      <c r="G6582" t="str">
        <v>-</v>
      </c>
    </row>
    <row r="6583">
      <c r="A6583">
        <v>6582</v>
      </c>
      <c r="B6583" t="str">
        <v>UBND Ủy ban nhân dân xã Chiên Sơn  tỉnh Bắc Giang</v>
      </c>
      <c r="C6583" t="str">
        <v>-</v>
      </c>
      <c r="D6583" t="str">
        <v>-</v>
      </c>
      <c r="E6583" t="str">
        <v>-</v>
      </c>
      <c r="F6583" t="str">
        <v>-</v>
      </c>
      <c r="G6583" t="str">
        <v>-</v>
      </c>
    </row>
    <row r="6584">
      <c r="A6584">
        <v>6583</v>
      </c>
      <c r="B6584" t="str">
        <v>Công an xã Giáo Liêm  tỉnh Bắc Giang</v>
      </c>
      <c r="C6584" t="str">
        <v>-</v>
      </c>
      <c r="D6584" t="str">
        <v>-</v>
      </c>
      <c r="E6584" t="str">
        <v/>
      </c>
      <c r="F6584" t="str">
        <v>-</v>
      </c>
      <c r="G6584" t="str">
        <v>-</v>
      </c>
    </row>
    <row r="6585">
      <c r="A6585">
        <v>6584</v>
      </c>
      <c r="B6585" t="str">
        <v>UBND Ủy ban nhân dân xã Giáo Liêm  tỉnh Bắc Giang</v>
      </c>
      <c r="C6585" t="str">
        <v>-</v>
      </c>
      <c r="D6585" t="str">
        <v>-</v>
      </c>
      <c r="E6585" t="str">
        <v>-</v>
      </c>
      <c r="F6585" t="str">
        <v>-</v>
      </c>
      <c r="G6585" t="str">
        <v>-</v>
      </c>
    </row>
    <row r="6586">
      <c r="A6586">
        <v>6585</v>
      </c>
      <c r="B6586" t="str">
        <v>Công an xã Vĩnh Khương  tỉnh Bắc Giang</v>
      </c>
      <c r="C6586" t="str">
        <v>-</v>
      </c>
      <c r="D6586" t="str">
        <v>-</v>
      </c>
      <c r="E6586" t="str">
        <v/>
      </c>
      <c r="F6586" t="str">
        <v>-</v>
      </c>
      <c r="G6586" t="str">
        <v>-</v>
      </c>
    </row>
    <row r="6587">
      <c r="A6587">
        <v>6586</v>
      </c>
      <c r="B6587" t="str">
        <v>UBND Ủy ban nhân dân xã Vĩnh Khương  tỉnh Bắc Giang</v>
      </c>
      <c r="C6587" t="str">
        <v>-</v>
      </c>
      <c r="D6587" t="str">
        <v>-</v>
      </c>
      <c r="E6587" t="str">
        <v>-</v>
      </c>
      <c r="F6587" t="str">
        <v>-</v>
      </c>
      <c r="G6587" t="str">
        <v>-</v>
      </c>
    </row>
    <row r="6588">
      <c r="A6588">
        <v>6587</v>
      </c>
      <c r="B6588" t="str">
        <v>Công an xã Cẩm Đàn  tỉnh Bắc Giang</v>
      </c>
      <c r="C6588" t="str">
        <v>-</v>
      </c>
      <c r="D6588" t="str">
        <v>-</v>
      </c>
      <c r="E6588" t="str">
        <v/>
      </c>
      <c r="F6588" t="str">
        <v>-</v>
      </c>
      <c r="G6588" t="str">
        <v>-</v>
      </c>
    </row>
    <row r="6589">
      <c r="A6589">
        <v>6588</v>
      </c>
      <c r="B6589" t="str">
        <v>UBND Ủy ban nhân dân xã Cẩm Đàn  tỉnh Bắc Giang</v>
      </c>
      <c r="C6589" t="str">
        <v>-</v>
      </c>
      <c r="D6589" t="str">
        <v>-</v>
      </c>
      <c r="E6589" t="str">
        <v>-</v>
      </c>
      <c r="F6589" t="str">
        <v>-</v>
      </c>
      <c r="G6589" t="str">
        <v>-</v>
      </c>
    </row>
    <row r="6590">
      <c r="A6590">
        <v>6589</v>
      </c>
      <c r="B6590" t="str">
        <v>Công an xã An Lạc  tỉnh Bắc Giang</v>
      </c>
      <c r="C6590" t="str">
        <v>-</v>
      </c>
      <c r="D6590" t="str">
        <v>-</v>
      </c>
      <c r="E6590" t="str">
        <v/>
      </c>
      <c r="F6590" t="str">
        <v>-</v>
      </c>
      <c r="G6590" t="str">
        <v>-</v>
      </c>
    </row>
    <row r="6591">
      <c r="A6591">
        <v>6590</v>
      </c>
      <c r="B6591" t="str">
        <v>UBND Ủy ban nhân dân xã An Lạc  tỉnh Bắc Giang</v>
      </c>
      <c r="C6591" t="str">
        <v>-</v>
      </c>
      <c r="D6591" t="str">
        <v>-</v>
      </c>
      <c r="E6591" t="str">
        <v>-</v>
      </c>
      <c r="F6591" t="str">
        <v>-</v>
      </c>
      <c r="G6591" t="str">
        <v>-</v>
      </c>
    </row>
    <row r="6592">
      <c r="A6592">
        <v>6591</v>
      </c>
      <c r="B6592" t="str">
        <v>Công an xã An Lập  tỉnh Bắc Giang</v>
      </c>
      <c r="C6592" t="str">
        <v>-</v>
      </c>
      <c r="D6592" t="str">
        <v>-</v>
      </c>
      <c r="E6592" t="str">
        <v/>
      </c>
      <c r="F6592" t="str">
        <v>-</v>
      </c>
      <c r="G6592" t="str">
        <v>-</v>
      </c>
    </row>
    <row r="6593">
      <c r="A6593">
        <v>6592</v>
      </c>
      <c r="B6593" t="str">
        <v>UBND Ủy ban nhân dân xã An Lập  tỉnh Bắc Giang</v>
      </c>
      <c r="C6593" t="str">
        <v>-</v>
      </c>
      <c r="D6593" t="str">
        <v>-</v>
      </c>
      <c r="E6593" t="str">
        <v>-</v>
      </c>
      <c r="F6593" t="str">
        <v>-</v>
      </c>
      <c r="G6593" t="str">
        <v>-</v>
      </c>
    </row>
    <row r="6594">
      <c r="A6594">
        <v>6593</v>
      </c>
      <c r="B6594" t="str">
        <v>Công an xã Yên Định  tỉnh Bắc Giang</v>
      </c>
      <c r="C6594" t="str">
        <v>-</v>
      </c>
      <c r="D6594" t="str">
        <v>-</v>
      </c>
      <c r="E6594" t="str">
        <v/>
      </c>
      <c r="F6594" t="str">
        <v>-</v>
      </c>
      <c r="G6594" t="str">
        <v>-</v>
      </c>
    </row>
    <row r="6595">
      <c r="A6595">
        <v>6594</v>
      </c>
      <c r="B6595" t="str">
        <v>UBND Ủy ban nhân dân xã Yên Định  tỉnh Bắc Giang</v>
      </c>
      <c r="C6595" t="str">
        <v>-</v>
      </c>
      <c r="D6595" t="str">
        <v>-</v>
      </c>
      <c r="E6595" t="str">
        <v>-</v>
      </c>
      <c r="F6595" t="str">
        <v>-</v>
      </c>
      <c r="G6595" t="str">
        <v>-</v>
      </c>
    </row>
    <row r="6596">
      <c r="A6596">
        <v>6595</v>
      </c>
      <c r="B6596" t="str">
        <v>Công an xã Lệ Viễn  tỉnh Bắc Giang</v>
      </c>
      <c r="C6596" t="str">
        <v>-</v>
      </c>
      <c r="D6596" t="str">
        <v>-</v>
      </c>
      <c r="E6596" t="str">
        <v/>
      </c>
      <c r="F6596" t="str">
        <v>-</v>
      </c>
      <c r="G6596" t="str">
        <v>-</v>
      </c>
    </row>
    <row r="6597">
      <c r="A6597">
        <v>6596</v>
      </c>
      <c r="B6597" t="str">
        <v>UBND Ủy ban nhân dân xã Lệ Viễn  tỉnh Bắc Giang</v>
      </c>
      <c r="C6597" t="str">
        <v>-</v>
      </c>
      <c r="D6597" t="str">
        <v>-</v>
      </c>
      <c r="E6597" t="str">
        <v>-</v>
      </c>
      <c r="F6597" t="str">
        <v>-</v>
      </c>
      <c r="G6597" t="str">
        <v>-</v>
      </c>
    </row>
    <row r="6598">
      <c r="A6598">
        <v>6597</v>
      </c>
      <c r="B6598" t="str">
        <v>Công an xã An Châu  tỉnh Bắc Giang</v>
      </c>
      <c r="C6598" t="str">
        <v>-</v>
      </c>
      <c r="D6598" t="str">
        <v>-</v>
      </c>
      <c r="E6598" t="str">
        <v/>
      </c>
      <c r="F6598" t="str">
        <v>-</v>
      </c>
      <c r="G6598" t="str">
        <v>-</v>
      </c>
    </row>
    <row r="6599">
      <c r="A6599">
        <v>6598</v>
      </c>
      <c r="B6599" t="str">
        <v>UBND Ủy ban nhân dân xã An Châu  tỉnh Bắc Giang</v>
      </c>
      <c r="C6599" t="str">
        <v>-</v>
      </c>
      <c r="D6599" t="str">
        <v>-</v>
      </c>
      <c r="E6599" t="str">
        <v>-</v>
      </c>
      <c r="F6599" t="str">
        <v>-</v>
      </c>
      <c r="G6599" t="str">
        <v>-</v>
      </c>
    </row>
    <row r="6600">
      <c r="A6600">
        <v>6599</v>
      </c>
      <c r="B6600" t="str">
        <v>Công an xã An Bá  tỉnh Bắc Giang</v>
      </c>
      <c r="C6600" t="str">
        <v>-</v>
      </c>
      <c r="D6600" t="str">
        <v>-</v>
      </c>
      <c r="E6600" t="str">
        <v/>
      </c>
      <c r="F6600" t="str">
        <v>-</v>
      </c>
      <c r="G6600" t="str">
        <v>-</v>
      </c>
    </row>
    <row r="6601">
      <c r="A6601">
        <v>6600</v>
      </c>
      <c r="B6601" t="str">
        <v>UBND Ủy ban nhân dân xã An Bá  tỉnh Bắc Giang</v>
      </c>
      <c r="C6601" t="str">
        <v>-</v>
      </c>
      <c r="D6601" t="str">
        <v>-</v>
      </c>
      <c r="E6601" t="str">
        <v>-</v>
      </c>
      <c r="F6601" t="str">
        <v>-</v>
      </c>
      <c r="G6601" t="str">
        <v>-</v>
      </c>
    </row>
    <row r="6602">
      <c r="A6602">
        <v>6601</v>
      </c>
      <c r="B6602" t="str">
        <v>Công an xã Tuấn Đạo  tỉnh Bắc Giang</v>
      </c>
      <c r="C6602" t="str">
        <v>-</v>
      </c>
      <c r="D6602" t="str">
        <v>-</v>
      </c>
      <c r="E6602" t="str">
        <v/>
      </c>
      <c r="F6602" t="str">
        <v>-</v>
      </c>
      <c r="G6602" t="str">
        <v>-</v>
      </c>
    </row>
    <row r="6603">
      <c r="A6603">
        <v>6602</v>
      </c>
      <c r="B6603" t="str">
        <v>UBND Ủy ban nhân dân xã Tuấn Đạo  tỉnh Bắc Giang</v>
      </c>
      <c r="C6603" t="str">
        <v>-</v>
      </c>
      <c r="D6603" t="str">
        <v>-</v>
      </c>
      <c r="E6603" t="str">
        <v>-</v>
      </c>
      <c r="F6603" t="str">
        <v>-</v>
      </c>
      <c r="G6603" t="str">
        <v>-</v>
      </c>
    </row>
    <row r="6604">
      <c r="A6604">
        <v>6603</v>
      </c>
      <c r="B6604" t="str">
        <v>Công an xã Dương Hưu  tỉnh Bắc Giang</v>
      </c>
      <c r="C6604" t="str">
        <v>-</v>
      </c>
      <c r="D6604" t="str">
        <v>-</v>
      </c>
      <c r="E6604" t="str">
        <v/>
      </c>
      <c r="F6604" t="str">
        <v>-</v>
      </c>
      <c r="G6604" t="str">
        <v>-</v>
      </c>
    </row>
    <row r="6605">
      <c r="A6605">
        <v>6604</v>
      </c>
      <c r="B6605" t="str">
        <v>UBND Ủy ban nhân dân xã Dương Hưu  tỉnh Bắc Giang</v>
      </c>
      <c r="C6605" t="str">
        <v>-</v>
      </c>
      <c r="D6605" t="str">
        <v>-</v>
      </c>
      <c r="E6605" t="str">
        <v>-</v>
      </c>
      <c r="F6605" t="str">
        <v>-</v>
      </c>
      <c r="G6605" t="str">
        <v>-</v>
      </c>
    </row>
    <row r="6606">
      <c r="A6606">
        <v>6605</v>
      </c>
      <c r="B6606" t="str">
        <v>Công an xã Bồng Am  tỉnh Bắc Giang</v>
      </c>
      <c r="C6606" t="str">
        <v>-</v>
      </c>
      <c r="D6606" t="str">
        <v>-</v>
      </c>
      <c r="E6606" t="str">
        <v/>
      </c>
      <c r="F6606" t="str">
        <v>-</v>
      </c>
      <c r="G6606" t="str">
        <v>-</v>
      </c>
    </row>
    <row r="6607">
      <c r="A6607">
        <v>6606</v>
      </c>
      <c r="B6607" t="str">
        <v>UBND Ủy ban nhân dân xã Bồng Am  tỉnh Bắc Giang</v>
      </c>
      <c r="C6607" t="str">
        <v>-</v>
      </c>
      <c r="D6607" t="str">
        <v>-</v>
      </c>
      <c r="E6607" t="str">
        <v>-</v>
      </c>
      <c r="F6607" t="str">
        <v>-</v>
      </c>
      <c r="G6607" t="str">
        <v>-</v>
      </c>
    </row>
    <row r="6608">
      <c r="A6608">
        <v>6607</v>
      </c>
      <c r="B6608" t="str">
        <v>Công an xã Long Sơn  tỉnh Bắc Giang</v>
      </c>
      <c r="C6608" t="str">
        <v>-</v>
      </c>
      <c r="D6608" t="str">
        <v>-</v>
      </c>
      <c r="E6608" t="str">
        <v/>
      </c>
      <c r="F6608" t="str">
        <v>-</v>
      </c>
      <c r="G6608" t="str">
        <v>-</v>
      </c>
    </row>
    <row r="6609">
      <c r="A6609">
        <v>6608</v>
      </c>
      <c r="B6609" t="str">
        <v>UBND Ủy ban nhân dân xã Long Sơn  tỉnh Bắc Giang</v>
      </c>
      <c r="C6609" t="str">
        <v>-</v>
      </c>
      <c r="D6609" t="str">
        <v>-</v>
      </c>
      <c r="E6609" t="str">
        <v>-</v>
      </c>
      <c r="F6609" t="str">
        <v>-</v>
      </c>
      <c r="G6609" t="str">
        <v>-</v>
      </c>
    </row>
    <row r="6610">
      <c r="A6610">
        <v>6609</v>
      </c>
      <c r="B6610" t="str">
        <v>Công an xã Tuấn Mậu  tỉnh Bắc Giang</v>
      </c>
      <c r="C6610" t="str">
        <v>-</v>
      </c>
      <c r="D6610" t="str">
        <v>-</v>
      </c>
      <c r="E6610" t="str">
        <v/>
      </c>
      <c r="F6610" t="str">
        <v>-</v>
      </c>
      <c r="G6610" t="str">
        <v>-</v>
      </c>
    </row>
    <row r="6611">
      <c r="A6611">
        <v>6610</v>
      </c>
      <c r="B6611" t="str">
        <v>UBND Ủy ban nhân dân xã Tuấn Mậu  tỉnh Bắc Giang</v>
      </c>
      <c r="C6611" t="str">
        <v>-</v>
      </c>
      <c r="D6611" t="str">
        <v>-</v>
      </c>
      <c r="E6611" t="str">
        <v>-</v>
      </c>
      <c r="F6611" t="str">
        <v>-</v>
      </c>
      <c r="G6611" t="str">
        <v>-</v>
      </c>
    </row>
    <row r="6612">
      <c r="A6612">
        <v>6611</v>
      </c>
      <c r="B6612" t="str">
        <v>Công an xã Thanh Luận  tỉnh Bắc Giang</v>
      </c>
      <c r="C6612" t="str">
        <v>-</v>
      </c>
      <c r="D6612" t="str">
        <v>-</v>
      </c>
      <c r="E6612" t="str">
        <v/>
      </c>
      <c r="F6612" t="str">
        <v>-</v>
      </c>
      <c r="G6612" t="str">
        <v>-</v>
      </c>
    </row>
    <row r="6613">
      <c r="A6613">
        <v>6612</v>
      </c>
      <c r="B6613" t="str">
        <v>UBND Ủy ban nhân dân xã Thanh Luận  tỉnh Bắc Giang</v>
      </c>
      <c r="C6613" t="str">
        <v>-</v>
      </c>
      <c r="D6613" t="str">
        <v>-</v>
      </c>
      <c r="E6613" t="str">
        <v>-</v>
      </c>
      <c r="F6613" t="str">
        <v>-</v>
      </c>
      <c r="G6613" t="str">
        <v>-</v>
      </c>
    </row>
    <row r="6614">
      <c r="A6614">
        <v>6613</v>
      </c>
      <c r="B6614" t="str">
        <v>Công an thị trấn Neo  tỉnh Bắc Giang</v>
      </c>
      <c r="C6614" t="str">
        <v>-</v>
      </c>
      <c r="D6614" t="str">
        <v>-</v>
      </c>
      <c r="E6614" t="str">
        <v/>
      </c>
      <c r="F6614" t="str">
        <v>-</v>
      </c>
      <c r="G6614" t="str">
        <v>-</v>
      </c>
    </row>
    <row r="6615">
      <c r="A6615">
        <v>6614</v>
      </c>
      <c r="B6615" t="str">
        <v>UBND Ủy ban nhân dân thị trấn Neo  tỉnh Bắc Giang</v>
      </c>
      <c r="C6615" t="str">
        <v>-</v>
      </c>
      <c r="D6615" t="str">
        <v>-</v>
      </c>
      <c r="E6615" t="str">
        <v>-</v>
      </c>
      <c r="F6615" t="str">
        <v>-</v>
      </c>
      <c r="G6615" t="str">
        <v>-</v>
      </c>
    </row>
    <row r="6616">
      <c r="A6616">
        <v>6615</v>
      </c>
      <c r="B6616" t="str">
        <v>Công an thị trấn Tân Dân  tỉnh Bắc Giang</v>
      </c>
      <c r="C6616" t="str">
        <v>-</v>
      </c>
      <c r="D6616" t="str">
        <v>-</v>
      </c>
      <c r="E6616" t="str">
        <v/>
      </c>
      <c r="F6616" t="str">
        <v>-</v>
      </c>
      <c r="G6616" t="str">
        <v>-</v>
      </c>
    </row>
    <row r="6617">
      <c r="A6617">
        <v>6616</v>
      </c>
      <c r="B6617" t="str">
        <v>UBND Ủy ban nhân dân thị trấn Tân Dân  tỉnh Bắc Giang</v>
      </c>
      <c r="C6617" t="str">
        <v>-</v>
      </c>
      <c r="D6617" t="str">
        <v>-</v>
      </c>
      <c r="E6617" t="str">
        <v>-</v>
      </c>
      <c r="F6617" t="str">
        <v>-</v>
      </c>
      <c r="G6617" t="str">
        <v>-</v>
      </c>
    </row>
    <row r="6618">
      <c r="A6618">
        <v>6617</v>
      </c>
      <c r="B6618" t="str">
        <v>Công an xã Lão Hộ  tỉnh Bắc Giang</v>
      </c>
      <c r="C6618" t="str">
        <v>-</v>
      </c>
      <c r="D6618" t="str">
        <v>-</v>
      </c>
      <c r="E6618" t="str">
        <v/>
      </c>
      <c r="F6618" t="str">
        <v>-</v>
      </c>
      <c r="G6618" t="str">
        <v>-</v>
      </c>
    </row>
    <row r="6619">
      <c r="A6619">
        <v>6618</v>
      </c>
      <c r="B6619" t="str">
        <v>UBND Ủy ban nhân dân xã Lão Hộ  tỉnh Bắc Giang</v>
      </c>
      <c r="C6619" t="str">
        <v>-</v>
      </c>
      <c r="D6619" t="str">
        <v>-</v>
      </c>
      <c r="E6619" t="str">
        <v>-</v>
      </c>
      <c r="F6619" t="str">
        <v>-</v>
      </c>
      <c r="G6619" t="str">
        <v>-</v>
      </c>
    </row>
    <row r="6620">
      <c r="A6620">
        <v>6619</v>
      </c>
      <c r="B6620" t="str">
        <v>Công an xã Hương Gián  tỉnh Bắc Giang</v>
      </c>
      <c r="C6620" t="str">
        <v>-</v>
      </c>
      <c r="D6620" t="str">
        <v>-</v>
      </c>
      <c r="E6620" t="str">
        <v/>
      </c>
      <c r="F6620" t="str">
        <v>-</v>
      </c>
      <c r="G6620" t="str">
        <v>-</v>
      </c>
    </row>
    <row r="6621">
      <c r="A6621">
        <v>6620</v>
      </c>
      <c r="B6621" t="str">
        <v>UBND Ủy ban nhân dân xã Hương Gián  tỉnh Bắc Giang</v>
      </c>
      <c r="C6621" t="str">
        <v>-</v>
      </c>
      <c r="D6621" t="str">
        <v>-</v>
      </c>
      <c r="E6621" t="str">
        <v>-</v>
      </c>
      <c r="F6621" t="str">
        <v>-</v>
      </c>
      <c r="G6621" t="str">
        <v>-</v>
      </c>
    </row>
    <row r="6622">
      <c r="A6622">
        <v>6621</v>
      </c>
      <c r="B6622" t="str">
        <v>Công an xã Tân An  tỉnh Bắc Giang</v>
      </c>
      <c r="C6622" t="str">
        <v>-</v>
      </c>
      <c r="D6622" t="str">
        <v>-</v>
      </c>
      <c r="E6622" t="str">
        <v/>
      </c>
      <c r="F6622" t="str">
        <v>-</v>
      </c>
      <c r="G6622" t="str">
        <v>-</v>
      </c>
    </row>
    <row r="6623">
      <c r="A6623">
        <v>6622</v>
      </c>
      <c r="B6623" t="str">
        <v>UBND Ủy ban nhân dân xã Tân An  tỉnh Bắc Giang</v>
      </c>
      <c r="C6623" t="str">
        <v>-</v>
      </c>
      <c r="D6623" t="str">
        <v>-</v>
      </c>
      <c r="E6623" t="str">
        <v>-</v>
      </c>
      <c r="F6623" t="str">
        <v>-</v>
      </c>
      <c r="G6623" t="str">
        <v>-</v>
      </c>
    </row>
    <row r="6624">
      <c r="A6624">
        <v>6623</v>
      </c>
      <c r="B6624" t="str">
        <v>Công an xã Quỳnh Sơn  tỉnh Bắc Giang</v>
      </c>
      <c r="C6624" t="str">
        <v>-</v>
      </c>
      <c r="D6624" t="str">
        <v>-</v>
      </c>
      <c r="E6624" t="str">
        <v/>
      </c>
      <c r="F6624" t="str">
        <v>-</v>
      </c>
      <c r="G6624" t="str">
        <v>-</v>
      </c>
    </row>
    <row r="6625">
      <c r="A6625">
        <v>6624</v>
      </c>
      <c r="B6625" t="str">
        <v>UBND Ủy ban nhân dân xã Quỳnh Sơn  tỉnh Bắc Giang</v>
      </c>
      <c r="C6625" t="str">
        <v>-</v>
      </c>
      <c r="D6625" t="str">
        <v>-</v>
      </c>
      <c r="E6625" t="str">
        <v>-</v>
      </c>
      <c r="F6625" t="str">
        <v>-</v>
      </c>
      <c r="G6625" t="str">
        <v>-</v>
      </c>
    </row>
    <row r="6626">
      <c r="A6626">
        <v>6625</v>
      </c>
      <c r="B6626" t="str">
        <v>Công an xã Nội Hoàng  tỉnh Bắc Giang</v>
      </c>
      <c r="C6626" t="str">
        <v>-</v>
      </c>
      <c r="D6626" t="str">
        <v>-</v>
      </c>
      <c r="E6626" t="str">
        <v/>
      </c>
      <c r="F6626" t="str">
        <v>-</v>
      </c>
      <c r="G6626" t="str">
        <v>-</v>
      </c>
    </row>
    <row r="6627">
      <c r="A6627">
        <v>6626</v>
      </c>
      <c r="B6627" t="str">
        <v>UBND Ủy ban nhân dân xã Nội Hoàng  tỉnh Bắc Giang</v>
      </c>
      <c r="C6627" t="str">
        <v>-</v>
      </c>
      <c r="D6627" t="str">
        <v>-</v>
      </c>
      <c r="E6627" t="str">
        <v>-</v>
      </c>
      <c r="F6627" t="str">
        <v>-</v>
      </c>
      <c r="G6627" t="str">
        <v>-</v>
      </c>
    </row>
    <row r="6628">
      <c r="A6628">
        <v>6627</v>
      </c>
      <c r="B6628" t="str">
        <v>Công an xã Tiền Phong  tỉnh Bắc Giang</v>
      </c>
      <c r="C6628" t="str">
        <v>-</v>
      </c>
      <c r="D6628" t="str">
        <v>-</v>
      </c>
      <c r="E6628" t="str">
        <v/>
      </c>
      <c r="F6628" t="str">
        <v>-</v>
      </c>
      <c r="G6628" t="str">
        <v>-</v>
      </c>
    </row>
    <row r="6629">
      <c r="A6629">
        <v>6628</v>
      </c>
      <c r="B6629" t="str">
        <v>UBND Ủy ban nhân dân xã Tiền Phong  tỉnh Bắc Giang</v>
      </c>
      <c r="C6629" t="str">
        <v>-</v>
      </c>
      <c r="D6629" t="str">
        <v>-</v>
      </c>
      <c r="E6629" t="str">
        <v>-</v>
      </c>
      <c r="F6629" t="str">
        <v>-</v>
      </c>
      <c r="G6629" t="str">
        <v>-</v>
      </c>
    </row>
    <row r="6630">
      <c r="A6630">
        <v>6629</v>
      </c>
      <c r="B6630" t="str">
        <v>Công an xã Xuân Phú  tỉnh Bắc Giang</v>
      </c>
      <c r="C6630" t="str">
        <v>-</v>
      </c>
      <c r="D6630" t="str">
        <v>-</v>
      </c>
      <c r="E6630" t="str">
        <v/>
      </c>
      <c r="F6630" t="str">
        <v>-</v>
      </c>
      <c r="G6630" t="str">
        <v>-</v>
      </c>
    </row>
    <row r="6631">
      <c r="A6631">
        <v>6630</v>
      </c>
      <c r="B6631" t="str">
        <v>UBND Ủy ban nhân dân xã Xuân Phú  tỉnh Bắc Giang</v>
      </c>
      <c r="C6631" t="str">
        <v>-</v>
      </c>
      <c r="D6631" t="str">
        <v>-</v>
      </c>
      <c r="E6631" t="str">
        <v>-</v>
      </c>
      <c r="F6631" t="str">
        <v>-</v>
      </c>
      <c r="G6631" t="str">
        <v>-</v>
      </c>
    </row>
    <row r="6632">
      <c r="A6632">
        <v>6631</v>
      </c>
      <c r="B6632" t="str">
        <v>Công an xã Tân Liễu  tỉnh Bắc Giang</v>
      </c>
      <c r="C6632" t="str">
        <v>-</v>
      </c>
      <c r="D6632" t="str">
        <v>-</v>
      </c>
      <c r="E6632" t="str">
        <v/>
      </c>
      <c r="F6632" t="str">
        <v>-</v>
      </c>
      <c r="G6632" t="str">
        <v>-</v>
      </c>
    </row>
    <row r="6633">
      <c r="A6633">
        <v>6632</v>
      </c>
      <c r="B6633" t="str">
        <v>UBND Ủy ban nhân dân xã Tân Liễu  tỉnh Bắc Giang</v>
      </c>
      <c r="C6633" t="str">
        <v>-</v>
      </c>
      <c r="D6633" t="str">
        <v>-</v>
      </c>
      <c r="E6633" t="str">
        <v>-</v>
      </c>
      <c r="F6633" t="str">
        <v>-</v>
      </c>
      <c r="G6633" t="str">
        <v>-</v>
      </c>
    </row>
    <row r="6634">
      <c r="A6634">
        <v>6633</v>
      </c>
      <c r="B6634" t="str">
        <v>Công an xã Trí Yên  tỉnh Bắc Giang</v>
      </c>
      <c r="C6634" t="str">
        <v>-</v>
      </c>
      <c r="D6634" t="str">
        <v>-</v>
      </c>
      <c r="E6634" t="str">
        <v/>
      </c>
      <c r="F6634" t="str">
        <v>-</v>
      </c>
      <c r="G6634" t="str">
        <v>-</v>
      </c>
    </row>
    <row r="6635">
      <c r="A6635">
        <v>6634</v>
      </c>
      <c r="B6635" t="str">
        <v>UBND Ủy ban nhân dân xã Trí Yên  tỉnh Bắc Giang</v>
      </c>
      <c r="C6635" t="str">
        <v>-</v>
      </c>
      <c r="D6635" t="str">
        <v>-</v>
      </c>
      <c r="E6635" t="str">
        <v>-</v>
      </c>
      <c r="F6635" t="str">
        <v>-</v>
      </c>
      <c r="G6635" t="str">
        <v>-</v>
      </c>
    </row>
    <row r="6636">
      <c r="A6636">
        <v>6635</v>
      </c>
      <c r="B6636" t="str">
        <v>Công an xã Lãng Sơn  tỉnh Bắc Giang</v>
      </c>
      <c r="C6636" t="str">
        <v>-</v>
      </c>
      <c r="D6636" t="str">
        <v>-</v>
      </c>
      <c r="E6636" t="str">
        <v/>
      </c>
      <c r="F6636" t="str">
        <v>-</v>
      </c>
      <c r="G6636" t="str">
        <v>-</v>
      </c>
    </row>
    <row r="6637">
      <c r="A6637">
        <v>6636</v>
      </c>
      <c r="B6637" t="str">
        <v>UBND Ủy ban nhân dân xã Lãng Sơn  tỉnh Bắc Giang</v>
      </c>
      <c r="C6637" t="str">
        <v>-</v>
      </c>
      <c r="D6637" t="str">
        <v>-</v>
      </c>
      <c r="E6637" t="str">
        <v>-</v>
      </c>
      <c r="F6637" t="str">
        <v>-</v>
      </c>
      <c r="G6637" t="str">
        <v>-</v>
      </c>
    </row>
    <row r="6638">
      <c r="A6638">
        <v>6637</v>
      </c>
      <c r="B6638" t="str">
        <v>Công an xã Yên Lư  tỉnh Bắc Giang</v>
      </c>
      <c r="C6638" t="str">
        <v>-</v>
      </c>
      <c r="D6638" t="str">
        <v>-</v>
      </c>
      <c r="E6638" t="str">
        <v/>
      </c>
      <c r="F6638" t="str">
        <v>-</v>
      </c>
      <c r="G6638" t="str">
        <v>-</v>
      </c>
    </row>
    <row r="6639">
      <c r="A6639">
        <v>6638</v>
      </c>
      <c r="B6639" t="str">
        <v>UBND Ủy ban nhân dân xã Yên Lư  tỉnh Bắc Giang</v>
      </c>
      <c r="C6639" t="str">
        <v>-</v>
      </c>
      <c r="D6639" t="str">
        <v>-</v>
      </c>
      <c r="E6639" t="str">
        <v>-</v>
      </c>
      <c r="F6639" t="str">
        <v>-</v>
      </c>
      <c r="G6639" t="str">
        <v>-</v>
      </c>
    </row>
    <row r="6640">
      <c r="A6640">
        <v>6639</v>
      </c>
      <c r="B6640" t="str">
        <v>Công an xã Tiến Dũng  tỉnh Bắc Giang</v>
      </c>
      <c r="C6640" t="str">
        <v>-</v>
      </c>
      <c r="D6640" t="str">
        <v>-</v>
      </c>
      <c r="E6640" t="str">
        <v/>
      </c>
      <c r="F6640" t="str">
        <v>-</v>
      </c>
      <c r="G6640" t="str">
        <v>-</v>
      </c>
    </row>
    <row r="6641">
      <c r="A6641">
        <v>6640</v>
      </c>
      <c r="B6641" t="str">
        <v>UBND Ủy ban nhân dân xã Tiến Dũng  tỉnh Bắc Giang</v>
      </c>
      <c r="C6641" t="str">
        <v>-</v>
      </c>
      <c r="D6641" t="str">
        <v>-</v>
      </c>
      <c r="E6641" t="str">
        <v>-</v>
      </c>
      <c r="F6641" t="str">
        <v>-</v>
      </c>
      <c r="G6641" t="str">
        <v>-</v>
      </c>
    </row>
    <row r="6642">
      <c r="A6642">
        <v>6641</v>
      </c>
      <c r="B6642" t="str">
        <v>Công an xã Nham Sơn  tỉnh Bắc Giang</v>
      </c>
      <c r="C6642" t="str">
        <v>-</v>
      </c>
      <c r="D6642" t="str">
        <v>-</v>
      </c>
      <c r="E6642" t="str">
        <v/>
      </c>
      <c r="F6642" t="str">
        <v>-</v>
      </c>
      <c r="G6642" t="str">
        <v>-</v>
      </c>
    </row>
    <row r="6643">
      <c r="A6643">
        <v>6642</v>
      </c>
      <c r="B6643" t="str">
        <v>UBND Ủy ban nhân dân xã Nham Sơn  tỉnh Bắc Giang</v>
      </c>
      <c r="C6643" t="str">
        <v>-</v>
      </c>
      <c r="D6643" t="str">
        <v>-</v>
      </c>
      <c r="E6643" t="str">
        <v>-</v>
      </c>
      <c r="F6643" t="str">
        <v>-</v>
      </c>
      <c r="G6643" t="str">
        <v>-</v>
      </c>
    </row>
    <row r="6644">
      <c r="A6644">
        <v>6643</v>
      </c>
      <c r="B6644" t="str">
        <v>Công an xã Đức Giang  tỉnh Bắc Giang</v>
      </c>
      <c r="C6644" t="str">
        <v>-</v>
      </c>
      <c r="D6644" t="str">
        <v>-</v>
      </c>
      <c r="E6644" t="str">
        <v/>
      </c>
      <c r="F6644" t="str">
        <v>-</v>
      </c>
      <c r="G6644" t="str">
        <v>-</v>
      </c>
    </row>
    <row r="6645">
      <c r="A6645">
        <v>6644</v>
      </c>
      <c r="B6645" t="str">
        <v>UBND Ủy ban nhân dân xã Đức Giang  tỉnh Bắc Giang</v>
      </c>
      <c r="C6645" t="str">
        <v>-</v>
      </c>
      <c r="D6645" t="str">
        <v>-</v>
      </c>
      <c r="E6645" t="str">
        <v>-</v>
      </c>
      <c r="F6645" t="str">
        <v>-</v>
      </c>
      <c r="G6645" t="str">
        <v>-</v>
      </c>
    </row>
    <row r="6646">
      <c r="A6646">
        <v>6645</v>
      </c>
      <c r="B6646" t="str">
        <v>Công an xã Cảnh Thụy  tỉnh Bắc Giang</v>
      </c>
      <c r="C6646" t="str">
        <v>-</v>
      </c>
      <c r="D6646" t="str">
        <v>-</v>
      </c>
      <c r="E6646" t="str">
        <v/>
      </c>
      <c r="F6646" t="str">
        <v>-</v>
      </c>
      <c r="G6646" t="str">
        <v>-</v>
      </c>
    </row>
    <row r="6647">
      <c r="A6647">
        <v>6646</v>
      </c>
      <c r="B6647" t="str">
        <v>UBND Ủy ban nhân dân xã Cảnh Thụy  tỉnh Bắc Giang</v>
      </c>
      <c r="C6647" t="str">
        <v>-</v>
      </c>
      <c r="D6647" t="str">
        <v>-</v>
      </c>
      <c r="E6647" t="str">
        <v>-</v>
      </c>
      <c r="F6647" t="str">
        <v>-</v>
      </c>
      <c r="G6647" t="str">
        <v>-</v>
      </c>
    </row>
    <row r="6648">
      <c r="A6648">
        <v>6647</v>
      </c>
      <c r="B6648" t="str">
        <v>Công an xã Tư Mại  tỉnh Bắc Giang</v>
      </c>
      <c r="C6648" t="str">
        <v>-</v>
      </c>
      <c r="D6648" t="str">
        <v>-</v>
      </c>
      <c r="E6648" t="str">
        <v/>
      </c>
      <c r="F6648" t="str">
        <v>-</v>
      </c>
      <c r="G6648" t="str">
        <v>-</v>
      </c>
    </row>
    <row r="6649">
      <c r="A6649">
        <v>6648</v>
      </c>
      <c r="B6649" t="str">
        <v>UBND Ủy ban nhân dân xã Tư Mại  tỉnh Bắc Giang</v>
      </c>
      <c r="C6649" t="str">
        <v>-</v>
      </c>
      <c r="D6649" t="str">
        <v>-</v>
      </c>
      <c r="E6649" t="str">
        <v>-</v>
      </c>
      <c r="F6649" t="str">
        <v>-</v>
      </c>
      <c r="G6649" t="str">
        <v>-</v>
      </c>
    </row>
    <row r="6650">
      <c r="A6650">
        <v>6649</v>
      </c>
      <c r="B6650" t="str">
        <v>Công an xã Thắng Cương  tỉnh Bắc Giang</v>
      </c>
      <c r="C6650" t="str">
        <v>-</v>
      </c>
      <c r="D6650" t="str">
        <v>-</v>
      </c>
      <c r="E6650" t="str">
        <v/>
      </c>
      <c r="F6650" t="str">
        <v>-</v>
      </c>
      <c r="G6650" t="str">
        <v>-</v>
      </c>
    </row>
    <row r="6651">
      <c r="A6651">
        <v>6650</v>
      </c>
      <c r="B6651" t="str">
        <v>UBND Ủy ban nhân dân xã Thắng Cương  tỉnh Bắc Giang</v>
      </c>
      <c r="C6651" t="str">
        <v>-</v>
      </c>
      <c r="D6651" t="str">
        <v>-</v>
      </c>
      <c r="E6651" t="str">
        <v>-</v>
      </c>
      <c r="F6651" t="str">
        <v>-</v>
      </c>
      <c r="G6651" t="str">
        <v>-</v>
      </c>
    </row>
    <row r="6652">
      <c r="A6652">
        <v>6651</v>
      </c>
      <c r="B6652" t="str">
        <v>Công an xã Đồng Việt  tỉnh Bắc Giang</v>
      </c>
      <c r="C6652" t="str">
        <v>-</v>
      </c>
      <c r="D6652" t="str">
        <v>-</v>
      </c>
      <c r="E6652" t="str">
        <v/>
      </c>
      <c r="F6652" t="str">
        <v>-</v>
      </c>
      <c r="G6652" t="str">
        <v>-</v>
      </c>
    </row>
    <row r="6653">
      <c r="A6653">
        <v>6652</v>
      </c>
      <c r="B6653" t="str">
        <v>UBND Ủy ban nhân dân xã Đồng Việt  tỉnh Bắc Giang</v>
      </c>
      <c r="C6653" t="str">
        <v>-</v>
      </c>
      <c r="D6653" t="str">
        <v>-</v>
      </c>
      <c r="E6653" t="str">
        <v>-</v>
      </c>
      <c r="F6653" t="str">
        <v>-</v>
      </c>
      <c r="G6653" t="str">
        <v>-</v>
      </c>
    </row>
    <row r="6654">
      <c r="A6654">
        <v>6653</v>
      </c>
      <c r="B6654" t="str">
        <v>Công an xã Đồng Phúc  tỉnh Bắc Giang</v>
      </c>
      <c r="C6654" t="str">
        <v>-</v>
      </c>
      <c r="D6654" t="str">
        <v>-</v>
      </c>
      <c r="E6654" t="str">
        <v/>
      </c>
      <c r="F6654" t="str">
        <v>-</v>
      </c>
      <c r="G6654" t="str">
        <v>-</v>
      </c>
    </row>
    <row r="6655">
      <c r="A6655">
        <v>6654</v>
      </c>
      <c r="B6655" t="str">
        <v>UBND Ủy ban nhân dân xã Đồng Phúc  tỉnh Bắc Giang</v>
      </c>
      <c r="C6655" t="str">
        <v>-</v>
      </c>
      <c r="D6655" t="str">
        <v>-</v>
      </c>
      <c r="E6655" t="str">
        <v>-</v>
      </c>
      <c r="F6655" t="str">
        <v>-</v>
      </c>
      <c r="G6655" t="str">
        <v>-</v>
      </c>
    </row>
    <row r="6656">
      <c r="A6656">
        <v>6655</v>
      </c>
      <c r="B6656" t="str">
        <v>Công an thị trấn  Bích Động  tỉnh Bắc Giang</v>
      </c>
      <c r="C6656" t="str">
        <v>-</v>
      </c>
      <c r="D6656" t="str">
        <v>-</v>
      </c>
      <c r="E6656" t="str">
        <v/>
      </c>
      <c r="F6656" t="str">
        <v>-</v>
      </c>
      <c r="G6656" t="str">
        <v>-</v>
      </c>
    </row>
    <row r="6657">
      <c r="A6657">
        <v>6656</v>
      </c>
      <c r="B6657" t="str">
        <v>UBND Ủy ban nhân dân thị trấn  Bích Động  tỉnh Bắc Giang</v>
      </c>
      <c r="C6657" t="str">
        <v>-</v>
      </c>
      <c r="D6657" t="str">
        <v>-</v>
      </c>
      <c r="E6657" t="str">
        <v>-</v>
      </c>
      <c r="F6657" t="str">
        <v>-</v>
      </c>
      <c r="G6657" t="str">
        <v>-</v>
      </c>
    </row>
    <row r="6658">
      <c r="A6658">
        <v>6657</v>
      </c>
      <c r="B6658" t="str">
        <v>Công an thị trấn Nếnh  tỉnh Bắc Giang</v>
      </c>
      <c r="C6658" t="str">
        <v>-</v>
      </c>
      <c r="D6658" t="str">
        <v>-</v>
      </c>
      <c r="E6658" t="str">
        <v/>
      </c>
      <c r="F6658" t="str">
        <v>-</v>
      </c>
      <c r="G6658" t="str">
        <v>-</v>
      </c>
    </row>
    <row r="6659">
      <c r="A6659">
        <v>6658</v>
      </c>
      <c r="B6659" t="str">
        <v>UBND Ủy ban nhân dân thị trấn Nếnh  tỉnh Bắc Giang</v>
      </c>
      <c r="C6659" t="str">
        <v>-</v>
      </c>
      <c r="D6659" t="str">
        <v>-</v>
      </c>
      <c r="E6659" t="str">
        <v>-</v>
      </c>
      <c r="F6659" t="str">
        <v>-</v>
      </c>
      <c r="G6659" t="str">
        <v>-</v>
      </c>
    </row>
    <row r="6660">
      <c r="A6660">
        <v>6659</v>
      </c>
      <c r="B6660" t="str">
        <v>Công an xã Thượng Lan  tỉnh Bắc Giang</v>
      </c>
      <c r="C6660" t="str">
        <v>-</v>
      </c>
      <c r="D6660" t="str">
        <v>-</v>
      </c>
      <c r="E6660" t="str">
        <v/>
      </c>
      <c r="F6660" t="str">
        <v>-</v>
      </c>
      <c r="G6660" t="str">
        <v>-</v>
      </c>
    </row>
    <row r="6661">
      <c r="A6661">
        <v>6660</v>
      </c>
      <c r="B6661" t="str">
        <v>UBND Ủy ban nhân dân xã Thượng Lan  tỉnh Bắc Giang</v>
      </c>
      <c r="C6661" t="str">
        <v>-</v>
      </c>
      <c r="D6661" t="str">
        <v>-</v>
      </c>
      <c r="E6661" t="str">
        <v>-</v>
      </c>
      <c r="F6661" t="str">
        <v>-</v>
      </c>
      <c r="G6661" t="str">
        <v>-</v>
      </c>
    </row>
    <row r="6662">
      <c r="A6662">
        <v>6661</v>
      </c>
      <c r="B6662" t="str">
        <v>Công an xã Việt Tiến  tỉnh Bắc Giang</v>
      </c>
      <c r="C6662" t="str">
        <v>-</v>
      </c>
      <c r="D6662" t="str">
        <v>-</v>
      </c>
      <c r="E6662" t="str">
        <v/>
      </c>
      <c r="F6662" t="str">
        <v>-</v>
      </c>
      <c r="G6662" t="str">
        <v>-</v>
      </c>
    </row>
    <row r="6663">
      <c r="A6663">
        <v>6662</v>
      </c>
      <c r="B6663" t="str">
        <v>UBND Ủy ban nhân dân xã Việt Tiến  tỉnh Bắc Giang</v>
      </c>
      <c r="C6663" t="str">
        <v>-</v>
      </c>
      <c r="D6663" t="str">
        <v>-</v>
      </c>
      <c r="E6663" t="str">
        <v>-</v>
      </c>
      <c r="F6663" t="str">
        <v>-</v>
      </c>
      <c r="G6663" t="str">
        <v>-</v>
      </c>
    </row>
    <row r="6664">
      <c r="A6664">
        <v>6663</v>
      </c>
      <c r="B6664" t="str">
        <v>Công an xã Nghĩa Trung  tỉnh Bắc Giang</v>
      </c>
      <c r="C6664" t="str">
        <v>-</v>
      </c>
      <c r="D6664" t="str">
        <v>-</v>
      </c>
      <c r="E6664" t="str">
        <v/>
      </c>
      <c r="F6664" t="str">
        <v>-</v>
      </c>
      <c r="G6664" t="str">
        <v>-</v>
      </c>
    </row>
    <row r="6665">
      <c r="A6665">
        <v>6664</v>
      </c>
      <c r="B6665" t="str">
        <v>UBND Ủy ban nhân dân xã Nghĩa Trung  tỉnh Bắc Giang</v>
      </c>
      <c r="C6665" t="str">
        <v>-</v>
      </c>
      <c r="D6665" t="str">
        <v>-</v>
      </c>
      <c r="E6665" t="str">
        <v>-</v>
      </c>
      <c r="F6665" t="str">
        <v>-</v>
      </c>
      <c r="G6665" t="str">
        <v>-</v>
      </c>
    </row>
    <row r="6666">
      <c r="A6666">
        <v>6665</v>
      </c>
      <c r="B6666" t="str">
        <v>Công an xã Minh Đức  tỉnh Bắc Giang</v>
      </c>
      <c r="C6666" t="str">
        <v>-</v>
      </c>
      <c r="D6666" t="str">
        <v>-</v>
      </c>
      <c r="E6666" t="str">
        <v/>
      </c>
      <c r="F6666" t="str">
        <v>-</v>
      </c>
      <c r="G6666" t="str">
        <v>-</v>
      </c>
    </row>
    <row r="6667">
      <c r="A6667">
        <v>6666</v>
      </c>
      <c r="B6667" t="str">
        <v>UBND Ủy ban nhân dân xã Minh Đức  tỉnh Bắc Giang</v>
      </c>
      <c r="C6667" t="str">
        <v>-</v>
      </c>
      <c r="D6667" t="str">
        <v>-</v>
      </c>
      <c r="E6667" t="str">
        <v>-</v>
      </c>
      <c r="F6667" t="str">
        <v>-</v>
      </c>
      <c r="G6667" t="str">
        <v>-</v>
      </c>
    </row>
    <row r="6668">
      <c r="A6668">
        <v>6667</v>
      </c>
      <c r="B6668" t="str">
        <v>Công an xã Hương Mai  tỉnh Bắc Giang</v>
      </c>
      <c r="C6668" t="str">
        <v>-</v>
      </c>
      <c r="D6668" t="str">
        <v>-</v>
      </c>
      <c r="E6668" t="str">
        <v/>
      </c>
      <c r="F6668" t="str">
        <v>-</v>
      </c>
      <c r="G6668" t="str">
        <v>-</v>
      </c>
    </row>
    <row r="6669">
      <c r="A6669">
        <v>6668</v>
      </c>
      <c r="B6669" t="str">
        <v>UBND Ủy ban nhân dân xã Hương Mai  tỉnh Bắc Giang</v>
      </c>
      <c r="C6669" t="str">
        <v>-</v>
      </c>
      <c r="D6669" t="str">
        <v>-</v>
      </c>
      <c r="E6669" t="str">
        <v>-</v>
      </c>
      <c r="F6669" t="str">
        <v>-</v>
      </c>
      <c r="G6669" t="str">
        <v>-</v>
      </c>
    </row>
    <row r="6670">
      <c r="A6670">
        <v>6669</v>
      </c>
      <c r="B6670" t="str">
        <v>Công an xã Tự Lạn  tỉnh Bắc Giang</v>
      </c>
      <c r="C6670" t="str">
        <v>-</v>
      </c>
      <c r="D6670" t="str">
        <v>-</v>
      </c>
      <c r="E6670" t="str">
        <v/>
      </c>
      <c r="F6670" t="str">
        <v>-</v>
      </c>
      <c r="G6670" t="str">
        <v>-</v>
      </c>
    </row>
    <row r="6671">
      <c r="A6671">
        <v>6670</v>
      </c>
      <c r="B6671" t="str">
        <v>UBND Ủy ban nhân dân xã Tự Lạn  tỉnh Bắc Giang</v>
      </c>
      <c r="C6671" t="str">
        <v>-</v>
      </c>
      <c r="D6671" t="str">
        <v>-</v>
      </c>
      <c r="E6671" t="str">
        <v>-</v>
      </c>
      <c r="F6671" t="str">
        <v>-</v>
      </c>
      <c r="G6671" t="str">
        <v>-</v>
      </c>
    </row>
    <row r="6672">
      <c r="A6672">
        <v>6671</v>
      </c>
      <c r="B6672" t="str">
        <v>Công an xã Bích Sơn  tỉnh Bắc Giang</v>
      </c>
      <c r="C6672" t="str">
        <v>-</v>
      </c>
      <c r="D6672" t="str">
        <v>-</v>
      </c>
      <c r="E6672" t="str">
        <v/>
      </c>
      <c r="F6672" t="str">
        <v>-</v>
      </c>
      <c r="G6672" t="str">
        <v>-</v>
      </c>
    </row>
    <row r="6673">
      <c r="A6673">
        <v>6672</v>
      </c>
      <c r="B6673" t="str">
        <v>UBND Ủy ban nhân dân xã Bích Sơn  tỉnh Bắc Giang</v>
      </c>
      <c r="C6673" t="str">
        <v>-</v>
      </c>
      <c r="D6673" t="str">
        <v>-</v>
      </c>
      <c r="E6673" t="str">
        <v>-</v>
      </c>
      <c r="F6673" t="str">
        <v>-</v>
      </c>
      <c r="G6673" t="str">
        <v>-</v>
      </c>
    </row>
    <row r="6674">
      <c r="A6674">
        <v>6673</v>
      </c>
      <c r="B6674" t="str">
        <v>Công an xã Trung Sơn  tỉnh Bắc Giang</v>
      </c>
      <c r="C6674" t="str">
        <v>-</v>
      </c>
      <c r="D6674" t="str">
        <v>-</v>
      </c>
      <c r="E6674" t="str">
        <v/>
      </c>
      <c r="F6674" t="str">
        <v>-</v>
      </c>
      <c r="G6674" t="str">
        <v>-</v>
      </c>
    </row>
    <row r="6675">
      <c r="A6675">
        <v>6674</v>
      </c>
      <c r="B6675" t="str">
        <v>UBND Ủy ban nhân dân xã Trung Sơn  tỉnh Bắc Giang</v>
      </c>
      <c r="C6675" t="str">
        <v>-</v>
      </c>
      <c r="D6675" t="str">
        <v>-</v>
      </c>
      <c r="E6675" t="str">
        <v>-</v>
      </c>
      <c r="F6675" t="str">
        <v>-</v>
      </c>
      <c r="G6675" t="str">
        <v>-</v>
      </c>
    </row>
    <row r="6676">
      <c r="A6676">
        <v>6675</v>
      </c>
      <c r="B6676" t="str">
        <v>Công an xã Hồng Thái  tỉnh Bắc Giang</v>
      </c>
      <c r="C6676" t="str">
        <v>-</v>
      </c>
      <c r="D6676" t="str">
        <v>-</v>
      </c>
      <c r="E6676" t="str">
        <v/>
      </c>
      <c r="F6676" t="str">
        <v>-</v>
      </c>
      <c r="G6676" t="str">
        <v>-</v>
      </c>
    </row>
    <row r="6677">
      <c r="A6677">
        <v>6676</v>
      </c>
      <c r="B6677" t="str">
        <v>UBND Ủy ban nhân dân xã Hồng Thái  tỉnh Bắc Giang</v>
      </c>
      <c r="C6677" t="str">
        <v>-</v>
      </c>
      <c r="D6677" t="str">
        <v>-</v>
      </c>
      <c r="E6677" t="str">
        <v>-</v>
      </c>
      <c r="F6677" t="str">
        <v>-</v>
      </c>
      <c r="G6677" t="str">
        <v>-</v>
      </c>
    </row>
    <row r="6678">
      <c r="A6678">
        <v>6677</v>
      </c>
      <c r="B6678" t="str">
        <v>Công an xã Tiên Sơn  tỉnh Bắc Giang</v>
      </c>
      <c r="C6678" t="str">
        <v>-</v>
      </c>
      <c r="D6678" t="str">
        <v>-</v>
      </c>
      <c r="E6678" t="str">
        <v/>
      </c>
      <c r="F6678" t="str">
        <v>-</v>
      </c>
      <c r="G6678" t="str">
        <v>-</v>
      </c>
    </row>
    <row r="6679">
      <c r="A6679">
        <v>6678</v>
      </c>
      <c r="B6679" t="str">
        <v>UBND Ủy ban nhân dân xã Tiên Sơn  tỉnh Bắc Giang</v>
      </c>
      <c r="C6679" t="str">
        <v>-</v>
      </c>
      <c r="D6679" t="str">
        <v>-</v>
      </c>
      <c r="E6679" t="str">
        <v>-</v>
      </c>
      <c r="F6679" t="str">
        <v>-</v>
      </c>
      <c r="G6679" t="str">
        <v>-</v>
      </c>
    </row>
    <row r="6680">
      <c r="A6680">
        <v>6679</v>
      </c>
      <c r="B6680" t="str">
        <v>Công an xã Tăng Tiến  tỉnh Bắc Giang</v>
      </c>
      <c r="C6680" t="str">
        <v>-</v>
      </c>
      <c r="D6680" t="str">
        <v>-</v>
      </c>
      <c r="E6680" t="str">
        <v/>
      </c>
      <c r="F6680" t="str">
        <v>-</v>
      </c>
      <c r="G6680" t="str">
        <v>-</v>
      </c>
    </row>
    <row r="6681">
      <c r="A6681">
        <v>6680</v>
      </c>
      <c r="B6681" t="str">
        <v>UBND Ủy ban nhân dân xã Tăng Tiến  tỉnh Bắc Giang</v>
      </c>
      <c r="C6681" t="str">
        <v>-</v>
      </c>
      <c r="D6681" t="str">
        <v>-</v>
      </c>
      <c r="E6681" t="str">
        <v>-</v>
      </c>
      <c r="F6681" t="str">
        <v>-</v>
      </c>
      <c r="G6681" t="str">
        <v>-</v>
      </c>
    </row>
    <row r="6682">
      <c r="A6682">
        <v>6681</v>
      </c>
      <c r="B6682" t="str">
        <v>Công an xã Quảng Minh  tỉnh Bắc Giang</v>
      </c>
      <c r="C6682" t="str">
        <v>-</v>
      </c>
      <c r="D6682" t="str">
        <v>-</v>
      </c>
      <c r="E6682" t="str">
        <v/>
      </c>
      <c r="F6682" t="str">
        <v>-</v>
      </c>
      <c r="G6682" t="str">
        <v>-</v>
      </c>
    </row>
    <row r="6683">
      <c r="A6683">
        <v>6682</v>
      </c>
      <c r="B6683" t="str">
        <v>UBND Ủy ban nhân dân xã Quảng Minh  tỉnh Bắc Giang</v>
      </c>
      <c r="C6683" t="str">
        <v>-</v>
      </c>
      <c r="D6683" t="str">
        <v>-</v>
      </c>
      <c r="E6683" t="str">
        <v>-</v>
      </c>
      <c r="F6683" t="str">
        <v>-</v>
      </c>
      <c r="G6683" t="str">
        <v>-</v>
      </c>
    </row>
    <row r="6684">
      <c r="A6684">
        <v>6683</v>
      </c>
      <c r="B6684" t="str">
        <v>Công an xã Hoàng Ninh  tỉnh Bắc Giang</v>
      </c>
      <c r="C6684" t="str">
        <v>-</v>
      </c>
      <c r="D6684" t="str">
        <v>-</v>
      </c>
      <c r="E6684" t="str">
        <v/>
      </c>
      <c r="F6684" t="str">
        <v>-</v>
      </c>
      <c r="G6684" t="str">
        <v>-</v>
      </c>
    </row>
    <row r="6685">
      <c r="A6685">
        <v>6684</v>
      </c>
      <c r="B6685" t="str">
        <v>UBND Ủy ban nhân dân xã Hoàng Ninh  tỉnh Bắc Giang</v>
      </c>
      <c r="C6685" t="str">
        <v>-</v>
      </c>
      <c r="D6685" t="str">
        <v>-</v>
      </c>
      <c r="E6685" t="str">
        <v>-</v>
      </c>
      <c r="F6685" t="str">
        <v>-</v>
      </c>
      <c r="G6685" t="str">
        <v>-</v>
      </c>
    </row>
    <row r="6686">
      <c r="A6686">
        <v>6685</v>
      </c>
      <c r="B6686" t="str">
        <v>Công an xã Ninh Sơn  tỉnh Bắc Giang</v>
      </c>
      <c r="C6686" t="str">
        <v>-</v>
      </c>
      <c r="D6686" t="str">
        <v>-</v>
      </c>
      <c r="E6686" t="str">
        <v/>
      </c>
      <c r="F6686" t="str">
        <v>-</v>
      </c>
      <c r="G6686" t="str">
        <v>-</v>
      </c>
    </row>
    <row r="6687">
      <c r="A6687">
        <v>6686</v>
      </c>
      <c r="B6687" t="str">
        <v>UBND Ủy ban nhân dân xã Ninh Sơn  tỉnh Bắc Giang</v>
      </c>
      <c r="C6687" t="str">
        <v>-</v>
      </c>
      <c r="D6687" t="str">
        <v>-</v>
      </c>
      <c r="E6687" t="str">
        <v>-</v>
      </c>
      <c r="F6687" t="str">
        <v>-</v>
      </c>
      <c r="G6687" t="str">
        <v>-</v>
      </c>
    </row>
    <row r="6688">
      <c r="A6688">
        <v>6687</v>
      </c>
      <c r="B6688" t="str">
        <v>Công an xã Vân Trung  tỉnh Bắc Giang</v>
      </c>
      <c r="C6688" t="str">
        <v>-</v>
      </c>
      <c r="D6688" t="str">
        <v>-</v>
      </c>
      <c r="E6688" t="str">
        <v/>
      </c>
      <c r="F6688" t="str">
        <v>-</v>
      </c>
      <c r="G6688" t="str">
        <v>-</v>
      </c>
    </row>
    <row r="6689">
      <c r="A6689">
        <v>6688</v>
      </c>
      <c r="B6689" t="str">
        <v>UBND Ủy ban nhân dân xã Vân Trung  tỉnh Bắc Giang</v>
      </c>
      <c r="C6689" t="str">
        <v>-</v>
      </c>
      <c r="D6689" t="str">
        <v>-</v>
      </c>
      <c r="E6689" t="str">
        <v>-</v>
      </c>
      <c r="F6689" t="str">
        <v>-</v>
      </c>
      <c r="G6689" t="str">
        <v>-</v>
      </c>
    </row>
    <row r="6690">
      <c r="A6690">
        <v>6689</v>
      </c>
      <c r="B6690" t="str">
        <v>Công an xã Vân Hà  tỉnh Bắc Giang</v>
      </c>
      <c r="C6690" t="str">
        <v>-</v>
      </c>
      <c r="D6690" t="str">
        <v>-</v>
      </c>
      <c r="E6690" t="str">
        <v/>
      </c>
      <c r="F6690" t="str">
        <v>-</v>
      </c>
      <c r="G6690" t="str">
        <v>-</v>
      </c>
    </row>
    <row r="6691">
      <c r="A6691">
        <v>6690</v>
      </c>
      <c r="B6691" t="str">
        <v>UBND Ủy ban nhân dân xã Vân Hà  tỉnh Bắc Giang</v>
      </c>
      <c r="C6691" t="str">
        <v>-</v>
      </c>
      <c r="D6691" t="str">
        <v>-</v>
      </c>
      <c r="E6691" t="str">
        <v>-</v>
      </c>
      <c r="F6691" t="str">
        <v>-</v>
      </c>
      <c r="G6691" t="str">
        <v>-</v>
      </c>
    </row>
    <row r="6692">
      <c r="A6692">
        <v>6691</v>
      </c>
      <c r="B6692" t="str">
        <v>Công an xã Quang Châu  tỉnh Bắc Giang</v>
      </c>
      <c r="C6692" t="str">
        <v>-</v>
      </c>
      <c r="D6692" t="str">
        <v>-</v>
      </c>
      <c r="E6692" t="str">
        <v/>
      </c>
      <c r="F6692" t="str">
        <v>-</v>
      </c>
      <c r="G6692" t="str">
        <v>-</v>
      </c>
    </row>
    <row r="6693">
      <c r="A6693">
        <v>6692</v>
      </c>
      <c r="B6693" t="str">
        <v>UBND Ủy ban nhân dân xã Quang Châu  tỉnh Bắc Giang</v>
      </c>
      <c r="C6693" t="str">
        <v>-</v>
      </c>
      <c r="D6693" t="str">
        <v>-</v>
      </c>
      <c r="E6693" t="str">
        <v>-</v>
      </c>
      <c r="F6693" t="str">
        <v>-</v>
      </c>
      <c r="G6693" t="str">
        <v>-</v>
      </c>
    </row>
    <row r="6694">
      <c r="A6694">
        <v>6693</v>
      </c>
      <c r="B6694" t="str">
        <v>Công an thị trấn Thắng  tỉnh Bắc Giang</v>
      </c>
      <c r="C6694" t="str">
        <v>-</v>
      </c>
      <c r="D6694" t="str">
        <v>-</v>
      </c>
      <c r="E6694" t="str">
        <v/>
      </c>
      <c r="F6694" t="str">
        <v>-</v>
      </c>
      <c r="G6694" t="str">
        <v>-</v>
      </c>
    </row>
    <row r="6695">
      <c r="A6695">
        <v>6694</v>
      </c>
      <c r="B6695" t="str">
        <v>UBND Ủy ban nhân dân thị trấn Thắng  tỉnh Bắc Giang</v>
      </c>
      <c r="C6695" t="str">
        <v>-</v>
      </c>
      <c r="D6695" t="str">
        <v>-</v>
      </c>
      <c r="E6695" t="str">
        <v>-</v>
      </c>
      <c r="F6695" t="str">
        <v>-</v>
      </c>
      <c r="G6695" t="str">
        <v>-</v>
      </c>
    </row>
    <row r="6696">
      <c r="A6696">
        <v>6695</v>
      </c>
      <c r="B6696" t="str">
        <v>Công an xã Đồng Tân  tỉnh Bắc Giang</v>
      </c>
      <c r="C6696" t="str">
        <v>-</v>
      </c>
      <c r="D6696" t="str">
        <v>-</v>
      </c>
      <c r="E6696" t="str">
        <v/>
      </c>
      <c r="F6696" t="str">
        <v>-</v>
      </c>
      <c r="G6696" t="str">
        <v>-</v>
      </c>
    </row>
    <row r="6697">
      <c r="A6697">
        <v>6696</v>
      </c>
      <c r="B6697" t="str">
        <v>UBND Ủy ban nhân dân xã Đồng Tân  tỉnh Bắc Giang</v>
      </c>
      <c r="C6697" t="str">
        <v>-</v>
      </c>
      <c r="D6697" t="str">
        <v>-</v>
      </c>
      <c r="E6697" t="str">
        <v>-</v>
      </c>
      <c r="F6697" t="str">
        <v>-</v>
      </c>
      <c r="G6697" t="str">
        <v>-</v>
      </c>
    </row>
    <row r="6698">
      <c r="A6698">
        <v>6697</v>
      </c>
      <c r="B6698" t="str">
        <v>Công an xã Thanh Vân  tỉnh Bắc Giang</v>
      </c>
      <c r="C6698" t="str">
        <v>-</v>
      </c>
      <c r="D6698" t="str">
        <v>-</v>
      </c>
      <c r="E6698" t="str">
        <v/>
      </c>
      <c r="F6698" t="str">
        <v>-</v>
      </c>
      <c r="G6698" t="str">
        <v>-</v>
      </c>
    </row>
    <row r="6699">
      <c r="A6699">
        <v>6698</v>
      </c>
      <c r="B6699" t="str">
        <v>UBND Ủy ban nhân dân xã Thanh Vân  tỉnh Bắc Giang</v>
      </c>
      <c r="C6699" t="str">
        <v>-</v>
      </c>
      <c r="D6699" t="str">
        <v>-</v>
      </c>
      <c r="E6699" t="str">
        <v>-</v>
      </c>
      <c r="F6699" t="str">
        <v>-</v>
      </c>
      <c r="G6699" t="str">
        <v>-</v>
      </c>
    </row>
    <row r="6700">
      <c r="A6700">
        <v>6699</v>
      </c>
      <c r="B6700" t="str">
        <v>Công an xã Hoàng Lương  tỉnh Bắc Giang</v>
      </c>
      <c r="C6700" t="str">
        <v>-</v>
      </c>
      <c r="D6700" t="str">
        <v>-</v>
      </c>
      <c r="E6700" t="str">
        <v/>
      </c>
      <c r="F6700" t="str">
        <v>-</v>
      </c>
      <c r="G6700" t="str">
        <v>-</v>
      </c>
    </row>
    <row r="6701">
      <c r="A6701">
        <v>6700</v>
      </c>
      <c r="B6701" t="str">
        <v>UBND Ủy ban nhân dân xã Hoàng Lương  tỉnh Bắc Giang</v>
      </c>
      <c r="C6701" t="str">
        <v>-</v>
      </c>
      <c r="D6701" t="str">
        <v>-</v>
      </c>
      <c r="E6701" t="str">
        <v>-</v>
      </c>
      <c r="F6701" t="str">
        <v>-</v>
      </c>
      <c r="G6701" t="str">
        <v>-</v>
      </c>
    </row>
    <row r="6702">
      <c r="A6702">
        <v>6701</v>
      </c>
      <c r="B6702" t="str">
        <v>Công an xã Hoàng Vân  tỉnh Bắc Giang</v>
      </c>
      <c r="C6702" t="str">
        <v>-</v>
      </c>
      <c r="D6702" t="str">
        <v>-</v>
      </c>
      <c r="E6702" t="str">
        <v/>
      </c>
      <c r="F6702" t="str">
        <v>-</v>
      </c>
      <c r="G6702" t="str">
        <v>-</v>
      </c>
    </row>
    <row r="6703">
      <c r="A6703">
        <v>6702</v>
      </c>
      <c r="B6703" t="str">
        <v>UBND Ủy ban nhân dân xã Hoàng Vân  tỉnh Bắc Giang</v>
      </c>
      <c r="C6703" t="str">
        <v>-</v>
      </c>
      <c r="D6703" t="str">
        <v>-</v>
      </c>
      <c r="E6703" t="str">
        <v>-</v>
      </c>
      <c r="F6703" t="str">
        <v>-</v>
      </c>
      <c r="G6703" t="str">
        <v>-</v>
      </c>
    </row>
    <row r="6704">
      <c r="A6704">
        <v>6703</v>
      </c>
      <c r="B6704" t="str">
        <v>Công an xã Hoàng Thanh  tỉnh Bắc Giang</v>
      </c>
      <c r="C6704" t="str">
        <v>-</v>
      </c>
      <c r="D6704" t="str">
        <v>-</v>
      </c>
      <c r="E6704" t="str">
        <v/>
      </c>
      <c r="F6704" t="str">
        <v>-</v>
      </c>
      <c r="G6704" t="str">
        <v>-</v>
      </c>
    </row>
    <row r="6705">
      <c r="A6705">
        <v>6704</v>
      </c>
      <c r="B6705" t="str">
        <v>UBND Ủy ban nhân dân xã Hoàng Thanh  tỉnh Bắc Giang</v>
      </c>
      <c r="C6705" t="str">
        <v>-</v>
      </c>
      <c r="D6705" t="str">
        <v>-</v>
      </c>
      <c r="E6705" t="str">
        <v>-</v>
      </c>
      <c r="F6705" t="str">
        <v>-</v>
      </c>
      <c r="G6705" t="str">
        <v>-</v>
      </c>
    </row>
    <row r="6706">
      <c r="A6706">
        <v>6705</v>
      </c>
      <c r="B6706" t="str">
        <v>Công an xã Hoàng An  tỉnh Bắc Giang</v>
      </c>
      <c r="C6706" t="str">
        <v>-</v>
      </c>
      <c r="D6706" t="str">
        <v>-</v>
      </c>
      <c r="E6706" t="str">
        <v/>
      </c>
      <c r="F6706" t="str">
        <v>-</v>
      </c>
      <c r="G6706" t="str">
        <v>-</v>
      </c>
    </row>
    <row r="6707">
      <c r="A6707">
        <v>6706</v>
      </c>
      <c r="B6707" t="str">
        <v>UBND Ủy ban nhân dân xã Hoàng An  tỉnh Bắc Giang</v>
      </c>
      <c r="C6707" t="str">
        <v>-</v>
      </c>
      <c r="D6707" t="str">
        <v>-</v>
      </c>
      <c r="E6707" t="str">
        <v>-</v>
      </c>
      <c r="F6707" t="str">
        <v>-</v>
      </c>
      <c r="G6707" t="str">
        <v>-</v>
      </c>
    </row>
    <row r="6708">
      <c r="A6708">
        <v>6707</v>
      </c>
      <c r="B6708" t="str">
        <v>Công an xã Ngọc Sơn  tỉnh Bắc Giang</v>
      </c>
      <c r="C6708" t="str">
        <v>-</v>
      </c>
      <c r="D6708" t="str">
        <v>-</v>
      </c>
      <c r="E6708" t="str">
        <v/>
      </c>
      <c r="F6708" t="str">
        <v>-</v>
      </c>
      <c r="G6708" t="str">
        <v>-</v>
      </c>
    </row>
    <row r="6709">
      <c r="A6709">
        <v>6708</v>
      </c>
      <c r="B6709" t="str">
        <v>UBND Ủy ban nhân dân xã Ngọc Sơn  tỉnh Bắc Giang</v>
      </c>
      <c r="C6709" t="str">
        <v>-</v>
      </c>
      <c r="D6709" t="str">
        <v>-</v>
      </c>
      <c r="E6709" t="str">
        <v>-</v>
      </c>
      <c r="F6709" t="str">
        <v>-</v>
      </c>
      <c r="G6709" t="str">
        <v>-</v>
      </c>
    </row>
    <row r="6710">
      <c r="A6710">
        <v>6709</v>
      </c>
      <c r="B6710" t="str">
        <v>Công an xã Thái Sơn  tỉnh Bắc Giang</v>
      </c>
      <c r="C6710" t="str">
        <v>-</v>
      </c>
      <c r="D6710" t="str">
        <v>-</v>
      </c>
      <c r="E6710" t="str">
        <v/>
      </c>
      <c r="F6710" t="str">
        <v>-</v>
      </c>
      <c r="G6710" t="str">
        <v>-</v>
      </c>
    </row>
    <row r="6711">
      <c r="A6711">
        <v>6710</v>
      </c>
      <c r="B6711" t="str">
        <v>UBND Ủy ban nhân dân xã Thái Sơn  tỉnh Bắc Giang</v>
      </c>
      <c r="C6711" t="str">
        <v>-</v>
      </c>
      <c r="D6711" t="str">
        <v>-</v>
      </c>
      <c r="E6711" t="str">
        <v>-</v>
      </c>
      <c r="F6711" t="str">
        <v>-</v>
      </c>
      <c r="G6711" t="str">
        <v>-</v>
      </c>
    </row>
    <row r="6712">
      <c r="A6712">
        <v>6711</v>
      </c>
      <c r="B6712" t="str">
        <v>Công an xã Hòa Sơn  tỉnh Bắc Giang</v>
      </c>
      <c r="C6712" t="str">
        <v>-</v>
      </c>
      <c r="D6712" t="str">
        <v>-</v>
      </c>
      <c r="E6712" t="str">
        <v/>
      </c>
      <c r="F6712" t="str">
        <v>-</v>
      </c>
      <c r="G6712" t="str">
        <v>-</v>
      </c>
    </row>
    <row r="6713">
      <c r="A6713">
        <v>6712</v>
      </c>
      <c r="B6713" t="str">
        <v>UBND Ủy ban nhân dân xã Hòa Sơn  tỉnh Bắc Giang</v>
      </c>
      <c r="C6713" t="str">
        <v>-</v>
      </c>
      <c r="D6713" t="str">
        <v>-</v>
      </c>
      <c r="E6713" t="str">
        <v>-</v>
      </c>
      <c r="F6713" t="str">
        <v>-</v>
      </c>
      <c r="G6713" t="str">
        <v>-</v>
      </c>
    </row>
    <row r="6714">
      <c r="A6714">
        <v>6713</v>
      </c>
      <c r="B6714" t="str">
        <v>Công an xã Đức Thắng  tỉnh Bắc Giang</v>
      </c>
      <c r="C6714" t="str">
        <v>-</v>
      </c>
      <c r="D6714" t="str">
        <v>-</v>
      </c>
      <c r="E6714" t="str">
        <v/>
      </c>
      <c r="F6714" t="str">
        <v>-</v>
      </c>
      <c r="G6714" t="str">
        <v>-</v>
      </c>
    </row>
    <row r="6715">
      <c r="A6715">
        <v>6714</v>
      </c>
      <c r="B6715" t="str">
        <v>UBND Ủy ban nhân dân xã Đức Thắng  tỉnh Bắc Giang</v>
      </c>
      <c r="C6715" t="str">
        <v>-</v>
      </c>
      <c r="D6715" t="str">
        <v>-</v>
      </c>
      <c r="E6715" t="str">
        <v>-</v>
      </c>
      <c r="F6715" t="str">
        <v>-</v>
      </c>
      <c r="G6715" t="str">
        <v>-</v>
      </c>
    </row>
    <row r="6716">
      <c r="A6716">
        <v>6715</v>
      </c>
      <c r="B6716" t="str">
        <v>Công an xã Quang Minh  tỉnh Bắc Giang</v>
      </c>
      <c r="C6716" t="str">
        <v>-</v>
      </c>
      <c r="D6716" t="str">
        <v>-</v>
      </c>
      <c r="E6716" t="str">
        <v/>
      </c>
      <c r="F6716" t="str">
        <v>-</v>
      </c>
      <c r="G6716" t="str">
        <v>-</v>
      </c>
    </row>
    <row r="6717">
      <c r="A6717">
        <v>6716</v>
      </c>
      <c r="B6717" t="str">
        <v>UBND Ủy ban nhân dân xã Quang Minh  tỉnh Bắc Giang</v>
      </c>
      <c r="C6717" t="str">
        <v>-</v>
      </c>
      <c r="D6717" t="str">
        <v>-</v>
      </c>
      <c r="E6717" t="str">
        <v>-</v>
      </c>
      <c r="F6717" t="str">
        <v>-</v>
      </c>
      <c r="G6717" t="str">
        <v>-</v>
      </c>
    </row>
    <row r="6718">
      <c r="A6718">
        <v>6717</v>
      </c>
      <c r="B6718" t="str">
        <v>Công an xã Lương Phong  tỉnh Bắc Giang</v>
      </c>
      <c r="C6718" t="str">
        <v>-</v>
      </c>
      <c r="D6718" t="str">
        <v>-</v>
      </c>
      <c r="E6718" t="str">
        <v/>
      </c>
      <c r="F6718" t="str">
        <v>-</v>
      </c>
      <c r="G6718" t="str">
        <v>-</v>
      </c>
    </row>
    <row r="6719">
      <c r="A6719">
        <v>6718</v>
      </c>
      <c r="B6719" t="str">
        <v>UBND Ủy ban nhân dân xã Lương Phong  tỉnh Bắc Giang</v>
      </c>
      <c r="C6719" t="str">
        <v>-</v>
      </c>
      <c r="D6719" t="str">
        <v>-</v>
      </c>
      <c r="E6719" t="str">
        <v>-</v>
      </c>
      <c r="F6719" t="str">
        <v>-</v>
      </c>
      <c r="G6719" t="str">
        <v>-</v>
      </c>
    </row>
    <row r="6720">
      <c r="A6720">
        <v>6719</v>
      </c>
      <c r="B6720" t="str">
        <v>Công an xã Hùng Sơn  tỉnh Bắc Giang</v>
      </c>
      <c r="C6720" t="str">
        <v>-</v>
      </c>
      <c r="D6720" t="str">
        <v>-</v>
      </c>
      <c r="E6720" t="str">
        <v/>
      </c>
      <c r="F6720" t="str">
        <v>-</v>
      </c>
      <c r="G6720" t="str">
        <v>-</v>
      </c>
    </row>
    <row r="6721">
      <c r="A6721">
        <v>6720</v>
      </c>
      <c r="B6721" t="str">
        <v>UBND Ủy ban nhân dân xã Hùng Sơn  tỉnh Bắc Giang</v>
      </c>
      <c r="C6721" t="str">
        <v>-</v>
      </c>
      <c r="D6721" t="str">
        <v>-</v>
      </c>
      <c r="E6721" t="str">
        <v>-</v>
      </c>
      <c r="F6721" t="str">
        <v>-</v>
      </c>
      <c r="G6721" t="str">
        <v>-</v>
      </c>
    </row>
    <row r="6722">
      <c r="A6722">
        <v>6721</v>
      </c>
      <c r="B6722" t="str">
        <v>Công an xã Đại Thành  tỉnh Bắc Giang</v>
      </c>
      <c r="C6722" t="str">
        <v>-</v>
      </c>
      <c r="D6722" t="str">
        <v>-</v>
      </c>
      <c r="E6722" t="str">
        <v/>
      </c>
      <c r="F6722" t="str">
        <v>-</v>
      </c>
      <c r="G6722" t="str">
        <v>-</v>
      </c>
    </row>
    <row r="6723">
      <c r="A6723">
        <v>6722</v>
      </c>
      <c r="B6723" t="str">
        <v>UBND Ủy ban nhân dân xã Đại Thành  tỉnh Bắc Giang</v>
      </c>
      <c r="C6723" t="str">
        <v>-</v>
      </c>
      <c r="D6723" t="str">
        <v>-</v>
      </c>
      <c r="E6723" t="str">
        <v>-</v>
      </c>
      <c r="F6723" t="str">
        <v>-</v>
      </c>
      <c r="G6723" t="str">
        <v>-</v>
      </c>
    </row>
    <row r="6724">
      <c r="A6724">
        <v>6723</v>
      </c>
      <c r="B6724" t="str">
        <v>Công an xã Thường Thắng  tỉnh Bắc Giang</v>
      </c>
      <c r="C6724" t="str">
        <v>-</v>
      </c>
      <c r="D6724" t="str">
        <v>-</v>
      </c>
      <c r="E6724" t="str">
        <v/>
      </c>
      <c r="F6724" t="str">
        <v>-</v>
      </c>
      <c r="G6724" t="str">
        <v>-</v>
      </c>
    </row>
    <row r="6725">
      <c r="A6725">
        <v>6724</v>
      </c>
      <c r="B6725" t="str">
        <v>UBND Ủy ban nhân dân xã Thường Thắng  tỉnh Bắc Giang</v>
      </c>
      <c r="C6725" t="str">
        <v>-</v>
      </c>
      <c r="D6725" t="str">
        <v>-</v>
      </c>
      <c r="E6725" t="str">
        <v>-</v>
      </c>
      <c r="F6725" t="str">
        <v>-</v>
      </c>
      <c r="G6725" t="str">
        <v>-</v>
      </c>
    </row>
    <row r="6726">
      <c r="A6726">
        <v>6725</v>
      </c>
      <c r="B6726" t="str">
        <v>Công an xã Hợp Thịnh  tỉnh Bắc Giang</v>
      </c>
      <c r="C6726" t="str">
        <v>-</v>
      </c>
      <c r="D6726" t="str">
        <v>-</v>
      </c>
      <c r="E6726" t="str">
        <v/>
      </c>
      <c r="F6726" t="str">
        <v>-</v>
      </c>
      <c r="G6726" t="str">
        <v>-</v>
      </c>
    </row>
    <row r="6727">
      <c r="A6727">
        <v>6726</v>
      </c>
      <c r="B6727" t="str">
        <v>UBND Ủy ban nhân dân xã Hợp Thịnh  tỉnh Bắc Giang</v>
      </c>
      <c r="C6727" t="str">
        <v>-</v>
      </c>
      <c r="D6727" t="str">
        <v>-</v>
      </c>
      <c r="E6727" t="str">
        <v>-</v>
      </c>
      <c r="F6727" t="str">
        <v>-</v>
      </c>
      <c r="G6727" t="str">
        <v>-</v>
      </c>
    </row>
    <row r="6728">
      <c r="A6728">
        <v>6727</v>
      </c>
      <c r="B6728" t="str">
        <v>Công an xã Danh Thắng  tỉnh Bắc Giang</v>
      </c>
      <c r="C6728" t="str">
        <v>-</v>
      </c>
      <c r="D6728" t="str">
        <v>-</v>
      </c>
      <c r="E6728" t="str">
        <v/>
      </c>
      <c r="F6728" t="str">
        <v>-</v>
      </c>
      <c r="G6728" t="str">
        <v>-</v>
      </c>
    </row>
    <row r="6729">
      <c r="A6729">
        <v>6728</v>
      </c>
      <c r="B6729" t="str">
        <v>UBND Ủy ban nhân dân xã Danh Thắng  tỉnh Bắc Giang</v>
      </c>
      <c r="C6729" t="str">
        <v>-</v>
      </c>
      <c r="D6729" t="str">
        <v>-</v>
      </c>
      <c r="E6729" t="str">
        <v>-</v>
      </c>
      <c r="F6729" t="str">
        <v>-</v>
      </c>
      <c r="G6729" t="str">
        <v>-</v>
      </c>
    </row>
    <row r="6730">
      <c r="A6730">
        <v>6729</v>
      </c>
      <c r="B6730" t="str">
        <v>Công an xã Mai Trung  tỉnh Bắc Giang</v>
      </c>
      <c r="C6730" t="str">
        <v>-</v>
      </c>
      <c r="D6730" t="str">
        <v>-</v>
      </c>
      <c r="E6730" t="str">
        <v/>
      </c>
      <c r="F6730" t="str">
        <v>-</v>
      </c>
      <c r="G6730" t="str">
        <v>-</v>
      </c>
    </row>
    <row r="6731">
      <c r="A6731">
        <v>6730</v>
      </c>
      <c r="B6731" t="str">
        <v>UBND Ủy ban nhân dân xã Mai Trung  tỉnh Bắc Giang</v>
      </c>
      <c r="C6731" t="str">
        <v>-</v>
      </c>
      <c r="D6731" t="str">
        <v>-</v>
      </c>
      <c r="E6731" t="str">
        <v>-</v>
      </c>
      <c r="F6731" t="str">
        <v>-</v>
      </c>
      <c r="G6731" t="str">
        <v>-</v>
      </c>
    </row>
    <row r="6732">
      <c r="A6732">
        <v>6731</v>
      </c>
      <c r="B6732" t="str">
        <v>Công an xã Đoan Bái  tỉnh Bắc Giang</v>
      </c>
      <c r="C6732" t="str">
        <v>-</v>
      </c>
      <c r="D6732" t="str">
        <v>-</v>
      </c>
      <c r="E6732" t="str">
        <v/>
      </c>
      <c r="F6732" t="str">
        <v>-</v>
      </c>
      <c r="G6732" t="str">
        <v>-</v>
      </c>
    </row>
    <row r="6733">
      <c r="A6733">
        <v>6732</v>
      </c>
      <c r="B6733" t="str">
        <v>UBND Ủy ban nhân dân xã Đoan Bái  tỉnh Bắc Giang</v>
      </c>
      <c r="C6733" t="str">
        <v>-</v>
      </c>
      <c r="D6733" t="str">
        <v>-</v>
      </c>
      <c r="E6733" t="str">
        <v>-</v>
      </c>
      <c r="F6733" t="str">
        <v>-</v>
      </c>
      <c r="G6733" t="str">
        <v>-</v>
      </c>
    </row>
    <row r="6734">
      <c r="A6734">
        <v>6733</v>
      </c>
      <c r="B6734" t="str">
        <v>Công an xã Bắc Lý  tỉnh Bắc Giang</v>
      </c>
      <c r="C6734" t="str">
        <v>-</v>
      </c>
      <c r="D6734" t="str">
        <v>-</v>
      </c>
      <c r="E6734" t="str">
        <v/>
      </c>
      <c r="F6734" t="str">
        <v>-</v>
      </c>
      <c r="G6734" t="str">
        <v>-</v>
      </c>
    </row>
    <row r="6735">
      <c r="A6735">
        <v>6734</v>
      </c>
      <c r="B6735" t="str">
        <v>UBND Ủy ban nhân dân xã Bắc Lý  tỉnh Bắc Giang</v>
      </c>
      <c r="C6735" t="str">
        <v>-</v>
      </c>
      <c r="D6735" t="str">
        <v>-</v>
      </c>
      <c r="E6735" t="str">
        <v>-</v>
      </c>
      <c r="F6735" t="str">
        <v>-</v>
      </c>
      <c r="G6735" t="str">
        <v>-</v>
      </c>
    </row>
    <row r="6736">
      <c r="A6736">
        <v>6735</v>
      </c>
      <c r="B6736" t="str">
        <v>Công an xã Xuân Cẩm  tỉnh Bắc Giang</v>
      </c>
      <c r="C6736" t="str">
        <v>-</v>
      </c>
      <c r="D6736" t="str">
        <v>-</v>
      </c>
      <c r="E6736" t="str">
        <v/>
      </c>
      <c r="F6736" t="str">
        <v>-</v>
      </c>
      <c r="G6736" t="str">
        <v>-</v>
      </c>
    </row>
    <row r="6737">
      <c r="A6737">
        <v>6736</v>
      </c>
      <c r="B6737" t="str">
        <v>UBND Ủy ban nhân dân xã Xuân Cẩm  tỉnh Bắc Giang</v>
      </c>
      <c r="C6737" t="str">
        <v>-</v>
      </c>
      <c r="D6737" t="str">
        <v>-</v>
      </c>
      <c r="E6737" t="str">
        <v>-</v>
      </c>
      <c r="F6737" t="str">
        <v>-</v>
      </c>
      <c r="G6737" t="str">
        <v>-</v>
      </c>
    </row>
    <row r="6738">
      <c r="A6738">
        <v>6737</v>
      </c>
      <c r="B6738" t="str">
        <v>Công an xã Hương Lâm  tỉnh Bắc Giang</v>
      </c>
      <c r="C6738" t="str">
        <v>-</v>
      </c>
      <c r="D6738" t="str">
        <v>-</v>
      </c>
      <c r="E6738" t="str">
        <v/>
      </c>
      <c r="F6738" t="str">
        <v>-</v>
      </c>
      <c r="G6738" t="str">
        <v>-</v>
      </c>
    </row>
    <row r="6739">
      <c r="A6739">
        <v>6738</v>
      </c>
      <c r="B6739" t="str">
        <v>UBND Ủy ban nhân dân xã Hương Lâm  tỉnh Bắc Giang</v>
      </c>
      <c r="C6739" t="str">
        <v>-</v>
      </c>
      <c r="D6739" t="str">
        <v>-</v>
      </c>
      <c r="E6739" t="str">
        <v>-</v>
      </c>
      <c r="F6739" t="str">
        <v>-</v>
      </c>
      <c r="G6739" t="str">
        <v>-</v>
      </c>
    </row>
    <row r="6740">
      <c r="A6740">
        <v>6739</v>
      </c>
      <c r="B6740" t="str">
        <v>Công an xã Đông Lỗ  tỉnh Bắc Giang</v>
      </c>
      <c r="C6740" t="str">
        <v>-</v>
      </c>
      <c r="D6740" t="str">
        <v>-</v>
      </c>
      <c r="E6740" t="str">
        <v/>
      </c>
      <c r="F6740" t="str">
        <v>-</v>
      </c>
      <c r="G6740" t="str">
        <v>-</v>
      </c>
    </row>
    <row r="6741">
      <c r="A6741">
        <v>6740</v>
      </c>
      <c r="B6741" t="str">
        <v>UBND Ủy ban nhân dân xã Đông Lỗ  tỉnh Bắc Giang</v>
      </c>
      <c r="C6741" t="str">
        <v>-</v>
      </c>
      <c r="D6741" t="str">
        <v>-</v>
      </c>
      <c r="E6741" t="str">
        <v>-</v>
      </c>
      <c r="F6741" t="str">
        <v>-</v>
      </c>
      <c r="G6741" t="str">
        <v>-</v>
      </c>
    </row>
    <row r="6742">
      <c r="A6742">
        <v>6741</v>
      </c>
      <c r="B6742" t="str">
        <v>Công an xã Châu Minh  tỉnh Bắc Giang</v>
      </c>
      <c r="C6742" t="str">
        <v>-</v>
      </c>
      <c r="D6742" t="str">
        <v>-</v>
      </c>
      <c r="E6742" t="str">
        <v/>
      </c>
      <c r="F6742" t="str">
        <v>-</v>
      </c>
      <c r="G6742" t="str">
        <v>-</v>
      </c>
    </row>
    <row r="6743">
      <c r="A6743">
        <v>6742</v>
      </c>
      <c r="B6743" t="str">
        <v>UBND Ủy ban nhân dân xã Châu Minh  tỉnh Bắc Giang</v>
      </c>
      <c r="C6743" t="str">
        <v>-</v>
      </c>
      <c r="D6743" t="str">
        <v>-</v>
      </c>
      <c r="E6743" t="str">
        <v>-</v>
      </c>
      <c r="F6743" t="str">
        <v>-</v>
      </c>
      <c r="G6743" t="str">
        <v>-</v>
      </c>
    </row>
    <row r="6744">
      <c r="A6744">
        <v>6743</v>
      </c>
      <c r="B6744" t="str">
        <v>Công an xã Mai Đình  tỉnh Bắc Giang</v>
      </c>
      <c r="C6744" t="str">
        <v>-</v>
      </c>
      <c r="D6744" t="str">
        <v>-</v>
      </c>
      <c r="E6744" t="str">
        <v/>
      </c>
      <c r="F6744" t="str">
        <v>-</v>
      </c>
      <c r="G6744" t="str">
        <v>-</v>
      </c>
    </row>
    <row r="6745">
      <c r="A6745">
        <v>6744</v>
      </c>
      <c r="B6745" t="str">
        <v>UBND Ủy ban nhân dân xã Mai Đình  tỉnh Bắc Giang</v>
      </c>
      <c r="C6745" t="str">
        <v>-</v>
      </c>
      <c r="D6745" t="str">
        <v>-</v>
      </c>
      <c r="E6745" t="str">
        <v>-</v>
      </c>
      <c r="F6745" t="str">
        <v>-</v>
      </c>
      <c r="G6745" t="str">
        <v>-</v>
      </c>
    </row>
    <row r="6746">
      <c r="A6746">
        <v>6745</v>
      </c>
      <c r="B6746" t="str">
        <v>Công an phường Dữu Lâu  tỉnh Phú Thọ</v>
      </c>
      <c r="C6746" t="str">
        <v>-</v>
      </c>
      <c r="D6746" t="str">
        <v>-</v>
      </c>
      <c r="E6746" t="str">
        <v/>
      </c>
      <c r="F6746" t="str">
        <v>-</v>
      </c>
      <c r="G6746" t="str">
        <v>-</v>
      </c>
    </row>
    <row r="6747">
      <c r="A6747">
        <v>6746</v>
      </c>
      <c r="B6747" t="str">
        <v>UBND Ủy ban nhân dân phường Dữu Lâu  tỉnh Phú Thọ</v>
      </c>
      <c r="C6747" t="str">
        <v>-</v>
      </c>
      <c r="D6747" t="str">
        <v>-</v>
      </c>
      <c r="E6747" t="str">
        <v>-</v>
      </c>
      <c r="F6747" t="str">
        <v>-</v>
      </c>
      <c r="G6747" t="str">
        <v>-</v>
      </c>
    </row>
    <row r="6748">
      <c r="A6748">
        <v>6747</v>
      </c>
      <c r="B6748" t="str">
        <v>Công an phường Vân Cơ  tỉnh Phú Thọ</v>
      </c>
      <c r="C6748" t="str">
        <v>-</v>
      </c>
      <c r="D6748" t="str">
        <v>-</v>
      </c>
      <c r="E6748" t="str">
        <v/>
      </c>
      <c r="F6748" t="str">
        <v>-</v>
      </c>
      <c r="G6748" t="str">
        <v>-</v>
      </c>
    </row>
    <row r="6749">
      <c r="A6749">
        <v>6748</v>
      </c>
      <c r="B6749" t="str">
        <v>UBND Ủy ban nhân dân phường Vân Cơ  tỉnh Phú Thọ</v>
      </c>
      <c r="C6749" t="str">
        <v>-</v>
      </c>
      <c r="D6749" t="str">
        <v>-</v>
      </c>
      <c r="E6749" t="str">
        <v>-</v>
      </c>
      <c r="F6749" t="str">
        <v>-</v>
      </c>
      <c r="G6749" t="str">
        <v>-</v>
      </c>
    </row>
    <row r="6750">
      <c r="A6750">
        <v>6749</v>
      </c>
      <c r="B6750" t="str">
        <v>Công an phường Nông Trang  tỉnh Phú Thọ</v>
      </c>
      <c r="C6750" t="str">
        <v>-</v>
      </c>
      <c r="D6750" t="str">
        <v>-</v>
      </c>
      <c r="E6750" t="str">
        <v/>
      </c>
      <c r="F6750" t="str">
        <v>-</v>
      </c>
      <c r="G6750" t="str">
        <v>-</v>
      </c>
    </row>
    <row r="6751">
      <c r="A6751">
        <v>6750</v>
      </c>
      <c r="B6751" t="str">
        <v>UBND Ủy ban nhân dân phường Nông Trang  tỉnh Phú Thọ</v>
      </c>
      <c r="C6751" t="str">
        <v>-</v>
      </c>
      <c r="D6751" t="str">
        <v>-</v>
      </c>
      <c r="E6751" t="str">
        <v>-</v>
      </c>
      <c r="F6751" t="str">
        <v>-</v>
      </c>
      <c r="G6751" t="str">
        <v>-</v>
      </c>
    </row>
    <row r="6752">
      <c r="A6752">
        <v>6751</v>
      </c>
      <c r="B6752" t="str">
        <v>Công an phường Tân Dân  tỉnh Phú Thọ</v>
      </c>
      <c r="C6752" t="str">
        <v>-</v>
      </c>
      <c r="D6752" t="str">
        <v>-</v>
      </c>
      <c r="E6752" t="str">
        <v/>
      </c>
      <c r="F6752" t="str">
        <v>-</v>
      </c>
      <c r="G6752" t="str">
        <v>-</v>
      </c>
    </row>
    <row r="6753">
      <c r="A6753">
        <v>6752</v>
      </c>
      <c r="B6753" t="str">
        <v>UBND Ủy ban nhân dân phường Tân Dân  tỉnh Phú Thọ</v>
      </c>
      <c r="C6753" t="str">
        <v>-</v>
      </c>
      <c r="D6753" t="str">
        <v>-</v>
      </c>
      <c r="E6753" t="str">
        <v>-</v>
      </c>
      <c r="F6753" t="str">
        <v>-</v>
      </c>
      <c r="G6753" t="str">
        <v>-</v>
      </c>
    </row>
    <row r="6754">
      <c r="A6754">
        <v>6753</v>
      </c>
      <c r="B6754" t="str">
        <v>Công an phường Gia Cẩm  tỉnh Phú Thọ</v>
      </c>
      <c r="C6754" t="str">
        <v>-</v>
      </c>
      <c r="D6754" t="str">
        <v>-</v>
      </c>
      <c r="E6754" t="str">
        <v/>
      </c>
      <c r="F6754" t="str">
        <v>-</v>
      </c>
      <c r="G6754" t="str">
        <v>-</v>
      </c>
    </row>
    <row r="6755">
      <c r="A6755">
        <v>6754</v>
      </c>
      <c r="B6755" t="str">
        <v>UBND Ủy ban nhân dân phường Gia Cẩm  tỉnh Phú Thọ</v>
      </c>
      <c r="C6755" t="str">
        <v>-</v>
      </c>
      <c r="D6755" t="str">
        <v>-</v>
      </c>
      <c r="E6755" t="str">
        <v>-</v>
      </c>
      <c r="F6755" t="str">
        <v>-</v>
      </c>
      <c r="G6755" t="str">
        <v>-</v>
      </c>
    </row>
    <row r="6756">
      <c r="A6756">
        <v>6755</v>
      </c>
      <c r="B6756" t="str">
        <v>Công an phường Tiên Cát  tỉnh Phú Thọ</v>
      </c>
      <c r="C6756" t="str">
        <v>-</v>
      </c>
      <c r="D6756" t="str">
        <v>-</v>
      </c>
      <c r="E6756" t="str">
        <v/>
      </c>
      <c r="F6756" t="str">
        <v>-</v>
      </c>
      <c r="G6756" t="str">
        <v>-</v>
      </c>
    </row>
    <row r="6757">
      <c r="A6757">
        <v>6756</v>
      </c>
      <c r="B6757" t="str">
        <v>UBND Ủy ban nhân dân phường Tiên Cát  tỉnh Phú Thọ</v>
      </c>
      <c r="C6757" t="str">
        <v>-</v>
      </c>
      <c r="D6757" t="str">
        <v>-</v>
      </c>
      <c r="E6757" t="str">
        <v>-</v>
      </c>
      <c r="F6757" t="str">
        <v>-</v>
      </c>
      <c r="G6757" t="str">
        <v>-</v>
      </c>
    </row>
    <row r="6758">
      <c r="A6758">
        <v>6757</v>
      </c>
      <c r="B6758" t="str">
        <v>Công an phường Thọ Sơn  tỉnh Phú Thọ</v>
      </c>
      <c r="C6758" t="str">
        <v>-</v>
      </c>
      <c r="D6758" t="str">
        <v>-</v>
      </c>
      <c r="E6758" t="str">
        <v/>
      </c>
      <c r="F6758" t="str">
        <v>-</v>
      </c>
      <c r="G6758" t="str">
        <v>-</v>
      </c>
    </row>
    <row r="6759">
      <c r="A6759">
        <v>6758</v>
      </c>
      <c r="B6759" t="str">
        <v>UBND Ủy ban nhân dân phường Thọ Sơn  tỉnh Phú Thọ</v>
      </c>
      <c r="C6759" t="str">
        <v>-</v>
      </c>
      <c r="D6759" t="str">
        <v>-</v>
      </c>
      <c r="E6759" t="str">
        <v>-</v>
      </c>
      <c r="F6759" t="str">
        <v>-</v>
      </c>
      <c r="G6759" t="str">
        <v>-</v>
      </c>
    </row>
    <row r="6760">
      <c r="A6760">
        <v>6759</v>
      </c>
      <c r="B6760" t="str">
        <v>Công an phường Thanh Miếu  tỉnh Phú Thọ</v>
      </c>
      <c r="C6760" t="str">
        <v>-</v>
      </c>
      <c r="D6760" t="str">
        <v>-</v>
      </c>
      <c r="E6760" t="str">
        <v/>
      </c>
      <c r="F6760" t="str">
        <v>-</v>
      </c>
      <c r="G6760" t="str">
        <v>-</v>
      </c>
    </row>
    <row r="6761">
      <c r="A6761">
        <v>6760</v>
      </c>
      <c r="B6761" t="str">
        <v>UBND Ủy ban nhân dân phường Thanh Miếu  tỉnh Phú Thọ</v>
      </c>
      <c r="C6761" t="str">
        <v>-</v>
      </c>
      <c r="D6761" t="str">
        <v>-</v>
      </c>
      <c r="E6761" t="str">
        <v>-</v>
      </c>
      <c r="F6761" t="str">
        <v>-</v>
      </c>
      <c r="G6761" t="str">
        <v>-</v>
      </c>
    </row>
    <row r="6762">
      <c r="A6762">
        <v>6761</v>
      </c>
      <c r="B6762" t="str">
        <v>Công an phường Bạch Hạc  tỉnh Phú Thọ</v>
      </c>
      <c r="C6762" t="str">
        <v>-</v>
      </c>
      <c r="D6762" t="str">
        <v>-</v>
      </c>
      <c r="E6762" t="str">
        <v/>
      </c>
      <c r="F6762" t="str">
        <v>-</v>
      </c>
      <c r="G6762" t="str">
        <v>-</v>
      </c>
    </row>
    <row r="6763">
      <c r="A6763">
        <v>6762</v>
      </c>
      <c r="B6763" t="str">
        <v>UBND Ủy ban nhân dân phường Bạch Hạc  tỉnh Phú Thọ</v>
      </c>
      <c r="C6763" t="str">
        <v>-</v>
      </c>
      <c r="D6763" t="str">
        <v>-</v>
      </c>
      <c r="E6763" t="str">
        <v>-</v>
      </c>
      <c r="F6763" t="str">
        <v>-</v>
      </c>
      <c r="G6763" t="str">
        <v>-</v>
      </c>
    </row>
    <row r="6764">
      <c r="A6764">
        <v>6763</v>
      </c>
      <c r="B6764" t="str">
        <v>Công an phường Bến Gót  tỉnh Phú Thọ</v>
      </c>
      <c r="C6764" t="str">
        <v>-</v>
      </c>
      <c r="D6764" t="str">
        <v>-</v>
      </c>
      <c r="E6764" t="str">
        <v/>
      </c>
      <c r="F6764" t="str">
        <v>-</v>
      </c>
      <c r="G6764" t="str">
        <v>-</v>
      </c>
    </row>
    <row r="6765">
      <c r="A6765">
        <v>6764</v>
      </c>
      <c r="B6765" t="str">
        <v>UBND Ủy ban nhân dân phường Bến Gót  tỉnh Phú Thọ</v>
      </c>
      <c r="C6765" t="str">
        <v>-</v>
      </c>
      <c r="D6765" t="str">
        <v>-</v>
      </c>
      <c r="E6765" t="str">
        <v>-</v>
      </c>
      <c r="F6765" t="str">
        <v>-</v>
      </c>
      <c r="G6765" t="str">
        <v>-</v>
      </c>
    </row>
    <row r="6766">
      <c r="A6766">
        <v>6765</v>
      </c>
      <c r="B6766" t="str">
        <v>Công an phường Vân Phú  tỉnh Phú Thọ</v>
      </c>
      <c r="C6766" t="str">
        <v>-</v>
      </c>
      <c r="D6766" t="str">
        <v>-</v>
      </c>
      <c r="E6766" t="str">
        <v/>
      </c>
      <c r="F6766" t="str">
        <v>-</v>
      </c>
      <c r="G6766" t="str">
        <v>-</v>
      </c>
    </row>
    <row r="6767">
      <c r="A6767">
        <v>6766</v>
      </c>
      <c r="B6767" t="str">
        <v>UBND Ủy ban nhân dân phường Vân Phú  tỉnh Phú Thọ</v>
      </c>
      <c r="C6767" t="str">
        <v>-</v>
      </c>
      <c r="D6767" t="str">
        <v>-</v>
      </c>
      <c r="E6767" t="str">
        <v>-</v>
      </c>
      <c r="F6767" t="str">
        <v>-</v>
      </c>
      <c r="G6767" t="str">
        <v>-</v>
      </c>
    </row>
    <row r="6768">
      <c r="A6768">
        <v>6767</v>
      </c>
      <c r="B6768" t="str">
        <v>Công an xã Phượng Lâu  tỉnh Phú Thọ</v>
      </c>
      <c r="C6768" t="str">
        <v>-</v>
      </c>
      <c r="D6768" t="str">
        <v>-</v>
      </c>
      <c r="E6768" t="str">
        <v/>
      </c>
      <c r="F6768" t="str">
        <v>-</v>
      </c>
      <c r="G6768" t="str">
        <v>-</v>
      </c>
    </row>
    <row r="6769">
      <c r="A6769">
        <v>6768</v>
      </c>
      <c r="B6769" t="str">
        <v>UBND Ủy ban nhân dân xã Phượng Lâu  tỉnh Phú Thọ</v>
      </c>
      <c r="C6769" t="str">
        <v>-</v>
      </c>
      <c r="D6769" t="str">
        <v>-</v>
      </c>
      <c r="E6769" t="str">
        <v>-</v>
      </c>
      <c r="F6769" t="str">
        <v>-</v>
      </c>
      <c r="G6769" t="str">
        <v>-</v>
      </c>
    </row>
    <row r="6770">
      <c r="A6770">
        <v>6769</v>
      </c>
      <c r="B6770" t="str">
        <v>Công an xã Thụy Vân  tỉnh Phú Thọ</v>
      </c>
      <c r="C6770" t="str">
        <v>-</v>
      </c>
      <c r="D6770" t="str">
        <v>-</v>
      </c>
      <c r="E6770" t="str">
        <v/>
      </c>
      <c r="F6770" t="str">
        <v>-</v>
      </c>
      <c r="G6770" t="str">
        <v>-</v>
      </c>
    </row>
    <row r="6771">
      <c r="A6771">
        <v>6770</v>
      </c>
      <c r="B6771" t="str">
        <v>UBND Ủy ban nhân dân xã Thụy Vân  tỉnh Phú Thọ</v>
      </c>
      <c r="C6771" t="str">
        <v>-</v>
      </c>
      <c r="D6771" t="str">
        <v>-</v>
      </c>
      <c r="E6771" t="str">
        <v>-</v>
      </c>
      <c r="F6771" t="str">
        <v>-</v>
      </c>
      <c r="G6771" t="str">
        <v>-</v>
      </c>
    </row>
    <row r="6772">
      <c r="A6772">
        <v>6771</v>
      </c>
      <c r="B6772" t="str">
        <v>Công an phường Minh Phương  tỉnh Phú Thọ</v>
      </c>
      <c r="C6772" t="str">
        <v>-</v>
      </c>
      <c r="D6772" t="str">
        <v>-</v>
      </c>
      <c r="E6772" t="str">
        <v/>
      </c>
      <c r="F6772" t="str">
        <v>-</v>
      </c>
      <c r="G6772" t="str">
        <v>-</v>
      </c>
    </row>
    <row r="6773">
      <c r="A6773">
        <v>6772</v>
      </c>
      <c r="B6773" t="str">
        <v>UBND Ủy ban nhân dân phường Minh Phương  tỉnh Phú Thọ</v>
      </c>
      <c r="C6773" t="str">
        <v>-</v>
      </c>
      <c r="D6773" t="str">
        <v>-</v>
      </c>
      <c r="E6773" t="str">
        <v>-</v>
      </c>
      <c r="F6773" t="str">
        <v>-</v>
      </c>
      <c r="G6773" t="str">
        <v>-</v>
      </c>
    </row>
    <row r="6774">
      <c r="A6774">
        <v>6773</v>
      </c>
      <c r="B6774" t="str">
        <v>Công an xã Trưng Vương  tỉnh Phú Thọ</v>
      </c>
      <c r="C6774" t="str">
        <v>-</v>
      </c>
      <c r="D6774" t="str">
        <v>-</v>
      </c>
      <c r="E6774" t="str">
        <v/>
      </c>
      <c r="F6774" t="str">
        <v>-</v>
      </c>
      <c r="G6774" t="str">
        <v>-</v>
      </c>
    </row>
    <row r="6775">
      <c r="A6775">
        <v>6774</v>
      </c>
      <c r="B6775" t="str">
        <v>UBND Ủy ban nhân dân xã Trưng Vương  tỉnh Phú Thọ</v>
      </c>
      <c r="C6775" t="str">
        <v>-</v>
      </c>
      <c r="D6775" t="str">
        <v>-</v>
      </c>
      <c r="E6775" t="str">
        <v>-</v>
      </c>
      <c r="F6775" t="str">
        <v>-</v>
      </c>
      <c r="G6775" t="str">
        <v>-</v>
      </c>
    </row>
    <row r="6776">
      <c r="A6776">
        <v>6775</v>
      </c>
      <c r="B6776" t="str">
        <v>Công an phường Minh Nông  tỉnh Phú Thọ</v>
      </c>
      <c r="C6776" t="str">
        <v>-</v>
      </c>
      <c r="D6776" t="str">
        <v>-</v>
      </c>
      <c r="E6776" t="str">
        <v/>
      </c>
      <c r="F6776" t="str">
        <v>-</v>
      </c>
      <c r="G6776" t="str">
        <v>-</v>
      </c>
    </row>
    <row r="6777">
      <c r="A6777">
        <v>6776</v>
      </c>
      <c r="B6777" t="str">
        <v>UBND Ủy ban nhân dân phường Minh Nông  tỉnh Phú Thọ</v>
      </c>
      <c r="C6777" t="str">
        <v>-</v>
      </c>
      <c r="D6777" t="str">
        <v>-</v>
      </c>
      <c r="E6777" t="str">
        <v>-</v>
      </c>
      <c r="F6777" t="str">
        <v>-</v>
      </c>
      <c r="G6777" t="str">
        <v>-</v>
      </c>
    </row>
    <row r="6778">
      <c r="A6778">
        <v>6777</v>
      </c>
      <c r="B6778" t="str">
        <v>Công an xã Sông Lô  tỉnh Phú Thọ</v>
      </c>
      <c r="C6778" t="str">
        <v>-</v>
      </c>
      <c r="D6778" t="str">
        <v>-</v>
      </c>
      <c r="E6778" t="str">
        <v/>
      </c>
      <c r="F6778" t="str">
        <v>-</v>
      </c>
      <c r="G6778" t="str">
        <v>-</v>
      </c>
    </row>
    <row r="6779">
      <c r="A6779">
        <v>6778</v>
      </c>
      <c r="B6779" t="str">
        <v>UBND Ủy ban nhân dân xã Sông Lô  tỉnh Phú Thọ</v>
      </c>
      <c r="C6779" t="str">
        <v>-</v>
      </c>
      <c r="D6779" t="str">
        <v>-</v>
      </c>
      <c r="E6779" t="str">
        <v>-</v>
      </c>
      <c r="F6779" t="str">
        <v>-</v>
      </c>
      <c r="G6779" t="str">
        <v>-</v>
      </c>
    </row>
    <row r="6780">
      <c r="A6780">
        <v>6779</v>
      </c>
      <c r="B6780" t="str">
        <v>Công an xã Kim Đức  tỉnh Phú Thọ</v>
      </c>
      <c r="C6780" t="str">
        <v>-</v>
      </c>
      <c r="D6780" t="str">
        <v>-</v>
      </c>
      <c r="E6780" t="str">
        <v/>
      </c>
      <c r="F6780" t="str">
        <v>-</v>
      </c>
      <c r="G6780" t="str">
        <v>-</v>
      </c>
    </row>
    <row r="6781">
      <c r="A6781">
        <v>6780</v>
      </c>
      <c r="B6781" t="str">
        <v>UBND Ủy ban nhân dân xã Kim Đức  tỉnh Phú Thọ</v>
      </c>
      <c r="C6781" t="str">
        <v>-</v>
      </c>
      <c r="D6781" t="str">
        <v>-</v>
      </c>
      <c r="E6781" t="str">
        <v>-</v>
      </c>
      <c r="F6781" t="str">
        <v>-</v>
      </c>
      <c r="G6781" t="str">
        <v>-</v>
      </c>
    </row>
    <row r="6782">
      <c r="A6782">
        <v>6781</v>
      </c>
      <c r="B6782" t="str">
        <v>Công an xã Hùng Lô  tỉnh Phú Thọ</v>
      </c>
      <c r="C6782" t="str">
        <v>-</v>
      </c>
      <c r="D6782" t="str">
        <v>-</v>
      </c>
      <c r="E6782" t="str">
        <v/>
      </c>
      <c r="F6782" t="str">
        <v>-</v>
      </c>
      <c r="G6782" t="str">
        <v>-</v>
      </c>
    </row>
    <row r="6783">
      <c r="A6783">
        <v>6782</v>
      </c>
      <c r="B6783" t="str">
        <v>UBND Ủy ban nhân dân xã Hùng Lô  tỉnh Phú Thọ</v>
      </c>
      <c r="C6783" t="str">
        <v>-</v>
      </c>
      <c r="D6783" t="str">
        <v>-</v>
      </c>
      <c r="E6783" t="str">
        <v>-</v>
      </c>
      <c r="F6783" t="str">
        <v>-</v>
      </c>
      <c r="G6783" t="str">
        <v>-</v>
      </c>
    </row>
    <row r="6784">
      <c r="A6784">
        <v>6783</v>
      </c>
      <c r="B6784" t="str">
        <v>Công an xã Hy Cương  tỉnh Phú Thọ</v>
      </c>
      <c r="C6784" t="str">
        <v>-</v>
      </c>
      <c r="D6784" t="str">
        <v>-</v>
      </c>
      <c r="E6784" t="str">
        <v/>
      </c>
      <c r="F6784" t="str">
        <v>-</v>
      </c>
      <c r="G6784" t="str">
        <v>-</v>
      </c>
    </row>
    <row r="6785">
      <c r="A6785">
        <v>6784</v>
      </c>
      <c r="B6785" t="str">
        <v>UBND Ủy ban nhân dân xã Hy Cương  tỉnh Phú Thọ</v>
      </c>
      <c r="C6785" t="str">
        <v>-</v>
      </c>
      <c r="D6785" t="str">
        <v>-</v>
      </c>
      <c r="E6785" t="str">
        <v>-</v>
      </c>
      <c r="F6785" t="str">
        <v>-</v>
      </c>
      <c r="G6785" t="str">
        <v>-</v>
      </c>
    </row>
    <row r="6786">
      <c r="A6786">
        <v>6785</v>
      </c>
      <c r="B6786" t="str">
        <v>Công an xã Chu Hóa  tỉnh Phú Thọ</v>
      </c>
      <c r="C6786" t="str">
        <v>-</v>
      </c>
      <c r="D6786" t="str">
        <v>-</v>
      </c>
      <c r="E6786" t="str">
        <v/>
      </c>
      <c r="F6786" t="str">
        <v>-</v>
      </c>
      <c r="G6786" t="str">
        <v>-</v>
      </c>
    </row>
    <row r="6787">
      <c r="A6787">
        <v>6786</v>
      </c>
      <c r="B6787" t="str">
        <v>UBND Ủy ban nhân dân xã Chu Hóa  tỉnh Phú Thọ</v>
      </c>
      <c r="C6787" t="str">
        <v>-</v>
      </c>
      <c r="D6787" t="str">
        <v>-</v>
      </c>
      <c r="E6787" t="str">
        <v>-</v>
      </c>
      <c r="F6787" t="str">
        <v>-</v>
      </c>
      <c r="G6787" t="str">
        <v>-</v>
      </c>
    </row>
    <row r="6788">
      <c r="A6788">
        <v>6787</v>
      </c>
      <c r="B6788" t="str">
        <v>Công an xã Thanh Đình  tỉnh Phú Thọ</v>
      </c>
      <c r="C6788" t="str">
        <v>-</v>
      </c>
      <c r="D6788" t="str">
        <v>-</v>
      </c>
      <c r="E6788" t="str">
        <v/>
      </c>
      <c r="F6788" t="str">
        <v>-</v>
      </c>
      <c r="G6788" t="str">
        <v>-</v>
      </c>
    </row>
    <row r="6789">
      <c r="A6789">
        <v>6788</v>
      </c>
      <c r="B6789" t="str">
        <v>UBND Ủy ban nhân dân xã Thanh Đình  tỉnh Phú Thọ</v>
      </c>
      <c r="C6789" t="str">
        <v>-</v>
      </c>
      <c r="D6789" t="str">
        <v>-</v>
      </c>
      <c r="E6789" t="str">
        <v>-</v>
      </c>
      <c r="F6789" t="str">
        <v>-</v>
      </c>
      <c r="G6789" t="str">
        <v>-</v>
      </c>
    </row>
    <row r="6790">
      <c r="A6790">
        <v>6789</v>
      </c>
      <c r="B6790" t="str">
        <v>Công an xã Tân Đức  tỉnh Phú Thọ</v>
      </c>
      <c r="C6790" t="str">
        <v>-</v>
      </c>
      <c r="D6790" t="str">
        <v>-</v>
      </c>
      <c r="E6790" t="str">
        <v/>
      </c>
      <c r="F6790" t="str">
        <v>-</v>
      </c>
      <c r="G6790" t="str">
        <v>-</v>
      </c>
    </row>
    <row r="6791">
      <c r="A6791">
        <v>6790</v>
      </c>
      <c r="B6791" t="str">
        <v>UBND Ủy ban nhân dân xã Tân Đức  tỉnh Phú Thọ</v>
      </c>
      <c r="C6791" t="str">
        <v>-</v>
      </c>
      <c r="D6791" t="str">
        <v>-</v>
      </c>
      <c r="E6791" t="str">
        <v>-</v>
      </c>
      <c r="F6791" t="str">
        <v>-</v>
      </c>
      <c r="G6791" t="str">
        <v>-</v>
      </c>
    </row>
    <row r="6792">
      <c r="A6792">
        <v>6791</v>
      </c>
      <c r="B6792" t="str">
        <v>Công an phường Trường Thịnh  tỉnh Phú Thọ</v>
      </c>
      <c r="C6792" t="str">
        <v>-</v>
      </c>
      <c r="D6792" t="str">
        <v>-</v>
      </c>
      <c r="E6792" t="str">
        <v/>
      </c>
      <c r="F6792" t="str">
        <v>-</v>
      </c>
      <c r="G6792" t="str">
        <v>-</v>
      </c>
    </row>
    <row r="6793">
      <c r="A6793">
        <v>6792</v>
      </c>
      <c r="B6793" t="str">
        <v>UBND Ủy ban nhân dân phường Trường Thịnh  tỉnh Phú Thọ</v>
      </c>
      <c r="C6793" t="str">
        <v>-</v>
      </c>
      <c r="D6793" t="str">
        <v>-</v>
      </c>
      <c r="E6793" t="str">
        <v>-</v>
      </c>
      <c r="F6793" t="str">
        <v>-</v>
      </c>
      <c r="G6793" t="str">
        <v>-</v>
      </c>
    </row>
    <row r="6794">
      <c r="A6794">
        <v>6793</v>
      </c>
      <c r="B6794" t="str">
        <v>Công an phường Hùng Vương  tỉnh Phú Thọ</v>
      </c>
      <c r="C6794" t="str">
        <v>-</v>
      </c>
      <c r="D6794" t="str">
        <v>-</v>
      </c>
      <c r="E6794" t="str">
        <v/>
      </c>
      <c r="F6794" t="str">
        <v>-</v>
      </c>
      <c r="G6794" t="str">
        <v>-</v>
      </c>
    </row>
    <row r="6795">
      <c r="A6795">
        <v>6794</v>
      </c>
      <c r="B6795" t="str">
        <v>UBND Ủy ban nhân dân phường Hùng Vương  tỉnh Phú Thọ</v>
      </c>
      <c r="C6795" t="str">
        <v>-</v>
      </c>
      <c r="D6795" t="str">
        <v>-</v>
      </c>
      <c r="E6795" t="str">
        <v>-</v>
      </c>
      <c r="F6795" t="str">
        <v>-</v>
      </c>
      <c r="G6795" t="str">
        <v>-</v>
      </c>
    </row>
    <row r="6796">
      <c r="A6796">
        <v>6795</v>
      </c>
      <c r="B6796" t="str">
        <v>Công an phường Phong Châu  tỉnh Phú Thọ</v>
      </c>
      <c r="C6796" t="str">
        <v>-</v>
      </c>
      <c r="D6796" t="str">
        <v>-</v>
      </c>
      <c r="E6796" t="str">
        <v/>
      </c>
      <c r="F6796" t="str">
        <v>-</v>
      </c>
      <c r="G6796" t="str">
        <v>-</v>
      </c>
    </row>
    <row r="6797">
      <c r="A6797">
        <v>6796</v>
      </c>
      <c r="B6797" t="str">
        <v>UBND Ủy ban nhân dân phường Phong Châu  tỉnh Phú Thọ</v>
      </c>
      <c r="C6797" t="str">
        <v>-</v>
      </c>
      <c r="D6797" t="str">
        <v>-</v>
      </c>
      <c r="E6797" t="str">
        <v>-</v>
      </c>
      <c r="F6797" t="str">
        <v>-</v>
      </c>
      <c r="G6797" t="str">
        <v>-</v>
      </c>
    </row>
    <row r="6798">
      <c r="A6798">
        <v>6797</v>
      </c>
      <c r="B6798" t="str">
        <v>Công an phường Âu Cơ  tỉnh Phú Thọ</v>
      </c>
      <c r="C6798" t="str">
        <v>-</v>
      </c>
      <c r="D6798" t="str">
        <v>-</v>
      </c>
      <c r="E6798" t="str">
        <v/>
      </c>
      <c r="F6798" t="str">
        <v>-</v>
      </c>
      <c r="G6798" t="str">
        <v>-</v>
      </c>
    </row>
    <row r="6799">
      <c r="A6799">
        <v>6798</v>
      </c>
      <c r="B6799" t="str">
        <v>UBND Ủy ban nhân dân phường Âu Cơ  tỉnh Phú Thọ</v>
      </c>
      <c r="C6799" t="str">
        <v>-</v>
      </c>
      <c r="D6799" t="str">
        <v>-</v>
      </c>
      <c r="E6799" t="str">
        <v>-</v>
      </c>
      <c r="F6799" t="str">
        <v>-</v>
      </c>
      <c r="G6799" t="str">
        <v>-</v>
      </c>
    </row>
    <row r="6800">
      <c r="A6800">
        <v>6799</v>
      </c>
      <c r="B6800" t="str">
        <v>Công an xã Hà Lộc  tỉnh Phú Thọ</v>
      </c>
      <c r="C6800" t="str">
        <v>-</v>
      </c>
      <c r="D6800" t="str">
        <v>-</v>
      </c>
      <c r="E6800" t="str">
        <v/>
      </c>
      <c r="F6800" t="str">
        <v>-</v>
      </c>
      <c r="G6800" t="str">
        <v>-</v>
      </c>
    </row>
    <row r="6801">
      <c r="A6801">
        <v>6800</v>
      </c>
      <c r="B6801" t="str">
        <v>UBND Ủy ban nhân dân xã Hà Lộc  tỉnh Phú Thọ</v>
      </c>
      <c r="C6801" t="str">
        <v>-</v>
      </c>
      <c r="D6801" t="str">
        <v>-</v>
      </c>
      <c r="E6801" t="str">
        <v>-</v>
      </c>
      <c r="F6801" t="str">
        <v>-</v>
      </c>
      <c r="G6801" t="str">
        <v>-</v>
      </c>
    </row>
    <row r="6802">
      <c r="A6802">
        <v>6801</v>
      </c>
      <c r="B6802" t="str">
        <v>Công an xã Phú Hộ  tỉnh Phú Thọ</v>
      </c>
      <c r="C6802" t="str">
        <v>-</v>
      </c>
      <c r="D6802" t="str">
        <v>-</v>
      </c>
      <c r="E6802" t="str">
        <v/>
      </c>
      <c r="F6802" t="str">
        <v>-</v>
      </c>
      <c r="G6802" t="str">
        <v>-</v>
      </c>
    </row>
    <row r="6803">
      <c r="A6803">
        <v>6802</v>
      </c>
      <c r="B6803" t="str">
        <v>UBND Ủy ban nhân dân xã Phú Hộ  tỉnh Phú Thọ</v>
      </c>
      <c r="C6803" t="str">
        <v>-</v>
      </c>
      <c r="D6803" t="str">
        <v>-</v>
      </c>
      <c r="E6803" t="str">
        <v>-</v>
      </c>
      <c r="F6803" t="str">
        <v>-</v>
      </c>
      <c r="G6803" t="str">
        <v>-</v>
      </c>
    </row>
    <row r="6804">
      <c r="A6804">
        <v>6803</v>
      </c>
      <c r="B6804" t="str">
        <v>Công an xã Văn Lung  tỉnh Phú Thọ</v>
      </c>
      <c r="C6804" t="str">
        <v>-</v>
      </c>
      <c r="D6804" t="str">
        <v>-</v>
      </c>
      <c r="E6804" t="str">
        <v/>
      </c>
      <c r="F6804" t="str">
        <v>-</v>
      </c>
      <c r="G6804" t="str">
        <v>-</v>
      </c>
    </row>
    <row r="6805">
      <c r="A6805">
        <v>6804</v>
      </c>
      <c r="B6805" t="str">
        <v>UBND Ủy ban nhân dân xã Văn Lung  tỉnh Phú Thọ</v>
      </c>
      <c r="C6805" t="str">
        <v>-</v>
      </c>
      <c r="D6805" t="str">
        <v>-</v>
      </c>
      <c r="E6805" t="str">
        <v>-</v>
      </c>
      <c r="F6805" t="str">
        <v>-</v>
      </c>
      <c r="G6805" t="str">
        <v>-</v>
      </c>
    </row>
    <row r="6806">
      <c r="A6806">
        <v>6805</v>
      </c>
      <c r="B6806" t="str">
        <v>Công an xã Thanh Minh  tỉnh Phú Thọ</v>
      </c>
      <c r="C6806" t="str">
        <v>-</v>
      </c>
      <c r="D6806" t="str">
        <v>-</v>
      </c>
      <c r="E6806" t="str">
        <v/>
      </c>
      <c r="F6806" t="str">
        <v>-</v>
      </c>
      <c r="G6806" t="str">
        <v>-</v>
      </c>
    </row>
    <row r="6807">
      <c r="A6807">
        <v>6806</v>
      </c>
      <c r="B6807" t="str">
        <v>UBND Ủy ban nhân dân xã Thanh Minh  tỉnh Phú Thọ</v>
      </c>
      <c r="C6807" t="str">
        <v>-</v>
      </c>
      <c r="D6807" t="str">
        <v>-</v>
      </c>
      <c r="E6807" t="str">
        <v>-</v>
      </c>
      <c r="F6807" t="str">
        <v>-</v>
      </c>
      <c r="G6807" t="str">
        <v>-</v>
      </c>
    </row>
    <row r="6808">
      <c r="A6808">
        <v>6807</v>
      </c>
      <c r="B6808" t="str">
        <v>Công an xã Hà Thạch  tỉnh Phú Thọ</v>
      </c>
      <c r="C6808" t="str">
        <v>-</v>
      </c>
      <c r="D6808" t="str">
        <v>-</v>
      </c>
      <c r="E6808" t="str">
        <v/>
      </c>
      <c r="F6808" t="str">
        <v>-</v>
      </c>
      <c r="G6808" t="str">
        <v>-</v>
      </c>
    </row>
    <row r="6809">
      <c r="A6809">
        <v>6808</v>
      </c>
      <c r="B6809" t="str">
        <v>UBND Ủy ban nhân dân xã Hà Thạch  tỉnh Phú Thọ</v>
      </c>
      <c r="C6809" t="str">
        <v>-</v>
      </c>
      <c r="D6809" t="str">
        <v>-</v>
      </c>
      <c r="E6809" t="str">
        <v>-</v>
      </c>
      <c r="F6809" t="str">
        <v>-</v>
      </c>
      <c r="G6809" t="str">
        <v>-</v>
      </c>
    </row>
    <row r="6810">
      <c r="A6810">
        <v>6809</v>
      </c>
      <c r="B6810" t="str">
        <v>Công an phường Thanh Vinh  tỉnh Phú Thọ</v>
      </c>
      <c r="C6810" t="str">
        <v>-</v>
      </c>
      <c r="D6810" t="str">
        <v>-</v>
      </c>
      <c r="E6810" t="str">
        <v/>
      </c>
      <c r="F6810" t="str">
        <v>-</v>
      </c>
      <c r="G6810" t="str">
        <v>-</v>
      </c>
    </row>
    <row r="6811">
      <c r="A6811">
        <v>6810</v>
      </c>
      <c r="B6811" t="str">
        <v>UBND Ủy ban nhân dân phường Thanh Vinh  tỉnh Phú Thọ</v>
      </c>
      <c r="C6811" t="str">
        <v>-</v>
      </c>
      <c r="D6811" t="str">
        <v>-</v>
      </c>
      <c r="E6811" t="str">
        <v>-</v>
      </c>
      <c r="F6811" t="str">
        <v>-</v>
      </c>
      <c r="G6811" t="str">
        <v>-</v>
      </c>
    </row>
    <row r="6812">
      <c r="A6812">
        <v>6811</v>
      </c>
      <c r="B6812" t="str">
        <v>Công an thị trấn Đoan Hùng  tỉnh Phú Thọ</v>
      </c>
      <c r="C6812" t="str">
        <v>-</v>
      </c>
      <c r="D6812" t="str">
        <v>-</v>
      </c>
      <c r="E6812" t="str">
        <v/>
      </c>
      <c r="F6812" t="str">
        <v>-</v>
      </c>
      <c r="G6812" t="str">
        <v>-</v>
      </c>
    </row>
    <row r="6813">
      <c r="A6813">
        <v>6812</v>
      </c>
      <c r="B6813" t="str">
        <v>UBND Ủy ban nhân dân thị trấn Đoan Hùng  tỉnh Phú Thọ</v>
      </c>
      <c r="C6813" t="str">
        <v>-</v>
      </c>
      <c r="D6813" t="str">
        <v>-</v>
      </c>
      <c r="E6813" t="str">
        <v>-</v>
      </c>
      <c r="F6813" t="str">
        <v>-</v>
      </c>
      <c r="G6813" t="str">
        <v>-</v>
      </c>
    </row>
    <row r="6814">
      <c r="A6814">
        <v>6813</v>
      </c>
      <c r="B6814" t="str">
        <v>Công an xã Đông Khê  tỉnh Phú Thọ</v>
      </c>
      <c r="C6814" t="str">
        <v>-</v>
      </c>
      <c r="D6814" t="str">
        <v>-</v>
      </c>
      <c r="E6814" t="str">
        <v/>
      </c>
      <c r="F6814" t="str">
        <v>-</v>
      </c>
      <c r="G6814" t="str">
        <v>-</v>
      </c>
    </row>
    <row r="6815">
      <c r="A6815">
        <v>6814</v>
      </c>
      <c r="B6815" t="str">
        <v>UBND Ủy ban nhân dân xã Đông Khê  tỉnh Phú Thọ</v>
      </c>
      <c r="C6815" t="str">
        <v>-</v>
      </c>
      <c r="D6815" t="str">
        <v>-</v>
      </c>
      <c r="E6815" t="str">
        <v>-</v>
      </c>
      <c r="F6815" t="str">
        <v>-</v>
      </c>
      <c r="G6815" t="str">
        <v>-</v>
      </c>
    </row>
    <row r="6816">
      <c r="A6816">
        <v>6815</v>
      </c>
      <c r="B6816" t="str">
        <v>Công an xã Đông Khê   tỉnh Phú Thọ</v>
      </c>
      <c r="C6816" t="str">
        <v>-</v>
      </c>
      <c r="D6816" t="str">
        <v>-</v>
      </c>
      <c r="E6816" t="str">
        <v/>
      </c>
      <c r="F6816" t="str">
        <v>-</v>
      </c>
      <c r="G6816" t="str">
        <v>-</v>
      </c>
    </row>
    <row r="6817">
      <c r="A6817">
        <v>6816</v>
      </c>
      <c r="B6817" t="str">
        <v>UBND Ủy ban nhân dân xã Đông Khê   tỉnh Phú Thọ</v>
      </c>
      <c r="C6817" t="str">
        <v>-</v>
      </c>
      <c r="D6817" t="str">
        <v>-</v>
      </c>
      <c r="E6817" t="str">
        <v>-</v>
      </c>
      <c r="F6817" t="str">
        <v>-</v>
      </c>
      <c r="G6817" t="str">
        <v>-</v>
      </c>
    </row>
    <row r="6818">
      <c r="A6818">
        <v>6817</v>
      </c>
      <c r="B6818" t="str">
        <v>Công an xã Hùng Quan  tỉnh Phú Thọ</v>
      </c>
      <c r="C6818" t="str">
        <v>-</v>
      </c>
      <c r="D6818" t="str">
        <v>-</v>
      </c>
      <c r="E6818" t="str">
        <v/>
      </c>
      <c r="F6818" t="str">
        <v>-</v>
      </c>
      <c r="G6818" t="str">
        <v>-</v>
      </c>
    </row>
    <row r="6819">
      <c r="A6819">
        <v>6818</v>
      </c>
      <c r="B6819" t="str">
        <v>UBND Ủy ban nhân dân xã Hùng Quan  tỉnh Phú Thọ</v>
      </c>
      <c r="C6819" t="str">
        <v>-</v>
      </c>
      <c r="D6819" t="str">
        <v>-</v>
      </c>
      <c r="E6819" t="str">
        <v>-</v>
      </c>
      <c r="F6819" t="str">
        <v>-</v>
      </c>
      <c r="G6819" t="str">
        <v>-</v>
      </c>
    </row>
    <row r="6820">
      <c r="A6820">
        <v>6819</v>
      </c>
      <c r="B6820" t="str">
        <v>Công an xã Bằng Luân  tỉnh Phú Thọ</v>
      </c>
      <c r="C6820" t="str">
        <v>-</v>
      </c>
      <c r="D6820" t="str">
        <v>-</v>
      </c>
      <c r="E6820" t="str">
        <v/>
      </c>
      <c r="F6820" t="str">
        <v>-</v>
      </c>
      <c r="G6820" t="str">
        <v>-</v>
      </c>
    </row>
    <row r="6821">
      <c r="A6821">
        <v>6820</v>
      </c>
      <c r="B6821" t="str">
        <v>UBND Ủy ban nhân dân xã Bằng Luân  tỉnh Phú Thọ</v>
      </c>
      <c r="C6821" t="str">
        <v>-</v>
      </c>
      <c r="D6821" t="str">
        <v>-</v>
      </c>
      <c r="E6821" t="str">
        <v>-</v>
      </c>
      <c r="F6821" t="str">
        <v>-</v>
      </c>
      <c r="G6821" t="str">
        <v>-</v>
      </c>
    </row>
    <row r="6822">
      <c r="A6822">
        <v>6821</v>
      </c>
      <c r="B6822" t="str">
        <v>Công an xã Vân Du  tỉnh Phú Thọ</v>
      </c>
      <c r="C6822" t="str">
        <v>-</v>
      </c>
      <c r="D6822" t="str">
        <v>-</v>
      </c>
      <c r="E6822" t="str">
        <v/>
      </c>
      <c r="F6822" t="str">
        <v>-</v>
      </c>
      <c r="G6822" t="str">
        <v>-</v>
      </c>
    </row>
    <row r="6823">
      <c r="A6823">
        <v>6822</v>
      </c>
      <c r="B6823" t="str">
        <v>UBND Ủy ban nhân dân xã Vân Du  tỉnh Phú Thọ</v>
      </c>
      <c r="C6823" t="str">
        <v>-</v>
      </c>
      <c r="D6823" t="str">
        <v>-</v>
      </c>
      <c r="E6823" t="str">
        <v>-</v>
      </c>
      <c r="F6823" t="str">
        <v>-</v>
      </c>
      <c r="G6823" t="str">
        <v>-</v>
      </c>
    </row>
    <row r="6824">
      <c r="A6824">
        <v>6823</v>
      </c>
      <c r="B6824" t="str">
        <v>Công an xã Phương Trung  tỉnh Phú Thọ</v>
      </c>
      <c r="C6824" t="str">
        <v>-</v>
      </c>
      <c r="D6824" t="str">
        <v>-</v>
      </c>
      <c r="E6824" t="str">
        <v/>
      </c>
      <c r="F6824" t="str">
        <v>-</v>
      </c>
      <c r="G6824" t="str">
        <v>-</v>
      </c>
    </row>
    <row r="6825">
      <c r="A6825">
        <v>6824</v>
      </c>
      <c r="B6825" t="str">
        <v>UBND Ủy ban nhân dân xã Phương Trung  tỉnh Phú Thọ</v>
      </c>
      <c r="C6825" t="str">
        <v>-</v>
      </c>
      <c r="D6825" t="str">
        <v>-</v>
      </c>
      <c r="E6825" t="str">
        <v>-</v>
      </c>
      <c r="F6825" t="str">
        <v>-</v>
      </c>
      <c r="G6825" t="str">
        <v>-</v>
      </c>
    </row>
    <row r="6826">
      <c r="A6826">
        <v>6825</v>
      </c>
      <c r="B6826" t="str">
        <v>Công an xã Quế Lâm  tỉnh Phú Thọ</v>
      </c>
      <c r="C6826" t="str">
        <v>-</v>
      </c>
      <c r="D6826" t="str">
        <v>-</v>
      </c>
      <c r="E6826" t="str">
        <v/>
      </c>
      <c r="F6826" t="str">
        <v>-</v>
      </c>
      <c r="G6826" t="str">
        <v>-</v>
      </c>
    </row>
    <row r="6827">
      <c r="A6827">
        <v>6826</v>
      </c>
      <c r="B6827" t="str">
        <v>UBND Ủy ban nhân dân xã Quế Lâm  tỉnh Phú Thọ</v>
      </c>
      <c r="C6827" t="str">
        <v>-</v>
      </c>
      <c r="D6827" t="str">
        <v>-</v>
      </c>
      <c r="E6827" t="str">
        <v>-</v>
      </c>
      <c r="F6827" t="str">
        <v>-</v>
      </c>
      <c r="G6827" t="str">
        <v>-</v>
      </c>
    </row>
    <row r="6828">
      <c r="A6828">
        <v>6827</v>
      </c>
      <c r="B6828" t="str">
        <v>Công an xã Minh Lương  tỉnh Phú Thọ</v>
      </c>
      <c r="C6828" t="str">
        <v>-</v>
      </c>
      <c r="D6828" t="str">
        <v>-</v>
      </c>
      <c r="E6828" t="str">
        <v/>
      </c>
      <c r="F6828" t="str">
        <v>-</v>
      </c>
      <c r="G6828" t="str">
        <v>-</v>
      </c>
    </row>
    <row r="6829">
      <c r="A6829">
        <v>6828</v>
      </c>
      <c r="B6829" t="str">
        <v>UBND Ủy ban nhân dân xã Minh Lương  tỉnh Phú Thọ</v>
      </c>
      <c r="C6829" t="str">
        <v>-</v>
      </c>
      <c r="D6829" t="str">
        <v>-</v>
      </c>
      <c r="E6829" t="str">
        <v>-</v>
      </c>
      <c r="F6829" t="str">
        <v>-</v>
      </c>
      <c r="G6829" t="str">
        <v>-</v>
      </c>
    </row>
    <row r="6830">
      <c r="A6830">
        <v>6829</v>
      </c>
      <c r="B6830" t="str">
        <v>Công an xã Bằng Doãn  tỉnh Phú Thọ</v>
      </c>
      <c r="C6830" t="str">
        <v>-</v>
      </c>
      <c r="D6830" t="str">
        <v>-</v>
      </c>
      <c r="E6830" t="str">
        <v/>
      </c>
      <c r="F6830" t="str">
        <v>-</v>
      </c>
      <c r="G6830" t="str">
        <v>-</v>
      </c>
    </row>
    <row r="6831">
      <c r="A6831">
        <v>6830</v>
      </c>
      <c r="B6831" t="str">
        <v>UBND Ủy ban nhân dân xã Bằng Doãn  tỉnh Phú Thọ</v>
      </c>
      <c r="C6831" t="str">
        <v>-</v>
      </c>
      <c r="D6831" t="str">
        <v>-</v>
      </c>
      <c r="E6831" t="str">
        <v>-</v>
      </c>
      <c r="F6831" t="str">
        <v>-</v>
      </c>
      <c r="G6831" t="str">
        <v>-</v>
      </c>
    </row>
    <row r="6832">
      <c r="A6832">
        <v>6831</v>
      </c>
      <c r="B6832" t="str">
        <v>Công an xã Chí Đám  tỉnh Phú Thọ</v>
      </c>
      <c r="C6832" t="str">
        <v>-</v>
      </c>
      <c r="D6832" t="str">
        <v>-</v>
      </c>
      <c r="E6832" t="str">
        <v/>
      </c>
      <c r="F6832" t="str">
        <v>-</v>
      </c>
      <c r="G6832" t="str">
        <v>-</v>
      </c>
    </row>
    <row r="6833">
      <c r="A6833">
        <v>6832</v>
      </c>
      <c r="B6833" t="str">
        <v>UBND Ủy ban nhân dân xã Chí Đám  tỉnh Phú Thọ</v>
      </c>
      <c r="C6833" t="str">
        <v>-</v>
      </c>
      <c r="D6833" t="str">
        <v>-</v>
      </c>
      <c r="E6833" t="str">
        <v>-</v>
      </c>
      <c r="F6833" t="str">
        <v>-</v>
      </c>
      <c r="G6833" t="str">
        <v>-</v>
      </c>
    </row>
    <row r="6834">
      <c r="A6834">
        <v>6833</v>
      </c>
      <c r="B6834" t="str">
        <v>Công an xã Phong Phú  tỉnh Phú Thọ</v>
      </c>
      <c r="C6834" t="str">
        <v>-</v>
      </c>
      <c r="D6834" t="str">
        <v>-</v>
      </c>
      <c r="E6834" t="str">
        <v/>
      </c>
      <c r="F6834" t="str">
        <v>-</v>
      </c>
      <c r="G6834" t="str">
        <v>-</v>
      </c>
    </row>
    <row r="6835">
      <c r="A6835">
        <v>6834</v>
      </c>
      <c r="B6835" t="str">
        <v>UBND Ủy ban nhân dân xã Phong Phú  tỉnh Phú Thọ</v>
      </c>
      <c r="C6835" t="str">
        <v>-</v>
      </c>
      <c r="D6835" t="str">
        <v>-</v>
      </c>
      <c r="E6835" t="str">
        <v>-</v>
      </c>
      <c r="F6835" t="str">
        <v>-</v>
      </c>
      <c r="G6835" t="str">
        <v>-</v>
      </c>
    </row>
    <row r="6836">
      <c r="A6836">
        <v>6835</v>
      </c>
      <c r="B6836" t="str">
        <v>Công an xã Phúc Lai  tỉnh Phú Thọ</v>
      </c>
      <c r="C6836" t="str">
        <v>-</v>
      </c>
      <c r="D6836" t="str">
        <v>-</v>
      </c>
      <c r="E6836" t="str">
        <v/>
      </c>
      <c r="F6836" t="str">
        <v>-</v>
      </c>
      <c r="G6836" t="str">
        <v>-</v>
      </c>
    </row>
    <row r="6837">
      <c r="A6837">
        <v>6836</v>
      </c>
      <c r="B6837" t="str">
        <v>UBND Ủy ban nhân dân xã Phúc Lai  tỉnh Phú Thọ</v>
      </c>
      <c r="C6837" t="str">
        <v>-</v>
      </c>
      <c r="D6837" t="str">
        <v>-</v>
      </c>
      <c r="E6837" t="str">
        <v>-</v>
      </c>
      <c r="F6837" t="str">
        <v>-</v>
      </c>
      <c r="G6837" t="str">
        <v>-</v>
      </c>
    </row>
    <row r="6838">
      <c r="A6838">
        <v>6837</v>
      </c>
      <c r="B6838" t="str">
        <v>Công an xã Ngọc Quan  tỉnh Phú Thọ</v>
      </c>
      <c r="C6838" t="str">
        <v>-</v>
      </c>
      <c r="D6838" t="str">
        <v>-</v>
      </c>
      <c r="E6838" t="str">
        <v/>
      </c>
      <c r="F6838" t="str">
        <v>-</v>
      </c>
      <c r="G6838" t="str">
        <v>-</v>
      </c>
    </row>
    <row r="6839">
      <c r="A6839">
        <v>6838</v>
      </c>
      <c r="B6839" t="str">
        <v>UBND Ủy ban nhân dân xã Ngọc Quan  tỉnh Phú Thọ</v>
      </c>
      <c r="C6839" t="str">
        <v>-</v>
      </c>
      <c r="D6839" t="str">
        <v>-</v>
      </c>
      <c r="E6839" t="str">
        <v>-</v>
      </c>
      <c r="F6839" t="str">
        <v>-</v>
      </c>
      <c r="G6839" t="str">
        <v>-</v>
      </c>
    </row>
    <row r="6840">
      <c r="A6840">
        <v>6839</v>
      </c>
      <c r="B6840" t="str">
        <v>Công an xã Hữu Đô  tỉnh Phú Thọ</v>
      </c>
      <c r="C6840" t="str">
        <v>-</v>
      </c>
      <c r="D6840" t="str">
        <v>-</v>
      </c>
      <c r="E6840" t="str">
        <v/>
      </c>
      <c r="F6840" t="str">
        <v>-</v>
      </c>
      <c r="G6840" t="str">
        <v>-</v>
      </c>
    </row>
    <row r="6841">
      <c r="A6841">
        <v>6840</v>
      </c>
      <c r="B6841" t="str">
        <v>UBND Ủy ban nhân dân xã Hữu Đô  tỉnh Phú Thọ</v>
      </c>
      <c r="C6841" t="str">
        <v>-</v>
      </c>
      <c r="D6841" t="str">
        <v>-</v>
      </c>
      <c r="E6841" t="str">
        <v>-</v>
      </c>
      <c r="F6841" t="str">
        <v>-</v>
      </c>
      <c r="G6841" t="str">
        <v>-</v>
      </c>
    </row>
    <row r="6842">
      <c r="A6842">
        <v>6841</v>
      </c>
      <c r="B6842" t="str">
        <v>Công an xã Đại Nghĩa  tỉnh Phú Thọ</v>
      </c>
      <c r="C6842" t="str">
        <v>-</v>
      </c>
      <c r="D6842" t="str">
        <v>-</v>
      </c>
      <c r="E6842" t="str">
        <v/>
      </c>
      <c r="F6842" t="str">
        <v>-</v>
      </c>
      <c r="G6842" t="str">
        <v>-</v>
      </c>
    </row>
    <row r="6843">
      <c r="A6843">
        <v>6842</v>
      </c>
      <c r="B6843" t="str">
        <v>UBND Ủy ban nhân dân xã Đại Nghĩa  tỉnh Phú Thọ</v>
      </c>
      <c r="C6843" t="str">
        <v>-</v>
      </c>
      <c r="D6843" t="str">
        <v>-</v>
      </c>
      <c r="E6843" t="str">
        <v>-</v>
      </c>
      <c r="F6843" t="str">
        <v>-</v>
      </c>
      <c r="G6843" t="str">
        <v>-</v>
      </c>
    </row>
    <row r="6844">
      <c r="A6844">
        <v>6843</v>
      </c>
      <c r="B6844" t="str">
        <v>Công an xã Sóc Đăng  tỉnh Phú Thọ</v>
      </c>
      <c r="C6844" t="str">
        <v>-</v>
      </c>
      <c r="D6844" t="str">
        <v>-</v>
      </c>
      <c r="E6844" t="str">
        <v/>
      </c>
      <c r="F6844" t="str">
        <v>-</v>
      </c>
      <c r="G6844" t="str">
        <v>-</v>
      </c>
    </row>
    <row r="6845">
      <c r="A6845">
        <v>6844</v>
      </c>
      <c r="B6845" t="str">
        <v>UBND Ủy ban nhân dân xã Sóc Đăng  tỉnh Phú Thọ</v>
      </c>
      <c r="C6845" t="str">
        <v>-</v>
      </c>
      <c r="D6845" t="str">
        <v>-</v>
      </c>
      <c r="E6845" t="str">
        <v>-</v>
      </c>
      <c r="F6845" t="str">
        <v>-</v>
      </c>
      <c r="G6845" t="str">
        <v>-</v>
      </c>
    </row>
    <row r="6846">
      <c r="A6846">
        <v>6845</v>
      </c>
      <c r="B6846" t="str">
        <v>Công an xã Phú Thứ  tỉnh Phú Thọ</v>
      </c>
      <c r="C6846" t="str">
        <v>-</v>
      </c>
      <c r="D6846" t="str">
        <v>-</v>
      </c>
      <c r="E6846" t="str">
        <v/>
      </c>
      <c r="F6846" t="str">
        <v>-</v>
      </c>
      <c r="G6846" t="str">
        <v>-</v>
      </c>
    </row>
    <row r="6847">
      <c r="A6847">
        <v>6846</v>
      </c>
      <c r="B6847" t="str">
        <v>UBND Ủy ban nhân dân xã Phú Thứ  tỉnh Phú Thọ</v>
      </c>
      <c r="C6847" t="str">
        <v>-</v>
      </c>
      <c r="D6847" t="str">
        <v>-</v>
      </c>
      <c r="E6847" t="str">
        <v>-</v>
      </c>
      <c r="F6847" t="str">
        <v>-</v>
      </c>
      <c r="G6847" t="str">
        <v>-</v>
      </c>
    </row>
    <row r="6848">
      <c r="A6848">
        <v>6847</v>
      </c>
      <c r="B6848" t="str">
        <v>Công an xã Tây Cốc  tỉnh Phú Thọ</v>
      </c>
      <c r="C6848" t="str">
        <v>-</v>
      </c>
      <c r="D6848" t="str">
        <v>-</v>
      </c>
      <c r="E6848" t="str">
        <v/>
      </c>
      <c r="F6848" t="str">
        <v>-</v>
      </c>
      <c r="G6848" t="str">
        <v>-</v>
      </c>
    </row>
    <row r="6849">
      <c r="A6849">
        <v>6848</v>
      </c>
      <c r="B6849" t="str">
        <v>UBND Ủy ban nhân dân xã Tây Cốc  tỉnh Phú Thọ</v>
      </c>
      <c r="C6849" t="str">
        <v>-</v>
      </c>
      <c r="D6849" t="str">
        <v>-</v>
      </c>
      <c r="E6849" t="str">
        <v>-</v>
      </c>
      <c r="F6849" t="str">
        <v>-</v>
      </c>
      <c r="G6849" t="str">
        <v>-</v>
      </c>
    </row>
    <row r="6850">
      <c r="A6850">
        <v>6849</v>
      </c>
      <c r="B6850" t="str">
        <v>Công an xã Yên Kiện  tỉnh Phú Thọ</v>
      </c>
      <c r="C6850" t="str">
        <v>-</v>
      </c>
      <c r="D6850" t="str">
        <v>-</v>
      </c>
      <c r="E6850" t="str">
        <v/>
      </c>
      <c r="F6850" t="str">
        <v>-</v>
      </c>
      <c r="G6850" t="str">
        <v>-</v>
      </c>
    </row>
    <row r="6851">
      <c r="A6851">
        <v>6850</v>
      </c>
      <c r="B6851" t="str">
        <v>UBND Ủy ban nhân dân xã Yên Kiện  tỉnh Phú Thọ</v>
      </c>
      <c r="C6851" t="str">
        <v>-</v>
      </c>
      <c r="D6851" t="str">
        <v>-</v>
      </c>
      <c r="E6851" t="str">
        <v>-</v>
      </c>
      <c r="F6851" t="str">
        <v>-</v>
      </c>
      <c r="G6851" t="str">
        <v>-</v>
      </c>
    </row>
    <row r="6852">
      <c r="A6852">
        <v>6851</v>
      </c>
      <c r="B6852" t="str">
        <v>Công an xã Hùng Long  tỉnh Phú Thọ</v>
      </c>
      <c r="C6852" t="str">
        <v>-</v>
      </c>
      <c r="D6852" t="str">
        <v>-</v>
      </c>
      <c r="E6852" t="str">
        <v/>
      </c>
      <c r="F6852" t="str">
        <v>-</v>
      </c>
      <c r="G6852" t="str">
        <v>-</v>
      </c>
    </row>
    <row r="6853">
      <c r="A6853">
        <v>6852</v>
      </c>
      <c r="B6853" t="str">
        <v>UBND Ủy ban nhân dân xã Hùng Long  tỉnh Phú Thọ</v>
      </c>
      <c r="C6853" t="str">
        <v>-</v>
      </c>
      <c r="D6853" t="str">
        <v>-</v>
      </c>
      <c r="E6853" t="str">
        <v>-</v>
      </c>
      <c r="F6853" t="str">
        <v>-</v>
      </c>
      <c r="G6853" t="str">
        <v>-</v>
      </c>
    </row>
    <row r="6854">
      <c r="A6854">
        <v>6853</v>
      </c>
      <c r="B6854" t="str">
        <v>Công an xã Vụ Quang  tỉnh Phú Thọ</v>
      </c>
      <c r="C6854" t="str">
        <v>-</v>
      </c>
      <c r="D6854" t="str">
        <v>-</v>
      </c>
      <c r="E6854" t="str">
        <v/>
      </c>
      <c r="F6854" t="str">
        <v>-</v>
      </c>
      <c r="G6854" t="str">
        <v>-</v>
      </c>
    </row>
    <row r="6855">
      <c r="A6855">
        <v>6854</v>
      </c>
      <c r="B6855" t="str">
        <v>UBND Ủy ban nhân dân xã Vụ Quang  tỉnh Phú Thọ</v>
      </c>
      <c r="C6855" t="str">
        <v>-</v>
      </c>
      <c r="D6855" t="str">
        <v>-</v>
      </c>
      <c r="E6855" t="str">
        <v>-</v>
      </c>
      <c r="F6855" t="str">
        <v>-</v>
      </c>
      <c r="G6855" t="str">
        <v>-</v>
      </c>
    </row>
    <row r="6856">
      <c r="A6856">
        <v>6855</v>
      </c>
      <c r="B6856" t="str">
        <v>Công an xã Vân Đồn  tỉnh Phú Thọ</v>
      </c>
      <c r="C6856" t="str">
        <v>-</v>
      </c>
      <c r="D6856" t="str">
        <v>-</v>
      </c>
      <c r="E6856" t="str">
        <v/>
      </c>
      <c r="F6856" t="str">
        <v>-</v>
      </c>
      <c r="G6856" t="str">
        <v>-</v>
      </c>
    </row>
    <row r="6857">
      <c r="A6857">
        <v>6856</v>
      </c>
      <c r="B6857" t="str">
        <v>UBND Ủy ban nhân dân xã Vân Đồn  tỉnh Phú Thọ</v>
      </c>
      <c r="C6857" t="str">
        <v>-</v>
      </c>
      <c r="D6857" t="str">
        <v>-</v>
      </c>
      <c r="E6857" t="str">
        <v>-</v>
      </c>
      <c r="F6857" t="str">
        <v>-</v>
      </c>
      <c r="G6857" t="str">
        <v>-</v>
      </c>
    </row>
    <row r="6858">
      <c r="A6858">
        <v>6857</v>
      </c>
      <c r="B6858" t="str">
        <v>Công an xã Tiêu Sơn  tỉnh Phú Thọ</v>
      </c>
      <c r="C6858" t="str">
        <v>-</v>
      </c>
      <c r="D6858" t="str">
        <v>-</v>
      </c>
      <c r="E6858" t="str">
        <v/>
      </c>
      <c r="F6858" t="str">
        <v>-</v>
      </c>
      <c r="G6858" t="str">
        <v>-</v>
      </c>
    </row>
    <row r="6859">
      <c r="A6859">
        <v>6858</v>
      </c>
      <c r="B6859" t="str">
        <v>UBND Ủy ban nhân dân xã Tiêu Sơn  tỉnh Phú Thọ</v>
      </c>
      <c r="C6859" t="str">
        <v>-</v>
      </c>
      <c r="D6859" t="str">
        <v>-</v>
      </c>
      <c r="E6859" t="str">
        <v>-</v>
      </c>
      <c r="F6859" t="str">
        <v>-</v>
      </c>
      <c r="G6859" t="str">
        <v>-</v>
      </c>
    </row>
    <row r="6860">
      <c r="A6860">
        <v>6859</v>
      </c>
      <c r="B6860" t="str">
        <v>Công an xã Minh Tiến  tỉnh Phú Thọ</v>
      </c>
      <c r="C6860" t="str">
        <v>-</v>
      </c>
      <c r="D6860" t="str">
        <v>-</v>
      </c>
      <c r="E6860" t="str">
        <v/>
      </c>
      <c r="F6860" t="str">
        <v>-</v>
      </c>
      <c r="G6860" t="str">
        <v>-</v>
      </c>
    </row>
    <row r="6861">
      <c r="A6861">
        <v>6860</v>
      </c>
      <c r="B6861" t="str">
        <v>UBND Ủy ban nhân dân xã Minh Tiến  tỉnh Phú Thọ</v>
      </c>
      <c r="C6861" t="str">
        <v>-</v>
      </c>
      <c r="D6861" t="str">
        <v>-</v>
      </c>
      <c r="E6861" t="str">
        <v>-</v>
      </c>
      <c r="F6861" t="str">
        <v>-</v>
      </c>
      <c r="G6861" t="str">
        <v>-</v>
      </c>
    </row>
    <row r="6862">
      <c r="A6862">
        <v>6861</v>
      </c>
      <c r="B6862" t="str">
        <v>Công an xã Minh Phú  tỉnh Phú Thọ</v>
      </c>
      <c r="C6862" t="str">
        <v>-</v>
      </c>
      <c r="D6862" t="str">
        <v>-</v>
      </c>
      <c r="E6862" t="str">
        <v/>
      </c>
      <c r="F6862" t="str">
        <v>-</v>
      </c>
      <c r="G6862" t="str">
        <v>-</v>
      </c>
    </row>
    <row r="6863">
      <c r="A6863">
        <v>6862</v>
      </c>
      <c r="B6863" t="str">
        <v>UBND Ủy ban nhân dân xã Minh Phú  tỉnh Phú Thọ</v>
      </c>
      <c r="C6863" t="str">
        <v>-</v>
      </c>
      <c r="D6863" t="str">
        <v>-</v>
      </c>
      <c r="E6863" t="str">
        <v>-</v>
      </c>
      <c r="F6863" t="str">
        <v>-</v>
      </c>
      <c r="G6863" t="str">
        <v>-</v>
      </c>
    </row>
    <row r="6864">
      <c r="A6864">
        <v>6863</v>
      </c>
      <c r="B6864" t="str">
        <v>Công an xã Chân Mộng  tỉnh Phú Thọ</v>
      </c>
      <c r="C6864" t="str">
        <v>-</v>
      </c>
      <c r="D6864" t="str">
        <v>-</v>
      </c>
      <c r="E6864" t="str">
        <v/>
      </c>
      <c r="F6864" t="str">
        <v>-</v>
      </c>
      <c r="G6864" t="str">
        <v>-</v>
      </c>
    </row>
    <row r="6865">
      <c r="A6865">
        <v>6864</v>
      </c>
      <c r="B6865" t="str">
        <v>UBND Ủy ban nhân dân xã Chân Mộng  tỉnh Phú Thọ</v>
      </c>
      <c r="C6865" t="str">
        <v>-</v>
      </c>
      <c r="D6865" t="str">
        <v>-</v>
      </c>
      <c r="E6865" t="str">
        <v>-</v>
      </c>
      <c r="F6865" t="str">
        <v>-</v>
      </c>
      <c r="G6865" t="str">
        <v>-</v>
      </c>
    </row>
    <row r="6866">
      <c r="A6866">
        <v>6865</v>
      </c>
      <c r="B6866" t="str">
        <v>Công an xã Ca Đình  tỉnh Phú Thọ</v>
      </c>
      <c r="C6866" t="str">
        <v>-</v>
      </c>
      <c r="D6866" t="str">
        <v>-</v>
      </c>
      <c r="E6866" t="str">
        <v/>
      </c>
      <c r="F6866" t="str">
        <v>-</v>
      </c>
      <c r="G6866" t="str">
        <v>-</v>
      </c>
    </row>
    <row r="6867">
      <c r="A6867">
        <v>6866</v>
      </c>
      <c r="B6867" t="str">
        <v>UBND Ủy ban nhân dân xã Ca Đình  tỉnh Phú Thọ</v>
      </c>
      <c r="C6867" t="str">
        <v>-</v>
      </c>
      <c r="D6867" t="str">
        <v>-</v>
      </c>
      <c r="E6867" t="str">
        <v>-</v>
      </c>
      <c r="F6867" t="str">
        <v>-</v>
      </c>
      <c r="G6867" t="str">
        <v>-</v>
      </c>
    </row>
    <row r="6868">
      <c r="A6868">
        <v>6867</v>
      </c>
      <c r="B6868" t="str">
        <v>Công an thị trấn Hạ Hoà  tỉnh Phú Thọ</v>
      </c>
      <c r="C6868" t="str">
        <v>-</v>
      </c>
      <c r="D6868" t="str">
        <v>-</v>
      </c>
      <c r="E6868" t="str">
        <v/>
      </c>
      <c r="F6868" t="str">
        <v>-</v>
      </c>
      <c r="G6868" t="str">
        <v>-</v>
      </c>
    </row>
    <row r="6869">
      <c r="A6869">
        <v>6868</v>
      </c>
      <c r="B6869" t="str">
        <v>UBND Ủy ban nhân dân thị trấn Hạ Hoà  tỉnh Phú Thọ</v>
      </c>
      <c r="C6869" t="str">
        <v>-</v>
      </c>
      <c r="D6869" t="str">
        <v>-</v>
      </c>
      <c r="E6869" t="str">
        <v>-</v>
      </c>
      <c r="F6869" t="str">
        <v>-</v>
      </c>
      <c r="G6869" t="str">
        <v>-</v>
      </c>
    </row>
    <row r="6870">
      <c r="A6870">
        <v>6869</v>
      </c>
      <c r="B6870" t="str">
        <v>Công an xã Đại Phạm  tỉnh Phú Thọ</v>
      </c>
      <c r="C6870" t="str">
        <v>-</v>
      </c>
      <c r="D6870" t="str">
        <v>-</v>
      </c>
      <c r="E6870" t="str">
        <v/>
      </c>
      <c r="F6870" t="str">
        <v>-</v>
      </c>
      <c r="G6870" t="str">
        <v>-</v>
      </c>
    </row>
    <row r="6871">
      <c r="A6871">
        <v>6870</v>
      </c>
      <c r="B6871" t="str">
        <v>UBND Ủy ban nhân dân xã Đại Phạm  tỉnh Phú Thọ</v>
      </c>
      <c r="C6871" t="str">
        <v>-</v>
      </c>
      <c r="D6871" t="str">
        <v>-</v>
      </c>
      <c r="E6871" t="str">
        <v>-</v>
      </c>
      <c r="F6871" t="str">
        <v>-</v>
      </c>
      <c r="G6871" t="str">
        <v>-</v>
      </c>
    </row>
    <row r="6872">
      <c r="A6872">
        <v>6871</v>
      </c>
      <c r="B6872" t="str">
        <v>Công an xã Hậu Bổng  tỉnh Phú Thọ</v>
      </c>
      <c r="C6872" t="str">
        <v>-</v>
      </c>
      <c r="D6872" t="str">
        <v>-</v>
      </c>
      <c r="E6872" t="str">
        <v/>
      </c>
      <c r="F6872" t="str">
        <v>-</v>
      </c>
      <c r="G6872" t="str">
        <v>-</v>
      </c>
    </row>
    <row r="6873">
      <c r="A6873">
        <v>6872</v>
      </c>
      <c r="B6873" t="str">
        <v>UBND Ủy ban nhân dân xã Hậu Bổng  tỉnh Phú Thọ</v>
      </c>
      <c r="C6873" t="str">
        <v>-</v>
      </c>
      <c r="D6873" t="str">
        <v>-</v>
      </c>
      <c r="E6873" t="str">
        <v>-</v>
      </c>
      <c r="F6873" t="str">
        <v>-</v>
      </c>
      <c r="G6873" t="str">
        <v>-</v>
      </c>
    </row>
    <row r="6874">
      <c r="A6874">
        <v>6873</v>
      </c>
      <c r="B6874" t="str">
        <v>Công an xã Đan Hà  tỉnh Phú Thọ</v>
      </c>
      <c r="C6874" t="str">
        <v>-</v>
      </c>
      <c r="D6874" t="str">
        <v>-</v>
      </c>
      <c r="E6874" t="str">
        <v/>
      </c>
      <c r="F6874" t="str">
        <v>-</v>
      </c>
      <c r="G6874" t="str">
        <v>-</v>
      </c>
    </row>
    <row r="6875">
      <c r="A6875">
        <v>6874</v>
      </c>
      <c r="B6875" t="str">
        <v>UBND Ủy ban nhân dân xã Đan Hà  tỉnh Phú Thọ</v>
      </c>
      <c r="C6875" t="str">
        <v>-</v>
      </c>
      <c r="D6875" t="str">
        <v>-</v>
      </c>
      <c r="E6875" t="str">
        <v>-</v>
      </c>
      <c r="F6875" t="str">
        <v>-</v>
      </c>
      <c r="G6875" t="str">
        <v>-</v>
      </c>
    </row>
    <row r="6876">
      <c r="A6876">
        <v>6875</v>
      </c>
      <c r="B6876" t="str">
        <v>Công an xã Hà Lương  tỉnh Phú Thọ</v>
      </c>
      <c r="C6876" t="str">
        <v>-</v>
      </c>
      <c r="D6876" t="str">
        <v>-</v>
      </c>
      <c r="E6876" t="str">
        <v/>
      </c>
      <c r="F6876" t="str">
        <v>-</v>
      </c>
      <c r="G6876" t="str">
        <v>-</v>
      </c>
    </row>
    <row r="6877">
      <c r="A6877">
        <v>6876</v>
      </c>
      <c r="B6877" t="str">
        <v>UBND Ủy ban nhân dân xã Hà Lương  tỉnh Phú Thọ</v>
      </c>
      <c r="C6877" t="str">
        <v>-</v>
      </c>
      <c r="D6877" t="str">
        <v>-</v>
      </c>
      <c r="E6877" t="str">
        <v>-</v>
      </c>
      <c r="F6877" t="str">
        <v>-</v>
      </c>
      <c r="G6877" t="str">
        <v>-</v>
      </c>
    </row>
    <row r="6878">
      <c r="A6878">
        <v>6877</v>
      </c>
      <c r="B6878" t="str">
        <v>Công an xã Lệnh Khanh  tỉnh Phú Thọ</v>
      </c>
      <c r="C6878" t="str">
        <v>-</v>
      </c>
      <c r="D6878" t="str">
        <v>-</v>
      </c>
      <c r="E6878" t="str">
        <v/>
      </c>
      <c r="F6878" t="str">
        <v>-</v>
      </c>
      <c r="G6878" t="str">
        <v>-</v>
      </c>
    </row>
    <row r="6879">
      <c r="A6879">
        <v>6878</v>
      </c>
      <c r="B6879" t="str">
        <v>UBND Ủy ban nhân dân xã Lệnh Khanh  tỉnh Phú Thọ</v>
      </c>
      <c r="C6879" t="str">
        <v>-</v>
      </c>
      <c r="D6879" t="str">
        <v>-</v>
      </c>
      <c r="E6879" t="str">
        <v>-</v>
      </c>
      <c r="F6879" t="str">
        <v>-</v>
      </c>
      <c r="G6879" t="str">
        <v>-</v>
      </c>
    </row>
    <row r="6880">
      <c r="A6880">
        <v>6879</v>
      </c>
      <c r="B6880" t="str">
        <v>Công an xã Lệnh Khanh  tỉnh Phú Thọ</v>
      </c>
      <c r="C6880" t="str">
        <v>-</v>
      </c>
      <c r="D6880" t="str">
        <v>-</v>
      </c>
      <c r="E6880" t="str">
        <v/>
      </c>
      <c r="F6880" t="str">
        <v>-</v>
      </c>
      <c r="G6880" t="str">
        <v>-</v>
      </c>
    </row>
    <row r="6881">
      <c r="A6881">
        <v>6880</v>
      </c>
      <c r="B6881" t="str">
        <v>UBND Ủy ban nhân dân xã Lệnh Khanh  tỉnh Phú Thọ</v>
      </c>
      <c r="C6881" t="str">
        <v>-</v>
      </c>
      <c r="D6881" t="str">
        <v>-</v>
      </c>
      <c r="E6881" t="str">
        <v>-</v>
      </c>
      <c r="F6881" t="str">
        <v>-</v>
      </c>
      <c r="G6881" t="str">
        <v>-</v>
      </c>
    </row>
    <row r="6882">
      <c r="A6882">
        <v>6881</v>
      </c>
      <c r="B6882" t="str">
        <v>Công an xã Liên Phương  tỉnh Phú Thọ</v>
      </c>
      <c r="C6882" t="str">
        <v>-</v>
      </c>
      <c r="D6882" t="str">
        <v>-</v>
      </c>
      <c r="E6882" t="str">
        <v/>
      </c>
      <c r="F6882" t="str">
        <v>-</v>
      </c>
      <c r="G6882" t="str">
        <v>-</v>
      </c>
    </row>
    <row r="6883">
      <c r="A6883">
        <v>6882</v>
      </c>
      <c r="B6883" t="str">
        <v>UBND Ủy ban nhân dân xã Liên Phương  tỉnh Phú Thọ</v>
      </c>
      <c r="C6883" t="str">
        <v>-</v>
      </c>
      <c r="D6883" t="str">
        <v>-</v>
      </c>
      <c r="E6883" t="str">
        <v>-</v>
      </c>
      <c r="F6883" t="str">
        <v>-</v>
      </c>
      <c r="G6883" t="str">
        <v>-</v>
      </c>
    </row>
    <row r="6884">
      <c r="A6884">
        <v>6883</v>
      </c>
      <c r="B6884" t="str">
        <v>Công an xã Đan Thượng  tỉnh Phú Thọ</v>
      </c>
      <c r="C6884" t="str">
        <v>-</v>
      </c>
      <c r="D6884" t="str">
        <v>-</v>
      </c>
      <c r="E6884" t="str">
        <v/>
      </c>
      <c r="F6884" t="str">
        <v>-</v>
      </c>
      <c r="G6884" t="str">
        <v>-</v>
      </c>
    </row>
    <row r="6885">
      <c r="A6885">
        <v>6884</v>
      </c>
      <c r="B6885" t="str">
        <v>UBND Ủy ban nhân dân xã Đan Thượng  tỉnh Phú Thọ</v>
      </c>
      <c r="C6885" t="str">
        <v>-</v>
      </c>
      <c r="D6885" t="str">
        <v>-</v>
      </c>
      <c r="E6885" t="str">
        <v>-</v>
      </c>
      <c r="F6885" t="str">
        <v>-</v>
      </c>
      <c r="G6885" t="str">
        <v>-</v>
      </c>
    </row>
    <row r="6886">
      <c r="A6886">
        <v>6885</v>
      </c>
      <c r="B6886" t="str">
        <v>Công an xã Hiền Lương  tỉnh Phú Thọ</v>
      </c>
      <c r="C6886" t="str">
        <v>-</v>
      </c>
      <c r="D6886" t="str">
        <v>-</v>
      </c>
      <c r="E6886" t="str">
        <v/>
      </c>
      <c r="F6886" t="str">
        <v>-</v>
      </c>
      <c r="G6886" t="str">
        <v>-</v>
      </c>
    </row>
    <row r="6887">
      <c r="A6887">
        <v>6886</v>
      </c>
      <c r="B6887" t="str">
        <v>UBND Ủy ban nhân dân xã Hiền Lương  tỉnh Phú Thọ</v>
      </c>
      <c r="C6887" t="str">
        <v>-</v>
      </c>
      <c r="D6887" t="str">
        <v>-</v>
      </c>
      <c r="E6887" t="str">
        <v>-</v>
      </c>
      <c r="F6887" t="str">
        <v>-</v>
      </c>
      <c r="G6887" t="str">
        <v>-</v>
      </c>
    </row>
    <row r="6888">
      <c r="A6888">
        <v>6887</v>
      </c>
      <c r="B6888" t="str">
        <v>Công an xã Động Lâm  tỉnh Phú Thọ</v>
      </c>
      <c r="C6888" t="str">
        <v>-</v>
      </c>
      <c r="D6888" t="str">
        <v>-</v>
      </c>
      <c r="E6888" t="str">
        <v/>
      </c>
      <c r="F6888" t="str">
        <v>-</v>
      </c>
      <c r="G6888" t="str">
        <v>-</v>
      </c>
    </row>
    <row r="6889">
      <c r="A6889">
        <v>6888</v>
      </c>
      <c r="B6889" t="str">
        <v>UBND Ủy ban nhân dân xã Động Lâm  tỉnh Phú Thọ</v>
      </c>
      <c r="C6889" t="str">
        <v>-</v>
      </c>
      <c r="D6889" t="str">
        <v>-</v>
      </c>
      <c r="E6889" t="str">
        <v>-</v>
      </c>
      <c r="F6889" t="str">
        <v>-</v>
      </c>
      <c r="G6889" t="str">
        <v>-</v>
      </c>
    </row>
    <row r="6890">
      <c r="A6890">
        <v>6889</v>
      </c>
      <c r="B6890" t="str">
        <v>Công an xã Lâm Lợi  tỉnh Phú Thọ</v>
      </c>
      <c r="C6890" t="str">
        <v>-</v>
      </c>
      <c r="D6890" t="str">
        <v>-</v>
      </c>
      <c r="E6890" t="str">
        <v/>
      </c>
      <c r="F6890" t="str">
        <v>-</v>
      </c>
      <c r="G6890" t="str">
        <v>-</v>
      </c>
    </row>
    <row r="6891">
      <c r="A6891">
        <v>6890</v>
      </c>
      <c r="B6891" t="str">
        <v>UBND Ủy ban nhân dân xã Lâm Lợi  tỉnh Phú Thọ</v>
      </c>
      <c r="C6891" t="str">
        <v>-</v>
      </c>
      <c r="D6891" t="str">
        <v>-</v>
      </c>
      <c r="E6891" t="str">
        <v>-</v>
      </c>
      <c r="F6891" t="str">
        <v>-</v>
      </c>
      <c r="G6891" t="str">
        <v>-</v>
      </c>
    </row>
    <row r="6892">
      <c r="A6892">
        <v>6891</v>
      </c>
      <c r="B6892" t="str">
        <v>Công an xã Phương Viên  tỉnh Phú Thọ</v>
      </c>
      <c r="C6892" t="str">
        <v>-</v>
      </c>
      <c r="D6892" t="str">
        <v>-</v>
      </c>
      <c r="E6892" t="str">
        <v/>
      </c>
      <c r="F6892" t="str">
        <v>-</v>
      </c>
      <c r="G6892" t="str">
        <v>-</v>
      </c>
    </row>
    <row r="6893">
      <c r="A6893">
        <v>6892</v>
      </c>
      <c r="B6893" t="str">
        <v>UBND Ủy ban nhân dân xã Phương Viên  tỉnh Phú Thọ</v>
      </c>
      <c r="C6893" t="str">
        <v>-</v>
      </c>
      <c r="D6893" t="str">
        <v>-</v>
      </c>
      <c r="E6893" t="str">
        <v>-</v>
      </c>
      <c r="F6893" t="str">
        <v>-</v>
      </c>
      <c r="G6893" t="str">
        <v>-</v>
      </c>
    </row>
    <row r="6894">
      <c r="A6894">
        <v>6893</v>
      </c>
      <c r="B6894" t="str">
        <v>Công an xã Gia Điền  tỉnh Phú Thọ</v>
      </c>
      <c r="C6894" t="str">
        <v>-</v>
      </c>
      <c r="D6894" t="str">
        <v>-</v>
      </c>
      <c r="E6894" t="str">
        <v/>
      </c>
      <c r="F6894" t="str">
        <v>-</v>
      </c>
      <c r="G6894" t="str">
        <v>-</v>
      </c>
    </row>
    <row r="6895">
      <c r="A6895">
        <v>6894</v>
      </c>
      <c r="B6895" t="str">
        <v>UBND Ủy ban nhân dân xã Gia Điền  tỉnh Phú Thọ</v>
      </c>
      <c r="C6895" t="str">
        <v>-</v>
      </c>
      <c r="D6895" t="str">
        <v>-</v>
      </c>
      <c r="E6895" t="str">
        <v>-</v>
      </c>
      <c r="F6895" t="str">
        <v>-</v>
      </c>
      <c r="G6895" t="str">
        <v>-</v>
      </c>
    </row>
    <row r="6896">
      <c r="A6896">
        <v>6895</v>
      </c>
      <c r="B6896" t="str">
        <v>Công an xã Ấm Hạ  tỉnh Phú Thọ</v>
      </c>
      <c r="C6896" t="str">
        <v>-</v>
      </c>
      <c r="D6896" t="str">
        <v>-</v>
      </c>
      <c r="E6896" t="str">
        <v/>
      </c>
      <c r="F6896" t="str">
        <v>-</v>
      </c>
      <c r="G6896" t="str">
        <v>-</v>
      </c>
    </row>
    <row r="6897">
      <c r="A6897">
        <v>6896</v>
      </c>
      <c r="B6897" t="str">
        <v>UBND Ủy ban nhân dân xã Ấm Hạ  tỉnh Phú Thọ</v>
      </c>
      <c r="C6897" t="str">
        <v>-</v>
      </c>
      <c r="D6897" t="str">
        <v>-</v>
      </c>
      <c r="E6897" t="str">
        <v>-</v>
      </c>
      <c r="F6897" t="str">
        <v>-</v>
      </c>
      <c r="G6897" t="str">
        <v>-</v>
      </c>
    </row>
    <row r="6898">
      <c r="A6898">
        <v>6897</v>
      </c>
      <c r="B6898" t="str">
        <v>Công an xã Quân Khê  tỉnh Phú Thọ</v>
      </c>
      <c r="C6898" t="str">
        <v>-</v>
      </c>
      <c r="D6898" t="str">
        <v>-</v>
      </c>
      <c r="E6898" t="str">
        <v/>
      </c>
      <c r="F6898" t="str">
        <v>-</v>
      </c>
      <c r="G6898" t="str">
        <v>-</v>
      </c>
    </row>
    <row r="6899">
      <c r="A6899">
        <v>6898</v>
      </c>
      <c r="B6899" t="str">
        <v>UBND Ủy ban nhân dân xã Quân Khê  tỉnh Phú Thọ</v>
      </c>
      <c r="C6899" t="str">
        <v>-</v>
      </c>
      <c r="D6899" t="str">
        <v>-</v>
      </c>
      <c r="E6899" t="str">
        <v>-</v>
      </c>
      <c r="F6899" t="str">
        <v>-</v>
      </c>
      <c r="G6899" t="str">
        <v>-</v>
      </c>
    </row>
    <row r="6900">
      <c r="A6900">
        <v>6899</v>
      </c>
      <c r="B6900" t="str">
        <v>Công an xã Y Sơn  tỉnh Phú Thọ</v>
      </c>
      <c r="C6900" t="str">
        <v>-</v>
      </c>
      <c r="D6900" t="str">
        <v>-</v>
      </c>
      <c r="E6900" t="str">
        <v/>
      </c>
      <c r="F6900" t="str">
        <v>-</v>
      </c>
      <c r="G6900" t="str">
        <v>-</v>
      </c>
    </row>
    <row r="6901">
      <c r="A6901">
        <v>6900</v>
      </c>
      <c r="B6901" t="str">
        <v>UBND Ủy ban nhân dân xã Y Sơn  tỉnh Phú Thọ</v>
      </c>
      <c r="C6901" t="str">
        <v>-</v>
      </c>
      <c r="D6901" t="str">
        <v>-</v>
      </c>
      <c r="E6901" t="str">
        <v>-</v>
      </c>
      <c r="F6901" t="str">
        <v>-</v>
      </c>
      <c r="G6901" t="str">
        <v>-</v>
      </c>
    </row>
    <row r="6902">
      <c r="A6902">
        <v>6901</v>
      </c>
      <c r="B6902" t="str">
        <v>Công an xã Hương Xạ  tỉnh Phú Thọ</v>
      </c>
      <c r="C6902" t="str">
        <v>-</v>
      </c>
      <c r="D6902" t="str">
        <v>-</v>
      </c>
      <c r="E6902" t="str">
        <v/>
      </c>
      <c r="F6902" t="str">
        <v>-</v>
      </c>
      <c r="G6902" t="str">
        <v>-</v>
      </c>
    </row>
    <row r="6903">
      <c r="A6903">
        <v>6902</v>
      </c>
      <c r="B6903" t="str">
        <v>UBND Ủy ban nhân dân xã Hương Xạ  tỉnh Phú Thọ</v>
      </c>
      <c r="C6903" t="str">
        <v>-</v>
      </c>
      <c r="D6903" t="str">
        <v>-</v>
      </c>
      <c r="E6903" t="str">
        <v>-</v>
      </c>
      <c r="F6903" t="str">
        <v>-</v>
      </c>
      <c r="G6903" t="str">
        <v>-</v>
      </c>
    </row>
    <row r="6904">
      <c r="A6904">
        <v>6903</v>
      </c>
      <c r="B6904" t="str">
        <v>Công an xã Cáo Điền  tỉnh Phú Thọ</v>
      </c>
      <c r="C6904" t="str">
        <v>-</v>
      </c>
      <c r="D6904" t="str">
        <v>-</v>
      </c>
      <c r="E6904" t="str">
        <v/>
      </c>
      <c r="F6904" t="str">
        <v>-</v>
      </c>
      <c r="G6904" t="str">
        <v>-</v>
      </c>
    </row>
    <row r="6905">
      <c r="A6905">
        <v>6904</v>
      </c>
      <c r="B6905" t="str">
        <v>UBND Ủy ban nhân dân xã Cáo Điền  tỉnh Phú Thọ</v>
      </c>
      <c r="C6905" t="str">
        <v>-</v>
      </c>
      <c r="D6905" t="str">
        <v>-</v>
      </c>
      <c r="E6905" t="str">
        <v>-</v>
      </c>
      <c r="F6905" t="str">
        <v>-</v>
      </c>
      <c r="G6905" t="str">
        <v>-</v>
      </c>
    </row>
    <row r="6906">
      <c r="A6906">
        <v>6905</v>
      </c>
      <c r="B6906" t="str">
        <v>Công an xã Xuân Áng  tỉnh Phú Thọ</v>
      </c>
      <c r="C6906" t="str">
        <v>-</v>
      </c>
      <c r="D6906" t="str">
        <v>-</v>
      </c>
      <c r="E6906" t="str">
        <v/>
      </c>
      <c r="F6906" t="str">
        <v>-</v>
      </c>
      <c r="G6906" t="str">
        <v>-</v>
      </c>
    </row>
    <row r="6907">
      <c r="A6907">
        <v>6906</v>
      </c>
      <c r="B6907" t="str">
        <v>UBND Ủy ban nhân dân xã Xuân Áng  tỉnh Phú Thọ</v>
      </c>
      <c r="C6907" t="str">
        <v>-</v>
      </c>
      <c r="D6907" t="str">
        <v>-</v>
      </c>
      <c r="E6907" t="str">
        <v>-</v>
      </c>
      <c r="F6907" t="str">
        <v>-</v>
      </c>
      <c r="G6907" t="str">
        <v>-</v>
      </c>
    </row>
    <row r="6908">
      <c r="A6908">
        <v>6907</v>
      </c>
      <c r="B6908" t="str">
        <v>Công an xã Yên Kỳ  tỉnh Phú Thọ</v>
      </c>
      <c r="C6908" t="str">
        <v>-</v>
      </c>
      <c r="D6908" t="str">
        <v>-</v>
      </c>
      <c r="E6908" t="str">
        <v/>
      </c>
      <c r="F6908" t="str">
        <v>-</v>
      </c>
      <c r="G6908" t="str">
        <v>-</v>
      </c>
    </row>
    <row r="6909">
      <c r="A6909">
        <v>6908</v>
      </c>
      <c r="B6909" t="str">
        <v>UBND Ủy ban nhân dân xã Yên Kỳ  tỉnh Phú Thọ</v>
      </c>
      <c r="C6909" t="str">
        <v>-</v>
      </c>
      <c r="D6909" t="str">
        <v>-</v>
      </c>
      <c r="E6909" t="str">
        <v>-</v>
      </c>
      <c r="F6909" t="str">
        <v>-</v>
      </c>
      <c r="G6909" t="str">
        <v>-</v>
      </c>
    </row>
    <row r="6910">
      <c r="A6910">
        <v>6909</v>
      </c>
      <c r="B6910" t="str">
        <v>Công an xã Cáo Điền tỉnh Phú Thọ</v>
      </c>
      <c r="C6910" t="str">
        <v>-</v>
      </c>
      <c r="D6910" t="str">
        <v>-</v>
      </c>
      <c r="E6910" t="str">
        <v/>
      </c>
      <c r="F6910" t="str">
        <v>-</v>
      </c>
      <c r="G6910" t="str">
        <v>-</v>
      </c>
    </row>
    <row r="6911">
      <c r="A6911">
        <v>6910</v>
      </c>
      <c r="B6911" t="str">
        <v>UBND Ủy ban nhân dân xã Cáo Điền tỉnh Phú Thọ</v>
      </c>
      <c r="C6911" t="str">
        <v>-</v>
      </c>
      <c r="D6911" t="str">
        <v>-</v>
      </c>
      <c r="E6911" t="str">
        <v>-</v>
      </c>
      <c r="F6911" t="str">
        <v>-</v>
      </c>
      <c r="G6911" t="str">
        <v>-</v>
      </c>
    </row>
    <row r="6912">
      <c r="A6912">
        <v>6911</v>
      </c>
      <c r="B6912" t="str">
        <v>Công an xã Minh Hạc  tỉnh Phú Thọ</v>
      </c>
      <c r="C6912" t="str">
        <v>-</v>
      </c>
      <c r="D6912" t="str">
        <v>-</v>
      </c>
      <c r="E6912" t="str">
        <v/>
      </c>
      <c r="F6912" t="str">
        <v>-</v>
      </c>
      <c r="G6912" t="str">
        <v>-</v>
      </c>
    </row>
    <row r="6913">
      <c r="A6913">
        <v>6912</v>
      </c>
      <c r="B6913" t="str">
        <v>UBND Ủy ban nhân dân xã Minh Hạc  tỉnh Phú Thọ</v>
      </c>
      <c r="C6913" t="str">
        <v>-</v>
      </c>
      <c r="D6913" t="str">
        <v>-</v>
      </c>
      <c r="E6913" t="str">
        <v>-</v>
      </c>
      <c r="F6913" t="str">
        <v>-</v>
      </c>
      <c r="G6913" t="str">
        <v>-</v>
      </c>
    </row>
    <row r="6914">
      <c r="A6914">
        <v>6913</v>
      </c>
      <c r="B6914" t="str">
        <v>Công an xã Lang Sơn  tỉnh Phú Thọ</v>
      </c>
      <c r="C6914" t="str">
        <v>-</v>
      </c>
      <c r="D6914" t="str">
        <v>-</v>
      </c>
      <c r="E6914" t="str">
        <v/>
      </c>
      <c r="F6914" t="str">
        <v>-</v>
      </c>
      <c r="G6914" t="str">
        <v>-</v>
      </c>
    </row>
    <row r="6915">
      <c r="A6915">
        <v>6914</v>
      </c>
      <c r="B6915" t="str">
        <v>UBND Ủy ban nhân dân xã Lang Sơn  tỉnh Phú Thọ</v>
      </c>
      <c r="C6915" t="str">
        <v>-</v>
      </c>
      <c r="D6915" t="str">
        <v>-</v>
      </c>
      <c r="E6915" t="str">
        <v>-</v>
      </c>
      <c r="F6915" t="str">
        <v>-</v>
      </c>
      <c r="G6915" t="str">
        <v>-</v>
      </c>
    </row>
    <row r="6916">
      <c r="A6916">
        <v>6915</v>
      </c>
      <c r="B6916" t="str">
        <v>Công an xã Bằng Giã  tỉnh Phú Thọ</v>
      </c>
      <c r="C6916" t="str">
        <v>-</v>
      </c>
      <c r="D6916" t="str">
        <v>-</v>
      </c>
      <c r="E6916" t="str">
        <v/>
      </c>
      <c r="F6916" t="str">
        <v>-</v>
      </c>
      <c r="G6916" t="str">
        <v>-</v>
      </c>
    </row>
    <row r="6917">
      <c r="A6917">
        <v>6916</v>
      </c>
      <c r="B6917" t="str">
        <v>UBND Ủy ban nhân dân xã Bằng Giã  tỉnh Phú Thọ</v>
      </c>
      <c r="C6917" t="str">
        <v>-</v>
      </c>
      <c r="D6917" t="str">
        <v>-</v>
      </c>
      <c r="E6917" t="str">
        <v>-</v>
      </c>
      <c r="F6917" t="str">
        <v>-</v>
      </c>
      <c r="G6917" t="str">
        <v>-</v>
      </c>
    </row>
    <row r="6918">
      <c r="A6918">
        <v>6917</v>
      </c>
      <c r="B6918" t="str">
        <v>Công an xã Yên Luật  tỉnh Phú Thọ</v>
      </c>
      <c r="C6918" t="str">
        <v>-</v>
      </c>
      <c r="D6918" t="str">
        <v>-</v>
      </c>
      <c r="E6918" t="str">
        <v/>
      </c>
      <c r="F6918" t="str">
        <v>-</v>
      </c>
      <c r="G6918" t="str">
        <v>-</v>
      </c>
    </row>
    <row r="6919">
      <c r="A6919">
        <v>6918</v>
      </c>
      <c r="B6919" t="str">
        <v>UBND Ủy ban nhân dân xã Yên Luật  tỉnh Phú Thọ</v>
      </c>
      <c r="C6919" t="str">
        <v>-</v>
      </c>
      <c r="D6919" t="str">
        <v>-</v>
      </c>
      <c r="E6919" t="str">
        <v>-</v>
      </c>
      <c r="F6919" t="str">
        <v>-</v>
      </c>
      <c r="G6919" t="str">
        <v>-</v>
      </c>
    </row>
    <row r="6920">
      <c r="A6920">
        <v>6919</v>
      </c>
      <c r="B6920" t="str">
        <v>Công an xã Vô Tranh  tỉnh Phú Thọ</v>
      </c>
      <c r="C6920" t="str">
        <v>-</v>
      </c>
      <c r="D6920" t="str">
        <v>-</v>
      </c>
      <c r="E6920" t="str">
        <v/>
      </c>
      <c r="F6920" t="str">
        <v>-</v>
      </c>
      <c r="G6920" t="str">
        <v>-</v>
      </c>
    </row>
    <row r="6921">
      <c r="A6921">
        <v>6920</v>
      </c>
      <c r="B6921" t="str">
        <v>UBND Ủy ban nhân dân xã Vô Tranh  tỉnh Phú Thọ</v>
      </c>
      <c r="C6921" t="str">
        <v>-</v>
      </c>
      <c r="D6921" t="str">
        <v>-</v>
      </c>
      <c r="E6921" t="str">
        <v>-</v>
      </c>
      <c r="F6921" t="str">
        <v>-</v>
      </c>
      <c r="G6921" t="str">
        <v>-</v>
      </c>
    </row>
    <row r="6922">
      <c r="A6922">
        <v>6921</v>
      </c>
      <c r="B6922" t="str">
        <v>Công an xã Văn Lang  tỉnh Phú Thọ</v>
      </c>
      <c r="C6922" t="str">
        <v>-</v>
      </c>
      <c r="D6922" t="str">
        <v>-</v>
      </c>
      <c r="E6922" t="str">
        <v/>
      </c>
      <c r="F6922" t="str">
        <v>-</v>
      </c>
      <c r="G6922" t="str">
        <v>-</v>
      </c>
    </row>
    <row r="6923">
      <c r="A6923">
        <v>6922</v>
      </c>
      <c r="B6923" t="str">
        <v>UBND Ủy ban nhân dân xã Văn Lang  tỉnh Phú Thọ</v>
      </c>
      <c r="C6923" t="str">
        <v>-</v>
      </c>
      <c r="D6923" t="str">
        <v>-</v>
      </c>
      <c r="E6923" t="str">
        <v>-</v>
      </c>
      <c r="F6923" t="str">
        <v>-</v>
      </c>
      <c r="G6923" t="str">
        <v>-</v>
      </c>
    </row>
    <row r="6924">
      <c r="A6924">
        <v>6923</v>
      </c>
      <c r="B6924" t="str">
        <v>Công an xã Chính Công  tỉnh Phú Thọ</v>
      </c>
      <c r="C6924" t="str">
        <v>-</v>
      </c>
      <c r="D6924" t="str">
        <v>-</v>
      </c>
      <c r="E6924" t="str">
        <v/>
      </c>
      <c r="F6924" t="str">
        <v>-</v>
      </c>
      <c r="G6924" t="str">
        <v>-</v>
      </c>
    </row>
    <row r="6925">
      <c r="A6925">
        <v>6924</v>
      </c>
      <c r="B6925" t="str">
        <v>UBND Ủy ban nhân dân xã Chính Công  tỉnh Phú Thọ</v>
      </c>
      <c r="C6925" t="str">
        <v>-</v>
      </c>
      <c r="D6925" t="str">
        <v>-</v>
      </c>
      <c r="E6925" t="str">
        <v>-</v>
      </c>
      <c r="F6925" t="str">
        <v>-</v>
      </c>
      <c r="G6925" t="str">
        <v>-</v>
      </c>
    </row>
    <row r="6926">
      <c r="A6926">
        <v>6925</v>
      </c>
      <c r="B6926" t="str">
        <v>Công an xã Minh Côi  tỉnh Phú Thọ</v>
      </c>
      <c r="C6926" t="str">
        <v>-</v>
      </c>
      <c r="D6926" t="str">
        <v>-</v>
      </c>
      <c r="E6926" t="str">
        <v/>
      </c>
      <c r="F6926" t="str">
        <v>-</v>
      </c>
      <c r="G6926" t="str">
        <v>-</v>
      </c>
    </row>
    <row r="6927">
      <c r="A6927">
        <v>6926</v>
      </c>
      <c r="B6927" t="str">
        <v>UBND Ủy ban nhân dân xã Minh Côi  tỉnh Phú Thọ</v>
      </c>
      <c r="C6927" t="str">
        <v>-</v>
      </c>
      <c r="D6927" t="str">
        <v>-</v>
      </c>
      <c r="E6927" t="str">
        <v>-</v>
      </c>
      <c r="F6927" t="str">
        <v>-</v>
      </c>
      <c r="G6927" t="str">
        <v>-</v>
      </c>
    </row>
    <row r="6928">
      <c r="A6928">
        <v>6927</v>
      </c>
      <c r="B6928" t="str">
        <v>Công an xã Vĩnh Chân  tỉnh Phú Thọ</v>
      </c>
      <c r="C6928" t="str">
        <v>-</v>
      </c>
      <c r="D6928" t="str">
        <v>-</v>
      </c>
      <c r="E6928" t="str">
        <v/>
      </c>
      <c r="F6928" t="str">
        <v>-</v>
      </c>
      <c r="G6928" t="str">
        <v>-</v>
      </c>
    </row>
    <row r="6929">
      <c r="A6929">
        <v>6928</v>
      </c>
      <c r="B6929" t="str">
        <v>UBND Ủy ban nhân dân xã Vĩnh Chân  tỉnh Phú Thọ</v>
      </c>
      <c r="C6929" t="str">
        <v>-</v>
      </c>
      <c r="D6929" t="str">
        <v>-</v>
      </c>
      <c r="E6929" t="str">
        <v>-</v>
      </c>
      <c r="F6929" t="str">
        <v>-</v>
      </c>
      <c r="G6929" t="str">
        <v>-</v>
      </c>
    </row>
    <row r="6930">
      <c r="A6930">
        <v>6929</v>
      </c>
      <c r="B6930" t="str">
        <v>Công an xã Mai Tùng  tỉnh Phú Thọ</v>
      </c>
      <c r="C6930" t="str">
        <v>-</v>
      </c>
      <c r="D6930" t="str">
        <v>-</v>
      </c>
      <c r="E6930" t="str">
        <v/>
      </c>
      <c r="F6930" t="str">
        <v>-</v>
      </c>
      <c r="G6930" t="str">
        <v>-</v>
      </c>
    </row>
    <row r="6931">
      <c r="A6931">
        <v>6930</v>
      </c>
      <c r="B6931" t="str">
        <v>UBND Ủy ban nhân dân xã Mai Tùng  tỉnh Phú Thọ</v>
      </c>
      <c r="C6931" t="str">
        <v>-</v>
      </c>
      <c r="D6931" t="str">
        <v>-</v>
      </c>
      <c r="E6931" t="str">
        <v>-</v>
      </c>
      <c r="F6931" t="str">
        <v>-</v>
      </c>
      <c r="G6931" t="str">
        <v>-</v>
      </c>
    </row>
    <row r="6932">
      <c r="A6932">
        <v>6931</v>
      </c>
      <c r="B6932" t="str">
        <v>Công an xã Vụ Cầu  tỉnh Phú Thọ</v>
      </c>
      <c r="C6932" t="str">
        <v>-</v>
      </c>
      <c r="D6932" t="str">
        <v>-</v>
      </c>
      <c r="E6932" t="str">
        <v/>
      </c>
      <c r="F6932" t="str">
        <v>-</v>
      </c>
      <c r="G6932" t="str">
        <v>-</v>
      </c>
    </row>
    <row r="6933">
      <c r="A6933">
        <v>6932</v>
      </c>
      <c r="B6933" t="str">
        <v>UBND Ủy ban nhân dân xã Vụ Cầu  tỉnh Phú Thọ</v>
      </c>
      <c r="C6933" t="str">
        <v>-</v>
      </c>
      <c r="D6933" t="str">
        <v>-</v>
      </c>
      <c r="E6933" t="str">
        <v>-</v>
      </c>
      <c r="F6933" t="str">
        <v>-</v>
      </c>
      <c r="G6933" t="str">
        <v>-</v>
      </c>
    </row>
    <row r="6934">
      <c r="A6934">
        <v>6933</v>
      </c>
      <c r="B6934" t="str">
        <v>Công an thị trấn Thanh Ba  tỉnh Phú Thọ</v>
      </c>
      <c r="C6934" t="str">
        <v>-</v>
      </c>
      <c r="D6934" t="str">
        <v>-</v>
      </c>
      <c r="E6934" t="str">
        <v/>
      </c>
      <c r="F6934" t="str">
        <v>-</v>
      </c>
      <c r="G6934" t="str">
        <v>-</v>
      </c>
    </row>
    <row r="6935">
      <c r="A6935">
        <v>6934</v>
      </c>
      <c r="B6935" t="str">
        <v>UBND Ủy ban nhân dân thị trấn Thanh Ba  tỉnh Phú Thọ</v>
      </c>
      <c r="C6935" t="str">
        <v>-</v>
      </c>
      <c r="D6935" t="str">
        <v>-</v>
      </c>
      <c r="E6935" t="str">
        <v>-</v>
      </c>
      <c r="F6935" t="str">
        <v>-</v>
      </c>
      <c r="G6935" t="str">
        <v>-</v>
      </c>
    </row>
    <row r="6936">
      <c r="A6936">
        <v>6935</v>
      </c>
      <c r="B6936" t="str">
        <v>Công an xã Thanh Vân  tỉnh Phú Thọ</v>
      </c>
      <c r="C6936" t="str">
        <v>-</v>
      </c>
      <c r="D6936" t="str">
        <v>-</v>
      </c>
      <c r="E6936" t="str">
        <v/>
      </c>
      <c r="F6936" t="str">
        <v>-</v>
      </c>
      <c r="G6936" t="str">
        <v>-</v>
      </c>
    </row>
    <row r="6937">
      <c r="A6937">
        <v>6936</v>
      </c>
      <c r="B6937" t="str">
        <v>UBND Ủy ban nhân dân xã Thanh Vân  tỉnh Phú Thọ</v>
      </c>
      <c r="C6937" t="str">
        <v>-</v>
      </c>
      <c r="D6937" t="str">
        <v>-</v>
      </c>
      <c r="E6937" t="str">
        <v>-</v>
      </c>
      <c r="F6937" t="str">
        <v>-</v>
      </c>
      <c r="G6937" t="str">
        <v>-</v>
      </c>
    </row>
    <row r="6938">
      <c r="A6938">
        <v>6937</v>
      </c>
      <c r="B6938" t="str">
        <v>Công an xã Vân Lĩnh  tỉnh Phú Thọ</v>
      </c>
      <c r="C6938" t="str">
        <v>-</v>
      </c>
      <c r="D6938" t="str">
        <v>-</v>
      </c>
      <c r="E6938" t="str">
        <v/>
      </c>
      <c r="F6938" t="str">
        <v>-</v>
      </c>
      <c r="G6938" t="str">
        <v>-</v>
      </c>
    </row>
    <row r="6939">
      <c r="A6939">
        <v>6938</v>
      </c>
      <c r="B6939" t="str">
        <v>UBND Ủy ban nhân dân xã Vân Lĩnh  tỉnh Phú Thọ</v>
      </c>
      <c r="C6939" t="str">
        <v>-</v>
      </c>
      <c r="D6939" t="str">
        <v>-</v>
      </c>
      <c r="E6939" t="str">
        <v>-</v>
      </c>
      <c r="F6939" t="str">
        <v>-</v>
      </c>
      <c r="G6939" t="str">
        <v>-</v>
      </c>
    </row>
    <row r="6940">
      <c r="A6940">
        <v>6939</v>
      </c>
      <c r="B6940" t="str">
        <v>Công an xã Đông Lĩnh  tỉnh Phú Thọ</v>
      </c>
      <c r="C6940" t="str">
        <v>-</v>
      </c>
      <c r="D6940" t="str">
        <v>-</v>
      </c>
      <c r="E6940" t="str">
        <v/>
      </c>
      <c r="F6940" t="str">
        <v>-</v>
      </c>
      <c r="G6940" t="str">
        <v>-</v>
      </c>
    </row>
    <row r="6941">
      <c r="A6941">
        <v>6940</v>
      </c>
      <c r="B6941" t="str">
        <v>UBND Ủy ban nhân dân xã Đông Lĩnh  tỉnh Phú Thọ</v>
      </c>
      <c r="C6941" t="str">
        <v>-</v>
      </c>
      <c r="D6941" t="str">
        <v>-</v>
      </c>
      <c r="E6941" t="str">
        <v>-</v>
      </c>
      <c r="F6941" t="str">
        <v>-</v>
      </c>
      <c r="G6941" t="str">
        <v>-</v>
      </c>
    </row>
    <row r="6942">
      <c r="A6942">
        <v>6941</v>
      </c>
      <c r="B6942" t="str">
        <v>Công an xã Đại An  tỉnh Phú Thọ</v>
      </c>
      <c r="C6942" t="str">
        <v>-</v>
      </c>
      <c r="D6942" t="str">
        <v>-</v>
      </c>
      <c r="E6942" t="str">
        <v/>
      </c>
      <c r="F6942" t="str">
        <v>-</v>
      </c>
      <c r="G6942" t="str">
        <v>-</v>
      </c>
    </row>
    <row r="6943">
      <c r="A6943">
        <v>6942</v>
      </c>
      <c r="B6943" t="str">
        <v>UBND Ủy ban nhân dân xã Đại An  tỉnh Phú Thọ</v>
      </c>
      <c r="C6943" t="str">
        <v>-</v>
      </c>
      <c r="D6943" t="str">
        <v>-</v>
      </c>
      <c r="E6943" t="str">
        <v>-</v>
      </c>
      <c r="F6943" t="str">
        <v>-</v>
      </c>
      <c r="G6943" t="str">
        <v>-</v>
      </c>
    </row>
    <row r="6944">
      <c r="A6944">
        <v>6943</v>
      </c>
      <c r="B6944" t="str">
        <v>Công an xã Hanh Cù  tỉnh Phú Thọ</v>
      </c>
      <c r="C6944" t="str">
        <v>-</v>
      </c>
      <c r="D6944" t="str">
        <v>-</v>
      </c>
      <c r="E6944" t="str">
        <v/>
      </c>
      <c r="F6944" t="str">
        <v>-</v>
      </c>
      <c r="G6944" t="str">
        <v>-</v>
      </c>
    </row>
    <row r="6945">
      <c r="A6945">
        <v>6944</v>
      </c>
      <c r="B6945" t="str">
        <v>UBND Ủy ban nhân dân xã Hanh Cù  tỉnh Phú Thọ</v>
      </c>
      <c r="C6945" t="str">
        <v>-</v>
      </c>
      <c r="D6945" t="str">
        <v>-</v>
      </c>
      <c r="E6945" t="str">
        <v>-</v>
      </c>
      <c r="F6945" t="str">
        <v>-</v>
      </c>
      <c r="G6945" t="str">
        <v>-</v>
      </c>
    </row>
    <row r="6946">
      <c r="A6946">
        <v>6945</v>
      </c>
      <c r="B6946" t="str">
        <v>Công an xã Thái Ninh  tỉnh Phú Thọ</v>
      </c>
      <c r="C6946" t="str">
        <v>-</v>
      </c>
      <c r="D6946" t="str">
        <v>-</v>
      </c>
      <c r="E6946" t="str">
        <v/>
      </c>
      <c r="F6946" t="str">
        <v>-</v>
      </c>
      <c r="G6946" t="str">
        <v>-</v>
      </c>
    </row>
    <row r="6947">
      <c r="A6947">
        <v>6946</v>
      </c>
      <c r="B6947" t="str">
        <v>UBND Ủy ban nhân dân xã Thái Ninh  tỉnh Phú Thọ</v>
      </c>
      <c r="C6947" t="str">
        <v>-</v>
      </c>
      <c r="D6947" t="str">
        <v>-</v>
      </c>
      <c r="E6947" t="str">
        <v>-</v>
      </c>
      <c r="F6947" t="str">
        <v>-</v>
      </c>
      <c r="G6947" t="str">
        <v>-</v>
      </c>
    </row>
    <row r="6948">
      <c r="A6948">
        <v>6947</v>
      </c>
      <c r="B6948" t="str">
        <v>Công an xã Đồng Xuân  tỉnh Phú Thọ</v>
      </c>
      <c r="C6948" t="str">
        <v>-</v>
      </c>
      <c r="D6948" t="str">
        <v>-</v>
      </c>
      <c r="E6948" t="str">
        <v/>
      </c>
      <c r="F6948" t="str">
        <v>-</v>
      </c>
      <c r="G6948" t="str">
        <v>-</v>
      </c>
    </row>
    <row r="6949">
      <c r="A6949">
        <v>6948</v>
      </c>
      <c r="B6949" t="str">
        <v>UBND Ủy ban nhân dân xã Đồng Xuân  tỉnh Phú Thọ</v>
      </c>
      <c r="C6949" t="str">
        <v>-</v>
      </c>
      <c r="D6949" t="str">
        <v>-</v>
      </c>
      <c r="E6949" t="str">
        <v>-</v>
      </c>
      <c r="F6949" t="str">
        <v>-</v>
      </c>
      <c r="G6949" t="str">
        <v>-</v>
      </c>
    </row>
    <row r="6950">
      <c r="A6950">
        <v>6949</v>
      </c>
      <c r="B6950" t="str">
        <v>Công an xã Năng Yên  tỉnh Phú Thọ</v>
      </c>
      <c r="C6950" t="str">
        <v>-</v>
      </c>
      <c r="D6950" t="str">
        <v>-</v>
      </c>
      <c r="E6950" t="str">
        <v/>
      </c>
      <c r="F6950" t="str">
        <v>-</v>
      </c>
      <c r="G6950" t="str">
        <v>-</v>
      </c>
    </row>
    <row r="6951">
      <c r="A6951">
        <v>6950</v>
      </c>
      <c r="B6951" t="str">
        <v>UBND Ủy ban nhân dân xã Năng Yên  tỉnh Phú Thọ</v>
      </c>
      <c r="C6951" t="str">
        <v>-</v>
      </c>
      <c r="D6951" t="str">
        <v>-</v>
      </c>
      <c r="E6951" t="str">
        <v>-</v>
      </c>
      <c r="F6951" t="str">
        <v>-</v>
      </c>
      <c r="G6951" t="str">
        <v>-</v>
      </c>
    </row>
    <row r="6952">
      <c r="A6952">
        <v>6951</v>
      </c>
      <c r="B6952" t="str">
        <v>Công an xã Yển Khê  tỉnh Phú Thọ</v>
      </c>
      <c r="C6952" t="str">
        <v>-</v>
      </c>
      <c r="D6952" t="str">
        <v>-</v>
      </c>
      <c r="E6952" t="str">
        <v/>
      </c>
      <c r="F6952" t="str">
        <v>-</v>
      </c>
      <c r="G6952" t="str">
        <v>-</v>
      </c>
    </row>
    <row r="6953">
      <c r="A6953">
        <v>6952</v>
      </c>
      <c r="B6953" t="str">
        <v>UBND Ủy ban nhân dân xã Yển Khê  tỉnh Phú Thọ</v>
      </c>
      <c r="C6953" t="str">
        <v>-</v>
      </c>
      <c r="D6953" t="str">
        <v>-</v>
      </c>
      <c r="E6953" t="str">
        <v>-</v>
      </c>
      <c r="F6953" t="str">
        <v>-</v>
      </c>
      <c r="G6953" t="str">
        <v>-</v>
      </c>
    </row>
    <row r="6954">
      <c r="A6954">
        <v>6953</v>
      </c>
      <c r="B6954" t="str">
        <v>Công an xã Ninh Dân  tỉnh Phú Thọ</v>
      </c>
      <c r="C6954" t="str">
        <v>-</v>
      </c>
      <c r="D6954" t="str">
        <v>-</v>
      </c>
      <c r="E6954" t="str">
        <v/>
      </c>
      <c r="F6954" t="str">
        <v>-</v>
      </c>
      <c r="G6954" t="str">
        <v>-</v>
      </c>
    </row>
    <row r="6955">
      <c r="A6955">
        <v>6954</v>
      </c>
      <c r="B6955" t="str">
        <v>UBND Ủy ban nhân dân xã Ninh Dân  tỉnh Phú Thọ</v>
      </c>
      <c r="C6955" t="str">
        <v>-</v>
      </c>
      <c r="D6955" t="str">
        <v>-</v>
      </c>
      <c r="E6955" t="str">
        <v>-</v>
      </c>
      <c r="F6955" t="str">
        <v>-</v>
      </c>
      <c r="G6955" t="str">
        <v>-</v>
      </c>
    </row>
    <row r="6956">
      <c r="A6956">
        <v>6955</v>
      </c>
      <c r="B6956" t="str">
        <v>Công an xã Quảng Nạp  tỉnh Phú Thọ</v>
      </c>
      <c r="C6956" t="str">
        <v>-</v>
      </c>
      <c r="D6956" t="str">
        <v>-</v>
      </c>
      <c r="E6956" t="str">
        <v/>
      </c>
      <c r="F6956" t="str">
        <v>-</v>
      </c>
      <c r="G6956" t="str">
        <v>-</v>
      </c>
    </row>
    <row r="6957">
      <c r="A6957">
        <v>6956</v>
      </c>
      <c r="B6957" t="str">
        <v>UBND Ủy ban nhân dân xã Quảng Nạp  tỉnh Phú Thọ</v>
      </c>
      <c r="C6957" t="str">
        <v>-</v>
      </c>
      <c r="D6957" t="str">
        <v>-</v>
      </c>
      <c r="E6957" t="str">
        <v>-</v>
      </c>
      <c r="F6957" t="str">
        <v>-</v>
      </c>
      <c r="G6957" t="str">
        <v>-</v>
      </c>
    </row>
    <row r="6958">
      <c r="A6958">
        <v>6957</v>
      </c>
      <c r="B6958" t="str">
        <v>Công an xã Vũ Yển  tỉnh Phú Thọ</v>
      </c>
      <c r="C6958" t="str">
        <v>-</v>
      </c>
      <c r="D6958" t="str">
        <v>-</v>
      </c>
      <c r="E6958" t="str">
        <v/>
      </c>
      <c r="F6958" t="str">
        <v>-</v>
      </c>
      <c r="G6958" t="str">
        <v>-</v>
      </c>
    </row>
    <row r="6959">
      <c r="A6959">
        <v>6958</v>
      </c>
      <c r="B6959" t="str">
        <v>UBND Ủy ban nhân dân xã Vũ Yển  tỉnh Phú Thọ</v>
      </c>
      <c r="C6959" t="str">
        <v>-</v>
      </c>
      <c r="D6959" t="str">
        <v>-</v>
      </c>
      <c r="E6959" t="str">
        <v>-</v>
      </c>
      <c r="F6959" t="str">
        <v>-</v>
      </c>
      <c r="G6959" t="str">
        <v>-</v>
      </c>
    </row>
    <row r="6960">
      <c r="A6960">
        <v>6959</v>
      </c>
      <c r="B6960" t="str">
        <v>Công an xã Yên Nội  tỉnh Phú Thọ</v>
      </c>
      <c r="C6960" t="str">
        <v>-</v>
      </c>
      <c r="D6960" t="str">
        <v>-</v>
      </c>
      <c r="E6960" t="str">
        <v/>
      </c>
      <c r="F6960" t="str">
        <v>-</v>
      </c>
      <c r="G6960" t="str">
        <v>-</v>
      </c>
    </row>
    <row r="6961">
      <c r="A6961">
        <v>6960</v>
      </c>
      <c r="B6961" t="str">
        <v>UBND Ủy ban nhân dân xã Yên Nội  tỉnh Phú Thọ</v>
      </c>
      <c r="C6961" t="str">
        <v>-</v>
      </c>
      <c r="D6961" t="str">
        <v>-</v>
      </c>
      <c r="E6961" t="str">
        <v>-</v>
      </c>
      <c r="F6961" t="str">
        <v>-</v>
      </c>
      <c r="G6961" t="str">
        <v>-</v>
      </c>
    </row>
    <row r="6962">
      <c r="A6962">
        <v>6961</v>
      </c>
      <c r="B6962" t="str">
        <v>Công an xã Phương Lĩnh  tỉnh Phú Thọ</v>
      </c>
      <c r="C6962" t="str">
        <v>-</v>
      </c>
      <c r="D6962" t="str">
        <v>-</v>
      </c>
      <c r="E6962" t="str">
        <v/>
      </c>
      <c r="F6962" t="str">
        <v>-</v>
      </c>
      <c r="G6962" t="str">
        <v>-</v>
      </c>
    </row>
    <row r="6963">
      <c r="A6963">
        <v>6962</v>
      </c>
      <c r="B6963" t="str">
        <v>UBND Ủy ban nhân dân xã Phương Lĩnh  tỉnh Phú Thọ</v>
      </c>
      <c r="C6963" t="str">
        <v>-</v>
      </c>
      <c r="D6963" t="str">
        <v>-</v>
      </c>
      <c r="E6963" t="str">
        <v>-</v>
      </c>
      <c r="F6963" t="str">
        <v>-</v>
      </c>
      <c r="G6963" t="str">
        <v>-</v>
      </c>
    </row>
    <row r="6964">
      <c r="A6964">
        <v>6963</v>
      </c>
      <c r="B6964" t="str">
        <v>Công an xã Võ Lao  tỉnh Phú Thọ</v>
      </c>
      <c r="C6964" t="str">
        <v>-</v>
      </c>
      <c r="D6964" t="str">
        <v>-</v>
      </c>
      <c r="E6964" t="str">
        <v/>
      </c>
      <c r="F6964" t="str">
        <v>-</v>
      </c>
      <c r="G6964" t="str">
        <v>-</v>
      </c>
    </row>
    <row r="6965">
      <c r="A6965">
        <v>6964</v>
      </c>
      <c r="B6965" t="str">
        <v>UBND Ủy ban nhân dân xã Võ Lao  tỉnh Phú Thọ</v>
      </c>
      <c r="C6965" t="str">
        <v>-</v>
      </c>
      <c r="D6965" t="str">
        <v>-</v>
      </c>
      <c r="E6965" t="str">
        <v>-</v>
      </c>
      <c r="F6965" t="str">
        <v>-</v>
      </c>
      <c r="G6965" t="str">
        <v>-</v>
      </c>
    </row>
    <row r="6966">
      <c r="A6966">
        <v>6965</v>
      </c>
      <c r="B6966" t="str">
        <v>Công an xã Khải Xuân  tỉnh Phú Thọ</v>
      </c>
      <c r="C6966" t="str">
        <v>-</v>
      </c>
      <c r="D6966" t="str">
        <v>-</v>
      </c>
      <c r="E6966" t="str">
        <v/>
      </c>
      <c r="F6966" t="str">
        <v>-</v>
      </c>
      <c r="G6966" t="str">
        <v>-</v>
      </c>
    </row>
    <row r="6967">
      <c r="A6967">
        <v>6966</v>
      </c>
      <c r="B6967" t="str">
        <v>UBND Ủy ban nhân dân xã Khải Xuân  tỉnh Phú Thọ</v>
      </c>
      <c r="C6967" t="str">
        <v>-</v>
      </c>
      <c r="D6967" t="str">
        <v>-</v>
      </c>
      <c r="E6967" t="str">
        <v>-</v>
      </c>
      <c r="F6967" t="str">
        <v>-</v>
      </c>
      <c r="G6967" t="str">
        <v>-</v>
      </c>
    </row>
    <row r="6968">
      <c r="A6968">
        <v>6967</v>
      </c>
      <c r="B6968" t="str">
        <v>Công an xã Mạn Lạn  tỉnh Phú Thọ</v>
      </c>
      <c r="C6968" t="str">
        <v>-</v>
      </c>
      <c r="D6968" t="str">
        <v>-</v>
      </c>
      <c r="E6968" t="str">
        <v/>
      </c>
      <c r="F6968" t="str">
        <v>-</v>
      </c>
      <c r="G6968" t="str">
        <v>-</v>
      </c>
    </row>
    <row r="6969">
      <c r="A6969">
        <v>6968</v>
      </c>
      <c r="B6969" t="str">
        <v>UBND Ủy ban nhân dân xã Mạn Lạn  tỉnh Phú Thọ</v>
      </c>
      <c r="C6969" t="str">
        <v>-</v>
      </c>
      <c r="D6969" t="str">
        <v>-</v>
      </c>
      <c r="E6969" t="str">
        <v>-</v>
      </c>
      <c r="F6969" t="str">
        <v>-</v>
      </c>
      <c r="G6969" t="str">
        <v>-</v>
      </c>
    </row>
    <row r="6970">
      <c r="A6970">
        <v>6969</v>
      </c>
      <c r="B6970" t="str">
        <v>Công an xã Thanh Xá  tỉnh Phú Thọ</v>
      </c>
      <c r="C6970" t="str">
        <v>-</v>
      </c>
      <c r="D6970" t="str">
        <v>-</v>
      </c>
      <c r="E6970" t="str">
        <v/>
      </c>
      <c r="F6970" t="str">
        <v>-</v>
      </c>
      <c r="G6970" t="str">
        <v>-</v>
      </c>
    </row>
    <row r="6971">
      <c r="A6971">
        <v>6970</v>
      </c>
      <c r="B6971" t="str">
        <v>UBND Ủy ban nhân dân xã Thanh Xá  tỉnh Phú Thọ</v>
      </c>
      <c r="C6971" t="str">
        <v>-</v>
      </c>
      <c r="D6971" t="str">
        <v>-</v>
      </c>
      <c r="E6971" t="str">
        <v>-</v>
      </c>
      <c r="F6971" t="str">
        <v>-</v>
      </c>
      <c r="G6971" t="str">
        <v>-</v>
      </c>
    </row>
    <row r="6972">
      <c r="A6972">
        <v>6971</v>
      </c>
      <c r="B6972" t="str">
        <v>Công an xã Chí Tiên  tỉnh Phú Thọ</v>
      </c>
      <c r="C6972" t="str">
        <v>-</v>
      </c>
      <c r="D6972" t="str">
        <v>-</v>
      </c>
      <c r="E6972" t="str">
        <v/>
      </c>
      <c r="F6972" t="str">
        <v>-</v>
      </c>
      <c r="G6972" t="str">
        <v>-</v>
      </c>
    </row>
    <row r="6973">
      <c r="A6973">
        <v>6972</v>
      </c>
      <c r="B6973" t="str">
        <v>UBND Ủy ban nhân dân xã Chí Tiên  tỉnh Phú Thọ</v>
      </c>
      <c r="C6973" t="str">
        <v>-</v>
      </c>
      <c r="D6973" t="str">
        <v>-</v>
      </c>
      <c r="E6973" t="str">
        <v>-</v>
      </c>
      <c r="F6973" t="str">
        <v>-</v>
      </c>
      <c r="G6973" t="str">
        <v>-</v>
      </c>
    </row>
    <row r="6974">
      <c r="A6974">
        <v>6973</v>
      </c>
      <c r="B6974" t="str">
        <v>Công an xã Đông Thành  tỉnh Phú Thọ</v>
      </c>
      <c r="C6974" t="str">
        <v>-</v>
      </c>
      <c r="D6974" t="str">
        <v>-</v>
      </c>
      <c r="E6974" t="str">
        <v/>
      </c>
      <c r="F6974" t="str">
        <v>-</v>
      </c>
      <c r="G6974" t="str">
        <v>-</v>
      </c>
    </row>
    <row r="6975">
      <c r="A6975">
        <v>6974</v>
      </c>
      <c r="B6975" t="str">
        <v>UBND Ủy ban nhân dân xã Đông Thành  tỉnh Phú Thọ</v>
      </c>
      <c r="C6975" t="str">
        <v>-</v>
      </c>
      <c r="D6975" t="str">
        <v>-</v>
      </c>
      <c r="E6975" t="str">
        <v>-</v>
      </c>
      <c r="F6975" t="str">
        <v>-</v>
      </c>
      <c r="G6975" t="str">
        <v>-</v>
      </c>
    </row>
    <row r="6976">
      <c r="A6976">
        <v>6975</v>
      </c>
      <c r="B6976" t="str">
        <v>Công an xã Hoàng Cương  tỉnh Phú Thọ</v>
      </c>
      <c r="C6976" t="str">
        <v>-</v>
      </c>
      <c r="D6976" t="str">
        <v>-</v>
      </c>
      <c r="E6976" t="str">
        <v/>
      </c>
      <c r="F6976" t="str">
        <v>-</v>
      </c>
      <c r="G6976" t="str">
        <v>-</v>
      </c>
    </row>
    <row r="6977">
      <c r="A6977">
        <v>6976</v>
      </c>
      <c r="B6977" t="str">
        <v>UBND Ủy ban nhân dân xã Hoàng Cương  tỉnh Phú Thọ</v>
      </c>
      <c r="C6977" t="str">
        <v>-</v>
      </c>
      <c r="D6977" t="str">
        <v>-</v>
      </c>
      <c r="E6977" t="str">
        <v>-</v>
      </c>
      <c r="F6977" t="str">
        <v>-</v>
      </c>
      <c r="G6977" t="str">
        <v>-</v>
      </c>
    </row>
    <row r="6978">
      <c r="A6978">
        <v>6977</v>
      </c>
      <c r="B6978" t="str">
        <v>Công an xã Sơn Cương  tỉnh Phú Thọ</v>
      </c>
      <c r="C6978" t="str">
        <v>-</v>
      </c>
      <c r="D6978" t="str">
        <v>-</v>
      </c>
      <c r="E6978" t="str">
        <v/>
      </c>
      <c r="F6978" t="str">
        <v>-</v>
      </c>
      <c r="G6978" t="str">
        <v>-</v>
      </c>
    </row>
    <row r="6979">
      <c r="A6979">
        <v>6978</v>
      </c>
      <c r="B6979" t="str">
        <v>UBND Ủy ban nhân dân xã Sơn Cương  tỉnh Phú Thọ</v>
      </c>
      <c r="C6979" t="str">
        <v>-</v>
      </c>
      <c r="D6979" t="str">
        <v>-</v>
      </c>
      <c r="E6979" t="str">
        <v>-</v>
      </c>
      <c r="F6979" t="str">
        <v>-</v>
      </c>
      <c r="G6979" t="str">
        <v>-</v>
      </c>
    </row>
    <row r="6980">
      <c r="A6980">
        <v>6979</v>
      </c>
      <c r="B6980" t="str">
        <v>Công an xã Thanh Hà  tỉnh Phú Thọ</v>
      </c>
      <c r="C6980" t="str">
        <v>-</v>
      </c>
      <c r="D6980" t="str">
        <v>-</v>
      </c>
      <c r="E6980" t="str">
        <v/>
      </c>
      <c r="F6980" t="str">
        <v>-</v>
      </c>
      <c r="G6980" t="str">
        <v>-</v>
      </c>
    </row>
    <row r="6981">
      <c r="A6981">
        <v>6980</v>
      </c>
      <c r="B6981" t="str">
        <v>UBND Ủy ban nhân dân xã Thanh Hà  tỉnh Phú Thọ</v>
      </c>
      <c r="C6981" t="str">
        <v>-</v>
      </c>
      <c r="D6981" t="str">
        <v>-</v>
      </c>
      <c r="E6981" t="str">
        <v>-</v>
      </c>
      <c r="F6981" t="str">
        <v>-</v>
      </c>
      <c r="G6981" t="str">
        <v>-</v>
      </c>
    </row>
    <row r="6982">
      <c r="A6982">
        <v>6981</v>
      </c>
      <c r="B6982" t="str">
        <v>Công an xã Đỗ Sơn  tỉnh Phú Thọ</v>
      </c>
      <c r="C6982" t="str">
        <v>-</v>
      </c>
      <c r="D6982" t="str">
        <v>-</v>
      </c>
      <c r="E6982" t="str">
        <v/>
      </c>
      <c r="F6982" t="str">
        <v>-</v>
      </c>
      <c r="G6982" t="str">
        <v>-</v>
      </c>
    </row>
    <row r="6983">
      <c r="A6983">
        <v>6982</v>
      </c>
      <c r="B6983" t="str">
        <v>UBND Ủy ban nhân dân xã Đỗ Sơn  tỉnh Phú Thọ</v>
      </c>
      <c r="C6983" t="str">
        <v>-</v>
      </c>
      <c r="D6983" t="str">
        <v>-</v>
      </c>
      <c r="E6983" t="str">
        <v>-</v>
      </c>
      <c r="F6983" t="str">
        <v>-</v>
      </c>
      <c r="G6983" t="str">
        <v>-</v>
      </c>
    </row>
    <row r="6984">
      <c r="A6984">
        <v>6983</v>
      </c>
      <c r="B6984" t="str">
        <v>Công an xã Đỗ Xuyên  tỉnh Phú Thọ</v>
      </c>
      <c r="C6984" t="str">
        <v>-</v>
      </c>
      <c r="D6984" t="str">
        <v>-</v>
      </c>
      <c r="E6984" t="str">
        <v/>
      </c>
      <c r="F6984" t="str">
        <v>-</v>
      </c>
      <c r="G6984" t="str">
        <v>-</v>
      </c>
    </row>
    <row r="6985">
      <c r="A6985">
        <v>6984</v>
      </c>
      <c r="B6985" t="str">
        <v>UBND Ủy ban nhân dân xã Đỗ Xuyên  tỉnh Phú Thọ</v>
      </c>
      <c r="C6985" t="str">
        <v>-</v>
      </c>
      <c r="D6985" t="str">
        <v>-</v>
      </c>
      <c r="E6985" t="str">
        <v>-</v>
      </c>
      <c r="F6985" t="str">
        <v>-</v>
      </c>
      <c r="G6985" t="str">
        <v>-</v>
      </c>
    </row>
    <row r="6986">
      <c r="A6986">
        <v>6985</v>
      </c>
      <c r="B6986" t="str">
        <v>Công an xã Lương Lỗ  tỉnh Phú Thọ</v>
      </c>
      <c r="C6986" t="str">
        <v>-</v>
      </c>
      <c r="D6986" t="str">
        <v>-</v>
      </c>
      <c r="E6986" t="str">
        <v/>
      </c>
      <c r="F6986" t="str">
        <v>-</v>
      </c>
      <c r="G6986" t="str">
        <v>-</v>
      </c>
    </row>
    <row r="6987">
      <c r="A6987">
        <v>6986</v>
      </c>
      <c r="B6987" t="str">
        <v>UBND Ủy ban nhân dân xã Lương Lỗ  tỉnh Phú Thọ</v>
      </c>
      <c r="C6987" t="str">
        <v>-</v>
      </c>
      <c r="D6987" t="str">
        <v>-</v>
      </c>
      <c r="E6987" t="str">
        <v>-</v>
      </c>
      <c r="F6987" t="str">
        <v>-</v>
      </c>
      <c r="G6987" t="str">
        <v>-</v>
      </c>
    </row>
    <row r="6988">
      <c r="A6988">
        <v>6987</v>
      </c>
      <c r="B6988" t="str">
        <v>Công an thị trấn Phong Châu  tỉnh Phú Thọ</v>
      </c>
      <c r="C6988" t="str">
        <v>-</v>
      </c>
      <c r="D6988" t="str">
        <v>-</v>
      </c>
      <c r="E6988" t="str">
        <v/>
      </c>
      <c r="F6988" t="str">
        <v>-</v>
      </c>
      <c r="G6988" t="str">
        <v>-</v>
      </c>
    </row>
    <row r="6989">
      <c r="A6989">
        <v>6988</v>
      </c>
      <c r="B6989" t="str">
        <v>UBND Ủy ban nhân dân thị trấn Phong Châu  tỉnh Phú Thọ</v>
      </c>
      <c r="C6989" t="str">
        <v>-</v>
      </c>
      <c r="D6989" t="str">
        <v>-</v>
      </c>
      <c r="E6989" t="str">
        <v>-</v>
      </c>
      <c r="F6989" t="str">
        <v>-</v>
      </c>
      <c r="G6989" t="str">
        <v>-</v>
      </c>
    </row>
    <row r="6990">
      <c r="A6990">
        <v>6989</v>
      </c>
      <c r="B6990" t="str">
        <v>Công an xã Phú Mỹ  tỉnh Phú Thọ</v>
      </c>
      <c r="C6990" t="str">
        <v>-</v>
      </c>
      <c r="D6990" t="str">
        <v>-</v>
      </c>
      <c r="E6990" t="str">
        <v/>
      </c>
      <c r="F6990" t="str">
        <v>-</v>
      </c>
      <c r="G6990" t="str">
        <v>-</v>
      </c>
    </row>
    <row r="6991">
      <c r="A6991">
        <v>6990</v>
      </c>
      <c r="B6991" t="str">
        <v>UBND Ủy ban nhân dân xã Phú Mỹ  tỉnh Phú Thọ</v>
      </c>
      <c r="C6991" t="str">
        <v>-</v>
      </c>
      <c r="D6991" t="str">
        <v>-</v>
      </c>
      <c r="E6991" t="str">
        <v>-</v>
      </c>
      <c r="F6991" t="str">
        <v>-</v>
      </c>
      <c r="G6991" t="str">
        <v>-</v>
      </c>
    </row>
    <row r="6992">
      <c r="A6992">
        <v>6991</v>
      </c>
      <c r="B6992" t="str">
        <v>Công an xã Lệ Mỹ  tỉnh Phú Thọ</v>
      </c>
      <c r="C6992" t="str">
        <v>-</v>
      </c>
      <c r="D6992" t="str">
        <v>-</v>
      </c>
      <c r="E6992" t="str">
        <v/>
      </c>
      <c r="F6992" t="str">
        <v>-</v>
      </c>
      <c r="G6992" t="str">
        <v>-</v>
      </c>
    </row>
    <row r="6993">
      <c r="A6993">
        <v>6992</v>
      </c>
      <c r="B6993" t="str">
        <v>UBND Ủy ban nhân dân xã Lệ Mỹ  tỉnh Phú Thọ</v>
      </c>
      <c r="C6993" t="str">
        <v>-</v>
      </c>
      <c r="D6993" t="str">
        <v>-</v>
      </c>
      <c r="E6993" t="str">
        <v>-</v>
      </c>
      <c r="F6993" t="str">
        <v>-</v>
      </c>
      <c r="G6993" t="str">
        <v>-</v>
      </c>
    </row>
    <row r="6994">
      <c r="A6994">
        <v>6993</v>
      </c>
      <c r="B6994" t="str">
        <v>Công an xã Liên Hoa  tỉnh Phú Thọ</v>
      </c>
      <c r="C6994" t="str">
        <v>-</v>
      </c>
      <c r="D6994" t="str">
        <v>-</v>
      </c>
      <c r="E6994" t="str">
        <v/>
      </c>
      <c r="F6994" t="str">
        <v>-</v>
      </c>
      <c r="G6994" t="str">
        <v>-</v>
      </c>
    </row>
    <row r="6995">
      <c r="A6995">
        <v>6994</v>
      </c>
      <c r="B6995" t="str">
        <v>UBND Ủy ban nhân dân xã Liên Hoa  tỉnh Phú Thọ</v>
      </c>
      <c r="C6995" t="str">
        <v>-</v>
      </c>
      <c r="D6995" t="str">
        <v>-</v>
      </c>
      <c r="E6995" t="str">
        <v>-</v>
      </c>
      <c r="F6995" t="str">
        <v>-</v>
      </c>
      <c r="G6995" t="str">
        <v>-</v>
      </c>
    </row>
    <row r="6996">
      <c r="A6996">
        <v>6995</v>
      </c>
      <c r="B6996" t="str">
        <v>Công an xã Trạm Thản  tỉnh Phú Thọ</v>
      </c>
      <c r="C6996" t="str">
        <v>-</v>
      </c>
      <c r="D6996" t="str">
        <v>-</v>
      </c>
      <c r="E6996" t="str">
        <v/>
      </c>
      <c r="F6996" t="str">
        <v>-</v>
      </c>
      <c r="G6996" t="str">
        <v>-</v>
      </c>
    </row>
    <row r="6997">
      <c r="A6997">
        <v>6996</v>
      </c>
      <c r="B6997" t="str">
        <v>UBND Ủy ban nhân dân xã Trạm Thản  tỉnh Phú Thọ</v>
      </c>
      <c r="C6997" t="str">
        <v>-</v>
      </c>
      <c r="D6997" t="str">
        <v>-</v>
      </c>
      <c r="E6997" t="str">
        <v>-</v>
      </c>
      <c r="F6997" t="str">
        <v>-</v>
      </c>
      <c r="G6997" t="str">
        <v>-</v>
      </c>
    </row>
    <row r="6998">
      <c r="A6998">
        <v>6997</v>
      </c>
      <c r="B6998" t="str">
        <v>Công an xã Trị quận  tỉnh Phú Thọ</v>
      </c>
      <c r="C6998" t="str">
        <v>-</v>
      </c>
      <c r="D6998" t="str">
        <v>-</v>
      </c>
      <c r="E6998" t="str">
        <v/>
      </c>
      <c r="F6998" t="str">
        <v>-</v>
      </c>
      <c r="G6998" t="str">
        <v>-</v>
      </c>
    </row>
    <row r="6999">
      <c r="A6999">
        <v>6998</v>
      </c>
      <c r="B6999" t="str">
        <v>UBND Ủy ban nhân dân xã Trị quận  tỉnh Phú Thọ</v>
      </c>
      <c r="C6999" t="str">
        <v>-</v>
      </c>
      <c r="D6999" t="str">
        <v>-</v>
      </c>
      <c r="E6999" t="str">
        <v>-</v>
      </c>
      <c r="F6999" t="str">
        <v>-</v>
      </c>
      <c r="G6999" t="str">
        <v>-</v>
      </c>
    </row>
    <row r="7000">
      <c r="A7000">
        <v>6999</v>
      </c>
      <c r="B7000" t="str">
        <v>Công an xã Trung Giáp  tỉnh Phú Thọ</v>
      </c>
      <c r="C7000" t="str">
        <v>-</v>
      </c>
      <c r="D7000" t="str">
        <v>-</v>
      </c>
      <c r="E7000" t="str">
        <v/>
      </c>
      <c r="F7000" t="str">
        <v>-</v>
      </c>
      <c r="G7000" t="str">
        <v>-</v>
      </c>
    </row>
    <row r="7001">
      <c r="A7001">
        <v>7000</v>
      </c>
      <c r="B7001" t="str">
        <v>UBND Ủy ban nhân dân xã Trung Giáp  tỉnh Phú Thọ</v>
      </c>
      <c r="C7001" t="str">
        <v>-</v>
      </c>
      <c r="D7001" t="str">
        <v>-</v>
      </c>
      <c r="E7001" t="str">
        <v>-</v>
      </c>
      <c r="F7001" t="str">
        <v>-</v>
      </c>
      <c r="G7001" t="str">
        <v>-</v>
      </c>
    </row>
    <row r="7002">
      <c r="A7002">
        <v>7001</v>
      </c>
      <c r="B7002" t="str">
        <v>Công an xã Tiên Phú  tỉnh Phú Thọ</v>
      </c>
      <c r="C7002" t="str">
        <v>-</v>
      </c>
      <c r="D7002" t="str">
        <v>-</v>
      </c>
      <c r="E7002" t="str">
        <v/>
      </c>
      <c r="F7002" t="str">
        <v>-</v>
      </c>
      <c r="G7002" t="str">
        <v>-</v>
      </c>
    </row>
    <row r="7003">
      <c r="A7003">
        <v>7002</v>
      </c>
      <c r="B7003" t="str">
        <v>UBND Ủy ban nhân dân xã Tiên Phú  tỉnh Phú Thọ</v>
      </c>
      <c r="C7003" t="str">
        <v>-</v>
      </c>
      <c r="D7003" t="str">
        <v>-</v>
      </c>
      <c r="E7003" t="str">
        <v>-</v>
      </c>
      <c r="F7003" t="str">
        <v>-</v>
      </c>
      <c r="G7003" t="str">
        <v>-</v>
      </c>
    </row>
    <row r="7004">
      <c r="A7004">
        <v>7003</v>
      </c>
      <c r="B7004" t="str">
        <v>Công an xã Hạ Giáp  tỉnh Phú Thọ</v>
      </c>
      <c r="C7004" t="str">
        <v>-</v>
      </c>
      <c r="D7004" t="str">
        <v>-</v>
      </c>
      <c r="E7004" t="str">
        <v/>
      </c>
      <c r="F7004" t="str">
        <v>-</v>
      </c>
      <c r="G7004" t="str">
        <v>-</v>
      </c>
    </row>
    <row r="7005">
      <c r="A7005">
        <v>7004</v>
      </c>
      <c r="B7005" t="str">
        <v>UBND Ủy ban nhân dân xã Hạ Giáp  tỉnh Phú Thọ</v>
      </c>
      <c r="C7005" t="str">
        <v>-</v>
      </c>
      <c r="D7005" t="str">
        <v>-</v>
      </c>
      <c r="E7005" t="str">
        <v>-</v>
      </c>
      <c r="F7005" t="str">
        <v>-</v>
      </c>
      <c r="G7005" t="str">
        <v>-</v>
      </c>
    </row>
    <row r="7006">
      <c r="A7006">
        <v>7005</v>
      </c>
      <c r="B7006" t="str">
        <v>Công an xã Bảo Thanh  tỉnh Phú Thọ</v>
      </c>
      <c r="C7006" t="str">
        <v>-</v>
      </c>
      <c r="D7006" t="str">
        <v>-</v>
      </c>
      <c r="E7006" t="str">
        <v/>
      </c>
      <c r="F7006" t="str">
        <v>-</v>
      </c>
      <c r="G7006" t="str">
        <v>-</v>
      </c>
    </row>
    <row r="7007">
      <c r="A7007">
        <v>7006</v>
      </c>
      <c r="B7007" t="str">
        <v>UBND Ủy ban nhân dân xã Bảo Thanh  tỉnh Phú Thọ</v>
      </c>
      <c r="C7007" t="str">
        <v>-</v>
      </c>
      <c r="D7007" t="str">
        <v>-</v>
      </c>
      <c r="E7007" t="str">
        <v>-</v>
      </c>
      <c r="F7007" t="str">
        <v>-</v>
      </c>
      <c r="G7007" t="str">
        <v>-</v>
      </c>
    </row>
    <row r="7008">
      <c r="A7008">
        <v>7007</v>
      </c>
      <c r="B7008" t="str">
        <v>Công an xã Phú Lộc  tỉnh Phú Thọ</v>
      </c>
      <c r="C7008" t="str">
        <v>-</v>
      </c>
      <c r="D7008" t="str">
        <v>-</v>
      </c>
      <c r="E7008" t="str">
        <v/>
      </c>
      <c r="F7008" t="str">
        <v>-</v>
      </c>
      <c r="G7008" t="str">
        <v>-</v>
      </c>
    </row>
    <row r="7009">
      <c r="A7009">
        <v>7008</v>
      </c>
      <c r="B7009" t="str">
        <v>UBND Ủy ban nhân dân xã Phú Lộc  tỉnh Phú Thọ</v>
      </c>
      <c r="C7009" t="str">
        <v>-</v>
      </c>
      <c r="D7009" t="str">
        <v>-</v>
      </c>
      <c r="E7009" t="str">
        <v>-</v>
      </c>
      <c r="F7009" t="str">
        <v>-</v>
      </c>
      <c r="G7009" t="str">
        <v>-</v>
      </c>
    </row>
    <row r="7010">
      <c r="A7010">
        <v>7009</v>
      </c>
      <c r="B7010" t="str">
        <v>Công an xã Gia Thanh  tỉnh Phú Thọ</v>
      </c>
      <c r="C7010" t="str">
        <v>-</v>
      </c>
      <c r="D7010" t="str">
        <v>-</v>
      </c>
      <c r="E7010" t="str">
        <v/>
      </c>
      <c r="F7010" t="str">
        <v>-</v>
      </c>
      <c r="G7010" t="str">
        <v>-</v>
      </c>
    </row>
    <row r="7011">
      <c r="A7011">
        <v>7010</v>
      </c>
      <c r="B7011" t="str">
        <v>UBND Ủy ban nhân dân xã Gia Thanh  tỉnh Phú Thọ</v>
      </c>
      <c r="C7011" t="str">
        <v>-</v>
      </c>
      <c r="D7011" t="str">
        <v>-</v>
      </c>
      <c r="E7011" t="str">
        <v>-</v>
      </c>
      <c r="F7011" t="str">
        <v>-</v>
      </c>
      <c r="G7011" t="str">
        <v>-</v>
      </c>
    </row>
    <row r="7012">
      <c r="A7012">
        <v>7011</v>
      </c>
      <c r="B7012" t="str">
        <v>Công an xã Tiên Du  tỉnh Phú Thọ</v>
      </c>
      <c r="C7012" t="str">
        <v>-</v>
      </c>
      <c r="D7012" t="str">
        <v>-</v>
      </c>
      <c r="E7012" t="str">
        <v/>
      </c>
      <c r="F7012" t="str">
        <v>-</v>
      </c>
      <c r="G7012" t="str">
        <v>-</v>
      </c>
    </row>
    <row r="7013">
      <c r="A7013">
        <v>7012</v>
      </c>
      <c r="B7013" t="str">
        <v>UBND Ủy ban nhân dân xã Tiên Du  tỉnh Phú Thọ</v>
      </c>
      <c r="C7013" t="str">
        <v>-</v>
      </c>
      <c r="D7013" t="str">
        <v>-</v>
      </c>
      <c r="E7013" t="str">
        <v>-</v>
      </c>
      <c r="F7013" t="str">
        <v>-</v>
      </c>
      <c r="G7013" t="str">
        <v>-</v>
      </c>
    </row>
    <row r="7014">
      <c r="A7014">
        <v>7013</v>
      </c>
      <c r="B7014" t="str">
        <v>Công an xã Phú Nham  tỉnh Phú Thọ</v>
      </c>
      <c r="C7014" t="str">
        <v>-</v>
      </c>
      <c r="D7014" t="str">
        <v>-</v>
      </c>
      <c r="E7014" t="str">
        <v/>
      </c>
      <c r="F7014" t="str">
        <v>-</v>
      </c>
      <c r="G7014" t="str">
        <v>-</v>
      </c>
    </row>
    <row r="7015">
      <c r="A7015">
        <v>7014</v>
      </c>
      <c r="B7015" t="str">
        <v>UBND Ủy ban nhân dân xã Phú Nham  tỉnh Phú Thọ</v>
      </c>
      <c r="C7015" t="str">
        <v>-</v>
      </c>
      <c r="D7015" t="str">
        <v>-</v>
      </c>
      <c r="E7015" t="str">
        <v>-</v>
      </c>
      <c r="F7015" t="str">
        <v>-</v>
      </c>
      <c r="G7015" t="str">
        <v>-</v>
      </c>
    </row>
    <row r="7016">
      <c r="A7016">
        <v>7015</v>
      </c>
      <c r="B7016" t="str">
        <v>Công an xã Bình Bộ  tỉnh Phú Thọ</v>
      </c>
      <c r="C7016" t="str">
        <v>-</v>
      </c>
      <c r="D7016" t="str">
        <v>-</v>
      </c>
      <c r="E7016" t="str">
        <v/>
      </c>
      <c r="F7016" t="str">
        <v>-</v>
      </c>
      <c r="G7016" t="str">
        <v>-</v>
      </c>
    </row>
    <row r="7017">
      <c r="A7017">
        <v>7016</v>
      </c>
      <c r="B7017" t="str">
        <v>UBND Ủy ban nhân dân xã Bình Bộ  tỉnh Phú Thọ</v>
      </c>
      <c r="C7017" t="str">
        <v>-</v>
      </c>
      <c r="D7017" t="str">
        <v>-</v>
      </c>
      <c r="E7017" t="str">
        <v>-</v>
      </c>
      <c r="F7017" t="str">
        <v>-</v>
      </c>
      <c r="G7017" t="str">
        <v>-</v>
      </c>
    </row>
    <row r="7018">
      <c r="A7018">
        <v>7017</v>
      </c>
      <c r="B7018" t="str">
        <v>Công an xã An Đạo  tỉnh Phú Thọ</v>
      </c>
      <c r="C7018" t="str">
        <v>-</v>
      </c>
      <c r="D7018" t="str">
        <v>-</v>
      </c>
      <c r="E7018" t="str">
        <v/>
      </c>
      <c r="F7018" t="str">
        <v>-</v>
      </c>
      <c r="G7018" t="str">
        <v>-</v>
      </c>
    </row>
    <row r="7019">
      <c r="A7019">
        <v>7018</v>
      </c>
      <c r="B7019" t="str">
        <v>UBND Ủy ban nhân dân xã An Đạo  tỉnh Phú Thọ</v>
      </c>
      <c r="C7019" t="str">
        <v>-</v>
      </c>
      <c r="D7019" t="str">
        <v>-</v>
      </c>
      <c r="E7019" t="str">
        <v>-</v>
      </c>
      <c r="F7019" t="str">
        <v>-</v>
      </c>
      <c r="G7019" t="str">
        <v>-</v>
      </c>
    </row>
    <row r="7020">
      <c r="A7020">
        <v>7019</v>
      </c>
      <c r="B7020" t="str">
        <v>Công an xã Tử Đà  tỉnh Phú Thọ</v>
      </c>
      <c r="C7020" t="str">
        <v>-</v>
      </c>
      <c r="D7020" t="str">
        <v>-</v>
      </c>
      <c r="E7020" t="str">
        <v/>
      </c>
      <c r="F7020" t="str">
        <v>-</v>
      </c>
      <c r="G7020" t="str">
        <v>-</v>
      </c>
    </row>
    <row r="7021">
      <c r="A7021">
        <v>7020</v>
      </c>
      <c r="B7021" t="str">
        <v>UBND Ủy ban nhân dân xã Tử Đà  tỉnh Phú Thọ</v>
      </c>
      <c r="C7021" t="str">
        <v>-</v>
      </c>
      <c r="D7021" t="str">
        <v>-</v>
      </c>
      <c r="E7021" t="str">
        <v>-</v>
      </c>
      <c r="F7021" t="str">
        <v>-</v>
      </c>
      <c r="G7021" t="str">
        <v>-</v>
      </c>
    </row>
    <row r="7022">
      <c r="A7022">
        <v>7021</v>
      </c>
      <c r="B7022" t="str">
        <v>Công an xã Phù Ninh  tỉnh Phú Thọ</v>
      </c>
      <c r="C7022" t="str">
        <v>-</v>
      </c>
      <c r="D7022" t="str">
        <v>-</v>
      </c>
      <c r="E7022" t="str">
        <v/>
      </c>
      <c r="F7022" t="str">
        <v>-</v>
      </c>
      <c r="G7022" t="str">
        <v>-</v>
      </c>
    </row>
    <row r="7023">
      <c r="A7023">
        <v>7022</v>
      </c>
      <c r="B7023" t="str">
        <v>UBND Ủy ban nhân dân xã Phù Ninh  tỉnh Phú Thọ</v>
      </c>
      <c r="C7023" t="str">
        <v>-</v>
      </c>
      <c r="D7023" t="str">
        <v>-</v>
      </c>
      <c r="E7023" t="str">
        <v>-</v>
      </c>
      <c r="F7023" t="str">
        <v>-</v>
      </c>
      <c r="G7023" t="str">
        <v>-</v>
      </c>
    </row>
    <row r="7024">
      <c r="A7024">
        <v>7023</v>
      </c>
      <c r="B7024" t="str">
        <v>Công an xã Vĩnh Phú  tỉnh Phú Thọ</v>
      </c>
      <c r="C7024" t="str">
        <v>-</v>
      </c>
      <c r="D7024" t="str">
        <v>-</v>
      </c>
      <c r="E7024" t="str">
        <v/>
      </c>
      <c r="F7024" t="str">
        <v>-</v>
      </c>
      <c r="G7024" t="str">
        <v>-</v>
      </c>
    </row>
    <row r="7025">
      <c r="A7025">
        <v>7024</v>
      </c>
      <c r="B7025" t="str">
        <v>UBND Ủy ban nhân dân xã Vĩnh Phú  tỉnh Phú Thọ</v>
      </c>
      <c r="C7025" t="str">
        <v>-</v>
      </c>
      <c r="D7025" t="str">
        <v>-</v>
      </c>
      <c r="E7025" t="str">
        <v>-</v>
      </c>
      <c r="F7025" t="str">
        <v>-</v>
      </c>
      <c r="G7025" t="str">
        <v>-</v>
      </c>
    </row>
    <row r="7026">
      <c r="A7026">
        <v>7025</v>
      </c>
      <c r="B7026" t="str">
        <v>Công an thị trấn Yên Lập  tỉnh Phú Thọ</v>
      </c>
      <c r="C7026" t="str">
        <v>-</v>
      </c>
      <c r="D7026" t="str">
        <v>-</v>
      </c>
      <c r="E7026" t="str">
        <v/>
      </c>
      <c r="F7026" t="str">
        <v>-</v>
      </c>
      <c r="G7026" t="str">
        <v>-</v>
      </c>
    </row>
    <row r="7027">
      <c r="A7027">
        <v>7026</v>
      </c>
      <c r="B7027" t="str">
        <v>UBND Ủy ban nhân dân thị trấn Yên Lập  tỉnh Phú Thọ</v>
      </c>
      <c r="C7027" t="str">
        <v>-</v>
      </c>
      <c r="D7027" t="str">
        <v>-</v>
      </c>
      <c r="E7027" t="str">
        <v>-</v>
      </c>
      <c r="F7027" t="str">
        <v>-</v>
      </c>
      <c r="G7027" t="str">
        <v>-</v>
      </c>
    </row>
    <row r="7028">
      <c r="A7028">
        <v>7027</v>
      </c>
      <c r="B7028" t="str">
        <v>Công an xã Mỹ Lung  tỉnh Phú Thọ</v>
      </c>
      <c r="C7028" t="str">
        <v>-</v>
      </c>
      <c r="D7028" t="str">
        <v>-</v>
      </c>
      <c r="E7028" t="str">
        <v/>
      </c>
      <c r="F7028" t="str">
        <v>-</v>
      </c>
      <c r="G7028" t="str">
        <v>-</v>
      </c>
    </row>
    <row r="7029">
      <c r="A7029">
        <v>7028</v>
      </c>
      <c r="B7029" t="str">
        <v>UBND Ủy ban nhân dân xã Mỹ Lung  tỉnh Phú Thọ</v>
      </c>
      <c r="C7029" t="str">
        <v>-</v>
      </c>
      <c r="D7029" t="str">
        <v>-</v>
      </c>
      <c r="E7029" t="str">
        <v>-</v>
      </c>
      <c r="F7029" t="str">
        <v>-</v>
      </c>
      <c r="G7029" t="str">
        <v>-</v>
      </c>
    </row>
    <row r="7030">
      <c r="A7030">
        <v>7029</v>
      </c>
      <c r="B7030" t="str">
        <v>Công an xã Mỹ Lương  tỉnh Phú Thọ</v>
      </c>
      <c r="C7030" t="str">
        <v>-</v>
      </c>
      <c r="D7030" t="str">
        <v>-</v>
      </c>
      <c r="E7030" t="str">
        <v/>
      </c>
      <c r="F7030" t="str">
        <v>-</v>
      </c>
      <c r="G7030" t="str">
        <v>-</v>
      </c>
    </row>
    <row r="7031">
      <c r="A7031">
        <v>7030</v>
      </c>
      <c r="B7031" t="str">
        <v>UBND Ủy ban nhân dân xã Mỹ Lương  tỉnh Phú Thọ</v>
      </c>
      <c r="C7031" t="str">
        <v>-</v>
      </c>
      <c r="D7031" t="str">
        <v>-</v>
      </c>
      <c r="E7031" t="str">
        <v>-</v>
      </c>
      <c r="F7031" t="str">
        <v>-</v>
      </c>
      <c r="G7031" t="str">
        <v>-</v>
      </c>
    </row>
    <row r="7032">
      <c r="A7032">
        <v>7031</v>
      </c>
      <c r="B7032" t="str">
        <v>Công an xã Lương Sơn  tỉnh Phú Thọ</v>
      </c>
      <c r="C7032" t="str">
        <v>-</v>
      </c>
      <c r="D7032" t="str">
        <v>-</v>
      </c>
      <c r="E7032" t="str">
        <v/>
      </c>
      <c r="F7032" t="str">
        <v>-</v>
      </c>
      <c r="G7032" t="str">
        <v>-</v>
      </c>
    </row>
    <row r="7033">
      <c r="A7033">
        <v>7032</v>
      </c>
      <c r="B7033" t="str">
        <v>UBND Ủy ban nhân dân xã Lương Sơn  tỉnh Phú Thọ</v>
      </c>
      <c r="C7033" t="str">
        <v>-</v>
      </c>
      <c r="D7033" t="str">
        <v>-</v>
      </c>
      <c r="E7033" t="str">
        <v>-</v>
      </c>
      <c r="F7033" t="str">
        <v>-</v>
      </c>
      <c r="G7033" t="str">
        <v>-</v>
      </c>
    </row>
    <row r="7034">
      <c r="A7034">
        <v>7033</v>
      </c>
      <c r="B7034" t="str">
        <v>Công an xã Xuân An  tỉnh Phú Thọ</v>
      </c>
      <c r="C7034" t="str">
        <v>-</v>
      </c>
      <c r="D7034" t="str">
        <v>-</v>
      </c>
      <c r="E7034" t="str">
        <v/>
      </c>
      <c r="F7034" t="str">
        <v>-</v>
      </c>
      <c r="G7034" t="str">
        <v>-</v>
      </c>
    </row>
    <row r="7035">
      <c r="A7035">
        <v>7034</v>
      </c>
      <c r="B7035" t="str">
        <v>UBND Ủy ban nhân dân xã Xuân An  tỉnh Phú Thọ</v>
      </c>
      <c r="C7035" t="str">
        <v>-</v>
      </c>
      <c r="D7035" t="str">
        <v>-</v>
      </c>
      <c r="E7035" t="str">
        <v>-</v>
      </c>
      <c r="F7035" t="str">
        <v>-</v>
      </c>
      <c r="G7035" t="str">
        <v>-</v>
      </c>
    </row>
    <row r="7036">
      <c r="A7036">
        <v>7035</v>
      </c>
      <c r="B7036" t="str">
        <v>Công an xã Xuân Viên  tỉnh Phú Thọ</v>
      </c>
      <c r="C7036" t="str">
        <v>-</v>
      </c>
      <c r="D7036" t="str">
        <v>-</v>
      </c>
      <c r="E7036" t="str">
        <v/>
      </c>
      <c r="F7036" t="str">
        <v>-</v>
      </c>
      <c r="G7036" t="str">
        <v>-</v>
      </c>
    </row>
    <row r="7037">
      <c r="A7037">
        <v>7036</v>
      </c>
      <c r="B7037" t="str">
        <v>UBND Ủy ban nhân dân xã Xuân Viên  tỉnh Phú Thọ</v>
      </c>
      <c r="C7037" t="str">
        <v>-</v>
      </c>
      <c r="D7037" t="str">
        <v>-</v>
      </c>
      <c r="E7037" t="str">
        <v>-</v>
      </c>
      <c r="F7037" t="str">
        <v>-</v>
      </c>
      <c r="G7037" t="str">
        <v>-</v>
      </c>
    </row>
    <row r="7038">
      <c r="A7038">
        <v>7037</v>
      </c>
      <c r="B7038" t="str">
        <v>Công an xã Xuân Thủy  tỉnh Phú Thọ</v>
      </c>
      <c r="C7038" t="str">
        <v>-</v>
      </c>
      <c r="D7038" t="str">
        <v>-</v>
      </c>
      <c r="E7038" t="str">
        <v/>
      </c>
      <c r="F7038" t="str">
        <v>-</v>
      </c>
      <c r="G7038" t="str">
        <v>-</v>
      </c>
    </row>
    <row r="7039">
      <c r="A7039">
        <v>7038</v>
      </c>
      <c r="B7039" t="str">
        <v>UBND Ủy ban nhân dân xã Xuân Thủy  tỉnh Phú Thọ</v>
      </c>
      <c r="C7039" t="str">
        <v>-</v>
      </c>
      <c r="D7039" t="str">
        <v>-</v>
      </c>
      <c r="E7039" t="str">
        <v>-</v>
      </c>
      <c r="F7039" t="str">
        <v>-</v>
      </c>
      <c r="G7039" t="str">
        <v>-</v>
      </c>
    </row>
    <row r="7040">
      <c r="A7040">
        <v>7039</v>
      </c>
      <c r="B7040" t="str">
        <v>Công an xã Trung Sơn  tỉnh Phú Thọ</v>
      </c>
      <c r="C7040" t="str">
        <v>-</v>
      </c>
      <c r="D7040" t="str">
        <v>-</v>
      </c>
      <c r="E7040" t="str">
        <v/>
      </c>
      <c r="F7040" t="str">
        <v>-</v>
      </c>
      <c r="G7040" t="str">
        <v>-</v>
      </c>
    </row>
    <row r="7041">
      <c r="A7041">
        <v>7040</v>
      </c>
      <c r="B7041" t="str">
        <v>UBND Ủy ban nhân dân xã Trung Sơn  tỉnh Phú Thọ</v>
      </c>
      <c r="C7041" t="str">
        <v>-</v>
      </c>
      <c r="D7041" t="str">
        <v>-</v>
      </c>
      <c r="E7041" t="str">
        <v>-</v>
      </c>
      <c r="F7041" t="str">
        <v>-</v>
      </c>
      <c r="G7041" t="str">
        <v>-</v>
      </c>
    </row>
    <row r="7042">
      <c r="A7042">
        <v>7041</v>
      </c>
      <c r="B7042" t="str">
        <v>Công an xã Hưng Long  tỉnh Phú Thọ</v>
      </c>
      <c r="C7042" t="str">
        <v>-</v>
      </c>
      <c r="D7042" t="str">
        <v>-</v>
      </c>
      <c r="E7042" t="str">
        <v/>
      </c>
      <c r="F7042" t="str">
        <v>-</v>
      </c>
      <c r="G7042" t="str">
        <v>-</v>
      </c>
    </row>
    <row r="7043">
      <c r="A7043">
        <v>7042</v>
      </c>
      <c r="B7043" t="str">
        <v>UBND Ủy ban nhân dân xã Hưng Long  tỉnh Phú Thọ</v>
      </c>
      <c r="C7043" t="str">
        <v>-</v>
      </c>
      <c r="D7043" t="str">
        <v>-</v>
      </c>
      <c r="E7043" t="str">
        <v>-</v>
      </c>
      <c r="F7043" t="str">
        <v>-</v>
      </c>
      <c r="G7043" t="str">
        <v>-</v>
      </c>
    </row>
    <row r="7044">
      <c r="A7044">
        <v>7043</v>
      </c>
      <c r="B7044" t="str">
        <v>Công an xã Nga Hoàng  tỉnh Phú Thọ</v>
      </c>
      <c r="C7044" t="str">
        <v>-</v>
      </c>
      <c r="D7044" t="str">
        <v>-</v>
      </c>
      <c r="E7044" t="str">
        <v/>
      </c>
      <c r="F7044" t="str">
        <v>-</v>
      </c>
      <c r="G7044" t="str">
        <v>-</v>
      </c>
    </row>
    <row r="7045">
      <c r="A7045">
        <v>7044</v>
      </c>
      <c r="B7045" t="str">
        <v>UBND Ủy ban nhân dân xã Nga Hoàng  tỉnh Phú Thọ</v>
      </c>
      <c r="C7045" t="str">
        <v>-</v>
      </c>
      <c r="D7045" t="str">
        <v>-</v>
      </c>
      <c r="E7045" t="str">
        <v>-</v>
      </c>
      <c r="F7045" t="str">
        <v>-</v>
      </c>
      <c r="G7045" t="str">
        <v>-</v>
      </c>
    </row>
    <row r="7046">
      <c r="A7046">
        <v>7045</v>
      </c>
      <c r="B7046" t="str">
        <v>Công an xã Đồng Lạc  tỉnh Phú Thọ</v>
      </c>
      <c r="C7046" t="str">
        <v>-</v>
      </c>
      <c r="D7046" t="str">
        <v>-</v>
      </c>
      <c r="E7046" t="str">
        <v/>
      </c>
      <c r="F7046" t="str">
        <v>-</v>
      </c>
      <c r="G7046" t="str">
        <v>-</v>
      </c>
    </row>
    <row r="7047">
      <c r="A7047">
        <v>7046</v>
      </c>
      <c r="B7047" t="str">
        <v>UBND Ủy ban nhân dân xã Đồng Lạc  tỉnh Phú Thọ</v>
      </c>
      <c r="C7047" t="str">
        <v>-</v>
      </c>
      <c r="D7047" t="str">
        <v>-</v>
      </c>
      <c r="E7047" t="str">
        <v>-</v>
      </c>
      <c r="F7047" t="str">
        <v>-</v>
      </c>
      <c r="G7047" t="str">
        <v>-</v>
      </c>
    </row>
    <row r="7048">
      <c r="A7048">
        <v>7047</v>
      </c>
      <c r="B7048" t="str">
        <v>Công an xã Thượng Long  tỉnh Phú Thọ</v>
      </c>
      <c r="C7048" t="str">
        <v>-</v>
      </c>
      <c r="D7048" t="str">
        <v>-</v>
      </c>
      <c r="E7048" t="str">
        <v/>
      </c>
      <c r="F7048" t="str">
        <v>-</v>
      </c>
      <c r="G7048" t="str">
        <v>-</v>
      </c>
    </row>
    <row r="7049">
      <c r="A7049">
        <v>7048</v>
      </c>
      <c r="B7049" t="str">
        <v>UBND Ủy ban nhân dân xã Thượng Long  tỉnh Phú Thọ</v>
      </c>
      <c r="C7049" t="str">
        <v>-</v>
      </c>
      <c r="D7049" t="str">
        <v>-</v>
      </c>
      <c r="E7049" t="str">
        <v>-</v>
      </c>
      <c r="F7049" t="str">
        <v>-</v>
      </c>
      <c r="G7049" t="str">
        <v>-</v>
      </c>
    </row>
    <row r="7050">
      <c r="A7050">
        <v>7049</v>
      </c>
      <c r="B7050" t="str">
        <v>Công an xã Đồng Thịnh  tỉnh Phú Thọ</v>
      </c>
      <c r="C7050" t="str">
        <v>-</v>
      </c>
      <c r="D7050" t="str">
        <v>-</v>
      </c>
      <c r="E7050" t="str">
        <v/>
      </c>
      <c r="F7050" t="str">
        <v>-</v>
      </c>
      <c r="G7050" t="str">
        <v>-</v>
      </c>
    </row>
    <row r="7051">
      <c r="A7051">
        <v>7050</v>
      </c>
      <c r="B7051" t="str">
        <v>UBND Ủy ban nhân dân xã Đồng Thịnh  tỉnh Phú Thọ</v>
      </c>
      <c r="C7051" t="str">
        <v>-</v>
      </c>
      <c r="D7051" t="str">
        <v>-</v>
      </c>
      <c r="E7051" t="str">
        <v>-</v>
      </c>
      <c r="F7051" t="str">
        <v>-</v>
      </c>
      <c r="G7051" t="str">
        <v>-</v>
      </c>
    </row>
    <row r="7052">
      <c r="A7052">
        <v>7051</v>
      </c>
      <c r="B7052" t="str">
        <v>Công an xã Phúc Khánh  tỉnh Phú Thọ</v>
      </c>
      <c r="C7052" t="str">
        <v>-</v>
      </c>
      <c r="D7052" t="str">
        <v>-</v>
      </c>
      <c r="E7052" t="str">
        <v/>
      </c>
      <c r="F7052" t="str">
        <v>-</v>
      </c>
      <c r="G7052" t="str">
        <v>-</v>
      </c>
    </row>
    <row r="7053">
      <c r="A7053">
        <v>7052</v>
      </c>
      <c r="B7053" t="str">
        <v>UBND Ủy ban nhân dân xã Phúc Khánh  tỉnh Phú Thọ</v>
      </c>
      <c r="C7053" t="str">
        <v>-</v>
      </c>
      <c r="D7053" t="str">
        <v>-</v>
      </c>
      <c r="E7053" t="str">
        <v>-</v>
      </c>
      <c r="F7053" t="str">
        <v>-</v>
      </c>
      <c r="G7053" t="str">
        <v>-</v>
      </c>
    </row>
    <row r="7054">
      <c r="A7054">
        <v>7053</v>
      </c>
      <c r="B7054" t="str">
        <v>Công an xã Minh Hòa  tỉnh Phú Thọ</v>
      </c>
      <c r="C7054" t="str">
        <v>-</v>
      </c>
      <c r="D7054" t="str">
        <v>-</v>
      </c>
      <c r="E7054" t="str">
        <v/>
      </c>
      <c r="F7054" t="str">
        <v>-</v>
      </c>
      <c r="G7054" t="str">
        <v>-</v>
      </c>
    </row>
    <row r="7055">
      <c r="A7055">
        <v>7054</v>
      </c>
      <c r="B7055" t="str">
        <v>UBND Ủy ban nhân dân xã Minh Hòa  tỉnh Phú Thọ</v>
      </c>
      <c r="C7055" t="str">
        <v>-</v>
      </c>
      <c r="D7055" t="str">
        <v>-</v>
      </c>
      <c r="E7055" t="str">
        <v>-</v>
      </c>
      <c r="F7055" t="str">
        <v>-</v>
      </c>
      <c r="G7055" t="str">
        <v>-</v>
      </c>
    </row>
    <row r="7056">
      <c r="A7056">
        <v>7055</v>
      </c>
      <c r="B7056" t="str">
        <v>Công an xã Ngọc Lập  tỉnh Phú Thọ</v>
      </c>
      <c r="C7056" t="str">
        <v>-</v>
      </c>
      <c r="D7056" t="str">
        <v>-</v>
      </c>
      <c r="E7056" t="str">
        <v/>
      </c>
      <c r="F7056" t="str">
        <v>-</v>
      </c>
      <c r="G7056" t="str">
        <v>-</v>
      </c>
    </row>
    <row r="7057">
      <c r="A7057">
        <v>7056</v>
      </c>
      <c r="B7057" t="str">
        <v>UBND Ủy ban nhân dân xã Ngọc Lập  tỉnh Phú Thọ</v>
      </c>
      <c r="C7057" t="str">
        <v>-</v>
      </c>
      <c r="D7057" t="str">
        <v>-</v>
      </c>
      <c r="E7057" t="str">
        <v>-</v>
      </c>
      <c r="F7057" t="str">
        <v>-</v>
      </c>
      <c r="G7057" t="str">
        <v>-</v>
      </c>
    </row>
    <row r="7058">
      <c r="A7058">
        <v>7057</v>
      </c>
      <c r="B7058" t="str">
        <v>Công an xã Ngọc Đồng  tỉnh Phú Thọ</v>
      </c>
      <c r="C7058" t="str">
        <v>-</v>
      </c>
      <c r="D7058" t="str">
        <v>-</v>
      </c>
      <c r="E7058" t="str">
        <v/>
      </c>
      <c r="F7058" t="str">
        <v>-</v>
      </c>
      <c r="G7058" t="str">
        <v>-</v>
      </c>
    </row>
    <row r="7059">
      <c r="A7059">
        <v>7058</v>
      </c>
      <c r="B7059" t="str">
        <v>UBND Ủy ban nhân dân xã Ngọc Đồng  tỉnh Phú Thọ</v>
      </c>
      <c r="C7059" t="str">
        <v>-</v>
      </c>
      <c r="D7059" t="str">
        <v>-</v>
      </c>
      <c r="E7059" t="str">
        <v>-</v>
      </c>
      <c r="F7059" t="str">
        <v>-</v>
      </c>
      <c r="G7059" t="str">
        <v>-</v>
      </c>
    </row>
    <row r="7060">
      <c r="A7060">
        <v>7059</v>
      </c>
      <c r="B7060" t="str">
        <v>Công an thị trấn Sông Thao  tỉnh Phú Thọ</v>
      </c>
      <c r="C7060" t="str">
        <v>-</v>
      </c>
      <c r="D7060" t="str">
        <v>-</v>
      </c>
      <c r="E7060" t="str">
        <v/>
      </c>
      <c r="F7060" t="str">
        <v>-</v>
      </c>
      <c r="G7060" t="str">
        <v>-</v>
      </c>
    </row>
    <row r="7061">
      <c r="A7061">
        <v>7060</v>
      </c>
      <c r="B7061" t="str">
        <v>UBND Ủy ban nhân dân thị trấn Sông Thao  tỉnh Phú Thọ</v>
      </c>
      <c r="C7061" t="str">
        <v>-</v>
      </c>
      <c r="D7061" t="str">
        <v>-</v>
      </c>
      <c r="E7061" t="str">
        <v>-</v>
      </c>
      <c r="F7061" t="str">
        <v>-</v>
      </c>
      <c r="G7061" t="str">
        <v>-</v>
      </c>
    </row>
    <row r="7062">
      <c r="A7062">
        <v>7061</v>
      </c>
      <c r="B7062" t="str">
        <v>Công an xã Tiên Lương  tỉnh Phú Thọ</v>
      </c>
      <c r="C7062" t="str">
        <v>-</v>
      </c>
      <c r="D7062" t="str">
        <v>-</v>
      </c>
      <c r="E7062" t="str">
        <v/>
      </c>
      <c r="F7062" t="str">
        <v>-</v>
      </c>
      <c r="G7062" t="str">
        <v>-</v>
      </c>
    </row>
    <row r="7063">
      <c r="A7063">
        <v>7062</v>
      </c>
      <c r="B7063" t="str">
        <v>UBND Ủy ban nhân dân xã Tiên Lương  tỉnh Phú Thọ</v>
      </c>
      <c r="C7063" t="str">
        <v>-</v>
      </c>
      <c r="D7063" t="str">
        <v>-</v>
      </c>
      <c r="E7063" t="str">
        <v>-</v>
      </c>
      <c r="F7063" t="str">
        <v>-</v>
      </c>
      <c r="G7063" t="str">
        <v>-</v>
      </c>
    </row>
    <row r="7064">
      <c r="A7064">
        <v>7063</v>
      </c>
      <c r="B7064" t="str">
        <v>Công an xã Tuy Lộc  tỉnh Phú Thọ</v>
      </c>
      <c r="C7064" t="str">
        <v>-</v>
      </c>
      <c r="D7064" t="str">
        <v>-</v>
      </c>
      <c r="E7064" t="str">
        <v/>
      </c>
      <c r="F7064" t="str">
        <v>-</v>
      </c>
      <c r="G7064" t="str">
        <v>-</v>
      </c>
    </row>
    <row r="7065">
      <c r="A7065">
        <v>7064</v>
      </c>
      <c r="B7065" t="str">
        <v>UBND Ủy ban nhân dân xã Tuy Lộc  tỉnh Phú Thọ</v>
      </c>
      <c r="C7065" t="str">
        <v>-</v>
      </c>
      <c r="D7065" t="str">
        <v>-</v>
      </c>
      <c r="E7065" t="str">
        <v>-</v>
      </c>
      <c r="F7065" t="str">
        <v>-</v>
      </c>
      <c r="G7065" t="str">
        <v>-</v>
      </c>
    </row>
    <row r="7066">
      <c r="A7066">
        <v>7065</v>
      </c>
      <c r="B7066" t="str">
        <v>Công an xã Ngô Xá  tỉnh Phú Thọ</v>
      </c>
      <c r="C7066" t="str">
        <v>-</v>
      </c>
      <c r="D7066" t="str">
        <v>-</v>
      </c>
      <c r="E7066" t="str">
        <v/>
      </c>
      <c r="F7066" t="str">
        <v>-</v>
      </c>
      <c r="G7066" t="str">
        <v>-</v>
      </c>
    </row>
    <row r="7067">
      <c r="A7067">
        <v>7066</v>
      </c>
      <c r="B7067" t="str">
        <v>UBND Ủy ban nhân dân xã Ngô Xá  tỉnh Phú Thọ</v>
      </c>
      <c r="C7067" t="str">
        <v>-</v>
      </c>
      <c r="D7067" t="str">
        <v>-</v>
      </c>
      <c r="E7067" t="str">
        <v>-</v>
      </c>
      <c r="F7067" t="str">
        <v>-</v>
      </c>
      <c r="G7067" t="str">
        <v>-</v>
      </c>
    </row>
    <row r="7068">
      <c r="A7068">
        <v>7067</v>
      </c>
      <c r="B7068" t="str">
        <v>Công an xã Phương Xá  tỉnh Phú Thọ</v>
      </c>
      <c r="C7068" t="str">
        <v>-</v>
      </c>
      <c r="D7068" t="str">
        <v>-</v>
      </c>
      <c r="E7068" t="str">
        <v/>
      </c>
      <c r="F7068" t="str">
        <v>-</v>
      </c>
      <c r="G7068" t="str">
        <v>-</v>
      </c>
    </row>
    <row r="7069">
      <c r="A7069">
        <v>7068</v>
      </c>
      <c r="B7069" t="str">
        <v>UBND Ủy ban nhân dân xã Phương Xá  tỉnh Phú Thọ</v>
      </c>
      <c r="C7069" t="str">
        <v>-</v>
      </c>
      <c r="D7069" t="str">
        <v>-</v>
      </c>
      <c r="E7069" t="str">
        <v>-</v>
      </c>
      <c r="F7069" t="str">
        <v>-</v>
      </c>
      <c r="G7069" t="str">
        <v>-</v>
      </c>
    </row>
    <row r="7070">
      <c r="A7070">
        <v>7069</v>
      </c>
      <c r="B7070" t="str">
        <v>Công an xã Phượng Vĩ  tỉnh Phú Thọ</v>
      </c>
      <c r="C7070" t="str">
        <v>-</v>
      </c>
      <c r="D7070" t="str">
        <v>-</v>
      </c>
      <c r="E7070" t="str">
        <v/>
      </c>
      <c r="F7070" t="str">
        <v>-</v>
      </c>
      <c r="G7070" t="str">
        <v>-</v>
      </c>
    </row>
    <row r="7071">
      <c r="A7071">
        <v>7070</v>
      </c>
      <c r="B7071" t="str">
        <v>UBND Ủy ban nhân dân xã Phượng Vĩ  tỉnh Phú Thọ</v>
      </c>
      <c r="C7071" t="str">
        <v>-</v>
      </c>
      <c r="D7071" t="str">
        <v>-</v>
      </c>
      <c r="E7071" t="str">
        <v>-</v>
      </c>
      <c r="F7071" t="str">
        <v>-</v>
      </c>
      <c r="G7071" t="str">
        <v>-</v>
      </c>
    </row>
    <row r="7072">
      <c r="A7072">
        <v>7071</v>
      </c>
      <c r="B7072" t="str">
        <v>Công an xã Đồng Cam  tỉnh Phú Thọ</v>
      </c>
      <c r="C7072" t="str">
        <v>-</v>
      </c>
      <c r="D7072" t="str">
        <v>-</v>
      </c>
      <c r="E7072" t="str">
        <v/>
      </c>
      <c r="F7072" t="str">
        <v>-</v>
      </c>
      <c r="G7072" t="str">
        <v>-</v>
      </c>
    </row>
    <row r="7073">
      <c r="A7073">
        <v>7072</v>
      </c>
      <c r="B7073" t="str">
        <v>UBND Ủy ban nhân dân xã Đồng Cam  tỉnh Phú Thọ</v>
      </c>
      <c r="C7073" t="str">
        <v>-</v>
      </c>
      <c r="D7073" t="str">
        <v>-</v>
      </c>
      <c r="E7073" t="str">
        <v>-</v>
      </c>
      <c r="F7073" t="str">
        <v>-</v>
      </c>
      <c r="G7073" t="str">
        <v>-</v>
      </c>
    </row>
    <row r="7074">
      <c r="A7074">
        <v>7073</v>
      </c>
      <c r="B7074" t="str">
        <v>Công an xã Thụy Liễu  tỉnh Phú Thọ</v>
      </c>
      <c r="C7074" t="str">
        <v>-</v>
      </c>
      <c r="D7074" t="str">
        <v>-</v>
      </c>
      <c r="E7074" t="str">
        <v/>
      </c>
      <c r="F7074" t="str">
        <v>-</v>
      </c>
      <c r="G7074" t="str">
        <v>-</v>
      </c>
    </row>
    <row r="7075">
      <c r="A7075">
        <v>7074</v>
      </c>
      <c r="B7075" t="str">
        <v>UBND Ủy ban nhân dân xã Thụy Liễu  tỉnh Phú Thọ</v>
      </c>
      <c r="C7075" t="str">
        <v>-</v>
      </c>
      <c r="D7075" t="str">
        <v>-</v>
      </c>
      <c r="E7075" t="str">
        <v>-</v>
      </c>
      <c r="F7075" t="str">
        <v>-</v>
      </c>
      <c r="G7075" t="str">
        <v>-</v>
      </c>
    </row>
    <row r="7076">
      <c r="A7076">
        <v>7075</v>
      </c>
      <c r="B7076" t="str">
        <v>Công an xã Phùng Xá  tỉnh Phú Thọ</v>
      </c>
      <c r="C7076" t="str">
        <v>-</v>
      </c>
      <c r="D7076" t="str">
        <v>-</v>
      </c>
      <c r="E7076" t="str">
        <v/>
      </c>
      <c r="F7076" t="str">
        <v>-</v>
      </c>
      <c r="G7076" t="str">
        <v>-</v>
      </c>
    </row>
    <row r="7077">
      <c r="A7077">
        <v>7076</v>
      </c>
      <c r="B7077" t="str">
        <v>UBND Ủy ban nhân dân xã Phùng Xá  tỉnh Phú Thọ</v>
      </c>
      <c r="C7077" t="str">
        <v>-</v>
      </c>
      <c r="D7077" t="str">
        <v>-</v>
      </c>
      <c r="E7077" t="str">
        <v>-</v>
      </c>
      <c r="F7077" t="str">
        <v>-</v>
      </c>
      <c r="G7077" t="str">
        <v>-</v>
      </c>
    </row>
    <row r="7078">
      <c r="A7078">
        <v>7077</v>
      </c>
      <c r="B7078" t="str">
        <v>Công an xã Sơn Nga  tỉnh Phú Thọ</v>
      </c>
      <c r="C7078" t="str">
        <v>-</v>
      </c>
      <c r="D7078" t="str">
        <v>-</v>
      </c>
      <c r="E7078" t="str">
        <v/>
      </c>
      <c r="F7078" t="str">
        <v>-</v>
      </c>
      <c r="G7078" t="str">
        <v>-</v>
      </c>
    </row>
    <row r="7079">
      <c r="A7079">
        <v>7078</v>
      </c>
      <c r="B7079" t="str">
        <v>UBND Ủy ban nhân dân xã Sơn Nga  tỉnh Phú Thọ</v>
      </c>
      <c r="C7079" t="str">
        <v>-</v>
      </c>
      <c r="D7079" t="str">
        <v>-</v>
      </c>
      <c r="E7079" t="str">
        <v>-</v>
      </c>
      <c r="F7079" t="str">
        <v>-</v>
      </c>
      <c r="G7079" t="str">
        <v>-</v>
      </c>
    </row>
    <row r="7080">
      <c r="A7080">
        <v>7079</v>
      </c>
      <c r="B7080" t="str">
        <v>Công an xã Sai Nga  tỉnh Phú Thọ</v>
      </c>
      <c r="C7080" t="str">
        <v>-</v>
      </c>
      <c r="D7080" t="str">
        <v>-</v>
      </c>
      <c r="E7080" t="str">
        <v/>
      </c>
      <c r="F7080" t="str">
        <v>-</v>
      </c>
      <c r="G7080" t="str">
        <v>-</v>
      </c>
    </row>
    <row r="7081">
      <c r="A7081">
        <v>7080</v>
      </c>
      <c r="B7081" t="str">
        <v>UBND Ủy ban nhân dân xã Sai Nga  tỉnh Phú Thọ</v>
      </c>
      <c r="C7081" t="str">
        <v>-</v>
      </c>
      <c r="D7081" t="str">
        <v>-</v>
      </c>
      <c r="E7081" t="str">
        <v>-</v>
      </c>
      <c r="F7081" t="str">
        <v>-</v>
      </c>
      <c r="G7081" t="str">
        <v>-</v>
      </c>
    </row>
    <row r="7082">
      <c r="A7082">
        <v>7081</v>
      </c>
      <c r="B7082" t="str">
        <v>Công an xã Tùng Khê  tỉnh Phú Thọ</v>
      </c>
      <c r="C7082" t="str">
        <v>-</v>
      </c>
      <c r="D7082" t="str">
        <v>-</v>
      </c>
      <c r="E7082" t="str">
        <v/>
      </c>
      <c r="F7082" t="str">
        <v>-</v>
      </c>
      <c r="G7082" t="str">
        <v>-</v>
      </c>
    </row>
    <row r="7083">
      <c r="A7083">
        <v>7082</v>
      </c>
      <c r="B7083" t="str">
        <v>UBND Ủy ban nhân dân xã Tùng Khê  tỉnh Phú Thọ</v>
      </c>
      <c r="C7083" t="str">
        <v>-</v>
      </c>
      <c r="D7083" t="str">
        <v>-</v>
      </c>
      <c r="E7083" t="str">
        <v>-</v>
      </c>
      <c r="F7083" t="str">
        <v>-</v>
      </c>
      <c r="G7083" t="str">
        <v>-</v>
      </c>
    </row>
    <row r="7084">
      <c r="A7084">
        <v>7083</v>
      </c>
      <c r="B7084" t="str">
        <v>Công an xã Tam Sơn  tỉnh Phú Thọ</v>
      </c>
      <c r="C7084" t="str">
        <v>-</v>
      </c>
      <c r="D7084" t="str">
        <v>-</v>
      </c>
      <c r="E7084" t="str">
        <v/>
      </c>
      <c r="F7084" t="str">
        <v>-</v>
      </c>
      <c r="G7084" t="str">
        <v>-</v>
      </c>
    </row>
    <row r="7085">
      <c r="A7085">
        <v>7084</v>
      </c>
      <c r="B7085" t="str">
        <v>UBND Ủy ban nhân dân xã Tam Sơn  tỉnh Phú Thọ</v>
      </c>
      <c r="C7085" t="str">
        <v>-</v>
      </c>
      <c r="D7085" t="str">
        <v>-</v>
      </c>
      <c r="E7085" t="str">
        <v>-</v>
      </c>
      <c r="F7085" t="str">
        <v>-</v>
      </c>
      <c r="G7085" t="str">
        <v>-</v>
      </c>
    </row>
    <row r="7086">
      <c r="A7086">
        <v>7085</v>
      </c>
      <c r="B7086" t="str">
        <v>Công an xã Văn Bán  tỉnh Phú Thọ</v>
      </c>
      <c r="C7086" t="str">
        <v>-</v>
      </c>
      <c r="D7086" t="str">
        <v>-</v>
      </c>
      <c r="E7086" t="str">
        <v/>
      </c>
      <c r="F7086" t="str">
        <v>-</v>
      </c>
      <c r="G7086" t="str">
        <v>-</v>
      </c>
    </row>
    <row r="7087">
      <c r="A7087">
        <v>7086</v>
      </c>
      <c r="B7087" t="str">
        <v>UBND Ủy ban nhân dân xã Văn Bán  tỉnh Phú Thọ</v>
      </c>
      <c r="C7087" t="str">
        <v>-</v>
      </c>
      <c r="D7087" t="str">
        <v>-</v>
      </c>
      <c r="E7087" t="str">
        <v>-</v>
      </c>
      <c r="F7087" t="str">
        <v>-</v>
      </c>
      <c r="G7087" t="str">
        <v>-</v>
      </c>
    </row>
    <row r="7088">
      <c r="A7088">
        <v>7087</v>
      </c>
      <c r="B7088" t="str">
        <v>Công an xã Cấp Dẫn  tỉnh Phú Thọ</v>
      </c>
      <c r="C7088" t="str">
        <v>-</v>
      </c>
      <c r="D7088" t="str">
        <v>-</v>
      </c>
      <c r="E7088" t="str">
        <v/>
      </c>
      <c r="F7088" t="str">
        <v>-</v>
      </c>
      <c r="G7088" t="str">
        <v>-</v>
      </c>
    </row>
    <row r="7089">
      <c r="A7089">
        <v>7088</v>
      </c>
      <c r="B7089" t="str">
        <v>UBND Ủy ban nhân dân xã Cấp Dẫn  tỉnh Phú Thọ</v>
      </c>
      <c r="C7089" t="str">
        <v>-</v>
      </c>
      <c r="D7089" t="str">
        <v>-</v>
      </c>
      <c r="E7089" t="str">
        <v>-</v>
      </c>
      <c r="F7089" t="str">
        <v>-</v>
      </c>
      <c r="G7089" t="str">
        <v>-</v>
      </c>
    </row>
    <row r="7090">
      <c r="A7090">
        <v>7089</v>
      </c>
      <c r="B7090" t="str">
        <v>Công an xã Thanh Nga  tỉnh Phú Thọ</v>
      </c>
      <c r="C7090" t="str">
        <v>-</v>
      </c>
      <c r="D7090" t="str">
        <v>-</v>
      </c>
      <c r="E7090" t="str">
        <v/>
      </c>
      <c r="F7090" t="str">
        <v>-</v>
      </c>
      <c r="G7090" t="str">
        <v>-</v>
      </c>
    </row>
    <row r="7091">
      <c r="A7091">
        <v>7090</v>
      </c>
      <c r="B7091" t="str">
        <v>UBND Ủy ban nhân dân xã Thanh Nga  tỉnh Phú Thọ</v>
      </c>
      <c r="C7091" t="str">
        <v>-</v>
      </c>
      <c r="D7091" t="str">
        <v>-</v>
      </c>
      <c r="E7091" t="str">
        <v>-</v>
      </c>
      <c r="F7091" t="str">
        <v>-</v>
      </c>
      <c r="G7091" t="str">
        <v>-</v>
      </c>
    </row>
    <row r="7092">
      <c r="A7092">
        <v>7091</v>
      </c>
      <c r="B7092" t="str">
        <v>Công an xã Xương Thịnh  tỉnh Phú Thọ</v>
      </c>
      <c r="C7092" t="str">
        <v>-</v>
      </c>
      <c r="D7092" t="str">
        <v>-</v>
      </c>
      <c r="E7092" t="str">
        <v/>
      </c>
      <c r="F7092" t="str">
        <v>-</v>
      </c>
      <c r="G7092" t="str">
        <v>-</v>
      </c>
    </row>
    <row r="7093">
      <c r="A7093">
        <v>7092</v>
      </c>
      <c r="B7093" t="str">
        <v>UBND Ủy ban nhân dân xã Xương Thịnh  tỉnh Phú Thọ</v>
      </c>
      <c r="C7093" t="str">
        <v>-</v>
      </c>
      <c r="D7093" t="str">
        <v>-</v>
      </c>
      <c r="E7093" t="str">
        <v>-</v>
      </c>
      <c r="F7093" t="str">
        <v>-</v>
      </c>
      <c r="G7093" t="str">
        <v>-</v>
      </c>
    </row>
    <row r="7094">
      <c r="A7094">
        <v>7093</v>
      </c>
      <c r="B7094" t="str">
        <v>Công an xã Phú Khê  tỉnh Phú Thọ</v>
      </c>
      <c r="C7094" t="str">
        <v>-</v>
      </c>
      <c r="D7094" t="str">
        <v>-</v>
      </c>
      <c r="E7094" t="str">
        <v/>
      </c>
      <c r="F7094" t="str">
        <v>-</v>
      </c>
      <c r="G7094" t="str">
        <v>-</v>
      </c>
    </row>
    <row r="7095">
      <c r="A7095">
        <v>7094</v>
      </c>
      <c r="B7095" t="str">
        <v>UBND Ủy ban nhân dân xã Phú Khê  tỉnh Phú Thọ</v>
      </c>
      <c r="C7095" t="str">
        <v>-</v>
      </c>
      <c r="D7095" t="str">
        <v>-</v>
      </c>
      <c r="E7095" t="str">
        <v>-</v>
      </c>
      <c r="F7095" t="str">
        <v>-</v>
      </c>
      <c r="G7095" t="str">
        <v>-</v>
      </c>
    </row>
    <row r="7096">
      <c r="A7096">
        <v>7095</v>
      </c>
      <c r="B7096" t="str">
        <v>Công an xã Sơn Tình  tỉnh Phú Thọ</v>
      </c>
      <c r="C7096" t="str">
        <v>-</v>
      </c>
      <c r="D7096" t="str">
        <v>-</v>
      </c>
      <c r="E7096" t="str">
        <v/>
      </c>
      <c r="F7096" t="str">
        <v>-</v>
      </c>
      <c r="G7096" t="str">
        <v>-</v>
      </c>
    </row>
    <row r="7097">
      <c r="A7097">
        <v>7096</v>
      </c>
      <c r="B7097" t="str">
        <v>UBND Ủy ban nhân dân xã Sơn Tình  tỉnh Phú Thọ</v>
      </c>
      <c r="C7097" t="str">
        <v>-</v>
      </c>
      <c r="D7097" t="str">
        <v>-</v>
      </c>
      <c r="E7097" t="str">
        <v>-</v>
      </c>
      <c r="F7097" t="str">
        <v>-</v>
      </c>
      <c r="G7097" t="str">
        <v>-</v>
      </c>
    </row>
    <row r="7098">
      <c r="A7098">
        <v>7097</v>
      </c>
      <c r="B7098" t="str">
        <v>Công an xã Yên Tập  tỉnh Phú Thọ</v>
      </c>
      <c r="C7098" t="str">
        <v>-</v>
      </c>
      <c r="D7098" t="str">
        <v>-</v>
      </c>
      <c r="E7098" t="str">
        <v/>
      </c>
      <c r="F7098" t="str">
        <v>-</v>
      </c>
      <c r="G7098" t="str">
        <v>-</v>
      </c>
    </row>
    <row r="7099">
      <c r="A7099">
        <v>7098</v>
      </c>
      <c r="B7099" t="str">
        <v>UBND Ủy ban nhân dân xã Yên Tập  tỉnh Phú Thọ</v>
      </c>
      <c r="C7099" t="str">
        <v>-</v>
      </c>
      <c r="D7099" t="str">
        <v>-</v>
      </c>
      <c r="E7099" t="str">
        <v>-</v>
      </c>
      <c r="F7099" t="str">
        <v>-</v>
      </c>
      <c r="G7099" t="str">
        <v>-</v>
      </c>
    </row>
    <row r="7100">
      <c r="A7100">
        <v>7099</v>
      </c>
      <c r="B7100" t="str">
        <v>Công an xã Hương Lung  tỉnh Phú Thọ</v>
      </c>
      <c r="C7100" t="str">
        <v>-</v>
      </c>
      <c r="D7100" t="str">
        <v>-</v>
      </c>
      <c r="E7100" t="str">
        <v/>
      </c>
      <c r="F7100" t="str">
        <v>-</v>
      </c>
      <c r="G7100" t="str">
        <v>-</v>
      </c>
    </row>
    <row r="7101">
      <c r="A7101">
        <v>7100</v>
      </c>
      <c r="B7101" t="str">
        <v>UBND Ủy ban nhân dân xã Hương Lung  tỉnh Phú Thọ</v>
      </c>
      <c r="C7101" t="str">
        <v>-</v>
      </c>
      <c r="D7101" t="str">
        <v>-</v>
      </c>
      <c r="E7101" t="str">
        <v>-</v>
      </c>
      <c r="F7101" t="str">
        <v>-</v>
      </c>
      <c r="G7101" t="str">
        <v>-</v>
      </c>
    </row>
    <row r="7102">
      <c r="A7102">
        <v>7101</v>
      </c>
      <c r="B7102" t="str">
        <v>Công an xã Tạ Xá  tỉnh Phú Thọ</v>
      </c>
      <c r="C7102" t="str">
        <v>-</v>
      </c>
      <c r="D7102" t="str">
        <v>-</v>
      </c>
      <c r="E7102" t="str">
        <v/>
      </c>
      <c r="F7102" t="str">
        <v>-</v>
      </c>
      <c r="G7102" t="str">
        <v>-</v>
      </c>
    </row>
    <row r="7103">
      <c r="A7103">
        <v>7102</v>
      </c>
      <c r="B7103" t="str">
        <v>UBND Ủy ban nhân dân xã Tạ Xá  tỉnh Phú Thọ</v>
      </c>
      <c r="C7103" t="str">
        <v>-</v>
      </c>
      <c r="D7103" t="str">
        <v>-</v>
      </c>
      <c r="E7103" t="str">
        <v>-</v>
      </c>
      <c r="F7103" t="str">
        <v>-</v>
      </c>
      <c r="G7103" t="str">
        <v>-</v>
      </c>
    </row>
    <row r="7104">
      <c r="A7104">
        <v>7103</v>
      </c>
      <c r="B7104" t="str">
        <v>Công an xã Phú Lạc  tỉnh Phú Thọ</v>
      </c>
      <c r="C7104" t="str">
        <v>-</v>
      </c>
      <c r="D7104" t="str">
        <v>-</v>
      </c>
      <c r="E7104" t="str">
        <v/>
      </c>
      <c r="F7104" t="str">
        <v>-</v>
      </c>
      <c r="G7104" t="str">
        <v>-</v>
      </c>
    </row>
    <row r="7105">
      <c r="A7105">
        <v>7104</v>
      </c>
      <c r="B7105" t="str">
        <v>UBND Ủy ban nhân dân xã Phú Lạc  tỉnh Phú Thọ</v>
      </c>
      <c r="C7105" t="str">
        <v>-</v>
      </c>
      <c r="D7105" t="str">
        <v>-</v>
      </c>
      <c r="E7105" t="str">
        <v>-</v>
      </c>
      <c r="F7105" t="str">
        <v>-</v>
      </c>
      <c r="G7105" t="str">
        <v>-</v>
      </c>
    </row>
    <row r="7106">
      <c r="A7106">
        <v>7105</v>
      </c>
      <c r="B7106" t="str">
        <v>Công an xã Tình Cương  tỉnh Phú Thọ</v>
      </c>
      <c r="C7106" t="str">
        <v>-</v>
      </c>
      <c r="D7106" t="str">
        <v>-</v>
      </c>
      <c r="E7106" t="str">
        <v/>
      </c>
      <c r="F7106" t="str">
        <v>-</v>
      </c>
      <c r="G7106" t="str">
        <v>-</v>
      </c>
    </row>
    <row r="7107">
      <c r="A7107">
        <v>7106</v>
      </c>
      <c r="B7107" t="str">
        <v>UBND Ủy ban nhân dân xã Tình Cương  tỉnh Phú Thọ</v>
      </c>
      <c r="C7107" t="str">
        <v>-</v>
      </c>
      <c r="D7107" t="str">
        <v>-</v>
      </c>
      <c r="E7107" t="str">
        <v>-</v>
      </c>
      <c r="F7107" t="str">
        <v>-</v>
      </c>
      <c r="G7107" t="str">
        <v>-</v>
      </c>
    </row>
    <row r="7108">
      <c r="A7108">
        <v>7107</v>
      </c>
      <c r="B7108" t="str">
        <v>Công an xã Chương Xá  tỉnh Phú Thọ</v>
      </c>
      <c r="C7108" t="str">
        <v>-</v>
      </c>
      <c r="D7108" t="str">
        <v>-</v>
      </c>
      <c r="E7108" t="str">
        <v/>
      </c>
      <c r="F7108" t="str">
        <v>-</v>
      </c>
      <c r="G7108" t="str">
        <v>-</v>
      </c>
    </row>
    <row r="7109">
      <c r="A7109">
        <v>7108</v>
      </c>
      <c r="B7109" t="str">
        <v>UBND Ủy ban nhân dân xã Chương Xá  tỉnh Phú Thọ</v>
      </c>
      <c r="C7109" t="str">
        <v>-</v>
      </c>
      <c r="D7109" t="str">
        <v>-</v>
      </c>
      <c r="E7109" t="str">
        <v>-</v>
      </c>
      <c r="F7109" t="str">
        <v>-</v>
      </c>
      <c r="G7109" t="str">
        <v>-</v>
      </c>
    </row>
    <row r="7110">
      <c r="A7110">
        <v>7109</v>
      </c>
      <c r="B7110" t="str">
        <v>Công an xã Hiền Đa  tỉnh Phú Thọ</v>
      </c>
      <c r="C7110" t="str">
        <v>-</v>
      </c>
      <c r="D7110" t="str">
        <v>-</v>
      </c>
      <c r="E7110" t="str">
        <v/>
      </c>
      <c r="F7110" t="str">
        <v>-</v>
      </c>
      <c r="G7110" t="str">
        <v>-</v>
      </c>
    </row>
    <row r="7111">
      <c r="A7111">
        <v>7110</v>
      </c>
      <c r="B7111" t="str">
        <v>UBND Ủy ban nhân dân xã Hiền Đa  tỉnh Phú Thọ</v>
      </c>
      <c r="C7111" t="str">
        <v>-</v>
      </c>
      <c r="D7111" t="str">
        <v>-</v>
      </c>
      <c r="E7111" t="str">
        <v>-</v>
      </c>
      <c r="F7111" t="str">
        <v>-</v>
      </c>
      <c r="G7111" t="str">
        <v>-</v>
      </c>
    </row>
    <row r="7112">
      <c r="A7112">
        <v>7111</v>
      </c>
      <c r="B7112" t="str">
        <v>Công an xã Văn Khúc  tỉnh Phú Thọ</v>
      </c>
      <c r="C7112" t="str">
        <v>-</v>
      </c>
      <c r="D7112" t="str">
        <v>-</v>
      </c>
      <c r="E7112" t="str">
        <v/>
      </c>
      <c r="F7112" t="str">
        <v>-</v>
      </c>
      <c r="G7112" t="str">
        <v>-</v>
      </c>
    </row>
    <row r="7113">
      <c r="A7113">
        <v>7112</v>
      </c>
      <c r="B7113" t="str">
        <v>UBND Ủy ban nhân dân xã Văn Khúc  tỉnh Phú Thọ</v>
      </c>
      <c r="C7113" t="str">
        <v>-</v>
      </c>
      <c r="D7113" t="str">
        <v>-</v>
      </c>
      <c r="E7113" t="str">
        <v>-</v>
      </c>
      <c r="F7113" t="str">
        <v>-</v>
      </c>
      <c r="G7113" t="str">
        <v>-</v>
      </c>
    </row>
    <row r="7114">
      <c r="A7114">
        <v>7113</v>
      </c>
      <c r="B7114" t="str">
        <v>Công an xã Yên Dưỡng  tỉnh Phú Thọ</v>
      </c>
      <c r="C7114" t="str">
        <v>-</v>
      </c>
      <c r="D7114" t="str">
        <v>-</v>
      </c>
      <c r="E7114" t="str">
        <v/>
      </c>
      <c r="F7114" t="str">
        <v>-</v>
      </c>
      <c r="G7114" t="str">
        <v>-</v>
      </c>
    </row>
    <row r="7115">
      <c r="A7115">
        <v>7114</v>
      </c>
      <c r="B7115" t="str">
        <v>UBND Ủy ban nhân dân xã Yên Dưỡng  tỉnh Phú Thọ</v>
      </c>
      <c r="C7115" t="str">
        <v>-</v>
      </c>
      <c r="D7115" t="str">
        <v>-</v>
      </c>
      <c r="E7115" t="str">
        <v>-</v>
      </c>
      <c r="F7115" t="str">
        <v>-</v>
      </c>
      <c r="G7115" t="str">
        <v>-</v>
      </c>
    </row>
    <row r="7116">
      <c r="A7116">
        <v>7115</v>
      </c>
      <c r="B7116" t="str">
        <v>Công an xã Cát Trù  tỉnh Phú Thọ</v>
      </c>
      <c r="C7116" t="str">
        <v>-</v>
      </c>
      <c r="D7116" t="str">
        <v>-</v>
      </c>
      <c r="E7116" t="str">
        <v/>
      </c>
      <c r="F7116" t="str">
        <v>-</v>
      </c>
      <c r="G7116" t="str">
        <v>-</v>
      </c>
    </row>
    <row r="7117">
      <c r="A7117">
        <v>7116</v>
      </c>
      <c r="B7117" t="str">
        <v>UBND Ủy ban nhân dân xã Cát Trù  tỉnh Phú Thọ</v>
      </c>
      <c r="C7117" t="str">
        <v>-</v>
      </c>
      <c r="D7117" t="str">
        <v>-</v>
      </c>
      <c r="E7117" t="str">
        <v>-</v>
      </c>
      <c r="F7117" t="str">
        <v>-</v>
      </c>
      <c r="G7117" t="str">
        <v>-</v>
      </c>
    </row>
    <row r="7118">
      <c r="A7118">
        <v>7117</v>
      </c>
      <c r="B7118" t="str">
        <v>Công an xã Điêu Lương  tỉnh Phú Thọ</v>
      </c>
      <c r="C7118" t="str">
        <v>-</v>
      </c>
      <c r="D7118" t="str">
        <v>-</v>
      </c>
      <c r="E7118" t="str">
        <v/>
      </c>
      <c r="F7118" t="str">
        <v>-</v>
      </c>
      <c r="G7118" t="str">
        <v>-</v>
      </c>
    </row>
    <row r="7119">
      <c r="A7119">
        <v>7118</v>
      </c>
      <c r="B7119" t="str">
        <v>UBND Ủy ban nhân dân xã Điêu Lương  tỉnh Phú Thọ</v>
      </c>
      <c r="C7119" t="str">
        <v>-</v>
      </c>
      <c r="D7119" t="str">
        <v>-</v>
      </c>
      <c r="E7119" t="str">
        <v>-</v>
      </c>
      <c r="F7119" t="str">
        <v>-</v>
      </c>
      <c r="G7119" t="str">
        <v>-</v>
      </c>
    </row>
    <row r="7120">
      <c r="A7120">
        <v>7119</v>
      </c>
      <c r="B7120" t="str">
        <v>Công an xã Đồng Lương  tỉnh Phú Thọ</v>
      </c>
      <c r="C7120" t="str">
        <v>-</v>
      </c>
      <c r="D7120" t="str">
        <v>-</v>
      </c>
      <c r="E7120" t="str">
        <v/>
      </c>
      <c r="F7120" t="str">
        <v>-</v>
      </c>
      <c r="G7120" t="str">
        <v>-</v>
      </c>
    </row>
    <row r="7121">
      <c r="A7121">
        <v>7120</v>
      </c>
      <c r="B7121" t="str">
        <v>UBND Ủy ban nhân dân xã Đồng Lương  tỉnh Phú Thọ</v>
      </c>
      <c r="C7121" t="str">
        <v>-</v>
      </c>
      <c r="D7121" t="str">
        <v>-</v>
      </c>
      <c r="E7121" t="str">
        <v>-</v>
      </c>
      <c r="F7121" t="str">
        <v>-</v>
      </c>
      <c r="G7121" t="str">
        <v>-</v>
      </c>
    </row>
    <row r="7122">
      <c r="A7122">
        <v>7121</v>
      </c>
      <c r="B7122" t="str">
        <v>Công an thị trấn Hưng Hoá  tỉnh Phú Thọ</v>
      </c>
      <c r="C7122" t="str">
        <v>-</v>
      </c>
      <c r="D7122" t="str">
        <v>-</v>
      </c>
      <c r="E7122" t="str">
        <v/>
      </c>
      <c r="F7122" t="str">
        <v>-</v>
      </c>
      <c r="G7122" t="str">
        <v>-</v>
      </c>
    </row>
    <row r="7123">
      <c r="A7123">
        <v>7122</v>
      </c>
      <c r="B7123" t="str">
        <v>UBND Ủy ban nhân dân thị trấn Hưng Hoá  tỉnh Phú Thọ</v>
      </c>
      <c r="C7123" t="str">
        <v>-</v>
      </c>
      <c r="D7123" t="str">
        <v>-</v>
      </c>
      <c r="E7123" t="str">
        <v>-</v>
      </c>
      <c r="F7123" t="str">
        <v>-</v>
      </c>
      <c r="G7123" t="str">
        <v>-</v>
      </c>
    </row>
    <row r="7124">
      <c r="A7124">
        <v>7123</v>
      </c>
      <c r="B7124" t="str">
        <v>Công an xã Vực Trường  tỉnh Phú Thọ</v>
      </c>
      <c r="C7124" t="str">
        <v>-</v>
      </c>
      <c r="D7124" t="str">
        <v>-</v>
      </c>
      <c r="E7124" t="str">
        <v/>
      </c>
      <c r="F7124" t="str">
        <v>-</v>
      </c>
      <c r="G7124" t="str">
        <v>-</v>
      </c>
    </row>
    <row r="7125">
      <c r="A7125">
        <v>7124</v>
      </c>
      <c r="B7125" t="str">
        <v>UBND Ủy ban nhân dân xã Vực Trường  tỉnh Phú Thọ</v>
      </c>
      <c r="C7125" t="str">
        <v>-</v>
      </c>
      <c r="D7125" t="str">
        <v>-</v>
      </c>
      <c r="E7125" t="str">
        <v>-</v>
      </c>
      <c r="F7125" t="str">
        <v>-</v>
      </c>
      <c r="G7125" t="str">
        <v>-</v>
      </c>
    </row>
    <row r="7126">
      <c r="A7126">
        <v>7125</v>
      </c>
      <c r="B7126" t="str">
        <v>Công an xã Hiền Quan  tỉnh Phú Thọ</v>
      </c>
      <c r="C7126" t="str">
        <v>-</v>
      </c>
      <c r="D7126" t="str">
        <v>-</v>
      </c>
      <c r="E7126" t="str">
        <v/>
      </c>
      <c r="F7126" t="str">
        <v>-</v>
      </c>
      <c r="G7126" t="str">
        <v>-</v>
      </c>
    </row>
    <row r="7127">
      <c r="A7127">
        <v>7126</v>
      </c>
      <c r="B7127" t="str">
        <v>UBND Ủy ban nhân dân xã Hiền Quan  tỉnh Phú Thọ</v>
      </c>
      <c r="C7127" t="str">
        <v>-</v>
      </c>
      <c r="D7127" t="str">
        <v>-</v>
      </c>
      <c r="E7127" t="str">
        <v>-</v>
      </c>
      <c r="F7127" t="str">
        <v>-</v>
      </c>
      <c r="G7127" t="str">
        <v>-</v>
      </c>
    </row>
    <row r="7128">
      <c r="A7128">
        <v>7127</v>
      </c>
      <c r="B7128" t="str">
        <v>Công an xã Hương Nha  tỉnh Phú Thọ</v>
      </c>
      <c r="C7128" t="str">
        <v>-</v>
      </c>
      <c r="D7128" t="str">
        <v>-</v>
      </c>
      <c r="E7128" t="str">
        <v/>
      </c>
      <c r="F7128" t="str">
        <v>-</v>
      </c>
      <c r="G7128" t="str">
        <v>-</v>
      </c>
    </row>
    <row r="7129">
      <c r="A7129">
        <v>7128</v>
      </c>
      <c r="B7129" t="str">
        <v>UBND Ủy ban nhân dân xã Hương Nha  tỉnh Phú Thọ</v>
      </c>
      <c r="C7129" t="str">
        <v>-</v>
      </c>
      <c r="D7129" t="str">
        <v>-</v>
      </c>
      <c r="E7129" t="str">
        <v>-</v>
      </c>
      <c r="F7129" t="str">
        <v>-</v>
      </c>
      <c r="G7129" t="str">
        <v>-</v>
      </c>
    </row>
    <row r="7130">
      <c r="A7130">
        <v>7129</v>
      </c>
      <c r="B7130" t="str">
        <v>Công an xã Thanh Uyên  tỉnh Phú Thọ</v>
      </c>
      <c r="C7130" t="str">
        <v>-</v>
      </c>
      <c r="D7130" t="str">
        <v>-</v>
      </c>
      <c r="E7130" t="str">
        <v/>
      </c>
      <c r="F7130" t="str">
        <v>-</v>
      </c>
      <c r="G7130" t="str">
        <v>-</v>
      </c>
    </row>
    <row r="7131">
      <c r="A7131">
        <v>7130</v>
      </c>
      <c r="B7131" t="str">
        <v>UBND Ủy ban nhân dân xã Thanh Uyên  tỉnh Phú Thọ</v>
      </c>
      <c r="C7131" t="str">
        <v>-</v>
      </c>
      <c r="D7131" t="str">
        <v>-</v>
      </c>
      <c r="E7131" t="str">
        <v>-</v>
      </c>
      <c r="F7131" t="str">
        <v>-</v>
      </c>
      <c r="G7131" t="str">
        <v>-</v>
      </c>
    </row>
    <row r="7132">
      <c r="A7132">
        <v>7131</v>
      </c>
      <c r="B7132" t="str">
        <v>Công an xã Xuân Quang  tỉnh Phú Thọ</v>
      </c>
      <c r="C7132" t="str">
        <v>-</v>
      </c>
      <c r="D7132" t="str">
        <v>-</v>
      </c>
      <c r="E7132" t="str">
        <v/>
      </c>
      <c r="F7132" t="str">
        <v>-</v>
      </c>
      <c r="G7132" t="str">
        <v>-</v>
      </c>
    </row>
    <row r="7133">
      <c r="A7133">
        <v>7132</v>
      </c>
      <c r="B7133" t="str">
        <v>UBND Ủy ban nhân dân xã Xuân Quang  tỉnh Phú Thọ</v>
      </c>
      <c r="C7133" t="str">
        <v>-</v>
      </c>
      <c r="D7133" t="str">
        <v>-</v>
      </c>
      <c r="E7133" t="str">
        <v>-</v>
      </c>
      <c r="F7133" t="str">
        <v>-</v>
      </c>
      <c r="G7133" t="str">
        <v>-</v>
      </c>
    </row>
    <row r="7134">
      <c r="A7134">
        <v>7133</v>
      </c>
      <c r="B7134" t="str">
        <v>Công an xã Tứ Mỹ  tỉnh Phú Thọ</v>
      </c>
      <c r="C7134" t="str">
        <v>-</v>
      </c>
      <c r="D7134" t="str">
        <v>-</v>
      </c>
      <c r="E7134" t="str">
        <v/>
      </c>
      <c r="F7134" t="str">
        <v>-</v>
      </c>
      <c r="G7134" t="str">
        <v>-</v>
      </c>
    </row>
    <row r="7135">
      <c r="A7135">
        <v>7134</v>
      </c>
      <c r="B7135" t="str">
        <v>UBND Ủy ban nhân dân xã Tứ Mỹ  tỉnh Phú Thọ</v>
      </c>
      <c r="C7135" t="str">
        <v>-</v>
      </c>
      <c r="D7135" t="str">
        <v>-</v>
      </c>
      <c r="E7135" t="str">
        <v>-</v>
      </c>
      <c r="F7135" t="str">
        <v>-</v>
      </c>
      <c r="G7135" t="str">
        <v>-</v>
      </c>
    </row>
    <row r="7136">
      <c r="A7136">
        <v>7135</v>
      </c>
      <c r="B7136" t="str">
        <v>Công an xã Văn Lương  tỉnh Phú Thọ</v>
      </c>
      <c r="C7136" t="str">
        <v>-</v>
      </c>
      <c r="D7136" t="str">
        <v>-</v>
      </c>
      <c r="E7136" t="str">
        <v/>
      </c>
      <c r="F7136" t="str">
        <v>-</v>
      </c>
      <c r="G7136" t="str">
        <v>-</v>
      </c>
    </row>
    <row r="7137">
      <c r="A7137">
        <v>7136</v>
      </c>
      <c r="B7137" t="str">
        <v>UBND Ủy ban nhân dân xã Văn Lương  tỉnh Phú Thọ</v>
      </c>
      <c r="C7137" t="str">
        <v>-</v>
      </c>
      <c r="D7137" t="str">
        <v>-</v>
      </c>
      <c r="E7137" t="str">
        <v>-</v>
      </c>
      <c r="F7137" t="str">
        <v>-</v>
      </c>
      <c r="G7137" t="str">
        <v>-</v>
      </c>
    </row>
    <row r="7138">
      <c r="A7138">
        <v>7137</v>
      </c>
      <c r="B7138" t="str">
        <v>Công an xã Hùng Đô  tỉnh Phú Thọ</v>
      </c>
      <c r="C7138" t="str">
        <v>-</v>
      </c>
      <c r="D7138" t="str">
        <v>-</v>
      </c>
      <c r="E7138" t="str">
        <v/>
      </c>
      <c r="F7138" t="str">
        <v>-</v>
      </c>
      <c r="G7138" t="str">
        <v>-</v>
      </c>
    </row>
    <row r="7139">
      <c r="A7139">
        <v>7138</v>
      </c>
      <c r="B7139" t="str">
        <v>UBND Ủy ban nhân dân xã Hùng Đô  tỉnh Phú Thọ</v>
      </c>
      <c r="C7139" t="str">
        <v>-</v>
      </c>
      <c r="D7139" t="str">
        <v>-</v>
      </c>
      <c r="E7139" t="str">
        <v>-</v>
      </c>
      <c r="F7139" t="str">
        <v>-</v>
      </c>
      <c r="G7139" t="str">
        <v>-</v>
      </c>
    </row>
    <row r="7140">
      <c r="A7140">
        <v>7139</v>
      </c>
      <c r="B7140" t="str">
        <v>Công an xã Phương Thịnh  tỉnh Phú Thọ</v>
      </c>
      <c r="C7140" t="str">
        <v>-</v>
      </c>
      <c r="D7140" t="str">
        <v>-</v>
      </c>
      <c r="E7140" t="str">
        <v/>
      </c>
      <c r="F7140" t="str">
        <v>-</v>
      </c>
      <c r="G7140" t="str">
        <v>-</v>
      </c>
    </row>
    <row r="7141">
      <c r="A7141">
        <v>7140</v>
      </c>
      <c r="B7141" t="str">
        <v>UBND Ủy ban nhân dân xã Phương Thịnh  tỉnh Phú Thọ</v>
      </c>
      <c r="C7141" t="str">
        <v>-</v>
      </c>
      <c r="D7141" t="str">
        <v>-</v>
      </c>
      <c r="E7141" t="str">
        <v>-</v>
      </c>
      <c r="F7141" t="str">
        <v>-</v>
      </c>
      <c r="G7141" t="str">
        <v>-</v>
      </c>
    </row>
    <row r="7142">
      <c r="A7142">
        <v>7141</v>
      </c>
      <c r="B7142" t="str">
        <v>Công an xã Tam Cường  tỉnh Phú Thọ</v>
      </c>
      <c r="C7142" t="str">
        <v>-</v>
      </c>
      <c r="D7142" t="str">
        <v>-</v>
      </c>
      <c r="E7142" t="str">
        <v/>
      </c>
      <c r="F7142" t="str">
        <v>-</v>
      </c>
      <c r="G7142" t="str">
        <v>-</v>
      </c>
    </row>
    <row r="7143">
      <c r="A7143">
        <v>7142</v>
      </c>
      <c r="B7143" t="str">
        <v>UBND Ủy ban nhân dân xã Tam Cường  tỉnh Phú Thọ</v>
      </c>
      <c r="C7143" t="str">
        <v>-</v>
      </c>
      <c r="D7143" t="str">
        <v>-</v>
      </c>
      <c r="E7143" t="str">
        <v>-</v>
      </c>
      <c r="F7143" t="str">
        <v>-</v>
      </c>
      <c r="G7143" t="str">
        <v>-</v>
      </c>
    </row>
    <row r="7144">
      <c r="A7144">
        <v>7143</v>
      </c>
      <c r="B7144" t="str">
        <v>Công an xã Cổ Tiết  tỉnh Phú Thọ</v>
      </c>
      <c r="C7144" t="str">
        <v>-</v>
      </c>
      <c r="D7144" t="str">
        <v>-</v>
      </c>
      <c r="E7144" t="str">
        <v/>
      </c>
      <c r="F7144" t="str">
        <v>-</v>
      </c>
      <c r="G7144" t="str">
        <v>-</v>
      </c>
    </row>
    <row r="7145">
      <c r="A7145">
        <v>7144</v>
      </c>
      <c r="B7145" t="str">
        <v>UBND Ủy ban nhân dân xã Cổ Tiết  tỉnh Phú Thọ</v>
      </c>
      <c r="C7145" t="str">
        <v>-</v>
      </c>
      <c r="D7145" t="str">
        <v>-</v>
      </c>
      <c r="E7145" t="str">
        <v>-</v>
      </c>
      <c r="F7145" t="str">
        <v>-</v>
      </c>
      <c r="G7145" t="str">
        <v>-</v>
      </c>
    </row>
    <row r="7146">
      <c r="A7146">
        <v>7145</v>
      </c>
      <c r="B7146" t="str">
        <v>Công an xã Quang Húc  tỉnh Phú Thọ</v>
      </c>
      <c r="C7146" t="str">
        <v>-</v>
      </c>
      <c r="D7146" t="str">
        <v>-</v>
      </c>
      <c r="E7146" t="str">
        <v/>
      </c>
      <c r="F7146" t="str">
        <v>-</v>
      </c>
      <c r="G7146" t="str">
        <v>-</v>
      </c>
    </row>
    <row r="7147">
      <c r="A7147">
        <v>7146</v>
      </c>
      <c r="B7147" t="str">
        <v>UBND Ủy ban nhân dân xã Quang Húc  tỉnh Phú Thọ</v>
      </c>
      <c r="C7147" t="str">
        <v>-</v>
      </c>
      <c r="D7147" t="str">
        <v>-</v>
      </c>
      <c r="E7147" t="str">
        <v>-</v>
      </c>
      <c r="F7147" t="str">
        <v>-</v>
      </c>
      <c r="G7147" t="str">
        <v>-</v>
      </c>
    </row>
    <row r="7148">
      <c r="A7148">
        <v>7147</v>
      </c>
      <c r="B7148" t="str">
        <v>Công an xã Hương Nộn  tỉnh Phú Thọ</v>
      </c>
      <c r="C7148" t="str">
        <v>-</v>
      </c>
      <c r="D7148" t="str">
        <v>-</v>
      </c>
      <c r="E7148" t="str">
        <v/>
      </c>
      <c r="F7148" t="str">
        <v>-</v>
      </c>
      <c r="G7148" t="str">
        <v>-</v>
      </c>
    </row>
    <row r="7149">
      <c r="A7149">
        <v>7148</v>
      </c>
      <c r="B7149" t="str">
        <v>UBND Ủy ban nhân dân xã Hương Nộn  tỉnh Phú Thọ</v>
      </c>
      <c r="C7149" t="str">
        <v>-</v>
      </c>
      <c r="D7149" t="str">
        <v>-</v>
      </c>
      <c r="E7149" t="str">
        <v>-</v>
      </c>
      <c r="F7149" t="str">
        <v>-</v>
      </c>
      <c r="G7149" t="str">
        <v>-</v>
      </c>
    </row>
    <row r="7150">
      <c r="A7150">
        <v>7149</v>
      </c>
      <c r="B7150" t="str">
        <v>Công an xã Tề Lễ  tỉnh Phú Thọ</v>
      </c>
      <c r="C7150" t="str">
        <v>-</v>
      </c>
      <c r="D7150" t="str">
        <v>-</v>
      </c>
      <c r="E7150" t="str">
        <v/>
      </c>
      <c r="F7150" t="str">
        <v>-</v>
      </c>
      <c r="G7150" t="str">
        <v>-</v>
      </c>
    </row>
    <row r="7151">
      <c r="A7151">
        <v>7150</v>
      </c>
      <c r="B7151" t="str">
        <v>UBND Ủy ban nhân dân xã Tề Lễ  tỉnh Phú Thọ</v>
      </c>
      <c r="C7151" t="str">
        <v>-</v>
      </c>
      <c r="D7151" t="str">
        <v>-</v>
      </c>
      <c r="E7151" t="str">
        <v>-</v>
      </c>
      <c r="F7151" t="str">
        <v>-</v>
      </c>
      <c r="G7151" t="str">
        <v>-</v>
      </c>
    </row>
    <row r="7152">
      <c r="A7152">
        <v>7151</v>
      </c>
      <c r="B7152" t="str">
        <v>Công an xã Thọ Văn  tỉnh Phú Thọ</v>
      </c>
      <c r="C7152" t="str">
        <v>-</v>
      </c>
      <c r="D7152" t="str">
        <v>-</v>
      </c>
      <c r="E7152" t="str">
        <v/>
      </c>
      <c r="F7152" t="str">
        <v>-</v>
      </c>
      <c r="G7152" t="str">
        <v>-</v>
      </c>
    </row>
    <row r="7153">
      <c r="A7153">
        <v>7152</v>
      </c>
      <c r="B7153" t="str">
        <v>UBND Ủy ban nhân dân xã Thọ Văn  tỉnh Phú Thọ</v>
      </c>
      <c r="C7153" t="str">
        <v>-</v>
      </c>
      <c r="D7153" t="str">
        <v>-</v>
      </c>
      <c r="E7153" t="str">
        <v>-</v>
      </c>
      <c r="F7153" t="str">
        <v>-</v>
      </c>
      <c r="G7153" t="str">
        <v>-</v>
      </c>
    </row>
    <row r="7154">
      <c r="A7154">
        <v>7153</v>
      </c>
      <c r="B7154" t="str">
        <v>Công an xã Dị Nậu  tỉnh Phú Thọ</v>
      </c>
      <c r="C7154" t="str">
        <v>-</v>
      </c>
      <c r="D7154" t="str">
        <v>-</v>
      </c>
      <c r="E7154" t="str">
        <v/>
      </c>
      <c r="F7154" t="str">
        <v>-</v>
      </c>
      <c r="G7154" t="str">
        <v>-</v>
      </c>
    </row>
    <row r="7155">
      <c r="A7155">
        <v>7154</v>
      </c>
      <c r="B7155" t="str">
        <v>UBND Ủy ban nhân dân xã Dị Nậu  tỉnh Phú Thọ</v>
      </c>
      <c r="C7155" t="str">
        <v>-</v>
      </c>
      <c r="D7155" t="str">
        <v>-</v>
      </c>
      <c r="E7155" t="str">
        <v>-</v>
      </c>
      <c r="F7155" t="str">
        <v>-</v>
      </c>
      <c r="G7155" t="str">
        <v>-</v>
      </c>
    </row>
    <row r="7156">
      <c r="A7156">
        <v>7155</v>
      </c>
      <c r="B7156" t="str">
        <v>Công an xã Hồng Đà  tỉnh Phú Thọ</v>
      </c>
      <c r="C7156" t="str">
        <v>-</v>
      </c>
      <c r="D7156" t="str">
        <v>-</v>
      </c>
      <c r="E7156" t="str">
        <v/>
      </c>
      <c r="F7156" t="str">
        <v>-</v>
      </c>
      <c r="G7156" t="str">
        <v>-</v>
      </c>
    </row>
    <row r="7157">
      <c r="A7157">
        <v>7156</v>
      </c>
      <c r="B7157" t="str">
        <v>UBND Ủy ban nhân dân xã Hồng Đà  tỉnh Phú Thọ</v>
      </c>
      <c r="C7157" t="str">
        <v>-</v>
      </c>
      <c r="D7157" t="str">
        <v>-</v>
      </c>
      <c r="E7157" t="str">
        <v>-</v>
      </c>
      <c r="F7157" t="str">
        <v>-</v>
      </c>
      <c r="G7157" t="str">
        <v>-</v>
      </c>
    </row>
    <row r="7158">
      <c r="A7158">
        <v>7157</v>
      </c>
      <c r="B7158" t="str">
        <v>Công an xã Dậu Dương  tỉnh Phú Thọ</v>
      </c>
      <c r="C7158" t="str">
        <v>-</v>
      </c>
      <c r="D7158" t="str">
        <v>-</v>
      </c>
      <c r="E7158" t="str">
        <v/>
      </c>
      <c r="F7158" t="str">
        <v>-</v>
      </c>
      <c r="G7158" t="str">
        <v>-</v>
      </c>
    </row>
    <row r="7159">
      <c r="A7159">
        <v>7158</v>
      </c>
      <c r="B7159" t="str">
        <v>UBND Ủy ban nhân dân xã Dậu Dương  tỉnh Phú Thọ</v>
      </c>
      <c r="C7159" t="str">
        <v>-</v>
      </c>
      <c r="D7159" t="str">
        <v>-</v>
      </c>
      <c r="E7159" t="str">
        <v>-</v>
      </c>
      <c r="F7159" t="str">
        <v>-</v>
      </c>
      <c r="G7159" t="str">
        <v>-</v>
      </c>
    </row>
    <row r="7160">
      <c r="A7160">
        <v>7159</v>
      </c>
      <c r="B7160" t="str">
        <v>Công an xã Thượng Nông  tỉnh Phú Thọ</v>
      </c>
      <c r="C7160" t="str">
        <v>-</v>
      </c>
      <c r="D7160" t="str">
        <v>-</v>
      </c>
      <c r="E7160" t="str">
        <v/>
      </c>
      <c r="F7160" t="str">
        <v>-</v>
      </c>
      <c r="G7160" t="str">
        <v>-</v>
      </c>
    </row>
    <row r="7161">
      <c r="A7161">
        <v>7160</v>
      </c>
      <c r="B7161" t="str">
        <v>UBND Ủy ban nhân dân xã Thượng Nông  tỉnh Phú Thọ</v>
      </c>
      <c r="C7161" t="str">
        <v>-</v>
      </c>
      <c r="D7161" t="str">
        <v>-</v>
      </c>
      <c r="E7161" t="str">
        <v>-</v>
      </c>
      <c r="F7161" t="str">
        <v>-</v>
      </c>
      <c r="G7161" t="str">
        <v>-</v>
      </c>
    </row>
    <row r="7162">
      <c r="A7162">
        <v>7161</v>
      </c>
      <c r="B7162" t="str">
        <v>Công an thị trấn Lâm Thao  tỉnh Phú Thọ</v>
      </c>
      <c r="C7162" t="str">
        <v>-</v>
      </c>
      <c r="D7162" t="str">
        <v>-</v>
      </c>
      <c r="E7162" t="str">
        <v/>
      </c>
      <c r="F7162" t="str">
        <v>-</v>
      </c>
      <c r="G7162" t="str">
        <v>-</v>
      </c>
    </row>
    <row r="7163">
      <c r="A7163">
        <v>7162</v>
      </c>
      <c r="B7163" t="str">
        <v>UBND Ủy ban nhân dân thị trấn Lâm Thao  tỉnh Phú Thọ</v>
      </c>
      <c r="C7163" t="str">
        <v>-</v>
      </c>
      <c r="D7163" t="str">
        <v>-</v>
      </c>
      <c r="E7163" t="str">
        <v>-</v>
      </c>
      <c r="F7163" t="str">
        <v>-</v>
      </c>
      <c r="G7163" t="str">
        <v>-</v>
      </c>
    </row>
    <row r="7164">
      <c r="A7164">
        <v>7163</v>
      </c>
      <c r="B7164" t="str">
        <v>Công an xã Tiên Kiên  tỉnh Phú Thọ</v>
      </c>
      <c r="C7164" t="str">
        <v>-</v>
      </c>
      <c r="D7164" t="str">
        <v>-</v>
      </c>
      <c r="E7164" t="str">
        <v/>
      </c>
      <c r="F7164" t="str">
        <v>-</v>
      </c>
      <c r="G7164" t="str">
        <v>-</v>
      </c>
    </row>
    <row r="7165">
      <c r="A7165">
        <v>7164</v>
      </c>
      <c r="B7165" t="str">
        <v>UBND Ủy ban nhân dân xã Tiên Kiên  tỉnh Phú Thọ</v>
      </c>
      <c r="C7165" t="str">
        <v>-</v>
      </c>
      <c r="D7165" t="str">
        <v>-</v>
      </c>
      <c r="E7165" t="str">
        <v>-</v>
      </c>
      <c r="F7165" t="str">
        <v>-</v>
      </c>
      <c r="G7165" t="str">
        <v>-</v>
      </c>
    </row>
    <row r="7166">
      <c r="A7166">
        <v>7165</v>
      </c>
      <c r="B7166" t="str">
        <v>Công an thị trấn Hùng Sơn  tỉnh Phú Thọ</v>
      </c>
      <c r="C7166" t="str">
        <v>-</v>
      </c>
      <c r="D7166" t="str">
        <v>-</v>
      </c>
      <c r="E7166" t="str">
        <v/>
      </c>
      <c r="F7166" t="str">
        <v>-</v>
      </c>
      <c r="G7166" t="str">
        <v>-</v>
      </c>
    </row>
    <row r="7167">
      <c r="A7167">
        <v>7166</v>
      </c>
      <c r="B7167" t="str">
        <v>UBND Ủy ban nhân dân thị trấn Hùng Sơn  tỉnh Phú Thọ</v>
      </c>
      <c r="C7167" t="str">
        <v>-</v>
      </c>
      <c r="D7167" t="str">
        <v>-</v>
      </c>
      <c r="E7167" t="str">
        <v>-</v>
      </c>
      <c r="F7167" t="str">
        <v>-</v>
      </c>
      <c r="G7167" t="str">
        <v>-</v>
      </c>
    </row>
    <row r="7168">
      <c r="A7168">
        <v>7167</v>
      </c>
      <c r="B7168" t="str">
        <v>Công an xã Xuân Lũng  tỉnh Phú Thọ</v>
      </c>
      <c r="C7168" t="str">
        <v>-</v>
      </c>
      <c r="D7168" t="str">
        <v>-</v>
      </c>
      <c r="E7168" t="str">
        <v/>
      </c>
      <c r="F7168" t="str">
        <v>-</v>
      </c>
      <c r="G7168" t="str">
        <v>-</v>
      </c>
    </row>
    <row r="7169">
      <c r="A7169">
        <v>7168</v>
      </c>
      <c r="B7169" t="str">
        <v>UBND Ủy ban nhân dân xã Xuân Lũng  tỉnh Phú Thọ</v>
      </c>
      <c r="C7169" t="str">
        <v>-</v>
      </c>
      <c r="D7169" t="str">
        <v>-</v>
      </c>
      <c r="E7169" t="str">
        <v>-</v>
      </c>
      <c r="F7169" t="str">
        <v>-</v>
      </c>
      <c r="G7169" t="str">
        <v>-</v>
      </c>
    </row>
    <row r="7170">
      <c r="A7170">
        <v>7169</v>
      </c>
      <c r="B7170" t="str">
        <v>Công an xã Xuân Huy  tỉnh Phú Thọ</v>
      </c>
      <c r="C7170" t="str">
        <v>-</v>
      </c>
      <c r="D7170" t="str">
        <v>-</v>
      </c>
      <c r="E7170" t="str">
        <v/>
      </c>
      <c r="F7170" t="str">
        <v>-</v>
      </c>
      <c r="G7170" t="str">
        <v>-</v>
      </c>
    </row>
    <row r="7171">
      <c r="A7171">
        <v>7170</v>
      </c>
      <c r="B7171" t="str">
        <v>UBND Ủy ban nhân dân xã Xuân Huy  tỉnh Phú Thọ</v>
      </c>
      <c r="C7171" t="str">
        <v>-</v>
      </c>
      <c r="D7171" t="str">
        <v>-</v>
      </c>
      <c r="E7171" t="str">
        <v>-</v>
      </c>
      <c r="F7171" t="str">
        <v>-</v>
      </c>
      <c r="G7171" t="str">
        <v>-</v>
      </c>
    </row>
    <row r="7172">
      <c r="A7172">
        <v>7171</v>
      </c>
      <c r="B7172" t="str">
        <v>Công an xã Thạch Sơn  tỉnh Phú Thọ</v>
      </c>
      <c r="C7172" t="str">
        <v>-</v>
      </c>
      <c r="D7172" t="str">
        <v>-</v>
      </c>
      <c r="E7172" t="str">
        <v/>
      </c>
      <c r="F7172" t="str">
        <v>-</v>
      </c>
      <c r="G7172" t="str">
        <v>-</v>
      </c>
    </row>
    <row r="7173">
      <c r="A7173">
        <v>7172</v>
      </c>
      <c r="B7173" t="str">
        <v>UBND Ủy ban nhân dân xã Thạch Sơn  tỉnh Phú Thọ</v>
      </c>
      <c r="C7173" t="str">
        <v>-</v>
      </c>
      <c r="D7173" t="str">
        <v>-</v>
      </c>
      <c r="E7173" t="str">
        <v>-</v>
      </c>
      <c r="F7173" t="str">
        <v>-</v>
      </c>
      <c r="G7173" t="str">
        <v>-</v>
      </c>
    </row>
    <row r="7174">
      <c r="A7174">
        <v>7173</v>
      </c>
      <c r="B7174" t="str">
        <v>Công an xã Sơn Vi  tỉnh Phú Thọ</v>
      </c>
      <c r="C7174" t="str">
        <v>-</v>
      </c>
      <c r="D7174" t="str">
        <v>-</v>
      </c>
      <c r="E7174" t="str">
        <v/>
      </c>
      <c r="F7174" t="str">
        <v>-</v>
      </c>
      <c r="G7174" t="str">
        <v>-</v>
      </c>
    </row>
    <row r="7175">
      <c r="A7175">
        <v>7174</v>
      </c>
      <c r="B7175" t="str">
        <v>UBND Ủy ban nhân dân xã Sơn Vi  tỉnh Phú Thọ</v>
      </c>
      <c r="C7175" t="str">
        <v>-</v>
      </c>
      <c r="D7175" t="str">
        <v>-</v>
      </c>
      <c r="E7175" t="str">
        <v>-</v>
      </c>
      <c r="F7175" t="str">
        <v>-</v>
      </c>
      <c r="G7175" t="str">
        <v>-</v>
      </c>
    </row>
    <row r="7176">
      <c r="A7176">
        <v>7175</v>
      </c>
      <c r="B7176" t="str">
        <v>Công an xã Hợp Hải  tỉnh Phú Thọ</v>
      </c>
      <c r="C7176" t="str">
        <v>-</v>
      </c>
      <c r="D7176" t="str">
        <v>-</v>
      </c>
      <c r="E7176" t="str">
        <v/>
      </c>
      <c r="F7176" t="str">
        <v>-</v>
      </c>
      <c r="G7176" t="str">
        <v>-</v>
      </c>
    </row>
    <row r="7177">
      <c r="A7177">
        <v>7176</v>
      </c>
      <c r="B7177" t="str">
        <v>UBND Ủy ban nhân dân xã Hợp Hải  tỉnh Phú Thọ</v>
      </c>
      <c r="C7177" t="str">
        <v>-</v>
      </c>
      <c r="D7177" t="str">
        <v>-</v>
      </c>
      <c r="E7177" t="str">
        <v>-</v>
      </c>
      <c r="F7177" t="str">
        <v>-</v>
      </c>
      <c r="G7177" t="str">
        <v>-</v>
      </c>
    </row>
    <row r="7178">
      <c r="A7178">
        <v>7177</v>
      </c>
      <c r="B7178" t="str">
        <v>Công an xã Sơn Dương  tỉnh Phú Thọ</v>
      </c>
      <c r="C7178" t="str">
        <v>-</v>
      </c>
      <c r="D7178" t="str">
        <v>-</v>
      </c>
      <c r="E7178" t="str">
        <v/>
      </c>
      <c r="F7178" t="str">
        <v>-</v>
      </c>
      <c r="G7178" t="str">
        <v>-</v>
      </c>
    </row>
    <row r="7179">
      <c r="A7179">
        <v>7178</v>
      </c>
      <c r="B7179" t="str">
        <v>UBND Ủy ban nhân dân xã Sơn Dương  tỉnh Phú Thọ</v>
      </c>
      <c r="C7179" t="str">
        <v>-</v>
      </c>
      <c r="D7179" t="str">
        <v>-</v>
      </c>
      <c r="E7179" t="str">
        <v>-</v>
      </c>
      <c r="F7179" t="str">
        <v>-</v>
      </c>
      <c r="G7179" t="str">
        <v>-</v>
      </c>
    </row>
    <row r="7180">
      <c r="A7180">
        <v>7179</v>
      </c>
      <c r="B7180" t="str">
        <v>Công an xã Cao Xá  tỉnh Phú Thọ</v>
      </c>
      <c r="C7180" t="str">
        <v>-</v>
      </c>
      <c r="D7180" t="str">
        <v>-</v>
      </c>
      <c r="E7180" t="str">
        <v/>
      </c>
      <c r="F7180" t="str">
        <v>-</v>
      </c>
      <c r="G7180" t="str">
        <v>-</v>
      </c>
    </row>
    <row r="7181">
      <c r="A7181">
        <v>7180</v>
      </c>
      <c r="B7181" t="str">
        <v>UBND Ủy ban nhân dân xã Cao Xá  tỉnh Phú Thọ</v>
      </c>
      <c r="C7181" t="str">
        <v>-</v>
      </c>
      <c r="D7181" t="str">
        <v>-</v>
      </c>
      <c r="E7181" t="str">
        <v>-</v>
      </c>
      <c r="F7181" t="str">
        <v>-</v>
      </c>
      <c r="G7181" t="str">
        <v>-</v>
      </c>
    </row>
    <row r="7182">
      <c r="A7182">
        <v>7181</v>
      </c>
      <c r="B7182" t="str">
        <v>Công an xã Kinh Kệ  tỉnh Phú Thọ</v>
      </c>
      <c r="C7182" t="str">
        <v>-</v>
      </c>
      <c r="D7182" t="str">
        <v>-</v>
      </c>
      <c r="E7182" t="str">
        <v/>
      </c>
      <c r="F7182" t="str">
        <v>-</v>
      </c>
      <c r="G7182" t="str">
        <v>-</v>
      </c>
    </row>
    <row r="7183">
      <c r="A7183">
        <v>7182</v>
      </c>
      <c r="B7183" t="str">
        <v>UBND Ủy ban nhân dân xã Kinh Kệ  tỉnh Phú Thọ</v>
      </c>
      <c r="C7183" t="str">
        <v>-</v>
      </c>
      <c r="D7183" t="str">
        <v>-</v>
      </c>
      <c r="E7183" t="str">
        <v>-</v>
      </c>
      <c r="F7183" t="str">
        <v>-</v>
      </c>
      <c r="G7183" t="str">
        <v>-</v>
      </c>
    </row>
    <row r="7184">
      <c r="A7184">
        <v>7183</v>
      </c>
      <c r="B7184" t="str">
        <v>Công an xã Vĩnh Lại  tỉnh Phú Thọ</v>
      </c>
      <c r="C7184" t="str">
        <v>-</v>
      </c>
      <c r="D7184" t="str">
        <v>-</v>
      </c>
      <c r="E7184" t="str">
        <v/>
      </c>
      <c r="F7184" t="str">
        <v>-</v>
      </c>
      <c r="G7184" t="str">
        <v>-</v>
      </c>
    </row>
    <row r="7185">
      <c r="A7185">
        <v>7184</v>
      </c>
      <c r="B7185" t="str">
        <v>UBND Ủy ban nhân dân xã Vĩnh Lại  tỉnh Phú Thọ</v>
      </c>
      <c r="C7185" t="str">
        <v>-</v>
      </c>
      <c r="D7185" t="str">
        <v>-</v>
      </c>
      <c r="E7185" t="str">
        <v>-</v>
      </c>
      <c r="F7185" t="str">
        <v>-</v>
      </c>
      <c r="G7185" t="str">
        <v>-</v>
      </c>
    </row>
    <row r="7186">
      <c r="A7186">
        <v>7185</v>
      </c>
      <c r="B7186" t="str">
        <v>Công an xã Tứ xã  tỉnh Phú Thọ</v>
      </c>
      <c r="C7186" t="str">
        <v>-</v>
      </c>
      <c r="D7186" t="str">
        <v>-</v>
      </c>
      <c r="E7186" t="str">
        <v/>
      </c>
      <c r="F7186" t="str">
        <v>-</v>
      </c>
      <c r="G7186" t="str">
        <v>-</v>
      </c>
    </row>
    <row r="7187">
      <c r="A7187">
        <v>7186</v>
      </c>
      <c r="B7187" t="str">
        <v>UBND Ủy ban nhân dân xã Tứ xã  tỉnh Phú Thọ</v>
      </c>
      <c r="C7187" t="str">
        <v>-</v>
      </c>
      <c r="D7187" t="str">
        <v>-</v>
      </c>
      <c r="E7187" t="str">
        <v>-</v>
      </c>
      <c r="F7187" t="str">
        <v>-</v>
      </c>
      <c r="G7187" t="str">
        <v>-</v>
      </c>
    </row>
    <row r="7188">
      <c r="A7188">
        <v>7187</v>
      </c>
      <c r="B7188" t="str">
        <v>Công an xã Bản Nguyên  tỉnh Phú Thọ</v>
      </c>
      <c r="C7188" t="str">
        <v>-</v>
      </c>
      <c r="D7188" t="str">
        <v>-</v>
      </c>
      <c r="E7188" t="str">
        <v/>
      </c>
      <c r="F7188" t="str">
        <v>-</v>
      </c>
      <c r="G7188" t="str">
        <v>-</v>
      </c>
    </row>
    <row r="7189">
      <c r="A7189">
        <v>7188</v>
      </c>
      <c r="B7189" t="str">
        <v>UBND Ủy ban nhân dân xã Bản Nguyên  tỉnh Phú Thọ</v>
      </c>
      <c r="C7189" t="str">
        <v>-</v>
      </c>
      <c r="D7189" t="str">
        <v>-</v>
      </c>
      <c r="E7189" t="str">
        <v>-</v>
      </c>
      <c r="F7189" t="str">
        <v>-</v>
      </c>
      <c r="G7189" t="str">
        <v>-</v>
      </c>
    </row>
    <row r="7190">
      <c r="A7190">
        <v>7189</v>
      </c>
      <c r="B7190" t="str">
        <v>Công an thị trấn Thanh Sơn  tỉnh Phú Thọ</v>
      </c>
      <c r="C7190" t="str">
        <v>-</v>
      </c>
      <c r="D7190" t="str">
        <v>-</v>
      </c>
      <c r="E7190" t="str">
        <v/>
      </c>
      <c r="F7190" t="str">
        <v>-</v>
      </c>
      <c r="G7190" t="str">
        <v>-</v>
      </c>
    </row>
    <row r="7191">
      <c r="A7191">
        <v>7190</v>
      </c>
      <c r="B7191" t="str">
        <v>UBND Ủy ban nhân dân thị trấn Thanh Sơn  tỉnh Phú Thọ</v>
      </c>
      <c r="C7191" t="str">
        <v>-</v>
      </c>
      <c r="D7191" t="str">
        <v>-</v>
      </c>
      <c r="E7191" t="str">
        <v>-</v>
      </c>
      <c r="F7191" t="str">
        <v>-</v>
      </c>
      <c r="G7191" t="str">
        <v>-</v>
      </c>
    </row>
    <row r="7192">
      <c r="A7192">
        <v>7191</v>
      </c>
      <c r="B7192" t="str">
        <v>Công an xã Sơn Hùng  tỉnh Phú Thọ</v>
      </c>
      <c r="C7192" t="str">
        <v>-</v>
      </c>
      <c r="D7192" t="str">
        <v>-</v>
      </c>
      <c r="E7192" t="str">
        <v/>
      </c>
      <c r="F7192" t="str">
        <v>-</v>
      </c>
      <c r="G7192" t="str">
        <v>-</v>
      </c>
    </row>
    <row r="7193">
      <c r="A7193">
        <v>7192</v>
      </c>
      <c r="B7193" t="str">
        <v>UBND Ủy ban nhân dân xã Sơn Hùng  tỉnh Phú Thọ</v>
      </c>
      <c r="C7193" t="str">
        <v>-</v>
      </c>
      <c r="D7193" t="str">
        <v>-</v>
      </c>
      <c r="E7193" t="str">
        <v>-</v>
      </c>
      <c r="F7193" t="str">
        <v>-</v>
      </c>
      <c r="G7193" t="str">
        <v>-</v>
      </c>
    </row>
    <row r="7194">
      <c r="A7194">
        <v>7193</v>
      </c>
      <c r="B7194" t="str">
        <v>Công an xã Địch Quả  tỉnh Phú Thọ</v>
      </c>
      <c r="C7194" t="str">
        <v>-</v>
      </c>
      <c r="D7194" t="str">
        <v>-</v>
      </c>
      <c r="E7194" t="str">
        <v/>
      </c>
      <c r="F7194" t="str">
        <v>-</v>
      </c>
      <c r="G7194" t="str">
        <v>-</v>
      </c>
    </row>
    <row r="7195">
      <c r="A7195">
        <v>7194</v>
      </c>
      <c r="B7195" t="str">
        <v>UBND Ủy ban nhân dân xã Địch Quả  tỉnh Phú Thọ</v>
      </c>
      <c r="C7195" t="str">
        <v>-</v>
      </c>
      <c r="D7195" t="str">
        <v>-</v>
      </c>
      <c r="E7195" t="str">
        <v>-</v>
      </c>
      <c r="F7195" t="str">
        <v>-</v>
      </c>
      <c r="G7195" t="str">
        <v>-</v>
      </c>
    </row>
    <row r="7196">
      <c r="A7196">
        <v>7195</v>
      </c>
      <c r="B7196" t="str">
        <v>Công an xã Giáp Lai  tỉnh Phú Thọ</v>
      </c>
      <c r="C7196" t="str">
        <v>-</v>
      </c>
      <c r="D7196" t="str">
        <v>-</v>
      </c>
      <c r="E7196" t="str">
        <v/>
      </c>
      <c r="F7196" t="str">
        <v>-</v>
      </c>
      <c r="G7196" t="str">
        <v>-</v>
      </c>
    </row>
    <row r="7197">
      <c r="A7197">
        <v>7196</v>
      </c>
      <c r="B7197" t="str">
        <v>UBND Ủy ban nhân dân xã Giáp Lai  tỉnh Phú Thọ</v>
      </c>
      <c r="C7197" t="str">
        <v>-</v>
      </c>
      <c r="D7197" t="str">
        <v>-</v>
      </c>
      <c r="E7197" t="str">
        <v>-</v>
      </c>
      <c r="F7197" t="str">
        <v>-</v>
      </c>
      <c r="G7197" t="str">
        <v>-</v>
      </c>
    </row>
    <row r="7198">
      <c r="A7198">
        <v>7197</v>
      </c>
      <c r="B7198" t="str">
        <v>Công an xã Thục Luyện  tỉnh Phú Thọ</v>
      </c>
      <c r="C7198" t="str">
        <v>-</v>
      </c>
      <c r="D7198" t="str">
        <v>-</v>
      </c>
      <c r="E7198" t="str">
        <v/>
      </c>
      <c r="F7198" t="str">
        <v>-</v>
      </c>
      <c r="G7198" t="str">
        <v>-</v>
      </c>
    </row>
    <row r="7199">
      <c r="A7199">
        <v>7198</v>
      </c>
      <c r="B7199" t="str">
        <v>UBND Ủy ban nhân dân xã Thục Luyện  tỉnh Phú Thọ</v>
      </c>
      <c r="C7199" t="str">
        <v>-</v>
      </c>
      <c r="D7199" t="str">
        <v>-</v>
      </c>
      <c r="E7199" t="str">
        <v>-</v>
      </c>
      <c r="F7199" t="str">
        <v>-</v>
      </c>
      <c r="G7199" t="str">
        <v>-</v>
      </c>
    </row>
    <row r="7200">
      <c r="A7200">
        <v>7199</v>
      </c>
      <c r="B7200" t="str">
        <v>Công an xã Võ Miếu  tỉnh Phú Thọ</v>
      </c>
      <c r="C7200" t="str">
        <v>-</v>
      </c>
      <c r="D7200" t="str">
        <v>-</v>
      </c>
      <c r="E7200" t="str">
        <v/>
      </c>
      <c r="F7200" t="str">
        <v>-</v>
      </c>
      <c r="G7200" t="str">
        <v>-</v>
      </c>
    </row>
    <row r="7201">
      <c r="A7201">
        <v>7200</v>
      </c>
      <c r="B7201" t="str">
        <v>UBND Ủy ban nhân dân xã Võ Miếu  tỉnh Phú Thọ</v>
      </c>
      <c r="C7201" t="str">
        <v>-</v>
      </c>
      <c r="D7201" t="str">
        <v>-</v>
      </c>
      <c r="E7201" t="str">
        <v>-</v>
      </c>
      <c r="F7201" t="str">
        <v>-</v>
      </c>
      <c r="G7201" t="str">
        <v>-</v>
      </c>
    </row>
    <row r="7202">
      <c r="A7202">
        <v>7201</v>
      </c>
      <c r="B7202" t="str">
        <v>Công an xã Thạch Khoán  tỉnh Phú Thọ</v>
      </c>
      <c r="C7202" t="str">
        <v>-</v>
      </c>
      <c r="D7202" t="str">
        <v>-</v>
      </c>
      <c r="E7202" t="str">
        <v/>
      </c>
      <c r="F7202" t="str">
        <v>-</v>
      </c>
      <c r="G7202" t="str">
        <v>-</v>
      </c>
    </row>
    <row r="7203">
      <c r="A7203">
        <v>7202</v>
      </c>
      <c r="B7203" t="str">
        <v>UBND Ủy ban nhân dân xã Thạch Khoán  tỉnh Phú Thọ</v>
      </c>
      <c r="C7203" t="str">
        <v>-</v>
      </c>
      <c r="D7203" t="str">
        <v>-</v>
      </c>
      <c r="E7203" t="str">
        <v>-</v>
      </c>
      <c r="F7203" t="str">
        <v>-</v>
      </c>
      <c r="G7203" t="str">
        <v>-</v>
      </c>
    </row>
    <row r="7204">
      <c r="A7204">
        <v>7203</v>
      </c>
      <c r="B7204" t="str">
        <v>Công an xã Cự Thắng  tỉnh Phú Thọ</v>
      </c>
      <c r="C7204" t="str">
        <v>-</v>
      </c>
      <c r="D7204" t="str">
        <v>-</v>
      </c>
      <c r="E7204" t="str">
        <v/>
      </c>
      <c r="F7204" t="str">
        <v>-</v>
      </c>
      <c r="G7204" t="str">
        <v>-</v>
      </c>
    </row>
    <row r="7205">
      <c r="A7205">
        <v>7204</v>
      </c>
      <c r="B7205" t="str">
        <v>UBND Ủy ban nhân dân xã Cự Thắng  tỉnh Phú Thọ</v>
      </c>
      <c r="C7205" t="str">
        <v>-</v>
      </c>
      <c r="D7205" t="str">
        <v>-</v>
      </c>
      <c r="E7205" t="str">
        <v>-</v>
      </c>
      <c r="F7205" t="str">
        <v>-</v>
      </c>
      <c r="G7205" t="str">
        <v>-</v>
      </c>
    </row>
    <row r="7206">
      <c r="A7206">
        <v>7205</v>
      </c>
      <c r="B7206" t="str">
        <v>Công an xã Tất Thắng  tỉnh Phú Thọ</v>
      </c>
      <c r="C7206" t="str">
        <v>-</v>
      </c>
      <c r="D7206" t="str">
        <v>-</v>
      </c>
      <c r="E7206" t="str">
        <v/>
      </c>
      <c r="F7206" t="str">
        <v>-</v>
      </c>
      <c r="G7206" t="str">
        <v>-</v>
      </c>
    </row>
    <row r="7207">
      <c r="A7207">
        <v>7206</v>
      </c>
      <c r="B7207" t="str">
        <v>UBND Ủy ban nhân dân xã Tất Thắng  tỉnh Phú Thọ</v>
      </c>
      <c r="C7207" t="str">
        <v>-</v>
      </c>
      <c r="D7207" t="str">
        <v>-</v>
      </c>
      <c r="E7207" t="str">
        <v>-</v>
      </c>
      <c r="F7207" t="str">
        <v>-</v>
      </c>
      <c r="G7207" t="str">
        <v>-</v>
      </c>
    </row>
    <row r="7208">
      <c r="A7208">
        <v>7207</v>
      </c>
      <c r="B7208" t="str">
        <v>Công an xã Văn Miếu  tỉnh Phú Thọ</v>
      </c>
      <c r="C7208" t="str">
        <v>-</v>
      </c>
      <c r="D7208" t="str">
        <v>-</v>
      </c>
      <c r="E7208" t="str">
        <v/>
      </c>
      <c r="F7208" t="str">
        <v>-</v>
      </c>
      <c r="G7208" t="str">
        <v>-</v>
      </c>
    </row>
    <row r="7209">
      <c r="A7209">
        <v>7208</v>
      </c>
      <c r="B7209" t="str">
        <v>UBND Ủy ban nhân dân xã Văn Miếu  tỉnh Phú Thọ</v>
      </c>
      <c r="C7209" t="str">
        <v>-</v>
      </c>
      <c r="D7209" t="str">
        <v>-</v>
      </c>
      <c r="E7209" t="str">
        <v>-</v>
      </c>
      <c r="F7209" t="str">
        <v>-</v>
      </c>
      <c r="G7209" t="str">
        <v>-</v>
      </c>
    </row>
    <row r="7210">
      <c r="A7210">
        <v>7209</v>
      </c>
      <c r="B7210" t="str">
        <v>Công an xã Cự Đồng  tỉnh Phú Thọ</v>
      </c>
      <c r="C7210" t="str">
        <v>-</v>
      </c>
      <c r="D7210" t="str">
        <v>-</v>
      </c>
      <c r="E7210" t="str">
        <v/>
      </c>
      <c r="F7210" t="str">
        <v>-</v>
      </c>
      <c r="G7210" t="str">
        <v>-</v>
      </c>
    </row>
    <row r="7211">
      <c r="A7211">
        <v>7210</v>
      </c>
      <c r="B7211" t="str">
        <v>UBND Ủy ban nhân dân xã Cự Đồng  tỉnh Phú Thọ</v>
      </c>
      <c r="C7211" t="str">
        <v>-</v>
      </c>
      <c r="D7211" t="str">
        <v>-</v>
      </c>
      <c r="E7211" t="str">
        <v>-</v>
      </c>
      <c r="F7211" t="str">
        <v>-</v>
      </c>
      <c r="G7211" t="str">
        <v>-</v>
      </c>
    </row>
    <row r="7212">
      <c r="A7212">
        <v>7211</v>
      </c>
      <c r="B7212" t="str">
        <v>Công an xã Thắng Sơn  tỉnh Phú Thọ</v>
      </c>
      <c r="C7212" t="str">
        <v>-</v>
      </c>
      <c r="D7212" t="str">
        <v>-</v>
      </c>
      <c r="E7212" t="str">
        <v/>
      </c>
      <c r="F7212" t="str">
        <v>-</v>
      </c>
      <c r="G7212" t="str">
        <v>-</v>
      </c>
    </row>
    <row r="7213">
      <c r="A7213">
        <v>7212</v>
      </c>
      <c r="B7213" t="str">
        <v>UBND Ủy ban nhân dân xã Thắng Sơn  tỉnh Phú Thọ</v>
      </c>
      <c r="C7213" t="str">
        <v>-</v>
      </c>
      <c r="D7213" t="str">
        <v>-</v>
      </c>
      <c r="E7213" t="str">
        <v>-</v>
      </c>
      <c r="F7213" t="str">
        <v>-</v>
      </c>
      <c r="G7213" t="str">
        <v>-</v>
      </c>
    </row>
    <row r="7214">
      <c r="A7214">
        <v>7213</v>
      </c>
      <c r="B7214" t="str">
        <v>Công an xã Tân Minh  tỉnh Phú Thọ</v>
      </c>
      <c r="C7214" t="str">
        <v>-</v>
      </c>
      <c r="D7214" t="str">
        <v>-</v>
      </c>
      <c r="E7214" t="str">
        <v/>
      </c>
      <c r="F7214" t="str">
        <v>-</v>
      </c>
      <c r="G7214" t="str">
        <v>-</v>
      </c>
    </row>
    <row r="7215">
      <c r="A7215">
        <v>7214</v>
      </c>
      <c r="B7215" t="str">
        <v>UBND Ủy ban nhân dân xã Tân Minh  tỉnh Phú Thọ</v>
      </c>
      <c r="C7215" t="str">
        <v>-</v>
      </c>
      <c r="D7215" t="str">
        <v>-</v>
      </c>
      <c r="E7215" t="str">
        <v>-</v>
      </c>
      <c r="F7215" t="str">
        <v>-</v>
      </c>
      <c r="G7215" t="str">
        <v>-</v>
      </c>
    </row>
    <row r="7216">
      <c r="A7216">
        <v>7215</v>
      </c>
      <c r="B7216" t="str">
        <v>Công an xã Hương Cần  tỉnh Phú Thọ</v>
      </c>
      <c r="C7216" t="str">
        <v>-</v>
      </c>
      <c r="D7216" t="str">
        <v>-</v>
      </c>
      <c r="E7216" t="str">
        <v/>
      </c>
      <c r="F7216" t="str">
        <v>-</v>
      </c>
      <c r="G7216" t="str">
        <v>-</v>
      </c>
    </row>
    <row r="7217">
      <c r="A7217">
        <v>7216</v>
      </c>
      <c r="B7217" t="str">
        <v>UBND Ủy ban nhân dân xã Hương Cần  tỉnh Phú Thọ</v>
      </c>
      <c r="C7217" t="str">
        <v>-</v>
      </c>
      <c r="D7217" t="str">
        <v>-</v>
      </c>
      <c r="E7217" t="str">
        <v>-</v>
      </c>
      <c r="F7217" t="str">
        <v>-</v>
      </c>
      <c r="G7217" t="str">
        <v>-</v>
      </c>
    </row>
    <row r="7218">
      <c r="A7218">
        <v>7217</v>
      </c>
      <c r="B7218" t="str">
        <v>Công an xã Khả Cửu  tỉnh Phú Thọ</v>
      </c>
      <c r="C7218" t="str">
        <v>-</v>
      </c>
      <c r="D7218" t="str">
        <v>-</v>
      </c>
      <c r="E7218" t="str">
        <v/>
      </c>
      <c r="F7218" t="str">
        <v>-</v>
      </c>
      <c r="G7218" t="str">
        <v>-</v>
      </c>
    </row>
    <row r="7219">
      <c r="A7219">
        <v>7218</v>
      </c>
      <c r="B7219" t="str">
        <v>UBND Ủy ban nhân dân xã Khả Cửu  tỉnh Phú Thọ</v>
      </c>
      <c r="C7219" t="str">
        <v>-</v>
      </c>
      <c r="D7219" t="str">
        <v>-</v>
      </c>
      <c r="E7219" t="str">
        <v>-</v>
      </c>
      <c r="F7219" t="str">
        <v>-</v>
      </c>
      <c r="G7219" t="str">
        <v>-</v>
      </c>
    </row>
    <row r="7220">
      <c r="A7220">
        <v>7219</v>
      </c>
      <c r="B7220" t="str">
        <v>Công an xã Đông Cửu  tỉnh Phú Thọ</v>
      </c>
      <c r="C7220" t="str">
        <v>-</v>
      </c>
      <c r="D7220" t="str">
        <v>-</v>
      </c>
      <c r="E7220" t="str">
        <v/>
      </c>
      <c r="F7220" t="str">
        <v>-</v>
      </c>
      <c r="G7220" t="str">
        <v>-</v>
      </c>
    </row>
    <row r="7221">
      <c r="A7221">
        <v>7220</v>
      </c>
      <c r="B7221" t="str">
        <v>UBND Ủy ban nhân dân xã Đông Cửu  tỉnh Phú Thọ</v>
      </c>
      <c r="C7221" t="str">
        <v>-</v>
      </c>
      <c r="D7221" t="str">
        <v>-</v>
      </c>
      <c r="E7221" t="str">
        <v>-</v>
      </c>
      <c r="F7221" t="str">
        <v>-</v>
      </c>
      <c r="G7221" t="str">
        <v>-</v>
      </c>
    </row>
    <row r="7222">
      <c r="A7222">
        <v>7221</v>
      </c>
      <c r="B7222" t="str">
        <v>Công an xã Tân Lập  tỉnh Phú Thọ</v>
      </c>
      <c r="C7222" t="str">
        <v>-</v>
      </c>
      <c r="D7222" t="str">
        <v>-</v>
      </c>
      <c r="E7222" t="str">
        <v/>
      </c>
      <c r="F7222" t="str">
        <v>-</v>
      </c>
      <c r="G7222" t="str">
        <v>-</v>
      </c>
    </row>
    <row r="7223">
      <c r="A7223">
        <v>7222</v>
      </c>
      <c r="B7223" t="str">
        <v>UBND Ủy ban nhân dân xã Tân Lập  tỉnh Phú Thọ</v>
      </c>
      <c r="C7223" t="str">
        <v>-</v>
      </c>
      <c r="D7223" t="str">
        <v>-</v>
      </c>
      <c r="E7223" t="str">
        <v>-</v>
      </c>
      <c r="F7223" t="str">
        <v>-</v>
      </c>
      <c r="G7223" t="str">
        <v>-</v>
      </c>
    </row>
    <row r="7224">
      <c r="A7224">
        <v>7223</v>
      </c>
      <c r="B7224" t="str">
        <v>Công an xã Yên Lãng  tỉnh Phú Thọ</v>
      </c>
      <c r="C7224" t="str">
        <v>-</v>
      </c>
      <c r="D7224" t="str">
        <v>-</v>
      </c>
      <c r="E7224" t="str">
        <v/>
      </c>
      <c r="F7224" t="str">
        <v>-</v>
      </c>
      <c r="G7224" t="str">
        <v>-</v>
      </c>
    </row>
    <row r="7225">
      <c r="A7225">
        <v>7224</v>
      </c>
      <c r="B7225" t="str">
        <v>UBND Ủy ban nhân dân xã Yên Lãng  tỉnh Phú Thọ</v>
      </c>
      <c r="C7225" t="str">
        <v>-</v>
      </c>
      <c r="D7225" t="str">
        <v>-</v>
      </c>
      <c r="E7225" t="str">
        <v>-</v>
      </c>
      <c r="F7225" t="str">
        <v>-</v>
      </c>
      <c r="G7225" t="str">
        <v>-</v>
      </c>
    </row>
    <row r="7226">
      <c r="A7226">
        <v>7225</v>
      </c>
      <c r="B7226" t="str">
        <v>Công an xã Yên Lương  tỉnh Phú Thọ</v>
      </c>
      <c r="C7226" t="str">
        <v>-</v>
      </c>
      <c r="D7226" t="str">
        <v>-</v>
      </c>
      <c r="E7226" t="str">
        <v/>
      </c>
      <c r="F7226" t="str">
        <v>-</v>
      </c>
      <c r="G7226" t="str">
        <v>-</v>
      </c>
    </row>
    <row r="7227">
      <c r="A7227">
        <v>7226</v>
      </c>
      <c r="B7227" t="str">
        <v>UBND Ủy ban nhân dân xã Yên Lương  tỉnh Phú Thọ</v>
      </c>
      <c r="C7227" t="str">
        <v>-</v>
      </c>
      <c r="D7227" t="str">
        <v>-</v>
      </c>
      <c r="E7227" t="str">
        <v>-</v>
      </c>
      <c r="F7227" t="str">
        <v>-</v>
      </c>
      <c r="G7227" t="str">
        <v>-</v>
      </c>
    </row>
    <row r="7228">
      <c r="A7228">
        <v>7227</v>
      </c>
      <c r="B7228" t="str">
        <v>Công an xã Thượng Cửu  tỉnh Phú Thọ</v>
      </c>
      <c r="C7228" t="str">
        <v>-</v>
      </c>
      <c r="D7228" t="str">
        <v>-</v>
      </c>
      <c r="E7228" t="str">
        <v/>
      </c>
      <c r="F7228" t="str">
        <v>-</v>
      </c>
      <c r="G7228" t="str">
        <v>-</v>
      </c>
    </row>
    <row r="7229">
      <c r="A7229">
        <v>7228</v>
      </c>
      <c r="B7229" t="str">
        <v>UBND Ủy ban nhân dân xã Thượng Cửu  tỉnh Phú Thọ</v>
      </c>
      <c r="C7229" t="str">
        <v>-</v>
      </c>
      <c r="D7229" t="str">
        <v>-</v>
      </c>
      <c r="E7229" t="str">
        <v>-</v>
      </c>
      <c r="F7229" t="str">
        <v>-</v>
      </c>
      <c r="G7229" t="str">
        <v>-</v>
      </c>
    </row>
    <row r="7230">
      <c r="A7230">
        <v>7229</v>
      </c>
      <c r="B7230" t="str">
        <v>Công an xã Lương Nha  tỉnh Phú Thọ</v>
      </c>
      <c r="C7230" t="str">
        <v>-</v>
      </c>
      <c r="D7230" t="str">
        <v>-</v>
      </c>
      <c r="E7230" t="str">
        <v/>
      </c>
      <c r="F7230" t="str">
        <v>-</v>
      </c>
      <c r="G7230" t="str">
        <v>-</v>
      </c>
    </row>
    <row r="7231">
      <c r="A7231">
        <v>7230</v>
      </c>
      <c r="B7231" t="str">
        <v>UBND Ủy ban nhân dân xã Lương Nha  tỉnh Phú Thọ</v>
      </c>
      <c r="C7231" t="str">
        <v>-</v>
      </c>
      <c r="D7231" t="str">
        <v>-</v>
      </c>
      <c r="E7231" t="str">
        <v>-</v>
      </c>
      <c r="F7231" t="str">
        <v>-</v>
      </c>
      <c r="G7231" t="str">
        <v>-</v>
      </c>
    </row>
    <row r="7232">
      <c r="A7232">
        <v>7231</v>
      </c>
      <c r="B7232" t="str">
        <v>Công an xã Yên Sơn  tỉnh Phú Thọ</v>
      </c>
      <c r="C7232" t="str">
        <v>-</v>
      </c>
      <c r="D7232" t="str">
        <v>-</v>
      </c>
      <c r="E7232" t="str">
        <v/>
      </c>
      <c r="F7232" t="str">
        <v>-</v>
      </c>
      <c r="G7232" t="str">
        <v>-</v>
      </c>
    </row>
    <row r="7233">
      <c r="A7233">
        <v>7232</v>
      </c>
      <c r="B7233" t="str">
        <v>UBND Ủy ban nhân dân xã Yên Sơn  tỉnh Phú Thọ</v>
      </c>
      <c r="C7233" t="str">
        <v>-</v>
      </c>
      <c r="D7233" t="str">
        <v>-</v>
      </c>
      <c r="E7233" t="str">
        <v>-</v>
      </c>
      <c r="F7233" t="str">
        <v>-</v>
      </c>
      <c r="G7233" t="str">
        <v>-</v>
      </c>
    </row>
    <row r="7234">
      <c r="A7234">
        <v>7233</v>
      </c>
      <c r="B7234" t="str">
        <v>Công an xã Tinh Nhuệ  tỉnh Phú Thọ</v>
      </c>
      <c r="C7234" t="str">
        <v>-</v>
      </c>
      <c r="D7234" t="str">
        <v>-</v>
      </c>
      <c r="E7234" t="str">
        <v/>
      </c>
      <c r="F7234" t="str">
        <v>-</v>
      </c>
      <c r="G7234" t="str">
        <v>-</v>
      </c>
    </row>
    <row r="7235">
      <c r="A7235">
        <v>7234</v>
      </c>
      <c r="B7235" t="str">
        <v>UBND Ủy ban nhân dân xã Tinh Nhuệ  tỉnh Phú Thọ</v>
      </c>
      <c r="C7235" t="str">
        <v>-</v>
      </c>
      <c r="D7235" t="str">
        <v>-</v>
      </c>
      <c r="E7235" t="str">
        <v>-</v>
      </c>
      <c r="F7235" t="str">
        <v>-</v>
      </c>
      <c r="G7235" t="str">
        <v>-</v>
      </c>
    </row>
    <row r="7236">
      <c r="A7236">
        <v>7235</v>
      </c>
      <c r="B7236" t="str">
        <v>Công an xã Đào Xá  tỉnh Phú Thọ</v>
      </c>
      <c r="C7236" t="str">
        <v>-</v>
      </c>
      <c r="D7236" t="str">
        <v>-</v>
      </c>
      <c r="E7236" t="str">
        <v/>
      </c>
      <c r="F7236" t="str">
        <v>-</v>
      </c>
      <c r="G7236" t="str">
        <v>-</v>
      </c>
    </row>
    <row r="7237">
      <c r="A7237">
        <v>7236</v>
      </c>
      <c r="B7237" t="str">
        <v>UBND Ủy ban nhân dân xã Đào Xá  tỉnh Phú Thọ</v>
      </c>
      <c r="C7237" t="str">
        <v>-</v>
      </c>
      <c r="D7237" t="str">
        <v>-</v>
      </c>
      <c r="E7237" t="str">
        <v>-</v>
      </c>
      <c r="F7237" t="str">
        <v>-</v>
      </c>
      <c r="G7237" t="str">
        <v>-</v>
      </c>
    </row>
    <row r="7238">
      <c r="A7238">
        <v>7237</v>
      </c>
      <c r="B7238" t="str">
        <v>Công an xã Thạch Đồng  tỉnh Phú Thọ</v>
      </c>
      <c r="C7238" t="str">
        <v>-</v>
      </c>
      <c r="D7238" t="str">
        <v>-</v>
      </c>
      <c r="E7238" t="str">
        <v/>
      </c>
      <c r="F7238" t="str">
        <v>-</v>
      </c>
      <c r="G7238" t="str">
        <v>-</v>
      </c>
    </row>
    <row r="7239">
      <c r="A7239">
        <v>7238</v>
      </c>
      <c r="B7239" t="str">
        <v>UBND Ủy ban nhân dân xã Thạch Đồng  tỉnh Phú Thọ</v>
      </c>
      <c r="C7239" t="str">
        <v>-</v>
      </c>
      <c r="D7239" t="str">
        <v>-</v>
      </c>
      <c r="E7239" t="str">
        <v>-</v>
      </c>
      <c r="F7239" t="str">
        <v>-</v>
      </c>
      <c r="G7239" t="str">
        <v>-</v>
      </c>
    </row>
    <row r="7240">
      <c r="A7240">
        <v>7239</v>
      </c>
      <c r="B7240" t="str">
        <v>Công an xã Xuân Lộc  tỉnh Phú Thọ</v>
      </c>
      <c r="C7240" t="str">
        <v>-</v>
      </c>
      <c r="D7240" t="str">
        <v>-</v>
      </c>
      <c r="E7240" t="str">
        <v/>
      </c>
      <c r="F7240" t="str">
        <v>-</v>
      </c>
      <c r="G7240" t="str">
        <v>-</v>
      </c>
    </row>
    <row r="7241">
      <c r="A7241">
        <v>7240</v>
      </c>
      <c r="B7241" t="str">
        <v>UBND Ủy ban nhân dân xã Xuân Lộc  tỉnh Phú Thọ</v>
      </c>
      <c r="C7241" t="str">
        <v>-</v>
      </c>
      <c r="D7241" t="str">
        <v>-</v>
      </c>
      <c r="E7241" t="str">
        <v>-</v>
      </c>
      <c r="F7241" t="str">
        <v>-</v>
      </c>
      <c r="G7241" t="str">
        <v>-</v>
      </c>
    </row>
    <row r="7242">
      <c r="A7242">
        <v>7241</v>
      </c>
      <c r="B7242" t="str">
        <v>Công an xã Tân Phương  tỉnh Phú Thọ</v>
      </c>
      <c r="C7242" t="str">
        <v>-</v>
      </c>
      <c r="D7242" t="str">
        <v>-</v>
      </c>
      <c r="E7242" t="str">
        <v/>
      </c>
      <c r="F7242" t="str">
        <v>-</v>
      </c>
      <c r="G7242" t="str">
        <v>-</v>
      </c>
    </row>
    <row r="7243">
      <c r="A7243">
        <v>7242</v>
      </c>
      <c r="B7243" t="str">
        <v>UBND Ủy ban nhân dân xã Tân Phương  tỉnh Phú Thọ</v>
      </c>
      <c r="C7243" t="str">
        <v>-</v>
      </c>
      <c r="D7243" t="str">
        <v>-</v>
      </c>
      <c r="E7243" t="str">
        <v>-</v>
      </c>
      <c r="F7243" t="str">
        <v>-</v>
      </c>
      <c r="G7243" t="str">
        <v>-</v>
      </c>
    </row>
    <row r="7244">
      <c r="A7244">
        <v>7243</v>
      </c>
      <c r="B7244" t="str">
        <v>Công an thị trấn Thanh Thủy  tỉnh Phú Thọ</v>
      </c>
      <c r="C7244" t="str">
        <v>-</v>
      </c>
      <c r="D7244" t="str">
        <v>-</v>
      </c>
      <c r="E7244" t="str">
        <v/>
      </c>
      <c r="F7244" t="str">
        <v>-</v>
      </c>
      <c r="G7244" t="str">
        <v>-</v>
      </c>
    </row>
    <row r="7245">
      <c r="A7245">
        <v>7244</v>
      </c>
      <c r="B7245" t="str">
        <v>UBND Ủy ban nhân dân thị trấn Thanh Thủy  tỉnh Phú Thọ</v>
      </c>
      <c r="C7245" t="str">
        <v>-</v>
      </c>
      <c r="D7245" t="str">
        <v>-</v>
      </c>
      <c r="E7245" t="str">
        <v>-</v>
      </c>
      <c r="F7245" t="str">
        <v>-</v>
      </c>
      <c r="G7245" t="str">
        <v>-</v>
      </c>
    </row>
    <row r="7246">
      <c r="A7246">
        <v>7245</v>
      </c>
      <c r="B7246" t="str">
        <v>Công an xã Sơn Thủy  tỉnh Phú Thọ</v>
      </c>
      <c r="C7246" t="str">
        <v>-</v>
      </c>
      <c r="D7246" t="str">
        <v>-</v>
      </c>
      <c r="E7246" t="str">
        <v/>
      </c>
      <c r="F7246" t="str">
        <v>-</v>
      </c>
      <c r="G7246" t="str">
        <v>-</v>
      </c>
    </row>
    <row r="7247">
      <c r="A7247">
        <v>7246</v>
      </c>
      <c r="B7247" t="str">
        <v>UBND Ủy ban nhân dân xã Sơn Thủy  tỉnh Phú Thọ</v>
      </c>
      <c r="C7247" t="str">
        <v>-</v>
      </c>
      <c r="D7247" t="str">
        <v>-</v>
      </c>
      <c r="E7247" t="str">
        <v>-</v>
      </c>
      <c r="F7247" t="str">
        <v>-</v>
      </c>
      <c r="G7247" t="str">
        <v>-</v>
      </c>
    </row>
    <row r="7248">
      <c r="A7248">
        <v>7247</v>
      </c>
      <c r="B7248" t="str">
        <v>Công an xã Bảo Yên  tỉnh Phú Thọ</v>
      </c>
      <c r="C7248" t="str">
        <v>-</v>
      </c>
      <c r="D7248" t="str">
        <v>-</v>
      </c>
      <c r="E7248" t="str">
        <v/>
      </c>
      <c r="F7248" t="str">
        <v>-</v>
      </c>
      <c r="G7248" t="str">
        <v>-</v>
      </c>
    </row>
    <row r="7249">
      <c r="A7249">
        <v>7248</v>
      </c>
      <c r="B7249" t="str">
        <v>UBND Ủy ban nhân dân xã Bảo Yên  tỉnh Phú Thọ</v>
      </c>
      <c r="C7249" t="str">
        <v>-</v>
      </c>
      <c r="D7249" t="str">
        <v>-</v>
      </c>
      <c r="E7249" t="str">
        <v>-</v>
      </c>
      <c r="F7249" t="str">
        <v>-</v>
      </c>
      <c r="G7249" t="str">
        <v>-</v>
      </c>
    </row>
    <row r="7250">
      <c r="A7250">
        <v>7249</v>
      </c>
      <c r="B7250" t="str">
        <v>Công an xã Đoan Hạ  tỉnh Phú Thọ</v>
      </c>
      <c r="C7250" t="str">
        <v>-</v>
      </c>
      <c r="D7250" t="str">
        <v>-</v>
      </c>
      <c r="E7250" t="str">
        <v/>
      </c>
      <c r="F7250" t="str">
        <v>-</v>
      </c>
      <c r="G7250" t="str">
        <v>-</v>
      </c>
    </row>
    <row r="7251">
      <c r="A7251">
        <v>7250</v>
      </c>
      <c r="B7251" t="str">
        <v>UBND Ủy ban nhân dân xã Đoan Hạ  tỉnh Phú Thọ</v>
      </c>
      <c r="C7251" t="str">
        <v>-</v>
      </c>
      <c r="D7251" t="str">
        <v>-</v>
      </c>
      <c r="E7251" t="str">
        <v>-</v>
      </c>
      <c r="F7251" t="str">
        <v>-</v>
      </c>
      <c r="G7251" t="str">
        <v>-</v>
      </c>
    </row>
    <row r="7252">
      <c r="A7252">
        <v>7251</v>
      </c>
      <c r="B7252" t="str">
        <v>Công an xã Đồng Luận  tỉnh Phú Thọ</v>
      </c>
      <c r="C7252" t="str">
        <v>-</v>
      </c>
      <c r="D7252" t="str">
        <v>-</v>
      </c>
      <c r="E7252" t="str">
        <v/>
      </c>
      <c r="F7252" t="str">
        <v>-</v>
      </c>
      <c r="G7252" t="str">
        <v>-</v>
      </c>
    </row>
    <row r="7253">
      <c r="A7253">
        <v>7252</v>
      </c>
      <c r="B7253" t="str">
        <v>UBND Ủy ban nhân dân xã Đồng Luận  tỉnh Phú Thọ</v>
      </c>
      <c r="C7253" t="str">
        <v>-</v>
      </c>
      <c r="D7253" t="str">
        <v>-</v>
      </c>
      <c r="E7253" t="str">
        <v>-</v>
      </c>
      <c r="F7253" t="str">
        <v>-</v>
      </c>
      <c r="G7253" t="str">
        <v>-</v>
      </c>
    </row>
    <row r="7254">
      <c r="A7254">
        <v>7253</v>
      </c>
      <c r="B7254" t="str">
        <v>Công an xã Hoàng Xá  tỉnh Phú Thọ</v>
      </c>
      <c r="C7254" t="str">
        <v>-</v>
      </c>
      <c r="D7254" t="str">
        <v>-</v>
      </c>
      <c r="E7254" t="str">
        <v/>
      </c>
      <c r="F7254" t="str">
        <v>-</v>
      </c>
      <c r="G7254" t="str">
        <v>-</v>
      </c>
    </row>
    <row r="7255">
      <c r="A7255">
        <v>7254</v>
      </c>
      <c r="B7255" t="str">
        <v>UBND Ủy ban nhân dân xã Hoàng Xá  tỉnh Phú Thọ</v>
      </c>
      <c r="C7255" t="str">
        <v>-</v>
      </c>
      <c r="D7255" t="str">
        <v>-</v>
      </c>
      <c r="E7255" t="str">
        <v>-</v>
      </c>
      <c r="F7255" t="str">
        <v>-</v>
      </c>
      <c r="G7255" t="str">
        <v>-</v>
      </c>
    </row>
    <row r="7256">
      <c r="A7256">
        <v>7255</v>
      </c>
      <c r="B7256" t="str">
        <v>Công an xã Trung Thịnh  tỉnh Phú Thọ</v>
      </c>
      <c r="C7256" t="str">
        <v>-</v>
      </c>
      <c r="D7256" t="str">
        <v>-</v>
      </c>
      <c r="E7256" t="str">
        <v/>
      </c>
      <c r="F7256" t="str">
        <v>-</v>
      </c>
      <c r="G7256" t="str">
        <v>-</v>
      </c>
    </row>
    <row r="7257">
      <c r="A7257">
        <v>7256</v>
      </c>
      <c r="B7257" t="str">
        <v>UBND Ủy ban nhân dân xã Trung Thịnh  tỉnh Phú Thọ</v>
      </c>
      <c r="C7257" t="str">
        <v>-</v>
      </c>
      <c r="D7257" t="str">
        <v>-</v>
      </c>
      <c r="E7257" t="str">
        <v>-</v>
      </c>
      <c r="F7257" t="str">
        <v>-</v>
      </c>
      <c r="G7257" t="str">
        <v>-</v>
      </c>
    </row>
    <row r="7258">
      <c r="A7258">
        <v>7257</v>
      </c>
      <c r="B7258" t="str">
        <v>Công an xã Trung Nghĩa  tỉnh Phú Thọ</v>
      </c>
      <c r="C7258" t="str">
        <v>-</v>
      </c>
      <c r="D7258" t="str">
        <v>-</v>
      </c>
      <c r="E7258" t="str">
        <v/>
      </c>
      <c r="F7258" t="str">
        <v>-</v>
      </c>
      <c r="G7258" t="str">
        <v>-</v>
      </c>
    </row>
    <row r="7259">
      <c r="A7259">
        <v>7258</v>
      </c>
      <c r="B7259" t="str">
        <v>UBND Ủy ban nhân dân xã Trung Nghĩa  tỉnh Phú Thọ</v>
      </c>
      <c r="C7259" t="str">
        <v>-</v>
      </c>
      <c r="D7259" t="str">
        <v>-</v>
      </c>
      <c r="E7259" t="str">
        <v>-</v>
      </c>
      <c r="F7259" t="str">
        <v>-</v>
      </c>
      <c r="G7259" t="str">
        <v>-</v>
      </c>
    </row>
    <row r="7260">
      <c r="A7260">
        <v>7259</v>
      </c>
      <c r="B7260" t="str">
        <v>Công an xã Phượng Mao  tỉnh Phú Thọ</v>
      </c>
      <c r="C7260" t="str">
        <v>-</v>
      </c>
      <c r="D7260" t="str">
        <v>-</v>
      </c>
      <c r="E7260" t="str">
        <v/>
      </c>
      <c r="F7260" t="str">
        <v>-</v>
      </c>
      <c r="G7260" t="str">
        <v>-</v>
      </c>
    </row>
    <row r="7261">
      <c r="A7261">
        <v>7260</v>
      </c>
      <c r="B7261" t="str">
        <v>UBND Ủy ban nhân dân xã Phượng Mao  tỉnh Phú Thọ</v>
      </c>
      <c r="C7261" t="str">
        <v>-</v>
      </c>
      <c r="D7261" t="str">
        <v>-</v>
      </c>
      <c r="E7261" t="str">
        <v>-</v>
      </c>
      <c r="F7261" t="str">
        <v>-</v>
      </c>
      <c r="G7261" t="str">
        <v>-</v>
      </c>
    </row>
    <row r="7262">
      <c r="A7262">
        <v>7261</v>
      </c>
      <c r="B7262" t="str">
        <v>Công an xã Yến Mao  tỉnh Phú Thọ</v>
      </c>
      <c r="C7262" t="str">
        <v>-</v>
      </c>
      <c r="D7262" t="str">
        <v>-</v>
      </c>
      <c r="E7262" t="str">
        <v/>
      </c>
      <c r="F7262" t="str">
        <v>-</v>
      </c>
      <c r="G7262" t="str">
        <v>-</v>
      </c>
    </row>
    <row r="7263">
      <c r="A7263">
        <v>7262</v>
      </c>
      <c r="B7263" t="str">
        <v>UBND Ủy ban nhân dân xã Yến Mao  tỉnh Phú Thọ</v>
      </c>
      <c r="C7263" t="str">
        <v>-</v>
      </c>
      <c r="D7263" t="str">
        <v>-</v>
      </c>
      <c r="E7263" t="str">
        <v>-</v>
      </c>
      <c r="F7263" t="str">
        <v>-</v>
      </c>
      <c r="G7263" t="str">
        <v>-</v>
      </c>
    </row>
    <row r="7264">
      <c r="A7264">
        <v>7263</v>
      </c>
      <c r="B7264" t="str">
        <v>Công an xã Tu Vũ  tỉnh Phú Thọ</v>
      </c>
      <c r="C7264" t="str">
        <v>-</v>
      </c>
      <c r="D7264" t="str">
        <v>-</v>
      </c>
      <c r="E7264" t="str">
        <v/>
      </c>
      <c r="F7264" t="str">
        <v>-</v>
      </c>
      <c r="G7264" t="str">
        <v>-</v>
      </c>
    </row>
    <row r="7265">
      <c r="A7265">
        <v>7264</v>
      </c>
      <c r="B7265" t="str">
        <v>UBND Ủy ban nhân dân xã Tu Vũ  tỉnh Phú Thọ</v>
      </c>
      <c r="C7265" t="str">
        <v>-</v>
      </c>
      <c r="D7265" t="str">
        <v>-</v>
      </c>
      <c r="E7265" t="str">
        <v>-</v>
      </c>
      <c r="F7265" t="str">
        <v>-</v>
      </c>
      <c r="G7265" t="str">
        <v>-</v>
      </c>
    </row>
    <row r="7266">
      <c r="A7266">
        <v>7265</v>
      </c>
      <c r="B7266" t="str">
        <v>Công an xã Thu Cúc  tỉnh Phú Thọ</v>
      </c>
      <c r="C7266" t="str">
        <v>-</v>
      </c>
      <c r="D7266" t="str">
        <v>-</v>
      </c>
      <c r="E7266" t="str">
        <v/>
      </c>
      <c r="F7266" t="str">
        <v>-</v>
      </c>
      <c r="G7266" t="str">
        <v>-</v>
      </c>
    </row>
    <row r="7267">
      <c r="A7267">
        <v>7266</v>
      </c>
      <c r="B7267" t="str">
        <v>UBND Ủy ban nhân dân xã Thu Cúc  tỉnh Phú Thọ</v>
      </c>
      <c r="C7267" t="str">
        <v>-</v>
      </c>
      <c r="D7267" t="str">
        <v>-</v>
      </c>
      <c r="E7267" t="str">
        <v>-</v>
      </c>
      <c r="F7267" t="str">
        <v>-</v>
      </c>
      <c r="G7267" t="str">
        <v>-</v>
      </c>
    </row>
    <row r="7268">
      <c r="A7268">
        <v>7267</v>
      </c>
      <c r="B7268" t="str">
        <v>Công an xã Thạch Kiệt  tỉnh Phú Thọ</v>
      </c>
      <c r="C7268" t="str">
        <v>-</v>
      </c>
      <c r="D7268" t="str">
        <v>-</v>
      </c>
      <c r="E7268" t="str">
        <v/>
      </c>
      <c r="F7268" t="str">
        <v>-</v>
      </c>
      <c r="G7268" t="str">
        <v>-</v>
      </c>
    </row>
    <row r="7269">
      <c r="A7269">
        <v>7268</v>
      </c>
      <c r="B7269" t="str">
        <v>UBND Ủy ban nhân dân xã Thạch Kiệt  tỉnh Phú Thọ</v>
      </c>
      <c r="C7269" t="str">
        <v>-</v>
      </c>
      <c r="D7269" t="str">
        <v>-</v>
      </c>
      <c r="E7269" t="str">
        <v>-</v>
      </c>
      <c r="F7269" t="str">
        <v>-</v>
      </c>
      <c r="G7269" t="str">
        <v>-</v>
      </c>
    </row>
    <row r="7270">
      <c r="A7270">
        <v>7269</v>
      </c>
      <c r="B7270" t="str">
        <v>Công an xã Thu Ngạc  tỉnh Phú Thọ</v>
      </c>
      <c r="C7270" t="str">
        <v>-</v>
      </c>
      <c r="D7270" t="str">
        <v>-</v>
      </c>
      <c r="E7270" t="str">
        <v/>
      </c>
      <c r="F7270" t="str">
        <v>-</v>
      </c>
      <c r="G7270" t="str">
        <v>-</v>
      </c>
    </row>
    <row r="7271">
      <c r="A7271">
        <v>7270</v>
      </c>
      <c r="B7271" t="str">
        <v>UBND Ủy ban nhân dân xã Thu Ngạc  tỉnh Phú Thọ</v>
      </c>
      <c r="C7271" t="str">
        <v>-</v>
      </c>
      <c r="D7271" t="str">
        <v>-</v>
      </c>
      <c r="E7271" t="str">
        <v>-</v>
      </c>
      <c r="F7271" t="str">
        <v>-</v>
      </c>
      <c r="G7271" t="str">
        <v>-</v>
      </c>
    </row>
    <row r="7272">
      <c r="A7272">
        <v>7271</v>
      </c>
      <c r="B7272" t="str">
        <v>Công an xã Kiệt Sơn  tỉnh Phú Thọ</v>
      </c>
      <c r="C7272" t="str">
        <v>-</v>
      </c>
      <c r="D7272" t="str">
        <v>-</v>
      </c>
      <c r="E7272" t="str">
        <v/>
      </c>
      <c r="F7272" t="str">
        <v>-</v>
      </c>
      <c r="G7272" t="str">
        <v>-</v>
      </c>
    </row>
    <row r="7273">
      <c r="A7273">
        <v>7272</v>
      </c>
      <c r="B7273" t="str">
        <v>UBND Ủy ban nhân dân xã Kiệt Sơn  tỉnh Phú Thọ</v>
      </c>
      <c r="C7273" t="str">
        <v>-</v>
      </c>
      <c r="D7273" t="str">
        <v>-</v>
      </c>
      <c r="E7273" t="str">
        <v>-</v>
      </c>
      <c r="F7273" t="str">
        <v>-</v>
      </c>
      <c r="G7273" t="str">
        <v>-</v>
      </c>
    </row>
    <row r="7274">
      <c r="A7274">
        <v>7273</v>
      </c>
      <c r="B7274" t="str">
        <v>Công an xã Đồng Sơn  tỉnh Phú Thọ</v>
      </c>
      <c r="C7274" t="str">
        <v>-</v>
      </c>
      <c r="D7274" t="str">
        <v>-</v>
      </c>
      <c r="E7274" t="str">
        <v/>
      </c>
      <c r="F7274" t="str">
        <v>-</v>
      </c>
      <c r="G7274" t="str">
        <v>-</v>
      </c>
    </row>
    <row r="7275">
      <c r="A7275">
        <v>7274</v>
      </c>
      <c r="B7275" t="str">
        <v>UBND Ủy ban nhân dân xã Đồng Sơn  tỉnh Phú Thọ</v>
      </c>
      <c r="C7275" t="str">
        <v>-</v>
      </c>
      <c r="D7275" t="str">
        <v>-</v>
      </c>
      <c r="E7275" t="str">
        <v>-</v>
      </c>
      <c r="F7275" t="str">
        <v>-</v>
      </c>
      <c r="G7275" t="str">
        <v>-</v>
      </c>
    </row>
    <row r="7276">
      <c r="A7276">
        <v>7275</v>
      </c>
      <c r="B7276" t="str">
        <v>Công an xã Lai Đồng  tỉnh Phú Thọ</v>
      </c>
      <c r="C7276" t="str">
        <v>-</v>
      </c>
      <c r="D7276" t="str">
        <v>-</v>
      </c>
      <c r="E7276" t="str">
        <v/>
      </c>
      <c r="F7276" t="str">
        <v>-</v>
      </c>
      <c r="G7276" t="str">
        <v>-</v>
      </c>
    </row>
    <row r="7277">
      <c r="A7277">
        <v>7276</v>
      </c>
      <c r="B7277" t="str">
        <v>UBND Ủy ban nhân dân xã Lai Đồng  tỉnh Phú Thọ</v>
      </c>
      <c r="C7277" t="str">
        <v>-</v>
      </c>
      <c r="D7277" t="str">
        <v>-</v>
      </c>
      <c r="E7277" t="str">
        <v>-</v>
      </c>
      <c r="F7277" t="str">
        <v>-</v>
      </c>
      <c r="G7277" t="str">
        <v>-</v>
      </c>
    </row>
    <row r="7278">
      <c r="A7278">
        <v>7277</v>
      </c>
      <c r="B7278" t="str">
        <v>Công an xã Tân Phú  tỉnh Phú Thọ</v>
      </c>
      <c r="C7278" t="str">
        <v>-</v>
      </c>
      <c r="D7278" t="str">
        <v>-</v>
      </c>
      <c r="E7278" t="str">
        <v/>
      </c>
      <c r="F7278" t="str">
        <v>-</v>
      </c>
      <c r="G7278" t="str">
        <v>-</v>
      </c>
    </row>
    <row r="7279">
      <c r="A7279">
        <v>7278</v>
      </c>
      <c r="B7279" t="str">
        <v>UBND Ủy ban nhân dân xã Tân Phú  tỉnh Phú Thọ</v>
      </c>
      <c r="C7279" t="str">
        <v>-</v>
      </c>
      <c r="D7279" t="str">
        <v>-</v>
      </c>
      <c r="E7279" t="str">
        <v>-</v>
      </c>
      <c r="F7279" t="str">
        <v>-</v>
      </c>
      <c r="G7279" t="str">
        <v>-</v>
      </c>
    </row>
    <row r="7280">
      <c r="A7280">
        <v>7279</v>
      </c>
      <c r="B7280" t="str">
        <v>Công an xã Mỹ Thuận  tỉnh Phú Thọ</v>
      </c>
      <c r="C7280" t="str">
        <v>-</v>
      </c>
      <c r="D7280" t="str">
        <v>-</v>
      </c>
      <c r="E7280" t="str">
        <v/>
      </c>
      <c r="F7280" t="str">
        <v>-</v>
      </c>
      <c r="G7280" t="str">
        <v>-</v>
      </c>
    </row>
    <row r="7281">
      <c r="A7281">
        <v>7280</v>
      </c>
      <c r="B7281" t="str">
        <v>UBND Ủy ban nhân dân xã Mỹ Thuận  tỉnh Phú Thọ</v>
      </c>
      <c r="C7281" t="str">
        <v>-</v>
      </c>
      <c r="D7281" t="str">
        <v>-</v>
      </c>
      <c r="E7281" t="str">
        <v>-</v>
      </c>
      <c r="F7281" t="str">
        <v>-</v>
      </c>
      <c r="G7281" t="str">
        <v>-</v>
      </c>
    </row>
    <row r="7282">
      <c r="A7282">
        <v>7281</v>
      </c>
      <c r="B7282" t="str">
        <v>Công an xã Tân Sơn  tỉnh Phú Thọ</v>
      </c>
      <c r="C7282" t="str">
        <v>-</v>
      </c>
      <c r="D7282" t="str">
        <v>-</v>
      </c>
      <c r="E7282" t="str">
        <v/>
      </c>
      <c r="F7282" t="str">
        <v>-</v>
      </c>
      <c r="G7282" t="str">
        <v>-</v>
      </c>
    </row>
    <row r="7283">
      <c r="A7283">
        <v>7282</v>
      </c>
      <c r="B7283" t="str">
        <v>UBND Ủy ban nhân dân xã Tân Sơn  tỉnh Phú Thọ</v>
      </c>
      <c r="C7283" t="str">
        <v>-</v>
      </c>
      <c r="D7283" t="str">
        <v>-</v>
      </c>
      <c r="E7283" t="str">
        <v>-</v>
      </c>
      <c r="F7283" t="str">
        <v>-</v>
      </c>
      <c r="G7283" t="str">
        <v>-</v>
      </c>
    </row>
    <row r="7284">
      <c r="A7284">
        <v>7283</v>
      </c>
      <c r="B7284" t="str">
        <v>Công an xã Xuân Đài  tỉnh Phú Thọ</v>
      </c>
      <c r="C7284" t="str">
        <v>-</v>
      </c>
      <c r="D7284" t="str">
        <v>-</v>
      </c>
      <c r="E7284" t="str">
        <v/>
      </c>
      <c r="F7284" t="str">
        <v>-</v>
      </c>
      <c r="G7284" t="str">
        <v>-</v>
      </c>
    </row>
    <row r="7285">
      <c r="A7285">
        <v>7284</v>
      </c>
      <c r="B7285" t="str">
        <v>UBND Ủy ban nhân dân xã Xuân Đài  tỉnh Phú Thọ</v>
      </c>
      <c r="C7285" t="str">
        <v>-</v>
      </c>
      <c r="D7285" t="str">
        <v>-</v>
      </c>
      <c r="E7285" t="str">
        <v>-</v>
      </c>
      <c r="F7285" t="str">
        <v>-</v>
      </c>
      <c r="G7285" t="str">
        <v>-</v>
      </c>
    </row>
    <row r="7286">
      <c r="A7286">
        <v>7285</v>
      </c>
      <c r="B7286" t="str">
        <v>Công an xã Minh Đài  tỉnh Phú Thọ</v>
      </c>
      <c r="C7286" t="str">
        <v>-</v>
      </c>
      <c r="D7286" t="str">
        <v>-</v>
      </c>
      <c r="E7286" t="str">
        <v/>
      </c>
      <c r="F7286" t="str">
        <v>-</v>
      </c>
      <c r="G7286" t="str">
        <v>-</v>
      </c>
    </row>
    <row r="7287">
      <c r="A7287">
        <v>7286</v>
      </c>
      <c r="B7287" t="str">
        <v>UBND Ủy ban nhân dân xã Minh Đài  tỉnh Phú Thọ</v>
      </c>
      <c r="C7287" t="str">
        <v>-</v>
      </c>
      <c r="D7287" t="str">
        <v>-</v>
      </c>
      <c r="E7287" t="str">
        <v>-</v>
      </c>
      <c r="F7287" t="str">
        <v>-</v>
      </c>
      <c r="G7287" t="str">
        <v>-</v>
      </c>
    </row>
    <row r="7288">
      <c r="A7288">
        <v>7287</v>
      </c>
      <c r="B7288" t="str">
        <v>Công an xã Văn Luông  tỉnh Phú Thọ</v>
      </c>
      <c r="C7288" t="str">
        <v>-</v>
      </c>
      <c r="D7288" t="str">
        <v>-</v>
      </c>
      <c r="E7288" t="str">
        <v/>
      </c>
      <c r="F7288" t="str">
        <v>-</v>
      </c>
      <c r="G7288" t="str">
        <v>-</v>
      </c>
    </row>
    <row r="7289">
      <c r="A7289">
        <v>7288</v>
      </c>
      <c r="B7289" t="str">
        <v>UBND Ủy ban nhân dân xã Văn Luông  tỉnh Phú Thọ</v>
      </c>
      <c r="C7289" t="str">
        <v>-</v>
      </c>
      <c r="D7289" t="str">
        <v>-</v>
      </c>
      <c r="E7289" t="str">
        <v>-</v>
      </c>
      <c r="F7289" t="str">
        <v>-</v>
      </c>
      <c r="G7289" t="str">
        <v>-</v>
      </c>
    </row>
    <row r="7290">
      <c r="A7290">
        <v>7289</v>
      </c>
      <c r="B7290" t="str">
        <v>Công an xã Xuân Sơn  tỉnh Phú Thọ</v>
      </c>
      <c r="C7290" t="str">
        <v>-</v>
      </c>
      <c r="D7290" t="str">
        <v>-</v>
      </c>
      <c r="E7290" t="str">
        <v/>
      </c>
      <c r="F7290" t="str">
        <v>-</v>
      </c>
      <c r="G7290" t="str">
        <v>-</v>
      </c>
    </row>
    <row r="7291">
      <c r="A7291">
        <v>7290</v>
      </c>
      <c r="B7291" t="str">
        <v>UBND Ủy ban nhân dân xã Xuân Sơn  tỉnh Phú Thọ</v>
      </c>
      <c r="C7291" t="str">
        <v>-</v>
      </c>
      <c r="D7291" t="str">
        <v>-</v>
      </c>
      <c r="E7291" t="str">
        <v>-</v>
      </c>
      <c r="F7291" t="str">
        <v>-</v>
      </c>
      <c r="G7291" t="str">
        <v>-</v>
      </c>
    </row>
    <row r="7292">
      <c r="A7292">
        <v>7291</v>
      </c>
      <c r="B7292" t="str">
        <v>Công an xã Long Cốc  tỉnh Phú Thọ</v>
      </c>
      <c r="C7292" t="str">
        <v>-</v>
      </c>
      <c r="D7292" t="str">
        <v>-</v>
      </c>
      <c r="E7292" t="str">
        <v/>
      </c>
      <c r="F7292" t="str">
        <v>-</v>
      </c>
      <c r="G7292" t="str">
        <v>-</v>
      </c>
    </row>
    <row r="7293">
      <c r="A7293">
        <v>7292</v>
      </c>
      <c r="B7293" t="str">
        <v>UBND Ủy ban nhân dân xã Long Cốc  tỉnh Phú Thọ</v>
      </c>
      <c r="C7293" t="str">
        <v>-</v>
      </c>
      <c r="D7293" t="str">
        <v>-</v>
      </c>
      <c r="E7293" t="str">
        <v>-</v>
      </c>
      <c r="F7293" t="str">
        <v>-</v>
      </c>
      <c r="G7293" t="str">
        <v>-</v>
      </c>
    </row>
    <row r="7294">
      <c r="A7294">
        <v>7293</v>
      </c>
      <c r="B7294" t="str">
        <v>Công an xã Kim Thượng  tỉnh Phú Thọ</v>
      </c>
      <c r="C7294" t="str">
        <v>-</v>
      </c>
      <c r="D7294" t="str">
        <v>-</v>
      </c>
      <c r="E7294" t="str">
        <v/>
      </c>
      <c r="F7294" t="str">
        <v>-</v>
      </c>
      <c r="G7294" t="str">
        <v>-</v>
      </c>
    </row>
    <row r="7295">
      <c r="A7295">
        <v>7294</v>
      </c>
      <c r="B7295" t="str">
        <v>UBND Ủy ban nhân dân xã Kim Thượng  tỉnh Phú Thọ</v>
      </c>
      <c r="C7295" t="str">
        <v>-</v>
      </c>
      <c r="D7295" t="str">
        <v>-</v>
      </c>
      <c r="E7295" t="str">
        <v>-</v>
      </c>
      <c r="F7295" t="str">
        <v>-</v>
      </c>
      <c r="G7295" t="str">
        <v>-</v>
      </c>
    </row>
    <row r="7296">
      <c r="A7296">
        <v>7295</v>
      </c>
      <c r="B7296" t="str">
        <v>Công an xã Tam Thanh  tỉnh Phú Thọ</v>
      </c>
      <c r="C7296" t="str">
        <v>-</v>
      </c>
      <c r="D7296" t="str">
        <v>-</v>
      </c>
      <c r="E7296" t="str">
        <v/>
      </c>
      <c r="F7296" t="str">
        <v>-</v>
      </c>
      <c r="G7296" t="str">
        <v>-</v>
      </c>
    </row>
    <row r="7297">
      <c r="A7297">
        <v>7296</v>
      </c>
      <c r="B7297" t="str">
        <v>UBND Ủy ban nhân dân xã Tam Thanh  tỉnh Phú Thọ</v>
      </c>
      <c r="C7297" t="str">
        <v>-</v>
      </c>
      <c r="D7297" t="str">
        <v>-</v>
      </c>
      <c r="E7297" t="str">
        <v>-</v>
      </c>
      <c r="F7297" t="str">
        <v>-</v>
      </c>
      <c r="G7297" t="str">
        <v>-</v>
      </c>
    </row>
    <row r="7298">
      <c r="A7298">
        <v>7297</v>
      </c>
      <c r="B7298" t="str">
        <v>Công an xã Vinh Tiền  tỉnh Phú Thọ</v>
      </c>
      <c r="C7298" t="str">
        <v>-</v>
      </c>
      <c r="D7298" t="str">
        <v>-</v>
      </c>
      <c r="E7298" t="str">
        <v/>
      </c>
      <c r="F7298" t="str">
        <v>-</v>
      </c>
      <c r="G7298" t="str">
        <v>-</v>
      </c>
    </row>
    <row r="7299">
      <c r="A7299">
        <v>7298</v>
      </c>
      <c r="B7299" t="str">
        <v>UBND Ủy ban nhân dân xã Vinh Tiền  tỉnh Phú Thọ</v>
      </c>
      <c r="C7299" t="str">
        <v>-</v>
      </c>
      <c r="D7299" t="str">
        <v>-</v>
      </c>
      <c r="E7299" t="str">
        <v>-</v>
      </c>
      <c r="F7299" t="str">
        <v>-</v>
      </c>
      <c r="G7299" t="str">
        <v>-</v>
      </c>
    </row>
    <row r="7300">
      <c r="A7300">
        <v>7299</v>
      </c>
      <c r="B7300" t="str">
        <v>Công an phường Tích Sơn  tỉnh Vĩnh Phúc</v>
      </c>
      <c r="C7300" t="str">
        <v>-</v>
      </c>
      <c r="D7300" t="str">
        <v>-</v>
      </c>
      <c r="E7300" t="str">
        <v/>
      </c>
      <c r="F7300" t="str">
        <v>-</v>
      </c>
      <c r="G7300" t="str">
        <v>-</v>
      </c>
    </row>
    <row r="7301">
      <c r="A7301">
        <v>7300</v>
      </c>
      <c r="B7301" t="str">
        <v>UBND Ủy ban nhân dân phường Tích Sơn  tỉnh Vĩnh Phúc</v>
      </c>
      <c r="C7301" t="str">
        <v>-</v>
      </c>
      <c r="D7301" t="str">
        <v>-</v>
      </c>
      <c r="E7301" t="str">
        <v>-</v>
      </c>
      <c r="F7301" t="str">
        <v>-</v>
      </c>
      <c r="G7301" t="str">
        <v>-</v>
      </c>
    </row>
    <row r="7302">
      <c r="A7302">
        <v>7301</v>
      </c>
      <c r="B7302" t="str">
        <v>Công an phường Liên Bảo  tỉnh Vĩnh Phúc</v>
      </c>
      <c r="C7302" t="str">
        <v>-</v>
      </c>
      <c r="D7302" t="str">
        <v>-</v>
      </c>
      <c r="E7302" t="str">
        <v/>
      </c>
      <c r="F7302" t="str">
        <v>-</v>
      </c>
      <c r="G7302" t="str">
        <v>-</v>
      </c>
    </row>
    <row r="7303">
      <c r="A7303">
        <v>7302</v>
      </c>
      <c r="B7303" t="str">
        <v>UBND Ủy ban nhân dân phường Liên Bảo  tỉnh Vĩnh Phúc</v>
      </c>
      <c r="C7303" t="str">
        <v>-</v>
      </c>
      <c r="D7303" t="str">
        <v>-</v>
      </c>
      <c r="E7303" t="str">
        <v>-</v>
      </c>
      <c r="F7303" t="str">
        <v>-</v>
      </c>
      <c r="G7303" t="str">
        <v>-</v>
      </c>
    </row>
    <row r="7304">
      <c r="A7304">
        <v>7303</v>
      </c>
      <c r="B7304" t="str">
        <v>Công an phường Hội Hợp  tỉnh Vĩnh Phúc</v>
      </c>
      <c r="C7304" t="str">
        <v>-</v>
      </c>
      <c r="D7304" t="str">
        <v>-</v>
      </c>
      <c r="E7304" t="str">
        <v/>
      </c>
      <c r="F7304" t="str">
        <v>-</v>
      </c>
      <c r="G7304" t="str">
        <v>-</v>
      </c>
    </row>
    <row r="7305">
      <c r="A7305">
        <v>7304</v>
      </c>
      <c r="B7305" t="str">
        <v>UBND Ủy ban nhân dân phường Hội Hợp  tỉnh Vĩnh Phúc</v>
      </c>
      <c r="C7305" t="str">
        <v>-</v>
      </c>
      <c r="D7305" t="str">
        <v>-</v>
      </c>
      <c r="E7305" t="str">
        <v>-</v>
      </c>
      <c r="F7305" t="str">
        <v>-</v>
      </c>
      <c r="G7305" t="str">
        <v>-</v>
      </c>
    </row>
    <row r="7306">
      <c r="A7306">
        <v>7305</v>
      </c>
      <c r="B7306" t="str">
        <v>Công an phường Đống Đa  tỉnh Vĩnh Phúc</v>
      </c>
      <c r="C7306" t="str">
        <v>-</v>
      </c>
      <c r="D7306" t="str">
        <v>-</v>
      </c>
      <c r="E7306" t="str">
        <v/>
      </c>
      <c r="F7306" t="str">
        <v>-</v>
      </c>
      <c r="G7306" t="str">
        <v>-</v>
      </c>
    </row>
    <row r="7307">
      <c r="A7307">
        <v>7306</v>
      </c>
      <c r="B7307" t="str">
        <v>UBND Ủy ban nhân dân phường Đống Đa  tỉnh Vĩnh Phúc</v>
      </c>
      <c r="C7307" t="str">
        <v>-</v>
      </c>
      <c r="D7307" t="str">
        <v>-</v>
      </c>
      <c r="E7307" t="str">
        <v>-</v>
      </c>
      <c r="F7307" t="str">
        <v>-</v>
      </c>
      <c r="G7307" t="str">
        <v>-</v>
      </c>
    </row>
    <row r="7308">
      <c r="A7308">
        <v>7307</v>
      </c>
      <c r="B7308" t="str">
        <v>Công an phường Ngô Quyền  tỉnh Vĩnh Phúc</v>
      </c>
      <c r="C7308" t="str">
        <v>-</v>
      </c>
      <c r="D7308" t="str">
        <v>-</v>
      </c>
      <c r="E7308" t="str">
        <v/>
      </c>
      <c r="F7308" t="str">
        <v>-</v>
      </c>
      <c r="G7308" t="str">
        <v>-</v>
      </c>
    </row>
    <row r="7309">
      <c r="A7309">
        <v>7308</v>
      </c>
      <c r="B7309" t="str">
        <v>UBND Ủy ban nhân dân phường Ngô Quyền  tỉnh Vĩnh Phúc</v>
      </c>
      <c r="C7309" t="str">
        <v>-</v>
      </c>
      <c r="D7309" t="str">
        <v>-</v>
      </c>
      <c r="E7309" t="str">
        <v>-</v>
      </c>
      <c r="F7309" t="str">
        <v>-</v>
      </c>
      <c r="G7309" t="str">
        <v>-</v>
      </c>
    </row>
    <row r="7310">
      <c r="A7310">
        <v>7309</v>
      </c>
      <c r="B7310" t="str">
        <v>Công an phường Đồng Tâm  tỉnh Vĩnh Phúc</v>
      </c>
      <c r="C7310" t="str">
        <v>-</v>
      </c>
      <c r="D7310" t="str">
        <v>-</v>
      </c>
      <c r="E7310" t="str">
        <v/>
      </c>
      <c r="F7310" t="str">
        <v>-</v>
      </c>
      <c r="G7310" t="str">
        <v>-</v>
      </c>
    </row>
    <row r="7311">
      <c r="A7311">
        <v>7310</v>
      </c>
      <c r="B7311" t="str">
        <v>UBND Ủy ban nhân dân phường Đồng Tâm  tỉnh Vĩnh Phúc</v>
      </c>
      <c r="C7311" t="str">
        <v>-</v>
      </c>
      <c r="D7311" t="str">
        <v>-</v>
      </c>
      <c r="E7311" t="str">
        <v>-</v>
      </c>
      <c r="F7311" t="str">
        <v>-</v>
      </c>
      <c r="G7311" t="str">
        <v>-</v>
      </c>
    </row>
    <row r="7312">
      <c r="A7312">
        <v>7311</v>
      </c>
      <c r="B7312" t="str">
        <v>Công an xã Định Trung  tỉnh Vĩnh Phúc</v>
      </c>
      <c r="C7312" t="str">
        <v>-</v>
      </c>
      <c r="D7312" t="str">
        <v>-</v>
      </c>
      <c r="E7312" t="str">
        <v/>
      </c>
      <c r="F7312" t="str">
        <v>-</v>
      </c>
      <c r="G7312" t="str">
        <v>-</v>
      </c>
    </row>
    <row r="7313">
      <c r="A7313">
        <v>7312</v>
      </c>
      <c r="B7313" t="str">
        <v>UBND Ủy ban nhân dân xã Định Trung  tỉnh Vĩnh Phúc</v>
      </c>
      <c r="C7313" t="str">
        <v>-</v>
      </c>
      <c r="D7313" t="str">
        <v>-</v>
      </c>
      <c r="E7313" t="str">
        <v>-</v>
      </c>
      <c r="F7313" t="str">
        <v>-</v>
      </c>
      <c r="G7313" t="str">
        <v>-</v>
      </c>
    </row>
    <row r="7314">
      <c r="A7314">
        <v>7313</v>
      </c>
      <c r="B7314" t="str">
        <v>Công an phường Khai Quang  tỉnh Vĩnh Phúc</v>
      </c>
      <c r="C7314" t="str">
        <v>-</v>
      </c>
      <c r="D7314" t="str">
        <v>-</v>
      </c>
      <c r="E7314" t="str">
        <v/>
      </c>
      <c r="F7314" t="str">
        <v>-</v>
      </c>
      <c r="G7314" t="str">
        <v>-</v>
      </c>
    </row>
    <row r="7315">
      <c r="A7315">
        <v>7314</v>
      </c>
      <c r="B7315" t="str">
        <v>UBND Ủy ban nhân dân phường Khai Quang  tỉnh Vĩnh Phúc</v>
      </c>
      <c r="C7315" t="str">
        <v>-</v>
      </c>
      <c r="D7315" t="str">
        <v>-</v>
      </c>
      <c r="E7315" t="str">
        <v>-</v>
      </c>
      <c r="F7315" t="str">
        <v>-</v>
      </c>
      <c r="G7315" t="str">
        <v>-</v>
      </c>
    </row>
    <row r="7316">
      <c r="A7316">
        <v>7315</v>
      </c>
      <c r="B7316" t="str">
        <v>Công an xã Thanh Trù  tỉnh Vĩnh Phúc</v>
      </c>
      <c r="C7316" t="str">
        <v>-</v>
      </c>
      <c r="D7316" t="str">
        <v>-</v>
      </c>
      <c r="E7316" t="str">
        <v/>
      </c>
      <c r="F7316" t="str">
        <v>-</v>
      </c>
      <c r="G7316" t="str">
        <v>-</v>
      </c>
    </row>
    <row r="7317">
      <c r="A7317">
        <v>7316</v>
      </c>
      <c r="B7317" t="str">
        <v>UBND Ủy ban nhân dân xã Thanh Trù  tỉnh Vĩnh Phúc</v>
      </c>
      <c r="C7317" t="str">
        <v>-</v>
      </c>
      <c r="D7317" t="str">
        <v>-</v>
      </c>
      <c r="E7317" t="str">
        <v>-</v>
      </c>
      <c r="F7317" t="str">
        <v>-</v>
      </c>
      <c r="G7317" t="str">
        <v>-</v>
      </c>
    </row>
    <row r="7318">
      <c r="A7318">
        <v>7317</v>
      </c>
      <c r="B7318" t="str">
        <v>Công an phường Trưng Trắc  tỉnh Vĩnh Phúc</v>
      </c>
      <c r="C7318" t="str">
        <v>-</v>
      </c>
      <c r="D7318" t="str">
        <v>-</v>
      </c>
      <c r="E7318" t="str">
        <v/>
      </c>
      <c r="F7318" t="str">
        <v>-</v>
      </c>
      <c r="G7318" t="str">
        <v>-</v>
      </c>
    </row>
    <row r="7319">
      <c r="A7319">
        <v>7318</v>
      </c>
      <c r="B7319" t="str">
        <v>UBND Ủy ban nhân dân phường Trưng Trắc  tỉnh Vĩnh Phúc</v>
      </c>
      <c r="C7319" t="str">
        <v>-</v>
      </c>
      <c r="D7319" t="str">
        <v>-</v>
      </c>
      <c r="E7319" t="str">
        <v>-</v>
      </c>
      <c r="F7319" t="str">
        <v>-</v>
      </c>
      <c r="G7319" t="str">
        <v>-</v>
      </c>
    </row>
    <row r="7320">
      <c r="A7320">
        <v>7319</v>
      </c>
      <c r="B7320" t="str">
        <v>Công an phường Hùng Vương  tỉnh Vĩnh Phúc</v>
      </c>
      <c r="C7320" t="str">
        <v>-</v>
      </c>
      <c r="D7320" t="str">
        <v>-</v>
      </c>
      <c r="E7320" t="str">
        <v/>
      </c>
      <c r="F7320" t="str">
        <v>-</v>
      </c>
      <c r="G7320" t="str">
        <v>-</v>
      </c>
    </row>
    <row r="7321">
      <c r="A7321">
        <v>7320</v>
      </c>
      <c r="B7321" t="str">
        <v>UBND Ủy ban nhân dân phường Hùng Vương  tỉnh Vĩnh Phúc</v>
      </c>
      <c r="C7321" t="str">
        <v>-</v>
      </c>
      <c r="D7321" t="str">
        <v>-</v>
      </c>
      <c r="E7321" t="str">
        <v>-</v>
      </c>
      <c r="F7321" t="str">
        <v>-</v>
      </c>
      <c r="G7321" t="str">
        <v>-</v>
      </c>
    </row>
    <row r="7322">
      <c r="A7322">
        <v>7321</v>
      </c>
      <c r="B7322" t="str">
        <v>Công an phường Trưng Nhị  tỉnh Vĩnh Phúc</v>
      </c>
      <c r="C7322" t="str">
        <v>-</v>
      </c>
      <c r="D7322" t="str">
        <v>-</v>
      </c>
      <c r="E7322" t="str">
        <v/>
      </c>
      <c r="F7322" t="str">
        <v>-</v>
      </c>
      <c r="G7322" t="str">
        <v>-</v>
      </c>
    </row>
    <row r="7323">
      <c r="A7323">
        <v>7322</v>
      </c>
      <c r="B7323" t="str">
        <v>UBND Ủy ban nhân dân phường Trưng Nhị  tỉnh Vĩnh Phúc</v>
      </c>
      <c r="C7323" t="str">
        <v>-</v>
      </c>
      <c r="D7323" t="str">
        <v>-</v>
      </c>
      <c r="E7323" t="str">
        <v>-</v>
      </c>
      <c r="F7323" t="str">
        <v>-</v>
      </c>
      <c r="G7323" t="str">
        <v>-</v>
      </c>
    </row>
    <row r="7324">
      <c r="A7324">
        <v>7323</v>
      </c>
      <c r="B7324" t="str">
        <v>Công an phường Phúc Thắng  tỉnh Vĩnh Phúc</v>
      </c>
      <c r="C7324" t="str">
        <v>-</v>
      </c>
      <c r="D7324" t="str">
        <v>-</v>
      </c>
      <c r="E7324" t="str">
        <v/>
      </c>
      <c r="F7324" t="str">
        <v>-</v>
      </c>
      <c r="G7324" t="str">
        <v>-</v>
      </c>
    </row>
    <row r="7325">
      <c r="A7325">
        <v>7324</v>
      </c>
      <c r="B7325" t="str">
        <v>UBND Ủy ban nhân dân phường Phúc Thắng  tỉnh Vĩnh Phúc</v>
      </c>
      <c r="C7325" t="str">
        <v>-</v>
      </c>
      <c r="D7325" t="str">
        <v>-</v>
      </c>
      <c r="E7325" t="str">
        <v>-</v>
      </c>
      <c r="F7325" t="str">
        <v>-</v>
      </c>
      <c r="G7325" t="str">
        <v>-</v>
      </c>
    </row>
    <row r="7326">
      <c r="A7326">
        <v>7325</v>
      </c>
      <c r="B7326" t="str">
        <v>Công an phường Xuân Hoà  tỉnh Vĩnh Phúc</v>
      </c>
      <c r="C7326" t="str">
        <v>-</v>
      </c>
      <c r="D7326" t="str">
        <v>-</v>
      </c>
      <c r="E7326" t="str">
        <v/>
      </c>
      <c r="F7326" t="str">
        <v>-</v>
      </c>
      <c r="G7326" t="str">
        <v>-</v>
      </c>
    </row>
    <row r="7327">
      <c r="A7327">
        <v>7326</v>
      </c>
      <c r="B7327" t="str">
        <v>UBND Ủy ban nhân dân phường Xuân Hoà  tỉnh Vĩnh Phúc</v>
      </c>
      <c r="C7327" t="str">
        <v>-</v>
      </c>
      <c r="D7327" t="str">
        <v>-</v>
      </c>
      <c r="E7327" t="str">
        <v>-</v>
      </c>
      <c r="F7327" t="str">
        <v>-</v>
      </c>
      <c r="G7327" t="str">
        <v>-</v>
      </c>
    </row>
    <row r="7328">
      <c r="A7328">
        <v>7327</v>
      </c>
      <c r="B7328" t="str">
        <v>Công an phường Đồng Xuân  tỉnh Vĩnh Phúc</v>
      </c>
      <c r="C7328" t="str">
        <v>-</v>
      </c>
      <c r="D7328" t="str">
        <v>-</v>
      </c>
      <c r="E7328" t="str">
        <v/>
      </c>
      <c r="F7328" t="str">
        <v>-</v>
      </c>
      <c r="G7328" t="str">
        <v>-</v>
      </c>
    </row>
    <row r="7329">
      <c r="A7329">
        <v>7328</v>
      </c>
      <c r="B7329" t="str">
        <v>UBND Ủy ban nhân dân phường Đồng Xuân  tỉnh Vĩnh Phúc</v>
      </c>
      <c r="C7329" t="str">
        <v>-</v>
      </c>
      <c r="D7329" t="str">
        <v>-</v>
      </c>
      <c r="E7329" t="str">
        <v>-</v>
      </c>
      <c r="F7329" t="str">
        <v>-</v>
      </c>
      <c r="G7329" t="str">
        <v>-</v>
      </c>
    </row>
    <row r="7330">
      <c r="A7330">
        <v>7329</v>
      </c>
      <c r="B7330" t="str">
        <v>Công an xã Ngọc Thanh  tỉnh Vĩnh Phúc</v>
      </c>
      <c r="C7330" t="str">
        <v>-</v>
      </c>
      <c r="D7330" t="str">
        <v>-</v>
      </c>
      <c r="E7330" t="str">
        <v/>
      </c>
      <c r="F7330" t="str">
        <v>-</v>
      </c>
      <c r="G7330" t="str">
        <v>-</v>
      </c>
    </row>
    <row r="7331">
      <c r="A7331">
        <v>7330</v>
      </c>
      <c r="B7331" t="str">
        <v>UBND Ủy ban nhân dân xã Ngọc Thanh  tỉnh Vĩnh Phúc</v>
      </c>
      <c r="C7331" t="str">
        <v>-</v>
      </c>
      <c r="D7331" t="str">
        <v>-</v>
      </c>
      <c r="E7331" t="str">
        <v>-</v>
      </c>
      <c r="F7331" t="str">
        <v>-</v>
      </c>
      <c r="G7331" t="str">
        <v>-</v>
      </c>
    </row>
    <row r="7332">
      <c r="A7332">
        <v>7331</v>
      </c>
      <c r="B7332" t="str">
        <v>Công an xã Cao Minh  tỉnh Vĩnh Phúc</v>
      </c>
      <c r="C7332" t="str">
        <v>-</v>
      </c>
      <c r="D7332" t="str">
        <v>-</v>
      </c>
      <c r="E7332" t="str">
        <v/>
      </c>
      <c r="F7332" t="str">
        <v>-</v>
      </c>
      <c r="G7332" t="str">
        <v>-</v>
      </c>
    </row>
    <row r="7333">
      <c r="A7333">
        <v>7332</v>
      </c>
      <c r="B7333" t="str">
        <v>UBND Ủy ban nhân dân xã Cao Minh  tỉnh Vĩnh Phúc</v>
      </c>
      <c r="C7333" t="str">
        <v>-</v>
      </c>
      <c r="D7333" t="str">
        <v>-</v>
      </c>
      <c r="E7333" t="str">
        <v>-</v>
      </c>
      <c r="F7333" t="str">
        <v>-</v>
      </c>
      <c r="G7333" t="str">
        <v>-</v>
      </c>
    </row>
    <row r="7334">
      <c r="A7334">
        <v>7333</v>
      </c>
      <c r="B7334" t="str">
        <v>Công an xã Nam Viêm  tỉnh Vĩnh Phúc</v>
      </c>
      <c r="C7334" t="str">
        <v>-</v>
      </c>
      <c r="D7334" t="str">
        <v>-</v>
      </c>
      <c r="E7334" t="str">
        <v/>
      </c>
      <c r="F7334" t="str">
        <v>-</v>
      </c>
      <c r="G7334" t="str">
        <v>-</v>
      </c>
    </row>
    <row r="7335">
      <c r="A7335">
        <v>7334</v>
      </c>
      <c r="B7335" t="str">
        <v>UBND Ủy ban nhân dân xã Nam Viêm  tỉnh Vĩnh Phúc</v>
      </c>
      <c r="C7335" t="str">
        <v>-</v>
      </c>
      <c r="D7335" t="str">
        <v>-</v>
      </c>
      <c r="E7335" t="str">
        <v>-</v>
      </c>
      <c r="F7335" t="str">
        <v>-</v>
      </c>
      <c r="G7335" t="str">
        <v>-</v>
      </c>
    </row>
    <row r="7336">
      <c r="A7336">
        <v>7335</v>
      </c>
      <c r="B7336" t="str">
        <v>Công an xã Tiền Châu  tỉnh Vĩnh Phúc</v>
      </c>
      <c r="C7336" t="str">
        <v>-</v>
      </c>
      <c r="D7336" t="str">
        <v>-</v>
      </c>
      <c r="E7336" t="str">
        <v/>
      </c>
      <c r="F7336" t="str">
        <v>-</v>
      </c>
      <c r="G7336" t="str">
        <v>-</v>
      </c>
    </row>
    <row r="7337">
      <c r="A7337">
        <v>7336</v>
      </c>
      <c r="B7337" t="str">
        <v>UBND Ủy ban nhân dân xã Tiền Châu  tỉnh Vĩnh Phúc</v>
      </c>
      <c r="C7337" t="str">
        <v>-</v>
      </c>
      <c r="D7337" t="str">
        <v>-</v>
      </c>
      <c r="E7337" t="str">
        <v>-</v>
      </c>
      <c r="F7337" t="str">
        <v>-</v>
      </c>
      <c r="G7337" t="str">
        <v>-</v>
      </c>
    </row>
    <row r="7338">
      <c r="A7338">
        <v>7337</v>
      </c>
      <c r="B7338" t="str">
        <v>Công an thị trấn Lập Thạch  tỉnh Vĩnh Phúc</v>
      </c>
      <c r="C7338" t="str">
        <v>-</v>
      </c>
      <c r="D7338" t="str">
        <v>-</v>
      </c>
      <c r="E7338" t="str">
        <v/>
      </c>
      <c r="F7338" t="str">
        <v>-</v>
      </c>
      <c r="G7338" t="str">
        <v>-</v>
      </c>
    </row>
    <row r="7339">
      <c r="A7339">
        <v>7338</v>
      </c>
      <c r="B7339" t="str">
        <v>UBND Ủy ban nhân dân thị trấn Lập Thạch  tỉnh Vĩnh Phúc</v>
      </c>
      <c r="C7339" t="str">
        <v>-</v>
      </c>
      <c r="D7339" t="str">
        <v>-</v>
      </c>
      <c r="E7339" t="str">
        <v>-</v>
      </c>
      <c r="F7339" t="str">
        <v>-</v>
      </c>
      <c r="G7339" t="str">
        <v>-</v>
      </c>
    </row>
    <row r="7340">
      <c r="A7340">
        <v>7339</v>
      </c>
      <c r="B7340" t="str">
        <v>Công an xã Quang Sơn  tỉnh Vĩnh Phúc</v>
      </c>
      <c r="C7340" t="str">
        <v>-</v>
      </c>
      <c r="D7340" t="str">
        <v>-</v>
      </c>
      <c r="E7340" t="str">
        <v/>
      </c>
      <c r="F7340" t="str">
        <v>-</v>
      </c>
      <c r="G7340" t="str">
        <v>-</v>
      </c>
    </row>
    <row r="7341">
      <c r="A7341">
        <v>7340</v>
      </c>
      <c r="B7341" t="str">
        <v>UBND Ủy ban nhân dân xã Quang Sơn  tỉnh Vĩnh Phúc</v>
      </c>
      <c r="C7341" t="str">
        <v>-</v>
      </c>
      <c r="D7341" t="str">
        <v>-</v>
      </c>
      <c r="E7341" t="str">
        <v>-</v>
      </c>
      <c r="F7341" t="str">
        <v>-</v>
      </c>
      <c r="G7341" t="str">
        <v>-</v>
      </c>
    </row>
    <row r="7342">
      <c r="A7342">
        <v>7341</v>
      </c>
      <c r="B7342" t="str">
        <v>Công an xã Ngọc Mỹ  tỉnh Vĩnh Phúc</v>
      </c>
      <c r="C7342" t="str">
        <v>-</v>
      </c>
      <c r="D7342" t="str">
        <v>-</v>
      </c>
      <c r="E7342" t="str">
        <v/>
      </c>
      <c r="F7342" t="str">
        <v>-</v>
      </c>
      <c r="G7342" t="str">
        <v>-</v>
      </c>
    </row>
    <row r="7343">
      <c r="A7343">
        <v>7342</v>
      </c>
      <c r="B7343" t="str">
        <v>UBND Ủy ban nhân dân xã Ngọc Mỹ  tỉnh Vĩnh Phúc</v>
      </c>
      <c r="C7343" t="str">
        <v>-</v>
      </c>
      <c r="D7343" t="str">
        <v>-</v>
      </c>
      <c r="E7343" t="str">
        <v>-</v>
      </c>
      <c r="F7343" t="str">
        <v>-</v>
      </c>
      <c r="G7343" t="str">
        <v>-</v>
      </c>
    </row>
    <row r="7344">
      <c r="A7344">
        <v>7343</v>
      </c>
      <c r="B7344" t="str">
        <v>Công an xã Hợp Lý  tỉnh Vĩnh Phúc</v>
      </c>
      <c r="C7344" t="str">
        <v>-</v>
      </c>
      <c r="D7344" t="str">
        <v>-</v>
      </c>
      <c r="E7344" t="str">
        <v/>
      </c>
      <c r="F7344" t="str">
        <v>-</v>
      </c>
      <c r="G7344" t="str">
        <v>-</v>
      </c>
    </row>
    <row r="7345">
      <c r="A7345">
        <v>7344</v>
      </c>
      <c r="B7345" t="str">
        <v>UBND Ủy ban nhân dân xã Hợp Lý  tỉnh Vĩnh Phúc</v>
      </c>
      <c r="C7345" t="str">
        <v>-</v>
      </c>
      <c r="D7345" t="str">
        <v>-</v>
      </c>
      <c r="E7345" t="str">
        <v>-</v>
      </c>
      <c r="F7345" t="str">
        <v>-</v>
      </c>
      <c r="G7345" t="str">
        <v>-</v>
      </c>
    </row>
    <row r="7346">
      <c r="A7346">
        <v>7345</v>
      </c>
      <c r="B7346" t="str">
        <v>Công an xã Bắc Bình  tỉnh Vĩnh Phúc</v>
      </c>
      <c r="C7346" t="str">
        <v>-</v>
      </c>
      <c r="D7346" t="str">
        <v>-</v>
      </c>
      <c r="E7346" t="str">
        <v/>
      </c>
      <c r="F7346" t="str">
        <v>-</v>
      </c>
      <c r="G7346" t="str">
        <v>-</v>
      </c>
    </row>
    <row r="7347">
      <c r="A7347">
        <v>7346</v>
      </c>
      <c r="B7347" t="str">
        <v>UBND Ủy ban nhân dân xã Bắc Bình  tỉnh Vĩnh Phúc</v>
      </c>
      <c r="C7347" t="str">
        <v>-</v>
      </c>
      <c r="D7347" t="str">
        <v>-</v>
      </c>
      <c r="E7347" t="str">
        <v>-</v>
      </c>
      <c r="F7347" t="str">
        <v>-</v>
      </c>
      <c r="G7347" t="str">
        <v>-</v>
      </c>
    </row>
    <row r="7348">
      <c r="A7348">
        <v>7347</v>
      </c>
      <c r="B7348" t="str">
        <v>Công an xã Thái Hòa  tỉnh Vĩnh Phúc</v>
      </c>
      <c r="C7348" t="str">
        <v>-</v>
      </c>
      <c r="D7348" t="str">
        <v>-</v>
      </c>
      <c r="E7348" t="str">
        <v/>
      </c>
      <c r="F7348" t="str">
        <v>-</v>
      </c>
      <c r="G7348" t="str">
        <v>-</v>
      </c>
    </row>
    <row r="7349">
      <c r="A7349">
        <v>7348</v>
      </c>
      <c r="B7349" t="str">
        <v>UBND Ủy ban nhân dân xã Thái Hòa  tỉnh Vĩnh Phúc</v>
      </c>
      <c r="C7349" t="str">
        <v>-</v>
      </c>
      <c r="D7349" t="str">
        <v>-</v>
      </c>
      <c r="E7349" t="str">
        <v>-</v>
      </c>
      <c r="F7349" t="str">
        <v>-</v>
      </c>
      <c r="G7349" t="str">
        <v>-</v>
      </c>
    </row>
    <row r="7350">
      <c r="A7350">
        <v>7349</v>
      </c>
      <c r="B7350" t="str">
        <v>Công an thị trấn Hoa Sơn  tỉnh Vĩnh Phúc</v>
      </c>
      <c r="C7350" t="str">
        <v>-</v>
      </c>
      <c r="D7350" t="str">
        <v>-</v>
      </c>
      <c r="E7350" t="str">
        <v/>
      </c>
      <c r="F7350" t="str">
        <v>-</v>
      </c>
      <c r="G7350" t="str">
        <v>-</v>
      </c>
    </row>
    <row r="7351">
      <c r="A7351">
        <v>7350</v>
      </c>
      <c r="B7351" t="str">
        <v>UBND Ủy ban nhân dân thị trấn Hoa Sơn  tỉnh Vĩnh Phúc</v>
      </c>
      <c r="C7351" t="str">
        <v>-</v>
      </c>
      <c r="D7351" t="str">
        <v>-</v>
      </c>
      <c r="E7351" t="str">
        <v>-</v>
      </c>
      <c r="F7351" t="str">
        <v>-</v>
      </c>
      <c r="G7351" t="str">
        <v>-</v>
      </c>
    </row>
    <row r="7352">
      <c r="A7352">
        <v>7351</v>
      </c>
      <c r="B7352" t="str">
        <v>Công an xã Liễn Sơn  tỉnh Vĩnh Phúc</v>
      </c>
      <c r="C7352" t="str">
        <v>-</v>
      </c>
      <c r="D7352" t="str">
        <v>-</v>
      </c>
      <c r="E7352" t="str">
        <v/>
      </c>
      <c r="F7352" t="str">
        <v>-</v>
      </c>
      <c r="G7352" t="str">
        <v>-</v>
      </c>
    </row>
    <row r="7353">
      <c r="A7353">
        <v>7352</v>
      </c>
      <c r="B7353" t="str">
        <v>UBND Ủy ban nhân dân xã Liễn Sơn  tỉnh Vĩnh Phúc</v>
      </c>
      <c r="C7353" t="str">
        <v>-</v>
      </c>
      <c r="D7353" t="str">
        <v>-</v>
      </c>
      <c r="E7353" t="str">
        <v>-</v>
      </c>
      <c r="F7353" t="str">
        <v>-</v>
      </c>
      <c r="G7353" t="str">
        <v>-</v>
      </c>
    </row>
    <row r="7354">
      <c r="A7354">
        <v>7353</v>
      </c>
      <c r="B7354" t="str">
        <v>Công an xã Xuân Hòa  tỉnh Vĩnh Phúc</v>
      </c>
      <c r="C7354" t="str">
        <v>-</v>
      </c>
      <c r="D7354" t="str">
        <v>-</v>
      </c>
      <c r="E7354" t="str">
        <v/>
      </c>
      <c r="F7354" t="str">
        <v>-</v>
      </c>
      <c r="G7354" t="str">
        <v>-</v>
      </c>
    </row>
    <row r="7355">
      <c r="A7355">
        <v>7354</v>
      </c>
      <c r="B7355" t="str">
        <v>UBND Ủy ban nhân dân xã Xuân Hòa  tỉnh Vĩnh Phúc</v>
      </c>
      <c r="C7355" t="str">
        <v>-</v>
      </c>
      <c r="D7355" t="str">
        <v>-</v>
      </c>
      <c r="E7355" t="str">
        <v>-</v>
      </c>
      <c r="F7355" t="str">
        <v>-</v>
      </c>
      <c r="G7355" t="str">
        <v>-</v>
      </c>
    </row>
    <row r="7356">
      <c r="A7356">
        <v>7355</v>
      </c>
      <c r="B7356" t="str">
        <v>Công an xã Vân Trục  tỉnh Vĩnh Phúc</v>
      </c>
      <c r="C7356" t="str">
        <v>-</v>
      </c>
      <c r="D7356" t="str">
        <v>-</v>
      </c>
      <c r="E7356" t="str">
        <v/>
      </c>
      <c r="F7356" t="str">
        <v>-</v>
      </c>
      <c r="G7356" t="str">
        <v>-</v>
      </c>
    </row>
    <row r="7357">
      <c r="A7357">
        <v>7356</v>
      </c>
      <c r="B7357" t="str">
        <v>UBND Ủy ban nhân dân xã Vân Trục  tỉnh Vĩnh Phúc</v>
      </c>
      <c r="C7357" t="str">
        <v>-</v>
      </c>
      <c r="D7357" t="str">
        <v>-</v>
      </c>
      <c r="E7357" t="str">
        <v>-</v>
      </c>
      <c r="F7357" t="str">
        <v>-</v>
      </c>
      <c r="G7357" t="str">
        <v>-</v>
      </c>
    </row>
    <row r="7358">
      <c r="A7358">
        <v>7357</v>
      </c>
      <c r="B7358" t="str">
        <v>Công an xã Liên Hòa  tỉnh Vĩnh Phúc</v>
      </c>
      <c r="C7358" t="str">
        <v>-</v>
      </c>
      <c r="D7358" t="str">
        <v>-</v>
      </c>
      <c r="E7358" t="str">
        <v/>
      </c>
      <c r="F7358" t="str">
        <v>-</v>
      </c>
      <c r="G7358" t="str">
        <v>-</v>
      </c>
    </row>
    <row r="7359">
      <c r="A7359">
        <v>7358</v>
      </c>
      <c r="B7359" t="str">
        <v>UBND Ủy ban nhân dân xã Liên Hòa  tỉnh Vĩnh Phúc</v>
      </c>
      <c r="C7359" t="str">
        <v>-</v>
      </c>
      <c r="D7359" t="str">
        <v>-</v>
      </c>
      <c r="E7359" t="str">
        <v>-</v>
      </c>
      <c r="F7359" t="str">
        <v>-</v>
      </c>
      <c r="G7359" t="str">
        <v>-</v>
      </c>
    </row>
    <row r="7360">
      <c r="A7360">
        <v>7359</v>
      </c>
      <c r="B7360" t="str">
        <v>Công an xã Tử Du  tỉnh Vĩnh Phúc</v>
      </c>
      <c r="C7360" t="str">
        <v>-</v>
      </c>
      <c r="D7360" t="str">
        <v>-</v>
      </c>
      <c r="E7360" t="str">
        <v/>
      </c>
      <c r="F7360" t="str">
        <v>-</v>
      </c>
      <c r="G7360" t="str">
        <v>-</v>
      </c>
    </row>
    <row r="7361">
      <c r="A7361">
        <v>7360</v>
      </c>
      <c r="B7361" t="str">
        <v>UBND Ủy ban nhân dân xã Tử Du  tỉnh Vĩnh Phúc</v>
      </c>
      <c r="C7361" t="str">
        <v>-</v>
      </c>
      <c r="D7361" t="str">
        <v>-</v>
      </c>
      <c r="E7361" t="str">
        <v>-</v>
      </c>
      <c r="F7361" t="str">
        <v>-</v>
      </c>
      <c r="G7361" t="str">
        <v>-</v>
      </c>
    </row>
    <row r="7362">
      <c r="A7362">
        <v>7361</v>
      </c>
      <c r="B7362" t="str">
        <v>Công an xã Bàn Giản  tỉnh Vĩnh Phúc</v>
      </c>
      <c r="C7362" t="str">
        <v>-</v>
      </c>
      <c r="D7362" t="str">
        <v>-</v>
      </c>
      <c r="E7362" t="str">
        <v/>
      </c>
      <c r="F7362" t="str">
        <v>-</v>
      </c>
      <c r="G7362" t="str">
        <v>-</v>
      </c>
    </row>
    <row r="7363">
      <c r="A7363">
        <v>7362</v>
      </c>
      <c r="B7363" t="str">
        <v>UBND Ủy ban nhân dân xã Bàn Giản  tỉnh Vĩnh Phúc</v>
      </c>
      <c r="C7363" t="str">
        <v>-</v>
      </c>
      <c r="D7363" t="str">
        <v>-</v>
      </c>
      <c r="E7363" t="str">
        <v>-</v>
      </c>
      <c r="F7363" t="str">
        <v>-</v>
      </c>
      <c r="G7363" t="str">
        <v>-</v>
      </c>
    </row>
    <row r="7364">
      <c r="A7364">
        <v>7363</v>
      </c>
      <c r="B7364" t="str">
        <v>Công an xã Xuân Lôi  tỉnh Vĩnh Phúc</v>
      </c>
      <c r="C7364" t="str">
        <v>-</v>
      </c>
      <c r="D7364" t="str">
        <v>-</v>
      </c>
      <c r="E7364" t="str">
        <v/>
      </c>
      <c r="F7364" t="str">
        <v>-</v>
      </c>
      <c r="G7364" t="str">
        <v>-</v>
      </c>
    </row>
    <row r="7365">
      <c r="A7365">
        <v>7364</v>
      </c>
      <c r="B7365" t="str">
        <v>UBND Ủy ban nhân dân xã Xuân Lôi  tỉnh Vĩnh Phúc</v>
      </c>
      <c r="C7365" t="str">
        <v>-</v>
      </c>
      <c r="D7365" t="str">
        <v>-</v>
      </c>
      <c r="E7365" t="str">
        <v>-</v>
      </c>
      <c r="F7365" t="str">
        <v>-</v>
      </c>
      <c r="G7365" t="str">
        <v>-</v>
      </c>
    </row>
    <row r="7366">
      <c r="A7366">
        <v>7365</v>
      </c>
      <c r="B7366" t="str">
        <v>Công an xã Đồng Ích  tỉnh Vĩnh Phúc</v>
      </c>
      <c r="C7366" t="str">
        <v>-</v>
      </c>
      <c r="D7366" t="str">
        <v>-</v>
      </c>
      <c r="E7366" t="str">
        <v/>
      </c>
      <c r="F7366" t="str">
        <v>-</v>
      </c>
      <c r="G7366" t="str">
        <v>-</v>
      </c>
    </row>
    <row r="7367">
      <c r="A7367">
        <v>7366</v>
      </c>
      <c r="B7367" t="str">
        <v>UBND Ủy ban nhân dân xã Đồng Ích  tỉnh Vĩnh Phúc</v>
      </c>
      <c r="C7367" t="str">
        <v>-</v>
      </c>
      <c r="D7367" t="str">
        <v>-</v>
      </c>
      <c r="E7367" t="str">
        <v>-</v>
      </c>
      <c r="F7367" t="str">
        <v>-</v>
      </c>
      <c r="G7367" t="str">
        <v>-</v>
      </c>
    </row>
    <row r="7368">
      <c r="A7368">
        <v>7367</v>
      </c>
      <c r="B7368" t="str">
        <v>Công an xã Tiên Lữ  tỉnh Vĩnh Phúc</v>
      </c>
      <c r="C7368" t="str">
        <v>-</v>
      </c>
      <c r="D7368" t="str">
        <v>-</v>
      </c>
      <c r="E7368" t="str">
        <v/>
      </c>
      <c r="F7368" t="str">
        <v>-</v>
      </c>
      <c r="G7368" t="str">
        <v>-</v>
      </c>
    </row>
    <row r="7369">
      <c r="A7369">
        <v>7368</v>
      </c>
      <c r="B7369" t="str">
        <v>UBND Ủy ban nhân dân xã Tiên Lữ  tỉnh Vĩnh Phúc</v>
      </c>
      <c r="C7369" t="str">
        <v>-</v>
      </c>
      <c r="D7369" t="str">
        <v>-</v>
      </c>
      <c r="E7369" t="str">
        <v>-</v>
      </c>
      <c r="F7369" t="str">
        <v>-</v>
      </c>
      <c r="G7369" t="str">
        <v>-</v>
      </c>
    </row>
    <row r="7370">
      <c r="A7370">
        <v>7369</v>
      </c>
      <c r="B7370" t="str">
        <v>Công an xã Văn Quán  tỉnh Vĩnh Phúc</v>
      </c>
      <c r="C7370" t="str">
        <v>-</v>
      </c>
      <c r="D7370" t="str">
        <v>-</v>
      </c>
      <c r="E7370" t="str">
        <v/>
      </c>
      <c r="F7370" t="str">
        <v>-</v>
      </c>
      <c r="G7370" t="str">
        <v>-</v>
      </c>
    </row>
    <row r="7371">
      <c r="A7371">
        <v>7370</v>
      </c>
      <c r="B7371" t="str">
        <v>UBND Ủy ban nhân dân xã Văn Quán  tỉnh Vĩnh Phúc</v>
      </c>
      <c r="C7371" t="str">
        <v>-</v>
      </c>
      <c r="D7371" t="str">
        <v>-</v>
      </c>
      <c r="E7371" t="str">
        <v>-</v>
      </c>
      <c r="F7371" t="str">
        <v>-</v>
      </c>
      <c r="G7371" t="str">
        <v>-</v>
      </c>
    </row>
    <row r="7372">
      <c r="A7372">
        <v>7371</v>
      </c>
      <c r="B7372" t="str">
        <v>Công an xã Đình Chu  tỉnh Vĩnh Phúc</v>
      </c>
      <c r="C7372" t="str">
        <v>-</v>
      </c>
      <c r="D7372" t="str">
        <v>-</v>
      </c>
      <c r="E7372" t="str">
        <v/>
      </c>
      <c r="F7372" t="str">
        <v>-</v>
      </c>
      <c r="G7372" t="str">
        <v>-</v>
      </c>
    </row>
    <row r="7373">
      <c r="A7373">
        <v>7372</v>
      </c>
      <c r="B7373" t="str">
        <v>UBND Ủy ban nhân dân xã Đình Chu  tỉnh Vĩnh Phúc</v>
      </c>
      <c r="C7373" t="str">
        <v>-</v>
      </c>
      <c r="D7373" t="str">
        <v>-</v>
      </c>
      <c r="E7373" t="str">
        <v>-</v>
      </c>
      <c r="F7373" t="str">
        <v>-</v>
      </c>
      <c r="G7373" t="str">
        <v>-</v>
      </c>
    </row>
    <row r="7374">
      <c r="A7374">
        <v>7373</v>
      </c>
      <c r="B7374" t="str">
        <v>Công an xã Triệu Đề  tỉnh Vĩnh Phúc</v>
      </c>
      <c r="C7374" t="str">
        <v>-</v>
      </c>
      <c r="D7374" t="str">
        <v>-</v>
      </c>
      <c r="E7374" t="str">
        <v/>
      </c>
      <c r="F7374" t="str">
        <v>-</v>
      </c>
      <c r="G7374" t="str">
        <v>-</v>
      </c>
    </row>
    <row r="7375">
      <c r="A7375">
        <v>7374</v>
      </c>
      <c r="B7375" t="str">
        <v>UBND Ủy ban nhân dân xã Triệu Đề  tỉnh Vĩnh Phúc</v>
      </c>
      <c r="C7375" t="str">
        <v>-</v>
      </c>
      <c r="D7375" t="str">
        <v>-</v>
      </c>
      <c r="E7375" t="str">
        <v>-</v>
      </c>
      <c r="F7375" t="str">
        <v>-</v>
      </c>
      <c r="G7375" t="str">
        <v>-</v>
      </c>
    </row>
    <row r="7376">
      <c r="A7376">
        <v>7375</v>
      </c>
      <c r="B7376" t="str">
        <v>Công an xã Sơn Đông  tỉnh Vĩnh Phúc</v>
      </c>
      <c r="C7376" t="str">
        <v>-</v>
      </c>
      <c r="D7376" t="str">
        <v>-</v>
      </c>
      <c r="E7376" t="str">
        <v/>
      </c>
      <c r="F7376" t="str">
        <v>-</v>
      </c>
      <c r="G7376" t="str">
        <v>-</v>
      </c>
    </row>
    <row r="7377">
      <c r="A7377">
        <v>7376</v>
      </c>
      <c r="B7377" t="str">
        <v>UBND Ủy ban nhân dân xã Sơn Đông  tỉnh Vĩnh Phúc</v>
      </c>
      <c r="C7377" t="str">
        <v>-</v>
      </c>
      <c r="D7377" t="str">
        <v>-</v>
      </c>
      <c r="E7377" t="str">
        <v>-</v>
      </c>
      <c r="F7377" t="str">
        <v>-</v>
      </c>
      <c r="G7377" t="str">
        <v>-</v>
      </c>
    </row>
    <row r="7378">
      <c r="A7378">
        <v>7377</v>
      </c>
      <c r="B7378" t="str">
        <v>Công an thị trấn Hợp Hòa  tỉnh Vĩnh Phúc</v>
      </c>
      <c r="C7378" t="str">
        <v>-</v>
      </c>
      <c r="D7378" t="str">
        <v>-</v>
      </c>
      <c r="E7378" t="str">
        <v/>
      </c>
      <c r="F7378" t="str">
        <v>-</v>
      </c>
      <c r="G7378" t="str">
        <v>-</v>
      </c>
    </row>
    <row r="7379">
      <c r="A7379">
        <v>7378</v>
      </c>
      <c r="B7379" t="str">
        <v>UBND Ủy ban nhân dân thị trấn Hợp Hòa  tỉnh Vĩnh Phúc</v>
      </c>
      <c r="C7379" t="str">
        <v>-</v>
      </c>
      <c r="D7379" t="str">
        <v>-</v>
      </c>
      <c r="E7379" t="str">
        <v>-</v>
      </c>
      <c r="F7379" t="str">
        <v>-</v>
      </c>
      <c r="G7379" t="str">
        <v>-</v>
      </c>
    </row>
    <row r="7380">
      <c r="A7380">
        <v>7379</v>
      </c>
      <c r="B7380" t="str">
        <v>Công an xã Hoàng Hoa  tỉnh Vĩnh Phúc</v>
      </c>
      <c r="C7380" t="str">
        <v>-</v>
      </c>
      <c r="D7380" t="str">
        <v>-</v>
      </c>
      <c r="E7380" t="str">
        <v/>
      </c>
      <c r="F7380" t="str">
        <v>-</v>
      </c>
      <c r="G7380" t="str">
        <v>-</v>
      </c>
    </row>
    <row r="7381">
      <c r="A7381">
        <v>7380</v>
      </c>
      <c r="B7381" t="str">
        <v>UBND Ủy ban nhân dân xã Hoàng Hoa  tỉnh Vĩnh Phúc</v>
      </c>
      <c r="C7381" t="str">
        <v>-</v>
      </c>
      <c r="D7381" t="str">
        <v>-</v>
      </c>
      <c r="E7381" t="str">
        <v>-</v>
      </c>
      <c r="F7381" t="str">
        <v>-</v>
      </c>
      <c r="G7381" t="str">
        <v>-</v>
      </c>
    </row>
    <row r="7382">
      <c r="A7382">
        <v>7381</v>
      </c>
      <c r="B7382" t="str">
        <v>Công an xã Đồng Tĩnh  tỉnh Vĩnh Phúc</v>
      </c>
      <c r="C7382" t="str">
        <v>-</v>
      </c>
      <c r="D7382" t="str">
        <v>-</v>
      </c>
      <c r="E7382" t="str">
        <v/>
      </c>
      <c r="F7382" t="str">
        <v>-</v>
      </c>
      <c r="G7382" t="str">
        <v>-</v>
      </c>
    </row>
    <row r="7383">
      <c r="A7383">
        <v>7382</v>
      </c>
      <c r="B7383" t="str">
        <v>UBND Ủy ban nhân dân xã Đồng Tĩnh  tỉnh Vĩnh Phúc</v>
      </c>
      <c r="C7383" t="str">
        <v>-</v>
      </c>
      <c r="D7383" t="str">
        <v>-</v>
      </c>
      <c r="E7383" t="str">
        <v>-</v>
      </c>
      <c r="F7383" t="str">
        <v>-</v>
      </c>
      <c r="G7383" t="str">
        <v>-</v>
      </c>
    </row>
    <row r="7384">
      <c r="A7384">
        <v>7383</v>
      </c>
      <c r="B7384" t="str">
        <v>Công an xã Kim Long  tỉnh Vĩnh Phúc</v>
      </c>
      <c r="C7384" t="str">
        <v>-</v>
      </c>
      <c r="D7384" t="str">
        <v>-</v>
      </c>
      <c r="E7384" t="str">
        <v/>
      </c>
      <c r="F7384" t="str">
        <v>-</v>
      </c>
      <c r="G7384" t="str">
        <v>-</v>
      </c>
    </row>
    <row r="7385">
      <c r="A7385">
        <v>7384</v>
      </c>
      <c r="B7385" t="str">
        <v>UBND Ủy ban nhân dân xã Kim Long  tỉnh Vĩnh Phúc</v>
      </c>
      <c r="C7385" t="str">
        <v>-</v>
      </c>
      <c r="D7385" t="str">
        <v>-</v>
      </c>
      <c r="E7385" t="str">
        <v>-</v>
      </c>
      <c r="F7385" t="str">
        <v>-</v>
      </c>
      <c r="G7385" t="str">
        <v>-</v>
      </c>
    </row>
    <row r="7386">
      <c r="A7386">
        <v>7385</v>
      </c>
      <c r="B7386" t="str">
        <v>Công an xã Hướng Đạo  tỉnh Vĩnh Phúc</v>
      </c>
      <c r="C7386" t="str">
        <v>-</v>
      </c>
      <c r="D7386" t="str">
        <v>-</v>
      </c>
      <c r="E7386" t="str">
        <v/>
      </c>
      <c r="F7386" t="str">
        <v>-</v>
      </c>
      <c r="G7386" t="str">
        <v>-</v>
      </c>
    </row>
    <row r="7387">
      <c r="A7387">
        <v>7386</v>
      </c>
      <c r="B7387" t="str">
        <v>UBND Ủy ban nhân dân xã Hướng Đạo  tỉnh Vĩnh Phúc</v>
      </c>
      <c r="C7387" t="str">
        <v>-</v>
      </c>
      <c r="D7387" t="str">
        <v>-</v>
      </c>
      <c r="E7387" t="str">
        <v>-</v>
      </c>
      <c r="F7387" t="str">
        <v>-</v>
      </c>
      <c r="G7387" t="str">
        <v>-</v>
      </c>
    </row>
    <row r="7388">
      <c r="A7388">
        <v>7387</v>
      </c>
      <c r="B7388" t="str">
        <v>Công an xã Đạo Tú  tỉnh Vĩnh Phúc</v>
      </c>
      <c r="C7388" t="str">
        <v>-</v>
      </c>
      <c r="D7388" t="str">
        <v>-</v>
      </c>
      <c r="E7388" t="str">
        <v/>
      </c>
      <c r="F7388" t="str">
        <v>-</v>
      </c>
      <c r="G7388" t="str">
        <v>-</v>
      </c>
    </row>
    <row r="7389">
      <c r="A7389">
        <v>7388</v>
      </c>
      <c r="B7389" t="str">
        <v>UBND Ủy ban nhân dân xã Đạo Tú  tỉnh Vĩnh Phúc</v>
      </c>
      <c r="C7389" t="str">
        <v>-</v>
      </c>
      <c r="D7389" t="str">
        <v>-</v>
      </c>
      <c r="E7389" t="str">
        <v>-</v>
      </c>
      <c r="F7389" t="str">
        <v>-</v>
      </c>
      <c r="G7389" t="str">
        <v>-</v>
      </c>
    </row>
    <row r="7390">
      <c r="A7390">
        <v>7389</v>
      </c>
      <c r="B7390" t="str">
        <v>Công an xã An Hòa  tỉnh Vĩnh Phúc</v>
      </c>
      <c r="C7390" t="str">
        <v>-</v>
      </c>
      <c r="D7390" t="str">
        <v>-</v>
      </c>
      <c r="E7390" t="str">
        <v/>
      </c>
      <c r="F7390" t="str">
        <v>-</v>
      </c>
      <c r="G7390" t="str">
        <v>-</v>
      </c>
    </row>
    <row r="7391">
      <c r="A7391">
        <v>7390</v>
      </c>
      <c r="B7391" t="str">
        <v>UBND Ủy ban nhân dân xã An Hòa  tỉnh Vĩnh Phúc</v>
      </c>
      <c r="C7391" t="str">
        <v>-</v>
      </c>
      <c r="D7391" t="str">
        <v>-</v>
      </c>
      <c r="E7391" t="str">
        <v>-</v>
      </c>
      <c r="F7391" t="str">
        <v>-</v>
      </c>
      <c r="G7391" t="str">
        <v>-</v>
      </c>
    </row>
    <row r="7392">
      <c r="A7392">
        <v>7391</v>
      </c>
      <c r="B7392" t="str">
        <v>Công an xã Thanh Vân  tỉnh Vĩnh Phúc</v>
      </c>
      <c r="C7392" t="str">
        <v>-</v>
      </c>
      <c r="D7392" t="str">
        <v>-</v>
      </c>
      <c r="E7392" t="str">
        <v/>
      </c>
      <c r="F7392" t="str">
        <v>-</v>
      </c>
      <c r="G7392" t="str">
        <v>-</v>
      </c>
    </row>
    <row r="7393">
      <c r="A7393">
        <v>7392</v>
      </c>
      <c r="B7393" t="str">
        <v>UBND Ủy ban nhân dân xã Thanh Vân  tỉnh Vĩnh Phúc</v>
      </c>
      <c r="C7393" t="str">
        <v>-</v>
      </c>
      <c r="D7393" t="str">
        <v>-</v>
      </c>
      <c r="E7393" t="str">
        <v>-</v>
      </c>
      <c r="F7393" t="str">
        <v>-</v>
      </c>
      <c r="G7393" t="str">
        <v>-</v>
      </c>
    </row>
    <row r="7394">
      <c r="A7394">
        <v>7393</v>
      </c>
      <c r="B7394" t="str">
        <v>Công an xã Duy Phiên  tỉnh Vĩnh Phúc</v>
      </c>
      <c r="C7394" t="str">
        <v>-</v>
      </c>
      <c r="D7394" t="str">
        <v>-</v>
      </c>
      <c r="E7394" t="str">
        <v/>
      </c>
      <c r="F7394" t="str">
        <v>-</v>
      </c>
      <c r="G7394" t="str">
        <v>-</v>
      </c>
    </row>
    <row r="7395">
      <c r="A7395">
        <v>7394</v>
      </c>
      <c r="B7395" t="str">
        <v>UBND Ủy ban nhân dân xã Duy Phiên  tỉnh Vĩnh Phúc</v>
      </c>
      <c r="C7395" t="str">
        <v>-</v>
      </c>
      <c r="D7395" t="str">
        <v>-</v>
      </c>
      <c r="E7395" t="str">
        <v>-</v>
      </c>
      <c r="F7395" t="str">
        <v>-</v>
      </c>
      <c r="G7395" t="str">
        <v>-</v>
      </c>
    </row>
    <row r="7396">
      <c r="A7396">
        <v>7395</v>
      </c>
      <c r="B7396" t="str">
        <v>Công an xã Hoàng Đan  tỉnh Vĩnh Phúc</v>
      </c>
      <c r="C7396" t="str">
        <v>-</v>
      </c>
      <c r="D7396" t="str">
        <v>-</v>
      </c>
      <c r="E7396" t="str">
        <v/>
      </c>
      <c r="F7396" t="str">
        <v>-</v>
      </c>
      <c r="G7396" t="str">
        <v>-</v>
      </c>
    </row>
    <row r="7397">
      <c r="A7397">
        <v>7396</v>
      </c>
      <c r="B7397" t="str">
        <v>UBND Ủy ban nhân dân xã Hoàng Đan  tỉnh Vĩnh Phúc</v>
      </c>
      <c r="C7397" t="str">
        <v>-</v>
      </c>
      <c r="D7397" t="str">
        <v>-</v>
      </c>
      <c r="E7397" t="str">
        <v>-</v>
      </c>
      <c r="F7397" t="str">
        <v>-</v>
      </c>
      <c r="G7397" t="str">
        <v>-</v>
      </c>
    </row>
    <row r="7398">
      <c r="A7398">
        <v>7397</v>
      </c>
      <c r="B7398" t="str">
        <v>Công an xã Hoàng Lâu  tỉnh Vĩnh Phúc</v>
      </c>
      <c r="C7398" t="str">
        <v>-</v>
      </c>
      <c r="D7398" t="str">
        <v>-</v>
      </c>
      <c r="E7398" t="str">
        <v/>
      </c>
      <c r="F7398" t="str">
        <v>-</v>
      </c>
      <c r="G7398" t="str">
        <v>-</v>
      </c>
    </row>
    <row r="7399">
      <c r="A7399">
        <v>7398</v>
      </c>
      <c r="B7399" t="str">
        <v>UBND Ủy ban nhân dân xã Hoàng Lâu  tỉnh Vĩnh Phúc</v>
      </c>
      <c r="C7399" t="str">
        <v>-</v>
      </c>
      <c r="D7399" t="str">
        <v>-</v>
      </c>
      <c r="E7399" t="str">
        <v>-</v>
      </c>
      <c r="F7399" t="str">
        <v>-</v>
      </c>
      <c r="G7399" t="str">
        <v>-</v>
      </c>
    </row>
    <row r="7400">
      <c r="A7400">
        <v>7399</v>
      </c>
      <c r="B7400" t="str">
        <v>Công an xã Vân Hội  tỉnh Vĩnh Phúc</v>
      </c>
      <c r="C7400" t="str">
        <v>-</v>
      </c>
      <c r="D7400" t="str">
        <v>-</v>
      </c>
      <c r="E7400" t="str">
        <v/>
      </c>
      <c r="F7400" t="str">
        <v>-</v>
      </c>
      <c r="G7400" t="str">
        <v>-</v>
      </c>
    </row>
    <row r="7401">
      <c r="A7401">
        <v>7400</v>
      </c>
      <c r="B7401" t="str">
        <v>UBND Ủy ban nhân dân xã Vân Hội  tỉnh Vĩnh Phúc</v>
      </c>
      <c r="C7401" t="str">
        <v>-</v>
      </c>
      <c r="D7401" t="str">
        <v>-</v>
      </c>
      <c r="E7401" t="str">
        <v>-</v>
      </c>
      <c r="F7401" t="str">
        <v>-</v>
      </c>
      <c r="G7401" t="str">
        <v>-</v>
      </c>
    </row>
    <row r="7402">
      <c r="A7402">
        <v>7401</v>
      </c>
      <c r="B7402" t="str">
        <v>Công an xã Hợp Thịnh  tỉnh Vĩnh Phúc</v>
      </c>
      <c r="C7402" t="str">
        <v>-</v>
      </c>
      <c r="D7402" t="str">
        <v>-</v>
      </c>
      <c r="E7402" t="str">
        <v/>
      </c>
      <c r="F7402" t="str">
        <v>-</v>
      </c>
      <c r="G7402" t="str">
        <v>-</v>
      </c>
    </row>
    <row r="7403">
      <c r="A7403">
        <v>7402</v>
      </c>
      <c r="B7403" t="str">
        <v>UBND Ủy ban nhân dân xã Hợp Thịnh  tỉnh Vĩnh Phúc</v>
      </c>
      <c r="C7403" t="str">
        <v>-</v>
      </c>
      <c r="D7403" t="str">
        <v>-</v>
      </c>
      <c r="E7403" t="str">
        <v>-</v>
      </c>
      <c r="F7403" t="str">
        <v>-</v>
      </c>
      <c r="G7403" t="str">
        <v>-</v>
      </c>
    </row>
    <row r="7404">
      <c r="A7404">
        <v>7403</v>
      </c>
      <c r="B7404" t="str">
        <v>Công an thị trấn Tam Đảo  tỉnh Vĩnh Phúc</v>
      </c>
      <c r="C7404" t="str">
        <v>-</v>
      </c>
      <c r="D7404" t="str">
        <v>-</v>
      </c>
      <c r="E7404" t="str">
        <v/>
      </c>
      <c r="F7404" t="str">
        <v>-</v>
      </c>
      <c r="G7404" t="str">
        <v>-</v>
      </c>
    </row>
    <row r="7405">
      <c r="A7405">
        <v>7404</v>
      </c>
      <c r="B7405" t="str">
        <v>UBND Ủy ban nhân dân thị trấn Tam Đảo  tỉnh Vĩnh Phúc</v>
      </c>
      <c r="C7405" t="str">
        <v>-</v>
      </c>
      <c r="D7405" t="str">
        <v>-</v>
      </c>
      <c r="E7405" t="str">
        <v>-</v>
      </c>
      <c r="F7405" t="str">
        <v>-</v>
      </c>
      <c r="G7405" t="str">
        <v>-</v>
      </c>
    </row>
    <row r="7406">
      <c r="A7406">
        <v>7405</v>
      </c>
      <c r="B7406" t="str">
        <v>Công an xã Hợp Châu  tỉnh Vĩnh Phúc</v>
      </c>
      <c r="C7406" t="str">
        <v>-</v>
      </c>
      <c r="D7406" t="str">
        <v>-</v>
      </c>
      <c r="E7406" t="str">
        <v/>
      </c>
      <c r="F7406" t="str">
        <v>-</v>
      </c>
      <c r="G7406" t="str">
        <v>-</v>
      </c>
    </row>
    <row r="7407">
      <c r="A7407">
        <v>7406</v>
      </c>
      <c r="B7407" t="str">
        <v>UBND Ủy ban nhân dân xã Hợp Châu  tỉnh Vĩnh Phúc</v>
      </c>
      <c r="C7407" t="str">
        <v>-</v>
      </c>
      <c r="D7407" t="str">
        <v>-</v>
      </c>
      <c r="E7407" t="str">
        <v>-</v>
      </c>
      <c r="F7407" t="str">
        <v>-</v>
      </c>
      <c r="G7407" t="str">
        <v>-</v>
      </c>
    </row>
    <row r="7408">
      <c r="A7408">
        <v>7407</v>
      </c>
      <c r="B7408" t="str">
        <v>Công an xã Đạo Trù  tỉnh Vĩnh Phúc</v>
      </c>
      <c r="C7408" t="str">
        <v>-</v>
      </c>
      <c r="D7408" t="str">
        <v>-</v>
      </c>
      <c r="E7408" t="str">
        <v/>
      </c>
      <c r="F7408" t="str">
        <v>-</v>
      </c>
      <c r="G7408" t="str">
        <v>-</v>
      </c>
    </row>
    <row r="7409">
      <c r="A7409">
        <v>7408</v>
      </c>
      <c r="B7409" t="str">
        <v>UBND Ủy ban nhân dân xã Đạo Trù  tỉnh Vĩnh Phúc</v>
      </c>
      <c r="C7409" t="str">
        <v>-</v>
      </c>
      <c r="D7409" t="str">
        <v>-</v>
      </c>
      <c r="E7409" t="str">
        <v>-</v>
      </c>
      <c r="F7409" t="str">
        <v>-</v>
      </c>
      <c r="G7409" t="str">
        <v>-</v>
      </c>
    </row>
    <row r="7410">
      <c r="A7410">
        <v>7409</v>
      </c>
      <c r="B7410" t="str">
        <v>Công an xã Yên Dương  tỉnh Vĩnh Phúc</v>
      </c>
      <c r="C7410" t="str">
        <v>-</v>
      </c>
      <c r="D7410" t="str">
        <v>-</v>
      </c>
      <c r="E7410" t="str">
        <v/>
      </c>
      <c r="F7410" t="str">
        <v>-</v>
      </c>
      <c r="G7410" t="str">
        <v>-</v>
      </c>
    </row>
    <row r="7411">
      <c r="A7411">
        <v>7410</v>
      </c>
      <c r="B7411" t="str">
        <v>UBND Ủy ban nhân dân xã Yên Dương  tỉnh Vĩnh Phúc</v>
      </c>
      <c r="C7411" t="str">
        <v>-</v>
      </c>
      <c r="D7411" t="str">
        <v>-</v>
      </c>
      <c r="E7411" t="str">
        <v>-</v>
      </c>
      <c r="F7411" t="str">
        <v>-</v>
      </c>
      <c r="G7411" t="str">
        <v>-</v>
      </c>
    </row>
    <row r="7412">
      <c r="A7412">
        <v>7411</v>
      </c>
      <c r="B7412" t="str">
        <v>Công an xã Bồ Lý  tỉnh Vĩnh Phúc</v>
      </c>
      <c r="C7412" t="str">
        <v>-</v>
      </c>
      <c r="D7412" t="str">
        <v>-</v>
      </c>
      <c r="E7412" t="str">
        <v/>
      </c>
      <c r="F7412" t="str">
        <v>-</v>
      </c>
      <c r="G7412" t="str">
        <v>-</v>
      </c>
    </row>
    <row r="7413">
      <c r="A7413">
        <v>7412</v>
      </c>
      <c r="B7413" t="str">
        <v>UBND Ủy ban nhân dân xã Bồ Lý  tỉnh Vĩnh Phúc</v>
      </c>
      <c r="C7413" t="str">
        <v>-</v>
      </c>
      <c r="D7413" t="str">
        <v>-</v>
      </c>
      <c r="E7413" t="str">
        <v>-</v>
      </c>
      <c r="F7413" t="str">
        <v>-</v>
      </c>
      <c r="G7413" t="str">
        <v>-</v>
      </c>
    </row>
    <row r="7414">
      <c r="A7414">
        <v>7413</v>
      </c>
      <c r="B7414" t="str">
        <v>Công an xã Đại Đình  tỉnh Vĩnh Phúc</v>
      </c>
      <c r="C7414" t="str">
        <v>-</v>
      </c>
      <c r="D7414" t="str">
        <v>-</v>
      </c>
      <c r="E7414" t="str">
        <v/>
      </c>
      <c r="F7414" t="str">
        <v>-</v>
      </c>
      <c r="G7414" t="str">
        <v>-</v>
      </c>
    </row>
    <row r="7415">
      <c r="A7415">
        <v>7414</v>
      </c>
      <c r="B7415" t="str">
        <v>UBND Ủy ban nhân dân xã Đại Đình  tỉnh Vĩnh Phúc</v>
      </c>
      <c r="C7415" t="str">
        <v>-</v>
      </c>
      <c r="D7415" t="str">
        <v>-</v>
      </c>
      <c r="E7415" t="str">
        <v>-</v>
      </c>
      <c r="F7415" t="str">
        <v>-</v>
      </c>
      <c r="G7415" t="str">
        <v>-</v>
      </c>
    </row>
    <row r="7416">
      <c r="A7416">
        <v>7415</v>
      </c>
      <c r="B7416" t="str">
        <v>Công an xã Tam Quan  tỉnh Vĩnh Phúc</v>
      </c>
      <c r="C7416" t="str">
        <v>-</v>
      </c>
      <c r="D7416" t="str">
        <v>-</v>
      </c>
      <c r="E7416" t="str">
        <v/>
      </c>
      <c r="F7416" t="str">
        <v>-</v>
      </c>
      <c r="G7416" t="str">
        <v>-</v>
      </c>
    </row>
    <row r="7417">
      <c r="A7417">
        <v>7416</v>
      </c>
      <c r="B7417" t="str">
        <v>UBND Ủy ban nhân dân xã Tam Quan  tỉnh Vĩnh Phúc</v>
      </c>
      <c r="C7417" t="str">
        <v>-</v>
      </c>
      <c r="D7417" t="str">
        <v>-</v>
      </c>
      <c r="E7417" t="str">
        <v>-</v>
      </c>
      <c r="F7417" t="str">
        <v>-</v>
      </c>
      <c r="G7417" t="str">
        <v>-</v>
      </c>
    </row>
    <row r="7418">
      <c r="A7418">
        <v>7417</v>
      </c>
      <c r="B7418" t="str">
        <v>Công an xã Hồ Sơn  tỉnh Vĩnh Phúc</v>
      </c>
      <c r="C7418" t="str">
        <v>-</v>
      </c>
      <c r="D7418" t="str">
        <v>-</v>
      </c>
      <c r="E7418" t="str">
        <v/>
      </c>
      <c r="F7418" t="str">
        <v>-</v>
      </c>
      <c r="G7418" t="str">
        <v>-</v>
      </c>
    </row>
    <row r="7419">
      <c r="A7419">
        <v>7418</v>
      </c>
      <c r="B7419" t="str">
        <v>UBND Ủy ban nhân dân xã Hồ Sơn  tỉnh Vĩnh Phúc</v>
      </c>
      <c r="C7419" t="str">
        <v>-</v>
      </c>
      <c r="D7419" t="str">
        <v>-</v>
      </c>
      <c r="E7419" t="str">
        <v>-</v>
      </c>
      <c r="F7419" t="str">
        <v>-</v>
      </c>
      <c r="G7419" t="str">
        <v>-</v>
      </c>
    </row>
    <row r="7420">
      <c r="A7420">
        <v>7419</v>
      </c>
      <c r="B7420" t="str">
        <v>Công an xã Minh Quang  tỉnh Vĩnh Phúc</v>
      </c>
      <c r="C7420" t="str">
        <v>-</v>
      </c>
      <c r="D7420" t="str">
        <v>-</v>
      </c>
      <c r="E7420" t="str">
        <v/>
      </c>
      <c r="F7420" t="str">
        <v>-</v>
      </c>
      <c r="G7420" t="str">
        <v>-</v>
      </c>
    </row>
    <row r="7421">
      <c r="A7421">
        <v>7420</v>
      </c>
      <c r="B7421" t="str">
        <v>UBND Ủy ban nhân dân xã Minh Quang  tỉnh Vĩnh Phúc</v>
      </c>
      <c r="C7421" t="str">
        <v>-</v>
      </c>
      <c r="D7421" t="str">
        <v>-</v>
      </c>
      <c r="E7421" t="str">
        <v>-</v>
      </c>
      <c r="F7421" t="str">
        <v>-</v>
      </c>
      <c r="G7421" t="str">
        <v>-</v>
      </c>
    </row>
    <row r="7422">
      <c r="A7422">
        <v>7421</v>
      </c>
      <c r="B7422" t="str">
        <v>Công an thị trấn Hương Canh  tỉnh Vĩnh Phúc</v>
      </c>
      <c r="C7422" t="str">
        <v>-</v>
      </c>
      <c r="D7422" t="str">
        <v>-</v>
      </c>
      <c r="E7422" t="str">
        <v/>
      </c>
      <c r="F7422" t="str">
        <v>-</v>
      </c>
      <c r="G7422" t="str">
        <v>-</v>
      </c>
    </row>
    <row r="7423">
      <c r="A7423">
        <v>7422</v>
      </c>
      <c r="B7423" t="str">
        <v>UBND Ủy ban nhân dân thị trấn Hương Canh  tỉnh Vĩnh Phúc</v>
      </c>
      <c r="C7423" t="str">
        <v>-</v>
      </c>
      <c r="D7423" t="str">
        <v>-</v>
      </c>
      <c r="E7423" t="str">
        <v>-</v>
      </c>
      <c r="F7423" t="str">
        <v>-</v>
      </c>
      <c r="G7423" t="str">
        <v>-</v>
      </c>
    </row>
    <row r="7424">
      <c r="A7424">
        <v>7423</v>
      </c>
      <c r="B7424" t="str">
        <v>Công an thị trấn Gia Khánh  tỉnh Vĩnh Phúc</v>
      </c>
      <c r="C7424" t="str">
        <v>-</v>
      </c>
      <c r="D7424" t="str">
        <v>-</v>
      </c>
      <c r="E7424" t="str">
        <v/>
      </c>
      <c r="F7424" t="str">
        <v>-</v>
      </c>
      <c r="G7424" t="str">
        <v>-</v>
      </c>
    </row>
    <row r="7425">
      <c r="A7425">
        <v>7424</v>
      </c>
      <c r="B7425" t="str">
        <v>UBND Ủy ban nhân dân thị trấn Gia Khánh  tỉnh Vĩnh Phúc</v>
      </c>
      <c r="C7425" t="str">
        <v>-</v>
      </c>
      <c r="D7425" t="str">
        <v>-</v>
      </c>
      <c r="E7425" t="str">
        <v>-</v>
      </c>
      <c r="F7425" t="str">
        <v>-</v>
      </c>
      <c r="G7425" t="str">
        <v>-</v>
      </c>
    </row>
    <row r="7426">
      <c r="A7426">
        <v>7425</v>
      </c>
      <c r="B7426" t="str">
        <v>Công an xã Trung Mỹ  tỉnh Vĩnh Phúc</v>
      </c>
      <c r="C7426" t="str">
        <v>-</v>
      </c>
      <c r="D7426" t="str">
        <v>-</v>
      </c>
      <c r="E7426" t="str">
        <v/>
      </c>
      <c r="F7426" t="str">
        <v>-</v>
      </c>
      <c r="G7426" t="str">
        <v>-</v>
      </c>
    </row>
    <row r="7427">
      <c r="A7427">
        <v>7426</v>
      </c>
      <c r="B7427" t="str">
        <v>UBND Ủy ban nhân dân xã Trung Mỹ  tỉnh Vĩnh Phúc</v>
      </c>
      <c r="C7427" t="str">
        <v>-</v>
      </c>
      <c r="D7427" t="str">
        <v>-</v>
      </c>
      <c r="E7427" t="str">
        <v>-</v>
      </c>
      <c r="F7427" t="str">
        <v>-</v>
      </c>
      <c r="G7427" t="str">
        <v>-</v>
      </c>
    </row>
    <row r="7428">
      <c r="A7428">
        <v>7427</v>
      </c>
      <c r="B7428" t="str">
        <v>Công an xã Bá Hiến  tỉnh Vĩnh Phúc</v>
      </c>
      <c r="C7428" t="str">
        <v>-</v>
      </c>
      <c r="D7428" t="str">
        <v>-</v>
      </c>
      <c r="E7428" t="str">
        <v/>
      </c>
      <c r="F7428" t="str">
        <v>-</v>
      </c>
      <c r="G7428" t="str">
        <v>-</v>
      </c>
    </row>
    <row r="7429">
      <c r="A7429">
        <v>7428</v>
      </c>
      <c r="B7429" t="str">
        <v>UBND Ủy ban nhân dân xã Bá Hiến  tỉnh Vĩnh Phúc</v>
      </c>
      <c r="C7429" t="str">
        <v>-</v>
      </c>
      <c r="D7429" t="str">
        <v>-</v>
      </c>
      <c r="E7429" t="str">
        <v>-</v>
      </c>
      <c r="F7429" t="str">
        <v>-</v>
      </c>
      <c r="G7429" t="str">
        <v>-</v>
      </c>
    </row>
    <row r="7430">
      <c r="A7430">
        <v>7429</v>
      </c>
      <c r="B7430" t="str">
        <v>Công an xã Thiện Kế  tỉnh Vĩnh Phúc</v>
      </c>
      <c r="C7430" t="str">
        <v>-</v>
      </c>
      <c r="D7430" t="str">
        <v>-</v>
      </c>
      <c r="E7430" t="str">
        <v/>
      </c>
      <c r="F7430" t="str">
        <v>-</v>
      </c>
      <c r="G7430" t="str">
        <v>-</v>
      </c>
    </row>
    <row r="7431">
      <c r="A7431">
        <v>7430</v>
      </c>
      <c r="B7431" t="str">
        <v>UBND Ủy ban nhân dân xã Thiện Kế  tỉnh Vĩnh Phúc</v>
      </c>
      <c r="C7431" t="str">
        <v>-</v>
      </c>
      <c r="D7431" t="str">
        <v>-</v>
      </c>
      <c r="E7431" t="str">
        <v>-</v>
      </c>
      <c r="F7431" t="str">
        <v>-</v>
      </c>
      <c r="G7431" t="str">
        <v>-</v>
      </c>
    </row>
    <row r="7432">
      <c r="A7432">
        <v>7431</v>
      </c>
      <c r="B7432" t="str">
        <v>Công an xã Hương Sơn  tỉnh Vĩnh Phúc</v>
      </c>
      <c r="C7432" t="str">
        <v>-</v>
      </c>
      <c r="D7432" t="str">
        <v>-</v>
      </c>
      <c r="E7432" t="str">
        <v/>
      </c>
      <c r="F7432" t="str">
        <v>-</v>
      </c>
      <c r="G7432" t="str">
        <v>-</v>
      </c>
    </row>
    <row r="7433">
      <c r="A7433">
        <v>7432</v>
      </c>
      <c r="B7433" t="str">
        <v>UBND Ủy ban nhân dân xã Hương Sơn  tỉnh Vĩnh Phúc</v>
      </c>
      <c r="C7433" t="str">
        <v>-</v>
      </c>
      <c r="D7433" t="str">
        <v>-</v>
      </c>
      <c r="E7433" t="str">
        <v>-</v>
      </c>
      <c r="F7433" t="str">
        <v>-</v>
      </c>
      <c r="G7433" t="str">
        <v>-</v>
      </c>
    </row>
    <row r="7434">
      <c r="A7434">
        <v>7433</v>
      </c>
      <c r="B7434" t="str">
        <v>Công an xã Tam Hợp  tỉnh Vĩnh Phúc</v>
      </c>
      <c r="C7434" t="str">
        <v>-</v>
      </c>
      <c r="D7434" t="str">
        <v>-</v>
      </c>
      <c r="E7434" t="str">
        <v/>
      </c>
      <c r="F7434" t="str">
        <v>-</v>
      </c>
      <c r="G7434" t="str">
        <v>-</v>
      </c>
    </row>
    <row r="7435">
      <c r="A7435">
        <v>7434</v>
      </c>
      <c r="B7435" t="str">
        <v>UBND Ủy ban nhân dân xã Tam Hợp  tỉnh Vĩnh Phúc</v>
      </c>
      <c r="C7435" t="str">
        <v>-</v>
      </c>
      <c r="D7435" t="str">
        <v>-</v>
      </c>
      <c r="E7435" t="str">
        <v>-</v>
      </c>
      <c r="F7435" t="str">
        <v>-</v>
      </c>
      <c r="G7435" t="str">
        <v>-</v>
      </c>
    </row>
    <row r="7436">
      <c r="A7436">
        <v>7435</v>
      </c>
      <c r="B7436" t="str">
        <v>Công an xã Quất Lưu  tỉnh Vĩnh Phúc</v>
      </c>
      <c r="C7436" t="str">
        <v>-</v>
      </c>
      <c r="D7436" t="str">
        <v>-</v>
      </c>
      <c r="E7436" t="str">
        <v/>
      </c>
      <c r="F7436" t="str">
        <v>-</v>
      </c>
      <c r="G7436" t="str">
        <v>-</v>
      </c>
    </row>
    <row r="7437">
      <c r="A7437">
        <v>7436</v>
      </c>
      <c r="B7437" t="str">
        <v>UBND Ủy ban nhân dân xã Quất Lưu  tỉnh Vĩnh Phúc</v>
      </c>
      <c r="C7437" t="str">
        <v>-</v>
      </c>
      <c r="D7437" t="str">
        <v>-</v>
      </c>
      <c r="E7437" t="str">
        <v>-</v>
      </c>
      <c r="F7437" t="str">
        <v>-</v>
      </c>
      <c r="G7437" t="str">
        <v>-</v>
      </c>
    </row>
    <row r="7438">
      <c r="A7438">
        <v>7437</v>
      </c>
      <c r="B7438" t="str">
        <v>Công an xã Sơn Lôi  tỉnh Vĩnh Phúc</v>
      </c>
      <c r="C7438" t="str">
        <v>-</v>
      </c>
      <c r="D7438" t="str">
        <v>-</v>
      </c>
      <c r="E7438" t="str">
        <v/>
      </c>
      <c r="F7438" t="str">
        <v>-</v>
      </c>
      <c r="G7438" t="str">
        <v>-</v>
      </c>
    </row>
    <row r="7439">
      <c r="A7439">
        <v>7438</v>
      </c>
      <c r="B7439" t="str">
        <v>UBND Ủy ban nhân dân xã Sơn Lôi  tỉnh Vĩnh Phúc</v>
      </c>
      <c r="C7439" t="str">
        <v>-</v>
      </c>
      <c r="D7439" t="str">
        <v>-</v>
      </c>
      <c r="E7439" t="str">
        <v>-</v>
      </c>
      <c r="F7439" t="str">
        <v>-</v>
      </c>
      <c r="G7439" t="str">
        <v>-</v>
      </c>
    </row>
    <row r="7440">
      <c r="A7440">
        <v>7439</v>
      </c>
      <c r="B7440" t="str">
        <v>Công an xã Đạo Đức  tỉnh Vĩnh Phúc</v>
      </c>
      <c r="C7440" t="str">
        <v>-</v>
      </c>
      <c r="D7440" t="str">
        <v>-</v>
      </c>
      <c r="E7440" t="str">
        <v/>
      </c>
      <c r="F7440" t="str">
        <v>-</v>
      </c>
      <c r="G7440" t="str">
        <v>-</v>
      </c>
    </row>
    <row r="7441">
      <c r="A7441">
        <v>7440</v>
      </c>
      <c r="B7441" t="str">
        <v>UBND Ủy ban nhân dân xã Đạo Đức  tỉnh Vĩnh Phúc</v>
      </c>
      <c r="C7441" t="str">
        <v>-</v>
      </c>
      <c r="D7441" t="str">
        <v>-</v>
      </c>
      <c r="E7441" t="str">
        <v>-</v>
      </c>
      <c r="F7441" t="str">
        <v>-</v>
      </c>
      <c r="G7441" t="str">
        <v>-</v>
      </c>
    </row>
    <row r="7442">
      <c r="A7442">
        <v>7441</v>
      </c>
      <c r="B7442" t="str">
        <v>Công an xã Tân Phong  tỉnh Vĩnh Phúc</v>
      </c>
      <c r="C7442" t="str">
        <v>-</v>
      </c>
      <c r="D7442" t="str">
        <v>-</v>
      </c>
      <c r="E7442" t="str">
        <v/>
      </c>
      <c r="F7442" t="str">
        <v>-</v>
      </c>
      <c r="G7442" t="str">
        <v>-</v>
      </c>
    </row>
    <row r="7443">
      <c r="A7443">
        <v>7442</v>
      </c>
      <c r="B7443" t="str">
        <v>UBND Ủy ban nhân dân xã Tân Phong  tỉnh Vĩnh Phúc</v>
      </c>
      <c r="C7443" t="str">
        <v>-</v>
      </c>
      <c r="D7443" t="str">
        <v>-</v>
      </c>
      <c r="E7443" t="str">
        <v>-</v>
      </c>
      <c r="F7443" t="str">
        <v>-</v>
      </c>
      <c r="G7443" t="str">
        <v>-</v>
      </c>
    </row>
    <row r="7444">
      <c r="A7444">
        <v>7443</v>
      </c>
      <c r="B7444" t="str">
        <v>Công an thị trấn Thanh Lãng  tỉnh Vĩnh Phúc</v>
      </c>
      <c r="C7444" t="str">
        <v>-</v>
      </c>
      <c r="D7444" t="str">
        <v>-</v>
      </c>
      <c r="E7444" t="str">
        <v/>
      </c>
      <c r="F7444" t="str">
        <v>-</v>
      </c>
      <c r="G7444" t="str">
        <v>-</v>
      </c>
    </row>
    <row r="7445">
      <c r="A7445">
        <v>7444</v>
      </c>
      <c r="B7445" t="str">
        <v>UBND Ủy ban nhân dân thị trấn Thanh Lãng  tỉnh Vĩnh Phúc</v>
      </c>
      <c r="C7445" t="str">
        <v>-</v>
      </c>
      <c r="D7445" t="str">
        <v>-</v>
      </c>
      <c r="E7445" t="str">
        <v>-</v>
      </c>
      <c r="F7445" t="str">
        <v>-</v>
      </c>
      <c r="G7445" t="str">
        <v>-</v>
      </c>
    </row>
    <row r="7446">
      <c r="A7446">
        <v>7445</v>
      </c>
      <c r="B7446" t="str">
        <v>Công an xã Phú Xuân  tỉnh Vĩnh Phúc</v>
      </c>
      <c r="C7446" t="str">
        <v>-</v>
      </c>
      <c r="D7446" t="str">
        <v>-</v>
      </c>
      <c r="E7446" t="str">
        <v/>
      </c>
      <c r="F7446" t="str">
        <v>-</v>
      </c>
      <c r="G7446" t="str">
        <v>-</v>
      </c>
    </row>
    <row r="7447">
      <c r="A7447">
        <v>7446</v>
      </c>
      <c r="B7447" t="str">
        <v>UBND Ủy ban nhân dân xã Phú Xuân  tỉnh Vĩnh Phúc</v>
      </c>
      <c r="C7447" t="str">
        <v>-</v>
      </c>
      <c r="D7447" t="str">
        <v>-</v>
      </c>
      <c r="E7447" t="str">
        <v>-</v>
      </c>
      <c r="F7447" t="str">
        <v>-</v>
      </c>
      <c r="G7447" t="str">
        <v>-</v>
      </c>
    </row>
    <row r="7448">
      <c r="A7448">
        <v>7447</v>
      </c>
      <c r="B7448" t="str">
        <v>Công an thị trấn Yên Lạc  tỉnh Vĩnh Phúc</v>
      </c>
      <c r="C7448" t="str">
        <v>-</v>
      </c>
      <c r="D7448" t="str">
        <v>-</v>
      </c>
      <c r="E7448" t="str">
        <v/>
      </c>
      <c r="F7448" t="str">
        <v>-</v>
      </c>
      <c r="G7448" t="str">
        <v>-</v>
      </c>
    </row>
    <row r="7449">
      <c r="A7449">
        <v>7448</v>
      </c>
      <c r="B7449" t="str">
        <v>UBND Ủy ban nhân dân thị trấn Yên Lạc  tỉnh Vĩnh Phúc</v>
      </c>
      <c r="C7449" t="str">
        <v>-</v>
      </c>
      <c r="D7449" t="str">
        <v>-</v>
      </c>
      <c r="E7449" t="str">
        <v>-</v>
      </c>
      <c r="F7449" t="str">
        <v>-</v>
      </c>
      <c r="G7449" t="str">
        <v>-</v>
      </c>
    </row>
    <row r="7450">
      <c r="A7450">
        <v>7449</v>
      </c>
      <c r="B7450" t="str">
        <v>Công an xã Đồng Cương  tỉnh Vĩnh Phúc</v>
      </c>
      <c r="C7450" t="str">
        <v>-</v>
      </c>
      <c r="D7450" t="str">
        <v>-</v>
      </c>
      <c r="E7450" t="str">
        <v/>
      </c>
      <c r="F7450" t="str">
        <v>-</v>
      </c>
      <c r="G7450" t="str">
        <v>-</v>
      </c>
    </row>
    <row r="7451">
      <c r="A7451">
        <v>7450</v>
      </c>
      <c r="B7451" t="str">
        <v>UBND Ủy ban nhân dân xã Đồng Cương  tỉnh Vĩnh Phúc</v>
      </c>
      <c r="C7451" t="str">
        <v>-</v>
      </c>
      <c r="D7451" t="str">
        <v>-</v>
      </c>
      <c r="E7451" t="str">
        <v>-</v>
      </c>
      <c r="F7451" t="str">
        <v>-</v>
      </c>
      <c r="G7451" t="str">
        <v>-</v>
      </c>
    </row>
    <row r="7452">
      <c r="A7452">
        <v>7451</v>
      </c>
      <c r="B7452" t="str">
        <v>Công an xã Đồng Văn  tỉnh Vĩnh Phúc</v>
      </c>
      <c r="C7452" t="str">
        <v>-</v>
      </c>
      <c r="D7452" t="str">
        <v>-</v>
      </c>
      <c r="E7452" t="str">
        <v/>
      </c>
      <c r="F7452" t="str">
        <v>-</v>
      </c>
      <c r="G7452" t="str">
        <v>-</v>
      </c>
    </row>
    <row r="7453">
      <c r="A7453">
        <v>7452</v>
      </c>
      <c r="B7453" t="str">
        <v>UBND Ủy ban nhân dân xã Đồng Văn  tỉnh Vĩnh Phúc</v>
      </c>
      <c r="C7453" t="str">
        <v>-</v>
      </c>
      <c r="D7453" t="str">
        <v>-</v>
      </c>
      <c r="E7453" t="str">
        <v>-</v>
      </c>
      <c r="F7453" t="str">
        <v>-</v>
      </c>
      <c r="G7453" t="str">
        <v>-</v>
      </c>
    </row>
    <row r="7454">
      <c r="A7454">
        <v>7453</v>
      </c>
      <c r="B7454" t="str">
        <v>Công an xã Bình Định  tỉnh Vĩnh Phúc</v>
      </c>
      <c r="C7454" t="str">
        <v>-</v>
      </c>
      <c r="D7454" t="str">
        <v>-</v>
      </c>
      <c r="E7454" t="str">
        <v/>
      </c>
      <c r="F7454" t="str">
        <v>-</v>
      </c>
      <c r="G7454" t="str">
        <v>-</v>
      </c>
    </row>
    <row r="7455">
      <c r="A7455">
        <v>7454</v>
      </c>
      <c r="B7455" t="str">
        <v>UBND Ủy ban nhân dân xã Bình Định  tỉnh Vĩnh Phúc</v>
      </c>
      <c r="C7455" t="str">
        <v>-</v>
      </c>
      <c r="D7455" t="str">
        <v>-</v>
      </c>
      <c r="E7455" t="str">
        <v>-</v>
      </c>
      <c r="F7455" t="str">
        <v>-</v>
      </c>
      <c r="G7455" t="str">
        <v>-</v>
      </c>
    </row>
    <row r="7456">
      <c r="A7456">
        <v>7455</v>
      </c>
      <c r="B7456" t="str">
        <v>Công an xã Trung Nguyên  tỉnh Vĩnh Phúc</v>
      </c>
      <c r="C7456" t="str">
        <v>-</v>
      </c>
      <c r="D7456" t="str">
        <v>-</v>
      </c>
      <c r="E7456" t="str">
        <v/>
      </c>
      <c r="F7456" t="str">
        <v>-</v>
      </c>
      <c r="G7456" t="str">
        <v>-</v>
      </c>
    </row>
    <row r="7457">
      <c r="A7457">
        <v>7456</v>
      </c>
      <c r="B7457" t="str">
        <v>UBND Ủy ban nhân dân xã Trung Nguyên  tỉnh Vĩnh Phúc</v>
      </c>
      <c r="C7457" t="str">
        <v>-</v>
      </c>
      <c r="D7457" t="str">
        <v>-</v>
      </c>
      <c r="E7457" t="str">
        <v>-</v>
      </c>
      <c r="F7457" t="str">
        <v>-</v>
      </c>
      <c r="G7457" t="str">
        <v>-</v>
      </c>
    </row>
    <row r="7458">
      <c r="A7458">
        <v>7457</v>
      </c>
      <c r="B7458" t="str">
        <v>Công an xã Tề Lỗ  tỉnh Vĩnh Phúc</v>
      </c>
      <c r="C7458" t="str">
        <v>-</v>
      </c>
      <c r="D7458" t="str">
        <v>-</v>
      </c>
      <c r="E7458" t="str">
        <v/>
      </c>
      <c r="F7458" t="str">
        <v>-</v>
      </c>
      <c r="G7458" t="str">
        <v>-</v>
      </c>
    </row>
    <row r="7459">
      <c r="A7459">
        <v>7458</v>
      </c>
      <c r="B7459" t="str">
        <v>UBND Ủy ban nhân dân xã Tề Lỗ  tỉnh Vĩnh Phúc</v>
      </c>
      <c r="C7459" t="str">
        <v>-</v>
      </c>
      <c r="D7459" t="str">
        <v>-</v>
      </c>
      <c r="E7459" t="str">
        <v>-</v>
      </c>
      <c r="F7459" t="str">
        <v>-</v>
      </c>
      <c r="G7459" t="str">
        <v>-</v>
      </c>
    </row>
    <row r="7460">
      <c r="A7460">
        <v>7459</v>
      </c>
      <c r="B7460" t="str">
        <v>Công an xã Tam Hồng  tỉnh Vĩnh Phúc</v>
      </c>
      <c r="C7460" t="str">
        <v>-</v>
      </c>
      <c r="D7460" t="str">
        <v>-</v>
      </c>
      <c r="E7460" t="str">
        <v/>
      </c>
      <c r="F7460" t="str">
        <v>-</v>
      </c>
      <c r="G7460" t="str">
        <v>-</v>
      </c>
    </row>
    <row r="7461">
      <c r="A7461">
        <v>7460</v>
      </c>
      <c r="B7461" t="str">
        <v>UBND Ủy ban nhân dân xã Tam Hồng  tỉnh Vĩnh Phúc</v>
      </c>
      <c r="C7461" t="str">
        <v>-</v>
      </c>
      <c r="D7461" t="str">
        <v>-</v>
      </c>
      <c r="E7461" t="str">
        <v>-</v>
      </c>
      <c r="F7461" t="str">
        <v>-</v>
      </c>
      <c r="G7461" t="str">
        <v>-</v>
      </c>
    </row>
    <row r="7462">
      <c r="A7462">
        <v>7461</v>
      </c>
      <c r="B7462" t="str">
        <v>Công an xã Yên Đồng  tỉnh Vĩnh Phúc</v>
      </c>
      <c r="C7462" t="str">
        <v>-</v>
      </c>
      <c r="D7462" t="str">
        <v>-</v>
      </c>
      <c r="E7462" t="str">
        <v/>
      </c>
      <c r="F7462" t="str">
        <v>-</v>
      </c>
      <c r="G7462" t="str">
        <v>-</v>
      </c>
    </row>
    <row r="7463">
      <c r="A7463">
        <v>7462</v>
      </c>
      <c r="B7463" t="str">
        <v>UBND Ủy ban nhân dân xã Yên Đồng  tỉnh Vĩnh Phúc</v>
      </c>
      <c r="C7463" t="str">
        <v>-</v>
      </c>
      <c r="D7463" t="str">
        <v>-</v>
      </c>
      <c r="E7463" t="str">
        <v>-</v>
      </c>
      <c r="F7463" t="str">
        <v>-</v>
      </c>
      <c r="G7463" t="str">
        <v>-</v>
      </c>
    </row>
    <row r="7464">
      <c r="A7464">
        <v>7463</v>
      </c>
      <c r="B7464" t="str">
        <v>Công an xã Văn Tiến  tỉnh Vĩnh Phúc</v>
      </c>
      <c r="C7464" t="str">
        <v>-</v>
      </c>
      <c r="D7464" t="str">
        <v>-</v>
      </c>
      <c r="E7464" t="str">
        <v/>
      </c>
      <c r="F7464" t="str">
        <v>-</v>
      </c>
      <c r="G7464" t="str">
        <v>-</v>
      </c>
    </row>
    <row r="7465">
      <c r="A7465">
        <v>7464</v>
      </c>
      <c r="B7465" t="str">
        <v>UBND Ủy ban nhân dân xã Văn Tiến  tỉnh Vĩnh Phúc</v>
      </c>
      <c r="C7465" t="str">
        <v>-</v>
      </c>
      <c r="D7465" t="str">
        <v>-</v>
      </c>
      <c r="E7465" t="str">
        <v>-</v>
      </c>
      <c r="F7465" t="str">
        <v>-</v>
      </c>
      <c r="G7465" t="str">
        <v>-</v>
      </c>
    </row>
    <row r="7466">
      <c r="A7466">
        <v>7465</v>
      </c>
      <c r="B7466" t="str">
        <v>Công an xã Nguyệt Đức  tỉnh Vĩnh Phúc</v>
      </c>
      <c r="C7466" t="str">
        <v>-</v>
      </c>
      <c r="D7466" t="str">
        <v>-</v>
      </c>
      <c r="E7466" t="str">
        <v/>
      </c>
      <c r="F7466" t="str">
        <v>-</v>
      </c>
      <c r="G7466" t="str">
        <v>-</v>
      </c>
    </row>
    <row r="7467">
      <c r="A7467">
        <v>7466</v>
      </c>
      <c r="B7467" t="str">
        <v>UBND Ủy ban nhân dân xã Nguyệt Đức  tỉnh Vĩnh Phúc</v>
      </c>
      <c r="C7467" t="str">
        <v>-</v>
      </c>
      <c r="D7467" t="str">
        <v>-</v>
      </c>
      <c r="E7467" t="str">
        <v>-</v>
      </c>
      <c r="F7467" t="str">
        <v>-</v>
      </c>
      <c r="G7467" t="str">
        <v>-</v>
      </c>
    </row>
    <row r="7468">
      <c r="A7468">
        <v>7467</v>
      </c>
      <c r="B7468" t="str">
        <v>Công an xã Yên Phương  tỉnh Vĩnh Phúc</v>
      </c>
      <c r="C7468" t="str">
        <v>-</v>
      </c>
      <c r="D7468" t="str">
        <v>-</v>
      </c>
      <c r="E7468" t="str">
        <v/>
      </c>
      <c r="F7468" t="str">
        <v>-</v>
      </c>
      <c r="G7468" t="str">
        <v>-</v>
      </c>
    </row>
    <row r="7469">
      <c r="A7469">
        <v>7468</v>
      </c>
      <c r="B7469" t="str">
        <v>UBND Ủy ban nhân dân xã Yên Phương  tỉnh Vĩnh Phúc</v>
      </c>
      <c r="C7469" t="str">
        <v>-</v>
      </c>
      <c r="D7469" t="str">
        <v>-</v>
      </c>
      <c r="E7469" t="str">
        <v>-</v>
      </c>
      <c r="F7469" t="str">
        <v>-</v>
      </c>
      <c r="G7469" t="str">
        <v>-</v>
      </c>
    </row>
    <row r="7470">
      <c r="A7470">
        <v>7469</v>
      </c>
      <c r="B7470" t="str">
        <v>Công an xã Hồng Phương  tỉnh Vĩnh Phúc</v>
      </c>
      <c r="C7470" t="str">
        <v>-</v>
      </c>
      <c r="D7470" t="str">
        <v>-</v>
      </c>
      <c r="E7470" t="str">
        <v/>
      </c>
      <c r="F7470" t="str">
        <v>-</v>
      </c>
      <c r="G7470" t="str">
        <v>-</v>
      </c>
    </row>
    <row r="7471">
      <c r="A7471">
        <v>7470</v>
      </c>
      <c r="B7471" t="str">
        <v>UBND Ủy ban nhân dân xã Hồng Phương  tỉnh Vĩnh Phúc</v>
      </c>
      <c r="C7471" t="str">
        <v>-</v>
      </c>
      <c r="D7471" t="str">
        <v>-</v>
      </c>
      <c r="E7471" t="str">
        <v>-</v>
      </c>
      <c r="F7471" t="str">
        <v>-</v>
      </c>
      <c r="G7471" t="str">
        <v>-</v>
      </c>
    </row>
    <row r="7472">
      <c r="A7472">
        <v>7471</v>
      </c>
      <c r="B7472" t="str">
        <v>Công an xã Trung Kiên  tỉnh Vĩnh Phúc</v>
      </c>
      <c r="C7472" t="str">
        <v>-</v>
      </c>
      <c r="D7472" t="str">
        <v>-</v>
      </c>
      <c r="E7472" t="str">
        <v/>
      </c>
      <c r="F7472" t="str">
        <v>-</v>
      </c>
      <c r="G7472" t="str">
        <v>-</v>
      </c>
    </row>
    <row r="7473">
      <c r="A7473">
        <v>7472</v>
      </c>
      <c r="B7473" t="str">
        <v>UBND Ủy ban nhân dân xã Trung Kiên  tỉnh Vĩnh Phúc</v>
      </c>
      <c r="C7473" t="str">
        <v>-</v>
      </c>
      <c r="D7473" t="str">
        <v>-</v>
      </c>
      <c r="E7473" t="str">
        <v>-</v>
      </c>
      <c r="F7473" t="str">
        <v>-</v>
      </c>
      <c r="G7473" t="str">
        <v>-</v>
      </c>
    </row>
    <row r="7474">
      <c r="A7474">
        <v>7473</v>
      </c>
      <c r="B7474" t="str">
        <v>Công an xã Liên Châu  tỉnh Vĩnh Phúc</v>
      </c>
      <c r="C7474" t="str">
        <v>-</v>
      </c>
      <c r="D7474" t="str">
        <v>-</v>
      </c>
      <c r="E7474" t="str">
        <v/>
      </c>
      <c r="F7474" t="str">
        <v>-</v>
      </c>
      <c r="G7474" t="str">
        <v>-</v>
      </c>
    </row>
    <row r="7475">
      <c r="A7475">
        <v>7474</v>
      </c>
      <c r="B7475" t="str">
        <v>UBND Ủy ban nhân dân xã Liên Châu  tỉnh Vĩnh Phúc</v>
      </c>
      <c r="C7475" t="str">
        <v>-</v>
      </c>
      <c r="D7475" t="str">
        <v>-</v>
      </c>
      <c r="E7475" t="str">
        <v>-</v>
      </c>
      <c r="F7475" t="str">
        <v>-</v>
      </c>
      <c r="G7475" t="str">
        <v>-</v>
      </c>
    </row>
    <row r="7476">
      <c r="A7476">
        <v>7475</v>
      </c>
      <c r="B7476" t="str">
        <v>Công an xã Đại Tự  tỉnh Vĩnh Phúc</v>
      </c>
      <c r="C7476" t="str">
        <v>-</v>
      </c>
      <c r="D7476" t="str">
        <v>-</v>
      </c>
      <c r="E7476" t="str">
        <v/>
      </c>
      <c r="F7476" t="str">
        <v>-</v>
      </c>
      <c r="G7476" t="str">
        <v>-</v>
      </c>
    </row>
    <row r="7477">
      <c r="A7477">
        <v>7476</v>
      </c>
      <c r="B7477" t="str">
        <v>UBND Ủy ban nhân dân xã Đại Tự  tỉnh Vĩnh Phúc</v>
      </c>
      <c r="C7477" t="str">
        <v>-</v>
      </c>
      <c r="D7477" t="str">
        <v>-</v>
      </c>
      <c r="E7477" t="str">
        <v>-</v>
      </c>
      <c r="F7477" t="str">
        <v>-</v>
      </c>
      <c r="G7477" t="str">
        <v>-</v>
      </c>
    </row>
    <row r="7478">
      <c r="A7478">
        <v>7477</v>
      </c>
      <c r="B7478" t="str">
        <v>Công an xã Hồng Châu  tỉnh Vĩnh Phúc</v>
      </c>
      <c r="C7478" t="str">
        <v>-</v>
      </c>
      <c r="D7478" t="str">
        <v>-</v>
      </c>
      <c r="E7478" t="str">
        <v/>
      </c>
      <c r="F7478" t="str">
        <v>-</v>
      </c>
      <c r="G7478" t="str">
        <v>-</v>
      </c>
    </row>
    <row r="7479">
      <c r="A7479">
        <v>7478</v>
      </c>
      <c r="B7479" t="str">
        <v>UBND Ủy ban nhân dân xã Hồng Châu  tỉnh Vĩnh Phúc</v>
      </c>
      <c r="C7479" t="str">
        <v>-</v>
      </c>
      <c r="D7479" t="str">
        <v>-</v>
      </c>
      <c r="E7479" t="str">
        <v>-</v>
      </c>
      <c r="F7479" t="str">
        <v>-</v>
      </c>
      <c r="G7479" t="str">
        <v>-</v>
      </c>
    </row>
    <row r="7480">
      <c r="A7480">
        <v>7479</v>
      </c>
      <c r="B7480" t="str">
        <v>Công an xã Trung Hà  tỉnh Vĩnh Phúc</v>
      </c>
      <c r="C7480" t="str">
        <v>-</v>
      </c>
      <c r="D7480" t="str">
        <v>-</v>
      </c>
      <c r="E7480" t="str">
        <v/>
      </c>
      <c r="F7480" t="str">
        <v>-</v>
      </c>
      <c r="G7480" t="str">
        <v>-</v>
      </c>
    </row>
    <row r="7481">
      <c r="A7481">
        <v>7480</v>
      </c>
      <c r="B7481" t="str">
        <v>UBND Ủy ban nhân dân xã Trung Hà  tỉnh Vĩnh Phúc</v>
      </c>
      <c r="C7481" t="str">
        <v>-</v>
      </c>
      <c r="D7481" t="str">
        <v>-</v>
      </c>
      <c r="E7481" t="str">
        <v>-</v>
      </c>
      <c r="F7481" t="str">
        <v>-</v>
      </c>
      <c r="G7481" t="str">
        <v>-</v>
      </c>
    </row>
    <row r="7482">
      <c r="A7482">
        <v>7481</v>
      </c>
      <c r="B7482" t="str">
        <v>Công an thị trấn Vĩnh Tường  tỉnh Vĩnh Phúc</v>
      </c>
      <c r="C7482" t="str">
        <v>-</v>
      </c>
      <c r="D7482" t="str">
        <v>-</v>
      </c>
      <c r="E7482" t="str">
        <v/>
      </c>
      <c r="F7482" t="str">
        <v>-</v>
      </c>
      <c r="G7482" t="str">
        <v>-</v>
      </c>
    </row>
    <row r="7483">
      <c r="A7483">
        <v>7482</v>
      </c>
      <c r="B7483" t="str">
        <v>UBND Ủy ban nhân dân thị trấn Vĩnh Tường  tỉnh Vĩnh Phúc</v>
      </c>
      <c r="C7483" t="str">
        <v>-</v>
      </c>
      <c r="D7483" t="str">
        <v>-</v>
      </c>
      <c r="E7483" t="str">
        <v>-</v>
      </c>
      <c r="F7483" t="str">
        <v>-</v>
      </c>
      <c r="G7483" t="str">
        <v>-</v>
      </c>
    </row>
    <row r="7484">
      <c r="A7484">
        <v>7483</v>
      </c>
      <c r="B7484" t="str">
        <v>Công an xã Kim Xá  tỉnh Vĩnh Phúc</v>
      </c>
      <c r="C7484" t="str">
        <v>-</v>
      </c>
      <c r="D7484" t="str">
        <v>-</v>
      </c>
      <c r="E7484" t="str">
        <v/>
      </c>
      <c r="F7484" t="str">
        <v>-</v>
      </c>
      <c r="G7484" t="str">
        <v>-</v>
      </c>
    </row>
    <row r="7485">
      <c r="A7485">
        <v>7484</v>
      </c>
      <c r="B7485" t="str">
        <v>UBND Ủy ban nhân dân xã Kim Xá  tỉnh Vĩnh Phúc</v>
      </c>
      <c r="C7485" t="str">
        <v>-</v>
      </c>
      <c r="D7485" t="str">
        <v>-</v>
      </c>
      <c r="E7485" t="str">
        <v>-</v>
      </c>
      <c r="F7485" t="str">
        <v>-</v>
      </c>
      <c r="G7485" t="str">
        <v>-</v>
      </c>
    </row>
    <row r="7486">
      <c r="A7486">
        <v>7485</v>
      </c>
      <c r="B7486" t="str">
        <v>Công an xã Yên Bình  tỉnh Vĩnh Phúc</v>
      </c>
      <c r="C7486" t="str">
        <v>-</v>
      </c>
      <c r="D7486" t="str">
        <v>-</v>
      </c>
      <c r="E7486" t="str">
        <v/>
      </c>
      <c r="F7486" t="str">
        <v>-</v>
      </c>
      <c r="G7486" t="str">
        <v>-</v>
      </c>
    </row>
    <row r="7487">
      <c r="A7487">
        <v>7486</v>
      </c>
      <c r="B7487" t="str">
        <v>UBND Ủy ban nhân dân xã Yên Bình  tỉnh Vĩnh Phúc</v>
      </c>
      <c r="C7487" t="str">
        <v>-</v>
      </c>
      <c r="D7487" t="str">
        <v>-</v>
      </c>
      <c r="E7487" t="str">
        <v>-</v>
      </c>
      <c r="F7487" t="str">
        <v>-</v>
      </c>
      <c r="G7487" t="str">
        <v>-</v>
      </c>
    </row>
    <row r="7488">
      <c r="A7488">
        <v>7487</v>
      </c>
      <c r="B7488" t="str">
        <v>Công an xã Chấn Hưng  tỉnh Vĩnh Phúc</v>
      </c>
      <c r="C7488" t="str">
        <v>-</v>
      </c>
      <c r="D7488" t="str">
        <v>-</v>
      </c>
      <c r="E7488" t="str">
        <v/>
      </c>
      <c r="F7488" t="str">
        <v>-</v>
      </c>
      <c r="G7488" t="str">
        <v>-</v>
      </c>
    </row>
    <row r="7489">
      <c r="A7489">
        <v>7488</v>
      </c>
      <c r="B7489" t="str">
        <v>UBND Ủy ban nhân dân xã Chấn Hưng  tỉnh Vĩnh Phúc</v>
      </c>
      <c r="C7489" t="str">
        <v>-</v>
      </c>
      <c r="D7489" t="str">
        <v>-</v>
      </c>
      <c r="E7489" t="str">
        <v>-</v>
      </c>
      <c r="F7489" t="str">
        <v>-</v>
      </c>
      <c r="G7489" t="str">
        <v>-</v>
      </c>
    </row>
    <row r="7490">
      <c r="A7490">
        <v>7489</v>
      </c>
      <c r="B7490" t="str">
        <v>Công an xã Nghĩa Hưng  tỉnh Vĩnh Phúc</v>
      </c>
      <c r="C7490" t="str">
        <v>-</v>
      </c>
      <c r="D7490" t="str">
        <v>-</v>
      </c>
      <c r="E7490" t="str">
        <v/>
      </c>
      <c r="F7490" t="str">
        <v>-</v>
      </c>
      <c r="G7490" t="str">
        <v>-</v>
      </c>
    </row>
    <row r="7491">
      <c r="A7491">
        <v>7490</v>
      </c>
      <c r="B7491" t="str">
        <v>UBND Ủy ban nhân dân xã Nghĩa Hưng  tỉnh Vĩnh Phúc</v>
      </c>
      <c r="C7491" t="str">
        <v>-</v>
      </c>
      <c r="D7491" t="str">
        <v>-</v>
      </c>
      <c r="E7491" t="str">
        <v>-</v>
      </c>
      <c r="F7491" t="str">
        <v>-</v>
      </c>
      <c r="G7491" t="str">
        <v>-</v>
      </c>
    </row>
    <row r="7492">
      <c r="A7492">
        <v>7491</v>
      </c>
      <c r="B7492" t="str">
        <v>Công an xã Yên Lập  tỉnh Vĩnh Phúc</v>
      </c>
      <c r="C7492" t="str">
        <v>-</v>
      </c>
      <c r="D7492" t="str">
        <v>-</v>
      </c>
      <c r="E7492" t="str">
        <v/>
      </c>
      <c r="F7492" t="str">
        <v>-</v>
      </c>
      <c r="G7492" t="str">
        <v>-</v>
      </c>
    </row>
    <row r="7493">
      <c r="A7493">
        <v>7492</v>
      </c>
      <c r="B7493" t="str">
        <v>UBND Ủy ban nhân dân xã Yên Lập  tỉnh Vĩnh Phúc</v>
      </c>
      <c r="C7493" t="str">
        <v>-</v>
      </c>
      <c r="D7493" t="str">
        <v>-</v>
      </c>
      <c r="E7493" t="str">
        <v>-</v>
      </c>
      <c r="F7493" t="str">
        <v>-</v>
      </c>
      <c r="G7493" t="str">
        <v>-</v>
      </c>
    </row>
    <row r="7494">
      <c r="A7494">
        <v>7493</v>
      </c>
      <c r="B7494" t="str">
        <v>Công an xã Việt Xuân  tỉnh Vĩnh Phúc</v>
      </c>
      <c r="C7494" t="str">
        <v>-</v>
      </c>
      <c r="D7494" t="str">
        <v>-</v>
      </c>
      <c r="E7494" t="str">
        <v/>
      </c>
      <c r="F7494" t="str">
        <v>-</v>
      </c>
      <c r="G7494" t="str">
        <v>-</v>
      </c>
    </row>
    <row r="7495">
      <c r="A7495">
        <v>7494</v>
      </c>
      <c r="B7495" t="str">
        <v>UBND Ủy ban nhân dân xã Việt Xuân  tỉnh Vĩnh Phúc</v>
      </c>
      <c r="C7495" t="str">
        <v>-</v>
      </c>
      <c r="D7495" t="str">
        <v>-</v>
      </c>
      <c r="E7495" t="str">
        <v>-</v>
      </c>
      <c r="F7495" t="str">
        <v>-</v>
      </c>
      <c r="G7495" t="str">
        <v>-</v>
      </c>
    </row>
    <row r="7496">
      <c r="A7496">
        <v>7495</v>
      </c>
      <c r="B7496" t="str">
        <v>Công an xã Bồ Sao  tỉnh Vĩnh Phúc</v>
      </c>
      <c r="C7496" t="str">
        <v>-</v>
      </c>
      <c r="D7496" t="str">
        <v>-</v>
      </c>
      <c r="E7496" t="str">
        <v/>
      </c>
      <c r="F7496" t="str">
        <v>-</v>
      </c>
      <c r="G7496" t="str">
        <v>-</v>
      </c>
    </row>
    <row r="7497">
      <c r="A7497">
        <v>7496</v>
      </c>
      <c r="B7497" t="str">
        <v>UBND Ủy ban nhân dân xã Bồ Sao  tỉnh Vĩnh Phúc</v>
      </c>
      <c r="C7497" t="str">
        <v>-</v>
      </c>
      <c r="D7497" t="str">
        <v>-</v>
      </c>
      <c r="E7497" t="str">
        <v>-</v>
      </c>
      <c r="F7497" t="str">
        <v>-</v>
      </c>
      <c r="G7497" t="str">
        <v>-</v>
      </c>
    </row>
    <row r="7498">
      <c r="A7498">
        <v>7497</v>
      </c>
      <c r="B7498" t="str">
        <v>Công an xã Đại Đồng  tỉnh Vĩnh Phúc</v>
      </c>
      <c r="C7498" t="str">
        <v>-</v>
      </c>
      <c r="D7498" t="str">
        <v>-</v>
      </c>
      <c r="E7498" t="str">
        <v/>
      </c>
      <c r="F7498" t="str">
        <v>-</v>
      </c>
      <c r="G7498" t="str">
        <v>-</v>
      </c>
    </row>
    <row r="7499">
      <c r="A7499">
        <v>7498</v>
      </c>
      <c r="B7499" t="str">
        <v>UBND Ủy ban nhân dân xã Đại Đồng  tỉnh Vĩnh Phúc</v>
      </c>
      <c r="C7499" t="str">
        <v>-</v>
      </c>
      <c r="D7499" t="str">
        <v>-</v>
      </c>
      <c r="E7499" t="str">
        <v>-</v>
      </c>
      <c r="F7499" t="str">
        <v>-</v>
      </c>
      <c r="G7499" t="str">
        <v>-</v>
      </c>
    </row>
    <row r="7500">
      <c r="A7500">
        <v>7499</v>
      </c>
      <c r="B7500" t="str">
        <v>Công an xã Tân Tiến  tỉnh Vĩnh Phúc</v>
      </c>
      <c r="C7500" t="str">
        <v>-</v>
      </c>
      <c r="D7500" t="str">
        <v>-</v>
      </c>
      <c r="E7500" t="str">
        <v/>
      </c>
      <c r="F7500" t="str">
        <v>-</v>
      </c>
      <c r="G7500" t="str">
        <v>-</v>
      </c>
    </row>
    <row r="7501">
      <c r="A7501">
        <v>7500</v>
      </c>
      <c r="B7501" t="str">
        <v>UBND Ủy ban nhân dân xã Tân Tiến  tỉnh Vĩnh Phúc</v>
      </c>
      <c r="C7501" t="str">
        <v>-</v>
      </c>
      <c r="D7501" t="str">
        <v>-</v>
      </c>
      <c r="E7501" t="str">
        <v>-</v>
      </c>
      <c r="F7501" t="str">
        <v>-</v>
      </c>
      <c r="G7501" t="str">
        <v>-</v>
      </c>
    </row>
    <row r="7502">
      <c r="A7502">
        <v>7501</v>
      </c>
      <c r="B7502" t="str">
        <v>Công an xã Lũng Hoà  tỉnh Vĩnh Phúc</v>
      </c>
      <c r="C7502" t="str">
        <v>-</v>
      </c>
      <c r="D7502" t="str">
        <v>-</v>
      </c>
      <c r="E7502" t="str">
        <v/>
      </c>
      <c r="F7502" t="str">
        <v>-</v>
      </c>
      <c r="G7502" t="str">
        <v>-</v>
      </c>
    </row>
    <row r="7503">
      <c r="A7503">
        <v>7502</v>
      </c>
      <c r="B7503" t="str">
        <v>UBND Ủy ban nhân dân xã Lũng Hoà  tỉnh Vĩnh Phúc</v>
      </c>
      <c r="C7503" t="str">
        <v>-</v>
      </c>
      <c r="D7503" t="str">
        <v>-</v>
      </c>
      <c r="E7503" t="str">
        <v>-</v>
      </c>
      <c r="F7503" t="str">
        <v>-</v>
      </c>
      <c r="G7503" t="str">
        <v>-</v>
      </c>
    </row>
    <row r="7504">
      <c r="A7504">
        <v>7503</v>
      </c>
      <c r="B7504" t="str">
        <v>Công an xã Cao Đại  tỉnh Vĩnh Phúc</v>
      </c>
      <c r="C7504" t="str">
        <v>-</v>
      </c>
      <c r="D7504" t="str">
        <v>-</v>
      </c>
      <c r="E7504" t="str">
        <v/>
      </c>
      <c r="F7504" t="str">
        <v>-</v>
      </c>
      <c r="G7504" t="str">
        <v>-</v>
      </c>
    </row>
    <row r="7505">
      <c r="A7505">
        <v>7504</v>
      </c>
      <c r="B7505" t="str">
        <v>UBND Ủy ban nhân dân xã Cao Đại  tỉnh Vĩnh Phúc</v>
      </c>
      <c r="C7505" t="str">
        <v>-</v>
      </c>
      <c r="D7505" t="str">
        <v>-</v>
      </c>
      <c r="E7505" t="str">
        <v>-</v>
      </c>
      <c r="F7505" t="str">
        <v>-</v>
      </c>
      <c r="G7505" t="str">
        <v>-</v>
      </c>
    </row>
    <row r="7506">
      <c r="A7506">
        <v>7505</v>
      </c>
      <c r="B7506" t="str">
        <v>Công an thị trấn Thổ Tang  tỉnh Vĩnh Phúc</v>
      </c>
      <c r="C7506" t="str">
        <v>-</v>
      </c>
      <c r="D7506" t="str">
        <v>-</v>
      </c>
      <c r="E7506" t="str">
        <v/>
      </c>
      <c r="F7506" t="str">
        <v>-</v>
      </c>
      <c r="G7506" t="str">
        <v>-</v>
      </c>
    </row>
    <row r="7507">
      <c r="A7507">
        <v>7506</v>
      </c>
      <c r="B7507" t="str">
        <v>UBND Ủy ban nhân dân thị trấn Thổ Tang  tỉnh Vĩnh Phúc</v>
      </c>
      <c r="C7507" t="str">
        <v>-</v>
      </c>
      <c r="D7507" t="str">
        <v>-</v>
      </c>
      <c r="E7507" t="str">
        <v>-</v>
      </c>
      <c r="F7507" t="str">
        <v>-</v>
      </c>
      <c r="G7507" t="str">
        <v>-</v>
      </c>
    </row>
    <row r="7508">
      <c r="A7508">
        <v>7507</v>
      </c>
      <c r="B7508" t="str">
        <v>Công an xã Vĩnh Sơn  tỉnh Vĩnh Phúc</v>
      </c>
      <c r="C7508" t="str">
        <v>-</v>
      </c>
      <c r="D7508" t="str">
        <v>-</v>
      </c>
      <c r="E7508" t="str">
        <v/>
      </c>
      <c r="F7508" t="str">
        <v>-</v>
      </c>
      <c r="G7508" t="str">
        <v>-</v>
      </c>
    </row>
    <row r="7509">
      <c r="A7509">
        <v>7508</v>
      </c>
      <c r="B7509" t="str">
        <v>UBND Ủy ban nhân dân xã Vĩnh Sơn  tỉnh Vĩnh Phúc</v>
      </c>
      <c r="C7509" t="str">
        <v>-</v>
      </c>
      <c r="D7509" t="str">
        <v>-</v>
      </c>
      <c r="E7509" t="str">
        <v>-</v>
      </c>
      <c r="F7509" t="str">
        <v>-</v>
      </c>
      <c r="G7509" t="str">
        <v>-</v>
      </c>
    </row>
    <row r="7510">
      <c r="A7510">
        <v>7509</v>
      </c>
      <c r="B7510" t="str">
        <v>Công an xã Bình Dương  tỉnh Vĩnh Phúc</v>
      </c>
      <c r="C7510" t="str">
        <v>-</v>
      </c>
      <c r="D7510" t="str">
        <v>-</v>
      </c>
      <c r="E7510" t="str">
        <v/>
      </c>
      <c r="F7510" t="str">
        <v>-</v>
      </c>
      <c r="G7510" t="str">
        <v>-</v>
      </c>
    </row>
    <row r="7511">
      <c r="A7511">
        <v>7510</v>
      </c>
      <c r="B7511" t="str">
        <v>UBND Ủy ban nhân dân xã Bình Dương  tỉnh Vĩnh Phúc</v>
      </c>
      <c r="C7511" t="str">
        <v>-</v>
      </c>
      <c r="D7511" t="str">
        <v>-</v>
      </c>
      <c r="E7511" t="str">
        <v>-</v>
      </c>
      <c r="F7511" t="str">
        <v>-</v>
      </c>
      <c r="G7511" t="str">
        <v>-</v>
      </c>
    </row>
    <row r="7512">
      <c r="A7512">
        <v>7511</v>
      </c>
      <c r="B7512" t="str">
        <v>Công an xã Tân Cương  tỉnh Vĩnh Phúc</v>
      </c>
      <c r="C7512" t="str">
        <v>-</v>
      </c>
      <c r="D7512" t="str">
        <v>-</v>
      </c>
      <c r="E7512" t="str">
        <v/>
      </c>
      <c r="F7512" t="str">
        <v>-</v>
      </c>
      <c r="G7512" t="str">
        <v>-</v>
      </c>
    </row>
    <row r="7513">
      <c r="A7513">
        <v>7512</v>
      </c>
      <c r="B7513" t="str">
        <v>UBND Ủy ban nhân dân xã Tân Cương  tỉnh Vĩnh Phúc</v>
      </c>
      <c r="C7513" t="str">
        <v>-</v>
      </c>
      <c r="D7513" t="str">
        <v>-</v>
      </c>
      <c r="E7513" t="str">
        <v>-</v>
      </c>
      <c r="F7513" t="str">
        <v>-</v>
      </c>
      <c r="G7513" t="str">
        <v>-</v>
      </c>
    </row>
    <row r="7514">
      <c r="A7514">
        <v>7513</v>
      </c>
      <c r="B7514" t="str">
        <v>Công an xã Phú Thịnh  tỉnh Vĩnh Phúc</v>
      </c>
      <c r="C7514" t="str">
        <v>-</v>
      </c>
      <c r="D7514" t="str">
        <v>-</v>
      </c>
      <c r="E7514" t="str">
        <v/>
      </c>
      <c r="F7514" t="str">
        <v>-</v>
      </c>
      <c r="G7514" t="str">
        <v>-</v>
      </c>
    </row>
    <row r="7515">
      <c r="A7515">
        <v>7514</v>
      </c>
      <c r="B7515" t="str">
        <v>UBND Ủy ban nhân dân xã Phú Thịnh  tỉnh Vĩnh Phúc</v>
      </c>
      <c r="C7515" t="str">
        <v>-</v>
      </c>
      <c r="D7515" t="str">
        <v>-</v>
      </c>
      <c r="E7515" t="str">
        <v>-</v>
      </c>
      <c r="F7515" t="str">
        <v>-</v>
      </c>
      <c r="G7515" t="str">
        <v>-</v>
      </c>
    </row>
    <row r="7516">
      <c r="A7516">
        <v>7515</v>
      </c>
      <c r="B7516" t="str">
        <v>Công an xã Thượng Trưng  tỉnh Vĩnh Phúc</v>
      </c>
      <c r="C7516" t="str">
        <v>-</v>
      </c>
      <c r="D7516" t="str">
        <v>-</v>
      </c>
      <c r="E7516" t="str">
        <v/>
      </c>
      <c r="F7516" t="str">
        <v>-</v>
      </c>
      <c r="G7516" t="str">
        <v>-</v>
      </c>
    </row>
    <row r="7517">
      <c r="A7517">
        <v>7516</v>
      </c>
      <c r="B7517" t="str">
        <v>UBND Ủy ban nhân dân xã Thượng Trưng  tỉnh Vĩnh Phúc</v>
      </c>
      <c r="C7517" t="str">
        <v>-</v>
      </c>
      <c r="D7517" t="str">
        <v>-</v>
      </c>
      <c r="E7517" t="str">
        <v>-</v>
      </c>
      <c r="F7517" t="str">
        <v>-</v>
      </c>
      <c r="G7517" t="str">
        <v>-</v>
      </c>
    </row>
    <row r="7518">
      <c r="A7518">
        <v>7517</v>
      </c>
      <c r="B7518" t="str">
        <v>Công an xã Vũ Di  tỉnh Vĩnh Phúc</v>
      </c>
      <c r="C7518" t="str">
        <v>-</v>
      </c>
      <c r="D7518" t="str">
        <v>-</v>
      </c>
      <c r="E7518" t="str">
        <v/>
      </c>
      <c r="F7518" t="str">
        <v>-</v>
      </c>
      <c r="G7518" t="str">
        <v>-</v>
      </c>
    </row>
    <row r="7519">
      <c r="A7519">
        <v>7518</v>
      </c>
      <c r="B7519" t="str">
        <v>UBND Ủy ban nhân dân xã Vũ Di  tỉnh Vĩnh Phúc</v>
      </c>
      <c r="C7519" t="str">
        <v>-</v>
      </c>
      <c r="D7519" t="str">
        <v>-</v>
      </c>
      <c r="E7519" t="str">
        <v>-</v>
      </c>
      <c r="F7519" t="str">
        <v>-</v>
      </c>
      <c r="G7519" t="str">
        <v>-</v>
      </c>
    </row>
    <row r="7520">
      <c r="A7520">
        <v>7519</v>
      </c>
      <c r="B7520" t="str">
        <v>Công an xã Lý Nhân  tỉnh Vĩnh Phúc</v>
      </c>
      <c r="C7520" t="str">
        <v>-</v>
      </c>
      <c r="D7520" t="str">
        <v>-</v>
      </c>
      <c r="E7520" t="str">
        <v/>
      </c>
      <c r="F7520" t="str">
        <v>-</v>
      </c>
      <c r="G7520" t="str">
        <v>-</v>
      </c>
    </row>
    <row r="7521">
      <c r="A7521">
        <v>7520</v>
      </c>
      <c r="B7521" t="str">
        <v>UBND Ủy ban nhân dân xã Lý Nhân  tỉnh Vĩnh Phúc</v>
      </c>
      <c r="C7521" t="str">
        <v>-</v>
      </c>
      <c r="D7521" t="str">
        <v>-</v>
      </c>
      <c r="E7521" t="str">
        <v>-</v>
      </c>
      <c r="F7521" t="str">
        <v>-</v>
      </c>
      <c r="G7521" t="str">
        <v>-</v>
      </c>
    </row>
    <row r="7522">
      <c r="A7522">
        <v>7521</v>
      </c>
      <c r="B7522" t="str">
        <v>Công an xã Tuân Chính  tỉnh Vĩnh Phúc</v>
      </c>
      <c r="C7522" t="str">
        <v>-</v>
      </c>
      <c r="D7522" t="str">
        <v>-</v>
      </c>
      <c r="E7522" t="str">
        <v/>
      </c>
      <c r="F7522" t="str">
        <v>-</v>
      </c>
      <c r="G7522" t="str">
        <v>-</v>
      </c>
    </row>
    <row r="7523">
      <c r="A7523">
        <v>7522</v>
      </c>
      <c r="B7523" t="str">
        <v>UBND Ủy ban nhân dân xã Tuân Chính  tỉnh Vĩnh Phúc</v>
      </c>
      <c r="C7523" t="str">
        <v>-</v>
      </c>
      <c r="D7523" t="str">
        <v>-</v>
      </c>
      <c r="E7523" t="str">
        <v>-</v>
      </c>
      <c r="F7523" t="str">
        <v>-</v>
      </c>
      <c r="G7523" t="str">
        <v>-</v>
      </c>
    </row>
    <row r="7524">
      <c r="A7524">
        <v>7523</v>
      </c>
      <c r="B7524" t="str">
        <v>Công an xã Vân Xuân  tỉnh Vĩnh Phúc</v>
      </c>
      <c r="C7524" t="str">
        <v>-</v>
      </c>
      <c r="D7524" t="str">
        <v>-</v>
      </c>
      <c r="E7524" t="str">
        <v/>
      </c>
      <c r="F7524" t="str">
        <v>-</v>
      </c>
      <c r="G7524" t="str">
        <v>-</v>
      </c>
    </row>
    <row r="7525">
      <c r="A7525">
        <v>7524</v>
      </c>
      <c r="B7525" t="str">
        <v>UBND Ủy ban nhân dân xã Vân Xuân  tỉnh Vĩnh Phúc</v>
      </c>
      <c r="C7525" t="str">
        <v>-</v>
      </c>
      <c r="D7525" t="str">
        <v>-</v>
      </c>
      <c r="E7525" t="str">
        <v>-</v>
      </c>
      <c r="F7525" t="str">
        <v>-</v>
      </c>
      <c r="G7525" t="str">
        <v>-</v>
      </c>
    </row>
    <row r="7526">
      <c r="A7526">
        <v>7525</v>
      </c>
      <c r="B7526" t="str">
        <v>Công an xã Tam Phúc  tỉnh Vĩnh Phúc</v>
      </c>
      <c r="C7526" t="str">
        <v>-</v>
      </c>
      <c r="D7526" t="str">
        <v>-</v>
      </c>
      <c r="E7526" t="str">
        <v/>
      </c>
      <c r="F7526" t="str">
        <v>-</v>
      </c>
      <c r="G7526" t="str">
        <v>-</v>
      </c>
    </row>
    <row r="7527">
      <c r="A7527">
        <v>7526</v>
      </c>
      <c r="B7527" t="str">
        <v>UBND Ủy ban nhân dân xã Tam Phúc  tỉnh Vĩnh Phúc</v>
      </c>
      <c r="C7527" t="str">
        <v>-</v>
      </c>
      <c r="D7527" t="str">
        <v>-</v>
      </c>
      <c r="E7527" t="str">
        <v>-</v>
      </c>
      <c r="F7527" t="str">
        <v>-</v>
      </c>
      <c r="G7527" t="str">
        <v>-</v>
      </c>
    </row>
    <row r="7528">
      <c r="A7528">
        <v>7527</v>
      </c>
      <c r="B7528" t="str">
        <v>Công an thị trấn Tứ Trưng  tỉnh Vĩnh Phúc</v>
      </c>
      <c r="C7528" t="str">
        <v>-</v>
      </c>
      <c r="D7528" t="str">
        <v>-</v>
      </c>
      <c r="E7528" t="str">
        <v/>
      </c>
      <c r="F7528" t="str">
        <v>-</v>
      </c>
      <c r="G7528" t="str">
        <v>-</v>
      </c>
    </row>
    <row r="7529">
      <c r="A7529">
        <v>7528</v>
      </c>
      <c r="B7529" t="str">
        <v>UBND Ủy ban nhân dân thị trấn Tứ Trưng  tỉnh Vĩnh Phúc</v>
      </c>
      <c r="C7529" t="str">
        <v>-</v>
      </c>
      <c r="D7529" t="str">
        <v>-</v>
      </c>
      <c r="E7529" t="str">
        <v>-</v>
      </c>
      <c r="F7529" t="str">
        <v>-</v>
      </c>
      <c r="G7529" t="str">
        <v>-</v>
      </c>
    </row>
    <row r="7530">
      <c r="A7530">
        <v>7529</v>
      </c>
      <c r="B7530" t="str">
        <v>Công an xã Ngũ Kiên  tỉnh Vĩnh Phúc</v>
      </c>
      <c r="C7530" t="str">
        <v>-</v>
      </c>
      <c r="D7530" t="str">
        <v>-</v>
      </c>
      <c r="E7530" t="str">
        <v/>
      </c>
      <c r="F7530" t="str">
        <v>-</v>
      </c>
      <c r="G7530" t="str">
        <v>-</v>
      </c>
    </row>
    <row r="7531">
      <c r="A7531">
        <v>7530</v>
      </c>
      <c r="B7531" t="str">
        <v>UBND Ủy ban nhân dân xã Ngũ Kiên  tỉnh Vĩnh Phúc</v>
      </c>
      <c r="C7531" t="str">
        <v>-</v>
      </c>
      <c r="D7531" t="str">
        <v>-</v>
      </c>
      <c r="E7531" t="str">
        <v>-</v>
      </c>
      <c r="F7531" t="str">
        <v>-</v>
      </c>
      <c r="G7531" t="str">
        <v>-</v>
      </c>
    </row>
    <row r="7532">
      <c r="A7532">
        <v>7531</v>
      </c>
      <c r="B7532" t="str">
        <v>Công an xã An Tường  tỉnh Vĩnh Phúc</v>
      </c>
      <c r="C7532" t="str">
        <v>-</v>
      </c>
      <c r="D7532" t="str">
        <v>-</v>
      </c>
      <c r="E7532" t="str">
        <v/>
      </c>
      <c r="F7532" t="str">
        <v>-</v>
      </c>
      <c r="G7532" t="str">
        <v>-</v>
      </c>
    </row>
    <row r="7533">
      <c r="A7533">
        <v>7532</v>
      </c>
      <c r="B7533" t="str">
        <v>UBND Ủy ban nhân dân xã An Tường  tỉnh Vĩnh Phúc</v>
      </c>
      <c r="C7533" t="str">
        <v>-</v>
      </c>
      <c r="D7533" t="str">
        <v>-</v>
      </c>
      <c r="E7533" t="str">
        <v>-</v>
      </c>
      <c r="F7533" t="str">
        <v>-</v>
      </c>
      <c r="G7533" t="str">
        <v>-</v>
      </c>
    </row>
    <row r="7534">
      <c r="A7534">
        <v>7533</v>
      </c>
      <c r="B7534" t="str">
        <v>Công an xã Vĩnh Thịnh  tỉnh Vĩnh Phúc</v>
      </c>
      <c r="C7534" t="str">
        <v>-</v>
      </c>
      <c r="D7534" t="str">
        <v>-</v>
      </c>
      <c r="E7534" t="str">
        <v/>
      </c>
      <c r="F7534" t="str">
        <v>-</v>
      </c>
      <c r="G7534" t="str">
        <v>-</v>
      </c>
    </row>
    <row r="7535">
      <c r="A7535">
        <v>7534</v>
      </c>
      <c r="B7535" t="str">
        <v>UBND Ủy ban nhân dân xã Vĩnh Thịnh  tỉnh Vĩnh Phúc</v>
      </c>
      <c r="C7535" t="str">
        <v>-</v>
      </c>
      <c r="D7535" t="str">
        <v>-</v>
      </c>
      <c r="E7535" t="str">
        <v>-</v>
      </c>
      <c r="F7535" t="str">
        <v>-</v>
      </c>
      <c r="G7535" t="str">
        <v>-</v>
      </c>
    </row>
    <row r="7536">
      <c r="A7536">
        <v>7535</v>
      </c>
      <c r="B7536" t="str">
        <v>Công an xã Phú Đa  tỉnh Vĩnh Phúc</v>
      </c>
      <c r="C7536" t="str">
        <v>-</v>
      </c>
      <c r="D7536" t="str">
        <v>-</v>
      </c>
      <c r="E7536" t="str">
        <v/>
      </c>
      <c r="F7536" t="str">
        <v>-</v>
      </c>
      <c r="G7536" t="str">
        <v>-</v>
      </c>
    </row>
    <row r="7537">
      <c r="A7537">
        <v>7536</v>
      </c>
      <c r="B7537" t="str">
        <v>UBND Ủy ban nhân dân xã Phú Đa  tỉnh Vĩnh Phúc</v>
      </c>
      <c r="C7537" t="str">
        <v>-</v>
      </c>
      <c r="D7537" t="str">
        <v>-</v>
      </c>
      <c r="E7537" t="str">
        <v>-</v>
      </c>
      <c r="F7537" t="str">
        <v>-</v>
      </c>
      <c r="G7537" t="str">
        <v>-</v>
      </c>
    </row>
    <row r="7538">
      <c r="A7538">
        <v>7537</v>
      </c>
      <c r="B7538" t="str">
        <v>Công an xã Vĩnh Ninh  tỉnh Vĩnh Phúc</v>
      </c>
      <c r="C7538" t="str">
        <v>-</v>
      </c>
      <c r="D7538" t="str">
        <v>-</v>
      </c>
      <c r="E7538" t="str">
        <v/>
      </c>
      <c r="F7538" t="str">
        <v>-</v>
      </c>
      <c r="G7538" t="str">
        <v>-</v>
      </c>
    </row>
    <row r="7539">
      <c r="A7539">
        <v>7538</v>
      </c>
      <c r="B7539" t="str">
        <v>UBND Ủy ban nhân dân xã Vĩnh Ninh  tỉnh Vĩnh Phúc</v>
      </c>
      <c r="C7539" t="str">
        <v>-</v>
      </c>
      <c r="D7539" t="str">
        <v>-</v>
      </c>
      <c r="E7539" t="str">
        <v>-</v>
      </c>
      <c r="F7539" t="str">
        <v>-</v>
      </c>
      <c r="G7539" t="str">
        <v>-</v>
      </c>
    </row>
    <row r="7540">
      <c r="A7540">
        <v>7539</v>
      </c>
      <c r="B7540" t="str">
        <v>Công an xã Lãng Công  tỉnh Vĩnh Phúc</v>
      </c>
      <c r="C7540" t="str">
        <v>-</v>
      </c>
      <c r="D7540" t="str">
        <v>-</v>
      </c>
      <c r="E7540" t="str">
        <v/>
      </c>
      <c r="F7540" t="str">
        <v>-</v>
      </c>
      <c r="G7540" t="str">
        <v>-</v>
      </c>
    </row>
    <row r="7541">
      <c r="A7541">
        <v>7540</v>
      </c>
      <c r="B7541" t="str">
        <v>UBND Ủy ban nhân dân xã Lãng Công  tỉnh Vĩnh Phúc</v>
      </c>
      <c r="C7541" t="str">
        <v>-</v>
      </c>
      <c r="D7541" t="str">
        <v>-</v>
      </c>
      <c r="E7541" t="str">
        <v>-</v>
      </c>
      <c r="F7541" t="str">
        <v>-</v>
      </c>
      <c r="G7541" t="str">
        <v>-</v>
      </c>
    </row>
    <row r="7542">
      <c r="A7542">
        <v>7541</v>
      </c>
      <c r="B7542" t="str">
        <v>Công an xã Quang Yên  tỉnh Vĩnh Phúc</v>
      </c>
      <c r="C7542" t="str">
        <v>-</v>
      </c>
      <c r="D7542" t="str">
        <v>-</v>
      </c>
      <c r="E7542" t="str">
        <v/>
      </c>
      <c r="F7542" t="str">
        <v>-</v>
      </c>
      <c r="G7542" t="str">
        <v>-</v>
      </c>
    </row>
    <row r="7543">
      <c r="A7543">
        <v>7542</v>
      </c>
      <c r="B7543" t="str">
        <v>UBND Ủy ban nhân dân xã Quang Yên  tỉnh Vĩnh Phúc</v>
      </c>
      <c r="C7543" t="str">
        <v>-</v>
      </c>
      <c r="D7543" t="str">
        <v>-</v>
      </c>
      <c r="E7543" t="str">
        <v>-</v>
      </c>
      <c r="F7543" t="str">
        <v>-</v>
      </c>
      <c r="G7543" t="str">
        <v>-</v>
      </c>
    </row>
    <row r="7544">
      <c r="A7544">
        <v>7543</v>
      </c>
      <c r="B7544" t="str">
        <v>Công an xã Bạch Lưu  tỉnh Vĩnh Phúc</v>
      </c>
      <c r="C7544" t="str">
        <v>-</v>
      </c>
      <c r="D7544" t="str">
        <v>-</v>
      </c>
      <c r="E7544" t="str">
        <v/>
      </c>
      <c r="F7544" t="str">
        <v>-</v>
      </c>
      <c r="G7544" t="str">
        <v>-</v>
      </c>
    </row>
    <row r="7545">
      <c r="A7545">
        <v>7544</v>
      </c>
      <c r="B7545" t="str">
        <v>UBND Ủy ban nhân dân xã Bạch Lưu  tỉnh Vĩnh Phúc</v>
      </c>
      <c r="C7545" t="str">
        <v>-</v>
      </c>
      <c r="D7545" t="str">
        <v>-</v>
      </c>
      <c r="E7545" t="str">
        <v>-</v>
      </c>
      <c r="F7545" t="str">
        <v>-</v>
      </c>
      <c r="G7545" t="str">
        <v>-</v>
      </c>
    </row>
    <row r="7546">
      <c r="A7546">
        <v>7545</v>
      </c>
      <c r="B7546" t="str">
        <v>Công an xã Hải Lựu  tỉnh Vĩnh Phúc</v>
      </c>
      <c r="C7546" t="str">
        <v>-</v>
      </c>
      <c r="D7546" t="str">
        <v>-</v>
      </c>
      <c r="E7546" t="str">
        <v/>
      </c>
      <c r="F7546" t="str">
        <v>-</v>
      </c>
      <c r="G7546" t="str">
        <v>-</v>
      </c>
    </row>
    <row r="7547">
      <c r="A7547">
        <v>7546</v>
      </c>
      <c r="B7547" t="str">
        <v>UBND Ủy ban nhân dân xã Hải Lựu  tỉnh Vĩnh Phúc</v>
      </c>
      <c r="C7547" t="str">
        <v>-</v>
      </c>
      <c r="D7547" t="str">
        <v>-</v>
      </c>
      <c r="E7547" t="str">
        <v>-</v>
      </c>
      <c r="F7547" t="str">
        <v>-</v>
      </c>
      <c r="G7547" t="str">
        <v>-</v>
      </c>
    </row>
    <row r="7548">
      <c r="A7548">
        <v>7547</v>
      </c>
      <c r="B7548" t="str">
        <v>Công an xã Đồng Quế  tỉnh Vĩnh Phúc</v>
      </c>
      <c r="C7548" t="str">
        <v>-</v>
      </c>
      <c r="D7548" t="str">
        <v>-</v>
      </c>
      <c r="E7548" t="str">
        <v/>
      </c>
      <c r="F7548" t="str">
        <v>-</v>
      </c>
      <c r="G7548" t="str">
        <v>-</v>
      </c>
    </row>
    <row r="7549">
      <c r="A7549">
        <v>7548</v>
      </c>
      <c r="B7549" t="str">
        <v>UBND Ủy ban nhân dân xã Đồng Quế  tỉnh Vĩnh Phúc</v>
      </c>
      <c r="C7549" t="str">
        <v>-</v>
      </c>
      <c r="D7549" t="str">
        <v>-</v>
      </c>
      <c r="E7549" t="str">
        <v>-</v>
      </c>
      <c r="F7549" t="str">
        <v>-</v>
      </c>
      <c r="G7549" t="str">
        <v>-</v>
      </c>
    </row>
    <row r="7550">
      <c r="A7550">
        <v>7549</v>
      </c>
      <c r="B7550" t="str">
        <v>Công an xã Nhân Đạo  tỉnh Vĩnh Phúc</v>
      </c>
      <c r="C7550" t="str">
        <v>-</v>
      </c>
      <c r="D7550" t="str">
        <v>-</v>
      </c>
      <c r="E7550" t="str">
        <v/>
      </c>
      <c r="F7550" t="str">
        <v>-</v>
      </c>
      <c r="G7550" t="str">
        <v>-</v>
      </c>
    </row>
    <row r="7551">
      <c r="A7551">
        <v>7550</v>
      </c>
      <c r="B7551" t="str">
        <v>UBND Ủy ban nhân dân xã Nhân Đạo  tỉnh Vĩnh Phúc</v>
      </c>
      <c r="C7551" t="str">
        <v>-</v>
      </c>
      <c r="D7551" t="str">
        <v>-</v>
      </c>
      <c r="E7551" t="str">
        <v>-</v>
      </c>
      <c r="F7551" t="str">
        <v>-</v>
      </c>
      <c r="G7551" t="str">
        <v>-</v>
      </c>
    </row>
    <row r="7552">
      <c r="A7552">
        <v>7551</v>
      </c>
      <c r="B7552" t="str">
        <v>Công an xã Đôn Nhân  tỉnh Vĩnh Phúc</v>
      </c>
      <c r="C7552" t="str">
        <v>-</v>
      </c>
      <c r="D7552" t="str">
        <v>-</v>
      </c>
      <c r="E7552" t="str">
        <v/>
      </c>
      <c r="F7552" t="str">
        <v>-</v>
      </c>
      <c r="G7552" t="str">
        <v>-</v>
      </c>
    </row>
    <row r="7553">
      <c r="A7553">
        <v>7552</v>
      </c>
      <c r="B7553" t="str">
        <v>UBND Ủy ban nhân dân xã Đôn Nhân  tỉnh Vĩnh Phúc</v>
      </c>
      <c r="C7553" t="str">
        <v>-</v>
      </c>
      <c r="D7553" t="str">
        <v>-</v>
      </c>
      <c r="E7553" t="str">
        <v>-</v>
      </c>
      <c r="F7553" t="str">
        <v>-</v>
      </c>
      <c r="G7553" t="str">
        <v>-</v>
      </c>
    </row>
    <row r="7554">
      <c r="A7554">
        <v>7553</v>
      </c>
      <c r="B7554" t="str">
        <v>Công an xã Phương Khoan  tỉnh Vĩnh Phúc</v>
      </c>
      <c r="C7554" t="str">
        <v>-</v>
      </c>
      <c r="D7554" t="str">
        <v>-</v>
      </c>
      <c r="E7554" t="str">
        <v/>
      </c>
      <c r="F7554" t="str">
        <v>-</v>
      </c>
      <c r="G7554" t="str">
        <v>-</v>
      </c>
    </row>
    <row r="7555">
      <c r="A7555">
        <v>7554</v>
      </c>
      <c r="B7555" t="str">
        <v>UBND Ủy ban nhân dân xã Phương Khoan  tỉnh Vĩnh Phúc</v>
      </c>
      <c r="C7555" t="str">
        <v>-</v>
      </c>
      <c r="D7555" t="str">
        <v>-</v>
      </c>
      <c r="E7555" t="str">
        <v>-</v>
      </c>
      <c r="F7555" t="str">
        <v>-</v>
      </c>
      <c r="G7555" t="str">
        <v>-</v>
      </c>
    </row>
    <row r="7556">
      <c r="A7556">
        <v>7555</v>
      </c>
      <c r="B7556" t="str">
        <v>Công an xã Tân Lập  tỉnh Vĩnh Phúc</v>
      </c>
      <c r="C7556" t="str">
        <v>-</v>
      </c>
      <c r="D7556" t="str">
        <v>-</v>
      </c>
      <c r="E7556" t="str">
        <v/>
      </c>
      <c r="F7556" t="str">
        <v>-</v>
      </c>
      <c r="G7556" t="str">
        <v>-</v>
      </c>
    </row>
    <row r="7557">
      <c r="A7557">
        <v>7556</v>
      </c>
      <c r="B7557" t="str">
        <v>UBND Ủy ban nhân dân xã Tân Lập  tỉnh Vĩnh Phúc</v>
      </c>
      <c r="C7557" t="str">
        <v>-</v>
      </c>
      <c r="D7557" t="str">
        <v>-</v>
      </c>
      <c r="E7557" t="str">
        <v>-</v>
      </c>
      <c r="F7557" t="str">
        <v>-</v>
      </c>
      <c r="G7557" t="str">
        <v>-</v>
      </c>
    </row>
    <row r="7558">
      <c r="A7558">
        <v>7557</v>
      </c>
      <c r="B7558" t="str">
        <v>Công an xã Nhạo Sơn  tỉnh Vĩnh Phúc</v>
      </c>
      <c r="C7558" t="str">
        <v>-</v>
      </c>
      <c r="D7558" t="str">
        <v>-</v>
      </c>
      <c r="E7558" t="str">
        <v/>
      </c>
      <c r="F7558" t="str">
        <v>-</v>
      </c>
      <c r="G7558" t="str">
        <v>-</v>
      </c>
    </row>
    <row r="7559">
      <c r="A7559">
        <v>7558</v>
      </c>
      <c r="B7559" t="str">
        <v>UBND Ủy ban nhân dân xã Nhạo Sơn  tỉnh Vĩnh Phúc</v>
      </c>
      <c r="C7559" t="str">
        <v>-</v>
      </c>
      <c r="D7559" t="str">
        <v>-</v>
      </c>
      <c r="E7559" t="str">
        <v>-</v>
      </c>
      <c r="F7559" t="str">
        <v>-</v>
      </c>
      <c r="G7559" t="str">
        <v>-</v>
      </c>
    </row>
    <row r="7560">
      <c r="A7560">
        <v>7559</v>
      </c>
      <c r="B7560" t="str">
        <v>Công an thị trấn Tam Sơn  tỉnh Vĩnh Phúc</v>
      </c>
      <c r="C7560" t="str">
        <v>-</v>
      </c>
      <c r="D7560" t="str">
        <v>-</v>
      </c>
      <c r="E7560" t="str">
        <v/>
      </c>
      <c r="F7560" t="str">
        <v>-</v>
      </c>
      <c r="G7560" t="str">
        <v>-</v>
      </c>
    </row>
    <row r="7561">
      <c r="A7561">
        <v>7560</v>
      </c>
      <c r="B7561" t="str">
        <v>UBND Ủy ban nhân dân thị trấn Tam Sơn  tỉnh Vĩnh Phúc</v>
      </c>
      <c r="C7561" t="str">
        <v>-</v>
      </c>
      <c r="D7561" t="str">
        <v>-</v>
      </c>
      <c r="E7561" t="str">
        <v>-</v>
      </c>
      <c r="F7561" t="str">
        <v>-</v>
      </c>
      <c r="G7561" t="str">
        <v>-</v>
      </c>
    </row>
    <row r="7562">
      <c r="A7562">
        <v>7561</v>
      </c>
      <c r="B7562" t="str">
        <v>Công an xã Như Thụy  tỉnh Vĩnh Phúc</v>
      </c>
      <c r="C7562" t="str">
        <v>-</v>
      </c>
      <c r="D7562" t="str">
        <v>-</v>
      </c>
      <c r="E7562" t="str">
        <v/>
      </c>
      <c r="F7562" t="str">
        <v>-</v>
      </c>
      <c r="G7562" t="str">
        <v>-</v>
      </c>
    </row>
    <row r="7563">
      <c r="A7563">
        <v>7562</v>
      </c>
      <c r="B7563" t="str">
        <v>UBND Ủy ban nhân dân xã Như Thụy  tỉnh Vĩnh Phúc</v>
      </c>
      <c r="C7563" t="str">
        <v>-</v>
      </c>
      <c r="D7563" t="str">
        <v>-</v>
      </c>
      <c r="E7563" t="str">
        <v>-</v>
      </c>
      <c r="F7563" t="str">
        <v>-</v>
      </c>
      <c r="G7563" t="str">
        <v>-</v>
      </c>
    </row>
    <row r="7564">
      <c r="A7564">
        <v>7563</v>
      </c>
      <c r="B7564" t="str">
        <v>Công an xã Yên Thạch  tỉnh Vĩnh Phúc</v>
      </c>
      <c r="C7564" t="str">
        <v>-</v>
      </c>
      <c r="D7564" t="str">
        <v>-</v>
      </c>
      <c r="E7564" t="str">
        <v/>
      </c>
      <c r="F7564" t="str">
        <v>-</v>
      </c>
      <c r="G7564" t="str">
        <v>-</v>
      </c>
    </row>
    <row r="7565">
      <c r="A7565">
        <v>7564</v>
      </c>
      <c r="B7565" t="str">
        <v>UBND Ủy ban nhân dân xã Yên Thạch  tỉnh Vĩnh Phúc</v>
      </c>
      <c r="C7565" t="str">
        <v>-</v>
      </c>
      <c r="D7565" t="str">
        <v>-</v>
      </c>
      <c r="E7565" t="str">
        <v>-</v>
      </c>
      <c r="F7565" t="str">
        <v>-</v>
      </c>
      <c r="G7565" t="str">
        <v>-</v>
      </c>
    </row>
    <row r="7566">
      <c r="A7566">
        <v>7565</v>
      </c>
      <c r="B7566" t="str">
        <v>Công an xã Đồng Thịnh  tỉnh Vĩnh Phúc</v>
      </c>
      <c r="C7566" t="str">
        <v>-</v>
      </c>
      <c r="D7566" t="str">
        <v>-</v>
      </c>
      <c r="E7566" t="str">
        <v/>
      </c>
      <c r="F7566" t="str">
        <v>-</v>
      </c>
      <c r="G7566" t="str">
        <v>-</v>
      </c>
    </row>
    <row r="7567">
      <c r="A7567">
        <v>7566</v>
      </c>
      <c r="B7567" t="str">
        <v>UBND Ủy ban nhân dân xã Đồng Thịnh  tỉnh Vĩnh Phúc</v>
      </c>
      <c r="C7567" t="str">
        <v>-</v>
      </c>
      <c r="D7567" t="str">
        <v>-</v>
      </c>
      <c r="E7567" t="str">
        <v>-</v>
      </c>
      <c r="F7567" t="str">
        <v>-</v>
      </c>
      <c r="G7567" t="str">
        <v>-</v>
      </c>
    </row>
    <row r="7568">
      <c r="A7568">
        <v>7567</v>
      </c>
      <c r="B7568" t="str">
        <v>Công an xã Tứ Yên  tỉnh Vĩnh Phúc</v>
      </c>
      <c r="C7568" t="str">
        <v>-</v>
      </c>
      <c r="D7568" t="str">
        <v>-</v>
      </c>
      <c r="E7568" t="str">
        <v/>
      </c>
      <c r="F7568" t="str">
        <v>-</v>
      </c>
      <c r="G7568" t="str">
        <v>-</v>
      </c>
    </row>
    <row r="7569">
      <c r="A7569">
        <v>7568</v>
      </c>
      <c r="B7569" t="str">
        <v>UBND Ủy ban nhân dân xã Tứ Yên  tỉnh Vĩnh Phúc</v>
      </c>
      <c r="C7569" t="str">
        <v>-</v>
      </c>
      <c r="D7569" t="str">
        <v>-</v>
      </c>
      <c r="E7569" t="str">
        <v>-</v>
      </c>
      <c r="F7569" t="str">
        <v>-</v>
      </c>
      <c r="G7569" t="str">
        <v>-</v>
      </c>
    </row>
    <row r="7570">
      <c r="A7570">
        <v>7569</v>
      </c>
      <c r="B7570" t="str">
        <v>Công an xã Đức Bác  tỉnh Vĩnh Phúc</v>
      </c>
      <c r="C7570" t="str">
        <v>-</v>
      </c>
      <c r="D7570" t="str">
        <v>-</v>
      </c>
      <c r="E7570" t="str">
        <v/>
      </c>
      <c r="F7570" t="str">
        <v>-</v>
      </c>
      <c r="G7570" t="str">
        <v>-</v>
      </c>
    </row>
    <row r="7571">
      <c r="A7571">
        <v>7570</v>
      </c>
      <c r="B7571" t="str">
        <v>UBND Ủy ban nhân dân xã Đức Bác  tỉnh Vĩnh Phúc</v>
      </c>
      <c r="C7571" t="str">
        <v>-</v>
      </c>
      <c r="D7571" t="str">
        <v>-</v>
      </c>
      <c r="E7571" t="str">
        <v>-</v>
      </c>
      <c r="F7571" t="str">
        <v>-</v>
      </c>
      <c r="G7571" t="str">
        <v>-</v>
      </c>
    </row>
    <row r="7572">
      <c r="A7572">
        <v>7571</v>
      </c>
      <c r="B7572" t="str">
        <v>Công an xã Cao Phong  tỉnh Vĩnh Phúc</v>
      </c>
      <c r="C7572" t="str">
        <v>-</v>
      </c>
      <c r="D7572" t="str">
        <v>-</v>
      </c>
      <c r="E7572" t="str">
        <v/>
      </c>
      <c r="F7572" t="str">
        <v>-</v>
      </c>
      <c r="G7572" t="str">
        <v>-</v>
      </c>
    </row>
    <row r="7573">
      <c r="A7573">
        <v>7572</v>
      </c>
      <c r="B7573" t="str">
        <v>UBND Ủy ban nhân dân xã Cao Phong  tỉnh Vĩnh Phúc</v>
      </c>
      <c r="C7573" t="str">
        <v>-</v>
      </c>
      <c r="D7573" t="str">
        <v>-</v>
      </c>
      <c r="E7573" t="str">
        <v>-</v>
      </c>
      <c r="F7573" t="str">
        <v>-</v>
      </c>
      <c r="G7573" t="str">
        <v>-</v>
      </c>
    </row>
    <row r="7574">
      <c r="A7574">
        <v>7573</v>
      </c>
      <c r="B7574" t="str">
        <v>Công an phường Vũ Ninh  tỉnh Bắc Ninh</v>
      </c>
      <c r="C7574" t="str">
        <v>-</v>
      </c>
      <c r="D7574" t="str">
        <v>-</v>
      </c>
      <c r="E7574" t="str">
        <v/>
      </c>
      <c r="F7574" t="str">
        <v>-</v>
      </c>
      <c r="G7574" t="str">
        <v>-</v>
      </c>
    </row>
    <row r="7575">
      <c r="A7575">
        <v>7574</v>
      </c>
      <c r="B7575" t="str">
        <v>UBND Ủy ban nhân dân phường Vũ Ninh  tỉnh Bắc Ninh</v>
      </c>
      <c r="C7575" t="str">
        <v>-</v>
      </c>
      <c r="D7575" t="str">
        <v>-</v>
      </c>
      <c r="E7575" t="str">
        <v>-</v>
      </c>
      <c r="F7575" t="str">
        <v>-</v>
      </c>
      <c r="G7575" t="str">
        <v>-</v>
      </c>
    </row>
    <row r="7576">
      <c r="A7576">
        <v>7575</v>
      </c>
      <c r="B7576" t="str">
        <v>Công an phường Đáp Cầu  tỉnh Bắc Ninh</v>
      </c>
      <c r="C7576" t="str">
        <v>-</v>
      </c>
      <c r="D7576" t="str">
        <v>-</v>
      </c>
      <c r="E7576" t="str">
        <v/>
      </c>
      <c r="F7576" t="str">
        <v>-</v>
      </c>
      <c r="G7576" t="str">
        <v>-</v>
      </c>
    </row>
    <row r="7577">
      <c r="A7577">
        <v>7576</v>
      </c>
      <c r="B7577" t="str">
        <v>UBND Ủy ban nhân dân phường Đáp Cầu  tỉnh Bắc Ninh</v>
      </c>
      <c r="C7577" t="str">
        <v>-</v>
      </c>
      <c r="D7577" t="str">
        <v>-</v>
      </c>
      <c r="E7577" t="str">
        <v>-</v>
      </c>
      <c r="F7577" t="str">
        <v>-</v>
      </c>
      <c r="G7577" t="str">
        <v>-</v>
      </c>
    </row>
    <row r="7578">
      <c r="A7578">
        <v>7577</v>
      </c>
      <c r="B7578" t="str">
        <v>Công an phường Thị Cầu  tỉnh Bắc Ninh</v>
      </c>
      <c r="C7578" t="str">
        <v>-</v>
      </c>
      <c r="D7578" t="str">
        <v>-</v>
      </c>
      <c r="E7578" t="str">
        <v/>
      </c>
      <c r="F7578" t="str">
        <v>-</v>
      </c>
      <c r="G7578" t="str">
        <v>-</v>
      </c>
    </row>
    <row r="7579">
      <c r="A7579">
        <v>7578</v>
      </c>
      <c r="B7579" t="str">
        <v>UBND Ủy ban nhân dân phường Thị Cầu  tỉnh Bắc Ninh</v>
      </c>
      <c r="C7579" t="str">
        <v>-</v>
      </c>
      <c r="D7579" t="str">
        <v>-</v>
      </c>
      <c r="E7579" t="str">
        <v>-</v>
      </c>
      <c r="F7579" t="str">
        <v>-</v>
      </c>
      <c r="G7579" t="str">
        <v>-</v>
      </c>
    </row>
    <row r="7580">
      <c r="A7580">
        <v>7579</v>
      </c>
      <c r="B7580" t="str">
        <v>Công an phường Kinh Bắc  tỉnh Bắc Ninh</v>
      </c>
      <c r="C7580" t="str">
        <v>-</v>
      </c>
      <c r="D7580" t="str">
        <v>-</v>
      </c>
      <c r="E7580" t="str">
        <v/>
      </c>
      <c r="F7580" t="str">
        <v>-</v>
      </c>
      <c r="G7580" t="str">
        <v>-</v>
      </c>
    </row>
    <row r="7581">
      <c r="A7581">
        <v>7580</v>
      </c>
      <c r="B7581" t="str">
        <v>UBND Ủy ban nhân dân phường Kinh Bắc  tỉnh Bắc Ninh</v>
      </c>
      <c r="C7581" t="str">
        <v>-</v>
      </c>
      <c r="D7581" t="str">
        <v>-</v>
      </c>
      <c r="E7581" t="str">
        <v>-</v>
      </c>
      <c r="F7581" t="str">
        <v>-</v>
      </c>
      <c r="G7581" t="str">
        <v>-</v>
      </c>
    </row>
    <row r="7582">
      <c r="A7582">
        <v>7581</v>
      </c>
      <c r="B7582" t="str">
        <v>Công an phường Vệ An  tỉnh Bắc Ninh</v>
      </c>
      <c r="C7582" t="str">
        <v>-</v>
      </c>
      <c r="D7582" t="str">
        <v>-</v>
      </c>
      <c r="E7582" t="str">
        <v/>
      </c>
      <c r="F7582" t="str">
        <v>-</v>
      </c>
      <c r="G7582" t="str">
        <v>-</v>
      </c>
    </row>
    <row r="7583">
      <c r="A7583">
        <v>7582</v>
      </c>
      <c r="B7583" t="str">
        <v>UBND Ủy ban nhân dân phường Vệ An  tỉnh Bắc Ninh</v>
      </c>
      <c r="C7583" t="str">
        <v>-</v>
      </c>
      <c r="D7583" t="str">
        <v>-</v>
      </c>
      <c r="E7583" t="str">
        <v>-</v>
      </c>
      <c r="F7583" t="str">
        <v>-</v>
      </c>
      <c r="G7583" t="str">
        <v>-</v>
      </c>
    </row>
    <row r="7584">
      <c r="A7584">
        <v>7583</v>
      </c>
      <c r="B7584" t="str">
        <v>Công an phường Tiền An  tỉnh Bắc Ninh</v>
      </c>
      <c r="C7584" t="str">
        <v>-</v>
      </c>
      <c r="D7584" t="str">
        <v>-</v>
      </c>
      <c r="E7584" t="str">
        <v/>
      </c>
      <c r="F7584" t="str">
        <v>-</v>
      </c>
      <c r="G7584" t="str">
        <v>-</v>
      </c>
    </row>
    <row r="7585">
      <c r="A7585">
        <v>7584</v>
      </c>
      <c r="B7585" t="str">
        <v>UBND Ủy ban nhân dân phường Tiền An  tỉnh Bắc Ninh</v>
      </c>
      <c r="C7585" t="str">
        <v>-</v>
      </c>
      <c r="D7585" t="str">
        <v>-</v>
      </c>
      <c r="E7585" t="str">
        <v>-</v>
      </c>
      <c r="F7585" t="str">
        <v>-</v>
      </c>
      <c r="G7585" t="str">
        <v>-</v>
      </c>
    </row>
    <row r="7586">
      <c r="A7586">
        <v>7585</v>
      </c>
      <c r="B7586" t="str">
        <v>Công an phường Đại Phúc  tỉnh Bắc Ninh</v>
      </c>
      <c r="C7586" t="str">
        <v>-</v>
      </c>
      <c r="D7586" t="str">
        <v>-</v>
      </c>
      <c r="E7586" t="str">
        <v/>
      </c>
      <c r="F7586" t="str">
        <v>-</v>
      </c>
      <c r="G7586" t="str">
        <v>-</v>
      </c>
    </row>
    <row r="7587">
      <c r="A7587">
        <v>7586</v>
      </c>
      <c r="B7587" t="str">
        <v>UBND Ủy ban nhân dân phường Đại Phúc  tỉnh Bắc Ninh</v>
      </c>
      <c r="C7587" t="str">
        <v>-</v>
      </c>
      <c r="D7587" t="str">
        <v>-</v>
      </c>
      <c r="E7587" t="str">
        <v>-</v>
      </c>
      <c r="F7587" t="str">
        <v>-</v>
      </c>
      <c r="G7587" t="str">
        <v>-</v>
      </c>
    </row>
    <row r="7588">
      <c r="A7588">
        <v>7587</v>
      </c>
      <c r="B7588" t="str">
        <v>Công an phường Ninh Xá  tỉnh Bắc Ninh</v>
      </c>
      <c r="C7588" t="str">
        <v>-</v>
      </c>
      <c r="D7588" t="str">
        <v>-</v>
      </c>
      <c r="E7588" t="str">
        <v/>
      </c>
      <c r="F7588" t="str">
        <v>-</v>
      </c>
      <c r="G7588" t="str">
        <v>-</v>
      </c>
    </row>
    <row r="7589">
      <c r="A7589">
        <v>7588</v>
      </c>
      <c r="B7589" t="str">
        <v>UBND Ủy ban nhân dân phường Ninh Xá  tỉnh Bắc Ninh</v>
      </c>
      <c r="C7589" t="str">
        <v>-</v>
      </c>
      <c r="D7589" t="str">
        <v>-</v>
      </c>
      <c r="E7589" t="str">
        <v>-</v>
      </c>
      <c r="F7589" t="str">
        <v>-</v>
      </c>
      <c r="G7589" t="str">
        <v>-</v>
      </c>
    </row>
    <row r="7590">
      <c r="A7590">
        <v>7589</v>
      </c>
      <c r="B7590" t="str">
        <v>Công an phường Suối Hoa  tỉnh Bắc Ninh</v>
      </c>
      <c r="C7590" t="str">
        <v>-</v>
      </c>
      <c r="D7590" t="str">
        <v>-</v>
      </c>
      <c r="E7590" t="str">
        <v/>
      </c>
      <c r="F7590" t="str">
        <v>-</v>
      </c>
      <c r="G7590" t="str">
        <v>-</v>
      </c>
    </row>
    <row r="7591">
      <c r="A7591">
        <v>7590</v>
      </c>
      <c r="B7591" t="str">
        <v>UBND Ủy ban nhân dân phường Suối Hoa  tỉnh Bắc Ninh</v>
      </c>
      <c r="C7591" t="str">
        <v>-</v>
      </c>
      <c r="D7591" t="str">
        <v>-</v>
      </c>
      <c r="E7591" t="str">
        <v>-</v>
      </c>
      <c r="F7591" t="str">
        <v>-</v>
      </c>
      <c r="G7591" t="str">
        <v>-</v>
      </c>
    </row>
    <row r="7592">
      <c r="A7592">
        <v>7591</v>
      </c>
      <c r="B7592" t="str">
        <v>Công an phường Võ Cường  tỉnh Bắc Ninh</v>
      </c>
      <c r="C7592" t="str">
        <v>-</v>
      </c>
      <c r="D7592" t="str">
        <v>-</v>
      </c>
      <c r="E7592" t="str">
        <v/>
      </c>
      <c r="F7592" t="str">
        <v>-</v>
      </c>
      <c r="G7592" t="str">
        <v>-</v>
      </c>
    </row>
    <row r="7593">
      <c r="A7593">
        <v>7592</v>
      </c>
      <c r="B7593" t="str">
        <v>UBND Ủy ban nhân dân phường Võ Cường  tỉnh Bắc Ninh</v>
      </c>
      <c r="C7593" t="str">
        <v>-</v>
      </c>
      <c r="D7593" t="str">
        <v>-</v>
      </c>
      <c r="E7593" t="str">
        <v>-</v>
      </c>
      <c r="F7593" t="str">
        <v>-</v>
      </c>
      <c r="G7593" t="str">
        <v>-</v>
      </c>
    </row>
    <row r="7594">
      <c r="A7594">
        <v>7593</v>
      </c>
      <c r="B7594" t="str">
        <v>Công an xã Hòa Long  tỉnh Bắc Ninh</v>
      </c>
      <c r="C7594" t="str">
        <v>-</v>
      </c>
      <c r="D7594" t="str">
        <v>-</v>
      </c>
      <c r="E7594" t="str">
        <v/>
      </c>
      <c r="F7594" t="str">
        <v>-</v>
      </c>
      <c r="G7594" t="str">
        <v>-</v>
      </c>
    </row>
    <row r="7595">
      <c r="A7595">
        <v>7594</v>
      </c>
      <c r="B7595" t="str">
        <v>UBND Ủy ban nhân dân xã Hòa Long  tỉnh Bắc Ninh</v>
      </c>
      <c r="C7595" t="str">
        <v>-</v>
      </c>
      <c r="D7595" t="str">
        <v>-</v>
      </c>
      <c r="E7595" t="str">
        <v>-</v>
      </c>
      <c r="F7595" t="str">
        <v>-</v>
      </c>
      <c r="G7595" t="str">
        <v>-</v>
      </c>
    </row>
    <row r="7596">
      <c r="A7596">
        <v>7595</v>
      </c>
      <c r="B7596" t="str">
        <v>Công an phường Vạn An  tỉnh Bắc Ninh</v>
      </c>
      <c r="C7596" t="str">
        <v>-</v>
      </c>
      <c r="D7596" t="str">
        <v>-</v>
      </c>
      <c r="E7596" t="str">
        <v/>
      </c>
      <c r="F7596" t="str">
        <v>-</v>
      </c>
      <c r="G7596" t="str">
        <v>-</v>
      </c>
    </row>
    <row r="7597">
      <c r="A7597">
        <v>7596</v>
      </c>
      <c r="B7597" t="str">
        <v>UBND Ủy ban nhân dân phường Vạn An  tỉnh Bắc Ninh</v>
      </c>
      <c r="C7597" t="str">
        <v>-</v>
      </c>
      <c r="D7597" t="str">
        <v>-</v>
      </c>
      <c r="E7597" t="str">
        <v>-</v>
      </c>
      <c r="F7597" t="str">
        <v>-</v>
      </c>
      <c r="G7597" t="str">
        <v>-</v>
      </c>
    </row>
    <row r="7598">
      <c r="A7598">
        <v>7597</v>
      </c>
      <c r="B7598" t="str">
        <v>Công an phường Khúc Xuyên  tỉnh Bắc Ninh</v>
      </c>
      <c r="C7598" t="str">
        <v>-</v>
      </c>
      <c r="D7598" t="str">
        <v>-</v>
      </c>
      <c r="E7598" t="str">
        <v/>
      </c>
      <c r="F7598" t="str">
        <v>-</v>
      </c>
      <c r="G7598" t="str">
        <v>-</v>
      </c>
    </row>
    <row r="7599">
      <c r="A7599">
        <v>7598</v>
      </c>
      <c r="B7599" t="str">
        <v>UBND Ủy ban nhân dân phường Khúc Xuyên  tỉnh Bắc Ninh</v>
      </c>
      <c r="C7599" t="str">
        <v>-</v>
      </c>
      <c r="D7599" t="str">
        <v>-</v>
      </c>
      <c r="E7599" t="str">
        <v>-</v>
      </c>
      <c r="F7599" t="str">
        <v>-</v>
      </c>
      <c r="G7599" t="str">
        <v>-</v>
      </c>
    </row>
    <row r="7600">
      <c r="A7600">
        <v>7599</v>
      </c>
      <c r="B7600" t="str">
        <v>Công an phường Phong Khê  tỉnh Bắc Ninh</v>
      </c>
      <c r="C7600" t="str">
        <v>-</v>
      </c>
      <c r="D7600" t="str">
        <v>-</v>
      </c>
      <c r="E7600" t="str">
        <v/>
      </c>
      <c r="F7600" t="str">
        <v>-</v>
      </c>
      <c r="G7600" t="str">
        <v>-</v>
      </c>
    </row>
    <row r="7601">
      <c r="A7601">
        <v>7600</v>
      </c>
      <c r="B7601" t="str">
        <v>UBND Ủy ban nhân dân phường Phong Khê  tỉnh Bắc Ninh</v>
      </c>
      <c r="C7601" t="str">
        <v>-</v>
      </c>
      <c r="D7601" t="str">
        <v>-</v>
      </c>
      <c r="E7601" t="str">
        <v>-</v>
      </c>
      <c r="F7601" t="str">
        <v>-</v>
      </c>
      <c r="G7601" t="str">
        <v>-</v>
      </c>
    </row>
    <row r="7602">
      <c r="A7602">
        <v>7601</v>
      </c>
      <c r="B7602" t="str">
        <v>Công an xã Kim Chân  tỉnh Bắc Ninh</v>
      </c>
      <c r="C7602" t="str">
        <v>-</v>
      </c>
      <c r="D7602" t="str">
        <v>-</v>
      </c>
      <c r="E7602" t="str">
        <v/>
      </c>
      <c r="F7602" t="str">
        <v>-</v>
      </c>
      <c r="G7602" t="str">
        <v>-</v>
      </c>
    </row>
    <row r="7603">
      <c r="A7603">
        <v>7602</v>
      </c>
      <c r="B7603" t="str">
        <v>UBND Ủy ban nhân dân xã Kim Chân  tỉnh Bắc Ninh</v>
      </c>
      <c r="C7603" t="str">
        <v>-</v>
      </c>
      <c r="D7603" t="str">
        <v>-</v>
      </c>
      <c r="E7603" t="str">
        <v>-</v>
      </c>
      <c r="F7603" t="str">
        <v>-</v>
      </c>
      <c r="G7603" t="str">
        <v>-</v>
      </c>
    </row>
    <row r="7604">
      <c r="A7604">
        <v>7603</v>
      </c>
      <c r="B7604" t="str">
        <v>Công an phường Vân Dương  tỉnh Bắc Ninh</v>
      </c>
      <c r="C7604" t="str">
        <v>-</v>
      </c>
      <c r="D7604" t="str">
        <v>-</v>
      </c>
      <c r="E7604" t="str">
        <v/>
      </c>
      <c r="F7604" t="str">
        <v>-</v>
      </c>
      <c r="G7604" t="str">
        <v>-</v>
      </c>
    </row>
    <row r="7605">
      <c r="A7605">
        <v>7604</v>
      </c>
      <c r="B7605" t="str">
        <v>UBND Ủy ban nhân dân phường Vân Dương  tỉnh Bắc Ninh</v>
      </c>
      <c r="C7605" t="str">
        <v>-</v>
      </c>
      <c r="D7605" t="str">
        <v>-</v>
      </c>
      <c r="E7605" t="str">
        <v>-</v>
      </c>
      <c r="F7605" t="str">
        <v>-</v>
      </c>
      <c r="G7605" t="str">
        <v>-</v>
      </c>
    </row>
    <row r="7606">
      <c r="A7606">
        <v>7605</v>
      </c>
      <c r="B7606" t="str">
        <v>Công an xã Nam Sơn  tỉnh Bắc Ninh</v>
      </c>
      <c r="C7606" t="str">
        <v>-</v>
      </c>
      <c r="D7606" t="str">
        <v>-</v>
      </c>
      <c r="E7606" t="str">
        <v/>
      </c>
      <c r="F7606" t="str">
        <v>-</v>
      </c>
      <c r="G7606" t="str">
        <v>-</v>
      </c>
    </row>
    <row r="7607">
      <c r="A7607">
        <v>7606</v>
      </c>
      <c r="B7607" t="str">
        <v>UBND Ủy ban nhân dân xã Nam Sơn  tỉnh Bắc Ninh</v>
      </c>
      <c r="C7607" t="str">
        <v>-</v>
      </c>
      <c r="D7607" t="str">
        <v>-</v>
      </c>
      <c r="E7607" t="str">
        <v>-</v>
      </c>
      <c r="F7607" t="str">
        <v>-</v>
      </c>
      <c r="G7607" t="str">
        <v>-</v>
      </c>
    </row>
    <row r="7608">
      <c r="A7608">
        <v>7607</v>
      </c>
      <c r="B7608" t="str">
        <v>Công an phường Khắc Niệm  tỉnh Bắc Ninh</v>
      </c>
      <c r="C7608" t="str">
        <v>-</v>
      </c>
      <c r="D7608" t="str">
        <v>-</v>
      </c>
      <c r="E7608" t="str">
        <v/>
      </c>
      <c r="F7608" t="str">
        <v>-</v>
      </c>
      <c r="G7608" t="str">
        <v>-</v>
      </c>
    </row>
    <row r="7609">
      <c r="A7609">
        <v>7608</v>
      </c>
      <c r="B7609" t="str">
        <v>UBND Ủy ban nhân dân phường Khắc Niệm  tỉnh Bắc Ninh</v>
      </c>
      <c r="C7609" t="str">
        <v>-</v>
      </c>
      <c r="D7609" t="str">
        <v>-</v>
      </c>
      <c r="E7609" t="str">
        <v>-</v>
      </c>
      <c r="F7609" t="str">
        <v>-</v>
      </c>
      <c r="G7609" t="str">
        <v>-</v>
      </c>
    </row>
    <row r="7610">
      <c r="A7610">
        <v>7609</v>
      </c>
      <c r="B7610" t="str">
        <v>Công an phường Hạp Lĩnh  tỉnh Bắc Ninh</v>
      </c>
      <c r="C7610" t="str">
        <v>-</v>
      </c>
      <c r="D7610" t="str">
        <v>-</v>
      </c>
      <c r="E7610" t="str">
        <v/>
      </c>
      <c r="F7610" t="str">
        <v>-</v>
      </c>
      <c r="G7610" t="str">
        <v>-</v>
      </c>
    </row>
    <row r="7611">
      <c r="A7611">
        <v>7610</v>
      </c>
      <c r="B7611" t="str">
        <v>UBND Ủy ban nhân dân phường Hạp Lĩnh  tỉnh Bắc Ninh</v>
      </c>
      <c r="C7611" t="str">
        <v>-</v>
      </c>
      <c r="D7611" t="str">
        <v>-</v>
      </c>
      <c r="E7611" t="str">
        <v>-</v>
      </c>
      <c r="F7611" t="str">
        <v>-</v>
      </c>
      <c r="G7611" t="str">
        <v>-</v>
      </c>
    </row>
    <row r="7612">
      <c r="A7612">
        <v>7611</v>
      </c>
      <c r="B7612" t="str">
        <v>Công an thị trấn Chờ  tỉnh Bắc Ninh</v>
      </c>
      <c r="C7612" t="str">
        <v>-</v>
      </c>
      <c r="D7612" t="str">
        <v>-</v>
      </c>
      <c r="E7612" t="str">
        <v/>
      </c>
      <c r="F7612" t="str">
        <v>-</v>
      </c>
      <c r="G7612" t="str">
        <v>-</v>
      </c>
    </row>
    <row r="7613">
      <c r="A7613">
        <v>7612</v>
      </c>
      <c r="B7613" t="str">
        <v>UBND Ủy ban nhân dân thị trấn Chờ  tỉnh Bắc Ninh</v>
      </c>
      <c r="C7613" t="str">
        <v>-</v>
      </c>
      <c r="D7613" t="str">
        <v>-</v>
      </c>
      <c r="E7613" t="str">
        <v>-</v>
      </c>
      <c r="F7613" t="str">
        <v>-</v>
      </c>
      <c r="G7613" t="str">
        <v>-</v>
      </c>
    </row>
    <row r="7614">
      <c r="A7614">
        <v>7613</v>
      </c>
      <c r="B7614" t="str">
        <v>Công an xã Dũng Liệt  tỉnh Bắc Ninh</v>
      </c>
      <c r="C7614" t="str">
        <v>-</v>
      </c>
      <c r="D7614" t="str">
        <v>-</v>
      </c>
      <c r="E7614" t="str">
        <v/>
      </c>
      <c r="F7614" t="str">
        <v>-</v>
      </c>
      <c r="G7614" t="str">
        <v>-</v>
      </c>
    </row>
    <row r="7615">
      <c r="A7615">
        <v>7614</v>
      </c>
      <c r="B7615" t="str">
        <v>UBND Ủy ban nhân dân xã Dũng Liệt  tỉnh Bắc Ninh</v>
      </c>
      <c r="C7615" t="str">
        <v>-</v>
      </c>
      <c r="D7615" t="str">
        <v>-</v>
      </c>
      <c r="E7615" t="str">
        <v>-</v>
      </c>
      <c r="F7615" t="str">
        <v>-</v>
      </c>
      <c r="G7615" t="str">
        <v>-</v>
      </c>
    </row>
    <row r="7616">
      <c r="A7616">
        <v>7615</v>
      </c>
      <c r="B7616" t="str">
        <v>Công an xã Tam Đa  tỉnh Bắc Ninh</v>
      </c>
      <c r="C7616" t="str">
        <v>-</v>
      </c>
      <c r="D7616" t="str">
        <v>-</v>
      </c>
      <c r="E7616" t="str">
        <v/>
      </c>
      <c r="F7616" t="str">
        <v>-</v>
      </c>
      <c r="G7616" t="str">
        <v>-</v>
      </c>
    </row>
    <row r="7617">
      <c r="A7617">
        <v>7616</v>
      </c>
      <c r="B7617" t="str">
        <v>UBND Ủy ban nhân dân xã Tam Đa  tỉnh Bắc Ninh</v>
      </c>
      <c r="C7617" t="str">
        <v>-</v>
      </c>
      <c r="D7617" t="str">
        <v>-</v>
      </c>
      <c r="E7617" t="str">
        <v>-</v>
      </c>
      <c r="F7617" t="str">
        <v>-</v>
      </c>
      <c r="G7617" t="str">
        <v>-</v>
      </c>
    </row>
    <row r="7618">
      <c r="A7618">
        <v>7617</v>
      </c>
      <c r="B7618" t="str">
        <v>Công an xã Tam Giang  tỉnh Bắc Ninh</v>
      </c>
      <c r="C7618" t="str">
        <v>-</v>
      </c>
      <c r="D7618" t="str">
        <v>-</v>
      </c>
      <c r="E7618" t="str">
        <v/>
      </c>
      <c r="F7618" t="str">
        <v>-</v>
      </c>
      <c r="G7618" t="str">
        <v>-</v>
      </c>
    </row>
    <row r="7619">
      <c r="A7619">
        <v>7618</v>
      </c>
      <c r="B7619" t="str">
        <v>UBND Ủy ban nhân dân xã Tam Giang  tỉnh Bắc Ninh</v>
      </c>
      <c r="C7619" t="str">
        <v>-</v>
      </c>
      <c r="D7619" t="str">
        <v>-</v>
      </c>
      <c r="E7619" t="str">
        <v>-</v>
      </c>
      <c r="F7619" t="str">
        <v>-</v>
      </c>
      <c r="G7619" t="str">
        <v>-</v>
      </c>
    </row>
    <row r="7620">
      <c r="A7620">
        <v>7619</v>
      </c>
      <c r="B7620" t="str">
        <v>Công an xã Yên Trung  tỉnh Bắc Ninh</v>
      </c>
      <c r="C7620" t="str">
        <v>-</v>
      </c>
      <c r="D7620" t="str">
        <v>-</v>
      </c>
      <c r="E7620" t="str">
        <v/>
      </c>
      <c r="F7620" t="str">
        <v>-</v>
      </c>
      <c r="G7620" t="str">
        <v>-</v>
      </c>
    </row>
    <row r="7621">
      <c r="A7621">
        <v>7620</v>
      </c>
      <c r="B7621" t="str">
        <v>UBND Ủy ban nhân dân xã Yên Trung  tỉnh Bắc Ninh</v>
      </c>
      <c r="C7621" t="str">
        <v>-</v>
      </c>
      <c r="D7621" t="str">
        <v>-</v>
      </c>
      <c r="E7621" t="str">
        <v>-</v>
      </c>
      <c r="F7621" t="str">
        <v>-</v>
      </c>
      <c r="G7621" t="str">
        <v>-</v>
      </c>
    </row>
    <row r="7622">
      <c r="A7622">
        <v>7621</v>
      </c>
      <c r="B7622" t="str">
        <v>Công an xã Thụy Hòa  tỉnh Bắc Ninh</v>
      </c>
      <c r="C7622" t="str">
        <v>-</v>
      </c>
      <c r="D7622" t="str">
        <v>-</v>
      </c>
      <c r="E7622" t="str">
        <v/>
      </c>
      <c r="F7622" t="str">
        <v>-</v>
      </c>
      <c r="G7622" t="str">
        <v>-</v>
      </c>
    </row>
    <row r="7623">
      <c r="A7623">
        <v>7622</v>
      </c>
      <c r="B7623" t="str">
        <v>UBND Ủy ban nhân dân xã Thụy Hòa  tỉnh Bắc Ninh</v>
      </c>
      <c r="C7623" t="str">
        <v>-</v>
      </c>
      <c r="D7623" t="str">
        <v>-</v>
      </c>
      <c r="E7623" t="str">
        <v>-</v>
      </c>
      <c r="F7623" t="str">
        <v>-</v>
      </c>
      <c r="G7623" t="str">
        <v>-</v>
      </c>
    </row>
    <row r="7624">
      <c r="A7624">
        <v>7623</v>
      </c>
      <c r="B7624" t="str">
        <v>Công an xã Hòa Tiến  tỉnh Bắc Ninh</v>
      </c>
      <c r="C7624" t="str">
        <v>-</v>
      </c>
      <c r="D7624" t="str">
        <v>-</v>
      </c>
      <c r="E7624" t="str">
        <v/>
      </c>
      <c r="F7624" t="str">
        <v>-</v>
      </c>
      <c r="G7624" t="str">
        <v>-</v>
      </c>
    </row>
    <row r="7625">
      <c r="A7625">
        <v>7624</v>
      </c>
      <c r="B7625" t="str">
        <v>UBND Ủy ban nhân dân xã Hòa Tiến  tỉnh Bắc Ninh</v>
      </c>
      <c r="C7625" t="str">
        <v>-</v>
      </c>
      <c r="D7625" t="str">
        <v>-</v>
      </c>
      <c r="E7625" t="str">
        <v>-</v>
      </c>
      <c r="F7625" t="str">
        <v>-</v>
      </c>
      <c r="G7625" t="str">
        <v>-</v>
      </c>
    </row>
    <row r="7626">
      <c r="A7626">
        <v>7625</v>
      </c>
      <c r="B7626" t="str">
        <v>Công an xã Đông Tiến  tỉnh Bắc Ninh</v>
      </c>
      <c r="C7626" t="str">
        <v>-</v>
      </c>
      <c r="D7626" t="str">
        <v>-</v>
      </c>
      <c r="E7626" t="str">
        <v/>
      </c>
      <c r="F7626" t="str">
        <v>-</v>
      </c>
      <c r="G7626" t="str">
        <v>-</v>
      </c>
    </row>
    <row r="7627">
      <c r="A7627">
        <v>7626</v>
      </c>
      <c r="B7627" t="str">
        <v>UBND Ủy ban nhân dân xã Đông Tiến  tỉnh Bắc Ninh</v>
      </c>
      <c r="C7627" t="str">
        <v>-</v>
      </c>
      <c r="D7627" t="str">
        <v>-</v>
      </c>
      <c r="E7627" t="str">
        <v>-</v>
      </c>
      <c r="F7627" t="str">
        <v>-</v>
      </c>
      <c r="G7627" t="str">
        <v>-</v>
      </c>
    </row>
    <row r="7628">
      <c r="A7628">
        <v>7627</v>
      </c>
      <c r="B7628" t="str">
        <v>Công an xã Yên Phụ  tỉnh Bắc Ninh</v>
      </c>
      <c r="C7628" t="str">
        <v>-</v>
      </c>
      <c r="D7628" t="str">
        <v>-</v>
      </c>
      <c r="E7628" t="str">
        <v/>
      </c>
      <c r="F7628" t="str">
        <v>-</v>
      </c>
      <c r="G7628" t="str">
        <v>-</v>
      </c>
    </row>
    <row r="7629">
      <c r="A7629">
        <v>7628</v>
      </c>
      <c r="B7629" t="str">
        <v>UBND Ủy ban nhân dân xã Yên Phụ  tỉnh Bắc Ninh</v>
      </c>
      <c r="C7629" t="str">
        <v>-</v>
      </c>
      <c r="D7629" t="str">
        <v>-</v>
      </c>
      <c r="E7629" t="str">
        <v>-</v>
      </c>
      <c r="F7629" t="str">
        <v>-</v>
      </c>
      <c r="G7629" t="str">
        <v>-</v>
      </c>
    </row>
    <row r="7630">
      <c r="A7630">
        <v>7629</v>
      </c>
      <c r="B7630" t="str">
        <v>Công an xã Trung Nghĩa  tỉnh Bắc Ninh</v>
      </c>
      <c r="C7630" t="str">
        <v>-</v>
      </c>
      <c r="D7630" t="str">
        <v>-</v>
      </c>
      <c r="E7630" t="str">
        <v/>
      </c>
      <c r="F7630" t="str">
        <v>-</v>
      </c>
      <c r="G7630" t="str">
        <v>-</v>
      </c>
    </row>
    <row r="7631">
      <c r="A7631">
        <v>7630</v>
      </c>
      <c r="B7631" t="str">
        <v>UBND Ủy ban nhân dân xã Trung Nghĩa  tỉnh Bắc Ninh</v>
      </c>
      <c r="C7631" t="str">
        <v>-</v>
      </c>
      <c r="D7631" t="str">
        <v>-</v>
      </c>
      <c r="E7631" t="str">
        <v>-</v>
      </c>
      <c r="F7631" t="str">
        <v>-</v>
      </c>
      <c r="G7631" t="str">
        <v>-</v>
      </c>
    </row>
    <row r="7632">
      <c r="A7632">
        <v>7631</v>
      </c>
      <c r="B7632" t="str">
        <v>Công an xã Đông Phong  tỉnh Bắc Ninh</v>
      </c>
      <c r="C7632" t="str">
        <v>-</v>
      </c>
      <c r="D7632" t="str">
        <v>-</v>
      </c>
      <c r="E7632" t="str">
        <v/>
      </c>
      <c r="F7632" t="str">
        <v>-</v>
      </c>
      <c r="G7632" t="str">
        <v>-</v>
      </c>
    </row>
    <row r="7633">
      <c r="A7633">
        <v>7632</v>
      </c>
      <c r="B7633" t="str">
        <v>UBND Ủy ban nhân dân xã Đông Phong  tỉnh Bắc Ninh</v>
      </c>
      <c r="C7633" t="str">
        <v>-</v>
      </c>
      <c r="D7633" t="str">
        <v>-</v>
      </c>
      <c r="E7633" t="str">
        <v>-</v>
      </c>
      <c r="F7633" t="str">
        <v>-</v>
      </c>
      <c r="G7633" t="str">
        <v>-</v>
      </c>
    </row>
    <row r="7634">
      <c r="A7634">
        <v>7633</v>
      </c>
      <c r="B7634" t="str">
        <v>Công an xã Long Châu  tỉnh Bắc Ninh</v>
      </c>
      <c r="C7634" t="str">
        <v>-</v>
      </c>
      <c r="D7634" t="str">
        <v>-</v>
      </c>
      <c r="E7634" t="str">
        <v/>
      </c>
      <c r="F7634" t="str">
        <v>-</v>
      </c>
      <c r="G7634" t="str">
        <v>-</v>
      </c>
    </row>
    <row r="7635">
      <c r="A7635">
        <v>7634</v>
      </c>
      <c r="B7635" t="str">
        <v>UBND Ủy ban nhân dân xã Long Châu  tỉnh Bắc Ninh</v>
      </c>
      <c r="C7635" t="str">
        <v>-</v>
      </c>
      <c r="D7635" t="str">
        <v>-</v>
      </c>
      <c r="E7635" t="str">
        <v>-</v>
      </c>
      <c r="F7635" t="str">
        <v>-</v>
      </c>
      <c r="G7635" t="str">
        <v>-</v>
      </c>
    </row>
    <row r="7636">
      <c r="A7636">
        <v>7635</v>
      </c>
      <c r="B7636" t="str">
        <v>Công an xã Văn Môn  tỉnh Bắc Ninh</v>
      </c>
      <c r="C7636" t="str">
        <v>-</v>
      </c>
      <c r="D7636" t="str">
        <v>-</v>
      </c>
      <c r="E7636" t="str">
        <v/>
      </c>
      <c r="F7636" t="str">
        <v>-</v>
      </c>
      <c r="G7636" t="str">
        <v>-</v>
      </c>
    </row>
    <row r="7637">
      <c r="A7637">
        <v>7636</v>
      </c>
      <c r="B7637" t="str">
        <v>UBND Ủy ban nhân dân xã Văn Môn  tỉnh Bắc Ninh</v>
      </c>
      <c r="C7637" t="str">
        <v>-</v>
      </c>
      <c r="D7637" t="str">
        <v>-</v>
      </c>
      <c r="E7637" t="str">
        <v>-</v>
      </c>
      <c r="F7637" t="str">
        <v>-</v>
      </c>
      <c r="G7637" t="str">
        <v>-</v>
      </c>
    </row>
    <row r="7638">
      <c r="A7638">
        <v>7637</v>
      </c>
      <c r="B7638" t="str">
        <v>Công an xã Đông Thọ  tỉnh Bắc Ninh</v>
      </c>
      <c r="C7638" t="str">
        <v>-</v>
      </c>
      <c r="D7638" t="str">
        <v>-</v>
      </c>
      <c r="E7638" t="str">
        <v/>
      </c>
      <c r="F7638" t="str">
        <v>-</v>
      </c>
      <c r="G7638" t="str">
        <v>-</v>
      </c>
    </row>
    <row r="7639">
      <c r="A7639">
        <v>7638</v>
      </c>
      <c r="B7639" t="str">
        <v>UBND Ủy ban nhân dân xã Đông Thọ  tỉnh Bắc Ninh</v>
      </c>
      <c r="C7639" t="str">
        <v>-</v>
      </c>
      <c r="D7639" t="str">
        <v>-</v>
      </c>
      <c r="E7639" t="str">
        <v>-</v>
      </c>
      <c r="F7639" t="str">
        <v>-</v>
      </c>
      <c r="G7639" t="str">
        <v>-</v>
      </c>
    </row>
    <row r="7640">
      <c r="A7640">
        <v>7639</v>
      </c>
      <c r="B7640" t="str">
        <v>Công an thị trấn Phố Mới  tỉnh Bắc Ninh</v>
      </c>
      <c r="C7640" t="str">
        <v>-</v>
      </c>
      <c r="D7640" t="str">
        <v>-</v>
      </c>
      <c r="E7640" t="str">
        <v/>
      </c>
      <c r="F7640" t="str">
        <v>-</v>
      </c>
      <c r="G7640" t="str">
        <v>-</v>
      </c>
    </row>
    <row r="7641">
      <c r="A7641">
        <v>7640</v>
      </c>
      <c r="B7641" t="str">
        <v>UBND Ủy ban nhân dân thị trấn Phố Mới  tỉnh Bắc Ninh</v>
      </c>
      <c r="C7641" t="str">
        <v>-</v>
      </c>
      <c r="D7641" t="str">
        <v>-</v>
      </c>
      <c r="E7641" t="str">
        <v>-</v>
      </c>
      <c r="F7641" t="str">
        <v>-</v>
      </c>
      <c r="G7641" t="str">
        <v>-</v>
      </c>
    </row>
    <row r="7642">
      <c r="A7642">
        <v>7641</v>
      </c>
      <c r="B7642" t="str">
        <v>Công an xã Việt Thống  tỉnh Bắc Ninh</v>
      </c>
      <c r="C7642" t="str">
        <v>-</v>
      </c>
      <c r="D7642" t="str">
        <v>-</v>
      </c>
      <c r="E7642" t="str">
        <v/>
      </c>
      <c r="F7642" t="str">
        <v>-</v>
      </c>
      <c r="G7642" t="str">
        <v>-</v>
      </c>
    </row>
    <row r="7643">
      <c r="A7643">
        <v>7642</v>
      </c>
      <c r="B7643" t="str">
        <v>UBND Ủy ban nhân dân xã Việt Thống  tỉnh Bắc Ninh</v>
      </c>
      <c r="C7643" t="str">
        <v>-</v>
      </c>
      <c r="D7643" t="str">
        <v>-</v>
      </c>
      <c r="E7643" t="str">
        <v>-</v>
      </c>
      <c r="F7643" t="str">
        <v>-</v>
      </c>
      <c r="G7643" t="str">
        <v>-</v>
      </c>
    </row>
    <row r="7644">
      <c r="A7644">
        <v>7643</v>
      </c>
      <c r="B7644" t="str">
        <v>Công an xã Đại Xuân  tỉnh Bắc Ninh</v>
      </c>
      <c r="C7644" t="str">
        <v>-</v>
      </c>
      <c r="D7644" t="str">
        <v>-</v>
      </c>
      <c r="E7644" t="str">
        <v/>
      </c>
      <c r="F7644" t="str">
        <v>-</v>
      </c>
      <c r="G7644" t="str">
        <v>-</v>
      </c>
    </row>
    <row r="7645">
      <c r="A7645">
        <v>7644</v>
      </c>
      <c r="B7645" t="str">
        <v>UBND Ủy ban nhân dân xã Đại Xuân  tỉnh Bắc Ninh</v>
      </c>
      <c r="C7645" t="str">
        <v>-</v>
      </c>
      <c r="D7645" t="str">
        <v>-</v>
      </c>
      <c r="E7645" t="str">
        <v>-</v>
      </c>
      <c r="F7645" t="str">
        <v>-</v>
      </c>
      <c r="G7645" t="str">
        <v>-</v>
      </c>
    </row>
    <row r="7646">
      <c r="A7646">
        <v>7645</v>
      </c>
      <c r="B7646" t="str">
        <v>Công an xã Nhân Hòa  tỉnh Bắc Ninh</v>
      </c>
      <c r="C7646" t="str">
        <v>-</v>
      </c>
      <c r="D7646" t="str">
        <v>-</v>
      </c>
      <c r="E7646" t="str">
        <v/>
      </c>
      <c r="F7646" t="str">
        <v>-</v>
      </c>
      <c r="G7646" t="str">
        <v>-</v>
      </c>
    </row>
    <row r="7647">
      <c r="A7647">
        <v>7646</v>
      </c>
      <c r="B7647" t="str">
        <v>UBND Ủy ban nhân dân xã Nhân Hòa  tỉnh Bắc Ninh</v>
      </c>
      <c r="C7647" t="str">
        <v>-</v>
      </c>
      <c r="D7647" t="str">
        <v>-</v>
      </c>
      <c r="E7647" t="str">
        <v>-</v>
      </c>
      <c r="F7647" t="str">
        <v>-</v>
      </c>
      <c r="G7647" t="str">
        <v>-</v>
      </c>
    </row>
    <row r="7648">
      <c r="A7648">
        <v>7647</v>
      </c>
      <c r="B7648" t="str">
        <v>Công an xã Bằng An  tỉnh Bắc Ninh</v>
      </c>
      <c r="C7648" t="str">
        <v>-</v>
      </c>
      <c r="D7648" t="str">
        <v>-</v>
      </c>
      <c r="E7648" t="str">
        <v/>
      </c>
      <c r="F7648" t="str">
        <v>-</v>
      </c>
      <c r="G7648" t="str">
        <v>-</v>
      </c>
    </row>
    <row r="7649">
      <c r="A7649">
        <v>7648</v>
      </c>
      <c r="B7649" t="str">
        <v>UBND Ủy ban nhân dân xã Bằng An  tỉnh Bắc Ninh</v>
      </c>
      <c r="C7649" t="str">
        <v>-</v>
      </c>
      <c r="D7649" t="str">
        <v>-</v>
      </c>
      <c r="E7649" t="str">
        <v>-</v>
      </c>
      <c r="F7649" t="str">
        <v>-</v>
      </c>
      <c r="G7649" t="str">
        <v>-</v>
      </c>
    </row>
    <row r="7650">
      <c r="A7650">
        <v>7649</v>
      </c>
      <c r="B7650" t="str">
        <v>Công an xã Phương Liễu  tỉnh Bắc Ninh</v>
      </c>
      <c r="C7650" t="str">
        <v>-</v>
      </c>
      <c r="D7650" t="str">
        <v>-</v>
      </c>
      <c r="E7650" t="str">
        <v/>
      </c>
      <c r="F7650" t="str">
        <v>-</v>
      </c>
      <c r="G7650" t="str">
        <v>-</v>
      </c>
    </row>
    <row r="7651">
      <c r="A7651">
        <v>7650</v>
      </c>
      <c r="B7651" t="str">
        <v>UBND Ủy ban nhân dân xã Phương Liễu  tỉnh Bắc Ninh</v>
      </c>
      <c r="C7651" t="str">
        <v>-</v>
      </c>
      <c r="D7651" t="str">
        <v>-</v>
      </c>
      <c r="E7651" t="str">
        <v>-</v>
      </c>
      <c r="F7651" t="str">
        <v>-</v>
      </c>
      <c r="G7651" t="str">
        <v>-</v>
      </c>
    </row>
    <row r="7652">
      <c r="A7652">
        <v>7651</v>
      </c>
      <c r="B7652" t="str">
        <v>Công an xã Quế Tân  tỉnh Bắc Ninh</v>
      </c>
      <c r="C7652" t="str">
        <v>-</v>
      </c>
      <c r="D7652" t="str">
        <v>-</v>
      </c>
      <c r="E7652" t="str">
        <v/>
      </c>
      <c r="F7652" t="str">
        <v>-</v>
      </c>
      <c r="G7652" t="str">
        <v>-</v>
      </c>
    </row>
    <row r="7653">
      <c r="A7653">
        <v>7652</v>
      </c>
      <c r="B7653" t="str">
        <v>UBND Ủy ban nhân dân xã Quế Tân  tỉnh Bắc Ninh</v>
      </c>
      <c r="C7653" t="str">
        <v>-</v>
      </c>
      <c r="D7653" t="str">
        <v>-</v>
      </c>
      <c r="E7653" t="str">
        <v>-</v>
      </c>
      <c r="F7653" t="str">
        <v>-</v>
      </c>
      <c r="G7653" t="str">
        <v>-</v>
      </c>
    </row>
    <row r="7654">
      <c r="A7654">
        <v>7653</v>
      </c>
      <c r="B7654" t="str">
        <v>Công an xã Phù Lương  tỉnh Bắc Ninh</v>
      </c>
      <c r="C7654" t="str">
        <v>-</v>
      </c>
      <c r="D7654" t="str">
        <v>-</v>
      </c>
      <c r="E7654" t="str">
        <v/>
      </c>
      <c r="F7654" t="str">
        <v>-</v>
      </c>
      <c r="G7654" t="str">
        <v>-</v>
      </c>
    </row>
    <row r="7655">
      <c r="A7655">
        <v>7654</v>
      </c>
      <c r="B7655" t="str">
        <v>UBND Ủy ban nhân dân xã Phù Lương  tỉnh Bắc Ninh</v>
      </c>
      <c r="C7655" t="str">
        <v>-</v>
      </c>
      <c r="D7655" t="str">
        <v>-</v>
      </c>
      <c r="E7655" t="str">
        <v>-</v>
      </c>
      <c r="F7655" t="str">
        <v>-</v>
      </c>
      <c r="G7655" t="str">
        <v>-</v>
      </c>
    </row>
    <row r="7656">
      <c r="A7656">
        <v>7655</v>
      </c>
      <c r="B7656" t="str">
        <v>Công an xã Phù Lãng  tỉnh Bắc Ninh</v>
      </c>
      <c r="C7656" t="str">
        <v>-</v>
      </c>
      <c r="D7656" t="str">
        <v>-</v>
      </c>
      <c r="E7656" t="str">
        <v/>
      </c>
      <c r="F7656" t="str">
        <v>-</v>
      </c>
      <c r="G7656" t="str">
        <v>-</v>
      </c>
    </row>
    <row r="7657">
      <c r="A7657">
        <v>7656</v>
      </c>
      <c r="B7657" t="str">
        <v>UBND Ủy ban nhân dân xã Phù Lãng  tỉnh Bắc Ninh</v>
      </c>
      <c r="C7657" t="str">
        <v>-</v>
      </c>
      <c r="D7657" t="str">
        <v>-</v>
      </c>
      <c r="E7657" t="str">
        <v>-</v>
      </c>
      <c r="F7657" t="str">
        <v>-</v>
      </c>
      <c r="G7657" t="str">
        <v>-</v>
      </c>
    </row>
    <row r="7658">
      <c r="A7658">
        <v>7657</v>
      </c>
      <c r="B7658" t="str">
        <v>Công an xã Phượng Mao  tỉnh Bắc Ninh</v>
      </c>
      <c r="C7658" t="str">
        <v>-</v>
      </c>
      <c r="D7658" t="str">
        <v>-</v>
      </c>
      <c r="E7658" t="str">
        <v/>
      </c>
      <c r="F7658" t="str">
        <v>-</v>
      </c>
      <c r="G7658" t="str">
        <v>-</v>
      </c>
    </row>
    <row r="7659">
      <c r="A7659">
        <v>7658</v>
      </c>
      <c r="B7659" t="str">
        <v>UBND Ủy ban nhân dân xã Phượng Mao  tỉnh Bắc Ninh</v>
      </c>
      <c r="C7659" t="str">
        <v>-</v>
      </c>
      <c r="D7659" t="str">
        <v>-</v>
      </c>
      <c r="E7659" t="str">
        <v>-</v>
      </c>
      <c r="F7659" t="str">
        <v>-</v>
      </c>
      <c r="G7659" t="str">
        <v>-</v>
      </c>
    </row>
    <row r="7660">
      <c r="A7660">
        <v>7659</v>
      </c>
      <c r="B7660" t="str">
        <v>Công an xã Việt Hùng  tỉnh Bắc Ninh</v>
      </c>
      <c r="C7660" t="str">
        <v>-</v>
      </c>
      <c r="D7660" t="str">
        <v>-</v>
      </c>
      <c r="E7660" t="str">
        <v/>
      </c>
      <c r="F7660" t="str">
        <v>-</v>
      </c>
      <c r="G7660" t="str">
        <v>-</v>
      </c>
    </row>
    <row r="7661">
      <c r="A7661">
        <v>7660</v>
      </c>
      <c r="B7661" t="str">
        <v>UBND Ủy ban nhân dân xã Việt Hùng  tỉnh Bắc Ninh</v>
      </c>
      <c r="C7661" t="str">
        <v>-</v>
      </c>
      <c r="D7661" t="str">
        <v>-</v>
      </c>
      <c r="E7661" t="str">
        <v>-</v>
      </c>
      <c r="F7661" t="str">
        <v>-</v>
      </c>
      <c r="G7661" t="str">
        <v>-</v>
      </c>
    </row>
    <row r="7662">
      <c r="A7662">
        <v>7661</v>
      </c>
      <c r="B7662" t="str">
        <v>Công an xã Ngọc Xá  tỉnh Bắc Ninh</v>
      </c>
      <c r="C7662" t="str">
        <v>-</v>
      </c>
      <c r="D7662" t="str">
        <v>-</v>
      </c>
      <c r="E7662" t="str">
        <v/>
      </c>
      <c r="F7662" t="str">
        <v>-</v>
      </c>
      <c r="G7662" t="str">
        <v>-</v>
      </c>
    </row>
    <row r="7663">
      <c r="A7663">
        <v>7662</v>
      </c>
      <c r="B7663" t="str">
        <v>UBND Ủy ban nhân dân xã Ngọc Xá  tỉnh Bắc Ninh</v>
      </c>
      <c r="C7663" t="str">
        <v>-</v>
      </c>
      <c r="D7663" t="str">
        <v>-</v>
      </c>
      <c r="E7663" t="str">
        <v>-</v>
      </c>
      <c r="F7663" t="str">
        <v>-</v>
      </c>
      <c r="G7663" t="str">
        <v>-</v>
      </c>
    </row>
    <row r="7664">
      <c r="A7664">
        <v>7663</v>
      </c>
      <c r="B7664" t="str">
        <v>Công an xã Châu Phong  tỉnh Bắc Ninh</v>
      </c>
      <c r="C7664" t="str">
        <v>-</v>
      </c>
      <c r="D7664" t="str">
        <v>-</v>
      </c>
      <c r="E7664" t="str">
        <v/>
      </c>
      <c r="F7664" t="str">
        <v>-</v>
      </c>
      <c r="G7664" t="str">
        <v>-</v>
      </c>
    </row>
    <row r="7665">
      <c r="A7665">
        <v>7664</v>
      </c>
      <c r="B7665" t="str">
        <v>UBND Ủy ban nhân dân xã Châu Phong  tỉnh Bắc Ninh</v>
      </c>
      <c r="C7665" t="str">
        <v>-</v>
      </c>
      <c r="D7665" t="str">
        <v>-</v>
      </c>
      <c r="E7665" t="str">
        <v>-</v>
      </c>
      <c r="F7665" t="str">
        <v>-</v>
      </c>
      <c r="G7665" t="str">
        <v>-</v>
      </c>
    </row>
    <row r="7666">
      <c r="A7666">
        <v>7665</v>
      </c>
      <c r="B7666" t="str">
        <v>Công an xã Bồng Lai  tỉnh Bắc Ninh</v>
      </c>
      <c r="C7666" t="str">
        <v>-</v>
      </c>
      <c r="D7666" t="str">
        <v>-</v>
      </c>
      <c r="E7666" t="str">
        <v/>
      </c>
      <c r="F7666" t="str">
        <v>-</v>
      </c>
      <c r="G7666" t="str">
        <v>-</v>
      </c>
    </row>
    <row r="7667">
      <c r="A7667">
        <v>7666</v>
      </c>
      <c r="B7667" t="str">
        <v>UBND Ủy ban nhân dân xã Bồng Lai  tỉnh Bắc Ninh</v>
      </c>
      <c r="C7667" t="str">
        <v>-</v>
      </c>
      <c r="D7667" t="str">
        <v>-</v>
      </c>
      <c r="E7667" t="str">
        <v>-</v>
      </c>
      <c r="F7667" t="str">
        <v>-</v>
      </c>
      <c r="G7667" t="str">
        <v>-</v>
      </c>
    </row>
    <row r="7668">
      <c r="A7668">
        <v>7667</v>
      </c>
      <c r="B7668" t="str">
        <v>Công an xã Cách Bi  tỉnh Bắc Ninh</v>
      </c>
      <c r="C7668" t="str">
        <v>-</v>
      </c>
      <c r="D7668" t="str">
        <v>-</v>
      </c>
      <c r="E7668" t="str">
        <v/>
      </c>
      <c r="F7668" t="str">
        <v>-</v>
      </c>
      <c r="G7668" t="str">
        <v>-</v>
      </c>
    </row>
    <row r="7669">
      <c r="A7669">
        <v>7668</v>
      </c>
      <c r="B7669" t="str">
        <v>UBND Ủy ban nhân dân xã Cách Bi  tỉnh Bắc Ninh</v>
      </c>
      <c r="C7669" t="str">
        <v>-</v>
      </c>
      <c r="D7669" t="str">
        <v>-</v>
      </c>
      <c r="E7669" t="str">
        <v>-</v>
      </c>
      <c r="F7669" t="str">
        <v>-</v>
      </c>
      <c r="G7669" t="str">
        <v>-</v>
      </c>
    </row>
    <row r="7670">
      <c r="A7670">
        <v>7669</v>
      </c>
      <c r="B7670" t="str">
        <v>Công an xã Đào Viên  tỉnh Bắc Ninh</v>
      </c>
      <c r="C7670" t="str">
        <v>-</v>
      </c>
      <c r="D7670" t="str">
        <v>-</v>
      </c>
      <c r="E7670" t="str">
        <v/>
      </c>
      <c r="F7670" t="str">
        <v>-</v>
      </c>
      <c r="G7670" t="str">
        <v>-</v>
      </c>
    </row>
    <row r="7671">
      <c r="A7671">
        <v>7670</v>
      </c>
      <c r="B7671" t="str">
        <v>UBND Ủy ban nhân dân xã Đào Viên  tỉnh Bắc Ninh</v>
      </c>
      <c r="C7671" t="str">
        <v>-</v>
      </c>
      <c r="D7671" t="str">
        <v>-</v>
      </c>
      <c r="E7671" t="str">
        <v>-</v>
      </c>
      <c r="F7671" t="str">
        <v>-</v>
      </c>
      <c r="G7671" t="str">
        <v>-</v>
      </c>
    </row>
    <row r="7672">
      <c r="A7672">
        <v>7671</v>
      </c>
      <c r="B7672" t="str">
        <v>Công an xã Yên Giả  tỉnh Bắc Ninh</v>
      </c>
      <c r="C7672" t="str">
        <v>-</v>
      </c>
      <c r="D7672" t="str">
        <v>-</v>
      </c>
      <c r="E7672" t="str">
        <v/>
      </c>
      <c r="F7672" t="str">
        <v>-</v>
      </c>
      <c r="G7672" t="str">
        <v>-</v>
      </c>
    </row>
    <row r="7673">
      <c r="A7673">
        <v>7672</v>
      </c>
      <c r="B7673" t="str">
        <v>UBND Ủy ban nhân dân xã Yên Giả  tỉnh Bắc Ninh</v>
      </c>
      <c r="C7673" t="str">
        <v>-</v>
      </c>
      <c r="D7673" t="str">
        <v>-</v>
      </c>
      <c r="E7673" t="str">
        <v>-</v>
      </c>
      <c r="F7673" t="str">
        <v>-</v>
      </c>
      <c r="G7673" t="str">
        <v>-</v>
      </c>
    </row>
    <row r="7674">
      <c r="A7674">
        <v>7673</v>
      </c>
      <c r="B7674" t="str">
        <v>Công an xã Mộ Đạo  tỉnh Bắc Ninh</v>
      </c>
      <c r="C7674" t="str">
        <v>-</v>
      </c>
      <c r="D7674" t="str">
        <v>-</v>
      </c>
      <c r="E7674" t="str">
        <v/>
      </c>
      <c r="F7674" t="str">
        <v>-</v>
      </c>
      <c r="G7674" t="str">
        <v>-</v>
      </c>
    </row>
    <row r="7675">
      <c r="A7675">
        <v>7674</v>
      </c>
      <c r="B7675" t="str">
        <v>UBND Ủy ban nhân dân xã Mộ Đạo  tỉnh Bắc Ninh</v>
      </c>
      <c r="C7675" t="str">
        <v>-</v>
      </c>
      <c r="D7675" t="str">
        <v>-</v>
      </c>
      <c r="E7675" t="str">
        <v>-</v>
      </c>
      <c r="F7675" t="str">
        <v>-</v>
      </c>
      <c r="G7675" t="str">
        <v>-</v>
      </c>
    </row>
    <row r="7676">
      <c r="A7676">
        <v>7675</v>
      </c>
      <c r="B7676" t="str">
        <v>Công an xã Đức Long  tỉnh Bắc Ninh</v>
      </c>
      <c r="C7676" t="str">
        <v>-</v>
      </c>
      <c r="D7676" t="str">
        <v>-</v>
      </c>
      <c r="E7676" t="str">
        <v/>
      </c>
      <c r="F7676" t="str">
        <v>-</v>
      </c>
      <c r="G7676" t="str">
        <v>-</v>
      </c>
    </row>
    <row r="7677">
      <c r="A7677">
        <v>7676</v>
      </c>
      <c r="B7677" t="str">
        <v>UBND Ủy ban nhân dân xã Đức Long  tỉnh Bắc Ninh</v>
      </c>
      <c r="C7677" t="str">
        <v>-</v>
      </c>
      <c r="D7677" t="str">
        <v>-</v>
      </c>
      <c r="E7677" t="str">
        <v>-</v>
      </c>
      <c r="F7677" t="str">
        <v>-</v>
      </c>
      <c r="G7677" t="str">
        <v>-</v>
      </c>
    </row>
    <row r="7678">
      <c r="A7678">
        <v>7677</v>
      </c>
      <c r="B7678" t="str">
        <v>Công an xã Chi Lăng  tỉnh Bắc Ninh</v>
      </c>
      <c r="C7678" t="str">
        <v>-</v>
      </c>
      <c r="D7678" t="str">
        <v>-</v>
      </c>
      <c r="E7678" t="str">
        <v/>
      </c>
      <c r="F7678" t="str">
        <v>-</v>
      </c>
      <c r="G7678" t="str">
        <v>-</v>
      </c>
    </row>
    <row r="7679">
      <c r="A7679">
        <v>7678</v>
      </c>
      <c r="B7679" t="str">
        <v>UBND Ủy ban nhân dân xã Chi Lăng  tỉnh Bắc Ninh</v>
      </c>
      <c r="C7679" t="str">
        <v>-</v>
      </c>
      <c r="D7679" t="str">
        <v>-</v>
      </c>
      <c r="E7679" t="str">
        <v>-</v>
      </c>
      <c r="F7679" t="str">
        <v>-</v>
      </c>
      <c r="G7679" t="str">
        <v>-</v>
      </c>
    </row>
    <row r="7680">
      <c r="A7680">
        <v>7679</v>
      </c>
      <c r="B7680" t="str">
        <v>Công an xã Hán Quảng  tỉnh Bắc Ninh</v>
      </c>
      <c r="C7680" t="str">
        <v>-</v>
      </c>
      <c r="D7680" t="str">
        <v>-</v>
      </c>
      <c r="E7680" t="str">
        <v/>
      </c>
      <c r="F7680" t="str">
        <v>-</v>
      </c>
      <c r="G7680" t="str">
        <v>-</v>
      </c>
    </row>
    <row r="7681">
      <c r="A7681">
        <v>7680</v>
      </c>
      <c r="B7681" t="str">
        <v>UBND Ủy ban nhân dân xã Hán Quảng  tỉnh Bắc Ninh</v>
      </c>
      <c r="C7681" t="str">
        <v>-</v>
      </c>
      <c r="D7681" t="str">
        <v>-</v>
      </c>
      <c r="E7681" t="str">
        <v>-</v>
      </c>
      <c r="F7681" t="str">
        <v>-</v>
      </c>
      <c r="G7681" t="str">
        <v>-</v>
      </c>
    </row>
    <row r="7682">
      <c r="A7682">
        <v>7681</v>
      </c>
      <c r="B7682" t="str">
        <v>Công an thị trấn Lim  tỉnh Bắc Ninh</v>
      </c>
      <c r="C7682" t="str">
        <v>-</v>
      </c>
      <c r="D7682" t="str">
        <v>-</v>
      </c>
      <c r="E7682" t="str">
        <v/>
      </c>
      <c r="F7682" t="str">
        <v>-</v>
      </c>
      <c r="G7682" t="str">
        <v>-</v>
      </c>
    </row>
    <row r="7683">
      <c r="A7683">
        <v>7682</v>
      </c>
      <c r="B7683" t="str">
        <v>UBND Ủy ban nhân dân thị trấn Lim  tỉnh Bắc Ninh</v>
      </c>
      <c r="C7683" t="str">
        <v>-</v>
      </c>
      <c r="D7683" t="str">
        <v>-</v>
      </c>
      <c r="E7683" t="str">
        <v>-</v>
      </c>
      <c r="F7683" t="str">
        <v>-</v>
      </c>
      <c r="G7683" t="str">
        <v>-</v>
      </c>
    </row>
    <row r="7684">
      <c r="A7684">
        <v>7683</v>
      </c>
      <c r="B7684" t="str">
        <v>Công an xã Phú Lâm  tỉnh Bắc Ninh</v>
      </c>
      <c r="C7684" t="str">
        <v>-</v>
      </c>
      <c r="D7684" t="str">
        <v>-</v>
      </c>
      <c r="E7684" t="str">
        <v/>
      </c>
      <c r="F7684" t="str">
        <v>-</v>
      </c>
      <c r="G7684" t="str">
        <v>-</v>
      </c>
    </row>
    <row r="7685">
      <c r="A7685">
        <v>7684</v>
      </c>
      <c r="B7685" t="str">
        <v>UBND Ủy ban nhân dân xã Phú Lâm  tỉnh Bắc Ninh</v>
      </c>
      <c r="C7685" t="str">
        <v>-</v>
      </c>
      <c r="D7685" t="str">
        <v>-</v>
      </c>
      <c r="E7685" t="str">
        <v>-</v>
      </c>
      <c r="F7685" t="str">
        <v>-</v>
      </c>
      <c r="G7685" t="str">
        <v>-</v>
      </c>
    </row>
    <row r="7686">
      <c r="A7686">
        <v>7685</v>
      </c>
      <c r="B7686" t="str">
        <v>Công an xã Nội Duệ  tỉnh Bắc Ninh</v>
      </c>
      <c r="C7686" t="str">
        <v>-</v>
      </c>
      <c r="D7686" t="str">
        <v>-</v>
      </c>
      <c r="E7686" t="str">
        <v/>
      </c>
      <c r="F7686" t="str">
        <v>-</v>
      </c>
      <c r="G7686" t="str">
        <v>-</v>
      </c>
    </row>
    <row r="7687">
      <c r="A7687">
        <v>7686</v>
      </c>
      <c r="B7687" t="str">
        <v>UBND Ủy ban nhân dân xã Nội Duệ  tỉnh Bắc Ninh</v>
      </c>
      <c r="C7687" t="str">
        <v>-</v>
      </c>
      <c r="D7687" t="str">
        <v>-</v>
      </c>
      <c r="E7687" t="str">
        <v>-</v>
      </c>
      <c r="F7687" t="str">
        <v>-</v>
      </c>
      <c r="G7687" t="str">
        <v>-</v>
      </c>
    </row>
    <row r="7688">
      <c r="A7688">
        <v>7687</v>
      </c>
      <c r="B7688" t="str">
        <v>Công an xã Liên Bão  tỉnh Bắc Ninh</v>
      </c>
      <c r="C7688" t="str">
        <v>-</v>
      </c>
      <c r="D7688" t="str">
        <v>-</v>
      </c>
      <c r="E7688" t="str">
        <v/>
      </c>
      <c r="F7688" t="str">
        <v>-</v>
      </c>
      <c r="G7688" t="str">
        <v>-</v>
      </c>
    </row>
    <row r="7689">
      <c r="A7689">
        <v>7688</v>
      </c>
      <c r="B7689" t="str">
        <v>UBND Ủy ban nhân dân xã Liên Bão  tỉnh Bắc Ninh</v>
      </c>
      <c r="C7689" t="str">
        <v>-</v>
      </c>
      <c r="D7689" t="str">
        <v>-</v>
      </c>
      <c r="E7689" t="str">
        <v>-</v>
      </c>
      <c r="F7689" t="str">
        <v>-</v>
      </c>
      <c r="G7689" t="str">
        <v>-</v>
      </c>
    </row>
    <row r="7690">
      <c r="A7690">
        <v>7689</v>
      </c>
      <c r="B7690" t="str">
        <v>Công an xã Hiên Vân  tỉnh Bắc Ninh</v>
      </c>
      <c r="C7690" t="str">
        <v>-</v>
      </c>
      <c r="D7690" t="str">
        <v>-</v>
      </c>
      <c r="E7690" t="str">
        <v/>
      </c>
      <c r="F7690" t="str">
        <v>-</v>
      </c>
      <c r="G7690" t="str">
        <v>-</v>
      </c>
    </row>
    <row r="7691">
      <c r="A7691">
        <v>7690</v>
      </c>
      <c r="B7691" t="str">
        <v>UBND Ủy ban nhân dân xã Hiên Vân  tỉnh Bắc Ninh</v>
      </c>
      <c r="C7691" t="str">
        <v>-</v>
      </c>
      <c r="D7691" t="str">
        <v>-</v>
      </c>
      <c r="E7691" t="str">
        <v>-</v>
      </c>
      <c r="F7691" t="str">
        <v>-</v>
      </c>
      <c r="G7691" t="str">
        <v>-</v>
      </c>
    </row>
    <row r="7692">
      <c r="A7692">
        <v>7691</v>
      </c>
      <c r="B7692" t="str">
        <v>Công an xã Hoàn Sơn  tỉnh Bắc Ninh</v>
      </c>
      <c r="C7692" t="str">
        <v>-</v>
      </c>
      <c r="D7692" t="str">
        <v>-</v>
      </c>
      <c r="E7692" t="str">
        <v/>
      </c>
      <c r="F7692" t="str">
        <v>-</v>
      </c>
      <c r="G7692" t="str">
        <v>-</v>
      </c>
    </row>
    <row r="7693">
      <c r="A7693">
        <v>7692</v>
      </c>
      <c r="B7693" t="str">
        <v>UBND Ủy ban nhân dân xã Hoàn Sơn  tỉnh Bắc Ninh</v>
      </c>
      <c r="C7693" t="str">
        <v>-</v>
      </c>
      <c r="D7693" t="str">
        <v>-</v>
      </c>
      <c r="E7693" t="str">
        <v>-</v>
      </c>
      <c r="F7693" t="str">
        <v>-</v>
      </c>
      <c r="G7693" t="str">
        <v>-</v>
      </c>
    </row>
    <row r="7694">
      <c r="A7694">
        <v>7693</v>
      </c>
      <c r="B7694" t="str">
        <v>Công an xã Lạc Vệ  tỉnh Bắc Ninh</v>
      </c>
      <c r="C7694" t="str">
        <v>-</v>
      </c>
      <c r="D7694" t="str">
        <v>-</v>
      </c>
      <c r="E7694" t="str">
        <v/>
      </c>
      <c r="F7694" t="str">
        <v>-</v>
      </c>
      <c r="G7694" t="str">
        <v>-</v>
      </c>
    </row>
    <row r="7695">
      <c r="A7695">
        <v>7694</v>
      </c>
      <c r="B7695" t="str">
        <v>UBND Ủy ban nhân dân xã Lạc Vệ  tỉnh Bắc Ninh</v>
      </c>
      <c r="C7695" t="str">
        <v>-</v>
      </c>
      <c r="D7695" t="str">
        <v>-</v>
      </c>
      <c r="E7695" t="str">
        <v>-</v>
      </c>
      <c r="F7695" t="str">
        <v>-</v>
      </c>
      <c r="G7695" t="str">
        <v>-</v>
      </c>
    </row>
    <row r="7696">
      <c r="A7696">
        <v>7695</v>
      </c>
      <c r="B7696" t="str">
        <v>Công an xã Việt Đoàn  tỉnh Bắc Ninh</v>
      </c>
      <c r="C7696" t="str">
        <v>-</v>
      </c>
      <c r="D7696" t="str">
        <v>-</v>
      </c>
      <c r="E7696" t="str">
        <v/>
      </c>
      <c r="F7696" t="str">
        <v>-</v>
      </c>
      <c r="G7696" t="str">
        <v>-</v>
      </c>
    </row>
    <row r="7697">
      <c r="A7697">
        <v>7696</v>
      </c>
      <c r="B7697" t="str">
        <v>UBND Ủy ban nhân dân xã Việt Đoàn  tỉnh Bắc Ninh</v>
      </c>
      <c r="C7697" t="str">
        <v>-</v>
      </c>
      <c r="D7697" t="str">
        <v>-</v>
      </c>
      <c r="E7697" t="str">
        <v>-</v>
      </c>
      <c r="F7697" t="str">
        <v>-</v>
      </c>
      <c r="G7697" t="str">
        <v>-</v>
      </c>
    </row>
    <row r="7698">
      <c r="A7698">
        <v>7697</v>
      </c>
      <c r="B7698" t="str">
        <v>Công an xã Phật Tích  tỉnh Bắc Ninh</v>
      </c>
      <c r="C7698" t="str">
        <v>-</v>
      </c>
      <c r="D7698" t="str">
        <v>-</v>
      </c>
      <c r="E7698" t="str">
        <v/>
      </c>
      <c r="F7698" t="str">
        <v>-</v>
      </c>
      <c r="G7698" t="str">
        <v>-</v>
      </c>
    </row>
    <row r="7699">
      <c r="A7699">
        <v>7698</v>
      </c>
      <c r="B7699" t="str">
        <v>UBND Ủy ban nhân dân xã Phật Tích  tỉnh Bắc Ninh</v>
      </c>
      <c r="C7699" t="str">
        <v>-</v>
      </c>
      <c r="D7699" t="str">
        <v>-</v>
      </c>
      <c r="E7699" t="str">
        <v>-</v>
      </c>
      <c r="F7699" t="str">
        <v>-</v>
      </c>
      <c r="G7699" t="str">
        <v>-</v>
      </c>
    </row>
    <row r="7700">
      <c r="A7700">
        <v>7699</v>
      </c>
      <c r="B7700" t="str">
        <v>Công an xã Tân Chi  tỉnh Bắc Ninh</v>
      </c>
      <c r="C7700" t="str">
        <v>-</v>
      </c>
      <c r="D7700" t="str">
        <v>-</v>
      </c>
      <c r="E7700" t="str">
        <v/>
      </c>
      <c r="F7700" t="str">
        <v>-</v>
      </c>
      <c r="G7700" t="str">
        <v>-</v>
      </c>
    </row>
    <row r="7701">
      <c r="A7701">
        <v>7700</v>
      </c>
      <c r="B7701" t="str">
        <v>UBND Ủy ban nhân dân xã Tân Chi  tỉnh Bắc Ninh</v>
      </c>
      <c r="C7701" t="str">
        <v>-</v>
      </c>
      <c r="D7701" t="str">
        <v>-</v>
      </c>
      <c r="E7701" t="str">
        <v>-</v>
      </c>
      <c r="F7701" t="str">
        <v>-</v>
      </c>
      <c r="G7701" t="str">
        <v>-</v>
      </c>
    </row>
    <row r="7702">
      <c r="A7702">
        <v>7701</v>
      </c>
      <c r="B7702" t="str">
        <v>Công an xã Đại Đồng  tỉnh Bắc Ninh</v>
      </c>
      <c r="C7702" t="str">
        <v>-</v>
      </c>
      <c r="D7702" t="str">
        <v>-</v>
      </c>
      <c r="E7702" t="str">
        <v/>
      </c>
      <c r="F7702" t="str">
        <v>-</v>
      </c>
      <c r="G7702" t="str">
        <v>-</v>
      </c>
    </row>
    <row r="7703">
      <c r="A7703">
        <v>7702</v>
      </c>
      <c r="B7703" t="str">
        <v>UBND Ủy ban nhân dân xã Đại Đồng  tỉnh Bắc Ninh</v>
      </c>
      <c r="C7703" t="str">
        <v>-</v>
      </c>
      <c r="D7703" t="str">
        <v>-</v>
      </c>
      <c r="E7703" t="str">
        <v>-</v>
      </c>
      <c r="F7703" t="str">
        <v>-</v>
      </c>
      <c r="G7703" t="str">
        <v>-</v>
      </c>
    </row>
    <row r="7704">
      <c r="A7704">
        <v>7703</v>
      </c>
      <c r="B7704" t="str">
        <v>Công an xã Tri Phương  tỉnh Bắc Ninh</v>
      </c>
      <c r="C7704" t="str">
        <v>-</v>
      </c>
      <c r="D7704" t="str">
        <v>-</v>
      </c>
      <c r="E7704" t="str">
        <v/>
      </c>
      <c r="F7704" t="str">
        <v>-</v>
      </c>
      <c r="G7704" t="str">
        <v>-</v>
      </c>
    </row>
    <row r="7705">
      <c r="A7705">
        <v>7704</v>
      </c>
      <c r="B7705" t="str">
        <v>UBND Ủy ban nhân dân xã Tri Phương  tỉnh Bắc Ninh</v>
      </c>
      <c r="C7705" t="str">
        <v>-</v>
      </c>
      <c r="D7705" t="str">
        <v>-</v>
      </c>
      <c r="E7705" t="str">
        <v>-</v>
      </c>
      <c r="F7705" t="str">
        <v>-</v>
      </c>
      <c r="G7705" t="str">
        <v>-</v>
      </c>
    </row>
    <row r="7706">
      <c r="A7706">
        <v>7705</v>
      </c>
      <c r="B7706" t="str">
        <v>Công an xã Minh Đạo  tỉnh Bắc Ninh</v>
      </c>
      <c r="C7706" t="str">
        <v>-</v>
      </c>
      <c r="D7706" t="str">
        <v>-</v>
      </c>
      <c r="E7706" t="str">
        <v/>
      </c>
      <c r="F7706" t="str">
        <v>-</v>
      </c>
      <c r="G7706" t="str">
        <v>-</v>
      </c>
    </row>
    <row r="7707">
      <c r="A7707">
        <v>7706</v>
      </c>
      <c r="B7707" t="str">
        <v>UBND Ủy ban nhân dân xã Minh Đạo  tỉnh Bắc Ninh</v>
      </c>
      <c r="C7707" t="str">
        <v>-</v>
      </c>
      <c r="D7707" t="str">
        <v>-</v>
      </c>
      <c r="E7707" t="str">
        <v>-</v>
      </c>
      <c r="F7707" t="str">
        <v>-</v>
      </c>
      <c r="G7707" t="str">
        <v>-</v>
      </c>
    </row>
    <row r="7708">
      <c r="A7708">
        <v>7707</v>
      </c>
      <c r="B7708" t="str">
        <v>Công an xã Cảnh Hưng  tỉnh Bắc Ninh</v>
      </c>
      <c r="C7708" t="str">
        <v>-</v>
      </c>
      <c r="D7708" t="str">
        <v>-</v>
      </c>
      <c r="E7708" t="str">
        <v/>
      </c>
      <c r="F7708" t="str">
        <v>-</v>
      </c>
      <c r="G7708" t="str">
        <v>-</v>
      </c>
    </row>
    <row r="7709">
      <c r="A7709">
        <v>7708</v>
      </c>
      <c r="B7709" t="str">
        <v>UBND Ủy ban nhân dân xã Cảnh Hưng  tỉnh Bắc Ninh</v>
      </c>
      <c r="C7709" t="str">
        <v>-</v>
      </c>
      <c r="D7709" t="str">
        <v>-</v>
      </c>
      <c r="E7709" t="str">
        <v>-</v>
      </c>
      <c r="F7709" t="str">
        <v>-</v>
      </c>
      <c r="G7709" t="str">
        <v>-</v>
      </c>
    </row>
    <row r="7710">
      <c r="A7710">
        <v>7709</v>
      </c>
      <c r="B7710" t="str">
        <v>Công an phường Đông Ngàn  tỉnh Bắc Ninh</v>
      </c>
      <c r="C7710" t="str">
        <v>-</v>
      </c>
      <c r="D7710" t="str">
        <v>-</v>
      </c>
      <c r="E7710" t="str">
        <v/>
      </c>
      <c r="F7710" t="str">
        <v>-</v>
      </c>
      <c r="G7710" t="str">
        <v>-</v>
      </c>
    </row>
    <row r="7711">
      <c r="A7711">
        <v>7710</v>
      </c>
      <c r="B7711" t="str">
        <v>UBND Ủy ban nhân dân phường Đông Ngàn  tỉnh Bắc Ninh</v>
      </c>
      <c r="C7711" t="str">
        <v>-</v>
      </c>
      <c r="D7711" t="str">
        <v>-</v>
      </c>
      <c r="E7711" t="str">
        <v>-</v>
      </c>
      <c r="F7711" t="str">
        <v>-</v>
      </c>
      <c r="G7711" t="str">
        <v>-</v>
      </c>
    </row>
    <row r="7712">
      <c r="A7712">
        <v>7711</v>
      </c>
      <c r="B7712" t="str">
        <v>Công an xã Tam Sơn  tỉnh Bắc Ninh</v>
      </c>
      <c r="C7712" t="str">
        <v>-</v>
      </c>
      <c r="D7712" t="str">
        <v>-</v>
      </c>
      <c r="E7712" t="str">
        <v/>
      </c>
      <c r="F7712" t="str">
        <v>-</v>
      </c>
      <c r="G7712" t="str">
        <v>-</v>
      </c>
    </row>
    <row r="7713">
      <c r="A7713">
        <v>7712</v>
      </c>
      <c r="B7713" t="str">
        <v>UBND Ủy ban nhân dân xã Tam Sơn  tỉnh Bắc Ninh</v>
      </c>
      <c r="C7713" t="str">
        <v>-</v>
      </c>
      <c r="D7713" t="str">
        <v>-</v>
      </c>
      <c r="E7713" t="str">
        <v>-</v>
      </c>
      <c r="F7713" t="str">
        <v>-</v>
      </c>
      <c r="G7713" t="str">
        <v>-</v>
      </c>
    </row>
    <row r="7714">
      <c r="A7714">
        <v>7713</v>
      </c>
      <c r="B7714" t="str">
        <v>Công an xã Hương Mạc  tỉnh Bắc Ninh</v>
      </c>
      <c r="C7714" t="str">
        <v>-</v>
      </c>
      <c r="D7714" t="str">
        <v>-</v>
      </c>
      <c r="E7714" t="str">
        <v/>
      </c>
      <c r="F7714" t="str">
        <v>-</v>
      </c>
      <c r="G7714" t="str">
        <v>-</v>
      </c>
    </row>
    <row r="7715">
      <c r="A7715">
        <v>7714</v>
      </c>
      <c r="B7715" t="str">
        <v>UBND Ủy ban nhân dân xã Hương Mạc  tỉnh Bắc Ninh</v>
      </c>
      <c r="C7715" t="str">
        <v>-</v>
      </c>
      <c r="D7715" t="str">
        <v>-</v>
      </c>
      <c r="E7715" t="str">
        <v>-</v>
      </c>
      <c r="F7715" t="str">
        <v>-</v>
      </c>
      <c r="G7715" t="str">
        <v>-</v>
      </c>
    </row>
    <row r="7716">
      <c r="A7716">
        <v>7715</v>
      </c>
      <c r="B7716" t="str">
        <v>Công an xã Tương Giang  tỉnh Bắc Ninh</v>
      </c>
      <c r="C7716" t="str">
        <v>-</v>
      </c>
      <c r="D7716" t="str">
        <v>-</v>
      </c>
      <c r="E7716" t="str">
        <v/>
      </c>
      <c r="F7716" t="str">
        <v>-</v>
      </c>
      <c r="G7716" t="str">
        <v>-</v>
      </c>
    </row>
    <row r="7717">
      <c r="A7717">
        <v>7716</v>
      </c>
      <c r="B7717" t="str">
        <v>UBND Ủy ban nhân dân xã Tương Giang  tỉnh Bắc Ninh</v>
      </c>
      <c r="C7717" t="str">
        <v>-</v>
      </c>
      <c r="D7717" t="str">
        <v>-</v>
      </c>
      <c r="E7717" t="str">
        <v>-</v>
      </c>
      <c r="F7717" t="str">
        <v>-</v>
      </c>
      <c r="G7717" t="str">
        <v>-</v>
      </c>
    </row>
    <row r="7718">
      <c r="A7718">
        <v>7717</v>
      </c>
      <c r="B7718" t="str">
        <v>Công an xã Phù Khê  tỉnh Bắc Ninh</v>
      </c>
      <c r="C7718" t="str">
        <v>-</v>
      </c>
      <c r="D7718" t="str">
        <v>-</v>
      </c>
      <c r="E7718" t="str">
        <v/>
      </c>
      <c r="F7718" t="str">
        <v>-</v>
      </c>
      <c r="G7718" t="str">
        <v>-</v>
      </c>
    </row>
    <row r="7719">
      <c r="A7719">
        <v>7718</v>
      </c>
      <c r="B7719" t="str">
        <v>UBND Ủy ban nhân dân xã Phù Khê  tỉnh Bắc Ninh</v>
      </c>
      <c r="C7719" t="str">
        <v>-</v>
      </c>
      <c r="D7719" t="str">
        <v>-</v>
      </c>
      <c r="E7719" t="str">
        <v>-</v>
      </c>
      <c r="F7719" t="str">
        <v>-</v>
      </c>
      <c r="G7719" t="str">
        <v>-</v>
      </c>
    </row>
    <row r="7720">
      <c r="A7720">
        <v>7719</v>
      </c>
      <c r="B7720" t="str">
        <v>Công an phường Đồng Kỵ  tỉnh Bắc Ninh</v>
      </c>
      <c r="C7720" t="str">
        <v>-</v>
      </c>
      <c r="D7720" t="str">
        <v>-</v>
      </c>
      <c r="E7720" t="str">
        <v/>
      </c>
      <c r="F7720" t="str">
        <v>-</v>
      </c>
      <c r="G7720" t="str">
        <v>-</v>
      </c>
    </row>
    <row r="7721">
      <c r="A7721">
        <v>7720</v>
      </c>
      <c r="B7721" t="str">
        <v>UBND Ủy ban nhân dân phường Đồng Kỵ  tỉnh Bắc Ninh</v>
      </c>
      <c r="C7721" t="str">
        <v>-</v>
      </c>
      <c r="D7721" t="str">
        <v>-</v>
      </c>
      <c r="E7721" t="str">
        <v>-</v>
      </c>
      <c r="F7721" t="str">
        <v>-</v>
      </c>
      <c r="G7721" t="str">
        <v>-</v>
      </c>
    </row>
    <row r="7722">
      <c r="A7722">
        <v>7721</v>
      </c>
      <c r="B7722" t="str">
        <v>Công an phường Trang Hạ  tỉnh Bắc Ninh</v>
      </c>
      <c r="C7722" t="str">
        <v>-</v>
      </c>
      <c r="D7722" t="str">
        <v>-</v>
      </c>
      <c r="E7722" t="str">
        <v/>
      </c>
      <c r="F7722" t="str">
        <v>-</v>
      </c>
      <c r="G7722" t="str">
        <v>-</v>
      </c>
    </row>
    <row r="7723">
      <c r="A7723">
        <v>7722</v>
      </c>
      <c r="B7723" t="str">
        <v>UBND Ủy ban nhân dân phường Trang Hạ  tỉnh Bắc Ninh</v>
      </c>
      <c r="C7723" t="str">
        <v>-</v>
      </c>
      <c r="D7723" t="str">
        <v>-</v>
      </c>
      <c r="E7723" t="str">
        <v>-</v>
      </c>
      <c r="F7723" t="str">
        <v>-</v>
      </c>
      <c r="G7723" t="str">
        <v>-</v>
      </c>
    </row>
    <row r="7724">
      <c r="A7724">
        <v>7723</v>
      </c>
      <c r="B7724" t="str">
        <v>Công an phường Đồng Nguyên  tỉnh Bắc Ninh</v>
      </c>
      <c r="C7724" t="str">
        <v>-</v>
      </c>
      <c r="D7724" t="str">
        <v>-</v>
      </c>
      <c r="E7724" t="str">
        <v/>
      </c>
      <c r="F7724" t="str">
        <v>-</v>
      </c>
      <c r="G7724" t="str">
        <v>-</v>
      </c>
    </row>
    <row r="7725">
      <c r="A7725">
        <v>7724</v>
      </c>
      <c r="B7725" t="str">
        <v>UBND Ủy ban nhân dân phường Đồng Nguyên  tỉnh Bắc Ninh</v>
      </c>
      <c r="C7725" t="str">
        <v>-</v>
      </c>
      <c r="D7725" t="str">
        <v>-</v>
      </c>
      <c r="E7725" t="str">
        <v>-</v>
      </c>
      <c r="F7725" t="str">
        <v>-</v>
      </c>
      <c r="G7725" t="str">
        <v>-</v>
      </c>
    </row>
    <row r="7726">
      <c r="A7726">
        <v>7725</v>
      </c>
      <c r="B7726" t="str">
        <v>Công an phường Châu Khê  tỉnh Bắc Ninh</v>
      </c>
      <c r="C7726" t="str">
        <v>-</v>
      </c>
      <c r="D7726" t="str">
        <v>-</v>
      </c>
      <c r="E7726" t="str">
        <v/>
      </c>
      <c r="F7726" t="str">
        <v>-</v>
      </c>
      <c r="G7726" t="str">
        <v>-</v>
      </c>
    </row>
    <row r="7727">
      <c r="A7727">
        <v>7726</v>
      </c>
      <c r="B7727" t="str">
        <v>UBND Ủy ban nhân dân phường Châu Khê  tỉnh Bắc Ninh</v>
      </c>
      <c r="C7727" t="str">
        <v>-</v>
      </c>
      <c r="D7727" t="str">
        <v>-</v>
      </c>
      <c r="E7727" t="str">
        <v>-</v>
      </c>
      <c r="F7727" t="str">
        <v>-</v>
      </c>
      <c r="G7727" t="str">
        <v>-</v>
      </c>
    </row>
    <row r="7728">
      <c r="A7728">
        <v>7727</v>
      </c>
      <c r="B7728" t="str">
        <v>Công an phường Tân Hồng  tỉnh Bắc Ninh</v>
      </c>
      <c r="C7728" t="str">
        <v>-</v>
      </c>
      <c r="D7728" t="str">
        <v>-</v>
      </c>
      <c r="E7728" t="str">
        <v/>
      </c>
      <c r="F7728" t="str">
        <v>-</v>
      </c>
      <c r="G7728" t="str">
        <v>-</v>
      </c>
    </row>
    <row r="7729">
      <c r="A7729">
        <v>7728</v>
      </c>
      <c r="B7729" t="str">
        <v>UBND Ủy ban nhân dân phường Tân Hồng  tỉnh Bắc Ninh</v>
      </c>
      <c r="C7729" t="str">
        <v>-</v>
      </c>
      <c r="D7729" t="str">
        <v>-</v>
      </c>
      <c r="E7729" t="str">
        <v>-</v>
      </c>
      <c r="F7729" t="str">
        <v>-</v>
      </c>
      <c r="G7729" t="str">
        <v>-</v>
      </c>
    </row>
    <row r="7730">
      <c r="A7730">
        <v>7729</v>
      </c>
      <c r="B7730" t="str">
        <v>Công an phường Đình Bảng  tỉnh Bắc Ninh</v>
      </c>
      <c r="C7730" t="str">
        <v>-</v>
      </c>
      <c r="D7730" t="str">
        <v>-</v>
      </c>
      <c r="E7730" t="str">
        <v/>
      </c>
      <c r="F7730" t="str">
        <v>-</v>
      </c>
      <c r="G7730" t="str">
        <v>-</v>
      </c>
    </row>
    <row r="7731">
      <c r="A7731">
        <v>7730</v>
      </c>
      <c r="B7731" t="str">
        <v>UBND Ủy ban nhân dân phường Đình Bảng  tỉnh Bắc Ninh</v>
      </c>
      <c r="C7731" t="str">
        <v>-</v>
      </c>
      <c r="D7731" t="str">
        <v>-</v>
      </c>
      <c r="E7731" t="str">
        <v>-</v>
      </c>
      <c r="F7731" t="str">
        <v>-</v>
      </c>
      <c r="G7731" t="str">
        <v>-</v>
      </c>
    </row>
    <row r="7732">
      <c r="A7732">
        <v>7731</v>
      </c>
      <c r="B7732" t="str">
        <v>Công an xã Phù Chẩn  tỉnh Bắc Ninh</v>
      </c>
      <c r="C7732" t="str">
        <v>-</v>
      </c>
      <c r="D7732" t="str">
        <v>-</v>
      </c>
      <c r="E7732" t="str">
        <v/>
      </c>
      <c r="F7732" t="str">
        <v>-</v>
      </c>
      <c r="G7732" t="str">
        <v>-</v>
      </c>
    </row>
    <row r="7733">
      <c r="A7733">
        <v>7732</v>
      </c>
      <c r="B7733" t="str">
        <v>UBND Ủy ban nhân dân xã Phù Chẩn  tỉnh Bắc Ninh</v>
      </c>
      <c r="C7733" t="str">
        <v>-</v>
      </c>
      <c r="D7733" t="str">
        <v>-</v>
      </c>
      <c r="E7733" t="str">
        <v>-</v>
      </c>
      <c r="F7733" t="str">
        <v>-</v>
      </c>
      <c r="G7733" t="str">
        <v>-</v>
      </c>
    </row>
    <row r="7734">
      <c r="A7734">
        <v>7733</v>
      </c>
      <c r="B7734" t="str">
        <v>Công an thị trấn Hồ  tỉnh Bắc Ninh</v>
      </c>
      <c r="C7734" t="str">
        <v>-</v>
      </c>
      <c r="D7734" t="str">
        <v>-</v>
      </c>
      <c r="E7734" t="str">
        <v/>
      </c>
      <c r="F7734" t="str">
        <v>-</v>
      </c>
      <c r="G7734" t="str">
        <v>-</v>
      </c>
    </row>
    <row r="7735">
      <c r="A7735">
        <v>7734</v>
      </c>
      <c r="B7735" t="str">
        <v>UBND Ủy ban nhân dân thị trấn Hồ  tỉnh Bắc Ninh</v>
      </c>
      <c r="C7735" t="str">
        <v>-</v>
      </c>
      <c r="D7735" t="str">
        <v>-</v>
      </c>
      <c r="E7735" t="str">
        <v>-</v>
      </c>
      <c r="F7735" t="str">
        <v>-</v>
      </c>
      <c r="G7735" t="str">
        <v>-</v>
      </c>
    </row>
    <row r="7736">
      <c r="A7736">
        <v>7735</v>
      </c>
      <c r="B7736" t="str">
        <v>Công an xã Hoài Thượng  tỉnh Bắc Ninh</v>
      </c>
      <c r="C7736" t="str">
        <v>-</v>
      </c>
      <c r="D7736" t="str">
        <v>-</v>
      </c>
      <c r="E7736" t="str">
        <v/>
      </c>
      <c r="F7736" t="str">
        <v>-</v>
      </c>
      <c r="G7736" t="str">
        <v>-</v>
      </c>
    </row>
    <row r="7737">
      <c r="A7737">
        <v>7736</v>
      </c>
      <c r="B7737" t="str">
        <v>UBND Ủy ban nhân dân xã Hoài Thượng  tỉnh Bắc Ninh</v>
      </c>
      <c r="C7737" t="str">
        <v>-</v>
      </c>
      <c r="D7737" t="str">
        <v>-</v>
      </c>
      <c r="E7737" t="str">
        <v>-</v>
      </c>
      <c r="F7737" t="str">
        <v>-</v>
      </c>
      <c r="G7737" t="str">
        <v>-</v>
      </c>
    </row>
    <row r="7738">
      <c r="A7738">
        <v>7737</v>
      </c>
      <c r="B7738" t="str">
        <v>Công an xã Đại Đồng Thành  tỉnh Bắc Ninh</v>
      </c>
      <c r="C7738" t="str">
        <v>-</v>
      </c>
      <c r="D7738" t="str">
        <v>-</v>
      </c>
      <c r="E7738" t="str">
        <v/>
      </c>
      <c r="F7738" t="str">
        <v>-</v>
      </c>
      <c r="G7738" t="str">
        <v>-</v>
      </c>
    </row>
    <row r="7739">
      <c r="A7739">
        <v>7738</v>
      </c>
      <c r="B7739" t="str">
        <v>UBND Ủy ban nhân dân xã Đại Đồng Thành  tỉnh Bắc Ninh</v>
      </c>
      <c r="C7739" t="str">
        <v>-</v>
      </c>
      <c r="D7739" t="str">
        <v>-</v>
      </c>
      <c r="E7739" t="str">
        <v>-</v>
      </c>
      <c r="F7739" t="str">
        <v>-</v>
      </c>
      <c r="G7739" t="str">
        <v>-</v>
      </c>
    </row>
    <row r="7740">
      <c r="A7740">
        <v>7739</v>
      </c>
      <c r="B7740" t="str">
        <v>Công an xã Mão Điền  tỉnh Bắc Ninh</v>
      </c>
      <c r="C7740" t="str">
        <v>-</v>
      </c>
      <c r="D7740" t="str">
        <v>-</v>
      </c>
      <c r="E7740" t="str">
        <v/>
      </c>
      <c r="F7740" t="str">
        <v>-</v>
      </c>
      <c r="G7740" t="str">
        <v>-</v>
      </c>
    </row>
    <row r="7741">
      <c r="A7741">
        <v>7740</v>
      </c>
      <c r="B7741" t="str">
        <v>UBND Ủy ban nhân dân xã Mão Điền  tỉnh Bắc Ninh</v>
      </c>
      <c r="C7741" t="str">
        <v>-</v>
      </c>
      <c r="D7741" t="str">
        <v>-</v>
      </c>
      <c r="E7741" t="str">
        <v>-</v>
      </c>
      <c r="F7741" t="str">
        <v>-</v>
      </c>
      <c r="G7741" t="str">
        <v>-</v>
      </c>
    </row>
    <row r="7742">
      <c r="A7742">
        <v>7741</v>
      </c>
      <c r="B7742" t="str">
        <v>Công an xã Song Hồ  tỉnh Bắc Ninh</v>
      </c>
      <c r="C7742" t="str">
        <v>-</v>
      </c>
      <c r="D7742" t="str">
        <v>-</v>
      </c>
      <c r="E7742" t="str">
        <v/>
      </c>
      <c r="F7742" t="str">
        <v>-</v>
      </c>
      <c r="G7742" t="str">
        <v>-</v>
      </c>
    </row>
    <row r="7743">
      <c r="A7743">
        <v>7742</v>
      </c>
      <c r="B7743" t="str">
        <v>UBND Ủy ban nhân dân xã Song Hồ  tỉnh Bắc Ninh</v>
      </c>
      <c r="C7743" t="str">
        <v>-</v>
      </c>
      <c r="D7743" t="str">
        <v>-</v>
      </c>
      <c r="E7743" t="str">
        <v>-</v>
      </c>
      <c r="F7743" t="str">
        <v>-</v>
      </c>
      <c r="G7743" t="str">
        <v>-</v>
      </c>
    </row>
    <row r="7744">
      <c r="A7744">
        <v>7743</v>
      </c>
      <c r="B7744" t="str">
        <v>Công an xã Đình Tổ  tỉnh Bắc Ninh</v>
      </c>
      <c r="C7744" t="str">
        <v>-</v>
      </c>
      <c r="D7744" t="str">
        <v>-</v>
      </c>
      <c r="E7744" t="str">
        <v/>
      </c>
      <c r="F7744" t="str">
        <v>-</v>
      </c>
      <c r="G7744" t="str">
        <v>-</v>
      </c>
    </row>
    <row r="7745">
      <c r="A7745">
        <v>7744</v>
      </c>
      <c r="B7745" t="str">
        <v>UBND Ủy ban nhân dân xã Đình Tổ  tỉnh Bắc Ninh</v>
      </c>
      <c r="C7745" t="str">
        <v>-</v>
      </c>
      <c r="D7745" t="str">
        <v>-</v>
      </c>
      <c r="E7745" t="str">
        <v>-</v>
      </c>
      <c r="F7745" t="str">
        <v>-</v>
      </c>
      <c r="G7745" t="str">
        <v>-</v>
      </c>
    </row>
    <row r="7746">
      <c r="A7746">
        <v>7745</v>
      </c>
      <c r="B7746" t="str">
        <v>Công an xã An Bình  tỉnh Bắc Ninh</v>
      </c>
      <c r="C7746" t="str">
        <v>-</v>
      </c>
      <c r="D7746" t="str">
        <v>-</v>
      </c>
      <c r="E7746" t="str">
        <v/>
      </c>
      <c r="F7746" t="str">
        <v>-</v>
      </c>
      <c r="G7746" t="str">
        <v>-</v>
      </c>
    </row>
    <row r="7747">
      <c r="A7747">
        <v>7746</v>
      </c>
      <c r="B7747" t="str">
        <v>UBND Ủy ban nhân dân xã An Bình  tỉnh Bắc Ninh</v>
      </c>
      <c r="C7747" t="str">
        <v>-</v>
      </c>
      <c r="D7747" t="str">
        <v>-</v>
      </c>
      <c r="E7747" t="str">
        <v>-</v>
      </c>
      <c r="F7747" t="str">
        <v>-</v>
      </c>
      <c r="G7747" t="str">
        <v>-</v>
      </c>
    </row>
    <row r="7748">
      <c r="A7748">
        <v>7747</v>
      </c>
      <c r="B7748" t="str">
        <v>Công an xã Trí Quả  tỉnh Bắc Ninh</v>
      </c>
      <c r="C7748" t="str">
        <v>-</v>
      </c>
      <c r="D7748" t="str">
        <v>-</v>
      </c>
      <c r="E7748" t="str">
        <v/>
      </c>
      <c r="F7748" t="str">
        <v>-</v>
      </c>
      <c r="G7748" t="str">
        <v>-</v>
      </c>
    </row>
    <row r="7749">
      <c r="A7749">
        <v>7748</v>
      </c>
      <c r="B7749" t="str">
        <v>UBND Ủy ban nhân dân xã Trí Quả  tỉnh Bắc Ninh</v>
      </c>
      <c r="C7749" t="str">
        <v>-</v>
      </c>
      <c r="D7749" t="str">
        <v>-</v>
      </c>
      <c r="E7749" t="str">
        <v>-</v>
      </c>
      <c r="F7749" t="str">
        <v>-</v>
      </c>
      <c r="G7749" t="str">
        <v>-</v>
      </c>
    </row>
    <row r="7750">
      <c r="A7750">
        <v>7749</v>
      </c>
      <c r="B7750" t="str">
        <v>Công an xã Gia Đông  tỉnh Bắc Ninh</v>
      </c>
      <c r="C7750" t="str">
        <v>-</v>
      </c>
      <c r="D7750" t="str">
        <v>-</v>
      </c>
      <c r="E7750" t="str">
        <v/>
      </c>
      <c r="F7750" t="str">
        <v>-</v>
      </c>
      <c r="G7750" t="str">
        <v>-</v>
      </c>
    </row>
    <row r="7751">
      <c r="A7751">
        <v>7750</v>
      </c>
      <c r="B7751" t="str">
        <v>UBND Ủy ban nhân dân xã Gia Đông  tỉnh Bắc Ninh</v>
      </c>
      <c r="C7751" t="str">
        <v>-</v>
      </c>
      <c r="D7751" t="str">
        <v>-</v>
      </c>
      <c r="E7751" t="str">
        <v>-</v>
      </c>
      <c r="F7751" t="str">
        <v>-</v>
      </c>
      <c r="G7751" t="str">
        <v>-</v>
      </c>
    </row>
    <row r="7752">
      <c r="A7752">
        <v>7751</v>
      </c>
      <c r="B7752" t="str">
        <v>Công an xã Thanh Khương  tỉnh Bắc Ninh</v>
      </c>
      <c r="C7752" t="str">
        <v>-</v>
      </c>
      <c r="D7752" t="str">
        <v>-</v>
      </c>
      <c r="E7752" t="str">
        <v/>
      </c>
      <c r="F7752" t="str">
        <v>-</v>
      </c>
      <c r="G7752" t="str">
        <v>-</v>
      </c>
    </row>
    <row r="7753">
      <c r="A7753">
        <v>7752</v>
      </c>
      <c r="B7753" t="str">
        <v>UBND Ủy ban nhân dân xã Thanh Khương  tỉnh Bắc Ninh</v>
      </c>
      <c r="C7753" t="str">
        <v>-</v>
      </c>
      <c r="D7753" t="str">
        <v>-</v>
      </c>
      <c r="E7753" t="str">
        <v>-</v>
      </c>
      <c r="F7753" t="str">
        <v>-</v>
      </c>
      <c r="G7753" t="str">
        <v>-</v>
      </c>
    </row>
    <row r="7754">
      <c r="A7754">
        <v>7753</v>
      </c>
      <c r="B7754" t="str">
        <v>Công an xã Trạm Lộ  tỉnh Bắc Ninh</v>
      </c>
      <c r="C7754" t="str">
        <v>-</v>
      </c>
      <c r="D7754" t="str">
        <v>-</v>
      </c>
      <c r="E7754" t="str">
        <v/>
      </c>
      <c r="F7754" t="str">
        <v>-</v>
      </c>
      <c r="G7754" t="str">
        <v>-</v>
      </c>
    </row>
    <row r="7755">
      <c r="A7755">
        <v>7754</v>
      </c>
      <c r="B7755" t="str">
        <v>UBND Ủy ban nhân dân xã Trạm Lộ  tỉnh Bắc Ninh</v>
      </c>
      <c r="C7755" t="str">
        <v>-</v>
      </c>
      <c r="D7755" t="str">
        <v>-</v>
      </c>
      <c r="E7755" t="str">
        <v>-</v>
      </c>
      <c r="F7755" t="str">
        <v>-</v>
      </c>
      <c r="G7755" t="str">
        <v>-</v>
      </c>
    </row>
    <row r="7756">
      <c r="A7756">
        <v>7755</v>
      </c>
      <c r="B7756" t="str">
        <v>Công an xã Xuân Lâm  tỉnh Bắc Ninh</v>
      </c>
      <c r="C7756" t="str">
        <v>-</v>
      </c>
      <c r="D7756" t="str">
        <v>-</v>
      </c>
      <c r="E7756" t="str">
        <v/>
      </c>
      <c r="F7756" t="str">
        <v>-</v>
      </c>
      <c r="G7756" t="str">
        <v>-</v>
      </c>
    </row>
    <row r="7757">
      <c r="A7757">
        <v>7756</v>
      </c>
      <c r="B7757" t="str">
        <v>UBND Ủy ban nhân dân xã Xuân Lâm  tỉnh Bắc Ninh</v>
      </c>
      <c r="C7757" t="str">
        <v>-</v>
      </c>
      <c r="D7757" t="str">
        <v>-</v>
      </c>
      <c r="E7757" t="str">
        <v>-</v>
      </c>
      <c r="F7757" t="str">
        <v>-</v>
      </c>
      <c r="G7757" t="str">
        <v>-</v>
      </c>
    </row>
    <row r="7758">
      <c r="A7758">
        <v>7757</v>
      </c>
      <c r="B7758" t="str">
        <v>Công an xã Hà Mãn  tỉnh Bắc Ninh</v>
      </c>
      <c r="C7758" t="str">
        <v>-</v>
      </c>
      <c r="D7758" t="str">
        <v>-</v>
      </c>
      <c r="E7758" t="str">
        <v/>
      </c>
      <c r="F7758" t="str">
        <v>-</v>
      </c>
      <c r="G7758" t="str">
        <v>-</v>
      </c>
    </row>
    <row r="7759">
      <c r="A7759">
        <v>7758</v>
      </c>
      <c r="B7759" t="str">
        <v>UBND Ủy ban nhân dân xã Hà Mãn  tỉnh Bắc Ninh</v>
      </c>
      <c r="C7759" t="str">
        <v>-</v>
      </c>
      <c r="D7759" t="str">
        <v>-</v>
      </c>
      <c r="E7759" t="str">
        <v>-</v>
      </c>
      <c r="F7759" t="str">
        <v>-</v>
      </c>
      <c r="G7759" t="str">
        <v>-</v>
      </c>
    </row>
    <row r="7760">
      <c r="A7760">
        <v>7759</v>
      </c>
      <c r="B7760" t="str">
        <v>Công an xã Ngũ Thái  tỉnh Bắc Ninh</v>
      </c>
      <c r="C7760" t="str">
        <v>-</v>
      </c>
      <c r="D7760" t="str">
        <v>-</v>
      </c>
      <c r="E7760" t="str">
        <v/>
      </c>
      <c r="F7760" t="str">
        <v>-</v>
      </c>
      <c r="G7760" t="str">
        <v>-</v>
      </c>
    </row>
    <row r="7761">
      <c r="A7761">
        <v>7760</v>
      </c>
      <c r="B7761" t="str">
        <v>UBND Ủy ban nhân dân xã Ngũ Thái  tỉnh Bắc Ninh</v>
      </c>
      <c r="C7761" t="str">
        <v>-</v>
      </c>
      <c r="D7761" t="str">
        <v>-</v>
      </c>
      <c r="E7761" t="str">
        <v>-</v>
      </c>
      <c r="F7761" t="str">
        <v>-</v>
      </c>
      <c r="G7761" t="str">
        <v>-</v>
      </c>
    </row>
    <row r="7762">
      <c r="A7762">
        <v>7761</v>
      </c>
      <c r="B7762" t="str">
        <v>Công an xã Nguyệt Đức  tỉnh Bắc Ninh</v>
      </c>
      <c r="C7762" t="str">
        <v>-</v>
      </c>
      <c r="D7762" t="str">
        <v>-</v>
      </c>
      <c r="E7762" t="str">
        <v/>
      </c>
      <c r="F7762" t="str">
        <v>-</v>
      </c>
      <c r="G7762" t="str">
        <v>-</v>
      </c>
    </row>
    <row r="7763">
      <c r="A7763">
        <v>7762</v>
      </c>
      <c r="B7763" t="str">
        <v>UBND Ủy ban nhân dân xã Nguyệt Đức  tỉnh Bắc Ninh</v>
      </c>
      <c r="C7763" t="str">
        <v>-</v>
      </c>
      <c r="D7763" t="str">
        <v>-</v>
      </c>
      <c r="E7763" t="str">
        <v>-</v>
      </c>
      <c r="F7763" t="str">
        <v>-</v>
      </c>
      <c r="G7763" t="str">
        <v>-</v>
      </c>
    </row>
    <row r="7764">
      <c r="A7764">
        <v>7763</v>
      </c>
      <c r="B7764" t="str">
        <v>Công an xã Ninh Xá  tỉnh Bắc Ninh</v>
      </c>
      <c r="C7764" t="str">
        <v>-</v>
      </c>
      <c r="D7764" t="str">
        <v>-</v>
      </c>
      <c r="E7764" t="str">
        <v/>
      </c>
      <c r="F7764" t="str">
        <v>-</v>
      </c>
      <c r="G7764" t="str">
        <v>-</v>
      </c>
    </row>
    <row r="7765">
      <c r="A7765">
        <v>7764</v>
      </c>
      <c r="B7765" t="str">
        <v>UBND Ủy ban nhân dân xã Ninh Xá  tỉnh Bắc Ninh</v>
      </c>
      <c r="C7765" t="str">
        <v>-</v>
      </c>
      <c r="D7765" t="str">
        <v>-</v>
      </c>
      <c r="E7765" t="str">
        <v>-</v>
      </c>
      <c r="F7765" t="str">
        <v>-</v>
      </c>
      <c r="G7765" t="str">
        <v>-</v>
      </c>
    </row>
    <row r="7766">
      <c r="A7766">
        <v>7765</v>
      </c>
      <c r="B7766" t="str">
        <v>Công an xã Nghĩa Đạo  tỉnh Bắc Ninh</v>
      </c>
      <c r="C7766" t="str">
        <v>-</v>
      </c>
      <c r="D7766" t="str">
        <v>-</v>
      </c>
      <c r="E7766" t="str">
        <v/>
      </c>
      <c r="F7766" t="str">
        <v>-</v>
      </c>
      <c r="G7766" t="str">
        <v>-</v>
      </c>
    </row>
    <row r="7767">
      <c r="A7767">
        <v>7766</v>
      </c>
      <c r="B7767" t="str">
        <v>UBND Ủy ban nhân dân xã Nghĩa Đạo  tỉnh Bắc Ninh</v>
      </c>
      <c r="C7767" t="str">
        <v>-</v>
      </c>
      <c r="D7767" t="str">
        <v>-</v>
      </c>
      <c r="E7767" t="str">
        <v>-</v>
      </c>
      <c r="F7767" t="str">
        <v>-</v>
      </c>
      <c r="G7767" t="str">
        <v>-</v>
      </c>
    </row>
    <row r="7768">
      <c r="A7768">
        <v>7767</v>
      </c>
      <c r="B7768" t="str">
        <v>Công an xã Song Liễu  tỉnh Bắc Ninh</v>
      </c>
      <c r="C7768" t="str">
        <v>-</v>
      </c>
      <c r="D7768" t="str">
        <v>-</v>
      </c>
      <c r="E7768" t="str">
        <v/>
      </c>
      <c r="F7768" t="str">
        <v>-</v>
      </c>
      <c r="G7768" t="str">
        <v>-</v>
      </c>
    </row>
    <row r="7769">
      <c r="A7769">
        <v>7768</v>
      </c>
      <c r="B7769" t="str">
        <v>UBND Ủy ban nhân dân xã Song Liễu  tỉnh Bắc Ninh</v>
      </c>
      <c r="C7769" t="str">
        <v>-</v>
      </c>
      <c r="D7769" t="str">
        <v>-</v>
      </c>
      <c r="E7769" t="str">
        <v>-</v>
      </c>
      <c r="F7769" t="str">
        <v>-</v>
      </c>
      <c r="G7769" t="str">
        <v>-</v>
      </c>
    </row>
    <row r="7770">
      <c r="A7770">
        <v>7769</v>
      </c>
      <c r="B7770" t="str">
        <v>Công an thị trấn Gia Bình  tỉnh Bắc Ninh</v>
      </c>
      <c r="C7770" t="str">
        <v>-</v>
      </c>
      <c r="D7770" t="str">
        <v>-</v>
      </c>
      <c r="E7770" t="str">
        <v/>
      </c>
      <c r="F7770" t="str">
        <v>-</v>
      </c>
      <c r="G7770" t="str">
        <v>-</v>
      </c>
    </row>
    <row r="7771">
      <c r="A7771">
        <v>7770</v>
      </c>
      <c r="B7771" t="str">
        <v>UBND Ủy ban nhân dân thị trấn Gia Bình  tỉnh Bắc Ninh</v>
      </c>
      <c r="C7771" t="str">
        <v>-</v>
      </c>
      <c r="D7771" t="str">
        <v>-</v>
      </c>
      <c r="E7771" t="str">
        <v>-</v>
      </c>
      <c r="F7771" t="str">
        <v>-</v>
      </c>
      <c r="G7771" t="str">
        <v>-</v>
      </c>
    </row>
    <row r="7772">
      <c r="A7772">
        <v>7771</v>
      </c>
      <c r="B7772" t="str">
        <v>Công an xã Vạn Ninh  tỉnh Bắc Ninh</v>
      </c>
      <c r="C7772" t="str">
        <v>-</v>
      </c>
      <c r="D7772" t="str">
        <v>-</v>
      </c>
      <c r="E7772" t="str">
        <v/>
      </c>
      <c r="F7772" t="str">
        <v>-</v>
      </c>
      <c r="G7772" t="str">
        <v>-</v>
      </c>
    </row>
    <row r="7773">
      <c r="A7773">
        <v>7772</v>
      </c>
      <c r="B7773" t="str">
        <v>UBND Ủy ban nhân dân xã Vạn Ninh  tỉnh Bắc Ninh</v>
      </c>
      <c r="C7773" t="str">
        <v>-</v>
      </c>
      <c r="D7773" t="str">
        <v>-</v>
      </c>
      <c r="E7773" t="str">
        <v>-</v>
      </c>
      <c r="F7773" t="str">
        <v>-</v>
      </c>
      <c r="G7773" t="str">
        <v>-</v>
      </c>
    </row>
    <row r="7774">
      <c r="A7774">
        <v>7773</v>
      </c>
      <c r="B7774" t="str">
        <v>Công an xã Thái Bảo  tỉnh Bắc Ninh</v>
      </c>
      <c r="C7774" t="str">
        <v>-</v>
      </c>
      <c r="D7774" t="str">
        <v>-</v>
      </c>
      <c r="E7774" t="str">
        <v/>
      </c>
      <c r="F7774" t="str">
        <v>-</v>
      </c>
      <c r="G7774" t="str">
        <v>-</v>
      </c>
    </row>
    <row r="7775">
      <c r="A7775">
        <v>7774</v>
      </c>
      <c r="B7775" t="str">
        <v>UBND Ủy ban nhân dân xã Thái Bảo  tỉnh Bắc Ninh</v>
      </c>
      <c r="C7775" t="str">
        <v>-</v>
      </c>
      <c r="D7775" t="str">
        <v>-</v>
      </c>
      <c r="E7775" t="str">
        <v>-</v>
      </c>
      <c r="F7775" t="str">
        <v>-</v>
      </c>
      <c r="G7775" t="str">
        <v>-</v>
      </c>
    </row>
    <row r="7776">
      <c r="A7776">
        <v>7775</v>
      </c>
      <c r="B7776" t="str">
        <v>Công an xã Giang Sơn  tỉnh Bắc Ninh</v>
      </c>
      <c r="C7776" t="str">
        <v>-</v>
      </c>
      <c r="D7776" t="str">
        <v>-</v>
      </c>
      <c r="E7776" t="str">
        <v/>
      </c>
      <c r="F7776" t="str">
        <v>-</v>
      </c>
      <c r="G7776" t="str">
        <v>-</v>
      </c>
    </row>
    <row r="7777">
      <c r="A7777">
        <v>7776</v>
      </c>
      <c r="B7777" t="str">
        <v>UBND Ủy ban nhân dân xã Giang Sơn  tỉnh Bắc Ninh</v>
      </c>
      <c r="C7777" t="str">
        <v>-</v>
      </c>
      <c r="D7777" t="str">
        <v>-</v>
      </c>
      <c r="E7777" t="str">
        <v>-</v>
      </c>
      <c r="F7777" t="str">
        <v>-</v>
      </c>
      <c r="G7777" t="str">
        <v>-</v>
      </c>
    </row>
    <row r="7778">
      <c r="A7778">
        <v>7777</v>
      </c>
      <c r="B7778" t="str">
        <v>Công an xã Cao Đức  tỉnh Bắc Ninh</v>
      </c>
      <c r="C7778" t="str">
        <v>-</v>
      </c>
      <c r="D7778" t="str">
        <v>-</v>
      </c>
      <c r="E7778" t="str">
        <v/>
      </c>
      <c r="F7778" t="str">
        <v>-</v>
      </c>
      <c r="G7778" t="str">
        <v>-</v>
      </c>
    </row>
    <row r="7779">
      <c r="A7779">
        <v>7778</v>
      </c>
      <c r="B7779" t="str">
        <v>UBND Ủy ban nhân dân xã Cao Đức  tỉnh Bắc Ninh</v>
      </c>
      <c r="C7779" t="str">
        <v>-</v>
      </c>
      <c r="D7779" t="str">
        <v>-</v>
      </c>
      <c r="E7779" t="str">
        <v>-</v>
      </c>
      <c r="F7779" t="str">
        <v>-</v>
      </c>
      <c r="G7779" t="str">
        <v>-</v>
      </c>
    </row>
    <row r="7780">
      <c r="A7780">
        <v>7779</v>
      </c>
      <c r="B7780" t="str">
        <v>Công an xã Đại Lai  tỉnh Bắc Ninh</v>
      </c>
      <c r="C7780" t="str">
        <v>-</v>
      </c>
      <c r="D7780" t="str">
        <v>-</v>
      </c>
      <c r="E7780" t="str">
        <v/>
      </c>
      <c r="F7780" t="str">
        <v>-</v>
      </c>
      <c r="G7780" t="str">
        <v>-</v>
      </c>
    </row>
    <row r="7781">
      <c r="A7781">
        <v>7780</v>
      </c>
      <c r="B7781" t="str">
        <v>UBND Ủy ban nhân dân xã Đại Lai  tỉnh Bắc Ninh</v>
      </c>
      <c r="C7781" t="str">
        <v>-</v>
      </c>
      <c r="D7781" t="str">
        <v>-</v>
      </c>
      <c r="E7781" t="str">
        <v>-</v>
      </c>
      <c r="F7781" t="str">
        <v>-</v>
      </c>
      <c r="G7781" t="str">
        <v>-</v>
      </c>
    </row>
    <row r="7782">
      <c r="A7782">
        <v>7781</v>
      </c>
      <c r="B7782" t="str">
        <v>Công an xã Song Giang  tỉnh Bắc Ninh</v>
      </c>
      <c r="C7782" t="str">
        <v>-</v>
      </c>
      <c r="D7782" t="str">
        <v>-</v>
      </c>
      <c r="E7782" t="str">
        <v/>
      </c>
      <c r="F7782" t="str">
        <v>-</v>
      </c>
      <c r="G7782" t="str">
        <v>-</v>
      </c>
    </row>
    <row r="7783">
      <c r="A7783">
        <v>7782</v>
      </c>
      <c r="B7783" t="str">
        <v>UBND Ủy ban nhân dân xã Song Giang  tỉnh Bắc Ninh</v>
      </c>
      <c r="C7783" t="str">
        <v>-</v>
      </c>
      <c r="D7783" t="str">
        <v>-</v>
      </c>
      <c r="E7783" t="str">
        <v>-</v>
      </c>
      <c r="F7783" t="str">
        <v>-</v>
      </c>
      <c r="G7783" t="str">
        <v>-</v>
      </c>
    </row>
    <row r="7784">
      <c r="A7784">
        <v>7783</v>
      </c>
      <c r="B7784" t="str">
        <v>Công an xã Bình Dương  tỉnh Bắc Ninh</v>
      </c>
      <c r="C7784" t="str">
        <v>-</v>
      </c>
      <c r="D7784" t="str">
        <v>-</v>
      </c>
      <c r="E7784" t="str">
        <v/>
      </c>
      <c r="F7784" t="str">
        <v>-</v>
      </c>
      <c r="G7784" t="str">
        <v>-</v>
      </c>
    </row>
    <row r="7785">
      <c r="A7785">
        <v>7784</v>
      </c>
      <c r="B7785" t="str">
        <v>UBND Ủy ban nhân dân xã Bình Dương  tỉnh Bắc Ninh</v>
      </c>
      <c r="C7785" t="str">
        <v>-</v>
      </c>
      <c r="D7785" t="str">
        <v>-</v>
      </c>
      <c r="E7785" t="str">
        <v>-</v>
      </c>
      <c r="F7785" t="str">
        <v>-</v>
      </c>
      <c r="G7785" t="str">
        <v>-</v>
      </c>
    </row>
    <row r="7786">
      <c r="A7786">
        <v>7785</v>
      </c>
      <c r="B7786" t="str">
        <v>Công an xã Lãng Ngâm  tỉnh Bắc Ninh</v>
      </c>
      <c r="C7786" t="str">
        <v>-</v>
      </c>
      <c r="D7786" t="str">
        <v>-</v>
      </c>
      <c r="E7786" t="str">
        <v/>
      </c>
      <c r="F7786" t="str">
        <v>-</v>
      </c>
      <c r="G7786" t="str">
        <v>-</v>
      </c>
    </row>
    <row r="7787">
      <c r="A7787">
        <v>7786</v>
      </c>
      <c r="B7787" t="str">
        <v>UBND Ủy ban nhân dân xã Lãng Ngâm  tỉnh Bắc Ninh</v>
      </c>
      <c r="C7787" t="str">
        <v>-</v>
      </c>
      <c r="D7787" t="str">
        <v>-</v>
      </c>
      <c r="E7787" t="str">
        <v>-</v>
      </c>
      <c r="F7787" t="str">
        <v>-</v>
      </c>
      <c r="G7787" t="str">
        <v>-</v>
      </c>
    </row>
    <row r="7788">
      <c r="A7788">
        <v>7787</v>
      </c>
      <c r="B7788" t="str">
        <v>Công an xã Nhân Thắng  tỉnh Bắc Ninh</v>
      </c>
      <c r="C7788" t="str">
        <v>-</v>
      </c>
      <c r="D7788" t="str">
        <v>-</v>
      </c>
      <c r="E7788" t="str">
        <v/>
      </c>
      <c r="F7788" t="str">
        <v>-</v>
      </c>
      <c r="G7788" t="str">
        <v>-</v>
      </c>
    </row>
    <row r="7789">
      <c r="A7789">
        <v>7788</v>
      </c>
      <c r="B7789" t="str">
        <v>UBND Ủy ban nhân dân xã Nhân Thắng  tỉnh Bắc Ninh</v>
      </c>
      <c r="C7789" t="str">
        <v>-</v>
      </c>
      <c r="D7789" t="str">
        <v>-</v>
      </c>
      <c r="E7789" t="str">
        <v>-</v>
      </c>
      <c r="F7789" t="str">
        <v>-</v>
      </c>
      <c r="G7789" t="str">
        <v>-</v>
      </c>
    </row>
    <row r="7790">
      <c r="A7790">
        <v>7789</v>
      </c>
      <c r="B7790" t="str">
        <v>Công an xã Xuân Lai  tỉnh Bắc Ninh</v>
      </c>
      <c r="C7790" t="str">
        <v>-</v>
      </c>
      <c r="D7790" t="str">
        <v>-</v>
      </c>
      <c r="E7790" t="str">
        <v/>
      </c>
      <c r="F7790" t="str">
        <v>-</v>
      </c>
      <c r="G7790" t="str">
        <v>-</v>
      </c>
    </row>
    <row r="7791">
      <c r="A7791">
        <v>7790</v>
      </c>
      <c r="B7791" t="str">
        <v>UBND Ủy ban nhân dân xã Xuân Lai  tỉnh Bắc Ninh</v>
      </c>
      <c r="C7791" t="str">
        <v>-</v>
      </c>
      <c r="D7791" t="str">
        <v>-</v>
      </c>
      <c r="E7791" t="str">
        <v>-</v>
      </c>
      <c r="F7791" t="str">
        <v>-</v>
      </c>
      <c r="G7791" t="str">
        <v>-</v>
      </c>
    </row>
    <row r="7792">
      <c r="A7792">
        <v>7791</v>
      </c>
      <c r="B7792" t="str">
        <v>Công an xã Đông Cứu  tỉnh Bắc Ninh</v>
      </c>
      <c r="C7792" t="str">
        <v>-</v>
      </c>
      <c r="D7792" t="str">
        <v>-</v>
      </c>
      <c r="E7792" t="str">
        <v/>
      </c>
      <c r="F7792" t="str">
        <v>-</v>
      </c>
      <c r="G7792" t="str">
        <v>-</v>
      </c>
    </row>
    <row r="7793">
      <c r="A7793">
        <v>7792</v>
      </c>
      <c r="B7793" t="str">
        <v>UBND Ủy ban nhân dân xã Đông Cứu  tỉnh Bắc Ninh</v>
      </c>
      <c r="C7793" t="str">
        <v>-</v>
      </c>
      <c r="D7793" t="str">
        <v>-</v>
      </c>
      <c r="E7793" t="str">
        <v>-</v>
      </c>
      <c r="F7793" t="str">
        <v>-</v>
      </c>
      <c r="G7793" t="str">
        <v>-</v>
      </c>
    </row>
    <row r="7794">
      <c r="A7794">
        <v>7793</v>
      </c>
      <c r="B7794" t="str">
        <v>Công an xã Đại Bái  tỉnh Bắc Ninh</v>
      </c>
      <c r="C7794" t="str">
        <v>-</v>
      </c>
      <c r="D7794" t="str">
        <v>-</v>
      </c>
      <c r="E7794" t="str">
        <v/>
      </c>
      <c r="F7794" t="str">
        <v>-</v>
      </c>
      <c r="G7794" t="str">
        <v>-</v>
      </c>
    </row>
    <row r="7795">
      <c r="A7795">
        <v>7794</v>
      </c>
      <c r="B7795" t="str">
        <v>UBND Ủy ban nhân dân xã Đại Bái  tỉnh Bắc Ninh</v>
      </c>
      <c r="C7795" t="str">
        <v>-</v>
      </c>
      <c r="D7795" t="str">
        <v>-</v>
      </c>
      <c r="E7795" t="str">
        <v>-</v>
      </c>
      <c r="F7795" t="str">
        <v>-</v>
      </c>
      <c r="G7795" t="str">
        <v>-</v>
      </c>
    </row>
    <row r="7796">
      <c r="A7796">
        <v>7795</v>
      </c>
      <c r="B7796" t="str">
        <v>Công an xã Quỳnh Phú  tỉnh Bắc Ninh</v>
      </c>
      <c r="C7796" t="str">
        <v>-</v>
      </c>
      <c r="D7796" t="str">
        <v>-</v>
      </c>
      <c r="E7796" t="str">
        <v/>
      </c>
      <c r="F7796" t="str">
        <v>-</v>
      </c>
      <c r="G7796" t="str">
        <v>-</v>
      </c>
    </row>
    <row r="7797">
      <c r="A7797">
        <v>7796</v>
      </c>
      <c r="B7797" t="str">
        <v>UBND Ủy ban nhân dân xã Quỳnh Phú  tỉnh Bắc Ninh</v>
      </c>
      <c r="C7797" t="str">
        <v>-</v>
      </c>
      <c r="D7797" t="str">
        <v>-</v>
      </c>
      <c r="E7797" t="str">
        <v>-</v>
      </c>
      <c r="F7797" t="str">
        <v>-</v>
      </c>
      <c r="G7797" t="str">
        <v>-</v>
      </c>
    </row>
    <row r="7798">
      <c r="A7798">
        <v>7797</v>
      </c>
      <c r="B7798" t="str">
        <v>Công an thị trấn Thứa  tỉnh Bắc Ninh</v>
      </c>
      <c r="C7798" t="str">
        <v>-</v>
      </c>
      <c r="D7798" t="str">
        <v>-</v>
      </c>
      <c r="E7798" t="str">
        <v/>
      </c>
      <c r="F7798" t="str">
        <v>-</v>
      </c>
      <c r="G7798" t="str">
        <v>-</v>
      </c>
    </row>
    <row r="7799">
      <c r="A7799">
        <v>7798</v>
      </c>
      <c r="B7799" t="str">
        <v>UBND Ủy ban nhân dân thị trấn Thứa  tỉnh Bắc Ninh</v>
      </c>
      <c r="C7799" t="str">
        <v>-</v>
      </c>
      <c r="D7799" t="str">
        <v>-</v>
      </c>
      <c r="E7799" t="str">
        <v>-</v>
      </c>
      <c r="F7799" t="str">
        <v>-</v>
      </c>
      <c r="G7799" t="str">
        <v>-</v>
      </c>
    </row>
    <row r="7800">
      <c r="A7800">
        <v>7799</v>
      </c>
      <c r="B7800" t="str">
        <v>Công an xã An Thịnh  tỉnh Bắc Ninh</v>
      </c>
      <c r="C7800" t="str">
        <v>-</v>
      </c>
      <c r="D7800" t="str">
        <v>-</v>
      </c>
      <c r="E7800" t="str">
        <v/>
      </c>
      <c r="F7800" t="str">
        <v>-</v>
      </c>
      <c r="G7800" t="str">
        <v>-</v>
      </c>
    </row>
    <row r="7801">
      <c r="A7801">
        <v>7800</v>
      </c>
      <c r="B7801" t="str">
        <v>UBND Ủy ban nhân dân xã An Thịnh  tỉnh Bắc Ninh</v>
      </c>
      <c r="C7801" t="str">
        <v>-</v>
      </c>
      <c r="D7801" t="str">
        <v>-</v>
      </c>
      <c r="E7801" t="str">
        <v>-</v>
      </c>
      <c r="F7801" t="str">
        <v>-</v>
      </c>
      <c r="G7801" t="str">
        <v>-</v>
      </c>
    </row>
    <row r="7802">
      <c r="A7802">
        <v>7801</v>
      </c>
      <c r="B7802" t="str">
        <v>Công an xã Trung Kênh  tỉnh Bắc Ninh</v>
      </c>
      <c r="C7802" t="str">
        <v>-</v>
      </c>
      <c r="D7802" t="str">
        <v>-</v>
      </c>
      <c r="E7802" t="str">
        <v/>
      </c>
      <c r="F7802" t="str">
        <v>-</v>
      </c>
      <c r="G7802" t="str">
        <v>-</v>
      </c>
    </row>
    <row r="7803">
      <c r="A7803">
        <v>7802</v>
      </c>
      <c r="B7803" t="str">
        <v>UBND Ủy ban nhân dân xã Trung Kênh  tỉnh Bắc Ninh</v>
      </c>
      <c r="C7803" t="str">
        <v>-</v>
      </c>
      <c r="D7803" t="str">
        <v>-</v>
      </c>
      <c r="E7803" t="str">
        <v>-</v>
      </c>
      <c r="F7803" t="str">
        <v>-</v>
      </c>
      <c r="G7803" t="str">
        <v>-</v>
      </c>
    </row>
    <row r="7804">
      <c r="A7804">
        <v>7803</v>
      </c>
      <c r="B7804" t="str">
        <v>Công an xã Phú Hòa  tỉnh Bắc Ninh</v>
      </c>
      <c r="C7804" t="str">
        <v>-</v>
      </c>
      <c r="D7804" t="str">
        <v>-</v>
      </c>
      <c r="E7804" t="str">
        <v/>
      </c>
      <c r="F7804" t="str">
        <v>-</v>
      </c>
      <c r="G7804" t="str">
        <v>-</v>
      </c>
    </row>
    <row r="7805">
      <c r="A7805">
        <v>7804</v>
      </c>
      <c r="B7805" t="str">
        <v>UBND Ủy ban nhân dân xã Phú Hòa  tỉnh Bắc Ninh</v>
      </c>
      <c r="C7805" t="str">
        <v>-</v>
      </c>
      <c r="D7805" t="str">
        <v>-</v>
      </c>
      <c r="E7805" t="str">
        <v>-</v>
      </c>
      <c r="F7805" t="str">
        <v>-</v>
      </c>
      <c r="G7805" t="str">
        <v>-</v>
      </c>
    </row>
    <row r="7806">
      <c r="A7806">
        <v>7805</v>
      </c>
      <c r="B7806" t="str">
        <v>Công an xã Mỹ Hương  tỉnh Bắc Ninh</v>
      </c>
      <c r="C7806" t="str">
        <v>-</v>
      </c>
      <c r="D7806" t="str">
        <v>-</v>
      </c>
      <c r="E7806" t="str">
        <v/>
      </c>
      <c r="F7806" t="str">
        <v>-</v>
      </c>
      <c r="G7806" t="str">
        <v>-</v>
      </c>
    </row>
    <row r="7807">
      <c r="A7807">
        <v>7806</v>
      </c>
      <c r="B7807" t="str">
        <v>UBND Ủy ban nhân dân xã Mỹ Hương  tỉnh Bắc Ninh</v>
      </c>
      <c r="C7807" t="str">
        <v>-</v>
      </c>
      <c r="D7807" t="str">
        <v>-</v>
      </c>
      <c r="E7807" t="str">
        <v>-</v>
      </c>
      <c r="F7807" t="str">
        <v>-</v>
      </c>
      <c r="G7807" t="str">
        <v>-</v>
      </c>
    </row>
    <row r="7808">
      <c r="A7808">
        <v>7807</v>
      </c>
      <c r="B7808" t="str">
        <v>Công an xã Tân Lãng  tỉnh Bắc Ninh</v>
      </c>
      <c r="C7808" t="str">
        <v>-</v>
      </c>
      <c r="D7808" t="str">
        <v>-</v>
      </c>
      <c r="E7808" t="str">
        <v/>
      </c>
      <c r="F7808" t="str">
        <v>-</v>
      </c>
      <c r="G7808" t="str">
        <v>-</v>
      </c>
    </row>
    <row r="7809">
      <c r="A7809">
        <v>7808</v>
      </c>
      <c r="B7809" t="str">
        <v>UBND Ủy ban nhân dân xã Tân Lãng  tỉnh Bắc Ninh</v>
      </c>
      <c r="C7809" t="str">
        <v>-</v>
      </c>
      <c r="D7809" t="str">
        <v>-</v>
      </c>
      <c r="E7809" t="str">
        <v>-</v>
      </c>
      <c r="F7809" t="str">
        <v>-</v>
      </c>
      <c r="G7809" t="str">
        <v>-</v>
      </c>
    </row>
    <row r="7810">
      <c r="A7810">
        <v>7809</v>
      </c>
      <c r="B7810" t="str">
        <v>Công an xã Quảng Phú  tỉnh Bắc Ninh</v>
      </c>
      <c r="C7810" t="str">
        <v>-</v>
      </c>
      <c r="D7810" t="str">
        <v>-</v>
      </c>
      <c r="E7810" t="str">
        <v/>
      </c>
      <c r="F7810" t="str">
        <v>-</v>
      </c>
      <c r="G7810" t="str">
        <v>-</v>
      </c>
    </row>
    <row r="7811">
      <c r="A7811">
        <v>7810</v>
      </c>
      <c r="B7811" t="str">
        <v>UBND Ủy ban nhân dân xã Quảng Phú  tỉnh Bắc Ninh</v>
      </c>
      <c r="C7811" t="str">
        <v>-</v>
      </c>
      <c r="D7811" t="str">
        <v>-</v>
      </c>
      <c r="E7811" t="str">
        <v>-</v>
      </c>
      <c r="F7811" t="str">
        <v>-</v>
      </c>
      <c r="G7811" t="str">
        <v>-</v>
      </c>
    </row>
    <row r="7812">
      <c r="A7812">
        <v>7811</v>
      </c>
      <c r="B7812" t="str">
        <v>Công an xã Trừng Xá  tỉnh Bắc Ninh</v>
      </c>
      <c r="C7812" t="str">
        <v>-</v>
      </c>
      <c r="D7812" t="str">
        <v>-</v>
      </c>
      <c r="E7812" t="str">
        <v/>
      </c>
      <c r="F7812" t="str">
        <v>-</v>
      </c>
      <c r="G7812" t="str">
        <v>-</v>
      </c>
    </row>
    <row r="7813">
      <c r="A7813">
        <v>7812</v>
      </c>
      <c r="B7813" t="str">
        <v>UBND Ủy ban nhân dân xã Trừng Xá  tỉnh Bắc Ninh</v>
      </c>
      <c r="C7813" t="str">
        <v>-</v>
      </c>
      <c r="D7813" t="str">
        <v>-</v>
      </c>
      <c r="E7813" t="str">
        <v>-</v>
      </c>
      <c r="F7813" t="str">
        <v>-</v>
      </c>
      <c r="G7813" t="str">
        <v>-</v>
      </c>
    </row>
    <row r="7814">
      <c r="A7814">
        <v>7813</v>
      </c>
      <c r="B7814" t="str">
        <v>Công an xã Lai Hạ  tỉnh Bắc Ninh</v>
      </c>
      <c r="C7814" t="str">
        <v>-</v>
      </c>
      <c r="D7814" t="str">
        <v>-</v>
      </c>
      <c r="E7814" t="str">
        <v/>
      </c>
      <c r="F7814" t="str">
        <v>-</v>
      </c>
      <c r="G7814" t="str">
        <v>-</v>
      </c>
    </row>
    <row r="7815">
      <c r="A7815">
        <v>7814</v>
      </c>
      <c r="B7815" t="str">
        <v>UBND Ủy ban nhân dân xã Lai Hạ  tỉnh Bắc Ninh</v>
      </c>
      <c r="C7815" t="str">
        <v>-</v>
      </c>
      <c r="D7815" t="str">
        <v>-</v>
      </c>
      <c r="E7815" t="str">
        <v>-</v>
      </c>
      <c r="F7815" t="str">
        <v>-</v>
      </c>
      <c r="G7815" t="str">
        <v>-</v>
      </c>
    </row>
    <row r="7816">
      <c r="A7816">
        <v>7815</v>
      </c>
      <c r="B7816" t="str">
        <v>Công an xã Trung Chính  tỉnh Bắc Ninh</v>
      </c>
      <c r="C7816" t="str">
        <v>-</v>
      </c>
      <c r="D7816" t="str">
        <v>-</v>
      </c>
      <c r="E7816" t="str">
        <v/>
      </c>
      <c r="F7816" t="str">
        <v>-</v>
      </c>
      <c r="G7816" t="str">
        <v>-</v>
      </c>
    </row>
    <row r="7817">
      <c r="A7817">
        <v>7816</v>
      </c>
      <c r="B7817" t="str">
        <v>UBND Ủy ban nhân dân xã Trung Chính  tỉnh Bắc Ninh</v>
      </c>
      <c r="C7817" t="str">
        <v>-</v>
      </c>
      <c r="D7817" t="str">
        <v>-</v>
      </c>
      <c r="E7817" t="str">
        <v>-</v>
      </c>
      <c r="F7817" t="str">
        <v>-</v>
      </c>
      <c r="G7817" t="str">
        <v>-</v>
      </c>
    </row>
    <row r="7818">
      <c r="A7818">
        <v>7817</v>
      </c>
      <c r="B7818" t="str">
        <v>Công an xã Minh Tân  tỉnh Bắc Ninh</v>
      </c>
      <c r="C7818" t="str">
        <v>-</v>
      </c>
      <c r="D7818" t="str">
        <v>-</v>
      </c>
      <c r="E7818" t="str">
        <v/>
      </c>
      <c r="F7818" t="str">
        <v>-</v>
      </c>
      <c r="G7818" t="str">
        <v>-</v>
      </c>
    </row>
    <row r="7819">
      <c r="A7819">
        <v>7818</v>
      </c>
      <c r="B7819" t="str">
        <v>UBND Ủy ban nhân dân xã Minh Tân  tỉnh Bắc Ninh</v>
      </c>
      <c r="C7819" t="str">
        <v>-</v>
      </c>
      <c r="D7819" t="str">
        <v>-</v>
      </c>
      <c r="E7819" t="str">
        <v>-</v>
      </c>
      <c r="F7819" t="str">
        <v>-</v>
      </c>
      <c r="G7819" t="str">
        <v>-</v>
      </c>
    </row>
    <row r="7820">
      <c r="A7820">
        <v>7819</v>
      </c>
      <c r="B7820" t="str">
        <v>Công an xã Bình Định  tỉnh Bắc Ninh</v>
      </c>
      <c r="C7820" t="str">
        <v>-</v>
      </c>
      <c r="D7820" t="str">
        <v>-</v>
      </c>
      <c r="E7820" t="str">
        <v/>
      </c>
      <c r="F7820" t="str">
        <v>-</v>
      </c>
      <c r="G7820" t="str">
        <v>-</v>
      </c>
    </row>
    <row r="7821">
      <c r="A7821">
        <v>7820</v>
      </c>
      <c r="B7821" t="str">
        <v>UBND Ủy ban nhân dân xã Bình Định  tỉnh Bắc Ninh</v>
      </c>
      <c r="C7821" t="str">
        <v>-</v>
      </c>
      <c r="D7821" t="str">
        <v>-</v>
      </c>
      <c r="E7821" t="str">
        <v>-</v>
      </c>
      <c r="F7821" t="str">
        <v>-</v>
      </c>
      <c r="G7821" t="str">
        <v>-</v>
      </c>
    </row>
    <row r="7822">
      <c r="A7822">
        <v>7821</v>
      </c>
      <c r="B7822" t="str">
        <v>Công an xã Phú Lương  tỉnh Bắc Ninh</v>
      </c>
      <c r="C7822" t="str">
        <v>-</v>
      </c>
      <c r="D7822" t="str">
        <v>-</v>
      </c>
      <c r="E7822" t="str">
        <v/>
      </c>
      <c r="F7822" t="str">
        <v>-</v>
      </c>
      <c r="G7822" t="str">
        <v>-</v>
      </c>
    </row>
    <row r="7823">
      <c r="A7823">
        <v>7822</v>
      </c>
      <c r="B7823" t="str">
        <v>UBND Ủy ban nhân dân xã Phú Lương  tỉnh Bắc Ninh</v>
      </c>
      <c r="C7823" t="str">
        <v>-</v>
      </c>
      <c r="D7823" t="str">
        <v>-</v>
      </c>
      <c r="E7823" t="str">
        <v>-</v>
      </c>
      <c r="F7823" t="str">
        <v>-</v>
      </c>
      <c r="G7823" t="str">
        <v>-</v>
      </c>
    </row>
    <row r="7824">
      <c r="A7824">
        <v>7823</v>
      </c>
      <c r="B7824" t="str">
        <v>Công an xã Lâm Thao  tỉnh Bắc Ninh</v>
      </c>
      <c r="C7824" t="str">
        <v>-</v>
      </c>
      <c r="D7824" t="str">
        <v>-</v>
      </c>
      <c r="E7824" t="str">
        <v/>
      </c>
      <c r="F7824" t="str">
        <v>-</v>
      </c>
      <c r="G7824" t="str">
        <v>-</v>
      </c>
    </row>
    <row r="7825">
      <c r="A7825">
        <v>7824</v>
      </c>
      <c r="B7825" t="str">
        <v>UBND Ủy ban nhân dân xã Lâm Thao  tỉnh Bắc Ninh</v>
      </c>
      <c r="C7825" t="str">
        <v>-</v>
      </c>
      <c r="D7825" t="str">
        <v>-</v>
      </c>
      <c r="E7825" t="str">
        <v>-</v>
      </c>
      <c r="F7825" t="str">
        <v>-</v>
      </c>
      <c r="G7825" t="str">
        <v>-</v>
      </c>
    </row>
    <row r="7826">
      <c r="A7826">
        <v>7825</v>
      </c>
      <c r="B7826" t="str">
        <v>Công an phường Cẩm Thượng  tỉnh Hải Dương</v>
      </c>
      <c r="C7826" t="str">
        <v>-</v>
      </c>
      <c r="D7826" t="str">
        <v>-</v>
      </c>
      <c r="E7826" t="str">
        <v/>
      </c>
      <c r="F7826" t="str">
        <v>-</v>
      </c>
      <c r="G7826" t="str">
        <v>-</v>
      </c>
    </row>
    <row r="7827">
      <c r="A7827">
        <v>7826</v>
      </c>
      <c r="B7827" t="str">
        <v>UBND Ủy ban nhân dân phường Cẩm Thượng  tỉnh Hải Dương</v>
      </c>
      <c r="C7827" t="str">
        <v>-</v>
      </c>
      <c r="D7827" t="str">
        <v>-</v>
      </c>
      <c r="E7827" t="str">
        <v>-</v>
      </c>
      <c r="F7827" t="str">
        <v>-</v>
      </c>
      <c r="G7827" t="str">
        <v>-</v>
      </c>
    </row>
    <row r="7828">
      <c r="A7828">
        <v>7827</v>
      </c>
      <c r="B7828" t="str">
        <v>Công an phường Bình Hàn  tỉnh Hải Dương</v>
      </c>
      <c r="C7828" t="str">
        <v>-</v>
      </c>
      <c r="D7828" t="str">
        <v>-</v>
      </c>
      <c r="E7828" t="str">
        <v/>
      </c>
      <c r="F7828" t="str">
        <v>-</v>
      </c>
      <c r="G7828" t="str">
        <v>-</v>
      </c>
    </row>
    <row r="7829">
      <c r="A7829">
        <v>7828</v>
      </c>
      <c r="B7829" t="str">
        <v>UBND Ủy ban nhân dân phường Bình Hàn  tỉnh Hải Dương</v>
      </c>
      <c r="C7829" t="str">
        <v>-</v>
      </c>
      <c r="D7829" t="str">
        <v>-</v>
      </c>
      <c r="E7829" t="str">
        <v>-</v>
      </c>
      <c r="F7829" t="str">
        <v>-</v>
      </c>
      <c r="G7829" t="str">
        <v>-</v>
      </c>
    </row>
    <row r="7830">
      <c r="A7830">
        <v>7829</v>
      </c>
      <c r="B7830" t="str">
        <v>Công an phường Ngọc Châu  tỉnh Hải Dương</v>
      </c>
      <c r="C7830" t="str">
        <v>-</v>
      </c>
      <c r="D7830" t="str">
        <v>-</v>
      </c>
      <c r="E7830" t="str">
        <v/>
      </c>
      <c r="F7830" t="str">
        <v>-</v>
      </c>
      <c r="G7830" t="str">
        <v>-</v>
      </c>
    </row>
    <row r="7831">
      <c r="A7831">
        <v>7830</v>
      </c>
      <c r="B7831" t="str">
        <v>UBND Ủy ban nhân dân phường Ngọc Châu  tỉnh Hải Dương</v>
      </c>
      <c r="C7831" t="str">
        <v>-</v>
      </c>
      <c r="D7831" t="str">
        <v>-</v>
      </c>
      <c r="E7831" t="str">
        <v>-</v>
      </c>
      <c r="F7831" t="str">
        <v>-</v>
      </c>
      <c r="G7831" t="str">
        <v>-</v>
      </c>
    </row>
    <row r="7832">
      <c r="A7832">
        <v>7831</v>
      </c>
      <c r="B7832" t="str">
        <v>Công an phường Nhị Châu  tỉnh Hải Dương</v>
      </c>
      <c r="C7832" t="str">
        <v>-</v>
      </c>
      <c r="D7832" t="str">
        <v>-</v>
      </c>
      <c r="E7832" t="str">
        <v/>
      </c>
      <c r="F7832" t="str">
        <v>-</v>
      </c>
      <c r="G7832" t="str">
        <v>-</v>
      </c>
    </row>
    <row r="7833">
      <c r="A7833">
        <v>7832</v>
      </c>
      <c r="B7833" t="str">
        <v>UBND Ủy ban nhân dân phường Nhị Châu  tỉnh Hải Dương</v>
      </c>
      <c r="C7833" t="str">
        <v>-</v>
      </c>
      <c r="D7833" t="str">
        <v>-</v>
      </c>
      <c r="E7833" t="str">
        <v>-</v>
      </c>
      <c r="F7833" t="str">
        <v>-</v>
      </c>
      <c r="G7833" t="str">
        <v>-</v>
      </c>
    </row>
    <row r="7834">
      <c r="A7834">
        <v>7833</v>
      </c>
      <c r="B7834" t="str">
        <v>Công an phường Quang Trung  tỉnh Hải Dương</v>
      </c>
      <c r="C7834" t="str">
        <v>-</v>
      </c>
      <c r="D7834" t="str">
        <v>-</v>
      </c>
      <c r="E7834" t="str">
        <v/>
      </c>
      <c r="F7834" t="str">
        <v>-</v>
      </c>
      <c r="G7834" t="str">
        <v>-</v>
      </c>
    </row>
    <row r="7835">
      <c r="A7835">
        <v>7834</v>
      </c>
      <c r="B7835" t="str">
        <v>UBND Ủy ban nhân dân phường Quang Trung  tỉnh Hải Dương</v>
      </c>
      <c r="C7835" t="str">
        <v>-</v>
      </c>
      <c r="D7835" t="str">
        <v>-</v>
      </c>
      <c r="E7835" t="str">
        <v>-</v>
      </c>
      <c r="F7835" t="str">
        <v>-</v>
      </c>
      <c r="G7835" t="str">
        <v>-</v>
      </c>
    </row>
    <row r="7836">
      <c r="A7836">
        <v>7835</v>
      </c>
      <c r="B7836" t="str">
        <v>Công an phường Nguyễn Trãi  tỉnh Hải Dương</v>
      </c>
      <c r="C7836" t="str">
        <v>-</v>
      </c>
      <c r="D7836" t="str">
        <v>-</v>
      </c>
      <c r="E7836" t="str">
        <v/>
      </c>
      <c r="F7836" t="str">
        <v>-</v>
      </c>
      <c r="G7836" t="str">
        <v>-</v>
      </c>
    </row>
    <row r="7837">
      <c r="A7837">
        <v>7836</v>
      </c>
      <c r="B7837" t="str">
        <v>UBND Ủy ban nhân dân phường Nguyễn Trãi  tỉnh Hải Dương</v>
      </c>
      <c r="C7837" t="str">
        <v>-</v>
      </c>
      <c r="D7837" t="str">
        <v>-</v>
      </c>
      <c r="E7837" t="str">
        <v>-</v>
      </c>
      <c r="F7837" t="str">
        <v>-</v>
      </c>
      <c r="G7837" t="str">
        <v>-</v>
      </c>
    </row>
    <row r="7838">
      <c r="A7838">
        <v>7837</v>
      </c>
      <c r="B7838" t="str">
        <v>Công an phường Phạm Ngũ Lão  tỉnh Hải Dương</v>
      </c>
      <c r="C7838" t="str">
        <v>-</v>
      </c>
      <c r="D7838" t="str">
        <v>-</v>
      </c>
      <c r="E7838" t="str">
        <v/>
      </c>
      <c r="F7838" t="str">
        <v>-</v>
      </c>
      <c r="G7838" t="str">
        <v>-</v>
      </c>
    </row>
    <row r="7839">
      <c r="A7839">
        <v>7838</v>
      </c>
      <c r="B7839" t="str">
        <v>UBND Ủy ban nhân dân phường Phạm Ngũ Lão  tỉnh Hải Dương</v>
      </c>
      <c r="C7839" t="str">
        <v>-</v>
      </c>
      <c r="D7839" t="str">
        <v>-</v>
      </c>
      <c r="E7839" t="str">
        <v>-</v>
      </c>
      <c r="F7839" t="str">
        <v>-</v>
      </c>
      <c r="G7839" t="str">
        <v>-</v>
      </c>
    </row>
    <row r="7840">
      <c r="A7840">
        <v>7839</v>
      </c>
      <c r="B7840" t="str">
        <v>Công an phường Trần Hưng Đạo  tỉnh Hải Dương</v>
      </c>
      <c r="C7840" t="str">
        <v>-</v>
      </c>
      <c r="D7840" t="str">
        <v>-</v>
      </c>
      <c r="E7840" t="str">
        <v/>
      </c>
      <c r="F7840" t="str">
        <v>-</v>
      </c>
      <c r="G7840" t="str">
        <v>-</v>
      </c>
    </row>
    <row r="7841">
      <c r="A7841">
        <v>7840</v>
      </c>
      <c r="B7841" t="str">
        <v>UBND Ủy ban nhân dân phường Trần Hưng Đạo  tỉnh Hải Dương</v>
      </c>
      <c r="C7841" t="str">
        <v>-</v>
      </c>
      <c r="D7841" t="str">
        <v>-</v>
      </c>
      <c r="E7841" t="str">
        <v>-</v>
      </c>
      <c r="F7841" t="str">
        <v>-</v>
      </c>
      <c r="G7841" t="str">
        <v>-</v>
      </c>
    </row>
    <row r="7842">
      <c r="A7842">
        <v>7841</v>
      </c>
      <c r="B7842" t="str">
        <v>Công an phường Trần Phú  tỉnh Hải Dương</v>
      </c>
      <c r="C7842" t="str">
        <v>-</v>
      </c>
      <c r="D7842" t="str">
        <v>-</v>
      </c>
      <c r="E7842" t="str">
        <v/>
      </c>
      <c r="F7842" t="str">
        <v>-</v>
      </c>
      <c r="G7842" t="str">
        <v>-</v>
      </c>
    </row>
    <row r="7843">
      <c r="A7843">
        <v>7842</v>
      </c>
      <c r="B7843" t="str">
        <v>UBND Ủy ban nhân dân phường Trần Phú  tỉnh Hải Dương</v>
      </c>
      <c r="C7843" t="str">
        <v>-</v>
      </c>
      <c r="D7843" t="str">
        <v>-</v>
      </c>
      <c r="E7843" t="str">
        <v>-</v>
      </c>
      <c r="F7843" t="str">
        <v>-</v>
      </c>
      <c r="G7843" t="str">
        <v>-</v>
      </c>
    </row>
    <row r="7844">
      <c r="A7844">
        <v>7843</v>
      </c>
      <c r="B7844" t="str">
        <v>Công an phường Thanh Bình  tỉnh Hải Dương</v>
      </c>
      <c r="C7844" t="str">
        <v>-</v>
      </c>
      <c r="D7844" t="str">
        <v>-</v>
      </c>
      <c r="E7844" t="str">
        <v/>
      </c>
      <c r="F7844" t="str">
        <v>-</v>
      </c>
      <c r="G7844" t="str">
        <v>-</v>
      </c>
    </row>
    <row r="7845">
      <c r="A7845">
        <v>7844</v>
      </c>
      <c r="B7845" t="str">
        <v>UBND Ủy ban nhân dân phường Thanh Bình  tỉnh Hải Dương</v>
      </c>
      <c r="C7845" t="str">
        <v>-</v>
      </c>
      <c r="D7845" t="str">
        <v>-</v>
      </c>
      <c r="E7845" t="str">
        <v>-</v>
      </c>
      <c r="F7845" t="str">
        <v>-</v>
      </c>
      <c r="G7845" t="str">
        <v>-</v>
      </c>
    </row>
    <row r="7846">
      <c r="A7846">
        <v>7845</v>
      </c>
      <c r="B7846" t="str">
        <v>Công an phường Tân Bình  tỉnh Hải Dương</v>
      </c>
      <c r="C7846" t="str">
        <v>-</v>
      </c>
      <c r="D7846" t="str">
        <v>-</v>
      </c>
      <c r="E7846" t="str">
        <v/>
      </c>
      <c r="F7846" t="str">
        <v>-</v>
      </c>
      <c r="G7846" t="str">
        <v>-</v>
      </c>
    </row>
    <row r="7847">
      <c r="A7847">
        <v>7846</v>
      </c>
      <c r="B7847" t="str">
        <v>UBND Ủy ban nhân dân phường Tân Bình  tỉnh Hải Dương</v>
      </c>
      <c r="C7847" t="str">
        <v>-</v>
      </c>
      <c r="D7847" t="str">
        <v>-</v>
      </c>
      <c r="E7847" t="str">
        <v>-</v>
      </c>
      <c r="F7847" t="str">
        <v>-</v>
      </c>
      <c r="G7847" t="str">
        <v>-</v>
      </c>
    </row>
    <row r="7848">
      <c r="A7848">
        <v>7847</v>
      </c>
      <c r="B7848" t="str">
        <v>Công an phường Lê Thanh Nghị  tỉnh Hải Dương</v>
      </c>
      <c r="C7848" t="str">
        <v>-</v>
      </c>
      <c r="D7848" t="str">
        <v>-</v>
      </c>
      <c r="E7848" t="str">
        <v/>
      </c>
      <c r="F7848" t="str">
        <v>-</v>
      </c>
      <c r="G7848" t="str">
        <v>-</v>
      </c>
    </row>
    <row r="7849">
      <c r="A7849">
        <v>7848</v>
      </c>
      <c r="B7849" t="str">
        <v>UBND Ủy ban nhân dân phường Lê Thanh Nghị  tỉnh Hải Dương</v>
      </c>
      <c r="C7849" t="str">
        <v>-</v>
      </c>
      <c r="D7849" t="str">
        <v>-</v>
      </c>
      <c r="E7849" t="str">
        <v>-</v>
      </c>
      <c r="F7849" t="str">
        <v>-</v>
      </c>
      <c r="G7849" t="str">
        <v>-</v>
      </c>
    </row>
    <row r="7850">
      <c r="A7850">
        <v>7849</v>
      </c>
      <c r="B7850" t="str">
        <v>Công an phường Hải Tân  tỉnh Hải Dương</v>
      </c>
      <c r="C7850" t="str">
        <v>-</v>
      </c>
      <c r="D7850" t="str">
        <v>-</v>
      </c>
      <c r="E7850" t="str">
        <v/>
      </c>
      <c r="F7850" t="str">
        <v>-</v>
      </c>
      <c r="G7850" t="str">
        <v>-</v>
      </c>
    </row>
    <row r="7851">
      <c r="A7851">
        <v>7850</v>
      </c>
      <c r="B7851" t="str">
        <v>UBND Ủy ban nhân dân phường Hải Tân  tỉnh Hải Dương</v>
      </c>
      <c r="C7851" t="str">
        <v>-</v>
      </c>
      <c r="D7851" t="str">
        <v>-</v>
      </c>
      <c r="E7851" t="str">
        <v>-</v>
      </c>
      <c r="F7851" t="str">
        <v>-</v>
      </c>
      <c r="G7851" t="str">
        <v>-</v>
      </c>
    </row>
    <row r="7852">
      <c r="A7852">
        <v>7851</v>
      </c>
      <c r="B7852" t="str">
        <v>Công an phường Tứ Minh  tỉnh Hải Dương</v>
      </c>
      <c r="C7852" t="str">
        <v>-</v>
      </c>
      <c r="D7852" t="str">
        <v>-</v>
      </c>
      <c r="E7852" t="str">
        <v/>
      </c>
      <c r="F7852" t="str">
        <v>-</v>
      </c>
      <c r="G7852" t="str">
        <v>-</v>
      </c>
    </row>
    <row r="7853">
      <c r="A7853">
        <v>7852</v>
      </c>
      <c r="B7853" t="str">
        <v>UBND Ủy ban nhân dân phường Tứ Minh  tỉnh Hải Dương</v>
      </c>
      <c r="C7853" t="str">
        <v>-</v>
      </c>
      <c r="D7853" t="str">
        <v>-</v>
      </c>
      <c r="E7853" t="str">
        <v>-</v>
      </c>
      <c r="F7853" t="str">
        <v>-</v>
      </c>
      <c r="G7853" t="str">
        <v>-</v>
      </c>
    </row>
    <row r="7854">
      <c r="A7854">
        <v>7853</v>
      </c>
      <c r="B7854" t="str">
        <v>Công an phường Việt Hoà  tỉnh Hải Dương</v>
      </c>
      <c r="C7854" t="str">
        <v>-</v>
      </c>
      <c r="D7854" t="str">
        <v>-</v>
      </c>
      <c r="E7854" t="str">
        <v/>
      </c>
      <c r="F7854" t="str">
        <v>-</v>
      </c>
      <c r="G7854" t="str">
        <v>-</v>
      </c>
    </row>
    <row r="7855">
      <c r="A7855">
        <v>7854</v>
      </c>
      <c r="B7855" t="str">
        <v>UBND Ủy ban nhân dân phường Việt Hoà  tỉnh Hải Dương</v>
      </c>
      <c r="C7855" t="str">
        <v>-</v>
      </c>
      <c r="D7855" t="str">
        <v>-</v>
      </c>
      <c r="E7855" t="str">
        <v>-</v>
      </c>
      <c r="F7855" t="str">
        <v>-</v>
      </c>
      <c r="G7855" t="str">
        <v>-</v>
      </c>
    </row>
    <row r="7856">
      <c r="A7856">
        <v>7855</v>
      </c>
      <c r="B7856" t="str">
        <v>Công an phường Ái Quốc  tỉnh Hải Dương</v>
      </c>
      <c r="C7856" t="str">
        <v>-</v>
      </c>
      <c r="D7856" t="str">
        <v>-</v>
      </c>
      <c r="E7856" t="str">
        <v/>
      </c>
      <c r="F7856" t="str">
        <v>-</v>
      </c>
      <c r="G7856" t="str">
        <v>-</v>
      </c>
    </row>
    <row r="7857">
      <c r="A7857">
        <v>7856</v>
      </c>
      <c r="B7857" t="str">
        <v>UBND Ủy ban nhân dân phường Ái Quốc  tỉnh Hải Dương</v>
      </c>
      <c r="C7857" t="str">
        <v>-</v>
      </c>
      <c r="D7857" t="str">
        <v>-</v>
      </c>
      <c r="E7857" t="str">
        <v>-</v>
      </c>
      <c r="F7857" t="str">
        <v>-</v>
      </c>
      <c r="G7857" t="str">
        <v>-</v>
      </c>
    </row>
    <row r="7858">
      <c r="A7858">
        <v>7857</v>
      </c>
      <c r="B7858" t="str">
        <v>Công an xã An Châu  tỉnh Hải Dương</v>
      </c>
      <c r="C7858" t="str">
        <v>-</v>
      </c>
      <c r="D7858" t="str">
        <v>-</v>
      </c>
      <c r="E7858" t="str">
        <v/>
      </c>
      <c r="F7858" t="str">
        <v>-</v>
      </c>
      <c r="G7858" t="str">
        <v>-</v>
      </c>
    </row>
    <row r="7859">
      <c r="A7859">
        <v>7858</v>
      </c>
      <c r="B7859" t="str">
        <v>UBND Ủy ban nhân dân xã An Châu  tỉnh Hải Dương</v>
      </c>
      <c r="C7859" t="str">
        <v>-</v>
      </c>
      <c r="D7859" t="str">
        <v>-</v>
      </c>
      <c r="E7859" t="str">
        <v>-</v>
      </c>
      <c r="F7859" t="str">
        <v>-</v>
      </c>
      <c r="G7859" t="str">
        <v>-</v>
      </c>
    </row>
    <row r="7860">
      <c r="A7860">
        <v>7859</v>
      </c>
      <c r="B7860" t="str">
        <v>Công an xã Thượng Đạt  tỉnh Hải Dương</v>
      </c>
      <c r="C7860" t="str">
        <v>-</v>
      </c>
      <c r="D7860" t="str">
        <v>-</v>
      </c>
      <c r="E7860" t="str">
        <v/>
      </c>
      <c r="F7860" t="str">
        <v>-</v>
      </c>
      <c r="G7860" t="str">
        <v>-</v>
      </c>
    </row>
    <row r="7861">
      <c r="A7861">
        <v>7860</v>
      </c>
      <c r="B7861" t="str">
        <v>UBND Ủy ban nhân dân xã Thượng Đạt  tỉnh Hải Dương</v>
      </c>
      <c r="C7861" t="str">
        <v>-</v>
      </c>
      <c r="D7861" t="str">
        <v>-</v>
      </c>
      <c r="E7861" t="str">
        <v>-</v>
      </c>
      <c r="F7861" t="str">
        <v>-</v>
      </c>
      <c r="G7861" t="str">
        <v>-</v>
      </c>
    </row>
    <row r="7862">
      <c r="A7862">
        <v>7861</v>
      </c>
      <c r="B7862" t="str">
        <v>Công an xã Nam Đồng  tỉnh Hải Dương</v>
      </c>
      <c r="C7862" t="str">
        <v>-</v>
      </c>
      <c r="D7862" t="str">
        <v>-</v>
      </c>
      <c r="E7862" t="str">
        <v/>
      </c>
      <c r="F7862" t="str">
        <v>-</v>
      </c>
      <c r="G7862" t="str">
        <v>-</v>
      </c>
    </row>
    <row r="7863">
      <c r="A7863">
        <v>7862</v>
      </c>
      <c r="B7863" t="str">
        <v>UBND Ủy ban nhân dân xã Nam Đồng  tỉnh Hải Dương</v>
      </c>
      <c r="C7863" t="str">
        <v>-</v>
      </c>
      <c r="D7863" t="str">
        <v>-</v>
      </c>
      <c r="E7863" t="str">
        <v>-</v>
      </c>
      <c r="F7863" t="str">
        <v>-</v>
      </c>
      <c r="G7863" t="str">
        <v>-</v>
      </c>
    </row>
    <row r="7864">
      <c r="A7864">
        <v>7863</v>
      </c>
      <c r="B7864" t="str">
        <v>Công an phường Thạch Khôi  tỉnh Hải Dương</v>
      </c>
      <c r="C7864" t="str">
        <v>-</v>
      </c>
      <c r="D7864" t="str">
        <v>-</v>
      </c>
      <c r="E7864" t="str">
        <v/>
      </c>
      <c r="F7864" t="str">
        <v>-</v>
      </c>
      <c r="G7864" t="str">
        <v>-</v>
      </c>
    </row>
    <row r="7865">
      <c r="A7865">
        <v>7864</v>
      </c>
      <c r="B7865" t="str">
        <v>UBND Ủy ban nhân dân phường Thạch Khôi  tỉnh Hải Dương</v>
      </c>
      <c r="C7865" t="str">
        <v>-</v>
      </c>
      <c r="D7865" t="str">
        <v>-</v>
      </c>
      <c r="E7865" t="str">
        <v>-</v>
      </c>
      <c r="F7865" t="str">
        <v>-</v>
      </c>
      <c r="G7865" t="str">
        <v>-</v>
      </c>
    </row>
    <row r="7866">
      <c r="A7866">
        <v>7865</v>
      </c>
      <c r="B7866" t="str">
        <v>Công an xã Tân Hưng  tỉnh Hải Dương</v>
      </c>
      <c r="C7866" t="str">
        <v>-</v>
      </c>
      <c r="D7866" t="str">
        <v>-</v>
      </c>
      <c r="E7866" t="str">
        <v/>
      </c>
      <c r="F7866" t="str">
        <v>-</v>
      </c>
      <c r="G7866" t="str">
        <v>-</v>
      </c>
    </row>
    <row r="7867">
      <c r="A7867">
        <v>7866</v>
      </c>
      <c r="B7867" t="str">
        <v>UBND Ủy ban nhân dân xã Tân Hưng  tỉnh Hải Dương</v>
      </c>
      <c r="C7867" t="str">
        <v>-</v>
      </c>
      <c r="D7867" t="str">
        <v>-</v>
      </c>
      <c r="E7867" t="str">
        <v>-</v>
      </c>
      <c r="F7867" t="str">
        <v>-</v>
      </c>
      <c r="G7867" t="str">
        <v>-</v>
      </c>
    </row>
    <row r="7868">
      <c r="A7868">
        <v>7867</v>
      </c>
      <c r="B7868" t="str">
        <v>Công an phường Phả Lại  tỉnh Hải Dương</v>
      </c>
      <c r="C7868" t="str">
        <v>-</v>
      </c>
      <c r="D7868" t="str">
        <v>-</v>
      </c>
      <c r="E7868" t="str">
        <v/>
      </c>
      <c r="F7868" t="str">
        <v>-</v>
      </c>
      <c r="G7868" t="str">
        <v>-</v>
      </c>
    </row>
    <row r="7869">
      <c r="A7869">
        <v>7868</v>
      </c>
      <c r="B7869" t="str">
        <v>UBND Ủy ban nhân dân phường Phả Lại  tỉnh Hải Dương</v>
      </c>
      <c r="C7869" t="str">
        <v>-</v>
      </c>
      <c r="D7869" t="str">
        <v>-</v>
      </c>
      <c r="E7869" t="str">
        <v>-</v>
      </c>
      <c r="F7869" t="str">
        <v>-</v>
      </c>
      <c r="G7869" t="str">
        <v>-</v>
      </c>
    </row>
    <row r="7870">
      <c r="A7870">
        <v>7869</v>
      </c>
      <c r="B7870" t="str">
        <v>Công an phường Sao Đỏ  tỉnh Hải Dương</v>
      </c>
      <c r="C7870" t="str">
        <v>-</v>
      </c>
      <c r="D7870" t="str">
        <v>-</v>
      </c>
      <c r="E7870" t="str">
        <v/>
      </c>
      <c r="F7870" t="str">
        <v>-</v>
      </c>
      <c r="G7870" t="str">
        <v>-</v>
      </c>
    </row>
    <row r="7871">
      <c r="A7871">
        <v>7870</v>
      </c>
      <c r="B7871" t="str">
        <v>UBND Ủy ban nhân dân phường Sao Đỏ  tỉnh Hải Dương</v>
      </c>
      <c r="C7871" t="str">
        <v>-</v>
      </c>
      <c r="D7871" t="str">
        <v>-</v>
      </c>
      <c r="E7871" t="str">
        <v>-</v>
      </c>
      <c r="F7871" t="str">
        <v>-</v>
      </c>
      <c r="G7871" t="str">
        <v>-</v>
      </c>
    </row>
    <row r="7872">
      <c r="A7872">
        <v>7871</v>
      </c>
      <c r="B7872" t="str">
        <v>Công an phường Bến Tắm  tỉnh Hải Dương</v>
      </c>
      <c r="C7872" t="str">
        <v>-</v>
      </c>
      <c r="D7872" t="str">
        <v>-</v>
      </c>
      <c r="E7872" t="str">
        <v/>
      </c>
      <c r="F7872" t="str">
        <v>-</v>
      </c>
      <c r="G7872" t="str">
        <v>-</v>
      </c>
    </row>
    <row r="7873">
      <c r="A7873">
        <v>7872</v>
      </c>
      <c r="B7873" t="str">
        <v>UBND Ủy ban nhân dân phường Bến Tắm  tỉnh Hải Dương</v>
      </c>
      <c r="C7873" t="str">
        <v>-</v>
      </c>
      <c r="D7873" t="str">
        <v>-</v>
      </c>
      <c r="E7873" t="str">
        <v>-</v>
      </c>
      <c r="F7873" t="str">
        <v>-</v>
      </c>
      <c r="G7873" t="str">
        <v>-</v>
      </c>
    </row>
    <row r="7874">
      <c r="A7874">
        <v>7873</v>
      </c>
      <c r="B7874" t="str">
        <v>Công an xã Hoàng Hoa Thám  tỉnh Hải Dương</v>
      </c>
      <c r="C7874" t="str">
        <v>-</v>
      </c>
      <c r="D7874" t="str">
        <v>-</v>
      </c>
      <c r="E7874" t="str">
        <v/>
      </c>
      <c r="F7874" t="str">
        <v>-</v>
      </c>
      <c r="G7874" t="str">
        <v>-</v>
      </c>
    </row>
    <row r="7875">
      <c r="A7875">
        <v>7874</v>
      </c>
      <c r="B7875" t="str">
        <v>UBND Ủy ban nhân dân xã Hoàng Hoa Thám  tỉnh Hải Dương</v>
      </c>
      <c r="C7875" t="str">
        <v>-</v>
      </c>
      <c r="D7875" t="str">
        <v>-</v>
      </c>
      <c r="E7875" t="str">
        <v>-</v>
      </c>
      <c r="F7875" t="str">
        <v>-</v>
      </c>
      <c r="G7875" t="str">
        <v>-</v>
      </c>
    </row>
    <row r="7876">
      <c r="A7876">
        <v>7875</v>
      </c>
      <c r="B7876" t="str">
        <v>Công an xã Bắc An  tỉnh Hải Dương</v>
      </c>
      <c r="C7876" t="str">
        <v>-</v>
      </c>
      <c r="D7876" t="str">
        <v>-</v>
      </c>
      <c r="E7876" t="str">
        <v/>
      </c>
      <c r="F7876" t="str">
        <v>-</v>
      </c>
      <c r="G7876" t="str">
        <v>-</v>
      </c>
    </row>
    <row r="7877">
      <c r="A7877">
        <v>7876</v>
      </c>
      <c r="B7877" t="str">
        <v>UBND Ủy ban nhân dân xã Bắc An  tỉnh Hải Dương</v>
      </c>
      <c r="C7877" t="str">
        <v>-</v>
      </c>
      <c r="D7877" t="str">
        <v>-</v>
      </c>
      <c r="E7877" t="str">
        <v>-</v>
      </c>
      <c r="F7877" t="str">
        <v>-</v>
      </c>
      <c r="G7877" t="str">
        <v>-</v>
      </c>
    </row>
    <row r="7878">
      <c r="A7878">
        <v>7877</v>
      </c>
      <c r="B7878" t="str">
        <v>Công an xã Hưng Đạo  tỉnh Hải Dương</v>
      </c>
      <c r="C7878" t="str">
        <v>-</v>
      </c>
      <c r="D7878" t="str">
        <v>-</v>
      </c>
      <c r="E7878" t="str">
        <v/>
      </c>
      <c r="F7878" t="str">
        <v>-</v>
      </c>
      <c r="G7878" t="str">
        <v>-</v>
      </c>
    </row>
    <row r="7879">
      <c r="A7879">
        <v>7878</v>
      </c>
      <c r="B7879" t="str">
        <v>UBND Ủy ban nhân dân xã Hưng Đạo  tỉnh Hải Dương</v>
      </c>
      <c r="C7879" t="str">
        <v>-</v>
      </c>
      <c r="D7879" t="str">
        <v>-</v>
      </c>
      <c r="E7879" t="str">
        <v>-</v>
      </c>
      <c r="F7879" t="str">
        <v>-</v>
      </c>
      <c r="G7879" t="str">
        <v>-</v>
      </c>
    </row>
    <row r="7880">
      <c r="A7880">
        <v>7879</v>
      </c>
      <c r="B7880" t="str">
        <v>Công an xã Lê Lợi  tỉnh Hải Dương</v>
      </c>
      <c r="C7880" t="str">
        <v>-</v>
      </c>
      <c r="D7880" t="str">
        <v>-</v>
      </c>
      <c r="E7880" t="str">
        <v/>
      </c>
      <c r="F7880" t="str">
        <v>-</v>
      </c>
      <c r="G7880" t="str">
        <v>-</v>
      </c>
    </row>
    <row r="7881">
      <c r="A7881">
        <v>7880</v>
      </c>
      <c r="B7881" t="str">
        <v>UBND Ủy ban nhân dân xã Lê Lợi  tỉnh Hải Dương</v>
      </c>
      <c r="C7881" t="str">
        <v>-</v>
      </c>
      <c r="D7881" t="str">
        <v>-</v>
      </c>
      <c r="E7881" t="str">
        <v>-</v>
      </c>
      <c r="F7881" t="str">
        <v>-</v>
      </c>
      <c r="G7881" t="str">
        <v>-</v>
      </c>
    </row>
    <row r="7882">
      <c r="A7882">
        <v>7881</v>
      </c>
      <c r="B7882" t="str">
        <v>Công an xã Hoàng Tiến  tỉnh Hải Dương</v>
      </c>
      <c r="C7882" t="str">
        <v>-</v>
      </c>
      <c r="D7882" t="str">
        <v>-</v>
      </c>
      <c r="E7882" t="str">
        <v/>
      </c>
      <c r="F7882" t="str">
        <v>-</v>
      </c>
      <c r="G7882" t="str">
        <v>-</v>
      </c>
    </row>
    <row r="7883">
      <c r="A7883">
        <v>7882</v>
      </c>
      <c r="B7883" t="str">
        <v>UBND Ủy ban nhân dân xã Hoàng Tiến  tỉnh Hải Dương</v>
      </c>
      <c r="C7883" t="str">
        <v>-</v>
      </c>
      <c r="D7883" t="str">
        <v>-</v>
      </c>
      <c r="E7883" t="str">
        <v>-</v>
      </c>
      <c r="F7883" t="str">
        <v>-</v>
      </c>
      <c r="G7883" t="str">
        <v>-</v>
      </c>
    </row>
    <row r="7884">
      <c r="A7884">
        <v>7883</v>
      </c>
      <c r="B7884" t="str">
        <v>Công an phường Cộng Hoà  tỉnh Hải Dương</v>
      </c>
      <c r="C7884" t="str">
        <v>-</v>
      </c>
      <c r="D7884" t="str">
        <v>-</v>
      </c>
      <c r="E7884" t="str">
        <v/>
      </c>
      <c r="F7884" t="str">
        <v>-</v>
      </c>
      <c r="G7884" t="str">
        <v>-</v>
      </c>
    </row>
    <row r="7885">
      <c r="A7885">
        <v>7884</v>
      </c>
      <c r="B7885" t="str">
        <v>UBND Ủy ban nhân dân phường Cộng Hoà  tỉnh Hải Dương</v>
      </c>
      <c r="C7885" t="str">
        <v>-</v>
      </c>
      <c r="D7885" t="str">
        <v>-</v>
      </c>
      <c r="E7885" t="str">
        <v>-</v>
      </c>
      <c r="F7885" t="str">
        <v>-</v>
      </c>
      <c r="G7885" t="str">
        <v>-</v>
      </c>
    </row>
    <row r="7886">
      <c r="A7886">
        <v>7885</v>
      </c>
      <c r="B7886" t="str">
        <v>Công an phường Hoàng Tân  tỉnh Hải Dương</v>
      </c>
      <c r="C7886" t="str">
        <v>-</v>
      </c>
      <c r="D7886" t="str">
        <v>-</v>
      </c>
      <c r="E7886" t="str">
        <v/>
      </c>
      <c r="F7886" t="str">
        <v>-</v>
      </c>
      <c r="G7886" t="str">
        <v>-</v>
      </c>
    </row>
    <row r="7887">
      <c r="A7887">
        <v>7886</v>
      </c>
      <c r="B7887" t="str">
        <v>UBND Ủy ban nhân dân phường Hoàng Tân  tỉnh Hải Dương</v>
      </c>
      <c r="C7887" t="str">
        <v>-</v>
      </c>
      <c r="D7887" t="str">
        <v>-</v>
      </c>
      <c r="E7887" t="str">
        <v>-</v>
      </c>
      <c r="F7887" t="str">
        <v>-</v>
      </c>
      <c r="G7887" t="str">
        <v>-</v>
      </c>
    </row>
    <row r="7888">
      <c r="A7888">
        <v>7887</v>
      </c>
      <c r="B7888" t="str">
        <v>Công an xã Cổ Thành  tỉnh Hải Dương</v>
      </c>
      <c r="C7888" t="str">
        <v>-</v>
      </c>
      <c r="D7888" t="str">
        <v>-</v>
      </c>
      <c r="E7888" t="str">
        <v/>
      </c>
      <c r="F7888" t="str">
        <v>-</v>
      </c>
      <c r="G7888" t="str">
        <v>-</v>
      </c>
    </row>
    <row r="7889">
      <c r="A7889">
        <v>7888</v>
      </c>
      <c r="B7889" t="str">
        <v>UBND Ủy ban nhân dân xã Cổ Thành  tỉnh Hải Dương</v>
      </c>
      <c r="C7889" t="str">
        <v>-</v>
      </c>
      <c r="D7889" t="str">
        <v>-</v>
      </c>
      <c r="E7889" t="str">
        <v>-</v>
      </c>
      <c r="F7889" t="str">
        <v>-</v>
      </c>
      <c r="G7889" t="str">
        <v>-</v>
      </c>
    </row>
    <row r="7890">
      <c r="A7890">
        <v>7889</v>
      </c>
      <c r="B7890" t="str">
        <v>Công an phường Văn An  tỉnh Hải Dương</v>
      </c>
      <c r="C7890" t="str">
        <v>-</v>
      </c>
      <c r="D7890" t="str">
        <v>-</v>
      </c>
      <c r="E7890" t="str">
        <v/>
      </c>
      <c r="F7890" t="str">
        <v>-</v>
      </c>
      <c r="G7890" t="str">
        <v>-</v>
      </c>
    </row>
    <row r="7891">
      <c r="A7891">
        <v>7890</v>
      </c>
      <c r="B7891" t="str">
        <v>UBND Ủy ban nhân dân phường Văn An  tỉnh Hải Dương</v>
      </c>
      <c r="C7891" t="str">
        <v>-</v>
      </c>
      <c r="D7891" t="str">
        <v>-</v>
      </c>
      <c r="E7891" t="str">
        <v>-</v>
      </c>
      <c r="F7891" t="str">
        <v>-</v>
      </c>
      <c r="G7891" t="str">
        <v>-</v>
      </c>
    </row>
    <row r="7892">
      <c r="A7892">
        <v>7891</v>
      </c>
      <c r="B7892" t="str">
        <v>Công an phường Chí Minh  tỉnh Hải Dương</v>
      </c>
      <c r="C7892" t="str">
        <v>-</v>
      </c>
      <c r="D7892" t="str">
        <v>-</v>
      </c>
      <c r="E7892" t="str">
        <v/>
      </c>
      <c r="F7892" t="str">
        <v>-</v>
      </c>
      <c r="G7892" t="str">
        <v>-</v>
      </c>
    </row>
    <row r="7893">
      <c r="A7893">
        <v>7892</v>
      </c>
      <c r="B7893" t="str">
        <v>UBND Ủy ban nhân dân phường Chí Minh  tỉnh Hải Dương</v>
      </c>
      <c r="C7893" t="str">
        <v>-</v>
      </c>
      <c r="D7893" t="str">
        <v>-</v>
      </c>
      <c r="E7893" t="str">
        <v>-</v>
      </c>
      <c r="F7893" t="str">
        <v>-</v>
      </c>
      <c r="G7893" t="str">
        <v>-</v>
      </c>
    </row>
    <row r="7894">
      <c r="A7894">
        <v>7893</v>
      </c>
      <c r="B7894" t="str">
        <v>Công an xã Văn Đức  tỉnh Hải Dương</v>
      </c>
      <c r="C7894" t="str">
        <v>-</v>
      </c>
      <c r="D7894" t="str">
        <v>-</v>
      </c>
      <c r="E7894" t="str">
        <v/>
      </c>
      <c r="F7894" t="str">
        <v>-</v>
      </c>
      <c r="G7894" t="str">
        <v>-</v>
      </c>
    </row>
    <row r="7895">
      <c r="A7895">
        <v>7894</v>
      </c>
      <c r="B7895" t="str">
        <v>UBND Ủy ban nhân dân xã Văn Đức  tỉnh Hải Dương</v>
      </c>
      <c r="C7895" t="str">
        <v>-</v>
      </c>
      <c r="D7895" t="str">
        <v>-</v>
      </c>
      <c r="E7895" t="str">
        <v>-</v>
      </c>
      <c r="F7895" t="str">
        <v>-</v>
      </c>
      <c r="G7895" t="str">
        <v>-</v>
      </c>
    </row>
    <row r="7896">
      <c r="A7896">
        <v>7895</v>
      </c>
      <c r="B7896" t="str">
        <v>Công an phường Thái Học  tỉnh Hải Dương</v>
      </c>
      <c r="C7896" t="str">
        <v>-</v>
      </c>
      <c r="D7896" t="str">
        <v>-</v>
      </c>
      <c r="E7896" t="str">
        <v/>
      </c>
      <c r="F7896" t="str">
        <v>-</v>
      </c>
      <c r="G7896" t="str">
        <v>-</v>
      </c>
    </row>
    <row r="7897">
      <c r="A7897">
        <v>7896</v>
      </c>
      <c r="B7897" t="str">
        <v>UBND Ủy ban nhân dân phường Thái Học  tỉnh Hải Dương</v>
      </c>
      <c r="C7897" t="str">
        <v>-</v>
      </c>
      <c r="D7897" t="str">
        <v>-</v>
      </c>
      <c r="E7897" t="str">
        <v>-</v>
      </c>
      <c r="F7897" t="str">
        <v>-</v>
      </c>
      <c r="G7897" t="str">
        <v>-</v>
      </c>
    </row>
    <row r="7898">
      <c r="A7898">
        <v>7897</v>
      </c>
      <c r="B7898" t="str">
        <v>Công an xã Nhân Huệ  tỉnh Hải Dương</v>
      </c>
      <c r="C7898" t="str">
        <v>-</v>
      </c>
      <c r="D7898" t="str">
        <v>-</v>
      </c>
      <c r="E7898" t="str">
        <v/>
      </c>
      <c r="F7898" t="str">
        <v>-</v>
      </c>
      <c r="G7898" t="str">
        <v>-</v>
      </c>
    </row>
    <row r="7899">
      <c r="A7899">
        <v>7898</v>
      </c>
      <c r="B7899" t="str">
        <v>UBND Ủy ban nhân dân xã Nhân Huệ  tỉnh Hải Dương</v>
      </c>
      <c r="C7899" t="str">
        <v>-</v>
      </c>
      <c r="D7899" t="str">
        <v>-</v>
      </c>
      <c r="E7899" t="str">
        <v>-</v>
      </c>
      <c r="F7899" t="str">
        <v>-</v>
      </c>
      <c r="G7899" t="str">
        <v>-</v>
      </c>
    </row>
    <row r="7900">
      <c r="A7900">
        <v>7899</v>
      </c>
      <c r="B7900" t="str">
        <v>Công an xã An Lạc  tỉnh Hải Dương</v>
      </c>
      <c r="C7900" t="str">
        <v>-</v>
      </c>
      <c r="D7900" t="str">
        <v>-</v>
      </c>
      <c r="E7900" t="str">
        <v/>
      </c>
      <c r="F7900" t="str">
        <v>-</v>
      </c>
      <c r="G7900" t="str">
        <v>-</v>
      </c>
    </row>
    <row r="7901">
      <c r="A7901">
        <v>7900</v>
      </c>
      <c r="B7901" t="str">
        <v>UBND Ủy ban nhân dân xã An Lạc  tỉnh Hải Dương</v>
      </c>
      <c r="C7901" t="str">
        <v>-</v>
      </c>
      <c r="D7901" t="str">
        <v>-</v>
      </c>
      <c r="E7901" t="str">
        <v>-</v>
      </c>
      <c r="F7901" t="str">
        <v>-</v>
      </c>
      <c r="G7901" t="str">
        <v>-</v>
      </c>
    </row>
    <row r="7902">
      <c r="A7902">
        <v>7901</v>
      </c>
      <c r="B7902" t="str">
        <v>Công an xã Kênh Giang  tỉnh Hải Dương</v>
      </c>
      <c r="C7902" t="str">
        <v>-</v>
      </c>
      <c r="D7902" t="str">
        <v>-</v>
      </c>
      <c r="E7902" t="str">
        <v/>
      </c>
      <c r="F7902" t="str">
        <v>-</v>
      </c>
      <c r="G7902" t="str">
        <v>-</v>
      </c>
    </row>
    <row r="7903">
      <c r="A7903">
        <v>7902</v>
      </c>
      <c r="B7903" t="str">
        <v>UBND Ủy ban nhân dân xã Kênh Giang  tỉnh Hải Dương</v>
      </c>
      <c r="C7903" t="str">
        <v>-</v>
      </c>
      <c r="D7903" t="str">
        <v>-</v>
      </c>
      <c r="E7903" t="str">
        <v>-</v>
      </c>
      <c r="F7903" t="str">
        <v>-</v>
      </c>
      <c r="G7903" t="str">
        <v>-</v>
      </c>
    </row>
    <row r="7904">
      <c r="A7904">
        <v>7903</v>
      </c>
      <c r="B7904" t="str">
        <v>Công an xã Đồng Lạc  tỉnh Hải Dương</v>
      </c>
      <c r="C7904" t="str">
        <v>-</v>
      </c>
      <c r="D7904" t="str">
        <v>-</v>
      </c>
      <c r="E7904" t="str">
        <v/>
      </c>
      <c r="F7904" t="str">
        <v>-</v>
      </c>
      <c r="G7904" t="str">
        <v>-</v>
      </c>
    </row>
    <row r="7905">
      <c r="A7905">
        <v>7904</v>
      </c>
      <c r="B7905" t="str">
        <v>UBND Ủy ban nhân dân xã Đồng Lạc  tỉnh Hải Dương</v>
      </c>
      <c r="C7905" t="str">
        <v>-</v>
      </c>
      <c r="D7905" t="str">
        <v>-</v>
      </c>
      <c r="E7905" t="str">
        <v>-</v>
      </c>
      <c r="F7905" t="str">
        <v>-</v>
      </c>
      <c r="G7905" t="str">
        <v>-</v>
      </c>
    </row>
    <row r="7906">
      <c r="A7906">
        <v>7905</v>
      </c>
      <c r="B7906" t="str">
        <v>Công an xã Tân Dân  tỉnh Hải Dương</v>
      </c>
      <c r="C7906" t="str">
        <v>-</v>
      </c>
      <c r="D7906" t="str">
        <v>-</v>
      </c>
      <c r="E7906" t="str">
        <v/>
      </c>
      <c r="F7906" t="str">
        <v>-</v>
      </c>
      <c r="G7906" t="str">
        <v>-</v>
      </c>
    </row>
    <row r="7907">
      <c r="A7907">
        <v>7906</v>
      </c>
      <c r="B7907" t="str">
        <v>UBND Ủy ban nhân dân xã Tân Dân  tỉnh Hải Dương</v>
      </c>
      <c r="C7907" t="str">
        <v>-</v>
      </c>
      <c r="D7907" t="str">
        <v>-</v>
      </c>
      <c r="E7907" t="str">
        <v>-</v>
      </c>
      <c r="F7907" t="str">
        <v>-</v>
      </c>
      <c r="G7907" t="str">
        <v>-</v>
      </c>
    </row>
    <row r="7908">
      <c r="A7908">
        <v>7907</v>
      </c>
      <c r="B7908" t="str">
        <v>Công an thị trấn Nam Sách  tỉnh Hải Dương</v>
      </c>
      <c r="C7908" t="str">
        <v>-</v>
      </c>
      <c r="D7908" t="str">
        <v>-</v>
      </c>
      <c r="E7908" t="str">
        <v/>
      </c>
      <c r="F7908" t="str">
        <v>-</v>
      </c>
      <c r="G7908" t="str">
        <v>-</v>
      </c>
    </row>
    <row r="7909">
      <c r="A7909">
        <v>7908</v>
      </c>
      <c r="B7909" t="str">
        <v>UBND Ủy ban nhân dân thị trấn Nam Sách  tỉnh Hải Dương</v>
      </c>
      <c r="C7909" t="str">
        <v>-</v>
      </c>
      <c r="D7909" t="str">
        <v>-</v>
      </c>
      <c r="E7909" t="str">
        <v>-</v>
      </c>
      <c r="F7909" t="str">
        <v>-</v>
      </c>
      <c r="G7909" t="str">
        <v>-</v>
      </c>
    </row>
    <row r="7910">
      <c r="A7910">
        <v>7909</v>
      </c>
      <c r="B7910" t="str">
        <v>Công an xã Nam Hưng  tỉnh Hải Dương</v>
      </c>
      <c r="C7910" t="str">
        <v>-</v>
      </c>
      <c r="D7910" t="str">
        <v>-</v>
      </c>
      <c r="E7910" t="str">
        <v/>
      </c>
      <c r="F7910" t="str">
        <v>-</v>
      </c>
      <c r="G7910" t="str">
        <v>-</v>
      </c>
    </row>
    <row r="7911">
      <c r="A7911">
        <v>7910</v>
      </c>
      <c r="B7911" t="str">
        <v>UBND Ủy ban nhân dân xã Nam Hưng  tỉnh Hải Dương</v>
      </c>
      <c r="C7911" t="str">
        <v>-</v>
      </c>
      <c r="D7911" t="str">
        <v>-</v>
      </c>
      <c r="E7911" t="str">
        <v>-</v>
      </c>
      <c r="F7911" t="str">
        <v>-</v>
      </c>
      <c r="G7911" t="str">
        <v>-</v>
      </c>
    </row>
    <row r="7912">
      <c r="A7912">
        <v>7911</v>
      </c>
      <c r="B7912" t="str">
        <v>Công an xã Nam Tân  tỉnh Hải Dương</v>
      </c>
      <c r="C7912" t="str">
        <v>-</v>
      </c>
      <c r="D7912" t="str">
        <v>-</v>
      </c>
      <c r="E7912" t="str">
        <v/>
      </c>
      <c r="F7912" t="str">
        <v>-</v>
      </c>
      <c r="G7912" t="str">
        <v>-</v>
      </c>
    </row>
    <row r="7913">
      <c r="A7913">
        <v>7912</v>
      </c>
      <c r="B7913" t="str">
        <v>UBND Ủy ban nhân dân xã Nam Tân  tỉnh Hải Dương</v>
      </c>
      <c r="C7913" t="str">
        <v>-</v>
      </c>
      <c r="D7913" t="str">
        <v>-</v>
      </c>
      <c r="E7913" t="str">
        <v>-</v>
      </c>
      <c r="F7913" t="str">
        <v>-</v>
      </c>
      <c r="G7913" t="str">
        <v>-</v>
      </c>
    </row>
    <row r="7914">
      <c r="A7914">
        <v>7913</v>
      </c>
      <c r="B7914" t="str">
        <v>Công an xã Hợp Tiến  tỉnh Hải Dương</v>
      </c>
      <c r="C7914" t="str">
        <v>-</v>
      </c>
      <c r="D7914" t="str">
        <v>-</v>
      </c>
      <c r="E7914" t="str">
        <v/>
      </c>
      <c r="F7914" t="str">
        <v>-</v>
      </c>
      <c r="G7914" t="str">
        <v>-</v>
      </c>
    </row>
    <row r="7915">
      <c r="A7915">
        <v>7914</v>
      </c>
      <c r="B7915" t="str">
        <v>UBND Ủy ban nhân dân xã Hợp Tiến  tỉnh Hải Dương</v>
      </c>
      <c r="C7915" t="str">
        <v>-</v>
      </c>
      <c r="D7915" t="str">
        <v>-</v>
      </c>
      <c r="E7915" t="str">
        <v>-</v>
      </c>
      <c r="F7915" t="str">
        <v>-</v>
      </c>
      <c r="G7915" t="str">
        <v>-</v>
      </c>
    </row>
    <row r="7916">
      <c r="A7916">
        <v>7915</v>
      </c>
      <c r="B7916" t="str">
        <v>Công an xã Hiệp Cát  tỉnh Hải Dương</v>
      </c>
      <c r="C7916" t="str">
        <v>-</v>
      </c>
      <c r="D7916" t="str">
        <v>-</v>
      </c>
      <c r="E7916" t="str">
        <v/>
      </c>
      <c r="F7916" t="str">
        <v>-</v>
      </c>
      <c r="G7916" t="str">
        <v>-</v>
      </c>
    </row>
    <row r="7917">
      <c r="A7917">
        <v>7916</v>
      </c>
      <c r="B7917" t="str">
        <v>UBND Ủy ban nhân dân xã Hiệp Cát  tỉnh Hải Dương</v>
      </c>
      <c r="C7917" t="str">
        <v>-</v>
      </c>
      <c r="D7917" t="str">
        <v>-</v>
      </c>
      <c r="E7917" t="str">
        <v>-</v>
      </c>
      <c r="F7917" t="str">
        <v>-</v>
      </c>
      <c r="G7917" t="str">
        <v>-</v>
      </c>
    </row>
    <row r="7918">
      <c r="A7918">
        <v>7917</v>
      </c>
      <c r="B7918" t="str">
        <v>Công an xã Thanh Quang  tỉnh Hải Dương</v>
      </c>
      <c r="C7918" t="str">
        <v>-</v>
      </c>
      <c r="D7918" t="str">
        <v>-</v>
      </c>
      <c r="E7918" t="str">
        <v/>
      </c>
      <c r="F7918" t="str">
        <v>-</v>
      </c>
      <c r="G7918" t="str">
        <v>-</v>
      </c>
    </row>
    <row r="7919">
      <c r="A7919">
        <v>7918</v>
      </c>
      <c r="B7919" t="str">
        <v>UBND Ủy ban nhân dân xã Thanh Quang  tỉnh Hải Dương</v>
      </c>
      <c r="C7919" t="str">
        <v>-</v>
      </c>
      <c r="D7919" t="str">
        <v>-</v>
      </c>
      <c r="E7919" t="str">
        <v>-</v>
      </c>
      <c r="F7919" t="str">
        <v>-</v>
      </c>
      <c r="G7919" t="str">
        <v>-</v>
      </c>
    </row>
    <row r="7920">
      <c r="A7920">
        <v>7919</v>
      </c>
      <c r="B7920" t="str">
        <v>Công an xã Quốc Tuấn  tỉnh Hải Dương</v>
      </c>
      <c r="C7920" t="str">
        <v>-</v>
      </c>
      <c r="D7920" t="str">
        <v>-</v>
      </c>
      <c r="E7920" t="str">
        <v/>
      </c>
      <c r="F7920" t="str">
        <v>-</v>
      </c>
      <c r="G7920" t="str">
        <v>-</v>
      </c>
    </row>
    <row r="7921">
      <c r="A7921">
        <v>7920</v>
      </c>
      <c r="B7921" t="str">
        <v>UBND Ủy ban nhân dân xã Quốc Tuấn  tỉnh Hải Dương</v>
      </c>
      <c r="C7921" t="str">
        <v>-</v>
      </c>
      <c r="D7921" t="str">
        <v>-</v>
      </c>
      <c r="E7921" t="str">
        <v>-</v>
      </c>
      <c r="F7921" t="str">
        <v>-</v>
      </c>
      <c r="G7921" t="str">
        <v>-</v>
      </c>
    </row>
    <row r="7922">
      <c r="A7922">
        <v>7921</v>
      </c>
      <c r="B7922" t="str">
        <v>Công an xã Nam Chính  tỉnh Hải Dương</v>
      </c>
      <c r="C7922" t="str">
        <v>-</v>
      </c>
      <c r="D7922" t="str">
        <v>-</v>
      </c>
      <c r="E7922" t="str">
        <v/>
      </c>
      <c r="F7922" t="str">
        <v>-</v>
      </c>
      <c r="G7922" t="str">
        <v>-</v>
      </c>
    </row>
    <row r="7923">
      <c r="A7923">
        <v>7922</v>
      </c>
      <c r="B7923" t="str">
        <v>UBND Ủy ban nhân dân xã Nam Chính  tỉnh Hải Dương</v>
      </c>
      <c r="C7923" t="str">
        <v>-</v>
      </c>
      <c r="D7923" t="str">
        <v>-</v>
      </c>
      <c r="E7923" t="str">
        <v>-</v>
      </c>
      <c r="F7923" t="str">
        <v>-</v>
      </c>
      <c r="G7923" t="str">
        <v>-</v>
      </c>
    </row>
    <row r="7924">
      <c r="A7924">
        <v>7923</v>
      </c>
      <c r="B7924" t="str">
        <v>Công an xã An Bình  tỉnh Hải Dương</v>
      </c>
      <c r="C7924" t="str">
        <v>-</v>
      </c>
      <c r="D7924" t="str">
        <v>-</v>
      </c>
      <c r="E7924" t="str">
        <v/>
      </c>
      <c r="F7924" t="str">
        <v>-</v>
      </c>
      <c r="G7924" t="str">
        <v>-</v>
      </c>
    </row>
    <row r="7925">
      <c r="A7925">
        <v>7924</v>
      </c>
      <c r="B7925" t="str">
        <v>UBND Ủy ban nhân dân xã An Bình  tỉnh Hải Dương</v>
      </c>
      <c r="C7925" t="str">
        <v>-</v>
      </c>
      <c r="D7925" t="str">
        <v>-</v>
      </c>
      <c r="E7925" t="str">
        <v>-</v>
      </c>
      <c r="F7925" t="str">
        <v>-</v>
      </c>
      <c r="G7925" t="str">
        <v>-</v>
      </c>
    </row>
    <row r="7926">
      <c r="A7926">
        <v>7925</v>
      </c>
      <c r="B7926" t="str">
        <v>Công an xã Nam Trung  tỉnh Hải Dương</v>
      </c>
      <c r="C7926" t="str">
        <v>-</v>
      </c>
      <c r="D7926" t="str">
        <v>-</v>
      </c>
      <c r="E7926" t="str">
        <v/>
      </c>
      <c r="F7926" t="str">
        <v>-</v>
      </c>
      <c r="G7926" t="str">
        <v>-</v>
      </c>
    </row>
    <row r="7927">
      <c r="A7927">
        <v>7926</v>
      </c>
      <c r="B7927" t="str">
        <v>UBND Ủy ban nhân dân xã Nam Trung  tỉnh Hải Dương</v>
      </c>
      <c r="C7927" t="str">
        <v>-</v>
      </c>
      <c r="D7927" t="str">
        <v>-</v>
      </c>
      <c r="E7927" t="str">
        <v>-</v>
      </c>
      <c r="F7927" t="str">
        <v>-</v>
      </c>
      <c r="G7927" t="str">
        <v>-</v>
      </c>
    </row>
    <row r="7928">
      <c r="A7928">
        <v>7927</v>
      </c>
      <c r="B7928" t="str">
        <v>Công an xã An Sơn  tỉnh Hải Dương</v>
      </c>
      <c r="C7928" t="str">
        <v>-</v>
      </c>
      <c r="D7928" t="str">
        <v>-</v>
      </c>
      <c r="E7928" t="str">
        <v/>
      </c>
      <c r="F7928" t="str">
        <v>-</v>
      </c>
      <c r="G7928" t="str">
        <v>-</v>
      </c>
    </row>
    <row r="7929">
      <c r="A7929">
        <v>7928</v>
      </c>
      <c r="B7929" t="str">
        <v>UBND Ủy ban nhân dân xã An Sơn  tỉnh Hải Dương</v>
      </c>
      <c r="C7929" t="str">
        <v>-</v>
      </c>
      <c r="D7929" t="str">
        <v>-</v>
      </c>
      <c r="E7929" t="str">
        <v>-</v>
      </c>
      <c r="F7929" t="str">
        <v>-</v>
      </c>
      <c r="G7929" t="str">
        <v>-</v>
      </c>
    </row>
    <row r="7930">
      <c r="A7930">
        <v>7929</v>
      </c>
      <c r="B7930" t="str">
        <v>Công an xã Cộng Hòa  tỉnh Hải Dương</v>
      </c>
      <c r="C7930" t="str">
        <v>-</v>
      </c>
      <c r="D7930" t="str">
        <v>-</v>
      </c>
      <c r="E7930" t="str">
        <v/>
      </c>
      <c r="F7930" t="str">
        <v>-</v>
      </c>
      <c r="G7930" t="str">
        <v>-</v>
      </c>
    </row>
    <row r="7931">
      <c r="A7931">
        <v>7930</v>
      </c>
      <c r="B7931" t="str">
        <v>UBND Ủy ban nhân dân xã Cộng Hòa  tỉnh Hải Dương</v>
      </c>
      <c r="C7931" t="str">
        <v>-</v>
      </c>
      <c r="D7931" t="str">
        <v>-</v>
      </c>
      <c r="E7931" t="str">
        <v>-</v>
      </c>
      <c r="F7931" t="str">
        <v>-</v>
      </c>
      <c r="G7931" t="str">
        <v>-</v>
      </c>
    </row>
    <row r="7932">
      <c r="A7932">
        <v>7931</v>
      </c>
      <c r="B7932" t="str">
        <v>Công an xã Thái Tân  tỉnh Hải Dương</v>
      </c>
      <c r="C7932" t="str">
        <v>-</v>
      </c>
      <c r="D7932" t="str">
        <v>-</v>
      </c>
      <c r="E7932" t="str">
        <v/>
      </c>
      <c r="F7932" t="str">
        <v>-</v>
      </c>
      <c r="G7932" t="str">
        <v>-</v>
      </c>
    </row>
    <row r="7933">
      <c r="A7933">
        <v>7932</v>
      </c>
      <c r="B7933" t="str">
        <v>UBND Ủy ban nhân dân xã Thái Tân  tỉnh Hải Dương</v>
      </c>
      <c r="C7933" t="str">
        <v>-</v>
      </c>
      <c r="D7933" t="str">
        <v>-</v>
      </c>
      <c r="E7933" t="str">
        <v>-</v>
      </c>
      <c r="F7933" t="str">
        <v>-</v>
      </c>
      <c r="G7933" t="str">
        <v>-</v>
      </c>
    </row>
    <row r="7934">
      <c r="A7934">
        <v>7933</v>
      </c>
      <c r="B7934" t="str">
        <v>Công an xã An Lâm  tỉnh Hải Dương</v>
      </c>
      <c r="C7934" t="str">
        <v>-</v>
      </c>
      <c r="D7934" t="str">
        <v>-</v>
      </c>
      <c r="E7934" t="str">
        <v/>
      </c>
      <c r="F7934" t="str">
        <v>-</v>
      </c>
      <c r="G7934" t="str">
        <v>-</v>
      </c>
    </row>
    <row r="7935">
      <c r="A7935">
        <v>7934</v>
      </c>
      <c r="B7935" t="str">
        <v>UBND Ủy ban nhân dân xã An Lâm  tỉnh Hải Dương</v>
      </c>
      <c r="C7935" t="str">
        <v>-</v>
      </c>
      <c r="D7935" t="str">
        <v>-</v>
      </c>
      <c r="E7935" t="str">
        <v>-</v>
      </c>
      <c r="F7935" t="str">
        <v>-</v>
      </c>
      <c r="G7935" t="str">
        <v>-</v>
      </c>
    </row>
    <row r="7936">
      <c r="A7936">
        <v>7935</v>
      </c>
      <c r="B7936" t="str">
        <v>Công an xã Phú Điền  tỉnh Hải Dương</v>
      </c>
      <c r="C7936" t="str">
        <v>-</v>
      </c>
      <c r="D7936" t="str">
        <v>-</v>
      </c>
      <c r="E7936" t="str">
        <v/>
      </c>
      <c r="F7936" t="str">
        <v>-</v>
      </c>
      <c r="G7936" t="str">
        <v>-</v>
      </c>
    </row>
    <row r="7937">
      <c r="A7937">
        <v>7936</v>
      </c>
      <c r="B7937" t="str">
        <v>UBND Ủy ban nhân dân xã Phú Điền  tỉnh Hải Dương</v>
      </c>
      <c r="C7937" t="str">
        <v>-</v>
      </c>
      <c r="D7937" t="str">
        <v>-</v>
      </c>
      <c r="E7937" t="str">
        <v>-</v>
      </c>
      <c r="F7937" t="str">
        <v>-</v>
      </c>
      <c r="G7937" t="str">
        <v>-</v>
      </c>
    </row>
    <row r="7938">
      <c r="A7938">
        <v>7937</v>
      </c>
      <c r="B7938" t="str">
        <v>Công an xã Nam Hồng  tỉnh Hải Dương</v>
      </c>
      <c r="C7938" t="str">
        <v>-</v>
      </c>
      <c r="D7938" t="str">
        <v>-</v>
      </c>
      <c r="E7938" t="str">
        <v/>
      </c>
      <c r="F7938" t="str">
        <v>-</v>
      </c>
      <c r="G7938" t="str">
        <v>-</v>
      </c>
    </row>
    <row r="7939">
      <c r="A7939">
        <v>7938</v>
      </c>
      <c r="B7939" t="str">
        <v>UBND Ủy ban nhân dân xã Nam Hồng  tỉnh Hải Dương</v>
      </c>
      <c r="C7939" t="str">
        <v>-</v>
      </c>
      <c r="D7939" t="str">
        <v>-</v>
      </c>
      <c r="E7939" t="str">
        <v>-</v>
      </c>
      <c r="F7939" t="str">
        <v>-</v>
      </c>
      <c r="G7939" t="str">
        <v>-</v>
      </c>
    </row>
    <row r="7940">
      <c r="A7940">
        <v>7939</v>
      </c>
      <c r="B7940" t="str">
        <v>Công an xã Hồng Phong  tỉnh Hải Dương</v>
      </c>
      <c r="C7940" t="str">
        <v>-</v>
      </c>
      <c r="D7940" t="str">
        <v>-</v>
      </c>
      <c r="E7940" t="str">
        <v/>
      </c>
      <c r="F7940" t="str">
        <v>-</v>
      </c>
      <c r="G7940" t="str">
        <v>-</v>
      </c>
    </row>
    <row r="7941">
      <c r="A7941">
        <v>7940</v>
      </c>
      <c r="B7941" t="str">
        <v>UBND Ủy ban nhân dân xã Hồng Phong  tỉnh Hải Dương</v>
      </c>
      <c r="C7941" t="str">
        <v>-</v>
      </c>
      <c r="D7941" t="str">
        <v>-</v>
      </c>
      <c r="E7941" t="str">
        <v>-</v>
      </c>
      <c r="F7941" t="str">
        <v>-</v>
      </c>
      <c r="G7941" t="str">
        <v>-</v>
      </c>
    </row>
    <row r="7942">
      <c r="A7942">
        <v>7941</v>
      </c>
      <c r="B7942" t="str">
        <v>Công an xã Đồng Lạc  tỉnh Hải Dương</v>
      </c>
      <c r="C7942" t="str">
        <v>-</v>
      </c>
      <c r="D7942" t="str">
        <v>-</v>
      </c>
      <c r="E7942" t="str">
        <v/>
      </c>
      <c r="F7942" t="str">
        <v>-</v>
      </c>
      <c r="G7942" t="str">
        <v>-</v>
      </c>
    </row>
    <row r="7943">
      <c r="A7943">
        <v>7942</v>
      </c>
      <c r="B7943" t="str">
        <v>UBND Ủy ban nhân dân xã Đồng Lạc  tỉnh Hải Dương</v>
      </c>
      <c r="C7943" t="str">
        <v>-</v>
      </c>
      <c r="D7943" t="str">
        <v>-</v>
      </c>
      <c r="E7943" t="str">
        <v>-</v>
      </c>
      <c r="F7943" t="str">
        <v>-</v>
      </c>
      <c r="G7943" t="str">
        <v>-</v>
      </c>
    </row>
    <row r="7944">
      <c r="A7944">
        <v>7943</v>
      </c>
      <c r="B7944" t="str">
        <v>Công an xã Minh Tân  tỉnh Hải Dương</v>
      </c>
      <c r="C7944" t="str">
        <v>-</v>
      </c>
      <c r="D7944" t="str">
        <v>-</v>
      </c>
      <c r="E7944" t="str">
        <v/>
      </c>
      <c r="F7944" t="str">
        <v>-</v>
      </c>
      <c r="G7944" t="str">
        <v>-</v>
      </c>
    </row>
    <row r="7945">
      <c r="A7945">
        <v>7944</v>
      </c>
      <c r="B7945" t="str">
        <v>UBND Ủy ban nhân dân xã Minh Tân  tỉnh Hải Dương</v>
      </c>
      <c r="C7945" t="str">
        <v>-</v>
      </c>
      <c r="D7945" t="str">
        <v>-</v>
      </c>
      <c r="E7945" t="str">
        <v>-</v>
      </c>
      <c r="F7945" t="str">
        <v>-</v>
      </c>
      <c r="G7945" t="str">
        <v>-</v>
      </c>
    </row>
    <row r="7946">
      <c r="A7946">
        <v>7945</v>
      </c>
      <c r="B7946" t="str">
        <v>Công an thị trấn Kinh Môn  tỉnh Hải Dương</v>
      </c>
      <c r="C7946" t="str">
        <v>-</v>
      </c>
      <c r="D7946" t="str">
        <v>-</v>
      </c>
      <c r="E7946" t="str">
        <v/>
      </c>
      <c r="F7946" t="str">
        <v>-</v>
      </c>
      <c r="G7946" t="str">
        <v>-</v>
      </c>
    </row>
    <row r="7947">
      <c r="A7947">
        <v>7946</v>
      </c>
      <c r="B7947" t="str">
        <v>UBND Ủy ban nhân dân thị trấn Kinh Môn  tỉnh Hải Dương</v>
      </c>
      <c r="C7947" t="str">
        <v>-</v>
      </c>
      <c r="D7947" t="str">
        <v>-</v>
      </c>
      <c r="E7947" t="str">
        <v>-</v>
      </c>
      <c r="F7947" t="str">
        <v>-</v>
      </c>
      <c r="G7947" t="str">
        <v>-</v>
      </c>
    </row>
    <row r="7948">
      <c r="A7948">
        <v>7947</v>
      </c>
      <c r="B7948" t="str">
        <v>Công an xã Bạch Đằng  tỉnh Hải Dương</v>
      </c>
      <c r="C7948" t="str">
        <v>-</v>
      </c>
      <c r="D7948" t="str">
        <v>-</v>
      </c>
      <c r="E7948" t="str">
        <v/>
      </c>
      <c r="F7948" t="str">
        <v>-</v>
      </c>
      <c r="G7948" t="str">
        <v>-</v>
      </c>
    </row>
    <row r="7949">
      <c r="A7949">
        <v>7948</v>
      </c>
      <c r="B7949" t="str">
        <v>UBND Ủy ban nhân dân xã Bạch Đằng  tỉnh Hải Dương</v>
      </c>
      <c r="C7949" t="str">
        <v>-</v>
      </c>
      <c r="D7949" t="str">
        <v>-</v>
      </c>
      <c r="E7949" t="str">
        <v>-</v>
      </c>
      <c r="F7949" t="str">
        <v>-</v>
      </c>
      <c r="G7949" t="str">
        <v>-</v>
      </c>
    </row>
    <row r="7950">
      <c r="A7950">
        <v>7949</v>
      </c>
      <c r="B7950" t="str">
        <v>Công an xã Thất Hùng  tỉnh Hải Dương</v>
      </c>
      <c r="C7950" t="str">
        <v>-</v>
      </c>
      <c r="D7950" t="str">
        <v>-</v>
      </c>
      <c r="E7950" t="str">
        <v/>
      </c>
      <c r="F7950" t="str">
        <v>-</v>
      </c>
      <c r="G7950" t="str">
        <v>-</v>
      </c>
    </row>
    <row r="7951">
      <c r="A7951">
        <v>7950</v>
      </c>
      <c r="B7951" t="str">
        <v>UBND Ủy ban nhân dân xã Thất Hùng  tỉnh Hải Dương</v>
      </c>
      <c r="C7951" t="str">
        <v>-</v>
      </c>
      <c r="D7951" t="str">
        <v>-</v>
      </c>
      <c r="E7951" t="str">
        <v>-</v>
      </c>
      <c r="F7951" t="str">
        <v>-</v>
      </c>
      <c r="G7951" t="str">
        <v>-</v>
      </c>
    </row>
    <row r="7952">
      <c r="A7952">
        <v>7951</v>
      </c>
      <c r="B7952" t="str">
        <v>Công an xã Lê Ninh  tỉnh Hải Dương</v>
      </c>
      <c r="C7952" t="str">
        <v>-</v>
      </c>
      <c r="D7952" t="str">
        <v>-</v>
      </c>
      <c r="E7952" t="str">
        <v/>
      </c>
      <c r="F7952" t="str">
        <v>-</v>
      </c>
      <c r="G7952" t="str">
        <v>-</v>
      </c>
    </row>
    <row r="7953">
      <c r="A7953">
        <v>7952</v>
      </c>
      <c r="B7953" t="str">
        <v>UBND Ủy ban nhân dân xã Lê Ninh  tỉnh Hải Dương</v>
      </c>
      <c r="C7953" t="str">
        <v>-</v>
      </c>
      <c r="D7953" t="str">
        <v>-</v>
      </c>
      <c r="E7953" t="str">
        <v>-</v>
      </c>
      <c r="F7953" t="str">
        <v>-</v>
      </c>
      <c r="G7953" t="str">
        <v>-</v>
      </c>
    </row>
    <row r="7954">
      <c r="A7954">
        <v>7953</v>
      </c>
      <c r="B7954" t="str">
        <v>Công an xã Hoành Sơn  tỉnh Hải Dương</v>
      </c>
      <c r="C7954" t="str">
        <v>-</v>
      </c>
      <c r="D7954" t="str">
        <v>-</v>
      </c>
      <c r="E7954" t="str">
        <v/>
      </c>
      <c r="F7954" t="str">
        <v>-</v>
      </c>
      <c r="G7954" t="str">
        <v>-</v>
      </c>
    </row>
    <row r="7955">
      <c r="A7955">
        <v>7954</v>
      </c>
      <c r="B7955" t="str">
        <v>UBND Ủy ban nhân dân xã Hoành Sơn  tỉnh Hải Dương</v>
      </c>
      <c r="C7955" t="str">
        <v>-</v>
      </c>
      <c r="D7955" t="str">
        <v>-</v>
      </c>
      <c r="E7955" t="str">
        <v>-</v>
      </c>
      <c r="F7955" t="str">
        <v>-</v>
      </c>
      <c r="G7955" t="str">
        <v>-</v>
      </c>
    </row>
    <row r="7956">
      <c r="A7956">
        <v>7955</v>
      </c>
      <c r="B7956" t="str">
        <v>Công an xã Phúc Thành   tỉnh Hải Dương</v>
      </c>
      <c r="C7956" t="str">
        <v>-</v>
      </c>
      <c r="D7956" t="str">
        <v>-</v>
      </c>
      <c r="E7956" t="str">
        <v/>
      </c>
      <c r="F7956" t="str">
        <v>-</v>
      </c>
      <c r="G7956" t="str">
        <v>-</v>
      </c>
    </row>
    <row r="7957">
      <c r="A7957">
        <v>7956</v>
      </c>
      <c r="B7957" t="str">
        <v>UBND Ủy ban nhân dân xã Phúc Thành   tỉnh Hải Dương</v>
      </c>
      <c r="C7957" t="str">
        <v>-</v>
      </c>
      <c r="D7957" t="str">
        <v>-</v>
      </c>
      <c r="E7957" t="str">
        <v>-</v>
      </c>
      <c r="F7957" t="str">
        <v>-</v>
      </c>
      <c r="G7957" t="str">
        <v>-</v>
      </c>
    </row>
    <row r="7958">
      <c r="A7958">
        <v>7957</v>
      </c>
      <c r="B7958" t="str">
        <v>Công an xã Thái Sơn  tỉnh Hải Dương</v>
      </c>
      <c r="C7958" t="str">
        <v>-</v>
      </c>
      <c r="D7958" t="str">
        <v>-</v>
      </c>
      <c r="E7958" t="str">
        <v/>
      </c>
      <c r="F7958" t="str">
        <v>-</v>
      </c>
      <c r="G7958" t="str">
        <v>-</v>
      </c>
    </row>
    <row r="7959">
      <c r="A7959">
        <v>7958</v>
      </c>
      <c r="B7959" t="str">
        <v>UBND Ủy ban nhân dân xã Thái Sơn  tỉnh Hải Dương</v>
      </c>
      <c r="C7959" t="str">
        <v>-</v>
      </c>
      <c r="D7959" t="str">
        <v>-</v>
      </c>
      <c r="E7959" t="str">
        <v>-</v>
      </c>
      <c r="F7959" t="str">
        <v>-</v>
      </c>
      <c r="G7959" t="str">
        <v>-</v>
      </c>
    </row>
    <row r="7960">
      <c r="A7960">
        <v>7959</v>
      </c>
      <c r="B7960" t="str">
        <v>Công an xã Duy Tân  tỉnh Hải Dương</v>
      </c>
      <c r="C7960" t="str">
        <v>-</v>
      </c>
      <c r="D7960" t="str">
        <v>-</v>
      </c>
      <c r="E7960" t="str">
        <v/>
      </c>
      <c r="F7960" t="str">
        <v>-</v>
      </c>
      <c r="G7960" t="str">
        <v>-</v>
      </c>
    </row>
    <row r="7961">
      <c r="A7961">
        <v>7960</v>
      </c>
      <c r="B7961" t="str">
        <v>UBND Ủy ban nhân dân xã Duy Tân  tỉnh Hải Dương</v>
      </c>
      <c r="C7961" t="str">
        <v>-</v>
      </c>
      <c r="D7961" t="str">
        <v>-</v>
      </c>
      <c r="E7961" t="str">
        <v>-</v>
      </c>
      <c r="F7961" t="str">
        <v>-</v>
      </c>
      <c r="G7961" t="str">
        <v>-</v>
      </c>
    </row>
    <row r="7962">
      <c r="A7962">
        <v>7961</v>
      </c>
      <c r="B7962" t="str">
        <v>Công an xã Tân Dân  tỉnh Hải Dương</v>
      </c>
      <c r="C7962" t="str">
        <v>-</v>
      </c>
      <c r="D7962" t="str">
        <v>-</v>
      </c>
      <c r="E7962" t="str">
        <v/>
      </c>
      <c r="F7962" t="str">
        <v>-</v>
      </c>
      <c r="G7962" t="str">
        <v>-</v>
      </c>
    </row>
    <row r="7963">
      <c r="A7963">
        <v>7962</v>
      </c>
      <c r="B7963" t="str">
        <v>UBND Ủy ban nhân dân xã Tân Dân  tỉnh Hải Dương</v>
      </c>
      <c r="C7963" t="str">
        <v>-</v>
      </c>
      <c r="D7963" t="str">
        <v>-</v>
      </c>
      <c r="E7963" t="str">
        <v>-</v>
      </c>
      <c r="F7963" t="str">
        <v>-</v>
      </c>
      <c r="G7963" t="str">
        <v>-</v>
      </c>
    </row>
    <row r="7964">
      <c r="A7964">
        <v>7963</v>
      </c>
      <c r="B7964" t="str">
        <v>Công an thị trấn Minh Tân  tỉnh Hải Dương</v>
      </c>
      <c r="C7964" t="str">
        <v>-</v>
      </c>
      <c r="D7964" t="str">
        <v>-</v>
      </c>
      <c r="E7964" t="str">
        <v/>
      </c>
      <c r="F7964" t="str">
        <v>-</v>
      </c>
      <c r="G7964" t="str">
        <v>-</v>
      </c>
    </row>
    <row r="7965">
      <c r="A7965">
        <v>7964</v>
      </c>
      <c r="B7965" t="str">
        <v>UBND Ủy ban nhân dân thị trấn Minh Tân  tỉnh Hải Dương</v>
      </c>
      <c r="C7965" t="str">
        <v>-</v>
      </c>
      <c r="D7965" t="str">
        <v>-</v>
      </c>
      <c r="E7965" t="str">
        <v>-</v>
      </c>
      <c r="F7965" t="str">
        <v>-</v>
      </c>
      <c r="G7965" t="str">
        <v>-</v>
      </c>
    </row>
    <row r="7966">
      <c r="A7966">
        <v>7965</v>
      </c>
      <c r="B7966" t="str">
        <v>Công an xã Quang Trung  tỉnh Hải Dương</v>
      </c>
      <c r="C7966" t="str">
        <v>-</v>
      </c>
      <c r="D7966" t="str">
        <v>-</v>
      </c>
      <c r="E7966" t="str">
        <v/>
      </c>
      <c r="F7966" t="str">
        <v>-</v>
      </c>
      <c r="G7966" t="str">
        <v>-</v>
      </c>
    </row>
    <row r="7967">
      <c r="A7967">
        <v>7966</v>
      </c>
      <c r="B7967" t="str">
        <v>UBND Ủy ban nhân dân xã Quang Trung  tỉnh Hải Dương</v>
      </c>
      <c r="C7967" t="str">
        <v>-</v>
      </c>
      <c r="D7967" t="str">
        <v>-</v>
      </c>
      <c r="E7967" t="str">
        <v>-</v>
      </c>
      <c r="F7967" t="str">
        <v>-</v>
      </c>
      <c r="G7967" t="str">
        <v>-</v>
      </c>
    </row>
    <row r="7968">
      <c r="A7968">
        <v>7967</v>
      </c>
      <c r="B7968" t="str">
        <v>Công an xã Hiệp Hòa  tỉnh Hải Dương</v>
      </c>
      <c r="C7968" t="str">
        <v>-</v>
      </c>
      <c r="D7968" t="str">
        <v>-</v>
      </c>
      <c r="E7968" t="str">
        <v/>
      </c>
      <c r="F7968" t="str">
        <v>-</v>
      </c>
      <c r="G7968" t="str">
        <v>-</v>
      </c>
    </row>
    <row r="7969">
      <c r="A7969">
        <v>7968</v>
      </c>
      <c r="B7969" t="str">
        <v>UBND Ủy ban nhân dân xã Hiệp Hòa  tỉnh Hải Dương</v>
      </c>
      <c r="C7969" t="str">
        <v>-</v>
      </c>
      <c r="D7969" t="str">
        <v>-</v>
      </c>
      <c r="E7969" t="str">
        <v>-</v>
      </c>
      <c r="F7969" t="str">
        <v>-</v>
      </c>
      <c r="G7969" t="str">
        <v>-</v>
      </c>
    </row>
    <row r="7970">
      <c r="A7970">
        <v>7969</v>
      </c>
      <c r="B7970" t="str">
        <v>Công an xã Phạm Mệnh  tỉnh Hải Dương</v>
      </c>
      <c r="C7970" t="str">
        <v>-</v>
      </c>
      <c r="D7970" t="str">
        <v>-</v>
      </c>
      <c r="E7970" t="str">
        <v/>
      </c>
      <c r="F7970" t="str">
        <v>-</v>
      </c>
      <c r="G7970" t="str">
        <v>-</v>
      </c>
    </row>
    <row r="7971">
      <c r="A7971">
        <v>7970</v>
      </c>
      <c r="B7971" t="str">
        <v>UBND Ủy ban nhân dân xã Phạm Mệnh  tỉnh Hải Dương</v>
      </c>
      <c r="C7971" t="str">
        <v>-</v>
      </c>
      <c r="D7971" t="str">
        <v>-</v>
      </c>
      <c r="E7971" t="str">
        <v>-</v>
      </c>
      <c r="F7971" t="str">
        <v>-</v>
      </c>
      <c r="G7971" t="str">
        <v>-</v>
      </c>
    </row>
    <row r="7972">
      <c r="A7972">
        <v>7971</v>
      </c>
      <c r="B7972" t="str">
        <v>Công an thị trấn Phú Thứ  tỉnh Hải Dương</v>
      </c>
      <c r="C7972" t="str">
        <v>-</v>
      </c>
      <c r="D7972" t="str">
        <v>-</v>
      </c>
      <c r="E7972" t="str">
        <v/>
      </c>
      <c r="F7972" t="str">
        <v>-</v>
      </c>
      <c r="G7972" t="str">
        <v>-</v>
      </c>
    </row>
    <row r="7973">
      <c r="A7973">
        <v>7972</v>
      </c>
      <c r="B7973" t="str">
        <v>UBND Ủy ban nhân dân thị trấn Phú Thứ  tỉnh Hải Dương</v>
      </c>
      <c r="C7973" t="str">
        <v>-</v>
      </c>
      <c r="D7973" t="str">
        <v>-</v>
      </c>
      <c r="E7973" t="str">
        <v>-</v>
      </c>
      <c r="F7973" t="str">
        <v>-</v>
      </c>
      <c r="G7973" t="str">
        <v>-</v>
      </c>
    </row>
    <row r="7974">
      <c r="A7974">
        <v>7973</v>
      </c>
      <c r="B7974" t="str">
        <v>Công an xã Thăng Long  tỉnh Hải Dương</v>
      </c>
      <c r="C7974" t="str">
        <v>-</v>
      </c>
      <c r="D7974" t="str">
        <v>-</v>
      </c>
      <c r="E7974" t="str">
        <v/>
      </c>
      <c r="F7974" t="str">
        <v>-</v>
      </c>
      <c r="G7974" t="str">
        <v>-</v>
      </c>
    </row>
    <row r="7975">
      <c r="A7975">
        <v>7974</v>
      </c>
      <c r="B7975" t="str">
        <v>UBND Ủy ban nhân dân xã Thăng Long  tỉnh Hải Dương</v>
      </c>
      <c r="C7975" t="str">
        <v>-</v>
      </c>
      <c r="D7975" t="str">
        <v>-</v>
      </c>
      <c r="E7975" t="str">
        <v>-</v>
      </c>
      <c r="F7975" t="str">
        <v>-</v>
      </c>
      <c r="G7975" t="str">
        <v>-</v>
      </c>
    </row>
    <row r="7976">
      <c r="A7976">
        <v>7975</v>
      </c>
      <c r="B7976" t="str">
        <v>Công an xã Lạc Long  tỉnh Hải Dương</v>
      </c>
      <c r="C7976" t="str">
        <v>-</v>
      </c>
      <c r="D7976" t="str">
        <v>-</v>
      </c>
      <c r="E7976" t="str">
        <v/>
      </c>
      <c r="F7976" t="str">
        <v>-</v>
      </c>
      <c r="G7976" t="str">
        <v>-</v>
      </c>
    </row>
    <row r="7977">
      <c r="A7977">
        <v>7976</v>
      </c>
      <c r="B7977" t="str">
        <v>UBND Ủy ban nhân dân xã Lạc Long  tỉnh Hải Dương</v>
      </c>
      <c r="C7977" t="str">
        <v>-</v>
      </c>
      <c r="D7977" t="str">
        <v>-</v>
      </c>
      <c r="E7977" t="str">
        <v>-</v>
      </c>
      <c r="F7977" t="str">
        <v>-</v>
      </c>
      <c r="G7977" t="str">
        <v>-</v>
      </c>
    </row>
    <row r="7978">
      <c r="A7978">
        <v>7977</v>
      </c>
      <c r="B7978" t="str">
        <v>Công an xã An Sinh  tỉnh Hải Dương</v>
      </c>
      <c r="C7978" t="str">
        <v>-</v>
      </c>
      <c r="D7978" t="str">
        <v>-</v>
      </c>
      <c r="E7978" t="str">
        <v/>
      </c>
      <c r="F7978" t="str">
        <v>-</v>
      </c>
      <c r="G7978" t="str">
        <v>-</v>
      </c>
    </row>
    <row r="7979">
      <c r="A7979">
        <v>7978</v>
      </c>
      <c r="B7979" t="str">
        <v>UBND Ủy ban nhân dân xã An Sinh  tỉnh Hải Dương</v>
      </c>
      <c r="C7979" t="str">
        <v>-</v>
      </c>
      <c r="D7979" t="str">
        <v>-</v>
      </c>
      <c r="E7979" t="str">
        <v>-</v>
      </c>
      <c r="F7979" t="str">
        <v>-</v>
      </c>
      <c r="G7979" t="str">
        <v>-</v>
      </c>
    </row>
    <row r="7980">
      <c r="A7980">
        <v>7979</v>
      </c>
      <c r="B7980" t="str">
        <v>Công an xã Hiệp Sơn  tỉnh Hải Dương</v>
      </c>
      <c r="C7980" t="str">
        <v>-</v>
      </c>
      <c r="D7980" t="str">
        <v>-</v>
      </c>
      <c r="E7980" t="str">
        <v/>
      </c>
      <c r="F7980" t="str">
        <v>-</v>
      </c>
      <c r="G7980" t="str">
        <v>-</v>
      </c>
    </row>
    <row r="7981">
      <c r="A7981">
        <v>7980</v>
      </c>
      <c r="B7981" t="str">
        <v>UBND Ủy ban nhân dân xã Hiệp Sơn  tỉnh Hải Dương</v>
      </c>
      <c r="C7981" t="str">
        <v>-</v>
      </c>
      <c r="D7981" t="str">
        <v>-</v>
      </c>
      <c r="E7981" t="str">
        <v>-</v>
      </c>
      <c r="F7981" t="str">
        <v>-</v>
      </c>
      <c r="G7981" t="str">
        <v>-</v>
      </c>
    </row>
    <row r="7982">
      <c r="A7982">
        <v>7981</v>
      </c>
      <c r="B7982" t="str">
        <v>Công an xã Thượng quận  tỉnh Hải Dương</v>
      </c>
      <c r="C7982" t="str">
        <v>-</v>
      </c>
      <c r="D7982" t="str">
        <v>-</v>
      </c>
      <c r="E7982" t="str">
        <v/>
      </c>
      <c r="F7982" t="str">
        <v>-</v>
      </c>
      <c r="G7982" t="str">
        <v>-</v>
      </c>
    </row>
    <row r="7983">
      <c r="A7983">
        <v>7982</v>
      </c>
      <c r="B7983" t="str">
        <v>UBND Ủy ban nhân dân xã Thượng quận  tỉnh Hải Dương</v>
      </c>
      <c r="C7983" t="str">
        <v>-</v>
      </c>
      <c r="D7983" t="str">
        <v>-</v>
      </c>
      <c r="E7983" t="str">
        <v>-</v>
      </c>
      <c r="F7983" t="str">
        <v>-</v>
      </c>
      <c r="G7983" t="str">
        <v>-</v>
      </c>
    </row>
    <row r="7984">
      <c r="A7984">
        <v>7983</v>
      </c>
      <c r="B7984" t="str">
        <v>Công an xã An Phụ  tỉnh Hải Dương</v>
      </c>
      <c r="C7984" t="str">
        <v>-</v>
      </c>
      <c r="D7984" t="str">
        <v>-</v>
      </c>
      <c r="E7984" t="str">
        <v/>
      </c>
      <c r="F7984" t="str">
        <v>-</v>
      </c>
      <c r="G7984" t="str">
        <v>-</v>
      </c>
    </row>
    <row r="7985">
      <c r="A7985">
        <v>7984</v>
      </c>
      <c r="B7985" t="str">
        <v>UBND Ủy ban nhân dân xã An Phụ  tỉnh Hải Dương</v>
      </c>
      <c r="C7985" t="str">
        <v>-</v>
      </c>
      <c r="D7985" t="str">
        <v>-</v>
      </c>
      <c r="E7985" t="str">
        <v>-</v>
      </c>
      <c r="F7985" t="str">
        <v>-</v>
      </c>
      <c r="G7985" t="str">
        <v>-</v>
      </c>
    </row>
    <row r="7986">
      <c r="A7986">
        <v>7985</v>
      </c>
      <c r="B7986" t="str">
        <v>Công an xã Hiệp An  tỉnh Hải Dương</v>
      </c>
      <c r="C7986" t="str">
        <v>-</v>
      </c>
      <c r="D7986" t="str">
        <v>-</v>
      </c>
      <c r="E7986" t="str">
        <v/>
      </c>
      <c r="F7986" t="str">
        <v>-</v>
      </c>
      <c r="G7986" t="str">
        <v>-</v>
      </c>
    </row>
    <row r="7987">
      <c r="A7987">
        <v>7986</v>
      </c>
      <c r="B7987" t="str">
        <v>UBND Ủy ban nhân dân xã Hiệp An  tỉnh Hải Dương</v>
      </c>
      <c r="C7987" t="str">
        <v>-</v>
      </c>
      <c r="D7987" t="str">
        <v>-</v>
      </c>
      <c r="E7987" t="str">
        <v>-</v>
      </c>
      <c r="F7987" t="str">
        <v>-</v>
      </c>
      <c r="G7987" t="str">
        <v>-</v>
      </c>
    </row>
    <row r="7988">
      <c r="A7988">
        <v>7987</v>
      </c>
      <c r="B7988" t="str">
        <v>Công an xã Long Xuyên  tỉnh Hải Dương</v>
      </c>
      <c r="C7988" t="str">
        <v>-</v>
      </c>
      <c r="D7988" t="str">
        <v>-</v>
      </c>
      <c r="E7988" t="str">
        <v/>
      </c>
      <c r="F7988" t="str">
        <v>-</v>
      </c>
      <c r="G7988" t="str">
        <v>-</v>
      </c>
    </row>
    <row r="7989">
      <c r="A7989">
        <v>7988</v>
      </c>
      <c r="B7989" t="str">
        <v>UBND Ủy ban nhân dân xã Long Xuyên  tỉnh Hải Dương</v>
      </c>
      <c r="C7989" t="str">
        <v>-</v>
      </c>
      <c r="D7989" t="str">
        <v>-</v>
      </c>
      <c r="E7989" t="str">
        <v>-</v>
      </c>
      <c r="F7989" t="str">
        <v>-</v>
      </c>
      <c r="G7989" t="str">
        <v>-</v>
      </c>
    </row>
    <row r="7990">
      <c r="A7990">
        <v>7989</v>
      </c>
      <c r="B7990" t="str">
        <v>Công an xã Thái Thịnh  tỉnh Hải Dương</v>
      </c>
      <c r="C7990" t="str">
        <v>-</v>
      </c>
      <c r="D7990" t="str">
        <v>-</v>
      </c>
      <c r="E7990" t="str">
        <v/>
      </c>
      <c r="F7990" t="str">
        <v>-</v>
      </c>
      <c r="G7990" t="str">
        <v>-</v>
      </c>
    </row>
    <row r="7991">
      <c r="A7991">
        <v>7990</v>
      </c>
      <c r="B7991" t="str">
        <v>UBND Ủy ban nhân dân xã Thái Thịnh  tỉnh Hải Dương</v>
      </c>
      <c r="C7991" t="str">
        <v>-</v>
      </c>
      <c r="D7991" t="str">
        <v>-</v>
      </c>
      <c r="E7991" t="str">
        <v>-</v>
      </c>
      <c r="F7991" t="str">
        <v>-</v>
      </c>
      <c r="G7991" t="str">
        <v>-</v>
      </c>
    </row>
    <row r="7992">
      <c r="A7992">
        <v>7991</v>
      </c>
      <c r="B7992" t="str">
        <v>Công an xã Hiến Thành  tỉnh Hải Dương</v>
      </c>
      <c r="C7992" t="str">
        <v>-</v>
      </c>
      <c r="D7992" t="str">
        <v>-</v>
      </c>
      <c r="E7992" t="str">
        <v/>
      </c>
      <c r="F7992" t="str">
        <v>-</v>
      </c>
      <c r="G7992" t="str">
        <v>-</v>
      </c>
    </row>
    <row r="7993">
      <c r="A7993">
        <v>7992</v>
      </c>
      <c r="B7993" t="str">
        <v>UBND Ủy ban nhân dân xã Hiến Thành  tỉnh Hải Dương</v>
      </c>
      <c r="C7993" t="str">
        <v>-</v>
      </c>
      <c r="D7993" t="str">
        <v>-</v>
      </c>
      <c r="E7993" t="str">
        <v>-</v>
      </c>
      <c r="F7993" t="str">
        <v>-</v>
      </c>
      <c r="G7993" t="str">
        <v>-</v>
      </c>
    </row>
    <row r="7994">
      <c r="A7994">
        <v>7993</v>
      </c>
      <c r="B7994" t="str">
        <v>Công an xã Minh Hòa  tỉnh Hải Dương</v>
      </c>
      <c r="C7994" t="str">
        <v>-</v>
      </c>
      <c r="D7994" t="str">
        <v>-</v>
      </c>
      <c r="E7994" t="str">
        <v/>
      </c>
      <c r="F7994" t="str">
        <v>-</v>
      </c>
      <c r="G7994" t="str">
        <v>-</v>
      </c>
    </row>
    <row r="7995">
      <c r="A7995">
        <v>7994</v>
      </c>
      <c r="B7995" t="str">
        <v>UBND Ủy ban nhân dân xã Minh Hòa  tỉnh Hải Dương</v>
      </c>
      <c r="C7995" t="str">
        <v>-</v>
      </c>
      <c r="D7995" t="str">
        <v>-</v>
      </c>
      <c r="E7995" t="str">
        <v>-</v>
      </c>
      <c r="F7995" t="str">
        <v>-</v>
      </c>
      <c r="G7995" t="str">
        <v>-</v>
      </c>
    </row>
    <row r="7996">
      <c r="A7996">
        <v>7995</v>
      </c>
      <c r="B7996" t="str">
        <v>Công an thị trấn Phú Thái  tỉnh Hải Dương</v>
      </c>
      <c r="C7996" t="str">
        <v>-</v>
      </c>
      <c r="D7996" t="str">
        <v>-</v>
      </c>
      <c r="E7996" t="str">
        <v/>
      </c>
      <c r="F7996" t="str">
        <v>-</v>
      </c>
      <c r="G7996" t="str">
        <v>-</v>
      </c>
    </row>
    <row r="7997">
      <c r="A7997">
        <v>7996</v>
      </c>
      <c r="B7997" t="str">
        <v>UBND Ủy ban nhân dân thị trấn Phú Thái  tỉnh Hải Dương</v>
      </c>
      <c r="C7997" t="str">
        <v>-</v>
      </c>
      <c r="D7997" t="str">
        <v>-</v>
      </c>
      <c r="E7997" t="str">
        <v>-</v>
      </c>
      <c r="F7997" t="str">
        <v>-</v>
      </c>
      <c r="G7997" t="str">
        <v>-</v>
      </c>
    </row>
    <row r="7998">
      <c r="A7998">
        <v>7997</v>
      </c>
      <c r="B7998" t="str">
        <v>Công an xã Lai Vu  tỉnh Hải Dương</v>
      </c>
      <c r="C7998" t="str">
        <v>-</v>
      </c>
      <c r="D7998" t="str">
        <v>-</v>
      </c>
      <c r="E7998" t="str">
        <v/>
      </c>
      <c r="F7998" t="str">
        <v>-</v>
      </c>
      <c r="G7998" t="str">
        <v>-</v>
      </c>
    </row>
    <row r="7999">
      <c r="A7999">
        <v>7998</v>
      </c>
      <c r="B7999" t="str">
        <v>UBND Ủy ban nhân dân xã Lai Vu  tỉnh Hải Dương</v>
      </c>
      <c r="C7999" t="str">
        <v>-</v>
      </c>
      <c r="D7999" t="str">
        <v>-</v>
      </c>
      <c r="E7999" t="str">
        <v>-</v>
      </c>
      <c r="F7999" t="str">
        <v>-</v>
      </c>
      <c r="G7999" t="str">
        <v>-</v>
      </c>
    </row>
    <row r="8000">
      <c r="A8000">
        <v>7999</v>
      </c>
      <c r="B8000" t="str">
        <v>Công an xã Cộng Hòa  tỉnh Hải Dương</v>
      </c>
      <c r="C8000" t="str">
        <v>-</v>
      </c>
      <c r="D8000" t="str">
        <v>-</v>
      </c>
      <c r="E8000" t="str">
        <v/>
      </c>
      <c r="F8000" t="str">
        <v>-</v>
      </c>
      <c r="G8000" t="str">
        <v>-</v>
      </c>
    </row>
    <row r="8001">
      <c r="A8001">
        <v>8000</v>
      </c>
      <c r="B8001" t="str">
        <v>UBND Ủy ban nhân dân xã Cộng Hòa  tỉnh Hải Dương</v>
      </c>
      <c r="C8001" t="str">
        <v>-</v>
      </c>
      <c r="D8001" t="str">
        <v>-</v>
      </c>
      <c r="E8001" t="str">
        <v>-</v>
      </c>
      <c r="F8001" t="str">
        <v>-</v>
      </c>
      <c r="G8001" t="str">
        <v>-</v>
      </c>
    </row>
    <row r="8002">
      <c r="A8002">
        <v>8001</v>
      </c>
      <c r="B8002" t="str">
        <v>Công an xã Thượng Vũ  tỉnh Hải Dương</v>
      </c>
      <c r="C8002" t="str">
        <v>-</v>
      </c>
      <c r="D8002" t="str">
        <v>-</v>
      </c>
      <c r="E8002" t="str">
        <v/>
      </c>
      <c r="F8002" t="str">
        <v>-</v>
      </c>
      <c r="G8002" t="str">
        <v>-</v>
      </c>
    </row>
    <row r="8003">
      <c r="A8003">
        <v>8002</v>
      </c>
      <c r="B8003" t="str">
        <v>UBND Ủy ban nhân dân xã Thượng Vũ  tỉnh Hải Dương</v>
      </c>
      <c r="C8003" t="str">
        <v>-</v>
      </c>
      <c r="D8003" t="str">
        <v>-</v>
      </c>
      <c r="E8003" t="str">
        <v>-</v>
      </c>
      <c r="F8003" t="str">
        <v>-</v>
      </c>
      <c r="G8003" t="str">
        <v>-</v>
      </c>
    </row>
    <row r="8004">
      <c r="A8004">
        <v>8003</v>
      </c>
      <c r="B8004" t="str">
        <v>Công an xã Cổ Dũng  tỉnh Hải Dương</v>
      </c>
      <c r="C8004" t="str">
        <v>-</v>
      </c>
      <c r="D8004" t="str">
        <v>-</v>
      </c>
      <c r="E8004" t="str">
        <v/>
      </c>
      <c r="F8004" t="str">
        <v>-</v>
      </c>
      <c r="G8004" t="str">
        <v>-</v>
      </c>
    </row>
    <row r="8005">
      <c r="A8005">
        <v>8004</v>
      </c>
      <c r="B8005" t="str">
        <v>UBND Ủy ban nhân dân xã Cổ Dũng  tỉnh Hải Dương</v>
      </c>
      <c r="C8005" t="str">
        <v>-</v>
      </c>
      <c r="D8005" t="str">
        <v>-</v>
      </c>
      <c r="E8005" t="str">
        <v>-</v>
      </c>
      <c r="F8005" t="str">
        <v>-</v>
      </c>
      <c r="G8005" t="str">
        <v>-</v>
      </c>
    </row>
    <row r="8006">
      <c r="A8006">
        <v>8005</v>
      </c>
      <c r="B8006" t="str">
        <v>Công an xã Việt Hưng  tỉnh Hải Dương</v>
      </c>
      <c r="C8006" t="str">
        <v>-</v>
      </c>
      <c r="D8006" t="str">
        <v>-</v>
      </c>
      <c r="E8006" t="str">
        <v/>
      </c>
      <c r="F8006" t="str">
        <v>-</v>
      </c>
      <c r="G8006" t="str">
        <v>-</v>
      </c>
    </row>
    <row r="8007">
      <c r="A8007">
        <v>8006</v>
      </c>
      <c r="B8007" t="str">
        <v>UBND Ủy ban nhân dân xã Việt Hưng  tỉnh Hải Dương</v>
      </c>
      <c r="C8007" t="str">
        <v>-</v>
      </c>
      <c r="D8007" t="str">
        <v>-</v>
      </c>
      <c r="E8007" t="str">
        <v>-</v>
      </c>
      <c r="F8007" t="str">
        <v>-</v>
      </c>
      <c r="G8007" t="str">
        <v>-</v>
      </c>
    </row>
    <row r="8008">
      <c r="A8008">
        <v>8007</v>
      </c>
      <c r="B8008" t="str">
        <v>Công an xã Tuấn Hưng  tỉnh Hải Dương</v>
      </c>
      <c r="C8008" t="str">
        <v>-</v>
      </c>
      <c r="D8008" t="str">
        <v>-</v>
      </c>
      <c r="E8008" t="str">
        <v/>
      </c>
      <c r="F8008" t="str">
        <v>-</v>
      </c>
      <c r="G8008" t="str">
        <v>-</v>
      </c>
    </row>
    <row r="8009">
      <c r="A8009">
        <v>8008</v>
      </c>
      <c r="B8009" t="str">
        <v>UBND Ủy ban nhân dân xã Tuấn Hưng  tỉnh Hải Dương</v>
      </c>
      <c r="C8009" t="str">
        <v>-</v>
      </c>
      <c r="D8009" t="str">
        <v>-</v>
      </c>
      <c r="E8009" t="str">
        <v>-</v>
      </c>
      <c r="F8009" t="str">
        <v>-</v>
      </c>
      <c r="G8009" t="str">
        <v>-</v>
      </c>
    </row>
    <row r="8010">
      <c r="A8010">
        <v>8009</v>
      </c>
      <c r="B8010" t="str">
        <v>Công an xã Kim Xuyên  tỉnh Hải Dương</v>
      </c>
      <c r="C8010" t="str">
        <v>-</v>
      </c>
      <c r="D8010" t="str">
        <v>-</v>
      </c>
      <c r="E8010" t="str">
        <v/>
      </c>
      <c r="F8010" t="str">
        <v>-</v>
      </c>
      <c r="G8010" t="str">
        <v>-</v>
      </c>
    </row>
    <row r="8011">
      <c r="A8011">
        <v>8010</v>
      </c>
      <c r="B8011" t="str">
        <v>UBND Ủy ban nhân dân xã Kim Xuyên  tỉnh Hải Dương</v>
      </c>
      <c r="C8011" t="str">
        <v>-</v>
      </c>
      <c r="D8011" t="str">
        <v>-</v>
      </c>
      <c r="E8011" t="str">
        <v>-</v>
      </c>
      <c r="F8011" t="str">
        <v>-</v>
      </c>
      <c r="G8011" t="str">
        <v>-</v>
      </c>
    </row>
    <row r="8012">
      <c r="A8012">
        <v>8011</v>
      </c>
      <c r="B8012" t="str">
        <v>Công an xã Phúc Thành A  tỉnh Hải Dương</v>
      </c>
      <c r="C8012" t="str">
        <v>-</v>
      </c>
      <c r="D8012" t="str">
        <v>-</v>
      </c>
      <c r="E8012" t="str">
        <v/>
      </c>
      <c r="F8012" t="str">
        <v>-</v>
      </c>
      <c r="G8012" t="str">
        <v>-</v>
      </c>
    </row>
    <row r="8013">
      <c r="A8013">
        <v>8012</v>
      </c>
      <c r="B8013" t="str">
        <v>UBND Ủy ban nhân dân xã Phúc Thành A  tỉnh Hải Dương</v>
      </c>
      <c r="C8013" t="str">
        <v>-</v>
      </c>
      <c r="D8013" t="str">
        <v>-</v>
      </c>
      <c r="E8013" t="str">
        <v>-</v>
      </c>
      <c r="F8013" t="str">
        <v>-</v>
      </c>
      <c r="G8013" t="str">
        <v>-</v>
      </c>
    </row>
    <row r="8014">
      <c r="A8014">
        <v>8013</v>
      </c>
      <c r="B8014" t="str">
        <v>Công an xã Ngũ Phúc  tỉnh Hải Dương</v>
      </c>
      <c r="C8014" t="str">
        <v>-</v>
      </c>
      <c r="D8014" t="str">
        <v>-</v>
      </c>
      <c r="E8014" t="str">
        <v/>
      </c>
      <c r="F8014" t="str">
        <v>-</v>
      </c>
      <c r="G8014" t="str">
        <v>-</v>
      </c>
    </row>
    <row r="8015">
      <c r="A8015">
        <v>8014</v>
      </c>
      <c r="B8015" t="str">
        <v>UBND Ủy ban nhân dân xã Ngũ Phúc  tỉnh Hải Dương</v>
      </c>
      <c r="C8015" t="str">
        <v>-</v>
      </c>
      <c r="D8015" t="str">
        <v>-</v>
      </c>
      <c r="E8015" t="str">
        <v>-</v>
      </c>
      <c r="F8015" t="str">
        <v>-</v>
      </c>
      <c r="G8015" t="str">
        <v>-</v>
      </c>
    </row>
    <row r="8016">
      <c r="A8016">
        <v>8015</v>
      </c>
      <c r="B8016" t="str">
        <v>Công an xã Kim Anh  tỉnh Hải Dương</v>
      </c>
      <c r="C8016" t="str">
        <v>-</v>
      </c>
      <c r="D8016" t="str">
        <v>-</v>
      </c>
      <c r="E8016" t="str">
        <v/>
      </c>
      <c r="F8016" t="str">
        <v>-</v>
      </c>
      <c r="G8016" t="str">
        <v>-</v>
      </c>
    </row>
    <row r="8017">
      <c r="A8017">
        <v>8016</v>
      </c>
      <c r="B8017" t="str">
        <v>UBND Ủy ban nhân dân xã Kim Anh  tỉnh Hải Dương</v>
      </c>
      <c r="C8017" t="str">
        <v>-</v>
      </c>
      <c r="D8017" t="str">
        <v>-</v>
      </c>
      <c r="E8017" t="str">
        <v>-</v>
      </c>
      <c r="F8017" t="str">
        <v>-</v>
      </c>
      <c r="G8017" t="str">
        <v>-</v>
      </c>
    </row>
    <row r="8018">
      <c r="A8018">
        <v>8017</v>
      </c>
      <c r="B8018" t="str">
        <v>Công an xã Kim Lương  tỉnh Hải Dương</v>
      </c>
      <c r="C8018" t="str">
        <v>-</v>
      </c>
      <c r="D8018" t="str">
        <v>-</v>
      </c>
      <c r="E8018" t="str">
        <v/>
      </c>
      <c r="F8018" t="str">
        <v>-</v>
      </c>
      <c r="G8018" t="str">
        <v>-</v>
      </c>
    </row>
    <row r="8019">
      <c r="A8019">
        <v>8018</v>
      </c>
      <c r="B8019" t="str">
        <v>UBND Ủy ban nhân dân xã Kim Lương  tỉnh Hải Dương</v>
      </c>
      <c r="C8019" t="str">
        <v>-</v>
      </c>
      <c r="D8019" t="str">
        <v>-</v>
      </c>
      <c r="E8019" t="str">
        <v>-</v>
      </c>
      <c r="F8019" t="str">
        <v>-</v>
      </c>
      <c r="G8019" t="str">
        <v>-</v>
      </c>
    </row>
    <row r="8020">
      <c r="A8020">
        <v>8019</v>
      </c>
      <c r="B8020" t="str">
        <v>Công an xã Kim Tân  tỉnh Hải Dương</v>
      </c>
      <c r="C8020" t="str">
        <v>-</v>
      </c>
      <c r="D8020" t="str">
        <v>-</v>
      </c>
      <c r="E8020" t="str">
        <v/>
      </c>
      <c r="F8020" t="str">
        <v>-</v>
      </c>
      <c r="G8020" t="str">
        <v>-</v>
      </c>
    </row>
    <row r="8021">
      <c r="A8021">
        <v>8020</v>
      </c>
      <c r="B8021" t="str">
        <v>UBND Ủy ban nhân dân xã Kim Tân  tỉnh Hải Dương</v>
      </c>
      <c r="C8021" t="str">
        <v>-</v>
      </c>
      <c r="D8021" t="str">
        <v>-</v>
      </c>
      <c r="E8021" t="str">
        <v>-</v>
      </c>
      <c r="F8021" t="str">
        <v>-</v>
      </c>
      <c r="G8021" t="str">
        <v>-</v>
      </c>
    </row>
    <row r="8022">
      <c r="A8022">
        <v>8021</v>
      </c>
      <c r="B8022" t="str">
        <v>Công an xã Kim Khê  tỉnh Hải Dương</v>
      </c>
      <c r="C8022" t="str">
        <v>-</v>
      </c>
      <c r="D8022" t="str">
        <v>-</v>
      </c>
      <c r="E8022" t="str">
        <v/>
      </c>
      <c r="F8022" t="str">
        <v>-</v>
      </c>
      <c r="G8022" t="str">
        <v>-</v>
      </c>
    </row>
    <row r="8023">
      <c r="A8023">
        <v>8022</v>
      </c>
      <c r="B8023" t="str">
        <v>UBND Ủy ban nhân dân xã Kim Khê  tỉnh Hải Dương</v>
      </c>
      <c r="C8023" t="str">
        <v>-</v>
      </c>
      <c r="D8023" t="str">
        <v>-</v>
      </c>
      <c r="E8023" t="str">
        <v>-</v>
      </c>
      <c r="F8023" t="str">
        <v>-</v>
      </c>
      <c r="G8023" t="str">
        <v>-</v>
      </c>
    </row>
    <row r="8024">
      <c r="A8024">
        <v>8023</v>
      </c>
      <c r="B8024" t="str">
        <v>Công an xã Kim Đính  tỉnh Hải Dương</v>
      </c>
      <c r="C8024" t="str">
        <v>-</v>
      </c>
      <c r="D8024" t="str">
        <v>-</v>
      </c>
      <c r="E8024" t="str">
        <v/>
      </c>
      <c r="F8024" t="str">
        <v>-</v>
      </c>
      <c r="G8024" t="str">
        <v>-</v>
      </c>
    </row>
    <row r="8025">
      <c r="A8025">
        <v>8024</v>
      </c>
      <c r="B8025" t="str">
        <v>UBND Ủy ban nhân dân xã Kim Đính  tỉnh Hải Dương</v>
      </c>
      <c r="C8025" t="str">
        <v>-</v>
      </c>
      <c r="D8025" t="str">
        <v>-</v>
      </c>
      <c r="E8025" t="str">
        <v>-</v>
      </c>
      <c r="F8025" t="str">
        <v>-</v>
      </c>
      <c r="G8025" t="str">
        <v>-</v>
      </c>
    </row>
    <row r="8026">
      <c r="A8026">
        <v>8025</v>
      </c>
      <c r="B8026" t="str">
        <v>Công an xã Cẩm La  tỉnh Hải Dương</v>
      </c>
      <c r="C8026" t="str">
        <v>-</v>
      </c>
      <c r="D8026" t="str">
        <v>-</v>
      </c>
      <c r="E8026" t="str">
        <v/>
      </c>
      <c r="F8026" t="str">
        <v>-</v>
      </c>
      <c r="G8026" t="str">
        <v>-</v>
      </c>
    </row>
    <row r="8027">
      <c r="A8027">
        <v>8026</v>
      </c>
      <c r="B8027" t="str">
        <v>UBND Ủy ban nhân dân xã Cẩm La  tỉnh Hải Dương</v>
      </c>
      <c r="C8027" t="str">
        <v>-</v>
      </c>
      <c r="D8027" t="str">
        <v>-</v>
      </c>
      <c r="E8027" t="str">
        <v>-</v>
      </c>
      <c r="F8027" t="str">
        <v>-</v>
      </c>
      <c r="G8027" t="str">
        <v>-</v>
      </c>
    </row>
    <row r="8028">
      <c r="A8028">
        <v>8027</v>
      </c>
      <c r="B8028" t="str">
        <v>Công an xã Bình Dân  tỉnh Hải Dương</v>
      </c>
      <c r="C8028" t="str">
        <v>-</v>
      </c>
      <c r="D8028" t="str">
        <v>-</v>
      </c>
      <c r="E8028" t="str">
        <v/>
      </c>
      <c r="F8028" t="str">
        <v>-</v>
      </c>
      <c r="G8028" t="str">
        <v>-</v>
      </c>
    </row>
    <row r="8029">
      <c r="A8029">
        <v>8028</v>
      </c>
      <c r="B8029" t="str">
        <v>UBND Ủy ban nhân dân xã Bình Dân  tỉnh Hải Dương</v>
      </c>
      <c r="C8029" t="str">
        <v>-</v>
      </c>
      <c r="D8029" t="str">
        <v>-</v>
      </c>
      <c r="E8029" t="str">
        <v>-</v>
      </c>
      <c r="F8029" t="str">
        <v>-</v>
      </c>
      <c r="G8029" t="str">
        <v>-</v>
      </c>
    </row>
    <row r="8030">
      <c r="A8030">
        <v>8029</v>
      </c>
      <c r="B8030" t="str">
        <v>Công an xã Tam Kỳ  tỉnh Hải Dương</v>
      </c>
      <c r="C8030" t="str">
        <v>-</v>
      </c>
      <c r="D8030" t="str">
        <v>-</v>
      </c>
      <c r="E8030" t="str">
        <v/>
      </c>
      <c r="F8030" t="str">
        <v>-</v>
      </c>
      <c r="G8030" t="str">
        <v>-</v>
      </c>
    </row>
    <row r="8031">
      <c r="A8031">
        <v>8030</v>
      </c>
      <c r="B8031" t="str">
        <v>UBND Ủy ban nhân dân xã Tam Kỳ  tỉnh Hải Dương</v>
      </c>
      <c r="C8031" t="str">
        <v>-</v>
      </c>
      <c r="D8031" t="str">
        <v>-</v>
      </c>
      <c r="E8031" t="str">
        <v>-</v>
      </c>
      <c r="F8031" t="str">
        <v>-</v>
      </c>
      <c r="G8031" t="str">
        <v>-</v>
      </c>
    </row>
    <row r="8032">
      <c r="A8032">
        <v>8031</v>
      </c>
      <c r="B8032" t="str">
        <v>Công an xã Đồng Gia  tỉnh Hải Dương</v>
      </c>
      <c r="C8032" t="str">
        <v>-</v>
      </c>
      <c r="D8032" t="str">
        <v>-</v>
      </c>
      <c r="E8032" t="str">
        <v/>
      </c>
      <c r="F8032" t="str">
        <v>-</v>
      </c>
      <c r="G8032" t="str">
        <v>-</v>
      </c>
    </row>
    <row r="8033">
      <c r="A8033">
        <v>8032</v>
      </c>
      <c r="B8033" t="str">
        <v>UBND Ủy ban nhân dân xã Đồng Gia  tỉnh Hải Dương</v>
      </c>
      <c r="C8033" t="str">
        <v>-</v>
      </c>
      <c r="D8033" t="str">
        <v>-</v>
      </c>
      <c r="E8033" t="str">
        <v>-</v>
      </c>
      <c r="F8033" t="str">
        <v>-</v>
      </c>
      <c r="G8033" t="str">
        <v>-</v>
      </c>
    </row>
    <row r="8034">
      <c r="A8034">
        <v>8033</v>
      </c>
      <c r="B8034" t="str">
        <v>Công an xã Liên Hòa  tỉnh Hải Dương</v>
      </c>
      <c r="C8034" t="str">
        <v>-</v>
      </c>
      <c r="D8034" t="str">
        <v>-</v>
      </c>
      <c r="E8034" t="str">
        <v/>
      </c>
      <c r="F8034" t="str">
        <v>-</v>
      </c>
      <c r="G8034" t="str">
        <v>-</v>
      </c>
    </row>
    <row r="8035">
      <c r="A8035">
        <v>8034</v>
      </c>
      <c r="B8035" t="str">
        <v>UBND Ủy ban nhân dân xã Liên Hòa  tỉnh Hải Dương</v>
      </c>
      <c r="C8035" t="str">
        <v>-</v>
      </c>
      <c r="D8035" t="str">
        <v>-</v>
      </c>
      <c r="E8035" t="str">
        <v>-</v>
      </c>
      <c r="F8035" t="str">
        <v>-</v>
      </c>
      <c r="G8035" t="str">
        <v>-</v>
      </c>
    </row>
    <row r="8036">
      <c r="A8036">
        <v>8035</v>
      </c>
      <c r="B8036" t="str">
        <v>Công an xã Đại Đức  tỉnh Hải Dương</v>
      </c>
      <c r="C8036" t="str">
        <v>-</v>
      </c>
      <c r="D8036" t="str">
        <v>-</v>
      </c>
      <c r="E8036" t="str">
        <v/>
      </c>
      <c r="F8036" t="str">
        <v>-</v>
      </c>
      <c r="G8036" t="str">
        <v>-</v>
      </c>
    </row>
    <row r="8037">
      <c r="A8037">
        <v>8036</v>
      </c>
      <c r="B8037" t="str">
        <v>UBND Ủy ban nhân dân xã Đại Đức  tỉnh Hải Dương</v>
      </c>
      <c r="C8037" t="str">
        <v>-</v>
      </c>
      <c r="D8037" t="str">
        <v>-</v>
      </c>
      <c r="E8037" t="str">
        <v>-</v>
      </c>
      <c r="F8037" t="str">
        <v>-</v>
      </c>
      <c r="G8037" t="str">
        <v>-</v>
      </c>
    </row>
    <row r="8038">
      <c r="A8038">
        <v>8037</v>
      </c>
      <c r="B8038" t="str">
        <v>Công an thị trấn Thanh Hà  tỉnh Hải Dương</v>
      </c>
      <c r="C8038" t="str">
        <v>-</v>
      </c>
      <c r="D8038" t="str">
        <v>-</v>
      </c>
      <c r="E8038" t="str">
        <v/>
      </c>
      <c r="F8038" t="str">
        <v>-</v>
      </c>
      <c r="G8038" t="str">
        <v>-</v>
      </c>
    </row>
    <row r="8039">
      <c r="A8039">
        <v>8038</v>
      </c>
      <c r="B8039" t="str">
        <v>UBND Ủy ban nhân dân thị trấn Thanh Hà  tỉnh Hải Dương</v>
      </c>
      <c r="C8039" t="str">
        <v>-</v>
      </c>
      <c r="D8039" t="str">
        <v>-</v>
      </c>
      <c r="E8039" t="str">
        <v>-</v>
      </c>
      <c r="F8039" t="str">
        <v>-</v>
      </c>
      <c r="G8039" t="str">
        <v>-</v>
      </c>
    </row>
    <row r="8040">
      <c r="A8040">
        <v>8039</v>
      </c>
      <c r="B8040" t="str">
        <v>Công an xã Hồng Lạc  tỉnh Hải Dương</v>
      </c>
      <c r="C8040" t="str">
        <v>-</v>
      </c>
      <c r="D8040" t="str">
        <v>-</v>
      </c>
      <c r="E8040" t="str">
        <v/>
      </c>
      <c r="F8040" t="str">
        <v>-</v>
      </c>
      <c r="G8040" t="str">
        <v>-</v>
      </c>
    </row>
    <row r="8041">
      <c r="A8041">
        <v>8040</v>
      </c>
      <c r="B8041" t="str">
        <v>UBND Ủy ban nhân dân xã Hồng Lạc  tỉnh Hải Dương</v>
      </c>
      <c r="C8041" t="str">
        <v>-</v>
      </c>
      <c r="D8041" t="str">
        <v>-</v>
      </c>
      <c r="E8041" t="str">
        <v>-</v>
      </c>
      <c r="F8041" t="str">
        <v>-</v>
      </c>
      <c r="G8041" t="str">
        <v>-</v>
      </c>
    </row>
    <row r="8042">
      <c r="A8042">
        <v>8041</v>
      </c>
      <c r="B8042" t="str">
        <v>Công an xã Việt Hồng  tỉnh Hải Dương</v>
      </c>
      <c r="C8042" t="str">
        <v>-</v>
      </c>
      <c r="D8042" t="str">
        <v>-</v>
      </c>
      <c r="E8042" t="str">
        <v/>
      </c>
      <c r="F8042" t="str">
        <v>-</v>
      </c>
      <c r="G8042" t="str">
        <v>-</v>
      </c>
    </row>
    <row r="8043">
      <c r="A8043">
        <v>8042</v>
      </c>
      <c r="B8043" t="str">
        <v>UBND Ủy ban nhân dân xã Việt Hồng  tỉnh Hải Dương</v>
      </c>
      <c r="C8043" t="str">
        <v>-</v>
      </c>
      <c r="D8043" t="str">
        <v>-</v>
      </c>
      <c r="E8043" t="str">
        <v>-</v>
      </c>
      <c r="F8043" t="str">
        <v>-</v>
      </c>
      <c r="G8043" t="str">
        <v>-</v>
      </c>
    </row>
    <row r="8044">
      <c r="A8044">
        <v>8043</v>
      </c>
      <c r="B8044" t="str">
        <v>Công an xã Quyết Thắng  tỉnh Hải Dương</v>
      </c>
      <c r="C8044" t="str">
        <v>-</v>
      </c>
      <c r="D8044" t="str">
        <v>-</v>
      </c>
      <c r="E8044" t="str">
        <v/>
      </c>
      <c r="F8044" t="str">
        <v>-</v>
      </c>
      <c r="G8044" t="str">
        <v>-</v>
      </c>
    </row>
    <row r="8045">
      <c r="A8045">
        <v>8044</v>
      </c>
      <c r="B8045" t="str">
        <v>UBND Ủy ban nhân dân xã Quyết Thắng  tỉnh Hải Dương</v>
      </c>
      <c r="C8045" t="str">
        <v>-</v>
      </c>
      <c r="D8045" t="str">
        <v>-</v>
      </c>
      <c r="E8045" t="str">
        <v>-</v>
      </c>
      <c r="F8045" t="str">
        <v>-</v>
      </c>
      <c r="G8045" t="str">
        <v>-</v>
      </c>
    </row>
    <row r="8046">
      <c r="A8046">
        <v>8045</v>
      </c>
      <c r="B8046" t="str">
        <v>Công an xã Tân Việt  tỉnh Hải Dương</v>
      </c>
      <c r="C8046" t="str">
        <v>-</v>
      </c>
      <c r="D8046" t="str">
        <v>-</v>
      </c>
      <c r="E8046" t="str">
        <v/>
      </c>
      <c r="F8046" t="str">
        <v>-</v>
      </c>
      <c r="G8046" t="str">
        <v>-</v>
      </c>
    </row>
    <row r="8047">
      <c r="A8047">
        <v>8046</v>
      </c>
      <c r="B8047" t="str">
        <v>UBND Ủy ban nhân dân xã Tân Việt  tỉnh Hải Dương</v>
      </c>
      <c r="C8047" t="str">
        <v>-</v>
      </c>
      <c r="D8047" t="str">
        <v>-</v>
      </c>
      <c r="E8047" t="str">
        <v>-</v>
      </c>
      <c r="F8047" t="str">
        <v>-</v>
      </c>
      <c r="G8047" t="str">
        <v>-</v>
      </c>
    </row>
    <row r="8048">
      <c r="A8048">
        <v>8047</v>
      </c>
      <c r="B8048" t="str">
        <v>Công an xã Cẩm Chế  tỉnh Hải Dương</v>
      </c>
      <c r="C8048" t="str">
        <v>-</v>
      </c>
      <c r="D8048" t="str">
        <v>-</v>
      </c>
      <c r="E8048" t="str">
        <v/>
      </c>
      <c r="F8048" t="str">
        <v>-</v>
      </c>
      <c r="G8048" t="str">
        <v>-</v>
      </c>
    </row>
    <row r="8049">
      <c r="A8049">
        <v>8048</v>
      </c>
      <c r="B8049" t="str">
        <v>UBND Ủy ban nhân dân xã Cẩm Chế  tỉnh Hải Dương</v>
      </c>
      <c r="C8049" t="str">
        <v>-</v>
      </c>
      <c r="D8049" t="str">
        <v>-</v>
      </c>
      <c r="E8049" t="str">
        <v>-</v>
      </c>
      <c r="F8049" t="str">
        <v>-</v>
      </c>
      <c r="G8049" t="str">
        <v>-</v>
      </c>
    </row>
    <row r="8050">
      <c r="A8050">
        <v>8049</v>
      </c>
      <c r="B8050" t="str">
        <v>Công an xã Thanh An  tỉnh Hải Dương</v>
      </c>
      <c r="C8050" t="str">
        <v>-</v>
      </c>
      <c r="D8050" t="str">
        <v>-</v>
      </c>
      <c r="E8050" t="str">
        <v/>
      </c>
      <c r="F8050" t="str">
        <v>-</v>
      </c>
      <c r="G8050" t="str">
        <v>-</v>
      </c>
    </row>
    <row r="8051">
      <c r="A8051">
        <v>8050</v>
      </c>
      <c r="B8051" t="str">
        <v>UBND Ủy ban nhân dân xã Thanh An  tỉnh Hải Dương</v>
      </c>
      <c r="C8051" t="str">
        <v>-</v>
      </c>
      <c r="D8051" t="str">
        <v>-</v>
      </c>
      <c r="E8051" t="str">
        <v>-</v>
      </c>
      <c r="F8051" t="str">
        <v>-</v>
      </c>
      <c r="G8051" t="str">
        <v>-</v>
      </c>
    </row>
    <row r="8052">
      <c r="A8052">
        <v>8051</v>
      </c>
      <c r="B8052" t="str">
        <v>Công an xã Thanh Lang  tỉnh Hải Dương</v>
      </c>
      <c r="C8052" t="str">
        <v>-</v>
      </c>
      <c r="D8052" t="str">
        <v>-</v>
      </c>
      <c r="E8052" t="str">
        <v/>
      </c>
      <c r="F8052" t="str">
        <v>-</v>
      </c>
      <c r="G8052" t="str">
        <v>-</v>
      </c>
    </row>
    <row r="8053">
      <c r="A8053">
        <v>8052</v>
      </c>
      <c r="B8053" t="str">
        <v>UBND Ủy ban nhân dân xã Thanh Lang  tỉnh Hải Dương</v>
      </c>
      <c r="C8053" t="str">
        <v>-</v>
      </c>
      <c r="D8053" t="str">
        <v>-</v>
      </c>
      <c r="E8053" t="str">
        <v>-</v>
      </c>
      <c r="F8053" t="str">
        <v>-</v>
      </c>
      <c r="G8053" t="str">
        <v>-</v>
      </c>
    </row>
    <row r="8054">
      <c r="A8054">
        <v>8053</v>
      </c>
      <c r="B8054" t="str">
        <v>Công an xã Tiền Tiến  tỉnh Hải Dương</v>
      </c>
      <c r="C8054" t="str">
        <v>-</v>
      </c>
      <c r="D8054" t="str">
        <v>-</v>
      </c>
      <c r="E8054" t="str">
        <v/>
      </c>
      <c r="F8054" t="str">
        <v>-</v>
      </c>
      <c r="G8054" t="str">
        <v>-</v>
      </c>
    </row>
    <row r="8055">
      <c r="A8055">
        <v>8054</v>
      </c>
      <c r="B8055" t="str">
        <v>UBND Ủy ban nhân dân xã Tiền Tiến  tỉnh Hải Dương</v>
      </c>
      <c r="C8055" t="str">
        <v>-</v>
      </c>
      <c r="D8055" t="str">
        <v>-</v>
      </c>
      <c r="E8055" t="str">
        <v>-</v>
      </c>
      <c r="F8055" t="str">
        <v>-</v>
      </c>
      <c r="G8055" t="str">
        <v>-</v>
      </c>
    </row>
    <row r="8056">
      <c r="A8056">
        <v>8055</v>
      </c>
      <c r="B8056" t="str">
        <v>Công an xã Tân An  tỉnh Hải Dương</v>
      </c>
      <c r="C8056" t="str">
        <v>-</v>
      </c>
      <c r="D8056" t="str">
        <v>-</v>
      </c>
      <c r="E8056" t="str">
        <v/>
      </c>
      <c r="F8056" t="str">
        <v>-</v>
      </c>
      <c r="G8056" t="str">
        <v>-</v>
      </c>
    </row>
    <row r="8057">
      <c r="A8057">
        <v>8056</v>
      </c>
      <c r="B8057" t="str">
        <v>UBND Ủy ban nhân dân xã Tân An  tỉnh Hải Dương</v>
      </c>
      <c r="C8057" t="str">
        <v>-</v>
      </c>
      <c r="D8057" t="str">
        <v>-</v>
      </c>
      <c r="E8057" t="str">
        <v>-</v>
      </c>
      <c r="F8057" t="str">
        <v>-</v>
      </c>
      <c r="G8057" t="str">
        <v>-</v>
      </c>
    </row>
    <row r="8058">
      <c r="A8058">
        <v>8057</v>
      </c>
      <c r="B8058" t="str">
        <v>Công an xã Liên Mạc  tỉnh Hải Dương</v>
      </c>
      <c r="C8058" t="str">
        <v>-</v>
      </c>
      <c r="D8058" t="str">
        <v>-</v>
      </c>
      <c r="E8058" t="str">
        <v/>
      </c>
      <c r="F8058" t="str">
        <v>-</v>
      </c>
      <c r="G8058" t="str">
        <v>-</v>
      </c>
    </row>
    <row r="8059">
      <c r="A8059">
        <v>8058</v>
      </c>
      <c r="B8059" t="str">
        <v>UBND Ủy ban nhân dân xã Liên Mạc  tỉnh Hải Dương</v>
      </c>
      <c r="C8059" t="str">
        <v>-</v>
      </c>
      <c r="D8059" t="str">
        <v>-</v>
      </c>
      <c r="E8059" t="str">
        <v>-</v>
      </c>
      <c r="F8059" t="str">
        <v>-</v>
      </c>
      <c r="G8059" t="str">
        <v>-</v>
      </c>
    </row>
    <row r="8060">
      <c r="A8060">
        <v>8059</v>
      </c>
      <c r="B8060" t="str">
        <v>Công an xã Thanh Hải  tỉnh Hải Dương</v>
      </c>
      <c r="C8060" t="str">
        <v>-</v>
      </c>
      <c r="D8060" t="str">
        <v>-</v>
      </c>
      <c r="E8060" t="str">
        <v/>
      </c>
      <c r="F8060" t="str">
        <v>-</v>
      </c>
      <c r="G8060" t="str">
        <v>-</v>
      </c>
    </row>
    <row r="8061">
      <c r="A8061">
        <v>8060</v>
      </c>
      <c r="B8061" t="str">
        <v>UBND Ủy ban nhân dân xã Thanh Hải  tỉnh Hải Dương</v>
      </c>
      <c r="C8061" t="str">
        <v>-</v>
      </c>
      <c r="D8061" t="str">
        <v>-</v>
      </c>
      <c r="E8061" t="str">
        <v>-</v>
      </c>
      <c r="F8061" t="str">
        <v>-</v>
      </c>
      <c r="G8061" t="str">
        <v>-</v>
      </c>
    </row>
    <row r="8062">
      <c r="A8062">
        <v>8061</v>
      </c>
      <c r="B8062" t="str">
        <v>Công an xã Thanh Khê  tỉnh Hải Dương</v>
      </c>
      <c r="C8062" t="str">
        <v>-</v>
      </c>
      <c r="D8062" t="str">
        <v>-</v>
      </c>
      <c r="E8062" t="str">
        <v/>
      </c>
      <c r="F8062" t="str">
        <v>-</v>
      </c>
      <c r="G8062" t="str">
        <v>-</v>
      </c>
    </row>
    <row r="8063">
      <c r="A8063">
        <v>8062</v>
      </c>
      <c r="B8063" t="str">
        <v>UBND Ủy ban nhân dân xã Thanh Khê  tỉnh Hải Dương</v>
      </c>
      <c r="C8063" t="str">
        <v>-</v>
      </c>
      <c r="D8063" t="str">
        <v>-</v>
      </c>
      <c r="E8063" t="str">
        <v>-</v>
      </c>
      <c r="F8063" t="str">
        <v>-</v>
      </c>
      <c r="G8063" t="str">
        <v>-</v>
      </c>
    </row>
    <row r="8064">
      <c r="A8064">
        <v>8063</v>
      </c>
      <c r="B8064" t="str">
        <v>Công an xã Thanh Xá  tỉnh Hải Dương</v>
      </c>
      <c r="C8064" t="str">
        <v>-</v>
      </c>
      <c r="D8064" t="str">
        <v>-</v>
      </c>
      <c r="E8064" t="str">
        <v/>
      </c>
      <c r="F8064" t="str">
        <v>-</v>
      </c>
      <c r="G8064" t="str">
        <v>-</v>
      </c>
    </row>
    <row r="8065">
      <c r="A8065">
        <v>8064</v>
      </c>
      <c r="B8065" t="str">
        <v>UBND Ủy ban nhân dân xã Thanh Xá  tỉnh Hải Dương</v>
      </c>
      <c r="C8065" t="str">
        <v>-</v>
      </c>
      <c r="D8065" t="str">
        <v>-</v>
      </c>
      <c r="E8065" t="str">
        <v>-</v>
      </c>
      <c r="F8065" t="str">
        <v>-</v>
      </c>
      <c r="G8065" t="str">
        <v>-</v>
      </c>
    </row>
    <row r="8066">
      <c r="A8066">
        <v>8065</v>
      </c>
      <c r="B8066" t="str">
        <v>Công an xã Thanh Xuân  tỉnh Hải Dương</v>
      </c>
      <c r="C8066" t="str">
        <v>-</v>
      </c>
      <c r="D8066" t="str">
        <v>-</v>
      </c>
      <c r="E8066" t="str">
        <v/>
      </c>
      <c r="F8066" t="str">
        <v>-</v>
      </c>
      <c r="G8066" t="str">
        <v>-</v>
      </c>
    </row>
    <row r="8067">
      <c r="A8067">
        <v>8066</v>
      </c>
      <c r="B8067" t="str">
        <v>UBND Ủy ban nhân dân xã Thanh Xuân  tỉnh Hải Dương</v>
      </c>
      <c r="C8067" t="str">
        <v>-</v>
      </c>
      <c r="D8067" t="str">
        <v>-</v>
      </c>
      <c r="E8067" t="str">
        <v>-</v>
      </c>
      <c r="F8067" t="str">
        <v>-</v>
      </c>
      <c r="G8067" t="str">
        <v>-</v>
      </c>
    </row>
    <row r="8068">
      <c r="A8068">
        <v>8067</v>
      </c>
      <c r="B8068" t="str">
        <v>Công an xã An Lương  tỉnh Hải Dương</v>
      </c>
      <c r="C8068" t="str">
        <v>-</v>
      </c>
      <c r="D8068" t="str">
        <v>-</v>
      </c>
      <c r="E8068" t="str">
        <v/>
      </c>
      <c r="F8068" t="str">
        <v>-</v>
      </c>
      <c r="G8068" t="str">
        <v>-</v>
      </c>
    </row>
    <row r="8069">
      <c r="A8069">
        <v>8068</v>
      </c>
      <c r="B8069" t="str">
        <v>UBND Ủy ban nhân dân xã An Lương  tỉnh Hải Dương</v>
      </c>
      <c r="C8069" t="str">
        <v>-</v>
      </c>
      <c r="D8069" t="str">
        <v>-</v>
      </c>
      <c r="E8069" t="str">
        <v>-</v>
      </c>
      <c r="F8069" t="str">
        <v>-</v>
      </c>
      <c r="G8069" t="str">
        <v>-</v>
      </c>
    </row>
    <row r="8070">
      <c r="A8070">
        <v>8069</v>
      </c>
      <c r="B8070" t="str">
        <v>Công an xã Thanh Thủy  tỉnh Hải Dương</v>
      </c>
      <c r="C8070" t="str">
        <v>-</v>
      </c>
      <c r="D8070" t="str">
        <v>-</v>
      </c>
      <c r="E8070" t="str">
        <v/>
      </c>
      <c r="F8070" t="str">
        <v>-</v>
      </c>
      <c r="G8070" t="str">
        <v>-</v>
      </c>
    </row>
    <row r="8071">
      <c r="A8071">
        <v>8070</v>
      </c>
      <c r="B8071" t="str">
        <v>UBND Ủy ban nhân dân xã Thanh Thủy  tỉnh Hải Dương</v>
      </c>
      <c r="C8071" t="str">
        <v>-</v>
      </c>
      <c r="D8071" t="str">
        <v>-</v>
      </c>
      <c r="E8071" t="str">
        <v>-</v>
      </c>
      <c r="F8071" t="str">
        <v>-</v>
      </c>
      <c r="G8071" t="str">
        <v>-</v>
      </c>
    </row>
    <row r="8072">
      <c r="A8072">
        <v>8071</v>
      </c>
      <c r="B8072" t="str">
        <v>Công an xã Phượng Hoàng  tỉnh Hải Dương</v>
      </c>
      <c r="C8072" t="str">
        <v>-</v>
      </c>
      <c r="D8072" t="str">
        <v>-</v>
      </c>
      <c r="E8072" t="str">
        <v/>
      </c>
      <c r="F8072" t="str">
        <v>-</v>
      </c>
      <c r="G8072" t="str">
        <v>-</v>
      </c>
    </row>
    <row r="8073">
      <c r="A8073">
        <v>8072</v>
      </c>
      <c r="B8073" t="str">
        <v>UBND Ủy ban nhân dân xã Phượng Hoàng  tỉnh Hải Dương</v>
      </c>
      <c r="C8073" t="str">
        <v>-</v>
      </c>
      <c r="D8073" t="str">
        <v>-</v>
      </c>
      <c r="E8073" t="str">
        <v>-</v>
      </c>
      <c r="F8073" t="str">
        <v>-</v>
      </c>
      <c r="G8073" t="str">
        <v>-</v>
      </c>
    </row>
    <row r="8074">
      <c r="A8074">
        <v>8073</v>
      </c>
      <c r="B8074" t="str">
        <v>Công an xã Thanh Sơn  tỉnh Hải Dương</v>
      </c>
      <c r="C8074" t="str">
        <v>-</v>
      </c>
      <c r="D8074" t="str">
        <v>-</v>
      </c>
      <c r="E8074" t="str">
        <v/>
      </c>
      <c r="F8074" t="str">
        <v>-</v>
      </c>
      <c r="G8074" t="str">
        <v>-</v>
      </c>
    </row>
    <row r="8075">
      <c r="A8075">
        <v>8074</v>
      </c>
      <c r="B8075" t="str">
        <v>UBND Ủy ban nhân dân xã Thanh Sơn  tỉnh Hải Dương</v>
      </c>
      <c r="C8075" t="str">
        <v>-</v>
      </c>
      <c r="D8075" t="str">
        <v>-</v>
      </c>
      <c r="E8075" t="str">
        <v>-</v>
      </c>
      <c r="F8075" t="str">
        <v>-</v>
      </c>
      <c r="G8075" t="str">
        <v>-</v>
      </c>
    </row>
    <row r="8076">
      <c r="A8076">
        <v>8075</v>
      </c>
      <c r="B8076" t="str">
        <v>Công an xã Hợp Đức  tỉnh Hải Dương</v>
      </c>
      <c r="C8076" t="str">
        <v>-</v>
      </c>
      <c r="D8076" t="str">
        <v>-</v>
      </c>
      <c r="E8076" t="str">
        <v/>
      </c>
      <c r="F8076" t="str">
        <v>-</v>
      </c>
      <c r="G8076" t="str">
        <v>-</v>
      </c>
    </row>
    <row r="8077">
      <c r="A8077">
        <v>8076</v>
      </c>
      <c r="B8077" t="str">
        <v>UBND Ủy ban nhân dân xã Hợp Đức  tỉnh Hải Dương</v>
      </c>
      <c r="C8077" t="str">
        <v>-</v>
      </c>
      <c r="D8077" t="str">
        <v>-</v>
      </c>
      <c r="E8077" t="str">
        <v>-</v>
      </c>
      <c r="F8077" t="str">
        <v>-</v>
      </c>
      <c r="G8077" t="str">
        <v>-</v>
      </c>
    </row>
    <row r="8078">
      <c r="A8078">
        <v>8077</v>
      </c>
      <c r="B8078" t="str">
        <v>Công an xã Trường Thành  tỉnh Hải Dương</v>
      </c>
      <c r="C8078" t="str">
        <v>-</v>
      </c>
      <c r="D8078" t="str">
        <v>-</v>
      </c>
      <c r="E8078" t="str">
        <v/>
      </c>
      <c r="F8078" t="str">
        <v>-</v>
      </c>
      <c r="G8078" t="str">
        <v>-</v>
      </c>
    </row>
    <row r="8079">
      <c r="A8079">
        <v>8078</v>
      </c>
      <c r="B8079" t="str">
        <v>UBND Ủy ban nhân dân xã Trường Thành  tỉnh Hải Dương</v>
      </c>
      <c r="C8079" t="str">
        <v>-</v>
      </c>
      <c r="D8079" t="str">
        <v>-</v>
      </c>
      <c r="E8079" t="str">
        <v>-</v>
      </c>
      <c r="F8079" t="str">
        <v>-</v>
      </c>
      <c r="G8079" t="str">
        <v>-</v>
      </c>
    </row>
    <row r="8080">
      <c r="A8080">
        <v>8079</v>
      </c>
      <c r="B8080" t="str">
        <v>Công an xã Thanh Bính  tỉnh Hải Dương</v>
      </c>
      <c r="C8080" t="str">
        <v>-</v>
      </c>
      <c r="D8080" t="str">
        <v>-</v>
      </c>
      <c r="E8080" t="str">
        <v/>
      </c>
      <c r="F8080" t="str">
        <v>-</v>
      </c>
      <c r="G8080" t="str">
        <v>-</v>
      </c>
    </row>
    <row r="8081">
      <c r="A8081">
        <v>8080</v>
      </c>
      <c r="B8081" t="str">
        <v>UBND Ủy ban nhân dân xã Thanh Bính  tỉnh Hải Dương</v>
      </c>
      <c r="C8081" t="str">
        <v>-</v>
      </c>
      <c r="D8081" t="str">
        <v>-</v>
      </c>
      <c r="E8081" t="str">
        <v>-</v>
      </c>
      <c r="F8081" t="str">
        <v>-</v>
      </c>
      <c r="G8081" t="str">
        <v>-</v>
      </c>
    </row>
    <row r="8082">
      <c r="A8082">
        <v>8081</v>
      </c>
      <c r="B8082" t="str">
        <v>Công an xã Thanh Hồng  tỉnh Hải Dương</v>
      </c>
      <c r="C8082" t="str">
        <v>-</v>
      </c>
      <c r="D8082" t="str">
        <v>-</v>
      </c>
      <c r="E8082" t="str">
        <v/>
      </c>
      <c r="F8082" t="str">
        <v>-</v>
      </c>
      <c r="G8082" t="str">
        <v>-</v>
      </c>
    </row>
    <row r="8083">
      <c r="A8083">
        <v>8082</v>
      </c>
      <c r="B8083" t="str">
        <v>UBND Ủy ban nhân dân xã Thanh Hồng  tỉnh Hải Dương</v>
      </c>
      <c r="C8083" t="str">
        <v>-</v>
      </c>
      <c r="D8083" t="str">
        <v>-</v>
      </c>
      <c r="E8083" t="str">
        <v>-</v>
      </c>
      <c r="F8083" t="str">
        <v>-</v>
      </c>
      <c r="G8083" t="str">
        <v>-</v>
      </c>
    </row>
    <row r="8084">
      <c r="A8084">
        <v>8083</v>
      </c>
      <c r="B8084" t="str">
        <v>Công an xã Thanh Cường  tỉnh Hải Dương</v>
      </c>
      <c r="C8084" t="str">
        <v>-</v>
      </c>
      <c r="D8084" t="str">
        <v>-</v>
      </c>
      <c r="E8084" t="str">
        <v/>
      </c>
      <c r="F8084" t="str">
        <v>-</v>
      </c>
      <c r="G8084" t="str">
        <v>-</v>
      </c>
    </row>
    <row r="8085">
      <c r="A8085">
        <v>8084</v>
      </c>
      <c r="B8085" t="str">
        <v>UBND Ủy ban nhân dân xã Thanh Cường  tỉnh Hải Dương</v>
      </c>
      <c r="C8085" t="str">
        <v>-</v>
      </c>
      <c r="D8085" t="str">
        <v>-</v>
      </c>
      <c r="E8085" t="str">
        <v>-</v>
      </c>
      <c r="F8085" t="str">
        <v>-</v>
      </c>
      <c r="G8085" t="str">
        <v>-</v>
      </c>
    </row>
    <row r="8086">
      <c r="A8086">
        <v>8085</v>
      </c>
      <c r="B8086" t="str">
        <v>Công an xã Vĩnh Lập  tỉnh Hải Dương</v>
      </c>
      <c r="C8086" t="str">
        <v>-</v>
      </c>
      <c r="D8086" t="str">
        <v>-</v>
      </c>
      <c r="E8086" t="str">
        <v/>
      </c>
      <c r="F8086" t="str">
        <v>-</v>
      </c>
      <c r="G8086" t="str">
        <v>-</v>
      </c>
    </row>
    <row r="8087">
      <c r="A8087">
        <v>8086</v>
      </c>
      <c r="B8087" t="str">
        <v>UBND Ủy ban nhân dân xã Vĩnh Lập  tỉnh Hải Dương</v>
      </c>
      <c r="C8087" t="str">
        <v>-</v>
      </c>
      <c r="D8087" t="str">
        <v>-</v>
      </c>
      <c r="E8087" t="str">
        <v>-</v>
      </c>
      <c r="F8087" t="str">
        <v>-</v>
      </c>
      <c r="G8087" t="str">
        <v>-</v>
      </c>
    </row>
    <row r="8088">
      <c r="A8088">
        <v>8087</v>
      </c>
      <c r="B8088" t="str">
        <v>Công an thị trấn Cẩm Giàng  tỉnh Hải Dương</v>
      </c>
      <c r="C8088" t="str">
        <v>-</v>
      </c>
      <c r="D8088" t="str">
        <v>-</v>
      </c>
      <c r="E8088" t="str">
        <v/>
      </c>
      <c r="F8088" t="str">
        <v>-</v>
      </c>
      <c r="G8088" t="str">
        <v>-</v>
      </c>
    </row>
    <row r="8089">
      <c r="A8089">
        <v>8088</v>
      </c>
      <c r="B8089" t="str">
        <v>UBND Ủy ban nhân dân thị trấn Cẩm Giàng  tỉnh Hải Dương</v>
      </c>
      <c r="C8089" t="str">
        <v>-</v>
      </c>
      <c r="D8089" t="str">
        <v>-</v>
      </c>
      <c r="E8089" t="str">
        <v>-</v>
      </c>
      <c r="F8089" t="str">
        <v>-</v>
      </c>
      <c r="G8089" t="str">
        <v>-</v>
      </c>
    </row>
    <row r="8090">
      <c r="A8090">
        <v>8089</v>
      </c>
      <c r="B8090" t="str">
        <v>Công an thị trấn Lai Cách  tỉnh Hải Dương</v>
      </c>
      <c r="C8090" t="str">
        <v>-</v>
      </c>
      <c r="D8090" t="str">
        <v>-</v>
      </c>
      <c r="E8090" t="str">
        <v/>
      </c>
      <c r="F8090" t="str">
        <v>-</v>
      </c>
      <c r="G8090" t="str">
        <v>-</v>
      </c>
    </row>
    <row r="8091">
      <c r="A8091">
        <v>8090</v>
      </c>
      <c r="B8091" t="str">
        <v>UBND Ủy ban nhân dân thị trấn Lai Cách  tỉnh Hải Dương</v>
      </c>
      <c r="C8091" t="str">
        <v>-</v>
      </c>
      <c r="D8091" t="str">
        <v>-</v>
      </c>
      <c r="E8091" t="str">
        <v>-</v>
      </c>
      <c r="F8091" t="str">
        <v>-</v>
      </c>
      <c r="G8091" t="str">
        <v>-</v>
      </c>
    </row>
    <row r="8092">
      <c r="A8092">
        <v>8091</v>
      </c>
      <c r="B8092" t="str">
        <v>Công an xã Cẩm Hưng  tỉnh Hải Dương</v>
      </c>
      <c r="C8092" t="str">
        <v>-</v>
      </c>
      <c r="D8092" t="str">
        <v>-</v>
      </c>
      <c r="E8092" t="str">
        <v/>
      </c>
      <c r="F8092" t="str">
        <v>-</v>
      </c>
      <c r="G8092" t="str">
        <v>-</v>
      </c>
    </row>
    <row r="8093">
      <c r="A8093">
        <v>8092</v>
      </c>
      <c r="B8093" t="str">
        <v>UBND Ủy ban nhân dân xã Cẩm Hưng  tỉnh Hải Dương</v>
      </c>
      <c r="C8093" t="str">
        <v>-</v>
      </c>
      <c r="D8093" t="str">
        <v>-</v>
      </c>
      <c r="E8093" t="str">
        <v>-</v>
      </c>
      <c r="F8093" t="str">
        <v>-</v>
      </c>
      <c r="G8093" t="str">
        <v>-</v>
      </c>
    </row>
    <row r="8094">
      <c r="A8094">
        <v>8093</v>
      </c>
      <c r="B8094" t="str">
        <v>Công an xã Cẩm Hoàng  tỉnh Hải Dương</v>
      </c>
      <c r="C8094" t="str">
        <v>-</v>
      </c>
      <c r="D8094" t="str">
        <v>-</v>
      </c>
      <c r="E8094" t="str">
        <v/>
      </c>
      <c r="F8094" t="str">
        <v>-</v>
      </c>
      <c r="G8094" t="str">
        <v>-</v>
      </c>
    </row>
    <row r="8095">
      <c r="A8095">
        <v>8094</v>
      </c>
      <c r="B8095" t="str">
        <v>UBND Ủy ban nhân dân xã Cẩm Hoàng  tỉnh Hải Dương</v>
      </c>
      <c r="C8095" t="str">
        <v>-</v>
      </c>
      <c r="D8095" t="str">
        <v>-</v>
      </c>
      <c r="E8095" t="str">
        <v>-</v>
      </c>
      <c r="F8095" t="str">
        <v>-</v>
      </c>
      <c r="G8095" t="str">
        <v>-</v>
      </c>
    </row>
    <row r="8096">
      <c r="A8096">
        <v>8095</v>
      </c>
      <c r="B8096" t="str">
        <v>Công an xã Cẩm Văn  tỉnh Hải Dương</v>
      </c>
      <c r="C8096" t="str">
        <v>-</v>
      </c>
      <c r="D8096" t="str">
        <v>-</v>
      </c>
      <c r="E8096" t="str">
        <v/>
      </c>
      <c r="F8096" t="str">
        <v>-</v>
      </c>
      <c r="G8096" t="str">
        <v>-</v>
      </c>
    </row>
    <row r="8097">
      <c r="A8097">
        <v>8096</v>
      </c>
      <c r="B8097" t="str">
        <v>UBND Ủy ban nhân dân xã Cẩm Văn  tỉnh Hải Dương</v>
      </c>
      <c r="C8097" t="str">
        <v>-</v>
      </c>
      <c r="D8097" t="str">
        <v>-</v>
      </c>
      <c r="E8097" t="str">
        <v>-</v>
      </c>
      <c r="F8097" t="str">
        <v>-</v>
      </c>
      <c r="G8097" t="str">
        <v>-</v>
      </c>
    </row>
    <row r="8098">
      <c r="A8098">
        <v>8097</v>
      </c>
      <c r="B8098" t="str">
        <v>Công an xã Ngọc Liên  tỉnh Hải Dương</v>
      </c>
      <c r="C8098" t="str">
        <v>-</v>
      </c>
      <c r="D8098" t="str">
        <v>-</v>
      </c>
      <c r="E8098" t="str">
        <v/>
      </c>
      <c r="F8098" t="str">
        <v>-</v>
      </c>
      <c r="G8098" t="str">
        <v>-</v>
      </c>
    </row>
    <row r="8099">
      <c r="A8099">
        <v>8098</v>
      </c>
      <c r="B8099" t="str">
        <v>UBND Ủy ban nhân dân xã Ngọc Liên  tỉnh Hải Dương</v>
      </c>
      <c r="C8099" t="str">
        <v>-</v>
      </c>
      <c r="D8099" t="str">
        <v>-</v>
      </c>
      <c r="E8099" t="str">
        <v>-</v>
      </c>
      <c r="F8099" t="str">
        <v>-</v>
      </c>
      <c r="G8099" t="str">
        <v>-</v>
      </c>
    </row>
    <row r="8100">
      <c r="A8100">
        <v>8099</v>
      </c>
      <c r="B8100" t="str">
        <v>Công an xã Thạch Lỗi  tỉnh Hải Dương</v>
      </c>
      <c r="C8100" t="str">
        <v>-</v>
      </c>
      <c r="D8100" t="str">
        <v>-</v>
      </c>
      <c r="E8100" t="str">
        <v/>
      </c>
      <c r="F8100" t="str">
        <v>-</v>
      </c>
      <c r="G8100" t="str">
        <v>-</v>
      </c>
    </row>
    <row r="8101">
      <c r="A8101">
        <v>8100</v>
      </c>
      <c r="B8101" t="str">
        <v>UBND Ủy ban nhân dân xã Thạch Lỗi  tỉnh Hải Dương</v>
      </c>
      <c r="C8101" t="str">
        <v>-</v>
      </c>
      <c r="D8101" t="str">
        <v>-</v>
      </c>
      <c r="E8101" t="str">
        <v>-</v>
      </c>
      <c r="F8101" t="str">
        <v>-</v>
      </c>
      <c r="G8101" t="str">
        <v>-</v>
      </c>
    </row>
    <row r="8102">
      <c r="A8102">
        <v>8101</v>
      </c>
      <c r="B8102" t="str">
        <v>Công an xã Cẩm Vũ  tỉnh Hải Dương</v>
      </c>
      <c r="C8102" t="str">
        <v>-</v>
      </c>
      <c r="D8102" t="str">
        <v>-</v>
      </c>
      <c r="E8102" t="str">
        <v/>
      </c>
      <c r="F8102" t="str">
        <v>-</v>
      </c>
      <c r="G8102" t="str">
        <v>-</v>
      </c>
    </row>
    <row r="8103">
      <c r="A8103">
        <v>8102</v>
      </c>
      <c r="B8103" t="str">
        <v>UBND Ủy ban nhân dân xã Cẩm Vũ  tỉnh Hải Dương</v>
      </c>
      <c r="C8103" t="str">
        <v>-</v>
      </c>
      <c r="D8103" t="str">
        <v>-</v>
      </c>
      <c r="E8103" t="str">
        <v>-</v>
      </c>
      <c r="F8103" t="str">
        <v>-</v>
      </c>
      <c r="G8103" t="str">
        <v>-</v>
      </c>
    </row>
    <row r="8104">
      <c r="A8104">
        <v>8103</v>
      </c>
      <c r="B8104" t="str">
        <v>Công an xã Đức Chính  tỉnh Hải Dương</v>
      </c>
      <c r="C8104" t="str">
        <v>-</v>
      </c>
      <c r="D8104" t="str">
        <v>-</v>
      </c>
      <c r="E8104" t="str">
        <v/>
      </c>
      <c r="F8104" t="str">
        <v>-</v>
      </c>
      <c r="G8104" t="str">
        <v>-</v>
      </c>
    </row>
    <row r="8105">
      <c r="A8105">
        <v>8104</v>
      </c>
      <c r="B8105" t="str">
        <v>UBND Ủy ban nhân dân xã Đức Chính  tỉnh Hải Dương</v>
      </c>
      <c r="C8105" t="str">
        <v>-</v>
      </c>
      <c r="D8105" t="str">
        <v>-</v>
      </c>
      <c r="E8105" t="str">
        <v>-</v>
      </c>
      <c r="F8105" t="str">
        <v>-</v>
      </c>
      <c r="G8105" t="str">
        <v>-</v>
      </c>
    </row>
    <row r="8106">
      <c r="A8106">
        <v>8105</v>
      </c>
      <c r="B8106" t="str">
        <v>Công an xã Cẩm Sơn  tỉnh Hải Dương</v>
      </c>
      <c r="C8106" t="str">
        <v>-</v>
      </c>
      <c r="D8106" t="str">
        <v>-</v>
      </c>
      <c r="E8106" t="str">
        <v/>
      </c>
      <c r="F8106" t="str">
        <v>-</v>
      </c>
      <c r="G8106" t="str">
        <v>-</v>
      </c>
    </row>
    <row r="8107">
      <c r="A8107">
        <v>8106</v>
      </c>
      <c r="B8107" t="str">
        <v>UBND Ủy ban nhân dân xã Cẩm Sơn  tỉnh Hải Dương</v>
      </c>
      <c r="C8107" t="str">
        <v>-</v>
      </c>
      <c r="D8107" t="str">
        <v>-</v>
      </c>
      <c r="E8107" t="str">
        <v>-</v>
      </c>
      <c r="F8107" t="str">
        <v>-</v>
      </c>
      <c r="G8107" t="str">
        <v>-</v>
      </c>
    </row>
    <row r="8108">
      <c r="A8108">
        <v>8107</v>
      </c>
      <c r="B8108" t="str">
        <v>Công an xã Cẩm Định  tỉnh Hải Dương</v>
      </c>
      <c r="C8108" t="str">
        <v>-</v>
      </c>
      <c r="D8108" t="str">
        <v>-</v>
      </c>
      <c r="E8108" t="str">
        <v/>
      </c>
      <c r="F8108" t="str">
        <v>-</v>
      </c>
      <c r="G8108" t="str">
        <v>-</v>
      </c>
    </row>
    <row r="8109">
      <c r="A8109">
        <v>8108</v>
      </c>
      <c r="B8109" t="str">
        <v>UBND Ủy ban nhân dân xã Cẩm Định  tỉnh Hải Dương</v>
      </c>
      <c r="C8109" t="str">
        <v>-</v>
      </c>
      <c r="D8109" t="str">
        <v>-</v>
      </c>
      <c r="E8109" t="str">
        <v>-</v>
      </c>
      <c r="F8109" t="str">
        <v>-</v>
      </c>
      <c r="G8109" t="str">
        <v>-</v>
      </c>
    </row>
    <row r="8110">
      <c r="A8110">
        <v>8109</v>
      </c>
      <c r="B8110" t="str">
        <v>Công an xã Kim Giang  tỉnh Hải Dương</v>
      </c>
      <c r="C8110" t="str">
        <v>-</v>
      </c>
      <c r="D8110" t="str">
        <v>-</v>
      </c>
      <c r="E8110" t="str">
        <v/>
      </c>
      <c r="F8110" t="str">
        <v>-</v>
      </c>
      <c r="G8110" t="str">
        <v>-</v>
      </c>
    </row>
    <row r="8111">
      <c r="A8111">
        <v>8110</v>
      </c>
      <c r="B8111" t="str">
        <v>UBND Ủy ban nhân dân xã Kim Giang  tỉnh Hải Dương</v>
      </c>
      <c r="C8111" t="str">
        <v>-</v>
      </c>
      <c r="D8111" t="str">
        <v>-</v>
      </c>
      <c r="E8111" t="str">
        <v>-</v>
      </c>
      <c r="F8111" t="str">
        <v>-</v>
      </c>
      <c r="G8111" t="str">
        <v>-</v>
      </c>
    </row>
    <row r="8112">
      <c r="A8112">
        <v>8111</v>
      </c>
      <c r="B8112" t="str">
        <v>Công an xã Lương Điền  tỉnh Hải Dương</v>
      </c>
      <c r="C8112" t="str">
        <v>-</v>
      </c>
      <c r="D8112" t="str">
        <v>-</v>
      </c>
      <c r="E8112" t="str">
        <v/>
      </c>
      <c r="F8112" t="str">
        <v>-</v>
      </c>
      <c r="G8112" t="str">
        <v>-</v>
      </c>
    </row>
    <row r="8113">
      <c r="A8113">
        <v>8112</v>
      </c>
      <c r="B8113" t="str">
        <v>UBND Ủy ban nhân dân xã Lương Điền  tỉnh Hải Dương</v>
      </c>
      <c r="C8113" t="str">
        <v>-</v>
      </c>
      <c r="D8113" t="str">
        <v>-</v>
      </c>
      <c r="E8113" t="str">
        <v>-</v>
      </c>
      <c r="F8113" t="str">
        <v>-</v>
      </c>
      <c r="G8113" t="str">
        <v>-</v>
      </c>
    </row>
    <row r="8114">
      <c r="A8114">
        <v>8113</v>
      </c>
      <c r="B8114" t="str">
        <v>Công an xã Cao An  tỉnh Hải Dương</v>
      </c>
      <c r="C8114" t="str">
        <v>-</v>
      </c>
      <c r="D8114" t="str">
        <v>-</v>
      </c>
      <c r="E8114" t="str">
        <v/>
      </c>
      <c r="F8114" t="str">
        <v>-</v>
      </c>
      <c r="G8114" t="str">
        <v>-</v>
      </c>
    </row>
    <row r="8115">
      <c r="A8115">
        <v>8114</v>
      </c>
      <c r="B8115" t="str">
        <v>UBND Ủy ban nhân dân xã Cao An  tỉnh Hải Dương</v>
      </c>
      <c r="C8115" t="str">
        <v>-</v>
      </c>
      <c r="D8115" t="str">
        <v>-</v>
      </c>
      <c r="E8115" t="str">
        <v>-</v>
      </c>
      <c r="F8115" t="str">
        <v>-</v>
      </c>
      <c r="G8115" t="str">
        <v>-</v>
      </c>
    </row>
    <row r="8116">
      <c r="A8116">
        <v>8115</v>
      </c>
      <c r="B8116" t="str">
        <v>Công an xã Tân Trường  tỉnh Hải Dương</v>
      </c>
      <c r="C8116" t="str">
        <v>-</v>
      </c>
      <c r="D8116" t="str">
        <v>-</v>
      </c>
      <c r="E8116" t="str">
        <v/>
      </c>
      <c r="F8116" t="str">
        <v>-</v>
      </c>
      <c r="G8116" t="str">
        <v>-</v>
      </c>
    </row>
    <row r="8117">
      <c r="A8117">
        <v>8116</v>
      </c>
      <c r="B8117" t="str">
        <v>UBND Ủy ban nhân dân xã Tân Trường  tỉnh Hải Dương</v>
      </c>
      <c r="C8117" t="str">
        <v>-</v>
      </c>
      <c r="D8117" t="str">
        <v>-</v>
      </c>
      <c r="E8117" t="str">
        <v>-</v>
      </c>
      <c r="F8117" t="str">
        <v>-</v>
      </c>
      <c r="G8117" t="str">
        <v>-</v>
      </c>
    </row>
    <row r="8118">
      <c r="A8118">
        <v>8117</v>
      </c>
      <c r="B8118" t="str">
        <v>Công an xã Cẩm Phúc  tỉnh Hải Dương</v>
      </c>
      <c r="C8118" t="str">
        <v>-</v>
      </c>
      <c r="D8118" t="str">
        <v>-</v>
      </c>
      <c r="E8118" t="str">
        <v/>
      </c>
      <c r="F8118" t="str">
        <v>-</v>
      </c>
      <c r="G8118" t="str">
        <v>-</v>
      </c>
    </row>
    <row r="8119">
      <c r="A8119">
        <v>8118</v>
      </c>
      <c r="B8119" t="str">
        <v>UBND Ủy ban nhân dân xã Cẩm Phúc  tỉnh Hải Dương</v>
      </c>
      <c r="C8119" t="str">
        <v>-</v>
      </c>
      <c r="D8119" t="str">
        <v>-</v>
      </c>
      <c r="E8119" t="str">
        <v>-</v>
      </c>
      <c r="F8119" t="str">
        <v>-</v>
      </c>
      <c r="G8119" t="str">
        <v>-</v>
      </c>
    </row>
    <row r="8120">
      <c r="A8120">
        <v>8119</v>
      </c>
      <c r="B8120" t="str">
        <v>Công an xã Cẩm Điền  tỉnh Hải Dương</v>
      </c>
      <c r="C8120" t="str">
        <v>-</v>
      </c>
      <c r="D8120" t="str">
        <v>-</v>
      </c>
      <c r="E8120" t="str">
        <v/>
      </c>
      <c r="F8120" t="str">
        <v>-</v>
      </c>
      <c r="G8120" t="str">
        <v>-</v>
      </c>
    </row>
    <row r="8121">
      <c r="A8121">
        <v>8120</v>
      </c>
      <c r="B8121" t="str">
        <v>UBND Ủy ban nhân dân xã Cẩm Điền  tỉnh Hải Dương</v>
      </c>
      <c r="C8121" t="str">
        <v>-</v>
      </c>
      <c r="D8121" t="str">
        <v>-</v>
      </c>
      <c r="E8121" t="str">
        <v>-</v>
      </c>
      <c r="F8121" t="str">
        <v>-</v>
      </c>
      <c r="G8121" t="str">
        <v>-</v>
      </c>
    </row>
    <row r="8122">
      <c r="A8122">
        <v>8121</v>
      </c>
      <c r="B8122" t="str">
        <v>Công an xã Cẩm Đông  tỉnh Hải Dương</v>
      </c>
      <c r="C8122" t="str">
        <v>-</v>
      </c>
      <c r="D8122" t="str">
        <v>-</v>
      </c>
      <c r="E8122" t="str">
        <v/>
      </c>
      <c r="F8122" t="str">
        <v>-</v>
      </c>
      <c r="G8122" t="str">
        <v>-</v>
      </c>
    </row>
    <row r="8123">
      <c r="A8123">
        <v>8122</v>
      </c>
      <c r="B8123" t="str">
        <v>UBND Ủy ban nhân dân xã Cẩm Đông  tỉnh Hải Dương</v>
      </c>
      <c r="C8123" t="str">
        <v>-</v>
      </c>
      <c r="D8123" t="str">
        <v>-</v>
      </c>
      <c r="E8123" t="str">
        <v>-</v>
      </c>
      <c r="F8123" t="str">
        <v>-</v>
      </c>
      <c r="G8123" t="str">
        <v>-</v>
      </c>
    </row>
    <row r="8124">
      <c r="A8124">
        <v>8123</v>
      </c>
      <c r="B8124" t="str">
        <v>Công an xã Cẩm Đoài  tỉnh Hải Dương</v>
      </c>
      <c r="C8124" t="str">
        <v>-</v>
      </c>
      <c r="D8124" t="str">
        <v>-</v>
      </c>
      <c r="E8124" t="str">
        <v/>
      </c>
      <c r="F8124" t="str">
        <v>-</v>
      </c>
      <c r="G8124" t="str">
        <v>-</v>
      </c>
    </row>
    <row r="8125">
      <c r="A8125">
        <v>8124</v>
      </c>
      <c r="B8125" t="str">
        <v>UBND Ủy ban nhân dân xã Cẩm Đoài  tỉnh Hải Dương</v>
      </c>
      <c r="C8125" t="str">
        <v>-</v>
      </c>
      <c r="D8125" t="str">
        <v>-</v>
      </c>
      <c r="E8125" t="str">
        <v>-</v>
      </c>
      <c r="F8125" t="str">
        <v>-</v>
      </c>
      <c r="G8125" t="str">
        <v>-</v>
      </c>
    </row>
    <row r="8126">
      <c r="A8126">
        <v>8125</v>
      </c>
      <c r="B8126" t="str">
        <v>Công an thị trấn Kẻ Sặt  tỉnh Hải Dương</v>
      </c>
      <c r="C8126" t="str">
        <v>-</v>
      </c>
      <c r="D8126" t="str">
        <v>-</v>
      </c>
      <c r="E8126" t="str">
        <v/>
      </c>
      <c r="F8126" t="str">
        <v>-</v>
      </c>
      <c r="G8126" t="str">
        <v>-</v>
      </c>
    </row>
    <row r="8127">
      <c r="A8127">
        <v>8126</v>
      </c>
      <c r="B8127" t="str">
        <v>UBND Ủy ban nhân dân thị trấn Kẻ Sặt  tỉnh Hải Dương</v>
      </c>
      <c r="C8127" t="str">
        <v>-</v>
      </c>
      <c r="D8127" t="str">
        <v>-</v>
      </c>
      <c r="E8127" t="str">
        <v>-</v>
      </c>
      <c r="F8127" t="str">
        <v>-</v>
      </c>
      <c r="G8127" t="str">
        <v>-</v>
      </c>
    </row>
    <row r="8128">
      <c r="A8128">
        <v>8127</v>
      </c>
      <c r="B8128" t="str">
        <v>Công an xã Hưng Thịnh  tỉnh Hải Dương</v>
      </c>
      <c r="C8128" t="str">
        <v>-</v>
      </c>
      <c r="D8128" t="str">
        <v>-</v>
      </c>
      <c r="E8128" t="str">
        <v/>
      </c>
      <c r="F8128" t="str">
        <v>-</v>
      </c>
      <c r="G8128" t="str">
        <v>-</v>
      </c>
    </row>
    <row r="8129">
      <c r="A8129">
        <v>8128</v>
      </c>
      <c r="B8129" t="str">
        <v>UBND Ủy ban nhân dân xã Hưng Thịnh  tỉnh Hải Dương</v>
      </c>
      <c r="C8129" t="str">
        <v>-</v>
      </c>
      <c r="D8129" t="str">
        <v>-</v>
      </c>
      <c r="E8129" t="str">
        <v>-</v>
      </c>
      <c r="F8129" t="str">
        <v>-</v>
      </c>
      <c r="G8129" t="str">
        <v>-</v>
      </c>
    </row>
    <row r="8130">
      <c r="A8130">
        <v>8129</v>
      </c>
      <c r="B8130" t="str">
        <v>Công an xã Vĩnh Tuy  tỉnh Hải Dương</v>
      </c>
      <c r="C8130" t="str">
        <v>-</v>
      </c>
      <c r="D8130" t="str">
        <v>-</v>
      </c>
      <c r="E8130" t="str">
        <v/>
      </c>
      <c r="F8130" t="str">
        <v>-</v>
      </c>
      <c r="G8130" t="str">
        <v>-</v>
      </c>
    </row>
    <row r="8131">
      <c r="A8131">
        <v>8130</v>
      </c>
      <c r="B8131" t="str">
        <v>UBND Ủy ban nhân dân xã Vĩnh Tuy  tỉnh Hải Dương</v>
      </c>
      <c r="C8131" t="str">
        <v>-</v>
      </c>
      <c r="D8131" t="str">
        <v>-</v>
      </c>
      <c r="E8131" t="str">
        <v>-</v>
      </c>
      <c r="F8131" t="str">
        <v>-</v>
      </c>
      <c r="G8131" t="str">
        <v>-</v>
      </c>
    </row>
    <row r="8132">
      <c r="A8132">
        <v>8131</v>
      </c>
      <c r="B8132" t="str">
        <v>Công an xã Hùng Thắng  tỉnh Hải Dương</v>
      </c>
      <c r="C8132" t="str">
        <v>-</v>
      </c>
      <c r="D8132" t="str">
        <v>-</v>
      </c>
      <c r="E8132" t="str">
        <v/>
      </c>
      <c r="F8132" t="str">
        <v>-</v>
      </c>
      <c r="G8132" t="str">
        <v>-</v>
      </c>
    </row>
    <row r="8133">
      <c r="A8133">
        <v>8132</v>
      </c>
      <c r="B8133" t="str">
        <v>UBND Ủy ban nhân dân xã Hùng Thắng  tỉnh Hải Dương</v>
      </c>
      <c r="C8133" t="str">
        <v>-</v>
      </c>
      <c r="D8133" t="str">
        <v>-</v>
      </c>
      <c r="E8133" t="str">
        <v>-</v>
      </c>
      <c r="F8133" t="str">
        <v>-</v>
      </c>
      <c r="G8133" t="str">
        <v>-</v>
      </c>
    </row>
    <row r="8134">
      <c r="A8134">
        <v>8133</v>
      </c>
      <c r="B8134" t="str">
        <v>Công an xã Tráng Liệt  tỉnh Hải Dương</v>
      </c>
      <c r="C8134" t="str">
        <v>-</v>
      </c>
      <c r="D8134" t="str">
        <v>-</v>
      </c>
      <c r="E8134" t="str">
        <v/>
      </c>
      <c r="F8134" t="str">
        <v>-</v>
      </c>
      <c r="G8134" t="str">
        <v>-</v>
      </c>
    </row>
    <row r="8135">
      <c r="A8135">
        <v>8134</v>
      </c>
      <c r="B8135" t="str">
        <v>UBND Ủy ban nhân dân xã Tráng Liệt  tỉnh Hải Dương</v>
      </c>
      <c r="C8135" t="str">
        <v>-</v>
      </c>
      <c r="D8135" t="str">
        <v>-</v>
      </c>
      <c r="E8135" t="str">
        <v>-</v>
      </c>
      <c r="F8135" t="str">
        <v>-</v>
      </c>
      <c r="G8135" t="str">
        <v>-</v>
      </c>
    </row>
    <row r="8136">
      <c r="A8136">
        <v>8135</v>
      </c>
      <c r="B8136" t="str">
        <v>Công an xã Vĩnh Hồng  tỉnh Hải Dương</v>
      </c>
      <c r="C8136" t="str">
        <v>-</v>
      </c>
      <c r="D8136" t="str">
        <v>-</v>
      </c>
      <c r="E8136" t="str">
        <v/>
      </c>
      <c r="F8136" t="str">
        <v>-</v>
      </c>
      <c r="G8136" t="str">
        <v>-</v>
      </c>
    </row>
    <row r="8137">
      <c r="A8137">
        <v>8136</v>
      </c>
      <c r="B8137" t="str">
        <v>UBND Ủy ban nhân dân xã Vĩnh Hồng  tỉnh Hải Dương</v>
      </c>
      <c r="C8137" t="str">
        <v>-</v>
      </c>
      <c r="D8137" t="str">
        <v>-</v>
      </c>
      <c r="E8137" t="str">
        <v>-</v>
      </c>
      <c r="F8137" t="str">
        <v>-</v>
      </c>
      <c r="G8137" t="str">
        <v>-</v>
      </c>
    </row>
    <row r="8138">
      <c r="A8138">
        <v>8137</v>
      </c>
      <c r="B8138" t="str">
        <v>Công an xã Long Xuyên  tỉnh Hải Dương</v>
      </c>
      <c r="C8138" t="str">
        <v>-</v>
      </c>
      <c r="D8138" t="str">
        <v>-</v>
      </c>
      <c r="E8138" t="str">
        <v/>
      </c>
      <c r="F8138" t="str">
        <v>-</v>
      </c>
      <c r="G8138" t="str">
        <v>-</v>
      </c>
    </row>
    <row r="8139">
      <c r="A8139">
        <v>8138</v>
      </c>
      <c r="B8139" t="str">
        <v>UBND Ủy ban nhân dân xã Long Xuyên  tỉnh Hải Dương</v>
      </c>
      <c r="C8139" t="str">
        <v>-</v>
      </c>
      <c r="D8139" t="str">
        <v>-</v>
      </c>
      <c r="E8139" t="str">
        <v>-</v>
      </c>
      <c r="F8139" t="str">
        <v>-</v>
      </c>
      <c r="G8139" t="str">
        <v>-</v>
      </c>
    </row>
    <row r="8140">
      <c r="A8140">
        <v>8139</v>
      </c>
      <c r="B8140" t="str">
        <v>Công an xã Tân Việt  tỉnh Hải Dương</v>
      </c>
      <c r="C8140" t="str">
        <v>-</v>
      </c>
      <c r="D8140" t="str">
        <v>-</v>
      </c>
      <c r="E8140" t="str">
        <v/>
      </c>
      <c r="F8140" t="str">
        <v>-</v>
      </c>
      <c r="G8140" t="str">
        <v>-</v>
      </c>
    </row>
    <row r="8141">
      <c r="A8141">
        <v>8140</v>
      </c>
      <c r="B8141" t="str">
        <v>UBND Ủy ban nhân dân xã Tân Việt  tỉnh Hải Dương</v>
      </c>
      <c r="C8141" t="str">
        <v>-</v>
      </c>
      <c r="D8141" t="str">
        <v>-</v>
      </c>
      <c r="E8141" t="str">
        <v>-</v>
      </c>
      <c r="F8141" t="str">
        <v>-</v>
      </c>
      <c r="G8141" t="str">
        <v>-</v>
      </c>
    </row>
    <row r="8142">
      <c r="A8142">
        <v>8141</v>
      </c>
      <c r="B8142" t="str">
        <v>Công an xã Thúc Kháng  tỉnh Hải Dương</v>
      </c>
      <c r="C8142" t="str">
        <v>-</v>
      </c>
      <c r="D8142" t="str">
        <v>-</v>
      </c>
      <c r="E8142" t="str">
        <v/>
      </c>
      <c r="F8142" t="str">
        <v>-</v>
      </c>
      <c r="G8142" t="str">
        <v>-</v>
      </c>
    </row>
    <row r="8143">
      <c r="A8143">
        <v>8142</v>
      </c>
      <c r="B8143" t="str">
        <v>UBND Ủy ban nhân dân xã Thúc Kháng  tỉnh Hải Dương</v>
      </c>
      <c r="C8143" t="str">
        <v>-</v>
      </c>
      <c r="D8143" t="str">
        <v>-</v>
      </c>
      <c r="E8143" t="str">
        <v>-</v>
      </c>
      <c r="F8143" t="str">
        <v>-</v>
      </c>
      <c r="G8143" t="str">
        <v>-</v>
      </c>
    </row>
    <row r="8144">
      <c r="A8144">
        <v>8143</v>
      </c>
      <c r="B8144" t="str">
        <v>Công an xã Tân Hồng  tỉnh Hải Dương</v>
      </c>
      <c r="C8144" t="str">
        <v>-</v>
      </c>
      <c r="D8144" t="str">
        <v>-</v>
      </c>
      <c r="E8144" t="str">
        <v/>
      </c>
      <c r="F8144" t="str">
        <v>-</v>
      </c>
      <c r="G8144" t="str">
        <v>-</v>
      </c>
    </row>
    <row r="8145">
      <c r="A8145">
        <v>8144</v>
      </c>
      <c r="B8145" t="str">
        <v>UBND Ủy ban nhân dân xã Tân Hồng  tỉnh Hải Dương</v>
      </c>
      <c r="C8145" t="str">
        <v>-</v>
      </c>
      <c r="D8145" t="str">
        <v>-</v>
      </c>
      <c r="E8145" t="str">
        <v>-</v>
      </c>
      <c r="F8145" t="str">
        <v>-</v>
      </c>
      <c r="G8145" t="str">
        <v>-</v>
      </c>
    </row>
    <row r="8146">
      <c r="A8146">
        <v>8145</v>
      </c>
      <c r="B8146" t="str">
        <v>Công an xã Bình Minh  tỉnh Hải Dương</v>
      </c>
      <c r="C8146" t="str">
        <v>-</v>
      </c>
      <c r="D8146" t="str">
        <v>-</v>
      </c>
      <c r="E8146" t="str">
        <v/>
      </c>
      <c r="F8146" t="str">
        <v>-</v>
      </c>
      <c r="G8146" t="str">
        <v>-</v>
      </c>
    </row>
    <row r="8147">
      <c r="A8147">
        <v>8146</v>
      </c>
      <c r="B8147" t="str">
        <v>UBND Ủy ban nhân dân xã Bình Minh  tỉnh Hải Dương</v>
      </c>
      <c r="C8147" t="str">
        <v>-</v>
      </c>
      <c r="D8147" t="str">
        <v>-</v>
      </c>
      <c r="E8147" t="str">
        <v>-</v>
      </c>
      <c r="F8147" t="str">
        <v>-</v>
      </c>
      <c r="G8147" t="str">
        <v>-</v>
      </c>
    </row>
    <row r="8148">
      <c r="A8148">
        <v>8147</v>
      </c>
      <c r="B8148" t="str">
        <v>Công an xã Hồng Khê  tỉnh Hải Dương</v>
      </c>
      <c r="C8148" t="str">
        <v>-</v>
      </c>
      <c r="D8148" t="str">
        <v>-</v>
      </c>
      <c r="E8148" t="str">
        <v/>
      </c>
      <c r="F8148" t="str">
        <v>-</v>
      </c>
      <c r="G8148" t="str">
        <v>-</v>
      </c>
    </row>
    <row r="8149">
      <c r="A8149">
        <v>8148</v>
      </c>
      <c r="B8149" t="str">
        <v>UBND Ủy ban nhân dân xã Hồng Khê  tỉnh Hải Dương</v>
      </c>
      <c r="C8149" t="str">
        <v>-</v>
      </c>
      <c r="D8149" t="str">
        <v>-</v>
      </c>
      <c r="E8149" t="str">
        <v>-</v>
      </c>
      <c r="F8149" t="str">
        <v>-</v>
      </c>
      <c r="G8149" t="str">
        <v>-</v>
      </c>
    </row>
    <row r="8150">
      <c r="A8150">
        <v>8149</v>
      </c>
      <c r="B8150" t="str">
        <v>Công an xã Thái Học  tỉnh Hải Dương</v>
      </c>
      <c r="C8150" t="str">
        <v>-</v>
      </c>
      <c r="D8150" t="str">
        <v>-</v>
      </c>
      <c r="E8150" t="str">
        <v/>
      </c>
      <c r="F8150" t="str">
        <v>-</v>
      </c>
      <c r="G8150" t="str">
        <v>-</v>
      </c>
    </row>
    <row r="8151">
      <c r="A8151">
        <v>8150</v>
      </c>
      <c r="B8151" t="str">
        <v>UBND Ủy ban nhân dân xã Thái Học  tỉnh Hải Dương</v>
      </c>
      <c r="C8151" t="str">
        <v>-</v>
      </c>
      <c r="D8151" t="str">
        <v>-</v>
      </c>
      <c r="E8151" t="str">
        <v>-</v>
      </c>
      <c r="F8151" t="str">
        <v>-</v>
      </c>
      <c r="G8151" t="str">
        <v>-</v>
      </c>
    </row>
    <row r="8152">
      <c r="A8152">
        <v>8151</v>
      </c>
      <c r="B8152" t="str">
        <v>Công an xã Cổ Bì  tỉnh Hải Dương</v>
      </c>
      <c r="C8152" t="str">
        <v>-</v>
      </c>
      <c r="D8152" t="str">
        <v>-</v>
      </c>
      <c r="E8152" t="str">
        <v/>
      </c>
      <c r="F8152" t="str">
        <v>-</v>
      </c>
      <c r="G8152" t="str">
        <v>-</v>
      </c>
    </row>
    <row r="8153">
      <c r="A8153">
        <v>8152</v>
      </c>
      <c r="B8153" t="str">
        <v>UBND Ủy ban nhân dân xã Cổ Bì  tỉnh Hải Dương</v>
      </c>
      <c r="C8153" t="str">
        <v>-</v>
      </c>
      <c r="D8153" t="str">
        <v>-</v>
      </c>
      <c r="E8153" t="str">
        <v>-</v>
      </c>
      <c r="F8153" t="str">
        <v>-</v>
      </c>
      <c r="G8153" t="str">
        <v>-</v>
      </c>
    </row>
    <row r="8154">
      <c r="A8154">
        <v>8153</v>
      </c>
      <c r="B8154" t="str">
        <v>Công an xã Nhân Quyền  tỉnh Hải Dương</v>
      </c>
      <c r="C8154" t="str">
        <v>-</v>
      </c>
      <c r="D8154" t="str">
        <v>-</v>
      </c>
      <c r="E8154" t="str">
        <v/>
      </c>
      <c r="F8154" t="str">
        <v>-</v>
      </c>
      <c r="G8154" t="str">
        <v>-</v>
      </c>
    </row>
    <row r="8155">
      <c r="A8155">
        <v>8154</v>
      </c>
      <c r="B8155" t="str">
        <v>UBND Ủy ban nhân dân xã Nhân Quyền  tỉnh Hải Dương</v>
      </c>
      <c r="C8155" t="str">
        <v>-</v>
      </c>
      <c r="D8155" t="str">
        <v>-</v>
      </c>
      <c r="E8155" t="str">
        <v>-</v>
      </c>
      <c r="F8155" t="str">
        <v>-</v>
      </c>
      <c r="G8155" t="str">
        <v>-</v>
      </c>
    </row>
    <row r="8156">
      <c r="A8156">
        <v>8155</v>
      </c>
      <c r="B8156" t="str">
        <v>Công an xã Thái Dương  tỉnh Hải Dương</v>
      </c>
      <c r="C8156" t="str">
        <v>-</v>
      </c>
      <c r="D8156" t="str">
        <v>-</v>
      </c>
      <c r="E8156" t="str">
        <v/>
      </c>
      <c r="F8156" t="str">
        <v>-</v>
      </c>
      <c r="G8156" t="str">
        <v>-</v>
      </c>
    </row>
    <row r="8157">
      <c r="A8157">
        <v>8156</v>
      </c>
      <c r="B8157" t="str">
        <v>UBND Ủy ban nhân dân xã Thái Dương  tỉnh Hải Dương</v>
      </c>
      <c r="C8157" t="str">
        <v>-</v>
      </c>
      <c r="D8157" t="str">
        <v>-</v>
      </c>
      <c r="E8157" t="str">
        <v>-</v>
      </c>
      <c r="F8157" t="str">
        <v>-</v>
      </c>
      <c r="G8157" t="str">
        <v>-</v>
      </c>
    </row>
    <row r="8158">
      <c r="A8158">
        <v>8157</v>
      </c>
      <c r="B8158" t="str">
        <v>Công an xã Thái Hòa  tỉnh Hải Dương</v>
      </c>
      <c r="C8158" t="str">
        <v>-</v>
      </c>
      <c r="D8158" t="str">
        <v>-</v>
      </c>
      <c r="E8158" t="str">
        <v/>
      </c>
      <c r="F8158" t="str">
        <v>-</v>
      </c>
      <c r="G8158" t="str">
        <v>-</v>
      </c>
    </row>
    <row r="8159">
      <c r="A8159">
        <v>8158</v>
      </c>
      <c r="B8159" t="str">
        <v>UBND Ủy ban nhân dân xã Thái Hòa  tỉnh Hải Dương</v>
      </c>
      <c r="C8159" t="str">
        <v>-</v>
      </c>
      <c r="D8159" t="str">
        <v>-</v>
      </c>
      <c r="E8159" t="str">
        <v>-</v>
      </c>
      <c r="F8159" t="str">
        <v>-</v>
      </c>
      <c r="G8159" t="str">
        <v>-</v>
      </c>
    </row>
    <row r="8160">
      <c r="A8160">
        <v>8159</v>
      </c>
      <c r="B8160" t="str">
        <v>Công an xã Bình Xuyên  tỉnh Hải Dương</v>
      </c>
      <c r="C8160" t="str">
        <v>-</v>
      </c>
      <c r="D8160" t="str">
        <v>-</v>
      </c>
      <c r="E8160" t="str">
        <v/>
      </c>
      <c r="F8160" t="str">
        <v>-</v>
      </c>
      <c r="G8160" t="str">
        <v>-</v>
      </c>
    </row>
    <row r="8161">
      <c r="A8161">
        <v>8160</v>
      </c>
      <c r="B8161" t="str">
        <v>UBND Ủy ban nhân dân xã Bình Xuyên  tỉnh Hải Dương</v>
      </c>
      <c r="C8161" t="str">
        <v>-</v>
      </c>
      <c r="D8161" t="str">
        <v>-</v>
      </c>
      <c r="E8161" t="str">
        <v>-</v>
      </c>
      <c r="F8161" t="str">
        <v>-</v>
      </c>
      <c r="G8161" t="str">
        <v>-</v>
      </c>
    </row>
    <row r="8162">
      <c r="A8162">
        <v>8161</v>
      </c>
      <c r="B8162" t="str">
        <v>Công an thị trấn Gia Lộc  tỉnh Hải Dương</v>
      </c>
      <c r="C8162" t="str">
        <v>-</v>
      </c>
      <c r="D8162" t="str">
        <v>-</v>
      </c>
      <c r="E8162" t="str">
        <v/>
      </c>
      <c r="F8162" t="str">
        <v>-</v>
      </c>
      <c r="G8162" t="str">
        <v>-</v>
      </c>
    </row>
    <row r="8163">
      <c r="A8163">
        <v>8162</v>
      </c>
      <c r="B8163" t="str">
        <v>UBND Ủy ban nhân dân thị trấn Gia Lộc  tỉnh Hải Dương</v>
      </c>
      <c r="C8163" t="str">
        <v>-</v>
      </c>
      <c r="D8163" t="str">
        <v>-</v>
      </c>
      <c r="E8163" t="str">
        <v>-</v>
      </c>
      <c r="F8163" t="str">
        <v>-</v>
      </c>
      <c r="G8163" t="str">
        <v>-</v>
      </c>
    </row>
    <row r="8164">
      <c r="A8164">
        <v>8163</v>
      </c>
      <c r="B8164" t="str">
        <v>Công an xã Liên Hồng  tỉnh Hải Dương</v>
      </c>
      <c r="C8164" t="str">
        <v>-</v>
      </c>
      <c r="D8164" t="str">
        <v>-</v>
      </c>
      <c r="E8164" t="str">
        <v/>
      </c>
      <c r="F8164" t="str">
        <v>-</v>
      </c>
      <c r="G8164" t="str">
        <v>-</v>
      </c>
    </row>
    <row r="8165">
      <c r="A8165">
        <v>8164</v>
      </c>
      <c r="B8165" t="str">
        <v>UBND Ủy ban nhân dân xã Liên Hồng  tỉnh Hải Dương</v>
      </c>
      <c r="C8165" t="str">
        <v>-</v>
      </c>
      <c r="D8165" t="str">
        <v>-</v>
      </c>
      <c r="E8165" t="str">
        <v>-</v>
      </c>
      <c r="F8165" t="str">
        <v>-</v>
      </c>
      <c r="G8165" t="str">
        <v>-</v>
      </c>
    </row>
    <row r="8166">
      <c r="A8166">
        <v>8165</v>
      </c>
      <c r="B8166" t="str">
        <v>Công an xã Thống Nhất  tỉnh Hải Dương</v>
      </c>
      <c r="C8166" t="str">
        <v>-</v>
      </c>
      <c r="D8166" t="str">
        <v>-</v>
      </c>
      <c r="E8166" t="str">
        <v/>
      </c>
      <c r="F8166" t="str">
        <v>-</v>
      </c>
      <c r="G8166" t="str">
        <v>-</v>
      </c>
    </row>
    <row r="8167">
      <c r="A8167">
        <v>8166</v>
      </c>
      <c r="B8167" t="str">
        <v>UBND Ủy ban nhân dân xã Thống Nhất  tỉnh Hải Dương</v>
      </c>
      <c r="C8167" t="str">
        <v>-</v>
      </c>
      <c r="D8167" t="str">
        <v>-</v>
      </c>
      <c r="E8167" t="str">
        <v>-</v>
      </c>
      <c r="F8167" t="str">
        <v>-</v>
      </c>
      <c r="G8167" t="str">
        <v>-</v>
      </c>
    </row>
    <row r="8168">
      <c r="A8168">
        <v>8167</v>
      </c>
      <c r="B8168" t="str">
        <v>Công an xã Trùng Khánh  tỉnh Hải Dương</v>
      </c>
      <c r="C8168" t="str">
        <v>-</v>
      </c>
      <c r="D8168" t="str">
        <v>-</v>
      </c>
      <c r="E8168" t="str">
        <v/>
      </c>
      <c r="F8168" t="str">
        <v>-</v>
      </c>
      <c r="G8168" t="str">
        <v>-</v>
      </c>
    </row>
    <row r="8169">
      <c r="A8169">
        <v>8168</v>
      </c>
      <c r="B8169" t="str">
        <v>UBND Ủy ban nhân dân xã Trùng Khánh  tỉnh Hải Dương</v>
      </c>
      <c r="C8169" t="str">
        <v>-</v>
      </c>
      <c r="D8169" t="str">
        <v>-</v>
      </c>
      <c r="E8169" t="str">
        <v>-</v>
      </c>
      <c r="F8169" t="str">
        <v>-</v>
      </c>
      <c r="G8169" t="str">
        <v>-</v>
      </c>
    </row>
    <row r="8170">
      <c r="A8170">
        <v>8169</v>
      </c>
      <c r="B8170" t="str">
        <v>Công an xã Gia Xuyên  tỉnh Hải Dương</v>
      </c>
      <c r="C8170" t="str">
        <v>-</v>
      </c>
      <c r="D8170" t="str">
        <v>-</v>
      </c>
      <c r="E8170" t="str">
        <v/>
      </c>
      <c r="F8170" t="str">
        <v>-</v>
      </c>
      <c r="G8170" t="str">
        <v>-</v>
      </c>
    </row>
    <row r="8171">
      <c r="A8171">
        <v>8170</v>
      </c>
      <c r="B8171" t="str">
        <v>UBND Ủy ban nhân dân xã Gia Xuyên  tỉnh Hải Dương</v>
      </c>
      <c r="C8171" t="str">
        <v>-</v>
      </c>
      <c r="D8171" t="str">
        <v>-</v>
      </c>
      <c r="E8171" t="str">
        <v>-</v>
      </c>
      <c r="F8171" t="str">
        <v>-</v>
      </c>
      <c r="G8171" t="str">
        <v>-</v>
      </c>
    </row>
    <row r="8172">
      <c r="A8172">
        <v>8171</v>
      </c>
      <c r="B8172" t="str">
        <v>Công an xã Yết Kiêu  tỉnh Hải Dương</v>
      </c>
      <c r="C8172" t="str">
        <v>-</v>
      </c>
      <c r="D8172" t="str">
        <v>-</v>
      </c>
      <c r="E8172" t="str">
        <v/>
      </c>
      <c r="F8172" t="str">
        <v>-</v>
      </c>
      <c r="G8172" t="str">
        <v>-</v>
      </c>
    </row>
    <row r="8173">
      <c r="A8173">
        <v>8172</v>
      </c>
      <c r="B8173" t="str">
        <v>UBND Ủy ban nhân dân xã Yết Kiêu  tỉnh Hải Dương</v>
      </c>
      <c r="C8173" t="str">
        <v>-</v>
      </c>
      <c r="D8173" t="str">
        <v>-</v>
      </c>
      <c r="E8173" t="str">
        <v>-</v>
      </c>
      <c r="F8173" t="str">
        <v>-</v>
      </c>
      <c r="G8173" t="str">
        <v>-</v>
      </c>
    </row>
    <row r="8174">
      <c r="A8174">
        <v>8173</v>
      </c>
      <c r="B8174" t="str">
        <v>Công an xã Gia Hòa  tỉnh Hải Dương</v>
      </c>
      <c r="C8174" t="str">
        <v>-</v>
      </c>
      <c r="D8174" t="str">
        <v>-</v>
      </c>
      <c r="E8174" t="str">
        <v/>
      </c>
      <c r="F8174" t="str">
        <v>-</v>
      </c>
      <c r="G8174" t="str">
        <v>-</v>
      </c>
    </row>
    <row r="8175">
      <c r="A8175">
        <v>8174</v>
      </c>
      <c r="B8175" t="str">
        <v>UBND Ủy ban nhân dân xã Gia Hòa  tỉnh Hải Dương</v>
      </c>
      <c r="C8175" t="str">
        <v>-</v>
      </c>
      <c r="D8175" t="str">
        <v>-</v>
      </c>
      <c r="E8175" t="str">
        <v>-</v>
      </c>
      <c r="F8175" t="str">
        <v>-</v>
      </c>
      <c r="G8175" t="str">
        <v>-</v>
      </c>
    </row>
    <row r="8176">
      <c r="A8176">
        <v>8175</v>
      </c>
      <c r="B8176" t="str">
        <v>Công an xã Phương Hưng  tỉnh Hải Dương</v>
      </c>
      <c r="C8176" t="str">
        <v>-</v>
      </c>
      <c r="D8176" t="str">
        <v>-</v>
      </c>
      <c r="E8176" t="str">
        <v/>
      </c>
      <c r="F8176" t="str">
        <v>-</v>
      </c>
      <c r="G8176" t="str">
        <v>-</v>
      </c>
    </row>
    <row r="8177">
      <c r="A8177">
        <v>8176</v>
      </c>
      <c r="B8177" t="str">
        <v>UBND Ủy ban nhân dân xã Phương Hưng  tỉnh Hải Dương</v>
      </c>
      <c r="C8177" t="str">
        <v>-</v>
      </c>
      <c r="D8177" t="str">
        <v>-</v>
      </c>
      <c r="E8177" t="str">
        <v>-</v>
      </c>
      <c r="F8177" t="str">
        <v>-</v>
      </c>
      <c r="G8177" t="str">
        <v>-</v>
      </c>
    </row>
    <row r="8178">
      <c r="A8178">
        <v>8177</v>
      </c>
      <c r="B8178" t="str">
        <v>Công an xã Gia Tân  tỉnh Hải Dương</v>
      </c>
      <c r="C8178" t="str">
        <v>-</v>
      </c>
      <c r="D8178" t="str">
        <v>-</v>
      </c>
      <c r="E8178" t="str">
        <v/>
      </c>
      <c r="F8178" t="str">
        <v>-</v>
      </c>
      <c r="G8178" t="str">
        <v>-</v>
      </c>
    </row>
    <row r="8179">
      <c r="A8179">
        <v>8178</v>
      </c>
      <c r="B8179" t="str">
        <v>UBND Ủy ban nhân dân xã Gia Tân  tỉnh Hải Dương</v>
      </c>
      <c r="C8179" t="str">
        <v>-</v>
      </c>
      <c r="D8179" t="str">
        <v>-</v>
      </c>
      <c r="E8179" t="str">
        <v>-</v>
      </c>
      <c r="F8179" t="str">
        <v>-</v>
      </c>
      <c r="G8179" t="str">
        <v>-</v>
      </c>
    </row>
    <row r="8180">
      <c r="A8180">
        <v>8179</v>
      </c>
      <c r="B8180" t="str">
        <v>Công an xã Tân Tiến  tỉnh Hải Dương</v>
      </c>
      <c r="C8180" t="str">
        <v>-</v>
      </c>
      <c r="D8180" t="str">
        <v>-</v>
      </c>
      <c r="E8180" t="str">
        <v/>
      </c>
      <c r="F8180" t="str">
        <v>-</v>
      </c>
      <c r="G8180" t="str">
        <v>-</v>
      </c>
    </row>
    <row r="8181">
      <c r="A8181">
        <v>8180</v>
      </c>
      <c r="B8181" t="str">
        <v>UBND Ủy ban nhân dân xã Tân Tiến  tỉnh Hải Dương</v>
      </c>
      <c r="C8181" t="str">
        <v>-</v>
      </c>
      <c r="D8181" t="str">
        <v>-</v>
      </c>
      <c r="E8181" t="str">
        <v>-</v>
      </c>
      <c r="F8181" t="str">
        <v>-</v>
      </c>
      <c r="G8181" t="str">
        <v>-</v>
      </c>
    </row>
    <row r="8182">
      <c r="A8182">
        <v>8181</v>
      </c>
      <c r="B8182" t="str">
        <v>Công an xã Gia Khánh  tỉnh Hải Dương</v>
      </c>
      <c r="C8182" t="str">
        <v>-</v>
      </c>
      <c r="D8182" t="str">
        <v>-</v>
      </c>
      <c r="E8182" t="str">
        <v/>
      </c>
      <c r="F8182" t="str">
        <v>-</v>
      </c>
      <c r="G8182" t="str">
        <v>-</v>
      </c>
    </row>
    <row r="8183">
      <c r="A8183">
        <v>8182</v>
      </c>
      <c r="B8183" t="str">
        <v>UBND Ủy ban nhân dân xã Gia Khánh  tỉnh Hải Dương</v>
      </c>
      <c r="C8183" t="str">
        <v>-</v>
      </c>
      <c r="D8183" t="str">
        <v>-</v>
      </c>
      <c r="E8183" t="str">
        <v>-</v>
      </c>
      <c r="F8183" t="str">
        <v>-</v>
      </c>
      <c r="G8183" t="str">
        <v>-</v>
      </c>
    </row>
    <row r="8184">
      <c r="A8184">
        <v>8183</v>
      </c>
      <c r="B8184" t="str">
        <v>Công an xã Gia Lương  tỉnh Hải Dương</v>
      </c>
      <c r="C8184" t="str">
        <v>-</v>
      </c>
      <c r="D8184" t="str">
        <v>-</v>
      </c>
      <c r="E8184" t="str">
        <v/>
      </c>
      <c r="F8184" t="str">
        <v>-</v>
      </c>
      <c r="G8184" t="str">
        <v>-</v>
      </c>
    </row>
    <row r="8185">
      <c r="A8185">
        <v>8184</v>
      </c>
      <c r="B8185" t="str">
        <v>UBND Ủy ban nhân dân xã Gia Lương  tỉnh Hải Dương</v>
      </c>
      <c r="C8185" t="str">
        <v>-</v>
      </c>
      <c r="D8185" t="str">
        <v>-</v>
      </c>
      <c r="E8185" t="str">
        <v>-</v>
      </c>
      <c r="F8185" t="str">
        <v>-</v>
      </c>
      <c r="G8185" t="str">
        <v>-</v>
      </c>
    </row>
    <row r="8186">
      <c r="A8186">
        <v>8185</v>
      </c>
      <c r="B8186" t="str">
        <v>Công an xã Lê Lợi  tỉnh Hải Dương</v>
      </c>
      <c r="C8186" t="str">
        <v>-</v>
      </c>
      <c r="D8186" t="str">
        <v>-</v>
      </c>
      <c r="E8186" t="str">
        <v/>
      </c>
      <c r="F8186" t="str">
        <v>-</v>
      </c>
      <c r="G8186" t="str">
        <v>-</v>
      </c>
    </row>
    <row r="8187">
      <c r="A8187">
        <v>8186</v>
      </c>
      <c r="B8187" t="str">
        <v>UBND Ủy ban nhân dân xã Lê Lợi  tỉnh Hải Dương</v>
      </c>
      <c r="C8187" t="str">
        <v>-</v>
      </c>
      <c r="D8187" t="str">
        <v>-</v>
      </c>
      <c r="E8187" t="str">
        <v>-</v>
      </c>
      <c r="F8187" t="str">
        <v>-</v>
      </c>
      <c r="G8187" t="str">
        <v>-</v>
      </c>
    </row>
    <row r="8188">
      <c r="A8188">
        <v>8187</v>
      </c>
      <c r="B8188" t="str">
        <v>Công an xã Toàn Thắng  tỉnh Hải Dương</v>
      </c>
      <c r="C8188" t="str">
        <v>-</v>
      </c>
      <c r="D8188" t="str">
        <v>-</v>
      </c>
      <c r="E8188" t="str">
        <v/>
      </c>
      <c r="F8188" t="str">
        <v>-</v>
      </c>
      <c r="G8188" t="str">
        <v>-</v>
      </c>
    </row>
    <row r="8189">
      <c r="A8189">
        <v>8188</v>
      </c>
      <c r="B8189" t="str">
        <v>UBND Ủy ban nhân dân xã Toàn Thắng  tỉnh Hải Dương</v>
      </c>
      <c r="C8189" t="str">
        <v>-</v>
      </c>
      <c r="D8189" t="str">
        <v>-</v>
      </c>
      <c r="E8189" t="str">
        <v>-</v>
      </c>
      <c r="F8189" t="str">
        <v>-</v>
      </c>
      <c r="G8189" t="str">
        <v>-</v>
      </c>
    </row>
    <row r="8190">
      <c r="A8190">
        <v>8189</v>
      </c>
      <c r="B8190" t="str">
        <v>Công an xã Hoàng Diệu  tỉnh Hải Dương</v>
      </c>
      <c r="C8190" t="str">
        <v>-</v>
      </c>
      <c r="D8190" t="str">
        <v>-</v>
      </c>
      <c r="E8190" t="str">
        <v/>
      </c>
      <c r="F8190" t="str">
        <v>-</v>
      </c>
      <c r="G8190" t="str">
        <v>-</v>
      </c>
    </row>
    <row r="8191">
      <c r="A8191">
        <v>8190</v>
      </c>
      <c r="B8191" t="str">
        <v>UBND Ủy ban nhân dân xã Hoàng Diệu  tỉnh Hải Dương</v>
      </c>
      <c r="C8191" t="str">
        <v>-</v>
      </c>
      <c r="D8191" t="str">
        <v>-</v>
      </c>
      <c r="E8191" t="str">
        <v>-</v>
      </c>
      <c r="F8191" t="str">
        <v>-</v>
      </c>
      <c r="G8191" t="str">
        <v>-</v>
      </c>
    </row>
    <row r="8192">
      <c r="A8192">
        <v>8191</v>
      </c>
      <c r="B8192" t="str">
        <v>Công an xã Hồng Hưng  tỉnh Hải Dương</v>
      </c>
      <c r="C8192" t="str">
        <v>-</v>
      </c>
      <c r="D8192" t="str">
        <v>-</v>
      </c>
      <c r="E8192" t="str">
        <v/>
      </c>
      <c r="F8192" t="str">
        <v>-</v>
      </c>
      <c r="G8192" t="str">
        <v>-</v>
      </c>
    </row>
    <row r="8193">
      <c r="A8193">
        <v>8192</v>
      </c>
      <c r="B8193" t="str">
        <v>UBND Ủy ban nhân dân xã Hồng Hưng  tỉnh Hải Dương</v>
      </c>
      <c r="C8193" t="str">
        <v>-</v>
      </c>
      <c r="D8193" t="str">
        <v>-</v>
      </c>
      <c r="E8193" t="str">
        <v>-</v>
      </c>
      <c r="F8193" t="str">
        <v>-</v>
      </c>
      <c r="G8193" t="str">
        <v>-</v>
      </c>
    </row>
    <row r="8194">
      <c r="A8194">
        <v>8193</v>
      </c>
      <c r="B8194" t="str">
        <v>Công an xã Phạm Trấn  tỉnh Hải Dương</v>
      </c>
      <c r="C8194" t="str">
        <v>-</v>
      </c>
      <c r="D8194" t="str">
        <v>-</v>
      </c>
      <c r="E8194" t="str">
        <v/>
      </c>
      <c r="F8194" t="str">
        <v>-</v>
      </c>
      <c r="G8194" t="str">
        <v>-</v>
      </c>
    </row>
    <row r="8195">
      <c r="A8195">
        <v>8194</v>
      </c>
      <c r="B8195" t="str">
        <v>UBND Ủy ban nhân dân xã Phạm Trấn  tỉnh Hải Dương</v>
      </c>
      <c r="C8195" t="str">
        <v>-</v>
      </c>
      <c r="D8195" t="str">
        <v>-</v>
      </c>
      <c r="E8195" t="str">
        <v>-</v>
      </c>
      <c r="F8195" t="str">
        <v>-</v>
      </c>
      <c r="G8195" t="str">
        <v>-</v>
      </c>
    </row>
    <row r="8196">
      <c r="A8196">
        <v>8195</v>
      </c>
      <c r="B8196" t="str">
        <v>Công an xã Đoàn Thượng  tỉnh Hải Dương</v>
      </c>
      <c r="C8196" t="str">
        <v>-</v>
      </c>
      <c r="D8196" t="str">
        <v>-</v>
      </c>
      <c r="E8196" t="str">
        <v/>
      </c>
      <c r="F8196" t="str">
        <v>-</v>
      </c>
      <c r="G8196" t="str">
        <v>-</v>
      </c>
    </row>
    <row r="8197">
      <c r="A8197">
        <v>8196</v>
      </c>
      <c r="B8197" t="str">
        <v>UBND Ủy ban nhân dân xã Đoàn Thượng  tỉnh Hải Dương</v>
      </c>
      <c r="C8197" t="str">
        <v>-</v>
      </c>
      <c r="D8197" t="str">
        <v>-</v>
      </c>
      <c r="E8197" t="str">
        <v>-</v>
      </c>
      <c r="F8197" t="str">
        <v>-</v>
      </c>
      <c r="G8197" t="str">
        <v>-</v>
      </c>
    </row>
    <row r="8198">
      <c r="A8198">
        <v>8197</v>
      </c>
      <c r="B8198" t="str">
        <v>Công an xã Thống Kênh  tỉnh Hải Dương</v>
      </c>
      <c r="C8198" t="str">
        <v>-</v>
      </c>
      <c r="D8198" t="str">
        <v>-</v>
      </c>
      <c r="E8198" t="str">
        <v/>
      </c>
      <c r="F8198" t="str">
        <v>-</v>
      </c>
      <c r="G8198" t="str">
        <v>-</v>
      </c>
    </row>
    <row r="8199">
      <c r="A8199">
        <v>8198</v>
      </c>
      <c r="B8199" t="str">
        <v>UBND Ủy ban nhân dân xã Thống Kênh  tỉnh Hải Dương</v>
      </c>
      <c r="C8199" t="str">
        <v>-</v>
      </c>
      <c r="D8199" t="str">
        <v>-</v>
      </c>
      <c r="E8199" t="str">
        <v>-</v>
      </c>
      <c r="F8199" t="str">
        <v>-</v>
      </c>
      <c r="G8199" t="str">
        <v>-</v>
      </c>
    </row>
    <row r="8200">
      <c r="A8200">
        <v>8199</v>
      </c>
      <c r="B8200" t="str">
        <v>Công an xã Quang Minh  tỉnh Hải Dương</v>
      </c>
      <c r="C8200" t="str">
        <v>-</v>
      </c>
      <c r="D8200" t="str">
        <v>-</v>
      </c>
      <c r="E8200" t="str">
        <v/>
      </c>
      <c r="F8200" t="str">
        <v>-</v>
      </c>
      <c r="G8200" t="str">
        <v>-</v>
      </c>
    </row>
    <row r="8201">
      <c r="A8201">
        <v>8200</v>
      </c>
      <c r="B8201" t="str">
        <v>UBND Ủy ban nhân dân xã Quang Minh  tỉnh Hải Dương</v>
      </c>
      <c r="C8201" t="str">
        <v>-</v>
      </c>
      <c r="D8201" t="str">
        <v>-</v>
      </c>
      <c r="E8201" t="str">
        <v>-</v>
      </c>
      <c r="F8201" t="str">
        <v>-</v>
      </c>
      <c r="G8201" t="str">
        <v>-</v>
      </c>
    </row>
    <row r="8202">
      <c r="A8202">
        <v>8201</v>
      </c>
      <c r="B8202" t="str">
        <v>Công an xã Đồng Quang  tỉnh Hải Dương</v>
      </c>
      <c r="C8202" t="str">
        <v>-</v>
      </c>
      <c r="D8202" t="str">
        <v>-</v>
      </c>
      <c r="E8202" t="str">
        <v/>
      </c>
      <c r="F8202" t="str">
        <v>-</v>
      </c>
      <c r="G8202" t="str">
        <v>-</v>
      </c>
    </row>
    <row r="8203">
      <c r="A8203">
        <v>8202</v>
      </c>
      <c r="B8203" t="str">
        <v>UBND Ủy ban nhân dân xã Đồng Quang  tỉnh Hải Dương</v>
      </c>
      <c r="C8203" t="str">
        <v>-</v>
      </c>
      <c r="D8203" t="str">
        <v>-</v>
      </c>
      <c r="E8203" t="str">
        <v>-</v>
      </c>
      <c r="F8203" t="str">
        <v>-</v>
      </c>
      <c r="G8203" t="str">
        <v>-</v>
      </c>
    </row>
    <row r="8204">
      <c r="A8204">
        <v>8203</v>
      </c>
      <c r="B8204" t="str">
        <v>Công an xã Nhật Tân  tỉnh Hải Dương</v>
      </c>
      <c r="C8204" t="str">
        <v>-</v>
      </c>
      <c r="D8204" t="str">
        <v>-</v>
      </c>
      <c r="E8204" t="str">
        <v/>
      </c>
      <c r="F8204" t="str">
        <v>-</v>
      </c>
      <c r="G8204" t="str">
        <v>-</v>
      </c>
    </row>
    <row r="8205">
      <c r="A8205">
        <v>8204</v>
      </c>
      <c r="B8205" t="str">
        <v>UBND Ủy ban nhân dân xã Nhật Tân  tỉnh Hải Dương</v>
      </c>
      <c r="C8205" t="str">
        <v>-</v>
      </c>
      <c r="D8205" t="str">
        <v>-</v>
      </c>
      <c r="E8205" t="str">
        <v>-</v>
      </c>
      <c r="F8205" t="str">
        <v>-</v>
      </c>
      <c r="G8205" t="str">
        <v>-</v>
      </c>
    </row>
    <row r="8206">
      <c r="A8206">
        <v>8205</v>
      </c>
      <c r="B8206" t="str">
        <v>Công an xã Đức Xương  tỉnh Hải Dương</v>
      </c>
      <c r="C8206" t="str">
        <v>-</v>
      </c>
      <c r="D8206" t="str">
        <v>-</v>
      </c>
      <c r="E8206" t="str">
        <v/>
      </c>
      <c r="F8206" t="str">
        <v>-</v>
      </c>
      <c r="G8206" t="str">
        <v>-</v>
      </c>
    </row>
    <row r="8207">
      <c r="A8207">
        <v>8206</v>
      </c>
      <c r="B8207" t="str">
        <v>UBND Ủy ban nhân dân xã Đức Xương  tỉnh Hải Dương</v>
      </c>
      <c r="C8207" t="str">
        <v>-</v>
      </c>
      <c r="D8207" t="str">
        <v>-</v>
      </c>
      <c r="E8207" t="str">
        <v>-</v>
      </c>
      <c r="F8207" t="str">
        <v>-</v>
      </c>
      <c r="G8207" t="str">
        <v>-</v>
      </c>
    </row>
    <row r="8208">
      <c r="A8208">
        <v>8207</v>
      </c>
      <c r="B8208" t="str">
        <v>Công an thị trấn Tứ Kỳ  tỉnh Hải Dương</v>
      </c>
      <c r="C8208" t="str">
        <v>-</v>
      </c>
      <c r="D8208" t="str">
        <v>-</v>
      </c>
      <c r="E8208" t="str">
        <v/>
      </c>
      <c r="F8208" t="str">
        <v>-</v>
      </c>
      <c r="G8208" t="str">
        <v>-</v>
      </c>
    </row>
    <row r="8209">
      <c r="A8209">
        <v>8208</v>
      </c>
      <c r="B8209" t="str">
        <v>UBND Ủy ban nhân dân thị trấn Tứ Kỳ  tỉnh Hải Dương</v>
      </c>
      <c r="C8209" t="str">
        <v>-</v>
      </c>
      <c r="D8209" t="str">
        <v>-</v>
      </c>
      <c r="E8209" t="str">
        <v>-</v>
      </c>
      <c r="F8209" t="str">
        <v>-</v>
      </c>
      <c r="G8209" t="str">
        <v>-</v>
      </c>
    </row>
    <row r="8210">
      <c r="A8210">
        <v>8209</v>
      </c>
      <c r="B8210" t="str">
        <v>Công an xã Ngọc Sơn  tỉnh Hải Dương</v>
      </c>
      <c r="C8210" t="str">
        <v>-</v>
      </c>
      <c r="D8210" t="str">
        <v>-</v>
      </c>
      <c r="E8210" t="str">
        <v/>
      </c>
      <c r="F8210" t="str">
        <v>-</v>
      </c>
      <c r="G8210" t="str">
        <v>-</v>
      </c>
    </row>
    <row r="8211">
      <c r="A8211">
        <v>8210</v>
      </c>
      <c r="B8211" t="str">
        <v>UBND Ủy ban nhân dân xã Ngọc Sơn  tỉnh Hải Dương</v>
      </c>
      <c r="C8211" t="str">
        <v>-</v>
      </c>
      <c r="D8211" t="str">
        <v>-</v>
      </c>
      <c r="E8211" t="str">
        <v>-</v>
      </c>
      <c r="F8211" t="str">
        <v>-</v>
      </c>
      <c r="G8211" t="str">
        <v>-</v>
      </c>
    </row>
    <row r="8212">
      <c r="A8212">
        <v>8211</v>
      </c>
      <c r="B8212" t="str">
        <v>Công an xã Kỳ Sơn  tỉnh Hải Dương</v>
      </c>
      <c r="C8212" t="str">
        <v>-</v>
      </c>
      <c r="D8212" t="str">
        <v>-</v>
      </c>
      <c r="E8212" t="str">
        <v/>
      </c>
      <c r="F8212" t="str">
        <v>-</v>
      </c>
      <c r="G8212" t="str">
        <v>-</v>
      </c>
    </row>
    <row r="8213">
      <c r="A8213">
        <v>8212</v>
      </c>
      <c r="B8213" t="str">
        <v>UBND Ủy ban nhân dân xã Kỳ Sơn  tỉnh Hải Dương</v>
      </c>
      <c r="C8213" t="str">
        <v>-</v>
      </c>
      <c r="D8213" t="str">
        <v>-</v>
      </c>
      <c r="E8213" t="str">
        <v>-</v>
      </c>
      <c r="F8213" t="str">
        <v>-</v>
      </c>
      <c r="G8213" t="str">
        <v>-</v>
      </c>
    </row>
    <row r="8214">
      <c r="A8214">
        <v>8213</v>
      </c>
      <c r="B8214" t="str">
        <v>Công an xã Đại Đồng  tỉnh Hải Dương</v>
      </c>
      <c r="C8214" t="str">
        <v>-</v>
      </c>
      <c r="D8214" t="str">
        <v>-</v>
      </c>
      <c r="E8214" t="str">
        <v/>
      </c>
      <c r="F8214" t="str">
        <v>-</v>
      </c>
      <c r="G8214" t="str">
        <v>-</v>
      </c>
    </row>
    <row r="8215">
      <c r="A8215">
        <v>8214</v>
      </c>
      <c r="B8215" t="str">
        <v>UBND Ủy ban nhân dân xã Đại Đồng  tỉnh Hải Dương</v>
      </c>
      <c r="C8215" t="str">
        <v>-</v>
      </c>
      <c r="D8215" t="str">
        <v>-</v>
      </c>
      <c r="E8215" t="str">
        <v>-</v>
      </c>
      <c r="F8215" t="str">
        <v>-</v>
      </c>
      <c r="G8215" t="str">
        <v>-</v>
      </c>
    </row>
    <row r="8216">
      <c r="A8216">
        <v>8215</v>
      </c>
      <c r="B8216" t="str">
        <v>Công an xã Hưng Đạo  tỉnh Hải Dương</v>
      </c>
      <c r="C8216" t="str">
        <v>-</v>
      </c>
      <c r="D8216" t="str">
        <v>-</v>
      </c>
      <c r="E8216" t="str">
        <v/>
      </c>
      <c r="F8216" t="str">
        <v>-</v>
      </c>
      <c r="G8216" t="str">
        <v>-</v>
      </c>
    </row>
    <row r="8217">
      <c r="A8217">
        <v>8216</v>
      </c>
      <c r="B8217" t="str">
        <v>UBND Ủy ban nhân dân xã Hưng Đạo  tỉnh Hải Dương</v>
      </c>
      <c r="C8217" t="str">
        <v>-</v>
      </c>
      <c r="D8217" t="str">
        <v>-</v>
      </c>
      <c r="E8217" t="str">
        <v>-</v>
      </c>
      <c r="F8217" t="str">
        <v>-</v>
      </c>
      <c r="G8217" t="str">
        <v>-</v>
      </c>
    </row>
    <row r="8218">
      <c r="A8218">
        <v>8217</v>
      </c>
      <c r="B8218" t="str">
        <v>Công an xã Ngọc Kỳ  tỉnh Hải Dương</v>
      </c>
      <c r="C8218" t="str">
        <v>-</v>
      </c>
      <c r="D8218" t="str">
        <v>-</v>
      </c>
      <c r="E8218" t="str">
        <v/>
      </c>
      <c r="F8218" t="str">
        <v>-</v>
      </c>
      <c r="G8218" t="str">
        <v>-</v>
      </c>
    </row>
    <row r="8219">
      <c r="A8219">
        <v>8218</v>
      </c>
      <c r="B8219" t="str">
        <v>UBND Ủy ban nhân dân xã Ngọc Kỳ  tỉnh Hải Dương</v>
      </c>
      <c r="C8219" t="str">
        <v>-</v>
      </c>
      <c r="D8219" t="str">
        <v>-</v>
      </c>
      <c r="E8219" t="str">
        <v>-</v>
      </c>
      <c r="F8219" t="str">
        <v>-</v>
      </c>
      <c r="G8219" t="str">
        <v>-</v>
      </c>
    </row>
    <row r="8220">
      <c r="A8220">
        <v>8219</v>
      </c>
      <c r="B8220" t="str">
        <v>Công an xã Bình Lăng  tỉnh Hải Dương</v>
      </c>
      <c r="C8220" t="str">
        <v>-</v>
      </c>
      <c r="D8220" t="str">
        <v>-</v>
      </c>
      <c r="E8220" t="str">
        <v/>
      </c>
      <c r="F8220" t="str">
        <v>-</v>
      </c>
      <c r="G8220" t="str">
        <v>-</v>
      </c>
    </row>
    <row r="8221">
      <c r="A8221">
        <v>8220</v>
      </c>
      <c r="B8221" t="str">
        <v>UBND Ủy ban nhân dân xã Bình Lăng  tỉnh Hải Dương</v>
      </c>
      <c r="C8221" t="str">
        <v>-</v>
      </c>
      <c r="D8221" t="str">
        <v>-</v>
      </c>
      <c r="E8221" t="str">
        <v>-</v>
      </c>
      <c r="F8221" t="str">
        <v>-</v>
      </c>
      <c r="G8221" t="str">
        <v>-</v>
      </c>
    </row>
    <row r="8222">
      <c r="A8222">
        <v>8221</v>
      </c>
      <c r="B8222" t="str">
        <v>Công an xã Tứ Xuyên  tỉnh Hải Dương</v>
      </c>
      <c r="C8222" t="str">
        <v>-</v>
      </c>
      <c r="D8222" t="str">
        <v>-</v>
      </c>
      <c r="E8222" t="str">
        <v/>
      </c>
      <c r="F8222" t="str">
        <v>-</v>
      </c>
      <c r="G8222" t="str">
        <v>-</v>
      </c>
    </row>
    <row r="8223">
      <c r="A8223">
        <v>8222</v>
      </c>
      <c r="B8223" t="str">
        <v>UBND Ủy ban nhân dân xã Tứ Xuyên  tỉnh Hải Dương</v>
      </c>
      <c r="C8223" t="str">
        <v>-</v>
      </c>
      <c r="D8223" t="str">
        <v>-</v>
      </c>
      <c r="E8223" t="str">
        <v>-</v>
      </c>
      <c r="F8223" t="str">
        <v>-</v>
      </c>
      <c r="G8223" t="str">
        <v>-</v>
      </c>
    </row>
    <row r="8224">
      <c r="A8224">
        <v>8223</v>
      </c>
      <c r="B8224" t="str">
        <v>Công an xã Tái Sơn  tỉnh Hải Dương</v>
      </c>
      <c r="C8224" t="str">
        <v>-</v>
      </c>
      <c r="D8224" t="str">
        <v>-</v>
      </c>
      <c r="E8224" t="str">
        <v/>
      </c>
      <c r="F8224" t="str">
        <v>-</v>
      </c>
      <c r="G8224" t="str">
        <v>-</v>
      </c>
    </row>
    <row r="8225">
      <c r="A8225">
        <v>8224</v>
      </c>
      <c r="B8225" t="str">
        <v>UBND Ủy ban nhân dân xã Tái Sơn  tỉnh Hải Dương</v>
      </c>
      <c r="C8225" t="str">
        <v>-</v>
      </c>
      <c r="D8225" t="str">
        <v>-</v>
      </c>
      <c r="E8225" t="str">
        <v>-</v>
      </c>
      <c r="F8225" t="str">
        <v>-</v>
      </c>
      <c r="G8225" t="str">
        <v>-</v>
      </c>
    </row>
    <row r="8226">
      <c r="A8226">
        <v>8225</v>
      </c>
      <c r="B8226" t="str">
        <v>Công an xã Quang Phục  tỉnh Hải Dương</v>
      </c>
      <c r="C8226" t="str">
        <v>-</v>
      </c>
      <c r="D8226" t="str">
        <v>-</v>
      </c>
      <c r="E8226" t="str">
        <v/>
      </c>
      <c r="F8226" t="str">
        <v>-</v>
      </c>
      <c r="G8226" t="str">
        <v>-</v>
      </c>
    </row>
    <row r="8227">
      <c r="A8227">
        <v>8226</v>
      </c>
      <c r="B8227" t="str">
        <v>UBND Ủy ban nhân dân xã Quang Phục  tỉnh Hải Dương</v>
      </c>
      <c r="C8227" t="str">
        <v>-</v>
      </c>
      <c r="D8227" t="str">
        <v>-</v>
      </c>
      <c r="E8227" t="str">
        <v>-</v>
      </c>
      <c r="F8227" t="str">
        <v>-</v>
      </c>
      <c r="G8227" t="str">
        <v>-</v>
      </c>
    </row>
    <row r="8228">
      <c r="A8228">
        <v>8227</v>
      </c>
      <c r="B8228" t="str">
        <v>Công an xã Đông Kỳ  tỉnh Hải Dương</v>
      </c>
      <c r="C8228" t="str">
        <v>-</v>
      </c>
      <c r="D8228" t="str">
        <v>-</v>
      </c>
      <c r="E8228" t="str">
        <v/>
      </c>
      <c r="F8228" t="str">
        <v>-</v>
      </c>
      <c r="G8228" t="str">
        <v>-</v>
      </c>
    </row>
    <row r="8229">
      <c r="A8229">
        <v>8228</v>
      </c>
      <c r="B8229" t="str">
        <v>UBND Ủy ban nhân dân xã Đông Kỳ  tỉnh Hải Dương</v>
      </c>
      <c r="C8229" t="str">
        <v>-</v>
      </c>
      <c r="D8229" t="str">
        <v>-</v>
      </c>
      <c r="E8229" t="str">
        <v>-</v>
      </c>
      <c r="F8229" t="str">
        <v>-</v>
      </c>
      <c r="G8229" t="str">
        <v>-</v>
      </c>
    </row>
    <row r="8230">
      <c r="A8230">
        <v>8229</v>
      </c>
      <c r="B8230" t="str">
        <v>Công an xã Tây Kỳ  tỉnh Hải Dương</v>
      </c>
      <c r="C8230" t="str">
        <v>-</v>
      </c>
      <c r="D8230" t="str">
        <v>-</v>
      </c>
      <c r="E8230" t="str">
        <v/>
      </c>
      <c r="F8230" t="str">
        <v>-</v>
      </c>
      <c r="G8230" t="str">
        <v>-</v>
      </c>
    </row>
    <row r="8231">
      <c r="A8231">
        <v>8230</v>
      </c>
      <c r="B8231" t="str">
        <v>UBND Ủy ban nhân dân xã Tây Kỳ  tỉnh Hải Dương</v>
      </c>
      <c r="C8231" t="str">
        <v>-</v>
      </c>
      <c r="D8231" t="str">
        <v>-</v>
      </c>
      <c r="E8231" t="str">
        <v>-</v>
      </c>
      <c r="F8231" t="str">
        <v>-</v>
      </c>
      <c r="G8231" t="str">
        <v>-</v>
      </c>
    </row>
    <row r="8232">
      <c r="A8232">
        <v>8231</v>
      </c>
      <c r="B8232" t="str">
        <v>Công an xã Dân Chủ  tỉnh Hải Dương</v>
      </c>
      <c r="C8232" t="str">
        <v>-</v>
      </c>
      <c r="D8232" t="str">
        <v>-</v>
      </c>
      <c r="E8232" t="str">
        <v/>
      </c>
      <c r="F8232" t="str">
        <v>-</v>
      </c>
      <c r="G8232" t="str">
        <v>-</v>
      </c>
    </row>
    <row r="8233">
      <c r="A8233">
        <v>8232</v>
      </c>
      <c r="B8233" t="str">
        <v>UBND Ủy ban nhân dân xã Dân Chủ  tỉnh Hải Dương</v>
      </c>
      <c r="C8233" t="str">
        <v>-</v>
      </c>
      <c r="D8233" t="str">
        <v>-</v>
      </c>
      <c r="E8233" t="str">
        <v>-</v>
      </c>
      <c r="F8233" t="str">
        <v>-</v>
      </c>
      <c r="G8233" t="str">
        <v>-</v>
      </c>
    </row>
    <row r="8234">
      <c r="A8234">
        <v>8233</v>
      </c>
      <c r="B8234" t="str">
        <v>Công an xã Tân Kỳ  tỉnh Hải Dương</v>
      </c>
      <c r="C8234" t="str">
        <v>-</v>
      </c>
      <c r="D8234" t="str">
        <v>-</v>
      </c>
      <c r="E8234" t="str">
        <v/>
      </c>
      <c r="F8234" t="str">
        <v>-</v>
      </c>
      <c r="G8234" t="str">
        <v>-</v>
      </c>
    </row>
    <row r="8235">
      <c r="A8235">
        <v>8234</v>
      </c>
      <c r="B8235" t="str">
        <v>UBND Ủy ban nhân dân xã Tân Kỳ  tỉnh Hải Dương</v>
      </c>
      <c r="C8235" t="str">
        <v>-</v>
      </c>
      <c r="D8235" t="str">
        <v>-</v>
      </c>
      <c r="E8235" t="str">
        <v>-</v>
      </c>
      <c r="F8235" t="str">
        <v>-</v>
      </c>
      <c r="G8235" t="str">
        <v>-</v>
      </c>
    </row>
    <row r="8236">
      <c r="A8236">
        <v>8235</v>
      </c>
      <c r="B8236" t="str">
        <v>Công an xã Quang Khải  tỉnh Hải Dương</v>
      </c>
      <c r="C8236" t="str">
        <v>-</v>
      </c>
      <c r="D8236" t="str">
        <v>-</v>
      </c>
      <c r="E8236" t="str">
        <v/>
      </c>
      <c r="F8236" t="str">
        <v>-</v>
      </c>
      <c r="G8236" t="str">
        <v>-</v>
      </c>
    </row>
    <row r="8237">
      <c r="A8237">
        <v>8236</v>
      </c>
      <c r="B8237" t="str">
        <v>UBND Ủy ban nhân dân xã Quang Khải  tỉnh Hải Dương</v>
      </c>
      <c r="C8237" t="str">
        <v>-</v>
      </c>
      <c r="D8237" t="str">
        <v>-</v>
      </c>
      <c r="E8237" t="str">
        <v>-</v>
      </c>
      <c r="F8237" t="str">
        <v>-</v>
      </c>
      <c r="G8237" t="str">
        <v>-</v>
      </c>
    </row>
    <row r="8238">
      <c r="A8238">
        <v>8237</v>
      </c>
      <c r="B8238" t="str">
        <v>Công an xã Đại Hợp  tỉnh Hải Dương</v>
      </c>
      <c r="C8238" t="str">
        <v>-</v>
      </c>
      <c r="D8238" t="str">
        <v>-</v>
      </c>
      <c r="E8238" t="str">
        <v/>
      </c>
      <c r="F8238" t="str">
        <v>-</v>
      </c>
      <c r="G8238" t="str">
        <v>-</v>
      </c>
    </row>
    <row r="8239">
      <c r="A8239">
        <v>8238</v>
      </c>
      <c r="B8239" t="str">
        <v>UBND Ủy ban nhân dân xã Đại Hợp  tỉnh Hải Dương</v>
      </c>
      <c r="C8239" t="str">
        <v>-</v>
      </c>
      <c r="D8239" t="str">
        <v>-</v>
      </c>
      <c r="E8239" t="str">
        <v>-</v>
      </c>
      <c r="F8239" t="str">
        <v>-</v>
      </c>
      <c r="G8239" t="str">
        <v>-</v>
      </c>
    </row>
    <row r="8240">
      <c r="A8240">
        <v>8239</v>
      </c>
      <c r="B8240" t="str">
        <v>Công an xã Quảng Nghiệp  tỉnh Hải Dương</v>
      </c>
      <c r="C8240" t="str">
        <v>-</v>
      </c>
      <c r="D8240" t="str">
        <v>-</v>
      </c>
      <c r="E8240" t="str">
        <v/>
      </c>
      <c r="F8240" t="str">
        <v>-</v>
      </c>
      <c r="G8240" t="str">
        <v>-</v>
      </c>
    </row>
    <row r="8241">
      <c r="A8241">
        <v>8240</v>
      </c>
      <c r="B8241" t="str">
        <v>UBND Ủy ban nhân dân xã Quảng Nghiệp  tỉnh Hải Dương</v>
      </c>
      <c r="C8241" t="str">
        <v>-</v>
      </c>
      <c r="D8241" t="str">
        <v>-</v>
      </c>
      <c r="E8241" t="str">
        <v>-</v>
      </c>
      <c r="F8241" t="str">
        <v>-</v>
      </c>
      <c r="G8241" t="str">
        <v>-</v>
      </c>
    </row>
    <row r="8242">
      <c r="A8242">
        <v>8241</v>
      </c>
      <c r="B8242" t="str">
        <v>Công an xã An Thanh  tỉnh Hải Dương</v>
      </c>
      <c r="C8242" t="str">
        <v>-</v>
      </c>
      <c r="D8242" t="str">
        <v>-</v>
      </c>
      <c r="E8242" t="str">
        <v/>
      </c>
      <c r="F8242" t="str">
        <v>-</v>
      </c>
      <c r="G8242" t="str">
        <v>-</v>
      </c>
    </row>
    <row r="8243">
      <c r="A8243">
        <v>8242</v>
      </c>
      <c r="B8243" t="str">
        <v>UBND Ủy ban nhân dân xã An Thanh  tỉnh Hải Dương</v>
      </c>
      <c r="C8243" t="str">
        <v>-</v>
      </c>
      <c r="D8243" t="str">
        <v>-</v>
      </c>
      <c r="E8243" t="str">
        <v>-</v>
      </c>
      <c r="F8243" t="str">
        <v>-</v>
      </c>
      <c r="G8243" t="str">
        <v>-</v>
      </c>
    </row>
    <row r="8244">
      <c r="A8244">
        <v>8243</v>
      </c>
      <c r="B8244" t="str">
        <v>Công an xã Minh Đức  tỉnh Hải Dương</v>
      </c>
      <c r="C8244" t="str">
        <v>-</v>
      </c>
      <c r="D8244" t="str">
        <v>-</v>
      </c>
      <c r="E8244" t="str">
        <v/>
      </c>
      <c r="F8244" t="str">
        <v>-</v>
      </c>
      <c r="G8244" t="str">
        <v>-</v>
      </c>
    </row>
    <row r="8245">
      <c r="A8245">
        <v>8244</v>
      </c>
      <c r="B8245" t="str">
        <v>UBND Ủy ban nhân dân xã Minh Đức  tỉnh Hải Dương</v>
      </c>
      <c r="C8245" t="str">
        <v>-</v>
      </c>
      <c r="D8245" t="str">
        <v>-</v>
      </c>
      <c r="E8245" t="str">
        <v>-</v>
      </c>
      <c r="F8245" t="str">
        <v>-</v>
      </c>
      <c r="G8245" t="str">
        <v>-</v>
      </c>
    </row>
    <row r="8246">
      <c r="A8246">
        <v>8245</v>
      </c>
      <c r="B8246" t="str">
        <v>Công an xã Văn Tố  tỉnh Hải Dương</v>
      </c>
      <c r="C8246" t="str">
        <v>-</v>
      </c>
      <c r="D8246" t="str">
        <v>-</v>
      </c>
      <c r="E8246" t="str">
        <v/>
      </c>
      <c r="F8246" t="str">
        <v>-</v>
      </c>
      <c r="G8246" t="str">
        <v>-</v>
      </c>
    </row>
    <row r="8247">
      <c r="A8247">
        <v>8246</v>
      </c>
      <c r="B8247" t="str">
        <v>UBND Ủy ban nhân dân xã Văn Tố  tỉnh Hải Dương</v>
      </c>
      <c r="C8247" t="str">
        <v>-</v>
      </c>
      <c r="D8247" t="str">
        <v>-</v>
      </c>
      <c r="E8247" t="str">
        <v>-</v>
      </c>
      <c r="F8247" t="str">
        <v>-</v>
      </c>
      <c r="G8247" t="str">
        <v>-</v>
      </c>
    </row>
    <row r="8248">
      <c r="A8248">
        <v>8247</v>
      </c>
      <c r="B8248" t="str">
        <v>Công an xã Quang Trung  tỉnh Hải Dương</v>
      </c>
      <c r="C8248" t="str">
        <v>-</v>
      </c>
      <c r="D8248" t="str">
        <v>-</v>
      </c>
      <c r="E8248" t="str">
        <v/>
      </c>
      <c r="F8248" t="str">
        <v>-</v>
      </c>
      <c r="G8248" t="str">
        <v>-</v>
      </c>
    </row>
    <row r="8249">
      <c r="A8249">
        <v>8248</v>
      </c>
      <c r="B8249" t="str">
        <v>UBND Ủy ban nhân dân xã Quang Trung  tỉnh Hải Dương</v>
      </c>
      <c r="C8249" t="str">
        <v>-</v>
      </c>
      <c r="D8249" t="str">
        <v>-</v>
      </c>
      <c r="E8249" t="str">
        <v>-</v>
      </c>
      <c r="F8249" t="str">
        <v>-</v>
      </c>
      <c r="G8249" t="str">
        <v>-</v>
      </c>
    </row>
    <row r="8250">
      <c r="A8250">
        <v>8249</v>
      </c>
      <c r="B8250" t="str">
        <v>Công an xã Phượng Kỳ  tỉnh Hải Dương</v>
      </c>
      <c r="C8250" t="str">
        <v>-</v>
      </c>
      <c r="D8250" t="str">
        <v>-</v>
      </c>
      <c r="E8250" t="str">
        <v/>
      </c>
      <c r="F8250" t="str">
        <v>-</v>
      </c>
      <c r="G8250" t="str">
        <v>-</v>
      </c>
    </row>
    <row r="8251">
      <c r="A8251">
        <v>8250</v>
      </c>
      <c r="B8251" t="str">
        <v>UBND Ủy ban nhân dân xã Phượng Kỳ  tỉnh Hải Dương</v>
      </c>
      <c r="C8251" t="str">
        <v>-</v>
      </c>
      <c r="D8251" t="str">
        <v>-</v>
      </c>
      <c r="E8251" t="str">
        <v>-</v>
      </c>
      <c r="F8251" t="str">
        <v>-</v>
      </c>
      <c r="G8251" t="str">
        <v>-</v>
      </c>
    </row>
    <row r="8252">
      <c r="A8252">
        <v>8251</v>
      </c>
      <c r="B8252" t="str">
        <v>Công an xã Cộng Lạc  tỉnh Hải Dương</v>
      </c>
      <c r="C8252" t="str">
        <v>-</v>
      </c>
      <c r="D8252" t="str">
        <v>-</v>
      </c>
      <c r="E8252" t="str">
        <v/>
      </c>
      <c r="F8252" t="str">
        <v>-</v>
      </c>
      <c r="G8252" t="str">
        <v>-</v>
      </c>
    </row>
    <row r="8253">
      <c r="A8253">
        <v>8252</v>
      </c>
      <c r="B8253" t="str">
        <v>UBND Ủy ban nhân dân xã Cộng Lạc  tỉnh Hải Dương</v>
      </c>
      <c r="C8253" t="str">
        <v>-</v>
      </c>
      <c r="D8253" t="str">
        <v>-</v>
      </c>
      <c r="E8253" t="str">
        <v>-</v>
      </c>
      <c r="F8253" t="str">
        <v>-</v>
      </c>
      <c r="G8253" t="str">
        <v>-</v>
      </c>
    </row>
    <row r="8254">
      <c r="A8254">
        <v>8253</v>
      </c>
      <c r="B8254" t="str">
        <v>Công an xã Tiên Động  tỉnh Hải Dương</v>
      </c>
      <c r="C8254" t="str">
        <v>-</v>
      </c>
      <c r="D8254" t="str">
        <v>-</v>
      </c>
      <c r="E8254" t="str">
        <v/>
      </c>
      <c r="F8254" t="str">
        <v>-</v>
      </c>
      <c r="G8254" t="str">
        <v>-</v>
      </c>
    </row>
    <row r="8255">
      <c r="A8255">
        <v>8254</v>
      </c>
      <c r="B8255" t="str">
        <v>UBND Ủy ban nhân dân xã Tiên Động  tỉnh Hải Dương</v>
      </c>
      <c r="C8255" t="str">
        <v>-</v>
      </c>
      <c r="D8255" t="str">
        <v>-</v>
      </c>
      <c r="E8255" t="str">
        <v>-</v>
      </c>
      <c r="F8255" t="str">
        <v>-</v>
      </c>
      <c r="G8255" t="str">
        <v>-</v>
      </c>
    </row>
    <row r="8256">
      <c r="A8256">
        <v>8255</v>
      </c>
      <c r="B8256" t="str">
        <v>Công an xã Nguyên Giáp  tỉnh Hải Dương</v>
      </c>
      <c r="C8256" t="str">
        <v>-</v>
      </c>
      <c r="D8256" t="str">
        <v>-</v>
      </c>
      <c r="E8256" t="str">
        <v/>
      </c>
      <c r="F8256" t="str">
        <v>-</v>
      </c>
      <c r="G8256" t="str">
        <v>-</v>
      </c>
    </row>
    <row r="8257">
      <c r="A8257">
        <v>8256</v>
      </c>
      <c r="B8257" t="str">
        <v>UBND Ủy ban nhân dân xã Nguyên Giáp  tỉnh Hải Dương</v>
      </c>
      <c r="C8257" t="str">
        <v>-</v>
      </c>
      <c r="D8257" t="str">
        <v>-</v>
      </c>
      <c r="E8257" t="str">
        <v>-</v>
      </c>
      <c r="F8257" t="str">
        <v>-</v>
      </c>
      <c r="G8257" t="str">
        <v>-</v>
      </c>
    </row>
    <row r="8258">
      <c r="A8258">
        <v>8257</v>
      </c>
      <c r="B8258" t="str">
        <v>Công an xã Hà Kỳ  tỉnh Hải Dương</v>
      </c>
      <c r="C8258" t="str">
        <v>-</v>
      </c>
      <c r="D8258" t="str">
        <v>-</v>
      </c>
      <c r="E8258" t="str">
        <v/>
      </c>
      <c r="F8258" t="str">
        <v>-</v>
      </c>
      <c r="G8258" t="str">
        <v>-</v>
      </c>
    </row>
    <row r="8259">
      <c r="A8259">
        <v>8258</v>
      </c>
      <c r="B8259" t="str">
        <v>UBND Ủy ban nhân dân xã Hà Kỳ  tỉnh Hải Dương</v>
      </c>
      <c r="C8259" t="str">
        <v>-</v>
      </c>
      <c r="D8259" t="str">
        <v>-</v>
      </c>
      <c r="E8259" t="str">
        <v>-</v>
      </c>
      <c r="F8259" t="str">
        <v>-</v>
      </c>
      <c r="G8259" t="str">
        <v>-</v>
      </c>
    </row>
    <row r="8260">
      <c r="A8260">
        <v>8259</v>
      </c>
      <c r="B8260" t="str">
        <v>Công an xã Hà Thanh  tỉnh Hải Dương</v>
      </c>
      <c r="C8260" t="str">
        <v>-</v>
      </c>
      <c r="D8260" t="str">
        <v>-</v>
      </c>
      <c r="E8260" t="str">
        <v/>
      </c>
      <c r="F8260" t="str">
        <v>-</v>
      </c>
      <c r="G8260" t="str">
        <v>-</v>
      </c>
    </row>
    <row r="8261">
      <c r="A8261">
        <v>8260</v>
      </c>
      <c r="B8261" t="str">
        <v>UBND Ủy ban nhân dân xã Hà Thanh  tỉnh Hải Dương</v>
      </c>
      <c r="C8261" t="str">
        <v>-</v>
      </c>
      <c r="D8261" t="str">
        <v>-</v>
      </c>
      <c r="E8261" t="str">
        <v>-</v>
      </c>
      <c r="F8261" t="str">
        <v>-</v>
      </c>
      <c r="G8261" t="str">
        <v>-</v>
      </c>
    </row>
    <row r="8262">
      <c r="A8262">
        <v>8261</v>
      </c>
      <c r="B8262" t="str">
        <v>Công an thị trấn Ninh Giang  tỉnh Hải Dương</v>
      </c>
      <c r="C8262" t="str">
        <v>-</v>
      </c>
      <c r="D8262" t="str">
        <v>-</v>
      </c>
      <c r="E8262" t="str">
        <v/>
      </c>
      <c r="F8262" t="str">
        <v>-</v>
      </c>
      <c r="G8262" t="str">
        <v>-</v>
      </c>
    </row>
    <row r="8263">
      <c r="A8263">
        <v>8262</v>
      </c>
      <c r="B8263" t="str">
        <v>UBND Ủy ban nhân dân thị trấn Ninh Giang  tỉnh Hải Dương</v>
      </c>
      <c r="C8263" t="str">
        <v>-</v>
      </c>
      <c r="D8263" t="str">
        <v>-</v>
      </c>
      <c r="E8263" t="str">
        <v>-</v>
      </c>
      <c r="F8263" t="str">
        <v>-</v>
      </c>
      <c r="G8263" t="str">
        <v>-</v>
      </c>
    </row>
    <row r="8264">
      <c r="A8264">
        <v>8263</v>
      </c>
      <c r="B8264" t="str">
        <v>Công an xã Quyết Thắng  tỉnh Hải Dương</v>
      </c>
      <c r="C8264" t="str">
        <v>-</v>
      </c>
      <c r="D8264" t="str">
        <v>-</v>
      </c>
      <c r="E8264" t="str">
        <v/>
      </c>
      <c r="F8264" t="str">
        <v>-</v>
      </c>
      <c r="G8264" t="str">
        <v>-</v>
      </c>
    </row>
    <row r="8265">
      <c r="A8265">
        <v>8264</v>
      </c>
      <c r="B8265" t="str">
        <v>UBND Ủy ban nhân dân xã Quyết Thắng  tỉnh Hải Dương</v>
      </c>
      <c r="C8265" t="str">
        <v>-</v>
      </c>
      <c r="D8265" t="str">
        <v>-</v>
      </c>
      <c r="E8265" t="str">
        <v>-</v>
      </c>
      <c r="F8265" t="str">
        <v>-</v>
      </c>
      <c r="G8265" t="str">
        <v>-</v>
      </c>
    </row>
    <row r="8266">
      <c r="A8266">
        <v>8265</v>
      </c>
      <c r="B8266" t="str">
        <v>Công an xã Ứng Hoè  tỉnh Hải Dương</v>
      </c>
      <c r="C8266" t="str">
        <v>-</v>
      </c>
      <c r="D8266" t="str">
        <v>-</v>
      </c>
      <c r="E8266" t="str">
        <v/>
      </c>
      <c r="F8266" t="str">
        <v>-</v>
      </c>
      <c r="G8266" t="str">
        <v>-</v>
      </c>
    </row>
    <row r="8267">
      <c r="A8267">
        <v>8266</v>
      </c>
      <c r="B8267" t="str">
        <v>UBND Ủy ban nhân dân xã Ứng Hoè  tỉnh Hải Dương</v>
      </c>
      <c r="C8267" t="str">
        <v>-</v>
      </c>
      <c r="D8267" t="str">
        <v>-</v>
      </c>
      <c r="E8267" t="str">
        <v>-</v>
      </c>
      <c r="F8267" t="str">
        <v>-</v>
      </c>
      <c r="G8267" t="str">
        <v>-</v>
      </c>
    </row>
    <row r="8268">
      <c r="A8268">
        <v>8267</v>
      </c>
      <c r="B8268" t="str">
        <v>Công an xã Nghĩa An  tỉnh Hải Dương</v>
      </c>
      <c r="C8268" t="str">
        <v>-</v>
      </c>
      <c r="D8268" t="str">
        <v>-</v>
      </c>
      <c r="E8268" t="str">
        <v/>
      </c>
      <c r="F8268" t="str">
        <v>-</v>
      </c>
      <c r="G8268" t="str">
        <v>-</v>
      </c>
    </row>
    <row r="8269">
      <c r="A8269">
        <v>8268</v>
      </c>
      <c r="B8269" t="str">
        <v>UBND Ủy ban nhân dân xã Nghĩa An  tỉnh Hải Dương</v>
      </c>
      <c r="C8269" t="str">
        <v>-</v>
      </c>
      <c r="D8269" t="str">
        <v>-</v>
      </c>
      <c r="E8269" t="str">
        <v>-</v>
      </c>
      <c r="F8269" t="str">
        <v>-</v>
      </c>
      <c r="G8269" t="str">
        <v>-</v>
      </c>
    </row>
    <row r="8270">
      <c r="A8270">
        <v>8269</v>
      </c>
      <c r="B8270" t="str">
        <v>Công an xã Hồng Đức  tỉnh Hải Dương</v>
      </c>
      <c r="C8270" t="str">
        <v>-</v>
      </c>
      <c r="D8270" t="str">
        <v>-</v>
      </c>
      <c r="E8270" t="str">
        <v/>
      </c>
      <c r="F8270" t="str">
        <v>-</v>
      </c>
      <c r="G8270" t="str">
        <v>-</v>
      </c>
    </row>
    <row r="8271">
      <c r="A8271">
        <v>8270</v>
      </c>
      <c r="B8271" t="str">
        <v>UBND Ủy ban nhân dân xã Hồng Đức  tỉnh Hải Dương</v>
      </c>
      <c r="C8271" t="str">
        <v>-</v>
      </c>
      <c r="D8271" t="str">
        <v>-</v>
      </c>
      <c r="E8271" t="str">
        <v>-</v>
      </c>
      <c r="F8271" t="str">
        <v>-</v>
      </c>
      <c r="G8271" t="str">
        <v>-</v>
      </c>
    </row>
    <row r="8272">
      <c r="A8272">
        <v>8271</v>
      </c>
      <c r="B8272" t="str">
        <v>Công an xã Ninh Hòa  tỉnh Hải Dương</v>
      </c>
      <c r="C8272" t="str">
        <v>-</v>
      </c>
      <c r="D8272" t="str">
        <v>-</v>
      </c>
      <c r="E8272" t="str">
        <v/>
      </c>
      <c r="F8272" t="str">
        <v>-</v>
      </c>
      <c r="G8272" t="str">
        <v>-</v>
      </c>
    </row>
    <row r="8273">
      <c r="A8273">
        <v>8272</v>
      </c>
      <c r="B8273" t="str">
        <v>UBND Ủy ban nhân dân xã Ninh Hòa  tỉnh Hải Dương</v>
      </c>
      <c r="C8273" t="str">
        <v>-</v>
      </c>
      <c r="D8273" t="str">
        <v>-</v>
      </c>
      <c r="E8273" t="str">
        <v>-</v>
      </c>
      <c r="F8273" t="str">
        <v>-</v>
      </c>
      <c r="G8273" t="str">
        <v>-</v>
      </c>
    </row>
    <row r="8274">
      <c r="A8274">
        <v>8273</v>
      </c>
      <c r="B8274" t="str">
        <v>Công an xã An Đức  tỉnh Hải Dương</v>
      </c>
      <c r="C8274" t="str">
        <v>-</v>
      </c>
      <c r="D8274" t="str">
        <v>-</v>
      </c>
      <c r="E8274" t="str">
        <v/>
      </c>
      <c r="F8274" t="str">
        <v>-</v>
      </c>
      <c r="G8274" t="str">
        <v>-</v>
      </c>
    </row>
    <row r="8275">
      <c r="A8275">
        <v>8274</v>
      </c>
      <c r="B8275" t="str">
        <v>UBND Ủy ban nhân dân xã An Đức  tỉnh Hải Dương</v>
      </c>
      <c r="C8275" t="str">
        <v>-</v>
      </c>
      <c r="D8275" t="str">
        <v>-</v>
      </c>
      <c r="E8275" t="str">
        <v>-</v>
      </c>
      <c r="F8275" t="str">
        <v>-</v>
      </c>
      <c r="G8275" t="str">
        <v>-</v>
      </c>
    </row>
    <row r="8276">
      <c r="A8276">
        <v>8275</v>
      </c>
      <c r="B8276" t="str">
        <v>Công an xã Vạn Phúc  tỉnh Hải Dương</v>
      </c>
      <c r="C8276" t="str">
        <v>-</v>
      </c>
      <c r="D8276" t="str">
        <v>-</v>
      </c>
      <c r="E8276" t="str">
        <v/>
      </c>
      <c r="F8276" t="str">
        <v>-</v>
      </c>
      <c r="G8276" t="str">
        <v>-</v>
      </c>
    </row>
    <row r="8277">
      <c r="A8277">
        <v>8276</v>
      </c>
      <c r="B8277" t="str">
        <v>UBND Ủy ban nhân dân xã Vạn Phúc  tỉnh Hải Dương</v>
      </c>
      <c r="C8277" t="str">
        <v>-</v>
      </c>
      <c r="D8277" t="str">
        <v>-</v>
      </c>
      <c r="E8277" t="str">
        <v>-</v>
      </c>
      <c r="F8277" t="str">
        <v>-</v>
      </c>
      <c r="G8277" t="str">
        <v>-</v>
      </c>
    </row>
    <row r="8278">
      <c r="A8278">
        <v>8277</v>
      </c>
      <c r="B8278" t="str">
        <v>Công an xã Tân Hương  tỉnh Hải Dương</v>
      </c>
      <c r="C8278" t="str">
        <v>-</v>
      </c>
      <c r="D8278" t="str">
        <v>-</v>
      </c>
      <c r="E8278" t="str">
        <v/>
      </c>
      <c r="F8278" t="str">
        <v>-</v>
      </c>
      <c r="G8278" t="str">
        <v>-</v>
      </c>
    </row>
    <row r="8279">
      <c r="A8279">
        <v>8278</v>
      </c>
      <c r="B8279" t="str">
        <v>UBND Ủy ban nhân dân xã Tân Hương  tỉnh Hải Dương</v>
      </c>
      <c r="C8279" t="str">
        <v>-</v>
      </c>
      <c r="D8279" t="str">
        <v>-</v>
      </c>
      <c r="E8279" t="str">
        <v>-</v>
      </c>
      <c r="F8279" t="str">
        <v>-</v>
      </c>
      <c r="G8279" t="str">
        <v>-</v>
      </c>
    </row>
    <row r="8280">
      <c r="A8280">
        <v>8279</v>
      </c>
      <c r="B8280" t="str">
        <v>Công an xã Ninh Thành  tỉnh Hải Dương</v>
      </c>
      <c r="C8280" t="str">
        <v>-</v>
      </c>
      <c r="D8280" t="str">
        <v>-</v>
      </c>
      <c r="E8280" t="str">
        <v/>
      </c>
      <c r="F8280" t="str">
        <v>-</v>
      </c>
      <c r="G8280" t="str">
        <v>-</v>
      </c>
    </row>
    <row r="8281">
      <c r="A8281">
        <v>8280</v>
      </c>
      <c r="B8281" t="str">
        <v>UBND Ủy ban nhân dân xã Ninh Thành  tỉnh Hải Dương</v>
      </c>
      <c r="C8281" t="str">
        <v>-</v>
      </c>
      <c r="D8281" t="str">
        <v>-</v>
      </c>
      <c r="E8281" t="str">
        <v>-</v>
      </c>
      <c r="F8281" t="str">
        <v>-</v>
      </c>
      <c r="G8281" t="str">
        <v>-</v>
      </c>
    </row>
    <row r="8282">
      <c r="A8282">
        <v>8281</v>
      </c>
      <c r="B8282" t="str">
        <v>Công an xã Vĩnh Hòa  tỉnh Hải Dương</v>
      </c>
      <c r="C8282" t="str">
        <v>-</v>
      </c>
      <c r="D8282" t="str">
        <v>-</v>
      </c>
      <c r="E8282" t="str">
        <v/>
      </c>
      <c r="F8282" t="str">
        <v>-</v>
      </c>
      <c r="G8282" t="str">
        <v>-</v>
      </c>
    </row>
    <row r="8283">
      <c r="A8283">
        <v>8282</v>
      </c>
      <c r="B8283" t="str">
        <v>UBND Ủy ban nhân dân xã Vĩnh Hòa  tỉnh Hải Dương</v>
      </c>
      <c r="C8283" t="str">
        <v>-</v>
      </c>
      <c r="D8283" t="str">
        <v>-</v>
      </c>
      <c r="E8283" t="str">
        <v>-</v>
      </c>
      <c r="F8283" t="str">
        <v>-</v>
      </c>
      <c r="G8283" t="str">
        <v>-</v>
      </c>
    </row>
    <row r="8284">
      <c r="A8284">
        <v>8283</v>
      </c>
      <c r="B8284" t="str">
        <v>Công an xã Đông Xuyên  tỉnh Hải Dương</v>
      </c>
      <c r="C8284" t="str">
        <v>-</v>
      </c>
      <c r="D8284" t="str">
        <v>-</v>
      </c>
      <c r="E8284" t="str">
        <v/>
      </c>
      <c r="F8284" t="str">
        <v>-</v>
      </c>
      <c r="G8284" t="str">
        <v>-</v>
      </c>
    </row>
    <row r="8285">
      <c r="A8285">
        <v>8284</v>
      </c>
      <c r="B8285" t="str">
        <v>UBND Ủy ban nhân dân xã Đông Xuyên  tỉnh Hải Dương</v>
      </c>
      <c r="C8285" t="str">
        <v>-</v>
      </c>
      <c r="D8285" t="str">
        <v>-</v>
      </c>
      <c r="E8285" t="str">
        <v>-</v>
      </c>
      <c r="F8285" t="str">
        <v>-</v>
      </c>
      <c r="G8285" t="str">
        <v>-</v>
      </c>
    </row>
    <row r="8286">
      <c r="A8286">
        <v>8285</v>
      </c>
      <c r="B8286" t="str">
        <v>Công an xã Hoàng Hanh  tỉnh Hải Dương</v>
      </c>
      <c r="C8286" t="str">
        <v>-</v>
      </c>
      <c r="D8286" t="str">
        <v>-</v>
      </c>
      <c r="E8286" t="str">
        <v/>
      </c>
      <c r="F8286" t="str">
        <v>-</v>
      </c>
      <c r="G8286" t="str">
        <v>-</v>
      </c>
    </row>
    <row r="8287">
      <c r="A8287">
        <v>8286</v>
      </c>
      <c r="B8287" t="str">
        <v>UBND Ủy ban nhân dân xã Hoàng Hanh  tỉnh Hải Dương</v>
      </c>
      <c r="C8287" t="str">
        <v>-</v>
      </c>
      <c r="D8287" t="str">
        <v>-</v>
      </c>
      <c r="E8287" t="str">
        <v>-</v>
      </c>
      <c r="F8287" t="str">
        <v>-</v>
      </c>
      <c r="G8287" t="str">
        <v>-</v>
      </c>
    </row>
    <row r="8288">
      <c r="A8288">
        <v>8287</v>
      </c>
      <c r="B8288" t="str">
        <v>Công an xã Quang Hưng  tỉnh Hải Dương</v>
      </c>
      <c r="C8288" t="str">
        <v>-</v>
      </c>
      <c r="D8288" t="str">
        <v>-</v>
      </c>
      <c r="E8288" t="str">
        <v/>
      </c>
      <c r="F8288" t="str">
        <v>-</v>
      </c>
      <c r="G8288" t="str">
        <v>-</v>
      </c>
    </row>
    <row r="8289">
      <c r="A8289">
        <v>8288</v>
      </c>
      <c r="B8289" t="str">
        <v>UBND Ủy ban nhân dân xã Quang Hưng  tỉnh Hải Dương</v>
      </c>
      <c r="C8289" t="str">
        <v>-</v>
      </c>
      <c r="D8289" t="str">
        <v>-</v>
      </c>
      <c r="E8289" t="str">
        <v>-</v>
      </c>
      <c r="F8289" t="str">
        <v>-</v>
      </c>
      <c r="G8289" t="str">
        <v>-</v>
      </c>
    </row>
    <row r="8290">
      <c r="A8290">
        <v>8289</v>
      </c>
      <c r="B8290" t="str">
        <v>Công an xã Tân Phong  tỉnh Hải Dương</v>
      </c>
      <c r="C8290" t="str">
        <v>-</v>
      </c>
      <c r="D8290" t="str">
        <v>-</v>
      </c>
      <c r="E8290" t="str">
        <v/>
      </c>
      <c r="F8290" t="str">
        <v>-</v>
      </c>
      <c r="G8290" t="str">
        <v>-</v>
      </c>
    </row>
    <row r="8291">
      <c r="A8291">
        <v>8290</v>
      </c>
      <c r="B8291" t="str">
        <v>UBND Ủy ban nhân dân xã Tân Phong  tỉnh Hải Dương</v>
      </c>
      <c r="C8291" t="str">
        <v>-</v>
      </c>
      <c r="D8291" t="str">
        <v>-</v>
      </c>
      <c r="E8291" t="str">
        <v>-</v>
      </c>
      <c r="F8291" t="str">
        <v>-</v>
      </c>
      <c r="G8291" t="str">
        <v>-</v>
      </c>
    </row>
    <row r="8292">
      <c r="A8292">
        <v>8291</v>
      </c>
      <c r="B8292" t="str">
        <v>Công an xã Ninh Hải  tỉnh Hải Dương</v>
      </c>
      <c r="C8292" t="str">
        <v>-</v>
      </c>
      <c r="D8292" t="str">
        <v>-</v>
      </c>
      <c r="E8292" t="str">
        <v/>
      </c>
      <c r="F8292" t="str">
        <v>-</v>
      </c>
      <c r="G8292" t="str">
        <v>-</v>
      </c>
    </row>
    <row r="8293">
      <c r="A8293">
        <v>8292</v>
      </c>
      <c r="B8293" t="str">
        <v>UBND Ủy ban nhân dân xã Ninh Hải  tỉnh Hải Dương</v>
      </c>
      <c r="C8293" t="str">
        <v>-</v>
      </c>
      <c r="D8293" t="str">
        <v>-</v>
      </c>
      <c r="E8293" t="str">
        <v>-</v>
      </c>
      <c r="F8293" t="str">
        <v>-</v>
      </c>
      <c r="G8293" t="str">
        <v>-</v>
      </c>
    </row>
    <row r="8294">
      <c r="A8294">
        <v>8293</v>
      </c>
      <c r="B8294" t="str">
        <v>Công an xã Đồng Tâm  tỉnh Hải Dương</v>
      </c>
      <c r="C8294" t="str">
        <v>-</v>
      </c>
      <c r="D8294" t="str">
        <v>-</v>
      </c>
      <c r="E8294" t="str">
        <v/>
      </c>
      <c r="F8294" t="str">
        <v>-</v>
      </c>
      <c r="G8294" t="str">
        <v>-</v>
      </c>
    </row>
    <row r="8295">
      <c r="A8295">
        <v>8294</v>
      </c>
      <c r="B8295" t="str">
        <v>UBND Ủy ban nhân dân xã Đồng Tâm  tỉnh Hải Dương</v>
      </c>
      <c r="C8295" t="str">
        <v>-</v>
      </c>
      <c r="D8295" t="str">
        <v>-</v>
      </c>
      <c r="E8295" t="str">
        <v>-</v>
      </c>
      <c r="F8295" t="str">
        <v>-</v>
      </c>
      <c r="G8295" t="str">
        <v>-</v>
      </c>
    </row>
    <row r="8296">
      <c r="A8296">
        <v>8295</v>
      </c>
      <c r="B8296" t="str">
        <v>Công an xã Tân Quang  tỉnh Hải Dương</v>
      </c>
      <c r="C8296" t="str">
        <v>-</v>
      </c>
      <c r="D8296" t="str">
        <v>-</v>
      </c>
      <c r="E8296" t="str">
        <v/>
      </c>
      <c r="F8296" t="str">
        <v>-</v>
      </c>
      <c r="G8296" t="str">
        <v>-</v>
      </c>
    </row>
    <row r="8297">
      <c r="A8297">
        <v>8296</v>
      </c>
      <c r="B8297" t="str">
        <v>UBND Ủy ban nhân dân xã Tân Quang  tỉnh Hải Dương</v>
      </c>
      <c r="C8297" t="str">
        <v>-</v>
      </c>
      <c r="D8297" t="str">
        <v>-</v>
      </c>
      <c r="E8297" t="str">
        <v>-</v>
      </c>
      <c r="F8297" t="str">
        <v>-</v>
      </c>
      <c r="G8297" t="str">
        <v>-</v>
      </c>
    </row>
    <row r="8298">
      <c r="A8298">
        <v>8297</v>
      </c>
      <c r="B8298" t="str">
        <v>Công an xã Kiến Quốc  tỉnh Hải Dương</v>
      </c>
      <c r="C8298" t="str">
        <v>-</v>
      </c>
      <c r="D8298" t="str">
        <v>-</v>
      </c>
      <c r="E8298" t="str">
        <v/>
      </c>
      <c r="F8298" t="str">
        <v>-</v>
      </c>
      <c r="G8298" t="str">
        <v>-</v>
      </c>
    </row>
    <row r="8299">
      <c r="A8299">
        <v>8298</v>
      </c>
      <c r="B8299" t="str">
        <v>UBND Ủy ban nhân dân xã Kiến Quốc  tỉnh Hải Dương</v>
      </c>
      <c r="C8299" t="str">
        <v>-</v>
      </c>
      <c r="D8299" t="str">
        <v>-</v>
      </c>
      <c r="E8299" t="str">
        <v>-</v>
      </c>
      <c r="F8299" t="str">
        <v>-</v>
      </c>
      <c r="G8299" t="str">
        <v>-</v>
      </c>
    </row>
    <row r="8300">
      <c r="A8300">
        <v>8299</v>
      </c>
      <c r="B8300" t="str">
        <v>Công an xã Hồng Thái  tỉnh Hải Dương</v>
      </c>
      <c r="C8300" t="str">
        <v>-</v>
      </c>
      <c r="D8300" t="str">
        <v>-</v>
      </c>
      <c r="E8300" t="str">
        <v/>
      </c>
      <c r="F8300" t="str">
        <v>-</v>
      </c>
      <c r="G8300" t="str">
        <v>-</v>
      </c>
    </row>
    <row r="8301">
      <c r="A8301">
        <v>8300</v>
      </c>
      <c r="B8301" t="str">
        <v>UBND Ủy ban nhân dân xã Hồng Thái  tỉnh Hải Dương</v>
      </c>
      <c r="C8301" t="str">
        <v>-</v>
      </c>
      <c r="D8301" t="str">
        <v>-</v>
      </c>
      <c r="E8301" t="str">
        <v>-</v>
      </c>
      <c r="F8301" t="str">
        <v>-</v>
      </c>
      <c r="G8301" t="str">
        <v>-</v>
      </c>
    </row>
    <row r="8302">
      <c r="A8302">
        <v>8301</v>
      </c>
      <c r="B8302" t="str">
        <v>Công an xã Hồng Dụ  tỉnh Hải Dương</v>
      </c>
      <c r="C8302" t="str">
        <v>-</v>
      </c>
      <c r="D8302" t="str">
        <v>-</v>
      </c>
      <c r="E8302" t="str">
        <v/>
      </c>
      <c r="F8302" t="str">
        <v>-</v>
      </c>
      <c r="G8302" t="str">
        <v>-</v>
      </c>
    </row>
    <row r="8303">
      <c r="A8303">
        <v>8302</v>
      </c>
      <c r="B8303" t="str">
        <v>UBND Ủy ban nhân dân xã Hồng Dụ  tỉnh Hải Dương</v>
      </c>
      <c r="C8303" t="str">
        <v>-</v>
      </c>
      <c r="D8303" t="str">
        <v>-</v>
      </c>
      <c r="E8303" t="str">
        <v>-</v>
      </c>
      <c r="F8303" t="str">
        <v>-</v>
      </c>
      <c r="G8303" t="str">
        <v>-</v>
      </c>
    </row>
    <row r="8304">
      <c r="A8304">
        <v>8303</v>
      </c>
      <c r="B8304" t="str">
        <v>Công an xã Văn Hội  tỉnh Hải Dương</v>
      </c>
      <c r="C8304" t="str">
        <v>-</v>
      </c>
      <c r="D8304" t="str">
        <v>-</v>
      </c>
      <c r="E8304" t="str">
        <v/>
      </c>
      <c r="F8304" t="str">
        <v>-</v>
      </c>
      <c r="G8304" t="str">
        <v>-</v>
      </c>
    </row>
    <row r="8305">
      <c r="A8305">
        <v>8304</v>
      </c>
      <c r="B8305" t="str">
        <v>UBND Ủy ban nhân dân xã Văn Hội  tỉnh Hải Dương</v>
      </c>
      <c r="C8305" t="str">
        <v>-</v>
      </c>
      <c r="D8305" t="str">
        <v>-</v>
      </c>
      <c r="E8305" t="str">
        <v>-</v>
      </c>
      <c r="F8305" t="str">
        <v>-</v>
      </c>
      <c r="G8305" t="str">
        <v>-</v>
      </c>
    </row>
    <row r="8306">
      <c r="A8306">
        <v>8305</v>
      </c>
      <c r="B8306" t="str">
        <v>Công an xã Hưng Thái  tỉnh Hải Dương</v>
      </c>
      <c r="C8306" t="str">
        <v>-</v>
      </c>
      <c r="D8306" t="str">
        <v>-</v>
      </c>
      <c r="E8306" t="str">
        <v/>
      </c>
      <c r="F8306" t="str">
        <v>-</v>
      </c>
      <c r="G8306" t="str">
        <v>-</v>
      </c>
    </row>
    <row r="8307">
      <c r="A8307">
        <v>8306</v>
      </c>
      <c r="B8307" t="str">
        <v>UBND Ủy ban nhân dân xã Hưng Thái  tỉnh Hải Dương</v>
      </c>
      <c r="C8307" t="str">
        <v>-</v>
      </c>
      <c r="D8307" t="str">
        <v>-</v>
      </c>
      <c r="E8307" t="str">
        <v>-</v>
      </c>
      <c r="F8307" t="str">
        <v>-</v>
      </c>
      <c r="G8307" t="str">
        <v>-</v>
      </c>
    </row>
    <row r="8308">
      <c r="A8308">
        <v>8307</v>
      </c>
      <c r="B8308" t="str">
        <v>Công an xã Hồng Phong  tỉnh Hải Dương</v>
      </c>
      <c r="C8308" t="str">
        <v>-</v>
      </c>
      <c r="D8308" t="str">
        <v>-</v>
      </c>
      <c r="E8308" t="str">
        <v/>
      </c>
      <c r="F8308" t="str">
        <v>-</v>
      </c>
      <c r="G8308" t="str">
        <v>-</v>
      </c>
    </row>
    <row r="8309">
      <c r="A8309">
        <v>8308</v>
      </c>
      <c r="B8309" t="str">
        <v>UBND Ủy ban nhân dân xã Hồng Phong  tỉnh Hải Dương</v>
      </c>
      <c r="C8309" t="str">
        <v>-</v>
      </c>
      <c r="D8309" t="str">
        <v>-</v>
      </c>
      <c r="E8309" t="str">
        <v>-</v>
      </c>
      <c r="F8309" t="str">
        <v>-</v>
      </c>
      <c r="G8309" t="str">
        <v>-</v>
      </c>
    </row>
    <row r="8310">
      <c r="A8310">
        <v>8309</v>
      </c>
      <c r="B8310" t="str">
        <v>Công an xã Hiệp Lực  tỉnh Hải Dương</v>
      </c>
      <c r="C8310" t="str">
        <v>-</v>
      </c>
      <c r="D8310" t="str">
        <v>-</v>
      </c>
      <c r="E8310" t="str">
        <v/>
      </c>
      <c r="F8310" t="str">
        <v>-</v>
      </c>
      <c r="G8310" t="str">
        <v>-</v>
      </c>
    </row>
    <row r="8311">
      <c r="A8311">
        <v>8310</v>
      </c>
      <c r="B8311" t="str">
        <v>UBND Ủy ban nhân dân xã Hiệp Lực  tỉnh Hải Dương</v>
      </c>
      <c r="C8311" t="str">
        <v>-</v>
      </c>
      <c r="D8311" t="str">
        <v>-</v>
      </c>
      <c r="E8311" t="str">
        <v>-</v>
      </c>
      <c r="F8311" t="str">
        <v>-</v>
      </c>
      <c r="G8311" t="str">
        <v>-</v>
      </c>
    </row>
    <row r="8312">
      <c r="A8312">
        <v>8311</v>
      </c>
      <c r="B8312" t="str">
        <v>Công an xã Hồng Phúc  tỉnh Hải Dương</v>
      </c>
      <c r="C8312" t="str">
        <v>-</v>
      </c>
      <c r="D8312" t="str">
        <v>-</v>
      </c>
      <c r="E8312" t="str">
        <v/>
      </c>
      <c r="F8312" t="str">
        <v>-</v>
      </c>
      <c r="G8312" t="str">
        <v>-</v>
      </c>
    </row>
    <row r="8313">
      <c r="A8313">
        <v>8312</v>
      </c>
      <c r="B8313" t="str">
        <v>UBND Ủy ban nhân dân xã Hồng Phúc  tỉnh Hải Dương</v>
      </c>
      <c r="C8313" t="str">
        <v>-</v>
      </c>
      <c r="D8313" t="str">
        <v>-</v>
      </c>
      <c r="E8313" t="str">
        <v>-</v>
      </c>
      <c r="F8313" t="str">
        <v>-</v>
      </c>
      <c r="G8313" t="str">
        <v>-</v>
      </c>
    </row>
    <row r="8314">
      <c r="A8314">
        <v>8313</v>
      </c>
      <c r="B8314" t="str">
        <v>Công an xã Hưng Long  tỉnh Hải Dương</v>
      </c>
      <c r="C8314" t="str">
        <v>-</v>
      </c>
      <c r="D8314" t="str">
        <v>-</v>
      </c>
      <c r="E8314" t="str">
        <v/>
      </c>
      <c r="F8314" t="str">
        <v>-</v>
      </c>
      <c r="G8314" t="str">
        <v>-</v>
      </c>
    </row>
    <row r="8315">
      <c r="A8315">
        <v>8314</v>
      </c>
      <c r="B8315" t="str">
        <v>UBND Ủy ban nhân dân xã Hưng Long  tỉnh Hải Dương</v>
      </c>
      <c r="C8315" t="str">
        <v>-</v>
      </c>
      <c r="D8315" t="str">
        <v>-</v>
      </c>
      <c r="E8315" t="str">
        <v>-</v>
      </c>
      <c r="F8315" t="str">
        <v>-</v>
      </c>
      <c r="G8315" t="str">
        <v>-</v>
      </c>
    </row>
    <row r="8316">
      <c r="A8316">
        <v>8315</v>
      </c>
      <c r="B8316" t="str">
        <v>Công an xã Văn Giang  tỉnh Hải Dương</v>
      </c>
      <c r="C8316" t="str">
        <v>-</v>
      </c>
      <c r="D8316" t="str">
        <v>-</v>
      </c>
      <c r="E8316" t="str">
        <v/>
      </c>
      <c r="F8316" t="str">
        <v>-</v>
      </c>
      <c r="G8316" t="str">
        <v>-</v>
      </c>
    </row>
    <row r="8317">
      <c r="A8317">
        <v>8316</v>
      </c>
      <c r="B8317" t="str">
        <v>UBND Ủy ban nhân dân xã Văn Giang  tỉnh Hải Dương</v>
      </c>
      <c r="C8317" t="str">
        <v>-</v>
      </c>
      <c r="D8317" t="str">
        <v>-</v>
      </c>
      <c r="E8317" t="str">
        <v>-</v>
      </c>
      <c r="F8317" t="str">
        <v>-</v>
      </c>
      <c r="G8317" t="str">
        <v>-</v>
      </c>
    </row>
    <row r="8318">
      <c r="A8318">
        <v>8317</v>
      </c>
      <c r="B8318" t="str">
        <v>Công an thị trấn Thanh Miện  tỉnh Hải Dương</v>
      </c>
      <c r="C8318" t="str">
        <v>-</v>
      </c>
      <c r="D8318" t="str">
        <v>-</v>
      </c>
      <c r="E8318" t="str">
        <v/>
      </c>
      <c r="F8318" t="str">
        <v>-</v>
      </c>
      <c r="G8318" t="str">
        <v>-</v>
      </c>
    </row>
    <row r="8319">
      <c r="A8319">
        <v>8318</v>
      </c>
      <c r="B8319" t="str">
        <v>UBND Ủy ban nhân dân thị trấn Thanh Miện  tỉnh Hải Dương</v>
      </c>
      <c r="C8319" t="str">
        <v>-</v>
      </c>
      <c r="D8319" t="str">
        <v>-</v>
      </c>
      <c r="E8319" t="str">
        <v>-</v>
      </c>
      <c r="F8319" t="str">
        <v>-</v>
      </c>
      <c r="G8319" t="str">
        <v>-</v>
      </c>
    </row>
    <row r="8320">
      <c r="A8320">
        <v>8319</v>
      </c>
      <c r="B8320" t="str">
        <v>Công an xã Thanh Tùng  tỉnh Hải Dương</v>
      </c>
      <c r="C8320" t="str">
        <v>-</v>
      </c>
      <c r="D8320" t="str">
        <v>-</v>
      </c>
      <c r="E8320" t="str">
        <v/>
      </c>
      <c r="F8320" t="str">
        <v>-</v>
      </c>
      <c r="G8320" t="str">
        <v>-</v>
      </c>
    </row>
    <row r="8321">
      <c r="A8321">
        <v>8320</v>
      </c>
      <c r="B8321" t="str">
        <v>UBND Ủy ban nhân dân xã Thanh Tùng  tỉnh Hải Dương</v>
      </c>
      <c r="C8321" t="str">
        <v>-</v>
      </c>
      <c r="D8321" t="str">
        <v>-</v>
      </c>
      <c r="E8321" t="str">
        <v>-</v>
      </c>
      <c r="F8321" t="str">
        <v>-</v>
      </c>
      <c r="G8321" t="str">
        <v>-</v>
      </c>
    </row>
    <row r="8322">
      <c r="A8322">
        <v>8321</v>
      </c>
      <c r="B8322" t="str">
        <v>Công an xã Phạm Kha  tỉnh Hải Dương</v>
      </c>
      <c r="C8322" t="str">
        <v>-</v>
      </c>
      <c r="D8322" t="str">
        <v>-</v>
      </c>
      <c r="E8322" t="str">
        <v/>
      </c>
      <c r="F8322" t="str">
        <v>-</v>
      </c>
      <c r="G8322" t="str">
        <v>-</v>
      </c>
    </row>
    <row r="8323">
      <c r="A8323">
        <v>8322</v>
      </c>
      <c r="B8323" t="str">
        <v>UBND Ủy ban nhân dân xã Phạm Kha  tỉnh Hải Dương</v>
      </c>
      <c r="C8323" t="str">
        <v>-</v>
      </c>
      <c r="D8323" t="str">
        <v>-</v>
      </c>
      <c r="E8323" t="str">
        <v>-</v>
      </c>
      <c r="F8323" t="str">
        <v>-</v>
      </c>
      <c r="G8323" t="str">
        <v>-</v>
      </c>
    </row>
    <row r="8324">
      <c r="A8324">
        <v>8323</v>
      </c>
      <c r="B8324" t="str">
        <v>Công an xã Ngô Quyền  tỉnh Hải Dương</v>
      </c>
      <c r="C8324" t="str">
        <v>-</v>
      </c>
      <c r="D8324" t="str">
        <v>-</v>
      </c>
      <c r="E8324" t="str">
        <v/>
      </c>
      <c r="F8324" t="str">
        <v>-</v>
      </c>
      <c r="G8324" t="str">
        <v>-</v>
      </c>
    </row>
    <row r="8325">
      <c r="A8325">
        <v>8324</v>
      </c>
      <c r="B8325" t="str">
        <v>UBND Ủy ban nhân dân xã Ngô Quyền  tỉnh Hải Dương</v>
      </c>
      <c r="C8325" t="str">
        <v>-</v>
      </c>
      <c r="D8325" t="str">
        <v>-</v>
      </c>
      <c r="E8325" t="str">
        <v>-</v>
      </c>
      <c r="F8325" t="str">
        <v>-</v>
      </c>
      <c r="G8325" t="str">
        <v>-</v>
      </c>
    </row>
    <row r="8326">
      <c r="A8326">
        <v>8325</v>
      </c>
      <c r="B8326" t="str">
        <v>Công an xã Đoàn Tùng  tỉnh Hải Dương</v>
      </c>
      <c r="C8326" t="str">
        <v>-</v>
      </c>
      <c r="D8326" t="str">
        <v>-</v>
      </c>
      <c r="E8326" t="str">
        <v/>
      </c>
      <c r="F8326" t="str">
        <v>-</v>
      </c>
      <c r="G8326" t="str">
        <v>-</v>
      </c>
    </row>
    <row r="8327">
      <c r="A8327">
        <v>8326</v>
      </c>
      <c r="B8327" t="str">
        <v>UBND Ủy ban nhân dân xã Đoàn Tùng  tỉnh Hải Dương</v>
      </c>
      <c r="C8327" t="str">
        <v>-</v>
      </c>
      <c r="D8327" t="str">
        <v>-</v>
      </c>
      <c r="E8327" t="str">
        <v>-</v>
      </c>
      <c r="F8327" t="str">
        <v>-</v>
      </c>
      <c r="G8327" t="str">
        <v>-</v>
      </c>
    </row>
    <row r="8328">
      <c r="A8328">
        <v>8327</v>
      </c>
      <c r="B8328" t="str">
        <v>Công an xã Hồng Quang  tỉnh Hải Dương</v>
      </c>
      <c r="C8328" t="str">
        <v>-</v>
      </c>
      <c r="D8328" t="str">
        <v>-</v>
      </c>
      <c r="E8328" t="str">
        <v/>
      </c>
      <c r="F8328" t="str">
        <v>-</v>
      </c>
      <c r="G8328" t="str">
        <v>-</v>
      </c>
    </row>
    <row r="8329">
      <c r="A8329">
        <v>8328</v>
      </c>
      <c r="B8329" t="str">
        <v>UBND Ủy ban nhân dân xã Hồng Quang  tỉnh Hải Dương</v>
      </c>
      <c r="C8329" t="str">
        <v>-</v>
      </c>
      <c r="D8329" t="str">
        <v>-</v>
      </c>
      <c r="E8329" t="str">
        <v>-</v>
      </c>
      <c r="F8329" t="str">
        <v>-</v>
      </c>
      <c r="G8329" t="str">
        <v>-</v>
      </c>
    </row>
    <row r="8330">
      <c r="A8330">
        <v>8329</v>
      </c>
      <c r="B8330" t="str">
        <v>Công an xã Tân Trào  tỉnh Hải Dương</v>
      </c>
      <c r="C8330" t="str">
        <v>-</v>
      </c>
      <c r="D8330" t="str">
        <v>-</v>
      </c>
      <c r="E8330" t="str">
        <v/>
      </c>
      <c r="F8330" t="str">
        <v>-</v>
      </c>
      <c r="G8330" t="str">
        <v>-</v>
      </c>
    </row>
    <row r="8331">
      <c r="A8331">
        <v>8330</v>
      </c>
      <c r="B8331" t="str">
        <v>UBND Ủy ban nhân dân xã Tân Trào  tỉnh Hải Dương</v>
      </c>
      <c r="C8331" t="str">
        <v>-</v>
      </c>
      <c r="D8331" t="str">
        <v>-</v>
      </c>
      <c r="E8331" t="str">
        <v>-</v>
      </c>
      <c r="F8331" t="str">
        <v>-</v>
      </c>
      <c r="G8331" t="str">
        <v>-</v>
      </c>
    </row>
    <row r="8332">
      <c r="A8332">
        <v>8331</v>
      </c>
      <c r="B8332" t="str">
        <v>Công an xã Lam Sơn  tỉnh Hải Dương</v>
      </c>
      <c r="C8332" t="str">
        <v>-</v>
      </c>
      <c r="D8332" t="str">
        <v>-</v>
      </c>
      <c r="E8332" t="str">
        <v/>
      </c>
      <c r="F8332" t="str">
        <v>-</v>
      </c>
      <c r="G8332" t="str">
        <v>-</v>
      </c>
    </row>
    <row r="8333">
      <c r="A8333">
        <v>8332</v>
      </c>
      <c r="B8333" t="str">
        <v>UBND Ủy ban nhân dân xã Lam Sơn  tỉnh Hải Dương</v>
      </c>
      <c r="C8333" t="str">
        <v>-</v>
      </c>
      <c r="D8333" t="str">
        <v>-</v>
      </c>
      <c r="E8333" t="str">
        <v>-</v>
      </c>
      <c r="F8333" t="str">
        <v>-</v>
      </c>
      <c r="G8333" t="str">
        <v>-</v>
      </c>
    </row>
    <row r="8334">
      <c r="A8334">
        <v>8333</v>
      </c>
      <c r="B8334" t="str">
        <v>Công an xã Đoàn Kết  tỉnh Hải Dương</v>
      </c>
      <c r="C8334" t="str">
        <v>-</v>
      </c>
      <c r="D8334" t="str">
        <v>-</v>
      </c>
      <c r="E8334" t="str">
        <v/>
      </c>
      <c r="F8334" t="str">
        <v>-</v>
      </c>
      <c r="G8334" t="str">
        <v>-</v>
      </c>
    </row>
    <row r="8335">
      <c r="A8335">
        <v>8334</v>
      </c>
      <c r="B8335" t="str">
        <v>UBND Ủy ban nhân dân xã Đoàn Kết  tỉnh Hải Dương</v>
      </c>
      <c r="C8335" t="str">
        <v>-</v>
      </c>
      <c r="D8335" t="str">
        <v>-</v>
      </c>
      <c r="E8335" t="str">
        <v>-</v>
      </c>
      <c r="F8335" t="str">
        <v>-</v>
      </c>
      <c r="G8335" t="str">
        <v>-</v>
      </c>
    </row>
    <row r="8336">
      <c r="A8336">
        <v>8335</v>
      </c>
      <c r="B8336" t="str">
        <v>Công an xã Lê Hồng  tỉnh Hải Dương</v>
      </c>
      <c r="C8336" t="str">
        <v>-</v>
      </c>
      <c r="D8336" t="str">
        <v>-</v>
      </c>
      <c r="E8336" t="str">
        <v/>
      </c>
      <c r="F8336" t="str">
        <v>-</v>
      </c>
      <c r="G8336" t="str">
        <v>-</v>
      </c>
    </row>
    <row r="8337">
      <c r="A8337">
        <v>8336</v>
      </c>
      <c r="B8337" t="str">
        <v>UBND Ủy ban nhân dân xã Lê Hồng  tỉnh Hải Dương</v>
      </c>
      <c r="C8337" t="str">
        <v>-</v>
      </c>
      <c r="D8337" t="str">
        <v>-</v>
      </c>
      <c r="E8337" t="str">
        <v>-</v>
      </c>
      <c r="F8337" t="str">
        <v>-</v>
      </c>
      <c r="G8337" t="str">
        <v>-</v>
      </c>
    </row>
    <row r="8338">
      <c r="A8338">
        <v>8337</v>
      </c>
      <c r="B8338" t="str">
        <v>Công an xã Tứ Cường  tỉnh Hải Dương</v>
      </c>
      <c r="C8338" t="str">
        <v>-</v>
      </c>
      <c r="D8338" t="str">
        <v>-</v>
      </c>
      <c r="E8338" t="str">
        <v/>
      </c>
      <c r="F8338" t="str">
        <v>-</v>
      </c>
      <c r="G8338" t="str">
        <v>-</v>
      </c>
    </row>
    <row r="8339">
      <c r="A8339">
        <v>8338</v>
      </c>
      <c r="B8339" t="str">
        <v>UBND Ủy ban nhân dân xã Tứ Cường  tỉnh Hải Dương</v>
      </c>
      <c r="C8339" t="str">
        <v>-</v>
      </c>
      <c r="D8339" t="str">
        <v>-</v>
      </c>
      <c r="E8339" t="str">
        <v>-</v>
      </c>
      <c r="F8339" t="str">
        <v>-</v>
      </c>
      <c r="G8339" t="str">
        <v>-</v>
      </c>
    </row>
    <row r="8340">
      <c r="A8340">
        <v>8339</v>
      </c>
      <c r="B8340" t="str">
        <v>Công an xã Hùng Sơn  tỉnh Hải Dương</v>
      </c>
      <c r="C8340" t="str">
        <v>-</v>
      </c>
      <c r="D8340" t="str">
        <v>-</v>
      </c>
      <c r="E8340" t="str">
        <v/>
      </c>
      <c r="F8340" t="str">
        <v>-</v>
      </c>
      <c r="G8340" t="str">
        <v>-</v>
      </c>
    </row>
    <row r="8341">
      <c r="A8341">
        <v>8340</v>
      </c>
      <c r="B8341" t="str">
        <v>UBND Ủy ban nhân dân xã Hùng Sơn  tỉnh Hải Dương</v>
      </c>
      <c r="C8341" t="str">
        <v>-</v>
      </c>
      <c r="D8341" t="str">
        <v>-</v>
      </c>
      <c r="E8341" t="str">
        <v>-</v>
      </c>
      <c r="F8341" t="str">
        <v>-</v>
      </c>
      <c r="G8341" t="str">
        <v>-</v>
      </c>
    </row>
    <row r="8342">
      <c r="A8342">
        <v>8341</v>
      </c>
      <c r="B8342" t="str">
        <v>Công an xã Ngũ Hùng  tỉnh Hải Dương</v>
      </c>
      <c r="C8342" t="str">
        <v>-</v>
      </c>
      <c r="D8342" t="str">
        <v>-</v>
      </c>
      <c r="E8342" t="str">
        <v/>
      </c>
      <c r="F8342" t="str">
        <v>-</v>
      </c>
      <c r="G8342" t="str">
        <v>-</v>
      </c>
    </row>
    <row r="8343">
      <c r="A8343">
        <v>8342</v>
      </c>
      <c r="B8343" t="str">
        <v>UBND Ủy ban nhân dân xã Ngũ Hùng  tỉnh Hải Dương</v>
      </c>
      <c r="C8343" t="str">
        <v>-</v>
      </c>
      <c r="D8343" t="str">
        <v>-</v>
      </c>
      <c r="E8343" t="str">
        <v>-</v>
      </c>
      <c r="F8343" t="str">
        <v>-</v>
      </c>
      <c r="G8343" t="str">
        <v>-</v>
      </c>
    </row>
    <row r="8344">
      <c r="A8344">
        <v>8343</v>
      </c>
      <c r="B8344" t="str">
        <v>Công an xã Cao Thắng  tỉnh Hải Dương</v>
      </c>
      <c r="C8344" t="str">
        <v>-</v>
      </c>
      <c r="D8344" t="str">
        <v>-</v>
      </c>
      <c r="E8344" t="str">
        <v/>
      </c>
      <c r="F8344" t="str">
        <v>-</v>
      </c>
      <c r="G8344" t="str">
        <v>-</v>
      </c>
    </row>
    <row r="8345">
      <c r="A8345">
        <v>8344</v>
      </c>
      <c r="B8345" t="str">
        <v>UBND Ủy ban nhân dân xã Cao Thắng  tỉnh Hải Dương</v>
      </c>
      <c r="C8345" t="str">
        <v>-</v>
      </c>
      <c r="D8345" t="str">
        <v>-</v>
      </c>
      <c r="E8345" t="str">
        <v>-</v>
      </c>
      <c r="F8345" t="str">
        <v>-</v>
      </c>
      <c r="G8345" t="str">
        <v>-</v>
      </c>
    </row>
    <row r="8346">
      <c r="A8346">
        <v>8345</v>
      </c>
      <c r="B8346" t="str">
        <v>Công an xã Chi Lăng Bắc  tỉnh Hải Dương</v>
      </c>
      <c r="C8346" t="str">
        <v>-</v>
      </c>
      <c r="D8346" t="str">
        <v>-</v>
      </c>
      <c r="E8346" t="str">
        <v/>
      </c>
      <c r="F8346" t="str">
        <v>-</v>
      </c>
      <c r="G8346" t="str">
        <v>-</v>
      </c>
    </row>
    <row r="8347">
      <c r="A8347">
        <v>8346</v>
      </c>
      <c r="B8347" t="str">
        <v>UBND Ủy ban nhân dân xã Chi Lăng Bắc  tỉnh Hải Dương</v>
      </c>
      <c r="C8347" t="str">
        <v>-</v>
      </c>
      <c r="D8347" t="str">
        <v>-</v>
      </c>
      <c r="E8347" t="str">
        <v>-</v>
      </c>
      <c r="F8347" t="str">
        <v>-</v>
      </c>
      <c r="G8347" t="str">
        <v>-</v>
      </c>
    </row>
    <row r="8348">
      <c r="A8348">
        <v>8347</v>
      </c>
      <c r="B8348" t="str">
        <v>Công an xã Chi Lăng Nam  tỉnh Hải Dương</v>
      </c>
      <c r="C8348" t="str">
        <v>-</v>
      </c>
      <c r="D8348" t="str">
        <v>-</v>
      </c>
      <c r="E8348" t="str">
        <v/>
      </c>
      <c r="F8348" t="str">
        <v>-</v>
      </c>
      <c r="G8348" t="str">
        <v>-</v>
      </c>
    </row>
    <row r="8349">
      <c r="A8349">
        <v>8348</v>
      </c>
      <c r="B8349" t="str">
        <v>UBND Ủy ban nhân dân xã Chi Lăng Nam  tỉnh Hải Dương</v>
      </c>
      <c r="C8349" t="str">
        <v>-</v>
      </c>
      <c r="D8349" t="str">
        <v>-</v>
      </c>
      <c r="E8349" t="str">
        <v>-</v>
      </c>
      <c r="F8349" t="str">
        <v>-</v>
      </c>
      <c r="G8349" t="str">
        <v>-</v>
      </c>
    </row>
    <row r="8350">
      <c r="A8350">
        <v>8349</v>
      </c>
      <c r="B8350" t="str">
        <v>Công an xã Thanh Giang  tỉnh Hải Dương</v>
      </c>
      <c r="C8350" t="str">
        <v>-</v>
      </c>
      <c r="D8350" t="str">
        <v>-</v>
      </c>
      <c r="E8350" t="str">
        <v/>
      </c>
      <c r="F8350" t="str">
        <v>-</v>
      </c>
      <c r="G8350" t="str">
        <v>-</v>
      </c>
    </row>
    <row r="8351">
      <c r="A8351">
        <v>8350</v>
      </c>
      <c r="B8351" t="str">
        <v>UBND Ủy ban nhân dân xã Thanh Giang  tỉnh Hải Dương</v>
      </c>
      <c r="C8351" t="str">
        <v>-</v>
      </c>
      <c r="D8351" t="str">
        <v>-</v>
      </c>
      <c r="E8351" t="str">
        <v>-</v>
      </c>
      <c r="F8351" t="str">
        <v>-</v>
      </c>
      <c r="G8351" t="str">
        <v>-</v>
      </c>
    </row>
    <row r="8352">
      <c r="A8352">
        <v>8351</v>
      </c>
      <c r="B8352" t="str">
        <v>Công an xã Diên Hồng  tỉnh Hải Dương</v>
      </c>
      <c r="C8352" t="str">
        <v>-</v>
      </c>
      <c r="D8352" t="str">
        <v>-</v>
      </c>
      <c r="E8352" t="str">
        <v/>
      </c>
      <c r="F8352" t="str">
        <v>-</v>
      </c>
      <c r="G8352" t="str">
        <v>-</v>
      </c>
    </row>
    <row r="8353">
      <c r="A8353">
        <v>8352</v>
      </c>
      <c r="B8353" t="str">
        <v>UBND Ủy ban nhân dân xã Diên Hồng  tỉnh Hải Dương</v>
      </c>
      <c r="C8353" t="str">
        <v>-</v>
      </c>
      <c r="D8353" t="str">
        <v>-</v>
      </c>
      <c r="E8353" t="str">
        <v>-</v>
      </c>
      <c r="F8353" t="str">
        <v>-</v>
      </c>
      <c r="G8353" t="str">
        <v>-</v>
      </c>
    </row>
    <row r="8354">
      <c r="A8354">
        <v>8353</v>
      </c>
      <c r="B8354" t="str">
        <v>Công an xã Tiền Phong  tỉnh Hải Dương</v>
      </c>
      <c r="C8354" t="str">
        <v>-</v>
      </c>
      <c r="D8354" t="str">
        <v>-</v>
      </c>
      <c r="E8354" t="str">
        <v/>
      </c>
      <c r="F8354" t="str">
        <v>-</v>
      </c>
      <c r="G8354" t="str">
        <v>-</v>
      </c>
    </row>
    <row r="8355">
      <c r="A8355">
        <v>8354</v>
      </c>
      <c r="B8355" t="str">
        <v>UBND Ủy ban nhân dân xã Tiền Phong  tỉnh Hải Dương</v>
      </c>
      <c r="C8355" t="str">
        <v>-</v>
      </c>
      <c r="D8355" t="str">
        <v>-</v>
      </c>
      <c r="E8355" t="str">
        <v>-</v>
      </c>
      <c r="F8355" t="str">
        <v>-</v>
      </c>
      <c r="G8355" t="str">
        <v>-</v>
      </c>
    </row>
    <row r="8356">
      <c r="A8356">
        <v>8355</v>
      </c>
      <c r="B8356" t="str">
        <v>Công an phường Quán Toan  thành phố Hải Phòng</v>
      </c>
      <c r="C8356" t="str">
        <v>-</v>
      </c>
      <c r="D8356" t="str">
        <v>-</v>
      </c>
      <c r="E8356" t="str">
        <v/>
      </c>
      <c r="F8356" t="str">
        <v>-</v>
      </c>
      <c r="G8356" t="str">
        <v>-</v>
      </c>
    </row>
    <row r="8357">
      <c r="A8357">
        <v>8356</v>
      </c>
      <c r="B8357" t="str">
        <v>UBND Ủy ban nhân dân phường Quán Toan  thành phố Hải Phòng</v>
      </c>
      <c r="C8357" t="str">
        <v>-</v>
      </c>
      <c r="D8357" t="str">
        <v>-</v>
      </c>
      <c r="E8357" t="str">
        <v>-</v>
      </c>
      <c r="F8357" t="str">
        <v>-</v>
      </c>
      <c r="G8357" t="str">
        <v>-</v>
      </c>
    </row>
    <row r="8358">
      <c r="A8358">
        <v>8357</v>
      </c>
      <c r="B8358" t="str">
        <v>Công an phường Hùng Vương  thành phố Hải Phòng</v>
      </c>
      <c r="C8358" t="str">
        <v>-</v>
      </c>
      <c r="D8358" t="str">
        <v>-</v>
      </c>
      <c r="E8358" t="str">
        <v/>
      </c>
      <c r="F8358" t="str">
        <v>-</v>
      </c>
      <c r="G8358" t="str">
        <v>-</v>
      </c>
    </row>
    <row r="8359">
      <c r="A8359">
        <v>8358</v>
      </c>
      <c r="B8359" t="str">
        <v>UBND Ủy ban nhân dân phường Hùng Vương  thành phố Hải Phòng</v>
      </c>
      <c r="C8359" t="str">
        <v>-</v>
      </c>
      <c r="D8359" t="str">
        <v>-</v>
      </c>
      <c r="E8359" t="str">
        <v>-</v>
      </c>
      <c r="F8359" t="str">
        <v>-</v>
      </c>
      <c r="G8359" t="str">
        <v>-</v>
      </c>
    </row>
    <row r="8360">
      <c r="A8360">
        <v>8359</v>
      </c>
      <c r="B8360" t="str">
        <v>Công an phường Sở Dầu  thành phố Hải Phòng</v>
      </c>
      <c r="C8360" t="str">
        <v>-</v>
      </c>
      <c r="D8360" t="str">
        <v>-</v>
      </c>
      <c r="E8360" t="str">
        <v/>
      </c>
      <c r="F8360" t="str">
        <v>-</v>
      </c>
      <c r="G8360" t="str">
        <v>-</v>
      </c>
    </row>
    <row r="8361">
      <c r="A8361">
        <v>8360</v>
      </c>
      <c r="B8361" t="str">
        <v>UBND Ủy ban nhân dân phường Sở Dầu  thành phố Hải Phòng</v>
      </c>
      <c r="C8361" t="str">
        <v>-</v>
      </c>
      <c r="D8361" t="str">
        <v>-</v>
      </c>
      <c r="E8361" t="str">
        <v>-</v>
      </c>
      <c r="F8361" t="str">
        <v>-</v>
      </c>
      <c r="G8361" t="str">
        <v>-</v>
      </c>
    </row>
    <row r="8362">
      <c r="A8362">
        <v>8361</v>
      </c>
      <c r="B8362" t="str">
        <v>Công an phường Thượng Lý  thành phố Hải Phòng</v>
      </c>
      <c r="C8362" t="str">
        <v>-</v>
      </c>
      <c r="D8362" t="str">
        <v>-</v>
      </c>
      <c r="E8362" t="str">
        <v/>
      </c>
      <c r="F8362" t="str">
        <v>-</v>
      </c>
      <c r="G8362" t="str">
        <v>-</v>
      </c>
    </row>
    <row r="8363">
      <c r="A8363">
        <v>8362</v>
      </c>
      <c r="B8363" t="str">
        <v>UBND Ủy ban nhân dân phường Thượng Lý  thành phố Hải Phòng</v>
      </c>
      <c r="C8363" t="str">
        <v>-</v>
      </c>
      <c r="D8363" t="str">
        <v>-</v>
      </c>
      <c r="E8363" t="str">
        <v>-</v>
      </c>
      <c r="F8363" t="str">
        <v>-</v>
      </c>
      <c r="G8363" t="str">
        <v>-</v>
      </c>
    </row>
    <row r="8364">
      <c r="A8364">
        <v>8363</v>
      </c>
      <c r="B8364" t="str">
        <v>Công an phường Hạ Lý  thành phố Hải Phòng</v>
      </c>
      <c r="C8364" t="str">
        <v>-</v>
      </c>
      <c r="D8364" t="str">
        <v>-</v>
      </c>
      <c r="E8364" t="str">
        <v/>
      </c>
      <c r="F8364" t="str">
        <v>-</v>
      </c>
      <c r="G8364" t="str">
        <v>-</v>
      </c>
    </row>
    <row r="8365">
      <c r="A8365">
        <v>8364</v>
      </c>
      <c r="B8365" t="str">
        <v>UBND Ủy ban nhân dân phường Hạ Lý  thành phố Hải Phòng</v>
      </c>
      <c r="C8365" t="str">
        <v>-</v>
      </c>
      <c r="D8365" t="str">
        <v>-</v>
      </c>
      <c r="E8365" t="str">
        <v>-</v>
      </c>
      <c r="F8365" t="str">
        <v>-</v>
      </c>
      <c r="G8365" t="str">
        <v>-</v>
      </c>
    </row>
    <row r="8366">
      <c r="A8366">
        <v>8365</v>
      </c>
      <c r="B8366" t="str">
        <v>Công an phường Minh Khai  thành phố Hải Phòng</v>
      </c>
      <c r="C8366" t="str">
        <v>-</v>
      </c>
      <c r="D8366" t="str">
        <v>-</v>
      </c>
      <c r="E8366" t="str">
        <v/>
      </c>
      <c r="F8366" t="str">
        <v>-</v>
      </c>
      <c r="G8366" t="str">
        <v>-</v>
      </c>
    </row>
    <row r="8367">
      <c r="A8367">
        <v>8366</v>
      </c>
      <c r="B8367" t="str">
        <v>UBND Ủy ban nhân dân phường Minh Khai  thành phố Hải Phòng</v>
      </c>
      <c r="C8367" t="str">
        <v>-</v>
      </c>
      <c r="D8367" t="str">
        <v>-</v>
      </c>
      <c r="E8367" t="str">
        <v>-</v>
      </c>
      <c r="F8367" t="str">
        <v>-</v>
      </c>
      <c r="G8367" t="str">
        <v>-</v>
      </c>
    </row>
    <row r="8368">
      <c r="A8368">
        <v>8367</v>
      </c>
      <c r="B8368" t="str">
        <v>Công an phường Trại Chuối  thành phố Hải Phòng</v>
      </c>
      <c r="C8368" t="str">
        <v>-</v>
      </c>
      <c r="D8368" t="str">
        <v>-</v>
      </c>
      <c r="E8368" t="str">
        <v/>
      </c>
      <c r="F8368" t="str">
        <v>-</v>
      </c>
      <c r="G8368" t="str">
        <v>-</v>
      </c>
    </row>
    <row r="8369">
      <c r="A8369">
        <v>8368</v>
      </c>
      <c r="B8369" t="str">
        <v>UBND Ủy ban nhân dân phường Trại Chuối  thành phố Hải Phòng</v>
      </c>
      <c r="C8369" t="str">
        <v>-</v>
      </c>
      <c r="D8369" t="str">
        <v>-</v>
      </c>
      <c r="E8369" t="str">
        <v>-</v>
      </c>
      <c r="F8369" t="str">
        <v>-</v>
      </c>
      <c r="G8369" t="str">
        <v>-</v>
      </c>
    </row>
    <row r="8370">
      <c r="A8370">
        <v>8369</v>
      </c>
      <c r="B8370" t="str">
        <v>Công an phường Quang Trung  thành phố Hải Phòng</v>
      </c>
      <c r="C8370" t="str">
        <v>-</v>
      </c>
      <c r="D8370" t="str">
        <v>-</v>
      </c>
      <c r="E8370" t="str">
        <v/>
      </c>
      <c r="F8370" t="str">
        <v>-</v>
      </c>
      <c r="G8370" t="str">
        <v>-</v>
      </c>
    </row>
    <row r="8371">
      <c r="A8371">
        <v>8370</v>
      </c>
      <c r="B8371" t="str">
        <v>UBND Ủy ban nhân dân phường Quang Trung  thành phố Hải Phòng</v>
      </c>
      <c r="C8371" t="str">
        <v>-</v>
      </c>
      <c r="D8371" t="str">
        <v>-</v>
      </c>
      <c r="E8371" t="str">
        <v>-</v>
      </c>
      <c r="F8371" t="str">
        <v>-</v>
      </c>
      <c r="G8371" t="str">
        <v>-</v>
      </c>
    </row>
    <row r="8372">
      <c r="A8372">
        <v>8371</v>
      </c>
      <c r="B8372" t="str">
        <v>Công an phường Hoàng Văn Thụ  thành phố Hải Phòng</v>
      </c>
      <c r="C8372" t="str">
        <v>-</v>
      </c>
      <c r="D8372" t="str">
        <v>-</v>
      </c>
      <c r="E8372" t="str">
        <v/>
      </c>
      <c r="F8372" t="str">
        <v>-</v>
      </c>
      <c r="G8372" t="str">
        <v>-</v>
      </c>
    </row>
    <row r="8373">
      <c r="A8373">
        <v>8372</v>
      </c>
      <c r="B8373" t="str">
        <v>UBND Ủy ban nhân dân phường Hoàng Văn Thụ  thành phố Hải Phòng</v>
      </c>
      <c r="C8373" t="str">
        <v>-</v>
      </c>
      <c r="D8373" t="str">
        <v>-</v>
      </c>
      <c r="E8373" t="str">
        <v>-</v>
      </c>
      <c r="F8373" t="str">
        <v>-</v>
      </c>
      <c r="G8373" t="str">
        <v>-</v>
      </c>
    </row>
    <row r="8374">
      <c r="A8374">
        <v>8373</v>
      </c>
      <c r="B8374" t="str">
        <v>Công an phường Phan Bội Châu  thành phố Hải Phòng</v>
      </c>
      <c r="C8374" t="str">
        <v>-</v>
      </c>
      <c r="D8374" t="str">
        <v>-</v>
      </c>
      <c r="E8374" t="str">
        <v/>
      </c>
      <c r="F8374" t="str">
        <v>-</v>
      </c>
      <c r="G8374" t="str">
        <v>-</v>
      </c>
    </row>
    <row r="8375">
      <c r="A8375">
        <v>8374</v>
      </c>
      <c r="B8375" t="str">
        <v>UBND Ủy ban nhân dân phường Phan Bội Châu  thành phố Hải Phòng</v>
      </c>
      <c r="C8375" t="str">
        <v>-</v>
      </c>
      <c r="D8375" t="str">
        <v>-</v>
      </c>
      <c r="E8375" t="str">
        <v>-</v>
      </c>
      <c r="F8375" t="str">
        <v>-</v>
      </c>
      <c r="G8375" t="str">
        <v>-</v>
      </c>
    </row>
    <row r="8376">
      <c r="A8376">
        <v>8375</v>
      </c>
      <c r="B8376" t="str">
        <v>Công an phường Phạm Hồng Thái  thành phố Hải Phòng</v>
      </c>
      <c r="C8376" t="str">
        <v>-</v>
      </c>
      <c r="D8376" t="str">
        <v>-</v>
      </c>
      <c r="E8376" t="str">
        <v/>
      </c>
      <c r="F8376" t="str">
        <v>-</v>
      </c>
      <c r="G8376" t="str">
        <v>-</v>
      </c>
    </row>
    <row r="8377">
      <c r="A8377">
        <v>8376</v>
      </c>
      <c r="B8377" t="str">
        <v>UBND Ủy ban nhân dân phường Phạm Hồng Thái  thành phố Hải Phòng</v>
      </c>
      <c r="C8377" t="str">
        <v>-</v>
      </c>
      <c r="D8377" t="str">
        <v>-</v>
      </c>
      <c r="E8377" t="str">
        <v>-</v>
      </c>
      <c r="F8377" t="str">
        <v>-</v>
      </c>
      <c r="G8377" t="str">
        <v>-</v>
      </c>
    </row>
    <row r="8378">
      <c r="A8378">
        <v>8377</v>
      </c>
      <c r="B8378" t="str">
        <v>Công an phường Máy Chai  thành phố Hải Phòng</v>
      </c>
      <c r="C8378" t="str">
        <v>-</v>
      </c>
      <c r="D8378" t="str">
        <v>-</v>
      </c>
      <c r="E8378" t="str">
        <v/>
      </c>
      <c r="F8378" t="str">
        <v>-</v>
      </c>
      <c r="G8378" t="str">
        <v>-</v>
      </c>
    </row>
    <row r="8379">
      <c r="A8379">
        <v>8378</v>
      </c>
      <c r="B8379" t="str">
        <v>UBND Ủy ban nhân dân phường Máy Chai  thành phố Hải Phòng</v>
      </c>
      <c r="C8379" t="str">
        <v>-</v>
      </c>
      <c r="D8379" t="str">
        <v>-</v>
      </c>
      <c r="E8379" t="str">
        <v>-</v>
      </c>
      <c r="F8379" t="str">
        <v>-</v>
      </c>
      <c r="G8379" t="str">
        <v>-</v>
      </c>
    </row>
    <row r="8380">
      <c r="A8380">
        <v>8379</v>
      </c>
      <c r="B8380" t="str">
        <v>Công an phường Máy Tơ  thành phố Hải Phòng</v>
      </c>
      <c r="C8380" t="str">
        <v>-</v>
      </c>
      <c r="D8380" t="str">
        <v>-</v>
      </c>
      <c r="E8380" t="str">
        <v/>
      </c>
      <c r="F8380" t="str">
        <v>-</v>
      </c>
      <c r="G8380" t="str">
        <v>-</v>
      </c>
    </row>
    <row r="8381">
      <c r="A8381">
        <v>8380</v>
      </c>
      <c r="B8381" t="str">
        <v>UBND Ủy ban nhân dân phường Máy Tơ  thành phố Hải Phòng</v>
      </c>
      <c r="C8381" t="str">
        <v>-</v>
      </c>
      <c r="D8381" t="str">
        <v>-</v>
      </c>
      <c r="E8381" t="str">
        <v>-</v>
      </c>
      <c r="F8381" t="str">
        <v>-</v>
      </c>
      <c r="G8381" t="str">
        <v>-</v>
      </c>
    </row>
    <row r="8382">
      <c r="A8382">
        <v>8381</v>
      </c>
      <c r="B8382" t="str">
        <v>Công an phường Vạn Mỹ  thành phố Hải Phòng</v>
      </c>
      <c r="C8382" t="str">
        <v>-</v>
      </c>
      <c r="D8382" t="str">
        <v>-</v>
      </c>
      <c r="E8382" t="str">
        <v/>
      </c>
      <c r="F8382" t="str">
        <v>-</v>
      </c>
      <c r="G8382" t="str">
        <v>-</v>
      </c>
    </row>
    <row r="8383">
      <c r="A8383">
        <v>8382</v>
      </c>
      <c r="B8383" t="str">
        <v>UBND Ủy ban nhân dân phường Vạn Mỹ  thành phố Hải Phòng</v>
      </c>
      <c r="C8383" t="str">
        <v>-</v>
      </c>
      <c r="D8383" t="str">
        <v>-</v>
      </c>
      <c r="E8383" t="str">
        <v>-</v>
      </c>
      <c r="F8383" t="str">
        <v>-</v>
      </c>
      <c r="G8383" t="str">
        <v>-</v>
      </c>
    </row>
    <row r="8384">
      <c r="A8384">
        <v>8383</v>
      </c>
      <c r="B8384" t="str">
        <v>Công an phường Cầu Tre  thành phố Hải Phòng</v>
      </c>
      <c r="C8384" t="str">
        <v>-</v>
      </c>
      <c r="D8384" t="str">
        <v>-</v>
      </c>
      <c r="E8384" t="str">
        <v/>
      </c>
      <c r="F8384" t="str">
        <v>-</v>
      </c>
      <c r="G8384" t="str">
        <v>-</v>
      </c>
    </row>
    <row r="8385">
      <c r="A8385">
        <v>8384</v>
      </c>
      <c r="B8385" t="str">
        <v>UBND Ủy ban nhân dân phường Cầu Tre  thành phố Hải Phòng</v>
      </c>
      <c r="C8385" t="str">
        <v>-</v>
      </c>
      <c r="D8385" t="str">
        <v>-</v>
      </c>
      <c r="E8385" t="str">
        <v>-</v>
      </c>
      <c r="F8385" t="str">
        <v>-</v>
      </c>
      <c r="G8385" t="str">
        <v>-</v>
      </c>
    </row>
    <row r="8386">
      <c r="A8386">
        <v>8385</v>
      </c>
      <c r="B8386" t="str">
        <v>Công an phường Lạc Viên  thành phố Hải Phòng</v>
      </c>
      <c r="C8386" t="str">
        <v>-</v>
      </c>
      <c r="D8386" t="str">
        <v>-</v>
      </c>
      <c r="E8386" t="str">
        <v/>
      </c>
      <c r="F8386" t="str">
        <v>-</v>
      </c>
      <c r="G8386" t="str">
        <v>-</v>
      </c>
    </row>
    <row r="8387">
      <c r="A8387">
        <v>8386</v>
      </c>
      <c r="B8387" t="str">
        <v>UBND Ủy ban nhân dân phường Lạc Viên  thành phố Hải Phòng</v>
      </c>
      <c r="C8387" t="str">
        <v>-</v>
      </c>
      <c r="D8387" t="str">
        <v>-</v>
      </c>
      <c r="E8387" t="str">
        <v>-</v>
      </c>
      <c r="F8387" t="str">
        <v>-</v>
      </c>
      <c r="G8387" t="str">
        <v>-</v>
      </c>
    </row>
    <row r="8388">
      <c r="A8388">
        <v>8387</v>
      </c>
      <c r="B8388" t="str">
        <v>Công an phường Lương Khánh Thiện  thành phố Hải Phòng</v>
      </c>
      <c r="C8388" t="str">
        <v>-</v>
      </c>
      <c r="D8388" t="str">
        <v>-</v>
      </c>
      <c r="E8388" t="str">
        <v/>
      </c>
      <c r="F8388" t="str">
        <v>-</v>
      </c>
      <c r="G8388" t="str">
        <v>-</v>
      </c>
    </row>
    <row r="8389">
      <c r="A8389">
        <v>8388</v>
      </c>
      <c r="B8389" t="str">
        <v>UBND Ủy ban nhân dân phường Lương Khánh Thiện  thành phố Hải Phòng</v>
      </c>
      <c r="C8389" t="str">
        <v>-</v>
      </c>
      <c r="D8389" t="str">
        <v>-</v>
      </c>
      <c r="E8389" t="str">
        <v>-</v>
      </c>
      <c r="F8389" t="str">
        <v>-</v>
      </c>
      <c r="G8389" t="str">
        <v>-</v>
      </c>
    </row>
    <row r="8390">
      <c r="A8390">
        <v>8389</v>
      </c>
      <c r="B8390" t="str">
        <v>Công an phường Gia Viên  thành phố Hải Phòng</v>
      </c>
      <c r="C8390" t="str">
        <v>-</v>
      </c>
      <c r="D8390" t="str">
        <v>-</v>
      </c>
      <c r="E8390" t="str">
        <v/>
      </c>
      <c r="F8390" t="str">
        <v>-</v>
      </c>
      <c r="G8390" t="str">
        <v>-</v>
      </c>
    </row>
    <row r="8391">
      <c r="A8391">
        <v>8390</v>
      </c>
      <c r="B8391" t="str">
        <v>UBND Ủy ban nhân dân phường Gia Viên  thành phố Hải Phòng</v>
      </c>
      <c r="C8391" t="str">
        <v>-</v>
      </c>
      <c r="D8391" t="str">
        <v>-</v>
      </c>
      <c r="E8391" t="str">
        <v>-</v>
      </c>
      <c r="F8391" t="str">
        <v>-</v>
      </c>
      <c r="G8391" t="str">
        <v>-</v>
      </c>
    </row>
    <row r="8392">
      <c r="A8392">
        <v>8391</v>
      </c>
      <c r="B8392" t="str">
        <v>Công an phường Đông Khê  thành phố Hải Phòng</v>
      </c>
      <c r="C8392" t="str">
        <v>-</v>
      </c>
      <c r="D8392" t="str">
        <v>-</v>
      </c>
      <c r="E8392" t="str">
        <v/>
      </c>
      <c r="F8392" t="str">
        <v>-</v>
      </c>
      <c r="G8392" t="str">
        <v>-</v>
      </c>
    </row>
    <row r="8393">
      <c r="A8393">
        <v>8392</v>
      </c>
      <c r="B8393" t="str">
        <v>UBND Ủy ban nhân dân phường Đông Khê  thành phố Hải Phòng</v>
      </c>
      <c r="C8393" t="str">
        <v>-</v>
      </c>
      <c r="D8393" t="str">
        <v>-</v>
      </c>
      <c r="E8393" t="str">
        <v>-</v>
      </c>
      <c r="F8393" t="str">
        <v>-</v>
      </c>
      <c r="G8393" t="str">
        <v>-</v>
      </c>
    </row>
    <row r="8394">
      <c r="A8394">
        <v>8393</v>
      </c>
      <c r="B8394" t="str">
        <v>Công an phường Cầu Đất  thành phố Hải Phòng</v>
      </c>
      <c r="C8394" t="str">
        <v>-</v>
      </c>
      <c r="D8394" t="str">
        <v>-</v>
      </c>
      <c r="E8394" t="str">
        <v/>
      </c>
      <c r="F8394" t="str">
        <v>-</v>
      </c>
      <c r="G8394" t="str">
        <v>-</v>
      </c>
    </row>
    <row r="8395">
      <c r="A8395">
        <v>8394</v>
      </c>
      <c r="B8395" t="str">
        <v>UBND Ủy ban nhân dân phường Cầu Đất  thành phố Hải Phòng</v>
      </c>
      <c r="C8395" t="str">
        <v>-</v>
      </c>
      <c r="D8395" t="str">
        <v>-</v>
      </c>
      <c r="E8395" t="str">
        <v>-</v>
      </c>
      <c r="F8395" t="str">
        <v>-</v>
      </c>
      <c r="G8395" t="str">
        <v>-</v>
      </c>
    </row>
    <row r="8396">
      <c r="A8396">
        <v>8395</v>
      </c>
      <c r="B8396" t="str">
        <v>Công an phường Lê Lợi  thành phố Hải Phòng</v>
      </c>
      <c r="C8396" t="str">
        <v>-</v>
      </c>
      <c r="D8396" t="str">
        <v>-</v>
      </c>
      <c r="E8396" t="str">
        <v/>
      </c>
      <c r="F8396" t="str">
        <v>-</v>
      </c>
      <c r="G8396" t="str">
        <v>-</v>
      </c>
    </row>
    <row r="8397">
      <c r="A8397">
        <v>8396</v>
      </c>
      <c r="B8397" t="str">
        <v>UBND Ủy ban nhân dân phường Lê Lợi  thành phố Hải Phòng</v>
      </c>
      <c r="C8397" t="str">
        <v>-</v>
      </c>
      <c r="D8397" t="str">
        <v>-</v>
      </c>
      <c r="E8397" t="str">
        <v>-</v>
      </c>
      <c r="F8397" t="str">
        <v>-</v>
      </c>
      <c r="G8397" t="str">
        <v>-</v>
      </c>
    </row>
    <row r="8398">
      <c r="A8398">
        <v>8397</v>
      </c>
      <c r="B8398" t="str">
        <v>Công an phường Đằng Giang  thành phố Hải Phòng</v>
      </c>
      <c r="C8398" t="str">
        <v>-</v>
      </c>
      <c r="D8398" t="str">
        <v>-</v>
      </c>
      <c r="E8398" t="str">
        <v/>
      </c>
      <c r="F8398" t="str">
        <v>-</v>
      </c>
      <c r="G8398" t="str">
        <v>-</v>
      </c>
    </row>
    <row r="8399">
      <c r="A8399">
        <v>8398</v>
      </c>
      <c r="B8399" t="str">
        <v>UBND Ủy ban nhân dân phường Đằng Giang  thành phố Hải Phòng</v>
      </c>
      <c r="C8399" t="str">
        <v>-</v>
      </c>
      <c r="D8399" t="str">
        <v>-</v>
      </c>
      <c r="E8399" t="str">
        <v>-</v>
      </c>
      <c r="F8399" t="str">
        <v>-</v>
      </c>
      <c r="G8399" t="str">
        <v>-</v>
      </c>
    </row>
    <row r="8400">
      <c r="A8400">
        <v>8399</v>
      </c>
      <c r="B8400" t="str">
        <v>Công an phường Lạch Tray  thành phố Hải Phòng</v>
      </c>
      <c r="C8400" t="str">
        <v>-</v>
      </c>
      <c r="D8400" t="str">
        <v>-</v>
      </c>
      <c r="E8400" t="str">
        <v/>
      </c>
      <c r="F8400" t="str">
        <v>-</v>
      </c>
      <c r="G8400" t="str">
        <v>-</v>
      </c>
    </row>
    <row r="8401">
      <c r="A8401">
        <v>8400</v>
      </c>
      <c r="B8401" t="str">
        <v>UBND Ủy ban nhân dân phường Lạch Tray  thành phố Hải Phòng</v>
      </c>
      <c r="C8401" t="str">
        <v>-</v>
      </c>
      <c r="D8401" t="str">
        <v>-</v>
      </c>
      <c r="E8401" t="str">
        <v>-</v>
      </c>
      <c r="F8401" t="str">
        <v>-</v>
      </c>
      <c r="G8401" t="str">
        <v>-</v>
      </c>
    </row>
    <row r="8402">
      <c r="A8402">
        <v>8401</v>
      </c>
      <c r="B8402" t="str">
        <v>Công an phường Đổng Quốc Bình  thành phố Hải Phòng</v>
      </c>
      <c r="C8402" t="str">
        <v>-</v>
      </c>
      <c r="D8402" t="str">
        <v>-</v>
      </c>
      <c r="E8402" t="str">
        <v/>
      </c>
      <c r="F8402" t="str">
        <v>-</v>
      </c>
      <c r="G8402" t="str">
        <v>-</v>
      </c>
    </row>
    <row r="8403">
      <c r="A8403">
        <v>8402</v>
      </c>
      <c r="B8403" t="str">
        <v>UBND Ủy ban nhân dân phường Đổng Quốc Bình  thành phố Hải Phòng</v>
      </c>
      <c r="C8403" t="str">
        <v>-</v>
      </c>
      <c r="D8403" t="str">
        <v>-</v>
      </c>
      <c r="E8403" t="str">
        <v>-</v>
      </c>
      <c r="F8403" t="str">
        <v>-</v>
      </c>
      <c r="G8403" t="str">
        <v>-</v>
      </c>
    </row>
    <row r="8404">
      <c r="A8404">
        <v>8403</v>
      </c>
      <c r="B8404" t="str">
        <v>Công an phường Cát Dài  thành phố Hải Phòng</v>
      </c>
      <c r="C8404" t="str">
        <v>-</v>
      </c>
      <c r="D8404" t="str">
        <v>-</v>
      </c>
      <c r="E8404" t="str">
        <v/>
      </c>
      <c r="F8404" t="str">
        <v>-</v>
      </c>
      <c r="G8404" t="str">
        <v>-</v>
      </c>
    </row>
    <row r="8405">
      <c r="A8405">
        <v>8404</v>
      </c>
      <c r="B8405" t="str">
        <v>UBND Ủy ban nhân dân phường Cát Dài  thành phố Hải Phòng</v>
      </c>
      <c r="C8405" t="str">
        <v>-</v>
      </c>
      <c r="D8405" t="str">
        <v>-</v>
      </c>
      <c r="E8405" t="str">
        <v>-</v>
      </c>
      <c r="F8405" t="str">
        <v>-</v>
      </c>
      <c r="G8405" t="str">
        <v>-</v>
      </c>
    </row>
    <row r="8406">
      <c r="A8406">
        <v>8405</v>
      </c>
      <c r="B8406" t="str">
        <v>Công an phường An Biên  thành phố Hải Phòng</v>
      </c>
      <c r="C8406" t="str">
        <v>-</v>
      </c>
      <c r="D8406" t="str">
        <v>-</v>
      </c>
      <c r="E8406" t="str">
        <v/>
      </c>
      <c r="F8406" t="str">
        <v>-</v>
      </c>
      <c r="G8406" t="str">
        <v>-</v>
      </c>
    </row>
    <row r="8407">
      <c r="A8407">
        <v>8406</v>
      </c>
      <c r="B8407" t="str">
        <v>UBND Ủy ban nhân dân phường An Biên  thành phố Hải Phòng</v>
      </c>
      <c r="C8407" t="str">
        <v>-</v>
      </c>
      <c r="D8407" t="str">
        <v>-</v>
      </c>
      <c r="E8407" t="str">
        <v>-</v>
      </c>
      <c r="F8407" t="str">
        <v>-</v>
      </c>
      <c r="G8407" t="str">
        <v>-</v>
      </c>
    </row>
    <row r="8408">
      <c r="A8408">
        <v>8407</v>
      </c>
      <c r="B8408" t="str">
        <v>Công an phường Lam Sơn  thành phố Hải Phòng</v>
      </c>
      <c r="C8408" t="str">
        <v>-</v>
      </c>
      <c r="D8408" t="str">
        <v>-</v>
      </c>
      <c r="E8408" t="str">
        <v/>
      </c>
      <c r="F8408" t="str">
        <v>-</v>
      </c>
      <c r="G8408" t="str">
        <v>-</v>
      </c>
    </row>
    <row r="8409">
      <c r="A8409">
        <v>8408</v>
      </c>
      <c r="B8409" t="str">
        <v>UBND Ủy ban nhân dân phường Lam Sơn  thành phố Hải Phòng</v>
      </c>
      <c r="C8409" t="str">
        <v>-</v>
      </c>
      <c r="D8409" t="str">
        <v>-</v>
      </c>
      <c r="E8409" t="str">
        <v>-</v>
      </c>
      <c r="F8409" t="str">
        <v>-</v>
      </c>
      <c r="G8409" t="str">
        <v>-</v>
      </c>
    </row>
    <row r="8410">
      <c r="A8410">
        <v>8409</v>
      </c>
      <c r="B8410" t="str">
        <v>Công an phường An Dương  thành phố Hải Phòng</v>
      </c>
      <c r="C8410" t="str">
        <v>-</v>
      </c>
      <c r="D8410" t="str">
        <v>-</v>
      </c>
      <c r="E8410" t="str">
        <v/>
      </c>
      <c r="F8410" t="str">
        <v>-</v>
      </c>
      <c r="G8410" t="str">
        <v>-</v>
      </c>
    </row>
    <row r="8411">
      <c r="A8411">
        <v>8410</v>
      </c>
      <c r="B8411" t="str">
        <v>UBND Ủy ban nhân dân phường An Dương  thành phố Hải Phòng</v>
      </c>
      <c r="C8411" t="str">
        <v>-</v>
      </c>
      <c r="D8411" t="str">
        <v>-</v>
      </c>
      <c r="E8411" t="str">
        <v>-</v>
      </c>
      <c r="F8411" t="str">
        <v>-</v>
      </c>
      <c r="G8411" t="str">
        <v>-</v>
      </c>
    </row>
    <row r="8412">
      <c r="A8412">
        <v>8411</v>
      </c>
      <c r="B8412" t="str">
        <v>Công an phường Trần Nguyên Hãn  thành phố Hải Phòng</v>
      </c>
      <c r="C8412" t="str">
        <v>-</v>
      </c>
      <c r="D8412" t="str">
        <v>-</v>
      </c>
      <c r="E8412" t="str">
        <v/>
      </c>
      <c r="F8412" t="str">
        <v>-</v>
      </c>
      <c r="G8412" t="str">
        <v>-</v>
      </c>
    </row>
    <row r="8413">
      <c r="A8413">
        <v>8412</v>
      </c>
      <c r="B8413" t="str">
        <v>UBND Ủy ban nhân dân phường Trần Nguyên Hãn  thành phố Hải Phòng</v>
      </c>
      <c r="C8413" t="str">
        <v>-</v>
      </c>
      <c r="D8413" t="str">
        <v>-</v>
      </c>
      <c r="E8413" t="str">
        <v>-</v>
      </c>
      <c r="F8413" t="str">
        <v>-</v>
      </c>
      <c r="G8413" t="str">
        <v>-</v>
      </c>
    </row>
    <row r="8414">
      <c r="A8414">
        <v>8413</v>
      </c>
      <c r="B8414" t="str">
        <v>Công an phường Hồ Nam  thành phố Hải Phòng</v>
      </c>
      <c r="C8414" t="str">
        <v>-</v>
      </c>
      <c r="D8414" t="str">
        <v>-</v>
      </c>
      <c r="E8414" t="str">
        <v/>
      </c>
      <c r="F8414" t="str">
        <v>-</v>
      </c>
      <c r="G8414" t="str">
        <v>-</v>
      </c>
    </row>
    <row r="8415">
      <c r="A8415">
        <v>8414</v>
      </c>
      <c r="B8415" t="str">
        <v>UBND Ủy ban nhân dân phường Hồ Nam  thành phố Hải Phòng</v>
      </c>
      <c r="C8415" t="str">
        <v>-</v>
      </c>
      <c r="D8415" t="str">
        <v>-</v>
      </c>
      <c r="E8415" t="str">
        <v>-</v>
      </c>
      <c r="F8415" t="str">
        <v>-</v>
      </c>
      <c r="G8415" t="str">
        <v>-</v>
      </c>
    </row>
    <row r="8416">
      <c r="A8416">
        <v>8415</v>
      </c>
      <c r="B8416" t="str">
        <v>Công an phường Trại Cau  thành phố Hải Phòng</v>
      </c>
      <c r="C8416" t="str">
        <v>-</v>
      </c>
      <c r="D8416" t="str">
        <v>-</v>
      </c>
      <c r="E8416" t="str">
        <v/>
      </c>
      <c r="F8416" t="str">
        <v>-</v>
      </c>
      <c r="G8416" t="str">
        <v>-</v>
      </c>
    </row>
    <row r="8417">
      <c r="A8417">
        <v>8416</v>
      </c>
      <c r="B8417" t="str">
        <v>UBND Ủy ban nhân dân phường Trại Cau  thành phố Hải Phòng</v>
      </c>
      <c r="C8417" t="str">
        <v>-</v>
      </c>
      <c r="D8417" t="str">
        <v>-</v>
      </c>
      <c r="E8417" t="str">
        <v>-</v>
      </c>
      <c r="F8417" t="str">
        <v>-</v>
      </c>
      <c r="G8417" t="str">
        <v>-</v>
      </c>
    </row>
    <row r="8418">
      <c r="A8418">
        <v>8417</v>
      </c>
      <c r="B8418" t="str">
        <v>Công an phường Dư Hàng  thành phố Hải Phòng</v>
      </c>
      <c r="C8418" t="str">
        <v>-</v>
      </c>
      <c r="D8418" t="str">
        <v>-</v>
      </c>
      <c r="E8418" t="str">
        <v/>
      </c>
      <c r="F8418" t="str">
        <v>-</v>
      </c>
      <c r="G8418" t="str">
        <v>-</v>
      </c>
    </row>
    <row r="8419">
      <c r="A8419">
        <v>8418</v>
      </c>
      <c r="B8419" t="str">
        <v>UBND Ủy ban nhân dân phường Dư Hàng  thành phố Hải Phòng</v>
      </c>
      <c r="C8419" t="str">
        <v>-</v>
      </c>
      <c r="D8419" t="str">
        <v>-</v>
      </c>
      <c r="E8419" t="str">
        <v>-</v>
      </c>
      <c r="F8419" t="str">
        <v>-</v>
      </c>
      <c r="G8419" t="str">
        <v>-</v>
      </c>
    </row>
    <row r="8420">
      <c r="A8420">
        <v>8419</v>
      </c>
      <c r="B8420" t="str">
        <v>Công an phường Hàng Kênh  thành phố Hải Phòng</v>
      </c>
      <c r="C8420" t="str">
        <v>-</v>
      </c>
      <c r="D8420" t="str">
        <v>-</v>
      </c>
      <c r="E8420" t="str">
        <v/>
      </c>
      <c r="F8420" t="str">
        <v>-</v>
      </c>
      <c r="G8420" t="str">
        <v>-</v>
      </c>
    </row>
    <row r="8421">
      <c r="A8421">
        <v>8420</v>
      </c>
      <c r="B8421" t="str">
        <v>UBND Ủy ban nhân dân phường Hàng Kênh  thành phố Hải Phòng</v>
      </c>
      <c r="C8421" t="str">
        <v>-</v>
      </c>
      <c r="D8421" t="str">
        <v>-</v>
      </c>
      <c r="E8421" t="str">
        <v>-</v>
      </c>
      <c r="F8421" t="str">
        <v>-</v>
      </c>
      <c r="G8421" t="str">
        <v>-</v>
      </c>
    </row>
    <row r="8422">
      <c r="A8422">
        <v>8421</v>
      </c>
      <c r="B8422" t="str">
        <v>Công an phường Đông Hải  thành phố Hải Phòng</v>
      </c>
      <c r="C8422" t="str">
        <v>-</v>
      </c>
      <c r="D8422" t="str">
        <v>-</v>
      </c>
      <c r="E8422" t="str">
        <v/>
      </c>
      <c r="F8422" t="str">
        <v>-</v>
      </c>
      <c r="G8422" t="str">
        <v>-</v>
      </c>
    </row>
    <row r="8423">
      <c r="A8423">
        <v>8422</v>
      </c>
      <c r="B8423" t="str">
        <v>UBND Ủy ban nhân dân phường Đông Hải  thành phố Hải Phòng</v>
      </c>
      <c r="C8423" t="str">
        <v>-</v>
      </c>
      <c r="D8423" t="str">
        <v>-</v>
      </c>
      <c r="E8423" t="str">
        <v>-</v>
      </c>
      <c r="F8423" t="str">
        <v>-</v>
      </c>
      <c r="G8423" t="str">
        <v>-</v>
      </c>
    </row>
    <row r="8424">
      <c r="A8424">
        <v>8423</v>
      </c>
      <c r="B8424" t="str">
        <v>Công an phường Niệm Nghĩa  thành phố Hải Phòng</v>
      </c>
      <c r="C8424" t="str">
        <v>-</v>
      </c>
      <c r="D8424" t="str">
        <v>-</v>
      </c>
      <c r="E8424" t="str">
        <v/>
      </c>
      <c r="F8424" t="str">
        <v>-</v>
      </c>
      <c r="G8424" t="str">
        <v>-</v>
      </c>
    </row>
    <row r="8425">
      <c r="A8425">
        <v>8424</v>
      </c>
      <c r="B8425" t="str">
        <v>UBND Ủy ban nhân dân phường Niệm Nghĩa  thành phố Hải Phòng</v>
      </c>
      <c r="C8425" t="str">
        <v>-</v>
      </c>
      <c r="D8425" t="str">
        <v>-</v>
      </c>
      <c r="E8425" t="str">
        <v>-</v>
      </c>
      <c r="F8425" t="str">
        <v>-</v>
      </c>
      <c r="G8425" t="str">
        <v>-</v>
      </c>
    </row>
    <row r="8426">
      <c r="A8426">
        <v>8425</v>
      </c>
      <c r="B8426" t="str">
        <v>Công an phường Nghĩa Xá  thành phố Hải Phòng</v>
      </c>
      <c r="C8426" t="str">
        <v>-</v>
      </c>
      <c r="D8426" t="str">
        <v>-</v>
      </c>
      <c r="E8426" t="str">
        <v/>
      </c>
      <c r="F8426" t="str">
        <v>-</v>
      </c>
      <c r="G8426" t="str">
        <v>-</v>
      </c>
    </row>
    <row r="8427">
      <c r="A8427">
        <v>8426</v>
      </c>
      <c r="B8427" t="str">
        <v>UBND Ủy ban nhân dân phường Nghĩa Xá  thành phố Hải Phòng</v>
      </c>
      <c r="C8427" t="str">
        <v>-</v>
      </c>
      <c r="D8427" t="str">
        <v>-</v>
      </c>
      <c r="E8427" t="str">
        <v>-</v>
      </c>
      <c r="F8427" t="str">
        <v>-</v>
      </c>
      <c r="G8427" t="str">
        <v>-</v>
      </c>
    </row>
    <row r="8428">
      <c r="A8428">
        <v>8427</v>
      </c>
      <c r="B8428" t="str">
        <v>Công an phường Dư Hàng Kênh  thành phố Hải Phòng</v>
      </c>
      <c r="C8428" t="str">
        <v>-</v>
      </c>
      <c r="D8428" t="str">
        <v>-</v>
      </c>
      <c r="E8428" t="str">
        <v/>
      </c>
      <c r="F8428" t="str">
        <v>-</v>
      </c>
      <c r="G8428" t="str">
        <v>-</v>
      </c>
    </row>
    <row r="8429">
      <c r="A8429">
        <v>8428</v>
      </c>
      <c r="B8429" t="str">
        <v>UBND Ủy ban nhân dân phường Dư Hàng Kênh  thành phố Hải Phòng</v>
      </c>
      <c r="C8429" t="str">
        <v>-</v>
      </c>
      <c r="D8429" t="str">
        <v>-</v>
      </c>
      <c r="E8429" t="str">
        <v>-</v>
      </c>
      <c r="F8429" t="str">
        <v>-</v>
      </c>
      <c r="G8429" t="str">
        <v>-</v>
      </c>
    </row>
    <row r="8430">
      <c r="A8430">
        <v>8429</v>
      </c>
      <c r="B8430" t="str">
        <v>Công an phường Kênh Dương  thành phố Hải Phòng</v>
      </c>
      <c r="C8430" t="str">
        <v>-</v>
      </c>
      <c r="D8430" t="str">
        <v>-</v>
      </c>
      <c r="E8430" t="str">
        <v/>
      </c>
      <c r="F8430" t="str">
        <v>-</v>
      </c>
      <c r="G8430" t="str">
        <v>-</v>
      </c>
    </row>
    <row r="8431">
      <c r="A8431">
        <v>8430</v>
      </c>
      <c r="B8431" t="str">
        <v>UBND Ủy ban nhân dân phường Kênh Dương  thành phố Hải Phòng</v>
      </c>
      <c r="C8431" t="str">
        <v>-</v>
      </c>
      <c r="D8431" t="str">
        <v>-</v>
      </c>
      <c r="E8431" t="str">
        <v>-</v>
      </c>
      <c r="F8431" t="str">
        <v>-</v>
      </c>
      <c r="G8431" t="str">
        <v>-</v>
      </c>
    </row>
    <row r="8432">
      <c r="A8432">
        <v>8431</v>
      </c>
      <c r="B8432" t="str">
        <v>Công an phường Vĩnh Niệm  thành phố Hải Phòng</v>
      </c>
      <c r="C8432" t="str">
        <v>-</v>
      </c>
      <c r="D8432" t="str">
        <v>-</v>
      </c>
      <c r="E8432" t="str">
        <v/>
      </c>
      <c r="F8432" t="str">
        <v>-</v>
      </c>
      <c r="G8432" t="str">
        <v>-</v>
      </c>
    </row>
    <row r="8433">
      <c r="A8433">
        <v>8432</v>
      </c>
      <c r="B8433" t="str">
        <v>UBND Ủy ban nhân dân phường Vĩnh Niệm  thành phố Hải Phòng</v>
      </c>
      <c r="C8433" t="str">
        <v>-</v>
      </c>
      <c r="D8433" t="str">
        <v>-</v>
      </c>
      <c r="E8433" t="str">
        <v>-</v>
      </c>
      <c r="F8433" t="str">
        <v>-</v>
      </c>
      <c r="G8433" t="str">
        <v>-</v>
      </c>
    </row>
    <row r="8434">
      <c r="A8434">
        <v>8433</v>
      </c>
      <c r="B8434" t="str">
        <v>Công an phường Đông Hải 1  thành phố Hải Phòng</v>
      </c>
      <c r="C8434" t="str">
        <v>-</v>
      </c>
      <c r="D8434" t="str">
        <v>-</v>
      </c>
      <c r="E8434" t="str">
        <v/>
      </c>
      <c r="F8434" t="str">
        <v>-</v>
      </c>
      <c r="G8434" t="str">
        <v>-</v>
      </c>
    </row>
    <row r="8435">
      <c r="A8435">
        <v>8434</v>
      </c>
      <c r="B8435" t="str">
        <v>UBND Ủy ban nhân dân phường Đông Hải 1  thành phố Hải Phòng</v>
      </c>
      <c r="C8435" t="str">
        <v>-</v>
      </c>
      <c r="D8435" t="str">
        <v>-</v>
      </c>
      <c r="E8435" t="str">
        <v>-</v>
      </c>
      <c r="F8435" t="str">
        <v>-</v>
      </c>
      <c r="G8435" t="str">
        <v>-</v>
      </c>
    </row>
    <row r="8436">
      <c r="A8436">
        <v>8435</v>
      </c>
      <c r="B8436" t="str">
        <v>Công an phường Đông Hải 2  thành phố Hải Phòng</v>
      </c>
      <c r="C8436" t="str">
        <v>-</v>
      </c>
      <c r="D8436" t="str">
        <v>-</v>
      </c>
      <c r="E8436" t="str">
        <v/>
      </c>
      <c r="F8436" t="str">
        <v>-</v>
      </c>
      <c r="G8436" t="str">
        <v>-</v>
      </c>
    </row>
    <row r="8437">
      <c r="A8437">
        <v>8436</v>
      </c>
      <c r="B8437" t="str">
        <v>UBND Ủy ban nhân dân phường Đông Hải 2  thành phố Hải Phòng</v>
      </c>
      <c r="C8437" t="str">
        <v>-</v>
      </c>
      <c r="D8437" t="str">
        <v>-</v>
      </c>
      <c r="E8437" t="str">
        <v>-</v>
      </c>
      <c r="F8437" t="str">
        <v>-</v>
      </c>
      <c r="G8437" t="str">
        <v>-</v>
      </c>
    </row>
    <row r="8438">
      <c r="A8438">
        <v>8437</v>
      </c>
      <c r="B8438" t="str">
        <v>Công an phường Đằng Lâm  thành phố Hải Phòng</v>
      </c>
      <c r="C8438" t="str">
        <v>-</v>
      </c>
      <c r="D8438" t="str">
        <v>-</v>
      </c>
      <c r="E8438" t="str">
        <v/>
      </c>
      <c r="F8438" t="str">
        <v>-</v>
      </c>
      <c r="G8438" t="str">
        <v>-</v>
      </c>
    </row>
    <row r="8439">
      <c r="A8439">
        <v>8438</v>
      </c>
      <c r="B8439" t="str">
        <v>UBND Ủy ban nhân dân phường Đằng Lâm  thành phố Hải Phòng</v>
      </c>
      <c r="C8439" t="str">
        <v>-</v>
      </c>
      <c r="D8439" t="str">
        <v>-</v>
      </c>
      <c r="E8439" t="str">
        <v>-</v>
      </c>
      <c r="F8439" t="str">
        <v>-</v>
      </c>
      <c r="G8439" t="str">
        <v>-</v>
      </c>
    </row>
    <row r="8440">
      <c r="A8440">
        <v>8439</v>
      </c>
      <c r="B8440" t="str">
        <v>Công an phường Thành Tô  thành phố Hải Phòng</v>
      </c>
      <c r="C8440" t="str">
        <v>-</v>
      </c>
      <c r="D8440" t="str">
        <v>-</v>
      </c>
      <c r="E8440" t="str">
        <v/>
      </c>
      <c r="F8440" t="str">
        <v>-</v>
      </c>
      <c r="G8440" t="str">
        <v>-</v>
      </c>
    </row>
    <row r="8441">
      <c r="A8441">
        <v>8440</v>
      </c>
      <c r="B8441" t="str">
        <v>UBND Ủy ban nhân dân phường Thành Tô  thành phố Hải Phòng</v>
      </c>
      <c r="C8441" t="str">
        <v>-</v>
      </c>
      <c r="D8441" t="str">
        <v>-</v>
      </c>
      <c r="E8441" t="str">
        <v>-</v>
      </c>
      <c r="F8441" t="str">
        <v>-</v>
      </c>
      <c r="G8441" t="str">
        <v>-</v>
      </c>
    </row>
    <row r="8442">
      <c r="A8442">
        <v>8441</v>
      </c>
      <c r="B8442" t="str">
        <v>Công an phường Đằng Hải  thành phố Hải Phòng</v>
      </c>
      <c r="C8442" t="str">
        <v>-</v>
      </c>
      <c r="D8442" t="str">
        <v>-</v>
      </c>
      <c r="E8442" t="str">
        <v/>
      </c>
      <c r="F8442" t="str">
        <v>-</v>
      </c>
      <c r="G8442" t="str">
        <v>-</v>
      </c>
    </row>
    <row r="8443">
      <c r="A8443">
        <v>8442</v>
      </c>
      <c r="B8443" t="str">
        <v>UBND Ủy ban nhân dân phường Đằng Hải  thành phố Hải Phòng</v>
      </c>
      <c r="C8443" t="str">
        <v>-</v>
      </c>
      <c r="D8443" t="str">
        <v>-</v>
      </c>
      <c r="E8443" t="str">
        <v>-</v>
      </c>
      <c r="F8443" t="str">
        <v>-</v>
      </c>
      <c r="G8443" t="str">
        <v>-</v>
      </c>
    </row>
    <row r="8444">
      <c r="A8444">
        <v>8443</v>
      </c>
      <c r="B8444" t="str">
        <v>Công an phường Nam Hải  thành phố Hải Phòng</v>
      </c>
      <c r="C8444" t="str">
        <v>-</v>
      </c>
      <c r="D8444" t="str">
        <v>-</v>
      </c>
      <c r="E8444" t="str">
        <v/>
      </c>
      <c r="F8444" t="str">
        <v>-</v>
      </c>
      <c r="G8444" t="str">
        <v>-</v>
      </c>
    </row>
    <row r="8445">
      <c r="A8445">
        <v>8444</v>
      </c>
      <c r="B8445" t="str">
        <v>UBND Ủy ban nhân dân phường Nam Hải  thành phố Hải Phòng</v>
      </c>
      <c r="C8445" t="str">
        <v>-</v>
      </c>
      <c r="D8445" t="str">
        <v>-</v>
      </c>
      <c r="E8445" t="str">
        <v>-</v>
      </c>
      <c r="F8445" t="str">
        <v>-</v>
      </c>
      <c r="G8445" t="str">
        <v>-</v>
      </c>
    </row>
    <row r="8446">
      <c r="A8446">
        <v>8445</v>
      </c>
      <c r="B8446" t="str">
        <v>Công an phường Cát Bi  thành phố Hải Phòng</v>
      </c>
      <c r="C8446" t="str">
        <v>-</v>
      </c>
      <c r="D8446" t="str">
        <v>-</v>
      </c>
      <c r="E8446" t="str">
        <v/>
      </c>
      <c r="F8446" t="str">
        <v>-</v>
      </c>
      <c r="G8446" t="str">
        <v>-</v>
      </c>
    </row>
    <row r="8447">
      <c r="A8447">
        <v>8446</v>
      </c>
      <c r="B8447" t="str">
        <v>UBND Ủy ban nhân dân phường Cát Bi  thành phố Hải Phòng</v>
      </c>
      <c r="C8447" t="str">
        <v>-</v>
      </c>
      <c r="D8447" t="str">
        <v>-</v>
      </c>
      <c r="E8447" t="str">
        <v>-</v>
      </c>
      <c r="F8447" t="str">
        <v>-</v>
      </c>
      <c r="G8447" t="str">
        <v>-</v>
      </c>
    </row>
    <row r="8448">
      <c r="A8448">
        <v>8447</v>
      </c>
      <c r="B8448" t="str">
        <v>Công an phường Tràng Cát  thành phố Hải Phòng</v>
      </c>
      <c r="C8448" t="str">
        <v>-</v>
      </c>
      <c r="D8448" t="str">
        <v>-</v>
      </c>
      <c r="E8448" t="str">
        <v/>
      </c>
      <c r="F8448" t="str">
        <v>-</v>
      </c>
      <c r="G8448" t="str">
        <v>-</v>
      </c>
    </row>
    <row r="8449">
      <c r="A8449">
        <v>8448</v>
      </c>
      <c r="B8449" t="str">
        <v>UBND Ủy ban nhân dân phường Tràng Cát  thành phố Hải Phòng</v>
      </c>
      <c r="C8449" t="str">
        <v>-</v>
      </c>
      <c r="D8449" t="str">
        <v>-</v>
      </c>
      <c r="E8449" t="str">
        <v>-</v>
      </c>
      <c r="F8449" t="str">
        <v>-</v>
      </c>
      <c r="G8449" t="str">
        <v>-</v>
      </c>
    </row>
    <row r="8450">
      <c r="A8450">
        <v>8449</v>
      </c>
      <c r="B8450" t="str">
        <v>Công an phường Quán Trữ  thành phố Hải Phòng</v>
      </c>
      <c r="C8450" t="str">
        <v>-</v>
      </c>
      <c r="D8450" t="str">
        <v>-</v>
      </c>
      <c r="E8450" t="str">
        <v/>
      </c>
      <c r="F8450" t="str">
        <v>-</v>
      </c>
      <c r="G8450" t="str">
        <v>-</v>
      </c>
    </row>
    <row r="8451">
      <c r="A8451">
        <v>8450</v>
      </c>
      <c r="B8451" t="str">
        <v>UBND Ủy ban nhân dân phường Quán Trữ  thành phố Hải Phòng</v>
      </c>
      <c r="C8451" t="str">
        <v>-</v>
      </c>
      <c r="D8451" t="str">
        <v>-</v>
      </c>
      <c r="E8451" t="str">
        <v>-</v>
      </c>
      <c r="F8451" t="str">
        <v>-</v>
      </c>
      <c r="G8451" t="str">
        <v>-</v>
      </c>
    </row>
    <row r="8452">
      <c r="A8452">
        <v>8451</v>
      </c>
      <c r="B8452" t="str">
        <v>Công an phường Lãm Hà  thành phố Hải Phòng</v>
      </c>
      <c r="C8452" t="str">
        <v>-</v>
      </c>
      <c r="D8452" t="str">
        <v>-</v>
      </c>
      <c r="E8452" t="str">
        <v/>
      </c>
      <c r="F8452" t="str">
        <v>-</v>
      </c>
      <c r="G8452" t="str">
        <v>-</v>
      </c>
    </row>
    <row r="8453">
      <c r="A8453">
        <v>8452</v>
      </c>
      <c r="B8453" t="str">
        <v>UBND Ủy ban nhân dân phường Lãm Hà  thành phố Hải Phòng</v>
      </c>
      <c r="C8453" t="str">
        <v>-</v>
      </c>
      <c r="D8453" t="str">
        <v>-</v>
      </c>
      <c r="E8453" t="str">
        <v>-</v>
      </c>
      <c r="F8453" t="str">
        <v>-</v>
      </c>
      <c r="G8453" t="str">
        <v>-</v>
      </c>
    </row>
    <row r="8454">
      <c r="A8454">
        <v>8453</v>
      </c>
      <c r="B8454" t="str">
        <v>Công an phường Đồng Hoà  thành phố Hải Phòng</v>
      </c>
      <c r="C8454" t="str">
        <v>-</v>
      </c>
      <c r="D8454" t="str">
        <v>-</v>
      </c>
      <c r="E8454" t="str">
        <v/>
      </c>
      <c r="F8454" t="str">
        <v>-</v>
      </c>
      <c r="G8454" t="str">
        <v>-</v>
      </c>
    </row>
    <row r="8455">
      <c r="A8455">
        <v>8454</v>
      </c>
      <c r="B8455" t="str">
        <v>UBND Ủy ban nhân dân phường Đồng Hoà  thành phố Hải Phòng</v>
      </c>
      <c r="C8455" t="str">
        <v>-</v>
      </c>
      <c r="D8455" t="str">
        <v>-</v>
      </c>
      <c r="E8455" t="str">
        <v>-</v>
      </c>
      <c r="F8455" t="str">
        <v>-</v>
      </c>
      <c r="G8455" t="str">
        <v>-</v>
      </c>
    </row>
    <row r="8456">
      <c r="A8456">
        <v>8455</v>
      </c>
      <c r="B8456" t="str">
        <v>Công an phường Bắc Sơn  thành phố Hải Phòng</v>
      </c>
      <c r="C8456" t="str">
        <v>-</v>
      </c>
      <c r="D8456" t="str">
        <v>-</v>
      </c>
      <c r="E8456" t="str">
        <v/>
      </c>
      <c r="F8456" t="str">
        <v>-</v>
      </c>
      <c r="G8456" t="str">
        <v>-</v>
      </c>
    </row>
    <row r="8457">
      <c r="A8457">
        <v>8456</v>
      </c>
      <c r="B8457" t="str">
        <v>UBND Ủy ban nhân dân phường Bắc Sơn  thành phố Hải Phòng</v>
      </c>
      <c r="C8457" t="str">
        <v>-</v>
      </c>
      <c r="D8457" t="str">
        <v>-</v>
      </c>
      <c r="E8457" t="str">
        <v>-</v>
      </c>
      <c r="F8457" t="str">
        <v>-</v>
      </c>
      <c r="G8457" t="str">
        <v>-</v>
      </c>
    </row>
    <row r="8458">
      <c r="A8458">
        <v>8457</v>
      </c>
      <c r="B8458" t="str">
        <v>Công an phường Nam Sơn  thành phố Hải Phòng</v>
      </c>
      <c r="C8458" t="str">
        <v>-</v>
      </c>
      <c r="D8458" t="str">
        <v>-</v>
      </c>
      <c r="E8458" t="str">
        <v/>
      </c>
      <c r="F8458" t="str">
        <v>-</v>
      </c>
      <c r="G8458" t="str">
        <v>-</v>
      </c>
    </row>
    <row r="8459">
      <c r="A8459">
        <v>8458</v>
      </c>
      <c r="B8459" t="str">
        <v>UBND Ủy ban nhân dân phường Nam Sơn  thành phố Hải Phòng</v>
      </c>
      <c r="C8459" t="str">
        <v>-</v>
      </c>
      <c r="D8459" t="str">
        <v>-</v>
      </c>
      <c r="E8459" t="str">
        <v>-</v>
      </c>
      <c r="F8459" t="str">
        <v>-</v>
      </c>
      <c r="G8459" t="str">
        <v>-</v>
      </c>
    </row>
    <row r="8460">
      <c r="A8460">
        <v>8459</v>
      </c>
      <c r="B8460" t="str">
        <v>Công an phường Ngọc Sơn  thành phố Hải Phòng</v>
      </c>
      <c r="C8460" t="str">
        <v>-</v>
      </c>
      <c r="D8460" t="str">
        <v>-</v>
      </c>
      <c r="E8460" t="str">
        <v/>
      </c>
      <c r="F8460" t="str">
        <v>-</v>
      </c>
      <c r="G8460" t="str">
        <v>-</v>
      </c>
    </row>
    <row r="8461">
      <c r="A8461">
        <v>8460</v>
      </c>
      <c r="B8461" t="str">
        <v>UBND Ủy ban nhân dân phường Ngọc Sơn  thành phố Hải Phòng</v>
      </c>
      <c r="C8461" t="str">
        <v>-</v>
      </c>
      <c r="D8461" t="str">
        <v>-</v>
      </c>
      <c r="E8461" t="str">
        <v>-</v>
      </c>
      <c r="F8461" t="str">
        <v>-</v>
      </c>
      <c r="G8461" t="str">
        <v>-</v>
      </c>
    </row>
    <row r="8462">
      <c r="A8462">
        <v>8461</v>
      </c>
      <c r="B8462" t="str">
        <v>Công an phường Trần Thành Ngọ  thành phố Hải Phòng</v>
      </c>
      <c r="C8462" t="str">
        <v>-</v>
      </c>
      <c r="D8462" t="str">
        <v>-</v>
      </c>
      <c r="E8462" t="str">
        <v/>
      </c>
      <c r="F8462" t="str">
        <v>-</v>
      </c>
      <c r="G8462" t="str">
        <v>-</v>
      </c>
    </row>
    <row r="8463">
      <c r="A8463">
        <v>8462</v>
      </c>
      <c r="B8463" t="str">
        <v>UBND Ủy ban nhân dân phường Trần Thành Ngọ  thành phố Hải Phòng</v>
      </c>
      <c r="C8463" t="str">
        <v>-</v>
      </c>
      <c r="D8463" t="str">
        <v>-</v>
      </c>
      <c r="E8463" t="str">
        <v>-</v>
      </c>
      <c r="F8463" t="str">
        <v>-</v>
      </c>
      <c r="G8463" t="str">
        <v>-</v>
      </c>
    </row>
    <row r="8464">
      <c r="A8464">
        <v>8463</v>
      </c>
      <c r="B8464" t="str">
        <v>Công an phường Văn Đẩu  thành phố Hải Phòng</v>
      </c>
      <c r="C8464" t="str">
        <v>-</v>
      </c>
      <c r="D8464" t="str">
        <v>-</v>
      </c>
      <c r="E8464" t="str">
        <v/>
      </c>
      <c r="F8464" t="str">
        <v>-</v>
      </c>
      <c r="G8464" t="str">
        <v>-</v>
      </c>
    </row>
    <row r="8465">
      <c r="A8465">
        <v>8464</v>
      </c>
      <c r="B8465" t="str">
        <v>UBND Ủy ban nhân dân phường Văn Đẩu  thành phố Hải Phòng</v>
      </c>
      <c r="C8465" t="str">
        <v>-</v>
      </c>
      <c r="D8465" t="str">
        <v>-</v>
      </c>
      <c r="E8465" t="str">
        <v>-</v>
      </c>
      <c r="F8465" t="str">
        <v>-</v>
      </c>
      <c r="G8465" t="str">
        <v>-</v>
      </c>
    </row>
    <row r="8466">
      <c r="A8466">
        <v>8465</v>
      </c>
      <c r="B8466" t="str">
        <v>Công an phường Phù Liễn  thành phố Hải Phòng</v>
      </c>
      <c r="C8466" t="str">
        <v>-</v>
      </c>
      <c r="D8466" t="str">
        <v>-</v>
      </c>
      <c r="E8466" t="str">
        <v/>
      </c>
      <c r="F8466" t="str">
        <v>-</v>
      </c>
      <c r="G8466" t="str">
        <v>-</v>
      </c>
    </row>
    <row r="8467">
      <c r="A8467">
        <v>8466</v>
      </c>
      <c r="B8467" t="str">
        <v>UBND Ủy ban nhân dân phường Phù Liễn  thành phố Hải Phòng</v>
      </c>
      <c r="C8467" t="str">
        <v>-</v>
      </c>
      <c r="D8467" t="str">
        <v>-</v>
      </c>
      <c r="E8467" t="str">
        <v>-</v>
      </c>
      <c r="F8467" t="str">
        <v>-</v>
      </c>
      <c r="G8467" t="str">
        <v>-</v>
      </c>
    </row>
    <row r="8468">
      <c r="A8468">
        <v>8467</v>
      </c>
      <c r="B8468" t="str">
        <v>Công an phường Tràng Minh  thành phố Hải Phòng</v>
      </c>
      <c r="C8468" t="str">
        <v>-</v>
      </c>
      <c r="D8468" t="str">
        <v>-</v>
      </c>
      <c r="E8468" t="str">
        <v/>
      </c>
      <c r="F8468" t="str">
        <v>-</v>
      </c>
      <c r="G8468" t="str">
        <v>-</v>
      </c>
    </row>
    <row r="8469">
      <c r="A8469">
        <v>8468</v>
      </c>
      <c r="B8469" t="str">
        <v>UBND Ủy ban nhân dân phường Tràng Minh  thành phố Hải Phòng</v>
      </c>
      <c r="C8469" t="str">
        <v>-</v>
      </c>
      <c r="D8469" t="str">
        <v>-</v>
      </c>
      <c r="E8469" t="str">
        <v>-</v>
      </c>
      <c r="F8469" t="str">
        <v>-</v>
      </c>
      <c r="G8469" t="str">
        <v>-</v>
      </c>
    </row>
    <row r="8470">
      <c r="A8470">
        <v>8469</v>
      </c>
      <c r="B8470" t="str">
        <v>Công an phường Ngọc Xuyên  thành phố Hải Phòng</v>
      </c>
      <c r="C8470" t="str">
        <v>-</v>
      </c>
      <c r="D8470" t="str">
        <v>-</v>
      </c>
      <c r="E8470" t="str">
        <v/>
      </c>
      <c r="F8470" t="str">
        <v>-</v>
      </c>
      <c r="G8470" t="str">
        <v>-</v>
      </c>
    </row>
    <row r="8471">
      <c r="A8471">
        <v>8470</v>
      </c>
      <c r="B8471" t="str">
        <v>UBND Ủy ban nhân dân phường Ngọc Xuyên  thành phố Hải Phòng</v>
      </c>
      <c r="C8471" t="str">
        <v>-</v>
      </c>
      <c r="D8471" t="str">
        <v>-</v>
      </c>
      <c r="E8471" t="str">
        <v>-</v>
      </c>
      <c r="F8471" t="str">
        <v>-</v>
      </c>
      <c r="G8471" t="str">
        <v>-</v>
      </c>
    </row>
    <row r="8472">
      <c r="A8472">
        <v>8471</v>
      </c>
      <c r="B8472" t="str">
        <v>Công an phường Ngọc Hải  thành phố Hải Phòng</v>
      </c>
      <c r="C8472" t="str">
        <v>-</v>
      </c>
      <c r="D8472" t="str">
        <v>-</v>
      </c>
      <c r="E8472" t="str">
        <v/>
      </c>
      <c r="F8472" t="str">
        <v>-</v>
      </c>
      <c r="G8472" t="str">
        <v>-</v>
      </c>
    </row>
    <row r="8473">
      <c r="A8473">
        <v>8472</v>
      </c>
      <c r="B8473" t="str">
        <v>UBND Ủy ban nhân dân phường Ngọc Hải  thành phố Hải Phòng</v>
      </c>
      <c r="C8473" t="str">
        <v>-</v>
      </c>
      <c r="D8473" t="str">
        <v>-</v>
      </c>
      <c r="E8473" t="str">
        <v>-</v>
      </c>
      <c r="F8473" t="str">
        <v>-</v>
      </c>
      <c r="G8473" t="str">
        <v>-</v>
      </c>
    </row>
    <row r="8474">
      <c r="A8474">
        <v>8473</v>
      </c>
      <c r="B8474" t="str">
        <v>Công an phường Vạn Hương  thành phố Hải Phòng</v>
      </c>
      <c r="C8474" t="str">
        <v>-</v>
      </c>
      <c r="D8474" t="str">
        <v>-</v>
      </c>
      <c r="E8474" t="str">
        <v/>
      </c>
      <c r="F8474" t="str">
        <v>-</v>
      </c>
      <c r="G8474" t="str">
        <v>-</v>
      </c>
    </row>
    <row r="8475">
      <c r="A8475">
        <v>8474</v>
      </c>
      <c r="B8475" t="str">
        <v>UBND Ủy ban nhân dân phường Vạn Hương  thành phố Hải Phòng</v>
      </c>
      <c r="C8475" t="str">
        <v>-</v>
      </c>
      <c r="D8475" t="str">
        <v>-</v>
      </c>
      <c r="E8475" t="str">
        <v>-</v>
      </c>
      <c r="F8475" t="str">
        <v>-</v>
      </c>
      <c r="G8475" t="str">
        <v>-</v>
      </c>
    </row>
    <row r="8476">
      <c r="A8476">
        <v>8475</v>
      </c>
      <c r="B8476" t="str">
        <v>Công an phường Vạn Sơn  thành phố Hải Phòng</v>
      </c>
      <c r="C8476" t="str">
        <v>-</v>
      </c>
      <c r="D8476" t="str">
        <v>-</v>
      </c>
      <c r="E8476" t="str">
        <v/>
      </c>
      <c r="F8476" t="str">
        <v>-</v>
      </c>
      <c r="G8476" t="str">
        <v>-</v>
      </c>
    </row>
    <row r="8477">
      <c r="A8477">
        <v>8476</v>
      </c>
      <c r="B8477" t="str">
        <v>UBND Ủy ban nhân dân phường Vạn Sơn  thành phố Hải Phòng</v>
      </c>
      <c r="C8477" t="str">
        <v>-</v>
      </c>
      <c r="D8477" t="str">
        <v>-</v>
      </c>
      <c r="E8477" t="str">
        <v>-</v>
      </c>
      <c r="F8477" t="str">
        <v>-</v>
      </c>
      <c r="G8477" t="str">
        <v>-</v>
      </c>
    </row>
    <row r="8478">
      <c r="A8478">
        <v>8477</v>
      </c>
      <c r="B8478" t="str">
        <v>Công an phường Minh Đức  thành phố Hải Phòng</v>
      </c>
      <c r="C8478" t="str">
        <v>-</v>
      </c>
      <c r="D8478" t="str">
        <v>-</v>
      </c>
      <c r="E8478" t="str">
        <v/>
      </c>
      <c r="F8478" t="str">
        <v>-</v>
      </c>
      <c r="G8478" t="str">
        <v>-</v>
      </c>
    </row>
    <row r="8479">
      <c r="A8479">
        <v>8478</v>
      </c>
      <c r="B8479" t="str">
        <v>UBND Ủy ban nhân dân phường Minh Đức  thành phố Hải Phòng</v>
      </c>
      <c r="C8479" t="str">
        <v>-</v>
      </c>
      <c r="D8479" t="str">
        <v>-</v>
      </c>
      <c r="E8479" t="str">
        <v>-</v>
      </c>
      <c r="F8479" t="str">
        <v>-</v>
      </c>
      <c r="G8479" t="str">
        <v>-</v>
      </c>
    </row>
    <row r="8480">
      <c r="A8480">
        <v>8479</v>
      </c>
      <c r="B8480" t="str">
        <v>Công an phường Bàng La  thành phố Hải Phòng</v>
      </c>
      <c r="C8480" t="str">
        <v>-</v>
      </c>
      <c r="D8480" t="str">
        <v>-</v>
      </c>
      <c r="E8480" t="str">
        <v/>
      </c>
      <c r="F8480" t="str">
        <v>-</v>
      </c>
      <c r="G8480" t="str">
        <v>-</v>
      </c>
    </row>
    <row r="8481">
      <c r="A8481">
        <v>8480</v>
      </c>
      <c r="B8481" t="str">
        <v>UBND Ủy ban nhân dân phường Bàng La  thành phố Hải Phòng</v>
      </c>
      <c r="C8481" t="str">
        <v>-</v>
      </c>
      <c r="D8481" t="str">
        <v>-</v>
      </c>
      <c r="E8481" t="str">
        <v>-</v>
      </c>
      <c r="F8481" t="str">
        <v>-</v>
      </c>
      <c r="G8481" t="str">
        <v>-</v>
      </c>
    </row>
    <row r="8482">
      <c r="A8482">
        <v>8481</v>
      </c>
      <c r="B8482" t="str">
        <v>Công an phường Hợp Đức  thành phố Hải Phòng</v>
      </c>
      <c r="C8482" t="str">
        <v>-</v>
      </c>
      <c r="D8482" t="str">
        <v>-</v>
      </c>
      <c r="E8482" t="str">
        <v/>
      </c>
      <c r="F8482" t="str">
        <v>-</v>
      </c>
      <c r="G8482" t="str">
        <v>-</v>
      </c>
    </row>
    <row r="8483">
      <c r="A8483">
        <v>8482</v>
      </c>
      <c r="B8483" t="str">
        <v>UBND Ủy ban nhân dân phường Hợp Đức  thành phố Hải Phòng</v>
      </c>
      <c r="C8483" t="str">
        <v>-</v>
      </c>
      <c r="D8483" t="str">
        <v>-</v>
      </c>
      <c r="E8483" t="str">
        <v>-</v>
      </c>
      <c r="F8483" t="str">
        <v>-</v>
      </c>
      <c r="G8483" t="str">
        <v>-</v>
      </c>
    </row>
    <row r="8484">
      <c r="A8484">
        <v>8483</v>
      </c>
      <c r="B8484" t="str">
        <v>Công an phường Đa Phúc  thành phố Hải Phòng</v>
      </c>
      <c r="C8484" t="str">
        <v>-</v>
      </c>
      <c r="D8484" t="str">
        <v>-</v>
      </c>
      <c r="E8484" t="str">
        <v/>
      </c>
      <c r="F8484" t="str">
        <v>-</v>
      </c>
      <c r="G8484" t="str">
        <v>-</v>
      </c>
    </row>
    <row r="8485">
      <c r="A8485">
        <v>8484</v>
      </c>
      <c r="B8485" t="str">
        <v>UBND Ủy ban nhân dân phường Đa Phúc  thành phố Hải Phòng</v>
      </c>
      <c r="C8485" t="str">
        <v>-</v>
      </c>
      <c r="D8485" t="str">
        <v>-</v>
      </c>
      <c r="E8485" t="str">
        <v>-</v>
      </c>
      <c r="F8485" t="str">
        <v>-</v>
      </c>
      <c r="G8485" t="str">
        <v>-</v>
      </c>
    </row>
    <row r="8486">
      <c r="A8486">
        <v>8485</v>
      </c>
      <c r="B8486" t="str">
        <v>Công an phường Hưng Đạo  thành phố Hải Phòng</v>
      </c>
      <c r="C8486" t="str">
        <v>-</v>
      </c>
      <c r="D8486" t="str">
        <v>-</v>
      </c>
      <c r="E8486" t="str">
        <v/>
      </c>
      <c r="F8486" t="str">
        <v>-</v>
      </c>
      <c r="G8486" t="str">
        <v>-</v>
      </c>
    </row>
    <row r="8487">
      <c r="A8487">
        <v>8486</v>
      </c>
      <c r="B8487" t="str">
        <v>UBND Ủy ban nhân dân phường Hưng Đạo  thành phố Hải Phòng</v>
      </c>
      <c r="C8487" t="str">
        <v>-</v>
      </c>
      <c r="D8487" t="str">
        <v>-</v>
      </c>
      <c r="E8487" t="str">
        <v>-</v>
      </c>
      <c r="F8487" t="str">
        <v>-</v>
      </c>
      <c r="G8487" t="str">
        <v>-</v>
      </c>
    </row>
    <row r="8488">
      <c r="A8488">
        <v>8487</v>
      </c>
      <c r="B8488" t="str">
        <v>Công an phường Anh Dũng  thành phố Hải Phòng</v>
      </c>
      <c r="C8488" t="str">
        <v>-</v>
      </c>
      <c r="D8488" t="str">
        <v>-</v>
      </c>
      <c r="E8488" t="str">
        <v/>
      </c>
      <c r="F8488" t="str">
        <v>-</v>
      </c>
      <c r="G8488" t="str">
        <v>-</v>
      </c>
    </row>
    <row r="8489">
      <c r="A8489">
        <v>8488</v>
      </c>
      <c r="B8489" t="str">
        <v>UBND Ủy ban nhân dân phường Anh Dũng  thành phố Hải Phòng</v>
      </c>
      <c r="C8489" t="str">
        <v>-</v>
      </c>
      <c r="D8489" t="str">
        <v>-</v>
      </c>
      <c r="E8489" t="str">
        <v>-</v>
      </c>
      <c r="F8489" t="str">
        <v>-</v>
      </c>
      <c r="G8489" t="str">
        <v>-</v>
      </c>
    </row>
    <row r="8490">
      <c r="A8490">
        <v>8489</v>
      </c>
      <c r="B8490" t="str">
        <v>Công an phường Hải Thành  thành phố Hải Phòng</v>
      </c>
      <c r="C8490" t="str">
        <v>-</v>
      </c>
      <c r="D8490" t="str">
        <v>-</v>
      </c>
      <c r="E8490" t="str">
        <v/>
      </c>
      <c r="F8490" t="str">
        <v>-</v>
      </c>
      <c r="G8490" t="str">
        <v>-</v>
      </c>
    </row>
    <row r="8491">
      <c r="A8491">
        <v>8490</v>
      </c>
      <c r="B8491" t="str">
        <v>UBND Ủy ban nhân dân phường Hải Thành  thành phố Hải Phòng</v>
      </c>
      <c r="C8491" t="str">
        <v>-</v>
      </c>
      <c r="D8491" t="str">
        <v>-</v>
      </c>
      <c r="E8491" t="str">
        <v>-</v>
      </c>
      <c r="F8491" t="str">
        <v>-</v>
      </c>
      <c r="G8491" t="str">
        <v>-</v>
      </c>
    </row>
    <row r="8492">
      <c r="A8492">
        <v>8491</v>
      </c>
      <c r="B8492" t="str">
        <v>Công an phường Hoà Nghĩa  thành phố Hải Phòng</v>
      </c>
      <c r="C8492" t="str">
        <v>-</v>
      </c>
      <c r="D8492" t="str">
        <v>-</v>
      </c>
      <c r="E8492" t="str">
        <v/>
      </c>
      <c r="F8492" t="str">
        <v>-</v>
      </c>
      <c r="G8492" t="str">
        <v>-</v>
      </c>
    </row>
    <row r="8493">
      <c r="A8493">
        <v>8492</v>
      </c>
      <c r="B8493" t="str">
        <v>UBND Ủy ban nhân dân phường Hoà Nghĩa  thành phố Hải Phòng</v>
      </c>
      <c r="C8493" t="str">
        <v>-</v>
      </c>
      <c r="D8493" t="str">
        <v>-</v>
      </c>
      <c r="E8493" t="str">
        <v>-</v>
      </c>
      <c r="F8493" t="str">
        <v>-</v>
      </c>
      <c r="G8493" t="str">
        <v>-</v>
      </c>
    </row>
    <row r="8494">
      <c r="A8494">
        <v>8493</v>
      </c>
      <c r="B8494" t="str">
        <v>Công an phường Tân Thành  thành phố Hải Phòng</v>
      </c>
      <c r="C8494" t="str">
        <v>-</v>
      </c>
      <c r="D8494" t="str">
        <v>-</v>
      </c>
      <c r="E8494" t="str">
        <v/>
      </c>
      <c r="F8494" t="str">
        <v>-</v>
      </c>
      <c r="G8494" t="str">
        <v>-</v>
      </c>
    </row>
    <row r="8495">
      <c r="A8495">
        <v>8494</v>
      </c>
      <c r="B8495" t="str">
        <v>UBND Ủy ban nhân dân phường Tân Thành  thành phố Hải Phòng</v>
      </c>
      <c r="C8495" t="str">
        <v>-</v>
      </c>
      <c r="D8495" t="str">
        <v>-</v>
      </c>
      <c r="E8495" t="str">
        <v>-</v>
      </c>
      <c r="F8495" t="str">
        <v>-</v>
      </c>
      <c r="G8495" t="str">
        <v>-</v>
      </c>
    </row>
    <row r="8496">
      <c r="A8496">
        <v>8495</v>
      </c>
      <c r="B8496" t="str">
        <v>Công an thị trấn Núi Đèo  thành phố Hải Phòng</v>
      </c>
      <c r="C8496" t="str">
        <v>-</v>
      </c>
      <c r="D8496" t="str">
        <v>-</v>
      </c>
      <c r="E8496" t="str">
        <v/>
      </c>
      <c r="F8496" t="str">
        <v>-</v>
      </c>
      <c r="G8496" t="str">
        <v>-</v>
      </c>
    </row>
    <row r="8497">
      <c r="A8497">
        <v>8496</v>
      </c>
      <c r="B8497" t="str">
        <v>UBND Ủy ban nhân dân thị trấn Núi Đèo  thành phố Hải Phòng</v>
      </c>
      <c r="C8497" t="str">
        <v>-</v>
      </c>
      <c r="D8497" t="str">
        <v>-</v>
      </c>
      <c r="E8497" t="str">
        <v>-</v>
      </c>
      <c r="F8497" t="str">
        <v>-</v>
      </c>
      <c r="G8497" t="str">
        <v>-</v>
      </c>
    </row>
    <row r="8498">
      <c r="A8498">
        <v>8497</v>
      </c>
      <c r="B8498" t="str">
        <v>Công an thị trấn Minh Đức  thành phố Hải Phòng</v>
      </c>
      <c r="C8498" t="str">
        <v>-</v>
      </c>
      <c r="D8498" t="str">
        <v>-</v>
      </c>
      <c r="E8498" t="str">
        <v/>
      </c>
      <c r="F8498" t="str">
        <v>-</v>
      </c>
      <c r="G8498" t="str">
        <v>-</v>
      </c>
    </row>
    <row r="8499">
      <c r="A8499">
        <v>8498</v>
      </c>
      <c r="B8499" t="str">
        <v>UBND Ủy ban nhân dân thị trấn Minh Đức  thành phố Hải Phòng</v>
      </c>
      <c r="C8499" t="str">
        <v>-</v>
      </c>
      <c r="D8499" t="str">
        <v>-</v>
      </c>
      <c r="E8499" t="str">
        <v>-</v>
      </c>
      <c r="F8499" t="str">
        <v>-</v>
      </c>
      <c r="G8499" t="str">
        <v>-</v>
      </c>
    </row>
    <row r="8500">
      <c r="A8500">
        <v>8499</v>
      </c>
      <c r="B8500" t="str">
        <v>Công an xã Lại Xuân  thành phố Hải Phòng</v>
      </c>
      <c r="C8500" t="str">
        <v>-</v>
      </c>
      <c r="D8500" t="str">
        <v>-</v>
      </c>
      <c r="E8500" t="str">
        <v/>
      </c>
      <c r="F8500" t="str">
        <v>-</v>
      </c>
      <c r="G8500" t="str">
        <v>-</v>
      </c>
    </row>
    <row r="8501">
      <c r="A8501">
        <v>8500</v>
      </c>
      <c r="B8501" t="str">
        <v>UBND Ủy ban nhân dân xã Lại Xuân  thành phố Hải Phòng</v>
      </c>
      <c r="C8501" t="str">
        <v>-</v>
      </c>
      <c r="D8501" t="str">
        <v>-</v>
      </c>
      <c r="E8501" t="str">
        <v>-</v>
      </c>
      <c r="F8501" t="str">
        <v>-</v>
      </c>
      <c r="G8501" t="str">
        <v>-</v>
      </c>
    </row>
    <row r="8502">
      <c r="A8502">
        <v>8501</v>
      </c>
      <c r="B8502" t="str">
        <v>Công an xã An Sơn  thành phố Hải Phòng</v>
      </c>
      <c r="C8502" t="str">
        <v>-</v>
      </c>
      <c r="D8502" t="str">
        <v>-</v>
      </c>
      <c r="E8502" t="str">
        <v/>
      </c>
      <c r="F8502" t="str">
        <v>-</v>
      </c>
      <c r="G8502" t="str">
        <v>-</v>
      </c>
    </row>
    <row r="8503">
      <c r="A8503">
        <v>8502</v>
      </c>
      <c r="B8503" t="str">
        <v>UBND Ủy ban nhân dân xã An Sơn  thành phố Hải Phòng</v>
      </c>
      <c r="C8503" t="str">
        <v>-</v>
      </c>
      <c r="D8503" t="str">
        <v>-</v>
      </c>
      <c r="E8503" t="str">
        <v>-</v>
      </c>
      <c r="F8503" t="str">
        <v>-</v>
      </c>
      <c r="G8503" t="str">
        <v>-</v>
      </c>
    </row>
    <row r="8504">
      <c r="A8504">
        <v>8503</v>
      </c>
      <c r="B8504" t="str">
        <v>Công an xã Kỳ Sơn  thành phố Hải Phòng</v>
      </c>
      <c r="C8504" t="str">
        <v>-</v>
      </c>
      <c r="D8504" t="str">
        <v>-</v>
      </c>
      <c r="E8504" t="str">
        <v/>
      </c>
      <c r="F8504" t="str">
        <v>-</v>
      </c>
      <c r="G8504" t="str">
        <v>-</v>
      </c>
    </row>
    <row r="8505">
      <c r="A8505">
        <v>8504</v>
      </c>
      <c r="B8505" t="str">
        <v>UBND Ủy ban nhân dân xã Kỳ Sơn  thành phố Hải Phòng</v>
      </c>
      <c r="C8505" t="str">
        <v>-</v>
      </c>
      <c r="D8505" t="str">
        <v>-</v>
      </c>
      <c r="E8505" t="str">
        <v>-</v>
      </c>
      <c r="F8505" t="str">
        <v>-</v>
      </c>
      <c r="G8505" t="str">
        <v>-</v>
      </c>
    </row>
    <row r="8506">
      <c r="A8506">
        <v>8505</v>
      </c>
      <c r="B8506" t="str">
        <v>Công an xã Liên Khê  thành phố Hải Phòng</v>
      </c>
      <c r="C8506" t="str">
        <v>-</v>
      </c>
      <c r="D8506" t="str">
        <v>-</v>
      </c>
      <c r="E8506" t="str">
        <v/>
      </c>
      <c r="F8506" t="str">
        <v>-</v>
      </c>
      <c r="G8506" t="str">
        <v>-</v>
      </c>
    </row>
    <row r="8507">
      <c r="A8507">
        <v>8506</v>
      </c>
      <c r="B8507" t="str">
        <v>UBND Ủy ban nhân dân xã Liên Khê  thành phố Hải Phòng</v>
      </c>
      <c r="C8507" t="str">
        <v>-</v>
      </c>
      <c r="D8507" t="str">
        <v>-</v>
      </c>
      <c r="E8507" t="str">
        <v>-</v>
      </c>
      <c r="F8507" t="str">
        <v>-</v>
      </c>
      <c r="G8507" t="str">
        <v>-</v>
      </c>
    </row>
    <row r="8508">
      <c r="A8508">
        <v>8507</v>
      </c>
      <c r="B8508" t="str">
        <v>Công an xã Lưu Kiếm  thành phố Hải Phòng</v>
      </c>
      <c r="C8508" t="str">
        <v>-</v>
      </c>
      <c r="D8508" t="str">
        <v>-</v>
      </c>
      <c r="E8508" t="str">
        <v/>
      </c>
      <c r="F8508" t="str">
        <v>-</v>
      </c>
      <c r="G8508" t="str">
        <v>-</v>
      </c>
    </row>
    <row r="8509">
      <c r="A8509">
        <v>8508</v>
      </c>
      <c r="B8509" t="str">
        <v>UBND Ủy ban nhân dân xã Lưu Kiếm  thành phố Hải Phòng</v>
      </c>
      <c r="C8509" t="str">
        <v>-</v>
      </c>
      <c r="D8509" t="str">
        <v>-</v>
      </c>
      <c r="E8509" t="str">
        <v>-</v>
      </c>
      <c r="F8509" t="str">
        <v>-</v>
      </c>
      <c r="G8509" t="str">
        <v>-</v>
      </c>
    </row>
    <row r="8510">
      <c r="A8510">
        <v>8509</v>
      </c>
      <c r="B8510" t="str">
        <v>Công an xã Lưu Kỳ  thành phố Hải Phòng</v>
      </c>
      <c r="C8510" t="str">
        <v>-</v>
      </c>
      <c r="D8510" t="str">
        <v>-</v>
      </c>
      <c r="E8510" t="str">
        <v/>
      </c>
      <c r="F8510" t="str">
        <v>-</v>
      </c>
      <c r="G8510" t="str">
        <v>-</v>
      </c>
    </row>
    <row r="8511">
      <c r="A8511">
        <v>8510</v>
      </c>
      <c r="B8511" t="str">
        <v>UBND Ủy ban nhân dân xã Lưu Kỳ  thành phố Hải Phòng</v>
      </c>
      <c r="C8511" t="str">
        <v>-</v>
      </c>
      <c r="D8511" t="str">
        <v>-</v>
      </c>
      <c r="E8511" t="str">
        <v>-</v>
      </c>
      <c r="F8511" t="str">
        <v>-</v>
      </c>
      <c r="G8511" t="str">
        <v>-</v>
      </c>
    </row>
    <row r="8512">
      <c r="A8512">
        <v>8511</v>
      </c>
      <c r="B8512" t="str">
        <v>Công an xã Gia Minh  thành phố Hải Phòng</v>
      </c>
      <c r="C8512" t="str">
        <v>-</v>
      </c>
      <c r="D8512" t="str">
        <v>-</v>
      </c>
      <c r="E8512" t="str">
        <v/>
      </c>
      <c r="F8512" t="str">
        <v>-</v>
      </c>
      <c r="G8512" t="str">
        <v>-</v>
      </c>
    </row>
    <row r="8513">
      <c r="A8513">
        <v>8512</v>
      </c>
      <c r="B8513" t="str">
        <v>UBND Ủy ban nhân dân xã Gia Minh  thành phố Hải Phòng</v>
      </c>
      <c r="C8513" t="str">
        <v>-</v>
      </c>
      <c r="D8513" t="str">
        <v>-</v>
      </c>
      <c r="E8513" t="str">
        <v>-</v>
      </c>
      <c r="F8513" t="str">
        <v>-</v>
      </c>
      <c r="G8513" t="str">
        <v>-</v>
      </c>
    </row>
    <row r="8514">
      <c r="A8514">
        <v>8513</v>
      </c>
      <c r="B8514" t="str">
        <v>Công an xã Gia Đức  thành phố Hải Phòng</v>
      </c>
      <c r="C8514" t="str">
        <v>-</v>
      </c>
      <c r="D8514" t="str">
        <v>-</v>
      </c>
      <c r="E8514" t="str">
        <v/>
      </c>
      <c r="F8514" t="str">
        <v>-</v>
      </c>
      <c r="G8514" t="str">
        <v>-</v>
      </c>
    </row>
    <row r="8515">
      <c r="A8515">
        <v>8514</v>
      </c>
      <c r="B8515" t="str">
        <v>UBND Ủy ban nhân dân xã Gia Đức  thành phố Hải Phòng</v>
      </c>
      <c r="C8515" t="str">
        <v>-</v>
      </c>
      <c r="D8515" t="str">
        <v>-</v>
      </c>
      <c r="E8515" t="str">
        <v>-</v>
      </c>
      <c r="F8515" t="str">
        <v>-</v>
      </c>
      <c r="G8515" t="str">
        <v>-</v>
      </c>
    </row>
    <row r="8516">
      <c r="A8516">
        <v>8515</v>
      </c>
      <c r="B8516" t="str">
        <v>Công an xã Minh Tân  thành phố Hải Phòng</v>
      </c>
      <c r="C8516" t="str">
        <v>-</v>
      </c>
      <c r="D8516" t="str">
        <v>-</v>
      </c>
      <c r="E8516" t="str">
        <v/>
      </c>
      <c r="F8516" t="str">
        <v>-</v>
      </c>
      <c r="G8516" t="str">
        <v>-</v>
      </c>
    </row>
    <row r="8517">
      <c r="A8517">
        <v>8516</v>
      </c>
      <c r="B8517" t="str">
        <v>UBND Ủy ban nhân dân xã Minh Tân  thành phố Hải Phòng</v>
      </c>
      <c r="C8517" t="str">
        <v>-</v>
      </c>
      <c r="D8517" t="str">
        <v>-</v>
      </c>
      <c r="E8517" t="str">
        <v>-</v>
      </c>
      <c r="F8517" t="str">
        <v>-</v>
      </c>
      <c r="G8517" t="str">
        <v>-</v>
      </c>
    </row>
    <row r="8518">
      <c r="A8518">
        <v>8517</v>
      </c>
      <c r="B8518" t="str">
        <v>Công an xã Phù Ninh  thành phố Hải Phòng</v>
      </c>
      <c r="C8518" t="str">
        <v>-</v>
      </c>
      <c r="D8518" t="str">
        <v>-</v>
      </c>
      <c r="E8518" t="str">
        <v/>
      </c>
      <c r="F8518" t="str">
        <v>-</v>
      </c>
      <c r="G8518" t="str">
        <v>-</v>
      </c>
    </row>
    <row r="8519">
      <c r="A8519">
        <v>8518</v>
      </c>
      <c r="B8519" t="str">
        <v>UBND Ủy ban nhân dân xã Phù Ninh  thành phố Hải Phòng</v>
      </c>
      <c r="C8519" t="str">
        <v>-</v>
      </c>
      <c r="D8519" t="str">
        <v>-</v>
      </c>
      <c r="E8519" t="str">
        <v>-</v>
      </c>
      <c r="F8519" t="str">
        <v>-</v>
      </c>
      <c r="G8519" t="str">
        <v>-</v>
      </c>
    </row>
    <row r="8520">
      <c r="A8520">
        <v>8519</v>
      </c>
      <c r="B8520" t="str">
        <v>Công an xã Quảng Thanh  thành phố Hải Phòng</v>
      </c>
      <c r="C8520" t="str">
        <v>-</v>
      </c>
      <c r="D8520" t="str">
        <v>-</v>
      </c>
      <c r="E8520" t="str">
        <v/>
      </c>
      <c r="F8520" t="str">
        <v>-</v>
      </c>
      <c r="G8520" t="str">
        <v>-</v>
      </c>
    </row>
    <row r="8521">
      <c r="A8521">
        <v>8520</v>
      </c>
      <c r="B8521" t="str">
        <v>UBND Ủy ban nhân dân xã Quảng Thanh  thành phố Hải Phòng</v>
      </c>
      <c r="C8521" t="str">
        <v>-</v>
      </c>
      <c r="D8521" t="str">
        <v>-</v>
      </c>
      <c r="E8521" t="str">
        <v>-</v>
      </c>
      <c r="F8521" t="str">
        <v>-</v>
      </c>
      <c r="G8521" t="str">
        <v>-</v>
      </c>
    </row>
    <row r="8522">
      <c r="A8522">
        <v>8521</v>
      </c>
      <c r="B8522" t="str">
        <v>Công an xã Chính Mỹ  thành phố Hải Phòng</v>
      </c>
      <c r="C8522" t="str">
        <v>-</v>
      </c>
      <c r="D8522" t="str">
        <v>-</v>
      </c>
      <c r="E8522" t="str">
        <v/>
      </c>
      <c r="F8522" t="str">
        <v>-</v>
      </c>
      <c r="G8522" t="str">
        <v>-</v>
      </c>
    </row>
    <row r="8523">
      <c r="A8523">
        <v>8522</v>
      </c>
      <c r="B8523" t="str">
        <v>UBND Ủy ban nhân dân xã Chính Mỹ  thành phố Hải Phòng</v>
      </c>
      <c r="C8523" t="str">
        <v>-</v>
      </c>
      <c r="D8523" t="str">
        <v>-</v>
      </c>
      <c r="E8523" t="str">
        <v>-</v>
      </c>
      <c r="F8523" t="str">
        <v>-</v>
      </c>
      <c r="G8523" t="str">
        <v>-</v>
      </c>
    </row>
    <row r="8524">
      <c r="A8524">
        <v>8523</v>
      </c>
      <c r="B8524" t="str">
        <v>Công an xã Kênh Giang  thành phố Hải Phòng</v>
      </c>
      <c r="C8524" t="str">
        <v>-</v>
      </c>
      <c r="D8524" t="str">
        <v>-</v>
      </c>
      <c r="E8524" t="str">
        <v/>
      </c>
      <c r="F8524" t="str">
        <v>-</v>
      </c>
      <c r="G8524" t="str">
        <v>-</v>
      </c>
    </row>
    <row r="8525">
      <c r="A8525">
        <v>8524</v>
      </c>
      <c r="B8525" t="str">
        <v>UBND Ủy ban nhân dân xã Kênh Giang  thành phố Hải Phòng</v>
      </c>
      <c r="C8525" t="str">
        <v>-</v>
      </c>
      <c r="D8525" t="str">
        <v>-</v>
      </c>
      <c r="E8525" t="str">
        <v>-</v>
      </c>
      <c r="F8525" t="str">
        <v>-</v>
      </c>
      <c r="G8525" t="str">
        <v>-</v>
      </c>
    </row>
    <row r="8526">
      <c r="A8526">
        <v>8525</v>
      </c>
      <c r="B8526" t="str">
        <v>Công an xã Hợp Thành  thành phố Hải Phòng</v>
      </c>
      <c r="C8526" t="str">
        <v>-</v>
      </c>
      <c r="D8526" t="str">
        <v>-</v>
      </c>
      <c r="E8526" t="str">
        <v/>
      </c>
      <c r="F8526" t="str">
        <v>-</v>
      </c>
      <c r="G8526" t="str">
        <v>-</v>
      </c>
    </row>
    <row r="8527">
      <c r="A8527">
        <v>8526</v>
      </c>
      <c r="B8527" t="str">
        <v>UBND Ủy ban nhân dân xã Hợp Thành  thành phố Hải Phòng</v>
      </c>
      <c r="C8527" t="str">
        <v>-</v>
      </c>
      <c r="D8527" t="str">
        <v>-</v>
      </c>
      <c r="E8527" t="str">
        <v>-</v>
      </c>
      <c r="F8527" t="str">
        <v>-</v>
      </c>
      <c r="G8527" t="str">
        <v>-</v>
      </c>
    </row>
    <row r="8528">
      <c r="A8528">
        <v>8527</v>
      </c>
      <c r="B8528" t="str">
        <v>Công an xã Cao Nhân  thành phố Hải Phòng</v>
      </c>
      <c r="C8528" t="str">
        <v>-</v>
      </c>
      <c r="D8528" t="str">
        <v>-</v>
      </c>
      <c r="E8528" t="str">
        <v/>
      </c>
      <c r="F8528" t="str">
        <v>-</v>
      </c>
      <c r="G8528" t="str">
        <v>-</v>
      </c>
    </row>
    <row r="8529">
      <c r="A8529">
        <v>8528</v>
      </c>
      <c r="B8529" t="str">
        <v>UBND Ủy ban nhân dân xã Cao Nhân  thành phố Hải Phòng</v>
      </c>
      <c r="C8529" t="str">
        <v>-</v>
      </c>
      <c r="D8529" t="str">
        <v>-</v>
      </c>
      <c r="E8529" t="str">
        <v>-</v>
      </c>
      <c r="F8529" t="str">
        <v>-</v>
      </c>
      <c r="G8529" t="str">
        <v>-</v>
      </c>
    </row>
    <row r="8530">
      <c r="A8530">
        <v>8529</v>
      </c>
      <c r="B8530" t="str">
        <v>Công an xã Mỹ Đồng  thành phố Hải Phòng</v>
      </c>
      <c r="C8530" t="str">
        <v>-</v>
      </c>
      <c r="D8530" t="str">
        <v>-</v>
      </c>
      <c r="E8530" t="str">
        <v/>
      </c>
      <c r="F8530" t="str">
        <v>-</v>
      </c>
      <c r="G8530" t="str">
        <v>-</v>
      </c>
    </row>
    <row r="8531">
      <c r="A8531">
        <v>8530</v>
      </c>
      <c r="B8531" t="str">
        <v>UBND Ủy ban nhân dân xã Mỹ Đồng  thành phố Hải Phòng</v>
      </c>
      <c r="C8531" t="str">
        <v>-</v>
      </c>
      <c r="D8531" t="str">
        <v>-</v>
      </c>
      <c r="E8531" t="str">
        <v>-</v>
      </c>
      <c r="F8531" t="str">
        <v>-</v>
      </c>
      <c r="G8531" t="str">
        <v>-</v>
      </c>
    </row>
    <row r="8532">
      <c r="A8532">
        <v>8531</v>
      </c>
      <c r="B8532" t="str">
        <v>Công an xã Đông Sơn  thành phố Hải Phòng</v>
      </c>
      <c r="C8532" t="str">
        <v>-</v>
      </c>
      <c r="D8532" t="str">
        <v>-</v>
      </c>
      <c r="E8532" t="str">
        <v/>
      </c>
      <c r="F8532" t="str">
        <v>-</v>
      </c>
      <c r="G8532" t="str">
        <v>-</v>
      </c>
    </row>
    <row r="8533">
      <c r="A8533">
        <v>8532</v>
      </c>
      <c r="B8533" t="str">
        <v>UBND Ủy ban nhân dân xã Đông Sơn  thành phố Hải Phòng</v>
      </c>
      <c r="C8533" t="str">
        <v>-</v>
      </c>
      <c r="D8533" t="str">
        <v>-</v>
      </c>
      <c r="E8533" t="str">
        <v>-</v>
      </c>
      <c r="F8533" t="str">
        <v>-</v>
      </c>
      <c r="G8533" t="str">
        <v>-</v>
      </c>
    </row>
    <row r="8534">
      <c r="A8534">
        <v>8533</v>
      </c>
      <c r="B8534" t="str">
        <v>Công an xã Hoà Bình  thành phố Hải Phòng</v>
      </c>
      <c r="C8534" t="str">
        <v>-</v>
      </c>
      <c r="D8534" t="str">
        <v>-</v>
      </c>
      <c r="E8534" t="str">
        <v/>
      </c>
      <c r="F8534" t="str">
        <v>-</v>
      </c>
      <c r="G8534" t="str">
        <v>-</v>
      </c>
    </row>
    <row r="8535">
      <c r="A8535">
        <v>8534</v>
      </c>
      <c r="B8535" t="str">
        <v>UBND Ủy ban nhân dân xã Hoà Bình  thành phố Hải Phòng</v>
      </c>
      <c r="C8535" t="str">
        <v>-</v>
      </c>
      <c r="D8535" t="str">
        <v>-</v>
      </c>
      <c r="E8535" t="str">
        <v>-</v>
      </c>
      <c r="F8535" t="str">
        <v>-</v>
      </c>
      <c r="G8535" t="str">
        <v>-</v>
      </c>
    </row>
    <row r="8536">
      <c r="A8536">
        <v>8535</v>
      </c>
      <c r="B8536" t="str">
        <v>Công an xã Trung Hà  thành phố Hải Phòng</v>
      </c>
      <c r="C8536" t="str">
        <v>-</v>
      </c>
      <c r="D8536" t="str">
        <v>-</v>
      </c>
      <c r="E8536" t="str">
        <v/>
      </c>
      <c r="F8536" t="str">
        <v>-</v>
      </c>
      <c r="G8536" t="str">
        <v>-</v>
      </c>
    </row>
    <row r="8537">
      <c r="A8537">
        <v>8536</v>
      </c>
      <c r="B8537" t="str">
        <v>UBND Ủy ban nhân dân xã Trung Hà  thành phố Hải Phòng</v>
      </c>
      <c r="C8537" t="str">
        <v>-</v>
      </c>
      <c r="D8537" t="str">
        <v>-</v>
      </c>
      <c r="E8537" t="str">
        <v>-</v>
      </c>
      <c r="F8537" t="str">
        <v>-</v>
      </c>
      <c r="G8537" t="str">
        <v>-</v>
      </c>
    </row>
    <row r="8538">
      <c r="A8538">
        <v>8537</v>
      </c>
      <c r="B8538" t="str">
        <v>Công an xã An Lư  thành phố Hải Phòng</v>
      </c>
      <c r="C8538" t="str">
        <v>-</v>
      </c>
      <c r="D8538" t="str">
        <v>-</v>
      </c>
      <c r="E8538" t="str">
        <v/>
      </c>
      <c r="F8538" t="str">
        <v>-</v>
      </c>
      <c r="G8538" t="str">
        <v>-</v>
      </c>
    </row>
    <row r="8539">
      <c r="A8539">
        <v>8538</v>
      </c>
      <c r="B8539" t="str">
        <v>UBND Ủy ban nhân dân xã An Lư  thành phố Hải Phòng</v>
      </c>
      <c r="C8539" t="str">
        <v>-</v>
      </c>
      <c r="D8539" t="str">
        <v>-</v>
      </c>
      <c r="E8539" t="str">
        <v>-</v>
      </c>
      <c r="F8539" t="str">
        <v>-</v>
      </c>
      <c r="G8539" t="str">
        <v>-</v>
      </c>
    </row>
    <row r="8540">
      <c r="A8540">
        <v>8539</v>
      </c>
      <c r="B8540" t="str">
        <v>Công an xã Thuỷ Triều  thành phố Hải Phòng</v>
      </c>
      <c r="C8540" t="str">
        <v>-</v>
      </c>
      <c r="D8540" t="str">
        <v>-</v>
      </c>
      <c r="E8540" t="str">
        <v/>
      </c>
      <c r="F8540" t="str">
        <v>-</v>
      </c>
      <c r="G8540" t="str">
        <v>-</v>
      </c>
    </row>
    <row r="8541">
      <c r="A8541">
        <v>8540</v>
      </c>
      <c r="B8541" t="str">
        <v>UBND Ủy ban nhân dân xã Thuỷ Triều  thành phố Hải Phòng</v>
      </c>
      <c r="C8541" t="str">
        <v>-</v>
      </c>
      <c r="D8541" t="str">
        <v>-</v>
      </c>
      <c r="E8541" t="str">
        <v>-</v>
      </c>
      <c r="F8541" t="str">
        <v>-</v>
      </c>
      <c r="G8541" t="str">
        <v>-</v>
      </c>
    </row>
    <row r="8542">
      <c r="A8542">
        <v>8541</v>
      </c>
      <c r="B8542" t="str">
        <v>Công an xã Ngũ Lão  thành phố Hải Phòng</v>
      </c>
      <c r="C8542" t="str">
        <v>-</v>
      </c>
      <c r="D8542" t="str">
        <v>-</v>
      </c>
      <c r="E8542" t="str">
        <v/>
      </c>
      <c r="F8542" t="str">
        <v>-</v>
      </c>
      <c r="G8542" t="str">
        <v>-</v>
      </c>
    </row>
    <row r="8543">
      <c r="A8543">
        <v>8542</v>
      </c>
      <c r="B8543" t="str">
        <v>UBND Ủy ban nhân dân xã Ngũ Lão  thành phố Hải Phòng</v>
      </c>
      <c r="C8543" t="str">
        <v>-</v>
      </c>
      <c r="D8543" t="str">
        <v>-</v>
      </c>
      <c r="E8543" t="str">
        <v>-</v>
      </c>
      <c r="F8543" t="str">
        <v>-</v>
      </c>
      <c r="G8543" t="str">
        <v>-</v>
      </c>
    </row>
    <row r="8544">
      <c r="A8544">
        <v>8543</v>
      </c>
      <c r="B8544" t="str">
        <v>Công an xã Phục Lễ  thành phố Hải Phòng</v>
      </c>
      <c r="C8544" t="str">
        <v>-</v>
      </c>
      <c r="D8544" t="str">
        <v>-</v>
      </c>
      <c r="E8544" t="str">
        <v/>
      </c>
      <c r="F8544" t="str">
        <v>-</v>
      </c>
      <c r="G8544" t="str">
        <v>-</v>
      </c>
    </row>
    <row r="8545">
      <c r="A8545">
        <v>8544</v>
      </c>
      <c r="B8545" t="str">
        <v>UBND Ủy ban nhân dân xã Phục Lễ  thành phố Hải Phòng</v>
      </c>
      <c r="C8545" t="str">
        <v>-</v>
      </c>
      <c r="D8545" t="str">
        <v>-</v>
      </c>
      <c r="E8545" t="str">
        <v>-</v>
      </c>
      <c r="F8545" t="str">
        <v>-</v>
      </c>
      <c r="G8545" t="str">
        <v>-</v>
      </c>
    </row>
    <row r="8546">
      <c r="A8546">
        <v>8545</v>
      </c>
      <c r="B8546" t="str">
        <v>Công an xã Tam Hưng  thành phố Hải Phòng</v>
      </c>
      <c r="C8546" t="str">
        <v>-</v>
      </c>
      <c r="D8546" t="str">
        <v>-</v>
      </c>
      <c r="E8546" t="str">
        <v/>
      </c>
      <c r="F8546" t="str">
        <v>-</v>
      </c>
      <c r="G8546" t="str">
        <v>-</v>
      </c>
    </row>
    <row r="8547">
      <c r="A8547">
        <v>8546</v>
      </c>
      <c r="B8547" t="str">
        <v>UBND Ủy ban nhân dân xã Tam Hưng  thành phố Hải Phòng</v>
      </c>
      <c r="C8547" t="str">
        <v>-</v>
      </c>
      <c r="D8547" t="str">
        <v>-</v>
      </c>
      <c r="E8547" t="str">
        <v>-</v>
      </c>
      <c r="F8547" t="str">
        <v>-</v>
      </c>
      <c r="G8547" t="str">
        <v>-</v>
      </c>
    </row>
    <row r="8548">
      <c r="A8548">
        <v>8547</v>
      </c>
      <c r="B8548" t="str">
        <v>Công an xã Phả Lễ  thành phố Hải Phòng</v>
      </c>
      <c r="C8548" t="str">
        <v>-</v>
      </c>
      <c r="D8548" t="str">
        <v>-</v>
      </c>
      <c r="E8548" t="str">
        <v/>
      </c>
      <c r="F8548" t="str">
        <v>-</v>
      </c>
      <c r="G8548" t="str">
        <v>-</v>
      </c>
    </row>
    <row r="8549">
      <c r="A8549">
        <v>8548</v>
      </c>
      <c r="B8549" t="str">
        <v>UBND Ủy ban nhân dân xã Phả Lễ  thành phố Hải Phòng</v>
      </c>
      <c r="C8549" t="str">
        <v>-</v>
      </c>
      <c r="D8549" t="str">
        <v>-</v>
      </c>
      <c r="E8549" t="str">
        <v>-</v>
      </c>
      <c r="F8549" t="str">
        <v>-</v>
      </c>
      <c r="G8549" t="str">
        <v>-</v>
      </c>
    </row>
    <row r="8550">
      <c r="A8550">
        <v>8549</v>
      </c>
      <c r="B8550" t="str">
        <v>Công an xã Lập Lễ  thành phố Hải Phòng</v>
      </c>
      <c r="C8550" t="str">
        <v>-</v>
      </c>
      <c r="D8550" t="str">
        <v>-</v>
      </c>
      <c r="E8550" t="str">
        <v/>
      </c>
      <c r="F8550" t="str">
        <v>-</v>
      </c>
      <c r="G8550" t="str">
        <v>-</v>
      </c>
    </row>
    <row r="8551">
      <c r="A8551">
        <v>8550</v>
      </c>
      <c r="B8551" t="str">
        <v>UBND Ủy ban nhân dân xã Lập Lễ  thành phố Hải Phòng</v>
      </c>
      <c r="C8551" t="str">
        <v>-</v>
      </c>
      <c r="D8551" t="str">
        <v>-</v>
      </c>
      <c r="E8551" t="str">
        <v>-</v>
      </c>
      <c r="F8551" t="str">
        <v>-</v>
      </c>
      <c r="G8551" t="str">
        <v>-</v>
      </c>
    </row>
    <row r="8552">
      <c r="A8552">
        <v>8551</v>
      </c>
      <c r="B8552" t="str">
        <v>Công an xã Kiền Bái  thành phố Hải Phòng</v>
      </c>
      <c r="C8552" t="str">
        <v>-</v>
      </c>
      <c r="D8552" t="str">
        <v>-</v>
      </c>
      <c r="E8552" t="str">
        <v/>
      </c>
      <c r="F8552" t="str">
        <v>-</v>
      </c>
      <c r="G8552" t="str">
        <v>-</v>
      </c>
    </row>
    <row r="8553">
      <c r="A8553">
        <v>8552</v>
      </c>
      <c r="B8553" t="str">
        <v>UBND Ủy ban nhân dân xã Kiền Bái  thành phố Hải Phòng</v>
      </c>
      <c r="C8553" t="str">
        <v>-</v>
      </c>
      <c r="D8553" t="str">
        <v>-</v>
      </c>
      <c r="E8553" t="str">
        <v>-</v>
      </c>
      <c r="F8553" t="str">
        <v>-</v>
      </c>
      <c r="G8553" t="str">
        <v>-</v>
      </c>
    </row>
    <row r="8554">
      <c r="A8554">
        <v>8553</v>
      </c>
      <c r="B8554" t="str">
        <v>Công an xã Thiên Hương  thành phố Hải Phòng</v>
      </c>
      <c r="C8554" t="str">
        <v>-</v>
      </c>
      <c r="D8554" t="str">
        <v>-</v>
      </c>
      <c r="E8554" t="str">
        <v/>
      </c>
      <c r="F8554" t="str">
        <v>-</v>
      </c>
      <c r="G8554" t="str">
        <v>-</v>
      </c>
    </row>
    <row r="8555">
      <c r="A8555">
        <v>8554</v>
      </c>
      <c r="B8555" t="str">
        <v>UBND Ủy ban nhân dân xã Thiên Hương  thành phố Hải Phòng</v>
      </c>
      <c r="C8555" t="str">
        <v>-</v>
      </c>
      <c r="D8555" t="str">
        <v>-</v>
      </c>
      <c r="E8555" t="str">
        <v>-</v>
      </c>
      <c r="F8555" t="str">
        <v>-</v>
      </c>
      <c r="G8555" t="str">
        <v>-</v>
      </c>
    </row>
    <row r="8556">
      <c r="A8556">
        <v>8555</v>
      </c>
      <c r="B8556" t="str">
        <v>Công an xã Thuỷ Sơn  thành phố Hải Phòng</v>
      </c>
      <c r="C8556" t="str">
        <v>-</v>
      </c>
      <c r="D8556" t="str">
        <v>-</v>
      </c>
      <c r="E8556" t="str">
        <v/>
      </c>
      <c r="F8556" t="str">
        <v>-</v>
      </c>
      <c r="G8556" t="str">
        <v>-</v>
      </c>
    </row>
    <row r="8557">
      <c r="A8557">
        <v>8556</v>
      </c>
      <c r="B8557" t="str">
        <v>UBND Ủy ban nhân dân xã Thuỷ Sơn  thành phố Hải Phòng</v>
      </c>
      <c r="C8557" t="str">
        <v>-</v>
      </c>
      <c r="D8557" t="str">
        <v>-</v>
      </c>
      <c r="E8557" t="str">
        <v>-</v>
      </c>
      <c r="F8557" t="str">
        <v>-</v>
      </c>
      <c r="G8557" t="str">
        <v>-</v>
      </c>
    </row>
    <row r="8558">
      <c r="A8558">
        <v>8557</v>
      </c>
      <c r="B8558" t="str">
        <v>Công an xã Thuỷ Đường  thành phố Hải Phòng</v>
      </c>
      <c r="C8558" t="str">
        <v>-</v>
      </c>
      <c r="D8558" t="str">
        <v>-</v>
      </c>
      <c r="E8558" t="str">
        <v/>
      </c>
      <c r="F8558" t="str">
        <v>-</v>
      </c>
      <c r="G8558" t="str">
        <v>-</v>
      </c>
    </row>
    <row r="8559">
      <c r="A8559">
        <v>8558</v>
      </c>
      <c r="B8559" t="str">
        <v>UBND Ủy ban nhân dân xã Thuỷ Đường  thành phố Hải Phòng</v>
      </c>
      <c r="C8559" t="str">
        <v>-</v>
      </c>
      <c r="D8559" t="str">
        <v>-</v>
      </c>
      <c r="E8559" t="str">
        <v>-</v>
      </c>
      <c r="F8559" t="str">
        <v>-</v>
      </c>
      <c r="G8559" t="str">
        <v>-</v>
      </c>
    </row>
    <row r="8560">
      <c r="A8560">
        <v>8559</v>
      </c>
      <c r="B8560" t="str">
        <v>Công an xã Hoàng Động  thành phố Hải Phòng</v>
      </c>
      <c r="C8560" t="str">
        <v>-</v>
      </c>
      <c r="D8560" t="str">
        <v>-</v>
      </c>
      <c r="E8560" t="str">
        <v/>
      </c>
      <c r="F8560" t="str">
        <v>-</v>
      </c>
      <c r="G8560" t="str">
        <v>-</v>
      </c>
    </row>
    <row r="8561">
      <c r="A8561">
        <v>8560</v>
      </c>
      <c r="B8561" t="str">
        <v>UBND Ủy ban nhân dân xã Hoàng Động  thành phố Hải Phòng</v>
      </c>
      <c r="C8561" t="str">
        <v>-</v>
      </c>
      <c r="D8561" t="str">
        <v>-</v>
      </c>
      <c r="E8561" t="str">
        <v>-</v>
      </c>
      <c r="F8561" t="str">
        <v>-</v>
      </c>
      <c r="G8561" t="str">
        <v>-</v>
      </c>
    </row>
    <row r="8562">
      <c r="A8562">
        <v>8561</v>
      </c>
      <c r="B8562" t="str">
        <v>Công an xã Lâm Động  thành phố Hải Phòng</v>
      </c>
      <c r="C8562" t="str">
        <v>-</v>
      </c>
      <c r="D8562" t="str">
        <v>-</v>
      </c>
      <c r="E8562" t="str">
        <v/>
      </c>
      <c r="F8562" t="str">
        <v>-</v>
      </c>
      <c r="G8562" t="str">
        <v>-</v>
      </c>
    </row>
    <row r="8563">
      <c r="A8563">
        <v>8562</v>
      </c>
      <c r="B8563" t="str">
        <v>UBND Ủy ban nhân dân xã Lâm Động  thành phố Hải Phòng</v>
      </c>
      <c r="C8563" t="str">
        <v>-</v>
      </c>
      <c r="D8563" t="str">
        <v>-</v>
      </c>
      <c r="E8563" t="str">
        <v>-</v>
      </c>
      <c r="F8563" t="str">
        <v>-</v>
      </c>
      <c r="G8563" t="str">
        <v>-</v>
      </c>
    </row>
    <row r="8564">
      <c r="A8564">
        <v>8563</v>
      </c>
      <c r="B8564" t="str">
        <v>Công an xã Hoa Động  thành phố Hải Phòng</v>
      </c>
      <c r="C8564" t="str">
        <v>-</v>
      </c>
      <c r="D8564" t="str">
        <v>-</v>
      </c>
      <c r="E8564" t="str">
        <v/>
      </c>
      <c r="F8564" t="str">
        <v>-</v>
      </c>
      <c r="G8564" t="str">
        <v>-</v>
      </c>
    </row>
    <row r="8565">
      <c r="A8565">
        <v>8564</v>
      </c>
      <c r="B8565" t="str">
        <v>UBND Ủy ban nhân dân xã Hoa Động  thành phố Hải Phòng</v>
      </c>
      <c r="C8565" t="str">
        <v>-</v>
      </c>
      <c r="D8565" t="str">
        <v>-</v>
      </c>
      <c r="E8565" t="str">
        <v>-</v>
      </c>
      <c r="F8565" t="str">
        <v>-</v>
      </c>
      <c r="G8565" t="str">
        <v>-</v>
      </c>
    </row>
    <row r="8566">
      <c r="A8566">
        <v>8565</v>
      </c>
      <c r="B8566" t="str">
        <v>Công an xã Tân Dương  thành phố Hải Phòng</v>
      </c>
      <c r="C8566" t="str">
        <v>-</v>
      </c>
      <c r="D8566" t="str">
        <v>-</v>
      </c>
      <c r="E8566" t="str">
        <v/>
      </c>
      <c r="F8566" t="str">
        <v>-</v>
      </c>
      <c r="G8566" t="str">
        <v>-</v>
      </c>
    </row>
    <row r="8567">
      <c r="A8567">
        <v>8566</v>
      </c>
      <c r="B8567" t="str">
        <v>UBND Ủy ban nhân dân xã Tân Dương  thành phố Hải Phòng</v>
      </c>
      <c r="C8567" t="str">
        <v>-</v>
      </c>
      <c r="D8567" t="str">
        <v>-</v>
      </c>
      <c r="E8567" t="str">
        <v>-</v>
      </c>
      <c r="F8567" t="str">
        <v>-</v>
      </c>
      <c r="G8567" t="str">
        <v>-</v>
      </c>
    </row>
    <row r="8568">
      <c r="A8568">
        <v>8567</v>
      </c>
      <c r="B8568" t="str">
        <v>Công an xã Dương Quan  thành phố Hải Phòng</v>
      </c>
      <c r="C8568" t="str">
        <v>-</v>
      </c>
      <c r="D8568" t="str">
        <v>-</v>
      </c>
      <c r="E8568" t="str">
        <v/>
      </c>
      <c r="F8568" t="str">
        <v>-</v>
      </c>
      <c r="G8568" t="str">
        <v>-</v>
      </c>
    </row>
    <row r="8569">
      <c r="A8569">
        <v>8568</v>
      </c>
      <c r="B8569" t="str">
        <v>UBND Ủy ban nhân dân xã Dương Quan  thành phố Hải Phòng</v>
      </c>
      <c r="C8569" t="str">
        <v>-</v>
      </c>
      <c r="D8569" t="str">
        <v>-</v>
      </c>
      <c r="E8569" t="str">
        <v>-</v>
      </c>
      <c r="F8569" t="str">
        <v>-</v>
      </c>
      <c r="G8569" t="str">
        <v>-</v>
      </c>
    </row>
    <row r="8570">
      <c r="A8570">
        <v>8569</v>
      </c>
      <c r="B8570" t="str">
        <v>Công an thị trấn An Dương  thành phố Hải Phòng</v>
      </c>
      <c r="C8570" t="str">
        <v>-</v>
      </c>
      <c r="D8570" t="str">
        <v>-</v>
      </c>
      <c r="E8570" t="str">
        <v/>
      </c>
      <c r="F8570" t="str">
        <v>-</v>
      </c>
      <c r="G8570" t="str">
        <v>-</v>
      </c>
    </row>
    <row r="8571">
      <c r="A8571">
        <v>8570</v>
      </c>
      <c r="B8571" t="str">
        <v>UBND Ủy ban nhân dân thị trấn An Dương  thành phố Hải Phòng</v>
      </c>
      <c r="C8571" t="str">
        <v>-</v>
      </c>
      <c r="D8571" t="str">
        <v>-</v>
      </c>
      <c r="E8571" t="str">
        <v>-</v>
      </c>
      <c r="F8571" t="str">
        <v>-</v>
      </c>
      <c r="G8571" t="str">
        <v>-</v>
      </c>
    </row>
    <row r="8572">
      <c r="A8572">
        <v>8571</v>
      </c>
      <c r="B8572" t="str">
        <v>Công an xã Lê Thiện  thành phố Hải Phòng</v>
      </c>
      <c r="C8572" t="str">
        <v>-</v>
      </c>
      <c r="D8572" t="str">
        <v>-</v>
      </c>
      <c r="E8572" t="str">
        <v/>
      </c>
      <c r="F8572" t="str">
        <v>-</v>
      </c>
      <c r="G8572" t="str">
        <v>-</v>
      </c>
    </row>
    <row r="8573">
      <c r="A8573">
        <v>8572</v>
      </c>
      <c r="B8573" t="str">
        <v>UBND Ủy ban nhân dân xã Lê Thiện  thành phố Hải Phòng</v>
      </c>
      <c r="C8573" t="str">
        <v>-</v>
      </c>
      <c r="D8573" t="str">
        <v>-</v>
      </c>
      <c r="E8573" t="str">
        <v>-</v>
      </c>
      <c r="F8573" t="str">
        <v>-</v>
      </c>
      <c r="G8573" t="str">
        <v>-</v>
      </c>
    </row>
    <row r="8574">
      <c r="A8574">
        <v>8573</v>
      </c>
      <c r="B8574" t="str">
        <v>Công an xã Đại Bản  thành phố Hải Phòng</v>
      </c>
      <c r="C8574" t="str">
        <v>-</v>
      </c>
      <c r="D8574" t="str">
        <v>-</v>
      </c>
      <c r="E8574" t="str">
        <v/>
      </c>
      <c r="F8574" t="str">
        <v>-</v>
      </c>
      <c r="G8574" t="str">
        <v>-</v>
      </c>
    </row>
    <row r="8575">
      <c r="A8575">
        <v>8574</v>
      </c>
      <c r="B8575" t="str">
        <v>UBND Ủy ban nhân dân xã Đại Bản  thành phố Hải Phòng</v>
      </c>
      <c r="C8575" t="str">
        <v>-</v>
      </c>
      <c r="D8575" t="str">
        <v>-</v>
      </c>
      <c r="E8575" t="str">
        <v>-</v>
      </c>
      <c r="F8575" t="str">
        <v>-</v>
      </c>
      <c r="G8575" t="str">
        <v>-</v>
      </c>
    </row>
    <row r="8576">
      <c r="A8576">
        <v>8575</v>
      </c>
      <c r="B8576" t="str">
        <v>Công an xã An Hoà  thành phố Hải Phòng</v>
      </c>
      <c r="C8576" t="str">
        <v>-</v>
      </c>
      <c r="D8576" t="str">
        <v>-</v>
      </c>
      <c r="E8576" t="str">
        <v/>
      </c>
      <c r="F8576" t="str">
        <v>-</v>
      </c>
      <c r="G8576" t="str">
        <v>-</v>
      </c>
    </row>
    <row r="8577">
      <c r="A8577">
        <v>8576</v>
      </c>
      <c r="B8577" t="str">
        <v>UBND Ủy ban nhân dân xã An Hoà  thành phố Hải Phòng</v>
      </c>
      <c r="C8577" t="str">
        <v>-</v>
      </c>
      <c r="D8577" t="str">
        <v>-</v>
      </c>
      <c r="E8577" t="str">
        <v>-</v>
      </c>
      <c r="F8577" t="str">
        <v>-</v>
      </c>
      <c r="G8577" t="str">
        <v>-</v>
      </c>
    </row>
    <row r="8578">
      <c r="A8578">
        <v>8577</v>
      </c>
      <c r="B8578" t="str">
        <v>Công an xã Hồng Phong  thành phố Hải Phòng</v>
      </c>
      <c r="C8578" t="str">
        <v>-</v>
      </c>
      <c r="D8578" t="str">
        <v>-</v>
      </c>
      <c r="E8578" t="str">
        <v/>
      </c>
      <c r="F8578" t="str">
        <v>-</v>
      </c>
      <c r="G8578" t="str">
        <v>-</v>
      </c>
    </row>
    <row r="8579">
      <c r="A8579">
        <v>8578</v>
      </c>
      <c r="B8579" t="str">
        <v>UBND Ủy ban nhân dân xã Hồng Phong  thành phố Hải Phòng</v>
      </c>
      <c r="C8579" t="str">
        <v>-</v>
      </c>
      <c r="D8579" t="str">
        <v>-</v>
      </c>
      <c r="E8579" t="str">
        <v>-</v>
      </c>
      <c r="F8579" t="str">
        <v>-</v>
      </c>
      <c r="G8579" t="str">
        <v>-</v>
      </c>
    </row>
    <row r="8580">
      <c r="A8580">
        <v>8579</v>
      </c>
      <c r="B8580" t="str">
        <v>Công an xã Tân Tiến  thành phố Hải Phòng</v>
      </c>
      <c r="C8580" t="str">
        <v>-</v>
      </c>
      <c r="D8580" t="str">
        <v>-</v>
      </c>
      <c r="E8580" t="str">
        <v/>
      </c>
      <c r="F8580" t="str">
        <v>-</v>
      </c>
      <c r="G8580" t="str">
        <v>-</v>
      </c>
    </row>
    <row r="8581">
      <c r="A8581">
        <v>8580</v>
      </c>
      <c r="B8581" t="str">
        <v>UBND Ủy ban nhân dân xã Tân Tiến  thành phố Hải Phòng</v>
      </c>
      <c r="C8581" t="str">
        <v>-</v>
      </c>
      <c r="D8581" t="str">
        <v>-</v>
      </c>
      <c r="E8581" t="str">
        <v>-</v>
      </c>
      <c r="F8581" t="str">
        <v>-</v>
      </c>
      <c r="G8581" t="str">
        <v>-</v>
      </c>
    </row>
    <row r="8582">
      <c r="A8582">
        <v>8581</v>
      </c>
      <c r="B8582" t="str">
        <v>Công an xã An Hưng  thành phố Hải Phòng</v>
      </c>
      <c r="C8582" t="str">
        <v>-</v>
      </c>
      <c r="D8582" t="str">
        <v>-</v>
      </c>
      <c r="E8582" t="str">
        <v/>
      </c>
      <c r="F8582" t="str">
        <v>-</v>
      </c>
      <c r="G8582" t="str">
        <v>-</v>
      </c>
    </row>
    <row r="8583">
      <c r="A8583">
        <v>8582</v>
      </c>
      <c r="B8583" t="str">
        <v>UBND Ủy ban nhân dân xã An Hưng  thành phố Hải Phòng</v>
      </c>
      <c r="C8583" t="str">
        <v>-</v>
      </c>
      <c r="D8583" t="str">
        <v>-</v>
      </c>
      <c r="E8583" t="str">
        <v>-</v>
      </c>
      <c r="F8583" t="str">
        <v>-</v>
      </c>
      <c r="G8583" t="str">
        <v>-</v>
      </c>
    </row>
    <row r="8584">
      <c r="A8584">
        <v>8583</v>
      </c>
      <c r="B8584" t="str">
        <v>Công an xã An Hồng  thành phố Hải Phòng</v>
      </c>
      <c r="C8584" t="str">
        <v>-</v>
      </c>
      <c r="D8584" t="str">
        <v>-</v>
      </c>
      <c r="E8584" t="str">
        <v/>
      </c>
      <c r="F8584" t="str">
        <v>-</v>
      </c>
      <c r="G8584" t="str">
        <v>-</v>
      </c>
    </row>
    <row r="8585">
      <c r="A8585">
        <v>8584</v>
      </c>
      <c r="B8585" t="str">
        <v>UBND Ủy ban nhân dân xã An Hồng  thành phố Hải Phòng</v>
      </c>
      <c r="C8585" t="str">
        <v>-</v>
      </c>
      <c r="D8585" t="str">
        <v>-</v>
      </c>
      <c r="E8585" t="str">
        <v>-</v>
      </c>
      <c r="F8585" t="str">
        <v>-</v>
      </c>
      <c r="G8585" t="str">
        <v>-</v>
      </c>
    </row>
    <row r="8586">
      <c r="A8586">
        <v>8585</v>
      </c>
      <c r="B8586" t="str">
        <v>Công an xã Bắc Sơn  thành phố Hải Phòng</v>
      </c>
      <c r="C8586" t="str">
        <v>-</v>
      </c>
      <c r="D8586" t="str">
        <v>-</v>
      </c>
      <c r="E8586" t="str">
        <v/>
      </c>
      <c r="F8586" t="str">
        <v>-</v>
      </c>
      <c r="G8586" t="str">
        <v>-</v>
      </c>
    </row>
    <row r="8587">
      <c r="A8587">
        <v>8586</v>
      </c>
      <c r="B8587" t="str">
        <v>UBND Ủy ban nhân dân xã Bắc Sơn  thành phố Hải Phòng</v>
      </c>
      <c r="C8587" t="str">
        <v>-</v>
      </c>
      <c r="D8587" t="str">
        <v>-</v>
      </c>
      <c r="E8587" t="str">
        <v>-</v>
      </c>
      <c r="F8587" t="str">
        <v>-</v>
      </c>
      <c r="G8587" t="str">
        <v>-</v>
      </c>
    </row>
    <row r="8588">
      <c r="A8588">
        <v>8587</v>
      </c>
      <c r="B8588" t="str">
        <v>Công an xã Nam Sơn  thành phố Hải Phòng</v>
      </c>
      <c r="C8588" t="str">
        <v>-</v>
      </c>
      <c r="D8588" t="str">
        <v>-</v>
      </c>
      <c r="E8588" t="str">
        <v/>
      </c>
      <c r="F8588" t="str">
        <v>-</v>
      </c>
      <c r="G8588" t="str">
        <v>-</v>
      </c>
    </row>
    <row r="8589">
      <c r="A8589">
        <v>8588</v>
      </c>
      <c r="B8589" t="str">
        <v>UBND Ủy ban nhân dân xã Nam Sơn  thành phố Hải Phòng</v>
      </c>
      <c r="C8589" t="str">
        <v>-</v>
      </c>
      <c r="D8589" t="str">
        <v>-</v>
      </c>
      <c r="E8589" t="str">
        <v>-</v>
      </c>
      <c r="F8589" t="str">
        <v>-</v>
      </c>
      <c r="G8589" t="str">
        <v>-</v>
      </c>
    </row>
    <row r="8590">
      <c r="A8590">
        <v>8589</v>
      </c>
      <c r="B8590" t="str">
        <v>Công an xã Lê Lợi  thành phố Hải Phòng</v>
      </c>
      <c r="C8590" t="str">
        <v>-</v>
      </c>
      <c r="D8590" t="str">
        <v>-</v>
      </c>
      <c r="E8590" t="str">
        <v/>
      </c>
      <c r="F8590" t="str">
        <v>-</v>
      </c>
      <c r="G8590" t="str">
        <v>-</v>
      </c>
    </row>
    <row r="8591">
      <c r="A8591">
        <v>8590</v>
      </c>
      <c r="B8591" t="str">
        <v>UBND Ủy ban nhân dân xã Lê Lợi  thành phố Hải Phòng</v>
      </c>
      <c r="C8591" t="str">
        <v>-</v>
      </c>
      <c r="D8591" t="str">
        <v>-</v>
      </c>
      <c r="E8591" t="str">
        <v>-</v>
      </c>
      <c r="F8591" t="str">
        <v>-</v>
      </c>
      <c r="G8591" t="str">
        <v>-</v>
      </c>
    </row>
    <row r="8592">
      <c r="A8592">
        <v>8591</v>
      </c>
      <c r="B8592" t="str">
        <v>Công an xã Bắc Sơn thành phố Hải Phòng</v>
      </c>
      <c r="C8592" t="str">
        <v>-</v>
      </c>
      <c r="D8592" t="str">
        <v>-</v>
      </c>
      <c r="E8592" t="str">
        <v/>
      </c>
      <c r="F8592" t="str">
        <v>-</v>
      </c>
      <c r="G8592" t="str">
        <v>-</v>
      </c>
    </row>
    <row r="8593">
      <c r="A8593">
        <v>8592</v>
      </c>
      <c r="B8593" t="str">
        <v>UBND Ủy ban nhân dân xã Bắc Sơn thành phố Hải Phòng</v>
      </c>
      <c r="C8593" t="str">
        <v>-</v>
      </c>
      <c r="D8593" t="str">
        <v>-</v>
      </c>
      <c r="E8593" t="str">
        <v>-</v>
      </c>
      <c r="F8593" t="str">
        <v>-</v>
      </c>
      <c r="G8593" t="str">
        <v>-</v>
      </c>
    </row>
    <row r="8594">
      <c r="A8594">
        <v>8593</v>
      </c>
      <c r="B8594" t="str">
        <v>Công an xã Đồng Thái  thành phố Hải Phòng</v>
      </c>
      <c r="C8594" t="str">
        <v>-</v>
      </c>
      <c r="D8594" t="str">
        <v>-</v>
      </c>
      <c r="E8594" t="str">
        <v/>
      </c>
      <c r="F8594" t="str">
        <v>-</v>
      </c>
      <c r="G8594" t="str">
        <v>-</v>
      </c>
    </row>
    <row r="8595">
      <c r="A8595">
        <v>8594</v>
      </c>
      <c r="B8595" t="str">
        <v>UBND Ủy ban nhân dân xã Đồng Thái  thành phố Hải Phòng</v>
      </c>
      <c r="C8595" t="str">
        <v>-</v>
      </c>
      <c r="D8595" t="str">
        <v>-</v>
      </c>
      <c r="E8595" t="str">
        <v>-</v>
      </c>
      <c r="F8595" t="str">
        <v>-</v>
      </c>
      <c r="G8595" t="str">
        <v>-</v>
      </c>
    </row>
    <row r="8596">
      <c r="A8596">
        <v>8595</v>
      </c>
      <c r="B8596" t="str">
        <v>Công an xã Quốc Tuấn  thành phố Hải Phòng</v>
      </c>
      <c r="C8596" t="str">
        <v>-</v>
      </c>
      <c r="D8596" t="str">
        <v>-</v>
      </c>
      <c r="E8596" t="str">
        <v/>
      </c>
      <c r="F8596" t="str">
        <v>-</v>
      </c>
      <c r="G8596" t="str">
        <v>-</v>
      </c>
    </row>
    <row r="8597">
      <c r="A8597">
        <v>8596</v>
      </c>
      <c r="B8597" t="str">
        <v>UBND Ủy ban nhân dân xã Quốc Tuấn  thành phố Hải Phòng</v>
      </c>
      <c r="C8597" t="str">
        <v>-</v>
      </c>
      <c r="D8597" t="str">
        <v>-</v>
      </c>
      <c r="E8597" t="str">
        <v>-</v>
      </c>
      <c r="F8597" t="str">
        <v>-</v>
      </c>
      <c r="G8597" t="str">
        <v>-</v>
      </c>
    </row>
    <row r="8598">
      <c r="A8598">
        <v>8597</v>
      </c>
      <c r="B8598" t="str">
        <v>Công an xã An Đồng  thành phố Hải Phòng</v>
      </c>
      <c r="C8598" t="str">
        <v>-</v>
      </c>
      <c r="D8598" t="str">
        <v>-</v>
      </c>
      <c r="E8598" t="str">
        <v/>
      </c>
      <c r="F8598" t="str">
        <v>-</v>
      </c>
      <c r="G8598" t="str">
        <v>-</v>
      </c>
    </row>
    <row r="8599">
      <c r="A8599">
        <v>8598</v>
      </c>
      <c r="B8599" t="str">
        <v>UBND Ủy ban nhân dân xã An Đồng  thành phố Hải Phòng</v>
      </c>
      <c r="C8599" t="str">
        <v>-</v>
      </c>
      <c r="D8599" t="str">
        <v>-</v>
      </c>
      <c r="E8599" t="str">
        <v>-</v>
      </c>
      <c r="F8599" t="str">
        <v>-</v>
      </c>
      <c r="G8599" t="str">
        <v>-</v>
      </c>
    </row>
    <row r="8600">
      <c r="A8600">
        <v>8599</v>
      </c>
      <c r="B8600" t="str">
        <v>Công an xã Hồng Thái  thành phố Hải Phòng</v>
      </c>
      <c r="C8600" t="str">
        <v>-</v>
      </c>
      <c r="D8600" t="str">
        <v>-</v>
      </c>
      <c r="E8600" t="str">
        <v/>
      </c>
      <c r="F8600" t="str">
        <v>-</v>
      </c>
      <c r="G8600" t="str">
        <v>-</v>
      </c>
    </row>
    <row r="8601">
      <c r="A8601">
        <v>8600</v>
      </c>
      <c r="B8601" t="str">
        <v>UBND Ủy ban nhân dân xã Hồng Thái  thành phố Hải Phòng</v>
      </c>
      <c r="C8601" t="str">
        <v>-</v>
      </c>
      <c r="D8601" t="str">
        <v>-</v>
      </c>
      <c r="E8601" t="str">
        <v>-</v>
      </c>
      <c r="F8601" t="str">
        <v>-</v>
      </c>
      <c r="G8601" t="str">
        <v>-</v>
      </c>
    </row>
    <row r="8602">
      <c r="A8602">
        <v>8601</v>
      </c>
      <c r="B8602" t="str">
        <v>Công an thị trấn An Lão  thành phố Hải Phòng</v>
      </c>
      <c r="C8602" t="str">
        <v>-</v>
      </c>
      <c r="D8602" t="str">
        <v>-</v>
      </c>
      <c r="E8602" t="str">
        <v/>
      </c>
      <c r="F8602" t="str">
        <v>-</v>
      </c>
      <c r="G8602" t="str">
        <v>-</v>
      </c>
    </row>
    <row r="8603">
      <c r="A8603">
        <v>8602</v>
      </c>
      <c r="B8603" t="str">
        <v>UBND Ủy ban nhân dân thị trấn An Lão  thành phố Hải Phòng</v>
      </c>
      <c r="C8603" t="str">
        <v>-</v>
      </c>
      <c r="D8603" t="str">
        <v>-</v>
      </c>
      <c r="E8603" t="str">
        <v>-</v>
      </c>
      <c r="F8603" t="str">
        <v>-</v>
      </c>
      <c r="G8603" t="str">
        <v>-</v>
      </c>
    </row>
    <row r="8604">
      <c r="A8604">
        <v>8603</v>
      </c>
      <c r="B8604" t="str">
        <v>Công an xã Bát Trang  thành phố Hải Phòng</v>
      </c>
      <c r="C8604" t="str">
        <v>-</v>
      </c>
      <c r="D8604" t="str">
        <v>-</v>
      </c>
      <c r="E8604" t="str">
        <v/>
      </c>
      <c r="F8604" t="str">
        <v>-</v>
      </c>
      <c r="G8604" t="str">
        <v>-</v>
      </c>
    </row>
    <row r="8605">
      <c r="A8605">
        <v>8604</v>
      </c>
      <c r="B8605" t="str">
        <v>UBND Ủy ban nhân dân xã Bát Trang  thành phố Hải Phòng</v>
      </c>
      <c r="C8605" t="str">
        <v>-</v>
      </c>
      <c r="D8605" t="str">
        <v>-</v>
      </c>
      <c r="E8605" t="str">
        <v>-</v>
      </c>
      <c r="F8605" t="str">
        <v>-</v>
      </c>
      <c r="G8605" t="str">
        <v>-</v>
      </c>
    </row>
    <row r="8606">
      <c r="A8606">
        <v>8605</v>
      </c>
      <c r="B8606" t="str">
        <v>Công an xã Trường Thọ  thành phố Hải Phòng</v>
      </c>
      <c r="C8606" t="str">
        <v>-</v>
      </c>
      <c r="D8606" t="str">
        <v>-</v>
      </c>
      <c r="E8606" t="str">
        <v/>
      </c>
      <c r="F8606" t="str">
        <v>-</v>
      </c>
      <c r="G8606" t="str">
        <v>-</v>
      </c>
    </row>
    <row r="8607">
      <c r="A8607">
        <v>8606</v>
      </c>
      <c r="B8607" t="str">
        <v>UBND Ủy ban nhân dân xã Trường Thọ  thành phố Hải Phòng</v>
      </c>
      <c r="C8607" t="str">
        <v>-</v>
      </c>
      <c r="D8607" t="str">
        <v>-</v>
      </c>
      <c r="E8607" t="str">
        <v>-</v>
      </c>
      <c r="F8607" t="str">
        <v>-</v>
      </c>
      <c r="G8607" t="str">
        <v>-</v>
      </c>
    </row>
    <row r="8608">
      <c r="A8608">
        <v>8607</v>
      </c>
      <c r="B8608" t="str">
        <v>Công an xã Trường Thành  thành phố Hải Phòng</v>
      </c>
      <c r="C8608" t="str">
        <v>-</v>
      </c>
      <c r="D8608" t="str">
        <v>-</v>
      </c>
      <c r="E8608" t="str">
        <v/>
      </c>
      <c r="F8608" t="str">
        <v>-</v>
      </c>
      <c r="G8608" t="str">
        <v>-</v>
      </c>
    </row>
    <row r="8609">
      <c r="A8609">
        <v>8608</v>
      </c>
      <c r="B8609" t="str">
        <v>UBND Ủy ban nhân dân xã Trường Thành  thành phố Hải Phòng</v>
      </c>
      <c r="C8609" t="str">
        <v>-</v>
      </c>
      <c r="D8609" t="str">
        <v>-</v>
      </c>
      <c r="E8609" t="str">
        <v>-</v>
      </c>
      <c r="F8609" t="str">
        <v>-</v>
      </c>
      <c r="G8609" t="str">
        <v>-</v>
      </c>
    </row>
    <row r="8610">
      <c r="A8610">
        <v>8609</v>
      </c>
      <c r="B8610" t="str">
        <v>Công an xã An Tiến  thành phố Hải Phòng</v>
      </c>
      <c r="C8610" t="str">
        <v>-</v>
      </c>
      <c r="D8610" t="str">
        <v>-</v>
      </c>
      <c r="E8610" t="str">
        <v/>
      </c>
      <c r="F8610" t="str">
        <v>-</v>
      </c>
      <c r="G8610" t="str">
        <v>-</v>
      </c>
    </row>
    <row r="8611">
      <c r="A8611">
        <v>8610</v>
      </c>
      <c r="B8611" t="str">
        <v>UBND Ủy ban nhân dân xã An Tiến  thành phố Hải Phòng</v>
      </c>
      <c r="C8611" t="str">
        <v>-</v>
      </c>
      <c r="D8611" t="str">
        <v>-</v>
      </c>
      <c r="E8611" t="str">
        <v>-</v>
      </c>
      <c r="F8611" t="str">
        <v>-</v>
      </c>
      <c r="G8611" t="str">
        <v>-</v>
      </c>
    </row>
    <row r="8612">
      <c r="A8612">
        <v>8611</v>
      </c>
      <c r="B8612" t="str">
        <v>Công an xã Quang Hưng  thành phố Hải Phòng</v>
      </c>
      <c r="C8612" t="str">
        <v>-</v>
      </c>
      <c r="D8612" t="str">
        <v>-</v>
      </c>
      <c r="E8612" t="str">
        <v/>
      </c>
      <c r="F8612" t="str">
        <v>-</v>
      </c>
      <c r="G8612" t="str">
        <v>-</v>
      </c>
    </row>
    <row r="8613">
      <c r="A8613">
        <v>8612</v>
      </c>
      <c r="B8613" t="str">
        <v>UBND Ủy ban nhân dân xã Quang Hưng  thành phố Hải Phòng</v>
      </c>
      <c r="C8613" t="str">
        <v>-</v>
      </c>
      <c r="D8613" t="str">
        <v>-</v>
      </c>
      <c r="E8613" t="str">
        <v>-</v>
      </c>
      <c r="F8613" t="str">
        <v>-</v>
      </c>
      <c r="G8613" t="str">
        <v>-</v>
      </c>
    </row>
    <row r="8614">
      <c r="A8614">
        <v>8613</v>
      </c>
      <c r="B8614" t="str">
        <v>Công an xã Quang Trung  thành phố Hải Phòng</v>
      </c>
      <c r="C8614" t="str">
        <v>-</v>
      </c>
      <c r="D8614" t="str">
        <v>-</v>
      </c>
      <c r="E8614" t="str">
        <v/>
      </c>
      <c r="F8614" t="str">
        <v>-</v>
      </c>
      <c r="G8614" t="str">
        <v>-</v>
      </c>
    </row>
    <row r="8615">
      <c r="A8615">
        <v>8614</v>
      </c>
      <c r="B8615" t="str">
        <v>UBND Ủy ban nhân dân xã Quang Trung  thành phố Hải Phòng</v>
      </c>
      <c r="C8615" t="str">
        <v>-</v>
      </c>
      <c r="D8615" t="str">
        <v>-</v>
      </c>
      <c r="E8615" t="str">
        <v>-</v>
      </c>
      <c r="F8615" t="str">
        <v>-</v>
      </c>
      <c r="G8615" t="str">
        <v>-</v>
      </c>
    </row>
    <row r="8616">
      <c r="A8616">
        <v>8615</v>
      </c>
      <c r="B8616" t="str">
        <v>Công an xã Quốc Tuấn  thành phố Hải Phòng</v>
      </c>
      <c r="C8616" t="str">
        <v>-</v>
      </c>
      <c r="D8616" t="str">
        <v>-</v>
      </c>
      <c r="E8616" t="str">
        <v/>
      </c>
      <c r="F8616" t="str">
        <v>-</v>
      </c>
      <c r="G8616" t="str">
        <v>-</v>
      </c>
    </row>
    <row r="8617">
      <c r="A8617">
        <v>8616</v>
      </c>
      <c r="B8617" t="str">
        <v>UBND Ủy ban nhân dân xã Quốc Tuấn  thành phố Hải Phòng</v>
      </c>
      <c r="C8617" t="str">
        <v>-</v>
      </c>
      <c r="D8617" t="str">
        <v>-</v>
      </c>
      <c r="E8617" t="str">
        <v>-</v>
      </c>
      <c r="F8617" t="str">
        <v>-</v>
      </c>
      <c r="G8617" t="str">
        <v>-</v>
      </c>
    </row>
    <row r="8618">
      <c r="A8618">
        <v>8617</v>
      </c>
      <c r="B8618" t="str">
        <v>Công an xã An Thắng  thành phố Hải Phòng</v>
      </c>
      <c r="C8618" t="str">
        <v>-</v>
      </c>
      <c r="D8618" t="str">
        <v>-</v>
      </c>
      <c r="E8618" t="str">
        <v/>
      </c>
      <c r="F8618" t="str">
        <v>-</v>
      </c>
      <c r="G8618" t="str">
        <v>-</v>
      </c>
    </row>
    <row r="8619">
      <c r="A8619">
        <v>8618</v>
      </c>
      <c r="B8619" t="str">
        <v>UBND Ủy ban nhân dân xã An Thắng  thành phố Hải Phòng</v>
      </c>
      <c r="C8619" t="str">
        <v>-</v>
      </c>
      <c r="D8619" t="str">
        <v>-</v>
      </c>
      <c r="E8619" t="str">
        <v>-</v>
      </c>
      <c r="F8619" t="str">
        <v>-</v>
      </c>
      <c r="G8619" t="str">
        <v>-</v>
      </c>
    </row>
    <row r="8620">
      <c r="A8620">
        <v>8619</v>
      </c>
      <c r="B8620" t="str">
        <v>Công an thị trấn Trường Sơn  thành phố Hải Phòng</v>
      </c>
      <c r="C8620" t="str">
        <v>-</v>
      </c>
      <c r="D8620" t="str">
        <v>-</v>
      </c>
      <c r="E8620" t="str">
        <v/>
      </c>
      <c r="F8620" t="str">
        <v>-</v>
      </c>
      <c r="G8620" t="str">
        <v>-</v>
      </c>
    </row>
    <row r="8621">
      <c r="A8621">
        <v>8620</v>
      </c>
      <c r="B8621" t="str">
        <v>UBND Ủy ban nhân dân thị trấn Trường Sơn  thành phố Hải Phòng</v>
      </c>
      <c r="C8621" t="str">
        <v>-</v>
      </c>
      <c r="D8621" t="str">
        <v>-</v>
      </c>
      <c r="E8621" t="str">
        <v>-</v>
      </c>
      <c r="F8621" t="str">
        <v>-</v>
      </c>
      <c r="G8621" t="str">
        <v>-</v>
      </c>
    </row>
    <row r="8622">
      <c r="A8622">
        <v>8621</v>
      </c>
      <c r="B8622" t="str">
        <v>Công an xã Tân Dân  thành phố Hải Phòng</v>
      </c>
      <c r="C8622" t="str">
        <v>-</v>
      </c>
      <c r="D8622" t="str">
        <v>-</v>
      </c>
      <c r="E8622" t="str">
        <v/>
      </c>
      <c r="F8622" t="str">
        <v>-</v>
      </c>
      <c r="G8622" t="str">
        <v>-</v>
      </c>
    </row>
    <row r="8623">
      <c r="A8623">
        <v>8622</v>
      </c>
      <c r="B8623" t="str">
        <v>UBND Ủy ban nhân dân xã Tân Dân  thành phố Hải Phòng</v>
      </c>
      <c r="C8623" t="str">
        <v>-</v>
      </c>
      <c r="D8623" t="str">
        <v>-</v>
      </c>
      <c r="E8623" t="str">
        <v>-</v>
      </c>
      <c r="F8623" t="str">
        <v>-</v>
      </c>
      <c r="G8623" t="str">
        <v>-</v>
      </c>
    </row>
    <row r="8624">
      <c r="A8624">
        <v>8623</v>
      </c>
      <c r="B8624" t="str">
        <v>Công an xã Thái Sơn  thành phố Hải Phòng</v>
      </c>
      <c r="C8624" t="str">
        <v>-</v>
      </c>
      <c r="D8624" t="str">
        <v>-</v>
      </c>
      <c r="E8624" t="str">
        <v/>
      </c>
      <c r="F8624" t="str">
        <v>-</v>
      </c>
      <c r="G8624" t="str">
        <v>-</v>
      </c>
    </row>
    <row r="8625">
      <c r="A8625">
        <v>8624</v>
      </c>
      <c r="B8625" t="str">
        <v>UBND Ủy ban nhân dân xã Thái Sơn  thành phố Hải Phòng</v>
      </c>
      <c r="C8625" t="str">
        <v>-</v>
      </c>
      <c r="D8625" t="str">
        <v>-</v>
      </c>
      <c r="E8625" t="str">
        <v>-</v>
      </c>
      <c r="F8625" t="str">
        <v>-</v>
      </c>
      <c r="G8625" t="str">
        <v>-</v>
      </c>
    </row>
    <row r="8626">
      <c r="A8626">
        <v>8625</v>
      </c>
      <c r="B8626" t="str">
        <v>Công an xã Tân Viên  thành phố Hải Phòng</v>
      </c>
      <c r="C8626" t="str">
        <v>-</v>
      </c>
      <c r="D8626" t="str">
        <v>-</v>
      </c>
      <c r="E8626" t="str">
        <v/>
      </c>
      <c r="F8626" t="str">
        <v>-</v>
      </c>
      <c r="G8626" t="str">
        <v>-</v>
      </c>
    </row>
    <row r="8627">
      <c r="A8627">
        <v>8626</v>
      </c>
      <c r="B8627" t="str">
        <v>UBND Ủy ban nhân dân xã Tân Viên  thành phố Hải Phòng</v>
      </c>
      <c r="C8627" t="str">
        <v>-</v>
      </c>
      <c r="D8627" t="str">
        <v>-</v>
      </c>
      <c r="E8627" t="str">
        <v>-</v>
      </c>
      <c r="F8627" t="str">
        <v>-</v>
      </c>
      <c r="G8627" t="str">
        <v>-</v>
      </c>
    </row>
    <row r="8628">
      <c r="A8628">
        <v>8627</v>
      </c>
      <c r="B8628" t="str">
        <v>Công an xã Mỹ Đức  thành phố Hải Phòng</v>
      </c>
      <c r="C8628" t="str">
        <v>-</v>
      </c>
      <c r="D8628" t="str">
        <v>-</v>
      </c>
      <c r="E8628" t="str">
        <v/>
      </c>
      <c r="F8628" t="str">
        <v>-</v>
      </c>
      <c r="G8628" t="str">
        <v>-</v>
      </c>
    </row>
    <row r="8629">
      <c r="A8629">
        <v>8628</v>
      </c>
      <c r="B8629" t="str">
        <v>UBND Ủy ban nhân dân xã Mỹ Đức  thành phố Hải Phòng</v>
      </c>
      <c r="C8629" t="str">
        <v>-</v>
      </c>
      <c r="D8629" t="str">
        <v>-</v>
      </c>
      <c r="E8629" t="str">
        <v>-</v>
      </c>
      <c r="F8629" t="str">
        <v>-</v>
      </c>
      <c r="G8629" t="str">
        <v>-</v>
      </c>
    </row>
    <row r="8630">
      <c r="A8630">
        <v>8629</v>
      </c>
      <c r="B8630" t="str">
        <v>Công an xã Chiến Thắng  thành phố Hải Phòng</v>
      </c>
      <c r="C8630" t="str">
        <v>-</v>
      </c>
      <c r="D8630" t="str">
        <v>-</v>
      </c>
      <c r="E8630" t="str">
        <v/>
      </c>
      <c r="F8630" t="str">
        <v>-</v>
      </c>
      <c r="G8630" t="str">
        <v>-</v>
      </c>
    </row>
    <row r="8631">
      <c r="A8631">
        <v>8630</v>
      </c>
      <c r="B8631" t="str">
        <v>UBND Ủy ban nhân dân xã Chiến Thắng  thành phố Hải Phòng</v>
      </c>
      <c r="C8631" t="str">
        <v>-</v>
      </c>
      <c r="D8631" t="str">
        <v>-</v>
      </c>
      <c r="E8631" t="str">
        <v>-</v>
      </c>
      <c r="F8631" t="str">
        <v>-</v>
      </c>
      <c r="G8631" t="str">
        <v>-</v>
      </c>
    </row>
    <row r="8632">
      <c r="A8632">
        <v>8631</v>
      </c>
      <c r="B8632" t="str">
        <v>Công an xã An Thọ  thành phố Hải Phòng</v>
      </c>
      <c r="C8632" t="str">
        <v>-</v>
      </c>
      <c r="D8632" t="str">
        <v>-</v>
      </c>
      <c r="E8632" t="str">
        <v/>
      </c>
      <c r="F8632" t="str">
        <v>-</v>
      </c>
      <c r="G8632" t="str">
        <v>-</v>
      </c>
    </row>
    <row r="8633">
      <c r="A8633">
        <v>8632</v>
      </c>
      <c r="B8633" t="str">
        <v>UBND Ủy ban nhân dân xã An Thọ  thành phố Hải Phòng</v>
      </c>
      <c r="C8633" t="str">
        <v>-</v>
      </c>
      <c r="D8633" t="str">
        <v>-</v>
      </c>
      <c r="E8633" t="str">
        <v>-</v>
      </c>
      <c r="F8633" t="str">
        <v>-</v>
      </c>
      <c r="G8633" t="str">
        <v>-</v>
      </c>
    </row>
    <row r="8634">
      <c r="A8634">
        <v>8633</v>
      </c>
      <c r="B8634" t="str">
        <v>Công an xã An Thái  thành phố Hải Phòng</v>
      </c>
      <c r="C8634" t="str">
        <v>-</v>
      </c>
      <c r="D8634" t="str">
        <v>-</v>
      </c>
      <c r="E8634" t="str">
        <v/>
      </c>
      <c r="F8634" t="str">
        <v>-</v>
      </c>
      <c r="G8634" t="str">
        <v>-</v>
      </c>
    </row>
    <row r="8635">
      <c r="A8635">
        <v>8634</v>
      </c>
      <c r="B8635" t="str">
        <v>UBND Ủy ban nhân dân xã An Thái  thành phố Hải Phòng</v>
      </c>
      <c r="C8635" t="str">
        <v>-</v>
      </c>
      <c r="D8635" t="str">
        <v>-</v>
      </c>
      <c r="E8635" t="str">
        <v>-</v>
      </c>
      <c r="F8635" t="str">
        <v>-</v>
      </c>
      <c r="G8635" t="str">
        <v>-</v>
      </c>
    </row>
    <row r="8636">
      <c r="A8636">
        <v>8635</v>
      </c>
      <c r="B8636" t="str">
        <v>Công an thị trấn Núi Đối  thành phố Hải Phòng</v>
      </c>
      <c r="C8636" t="str">
        <v>-</v>
      </c>
      <c r="D8636" t="str">
        <v>-</v>
      </c>
      <c r="E8636" t="str">
        <v/>
      </c>
      <c r="F8636" t="str">
        <v>-</v>
      </c>
      <c r="G8636" t="str">
        <v>-</v>
      </c>
    </row>
    <row r="8637">
      <c r="A8637">
        <v>8636</v>
      </c>
      <c r="B8637" t="str">
        <v>UBND Ủy ban nhân dân thị trấn Núi Đối  thành phố Hải Phòng</v>
      </c>
      <c r="C8637" t="str">
        <v>-</v>
      </c>
      <c r="D8637" t="str">
        <v>-</v>
      </c>
      <c r="E8637" t="str">
        <v>-</v>
      </c>
      <c r="F8637" t="str">
        <v>-</v>
      </c>
      <c r="G8637" t="str">
        <v>-</v>
      </c>
    </row>
    <row r="8638">
      <c r="A8638">
        <v>8637</v>
      </c>
      <c r="B8638" t="str">
        <v>Công an xã Đông Phương  thành phố Hải Phòng</v>
      </c>
      <c r="C8638" t="str">
        <v>-</v>
      </c>
      <c r="D8638" t="str">
        <v>-</v>
      </c>
      <c r="E8638" t="str">
        <v/>
      </c>
      <c r="F8638" t="str">
        <v>-</v>
      </c>
      <c r="G8638" t="str">
        <v>-</v>
      </c>
    </row>
    <row r="8639">
      <c r="A8639">
        <v>8638</v>
      </c>
      <c r="B8639" t="str">
        <v>UBND Ủy ban nhân dân xã Đông Phương  thành phố Hải Phòng</v>
      </c>
      <c r="C8639" t="str">
        <v>-</v>
      </c>
      <c r="D8639" t="str">
        <v>-</v>
      </c>
      <c r="E8639" t="str">
        <v>-</v>
      </c>
      <c r="F8639" t="str">
        <v>-</v>
      </c>
      <c r="G8639" t="str">
        <v>-</v>
      </c>
    </row>
    <row r="8640">
      <c r="A8640">
        <v>8639</v>
      </c>
      <c r="B8640" t="str">
        <v>Công an xã Thuận Thiên  thành phố Hải Phòng</v>
      </c>
      <c r="C8640" t="str">
        <v>-</v>
      </c>
      <c r="D8640" t="str">
        <v>-</v>
      </c>
      <c r="E8640" t="str">
        <v/>
      </c>
      <c r="F8640" t="str">
        <v>-</v>
      </c>
      <c r="G8640" t="str">
        <v>-</v>
      </c>
    </row>
    <row r="8641">
      <c r="A8641">
        <v>8640</v>
      </c>
      <c r="B8641" t="str">
        <v>UBND Ủy ban nhân dân xã Thuận Thiên  thành phố Hải Phòng</v>
      </c>
      <c r="C8641" t="str">
        <v>-</v>
      </c>
      <c r="D8641" t="str">
        <v>-</v>
      </c>
      <c r="E8641" t="str">
        <v>-</v>
      </c>
      <c r="F8641" t="str">
        <v>-</v>
      </c>
      <c r="G8641" t="str">
        <v>-</v>
      </c>
    </row>
    <row r="8642">
      <c r="A8642">
        <v>8641</v>
      </c>
      <c r="B8642" t="str">
        <v>Công an xã Hữu Bằng  thành phố Hải Phòng</v>
      </c>
      <c r="C8642" t="str">
        <v>-</v>
      </c>
      <c r="D8642" t="str">
        <v>-</v>
      </c>
      <c r="E8642" t="str">
        <v/>
      </c>
      <c r="F8642" t="str">
        <v>-</v>
      </c>
      <c r="G8642" t="str">
        <v>-</v>
      </c>
    </row>
    <row r="8643">
      <c r="A8643">
        <v>8642</v>
      </c>
      <c r="B8643" t="str">
        <v>UBND Ủy ban nhân dân xã Hữu Bằng  thành phố Hải Phòng</v>
      </c>
      <c r="C8643" t="str">
        <v>-</v>
      </c>
      <c r="D8643" t="str">
        <v>-</v>
      </c>
      <c r="E8643" t="str">
        <v>-</v>
      </c>
      <c r="F8643" t="str">
        <v>-</v>
      </c>
      <c r="G8643" t="str">
        <v>-</v>
      </c>
    </row>
    <row r="8644">
      <c r="A8644">
        <v>8643</v>
      </c>
      <c r="B8644" t="str">
        <v>Công an xã Đại Đồng  thành phố Hải Phòng</v>
      </c>
      <c r="C8644" t="str">
        <v>-</v>
      </c>
      <c r="D8644" t="str">
        <v>-</v>
      </c>
      <c r="E8644" t="str">
        <v/>
      </c>
      <c r="F8644" t="str">
        <v>-</v>
      </c>
      <c r="G8644" t="str">
        <v>-</v>
      </c>
    </row>
    <row r="8645">
      <c r="A8645">
        <v>8644</v>
      </c>
      <c r="B8645" t="str">
        <v>UBND Ủy ban nhân dân xã Đại Đồng  thành phố Hải Phòng</v>
      </c>
      <c r="C8645" t="str">
        <v>-</v>
      </c>
      <c r="D8645" t="str">
        <v>-</v>
      </c>
      <c r="E8645" t="str">
        <v>-</v>
      </c>
      <c r="F8645" t="str">
        <v>-</v>
      </c>
      <c r="G8645" t="str">
        <v>-</v>
      </c>
    </row>
    <row r="8646">
      <c r="A8646">
        <v>8645</v>
      </c>
      <c r="B8646" t="str">
        <v>Công an xã Ngũ Phúc  thành phố Hải Phòng</v>
      </c>
      <c r="C8646" t="str">
        <v>-</v>
      </c>
      <c r="D8646" t="str">
        <v>-</v>
      </c>
      <c r="E8646" t="str">
        <v/>
      </c>
      <c r="F8646" t="str">
        <v>-</v>
      </c>
      <c r="G8646" t="str">
        <v>-</v>
      </c>
    </row>
    <row r="8647">
      <c r="A8647">
        <v>8646</v>
      </c>
      <c r="B8647" t="str">
        <v>UBND Ủy ban nhân dân xã Ngũ Phúc  thành phố Hải Phòng</v>
      </c>
      <c r="C8647" t="str">
        <v>-</v>
      </c>
      <c r="D8647" t="str">
        <v>-</v>
      </c>
      <c r="E8647" t="str">
        <v>-</v>
      </c>
      <c r="F8647" t="str">
        <v>-</v>
      </c>
      <c r="G8647" t="str">
        <v>-</v>
      </c>
    </row>
    <row r="8648">
      <c r="A8648">
        <v>8647</v>
      </c>
      <c r="B8648" t="str">
        <v>Công an xã Kiến Quốc  thành phố Hải Phòng</v>
      </c>
      <c r="C8648" t="str">
        <v>-</v>
      </c>
      <c r="D8648" t="str">
        <v>-</v>
      </c>
      <c r="E8648" t="str">
        <v/>
      </c>
      <c r="F8648" t="str">
        <v>-</v>
      </c>
      <c r="G8648" t="str">
        <v>-</v>
      </c>
    </row>
    <row r="8649">
      <c r="A8649">
        <v>8648</v>
      </c>
      <c r="B8649" t="str">
        <v>UBND Ủy ban nhân dân xã Kiến Quốc  thành phố Hải Phòng</v>
      </c>
      <c r="C8649" t="str">
        <v>-</v>
      </c>
      <c r="D8649" t="str">
        <v>-</v>
      </c>
      <c r="E8649" t="str">
        <v>-</v>
      </c>
      <c r="F8649" t="str">
        <v>-</v>
      </c>
      <c r="G8649" t="str">
        <v>-</v>
      </c>
    </row>
    <row r="8650">
      <c r="A8650">
        <v>8649</v>
      </c>
      <c r="B8650" t="str">
        <v>Công an xã Du Lễ  thành phố Hải Phòng</v>
      </c>
      <c r="C8650" t="str">
        <v>-</v>
      </c>
      <c r="D8650" t="str">
        <v>-</v>
      </c>
      <c r="E8650" t="str">
        <v/>
      </c>
      <c r="F8650" t="str">
        <v>-</v>
      </c>
      <c r="G8650" t="str">
        <v>-</v>
      </c>
    </row>
    <row r="8651">
      <c r="A8651">
        <v>8650</v>
      </c>
      <c r="B8651" t="str">
        <v>UBND Ủy ban nhân dân xã Du Lễ  thành phố Hải Phòng</v>
      </c>
      <c r="C8651" t="str">
        <v>-</v>
      </c>
      <c r="D8651" t="str">
        <v>-</v>
      </c>
      <c r="E8651" t="str">
        <v>-</v>
      </c>
      <c r="F8651" t="str">
        <v>-</v>
      </c>
      <c r="G8651" t="str">
        <v>-</v>
      </c>
    </row>
    <row r="8652">
      <c r="A8652">
        <v>8651</v>
      </c>
      <c r="B8652" t="str">
        <v>Công an xã Thuỵ Hương  thành phố Hải Phòng</v>
      </c>
      <c r="C8652" t="str">
        <v>-</v>
      </c>
      <c r="D8652" t="str">
        <v>-</v>
      </c>
      <c r="E8652" t="str">
        <v/>
      </c>
      <c r="F8652" t="str">
        <v>-</v>
      </c>
      <c r="G8652" t="str">
        <v>-</v>
      </c>
    </row>
    <row r="8653">
      <c r="A8653">
        <v>8652</v>
      </c>
      <c r="B8653" t="str">
        <v>UBND Ủy ban nhân dân xã Thuỵ Hương  thành phố Hải Phòng</v>
      </c>
      <c r="C8653" t="str">
        <v>-</v>
      </c>
      <c r="D8653" t="str">
        <v>-</v>
      </c>
      <c r="E8653" t="str">
        <v>-</v>
      </c>
      <c r="F8653" t="str">
        <v>-</v>
      </c>
      <c r="G8653" t="str">
        <v>-</v>
      </c>
    </row>
    <row r="8654">
      <c r="A8654">
        <v>8653</v>
      </c>
      <c r="B8654" t="str">
        <v>Công an xã Thanh Sơn  thành phố Hải Phòng</v>
      </c>
      <c r="C8654" t="str">
        <v>-</v>
      </c>
      <c r="D8654" t="str">
        <v>-</v>
      </c>
      <c r="E8654" t="str">
        <v/>
      </c>
      <c r="F8654" t="str">
        <v>-</v>
      </c>
      <c r="G8654" t="str">
        <v>-</v>
      </c>
    </row>
    <row r="8655">
      <c r="A8655">
        <v>8654</v>
      </c>
      <c r="B8655" t="str">
        <v>UBND Ủy ban nhân dân xã Thanh Sơn  thành phố Hải Phòng</v>
      </c>
      <c r="C8655" t="str">
        <v>-</v>
      </c>
      <c r="D8655" t="str">
        <v>-</v>
      </c>
      <c r="E8655" t="str">
        <v>-</v>
      </c>
      <c r="F8655" t="str">
        <v>-</v>
      </c>
      <c r="G8655" t="str">
        <v>-</v>
      </c>
    </row>
    <row r="8656">
      <c r="A8656">
        <v>8655</v>
      </c>
      <c r="B8656" t="str">
        <v>Công an xã Minh Tân  thành phố Hải Phòng</v>
      </c>
      <c r="C8656" t="str">
        <v>-</v>
      </c>
      <c r="D8656" t="str">
        <v>-</v>
      </c>
      <c r="E8656" t="str">
        <v/>
      </c>
      <c r="F8656" t="str">
        <v>-</v>
      </c>
      <c r="G8656" t="str">
        <v>-</v>
      </c>
    </row>
    <row r="8657">
      <c r="A8657">
        <v>8656</v>
      </c>
      <c r="B8657" t="str">
        <v>UBND Ủy ban nhân dân xã Minh Tân  thành phố Hải Phòng</v>
      </c>
      <c r="C8657" t="str">
        <v>-</v>
      </c>
      <c r="D8657" t="str">
        <v>-</v>
      </c>
      <c r="E8657" t="str">
        <v>-</v>
      </c>
      <c r="F8657" t="str">
        <v>-</v>
      </c>
      <c r="G8657" t="str">
        <v>-</v>
      </c>
    </row>
    <row r="8658">
      <c r="A8658">
        <v>8657</v>
      </c>
      <c r="B8658" t="str">
        <v>Công an xã Đại Hà  thành phố Hải Phòng</v>
      </c>
      <c r="C8658" t="str">
        <v>-</v>
      </c>
      <c r="D8658" t="str">
        <v>-</v>
      </c>
      <c r="E8658" t="str">
        <v/>
      </c>
      <c r="F8658" t="str">
        <v>-</v>
      </c>
      <c r="G8658" t="str">
        <v>-</v>
      </c>
    </row>
    <row r="8659">
      <c r="A8659">
        <v>8658</v>
      </c>
      <c r="B8659" t="str">
        <v>UBND Ủy ban nhân dân xã Đại Hà  thành phố Hải Phòng</v>
      </c>
      <c r="C8659" t="str">
        <v>-</v>
      </c>
      <c r="D8659" t="str">
        <v>-</v>
      </c>
      <c r="E8659" t="str">
        <v>-</v>
      </c>
      <c r="F8659" t="str">
        <v>-</v>
      </c>
      <c r="G8659" t="str">
        <v>-</v>
      </c>
    </row>
    <row r="8660">
      <c r="A8660">
        <v>8659</v>
      </c>
      <c r="B8660" t="str">
        <v>Công an xã Ngũ Đoan  thành phố Hải Phòng</v>
      </c>
      <c r="C8660" t="str">
        <v>-</v>
      </c>
      <c r="D8660" t="str">
        <v>-</v>
      </c>
      <c r="E8660" t="str">
        <v/>
      </c>
      <c r="F8660" t="str">
        <v>-</v>
      </c>
      <c r="G8660" t="str">
        <v>-</v>
      </c>
    </row>
    <row r="8661">
      <c r="A8661">
        <v>8660</v>
      </c>
      <c r="B8661" t="str">
        <v>UBND Ủy ban nhân dân xã Ngũ Đoan  thành phố Hải Phòng</v>
      </c>
      <c r="C8661" t="str">
        <v>-</v>
      </c>
      <c r="D8661" t="str">
        <v>-</v>
      </c>
      <c r="E8661" t="str">
        <v>-</v>
      </c>
      <c r="F8661" t="str">
        <v>-</v>
      </c>
      <c r="G8661" t="str">
        <v>-</v>
      </c>
    </row>
    <row r="8662">
      <c r="A8662">
        <v>8661</v>
      </c>
      <c r="B8662" t="str">
        <v>Công an xã Tân Phong  thành phố Hải Phòng</v>
      </c>
      <c r="C8662" t="str">
        <v>-</v>
      </c>
      <c r="D8662" t="str">
        <v>-</v>
      </c>
      <c r="E8662" t="str">
        <v/>
      </c>
      <c r="F8662" t="str">
        <v>-</v>
      </c>
      <c r="G8662" t="str">
        <v>-</v>
      </c>
    </row>
    <row r="8663">
      <c r="A8663">
        <v>8662</v>
      </c>
      <c r="B8663" t="str">
        <v>UBND Ủy ban nhân dân xã Tân Phong  thành phố Hải Phòng</v>
      </c>
      <c r="C8663" t="str">
        <v>-</v>
      </c>
      <c r="D8663" t="str">
        <v>-</v>
      </c>
      <c r="E8663" t="str">
        <v>-</v>
      </c>
      <c r="F8663" t="str">
        <v>-</v>
      </c>
      <c r="G8663" t="str">
        <v>-</v>
      </c>
    </row>
    <row r="8664">
      <c r="A8664">
        <v>8663</v>
      </c>
      <c r="B8664" t="str">
        <v>Công an xã Tân Trào  thành phố Hải Phòng</v>
      </c>
      <c r="C8664" t="str">
        <v>-</v>
      </c>
      <c r="D8664" t="str">
        <v>-</v>
      </c>
      <c r="E8664" t="str">
        <v/>
      </c>
      <c r="F8664" t="str">
        <v>-</v>
      </c>
      <c r="G8664" t="str">
        <v>-</v>
      </c>
    </row>
    <row r="8665">
      <c r="A8665">
        <v>8664</v>
      </c>
      <c r="B8665" t="str">
        <v>UBND Ủy ban nhân dân xã Tân Trào  thành phố Hải Phòng</v>
      </c>
      <c r="C8665" t="str">
        <v>-</v>
      </c>
      <c r="D8665" t="str">
        <v>-</v>
      </c>
      <c r="E8665" t="str">
        <v>-</v>
      </c>
      <c r="F8665" t="str">
        <v>-</v>
      </c>
      <c r="G8665" t="str">
        <v>-</v>
      </c>
    </row>
    <row r="8666">
      <c r="A8666">
        <v>8665</v>
      </c>
      <c r="B8666" t="str">
        <v>Công an xã Đoàn Xá  thành phố Hải Phòng</v>
      </c>
      <c r="C8666" t="str">
        <v>-</v>
      </c>
      <c r="D8666" t="str">
        <v>-</v>
      </c>
      <c r="E8666" t="str">
        <v/>
      </c>
      <c r="F8666" t="str">
        <v>-</v>
      </c>
      <c r="G8666" t="str">
        <v>-</v>
      </c>
    </row>
    <row r="8667">
      <c r="A8667">
        <v>8666</v>
      </c>
      <c r="B8667" t="str">
        <v>UBND Ủy ban nhân dân xã Đoàn Xá  thành phố Hải Phòng</v>
      </c>
      <c r="C8667" t="str">
        <v>-</v>
      </c>
      <c r="D8667" t="str">
        <v>-</v>
      </c>
      <c r="E8667" t="str">
        <v>-</v>
      </c>
      <c r="F8667" t="str">
        <v>-</v>
      </c>
      <c r="G8667" t="str">
        <v>-</v>
      </c>
    </row>
    <row r="8668">
      <c r="A8668">
        <v>8667</v>
      </c>
      <c r="B8668" t="str">
        <v>Công an xã Tú Sơn  thành phố Hải Phòng</v>
      </c>
      <c r="C8668" t="str">
        <v>-</v>
      </c>
      <c r="D8668" t="str">
        <v>-</v>
      </c>
      <c r="E8668" t="str">
        <v/>
      </c>
      <c r="F8668" t="str">
        <v>-</v>
      </c>
      <c r="G8668" t="str">
        <v>-</v>
      </c>
    </row>
    <row r="8669">
      <c r="A8669">
        <v>8668</v>
      </c>
      <c r="B8669" t="str">
        <v>UBND Ủy ban nhân dân xã Tú Sơn  thành phố Hải Phòng</v>
      </c>
      <c r="C8669" t="str">
        <v>-</v>
      </c>
      <c r="D8669" t="str">
        <v>-</v>
      </c>
      <c r="E8669" t="str">
        <v>-</v>
      </c>
      <c r="F8669" t="str">
        <v>-</v>
      </c>
      <c r="G8669" t="str">
        <v>-</v>
      </c>
    </row>
    <row r="8670">
      <c r="A8670">
        <v>8669</v>
      </c>
      <c r="B8670" t="str">
        <v>Công an xã Đại Hợp  thành phố Hải Phòng</v>
      </c>
      <c r="C8670" t="str">
        <v>-</v>
      </c>
      <c r="D8670" t="str">
        <v>-</v>
      </c>
      <c r="E8670" t="str">
        <v/>
      </c>
      <c r="F8670" t="str">
        <v>-</v>
      </c>
      <c r="G8670" t="str">
        <v>-</v>
      </c>
    </row>
    <row r="8671">
      <c r="A8671">
        <v>8670</v>
      </c>
      <c r="B8671" t="str">
        <v>UBND Ủy ban nhân dân xã Đại Hợp  thành phố Hải Phòng</v>
      </c>
      <c r="C8671" t="str">
        <v>-</v>
      </c>
      <c r="D8671" t="str">
        <v>-</v>
      </c>
      <c r="E8671" t="str">
        <v>-</v>
      </c>
      <c r="F8671" t="str">
        <v>-</v>
      </c>
      <c r="G8671" t="str">
        <v>-</v>
      </c>
    </row>
    <row r="8672">
      <c r="A8672">
        <v>8671</v>
      </c>
      <c r="B8672" t="str">
        <v>Công an thị trấn Tiên Lãng  thành phố Hải Phòng</v>
      </c>
      <c r="C8672" t="str">
        <v>-</v>
      </c>
      <c r="D8672" t="str">
        <v>-</v>
      </c>
      <c r="E8672" t="str">
        <v/>
      </c>
      <c r="F8672" t="str">
        <v>-</v>
      </c>
      <c r="G8672" t="str">
        <v>-</v>
      </c>
    </row>
    <row r="8673">
      <c r="A8673">
        <v>8672</v>
      </c>
      <c r="B8673" t="str">
        <v>UBND Ủy ban nhân dân thị trấn Tiên Lãng  thành phố Hải Phòng</v>
      </c>
      <c r="C8673" t="str">
        <v>-</v>
      </c>
      <c r="D8673" t="str">
        <v>-</v>
      </c>
      <c r="E8673" t="str">
        <v>-</v>
      </c>
      <c r="F8673" t="str">
        <v>-</v>
      </c>
      <c r="G8673" t="str">
        <v>-</v>
      </c>
    </row>
    <row r="8674">
      <c r="A8674">
        <v>8673</v>
      </c>
      <c r="B8674" t="str">
        <v>Công an xã Đại Thắng  thành phố Hải Phòng</v>
      </c>
      <c r="C8674" t="str">
        <v>-</v>
      </c>
      <c r="D8674" t="str">
        <v>-</v>
      </c>
      <c r="E8674" t="str">
        <v/>
      </c>
      <c r="F8674" t="str">
        <v>-</v>
      </c>
      <c r="G8674" t="str">
        <v>-</v>
      </c>
    </row>
    <row r="8675">
      <c r="A8675">
        <v>8674</v>
      </c>
      <c r="B8675" t="str">
        <v>UBND Ủy ban nhân dân xã Đại Thắng  thành phố Hải Phòng</v>
      </c>
      <c r="C8675" t="str">
        <v>-</v>
      </c>
      <c r="D8675" t="str">
        <v>-</v>
      </c>
      <c r="E8675" t="str">
        <v>-</v>
      </c>
      <c r="F8675" t="str">
        <v>-</v>
      </c>
      <c r="G8675" t="str">
        <v>-</v>
      </c>
    </row>
    <row r="8676">
      <c r="A8676">
        <v>8675</v>
      </c>
      <c r="B8676" t="str">
        <v>Công an xã Tiên Cường  thành phố Hải Phòng</v>
      </c>
      <c r="C8676" t="str">
        <v>-</v>
      </c>
      <c r="D8676" t="str">
        <v>-</v>
      </c>
      <c r="E8676" t="str">
        <v/>
      </c>
      <c r="F8676" t="str">
        <v>-</v>
      </c>
      <c r="G8676" t="str">
        <v>-</v>
      </c>
    </row>
    <row r="8677">
      <c r="A8677">
        <v>8676</v>
      </c>
      <c r="B8677" t="str">
        <v>UBND Ủy ban nhân dân xã Tiên Cường  thành phố Hải Phòng</v>
      </c>
      <c r="C8677" t="str">
        <v>-</v>
      </c>
      <c r="D8677" t="str">
        <v>-</v>
      </c>
      <c r="E8677" t="str">
        <v>-</v>
      </c>
      <c r="F8677" t="str">
        <v>-</v>
      </c>
      <c r="G8677" t="str">
        <v>-</v>
      </c>
    </row>
    <row r="8678">
      <c r="A8678">
        <v>8677</v>
      </c>
      <c r="B8678" t="str">
        <v>Công an xã Tự Cường  thành phố Hải Phòng</v>
      </c>
      <c r="C8678" t="str">
        <v>-</v>
      </c>
      <c r="D8678" t="str">
        <v>-</v>
      </c>
      <c r="E8678" t="str">
        <v/>
      </c>
      <c r="F8678" t="str">
        <v>-</v>
      </c>
      <c r="G8678" t="str">
        <v>-</v>
      </c>
    </row>
    <row r="8679">
      <c r="A8679">
        <v>8678</v>
      </c>
      <c r="B8679" t="str">
        <v>UBND Ủy ban nhân dân xã Tự Cường  thành phố Hải Phòng</v>
      </c>
      <c r="C8679" t="str">
        <v>-</v>
      </c>
      <c r="D8679" t="str">
        <v>-</v>
      </c>
      <c r="E8679" t="str">
        <v>-</v>
      </c>
      <c r="F8679" t="str">
        <v>-</v>
      </c>
      <c r="G8679" t="str">
        <v>-</v>
      </c>
    </row>
    <row r="8680">
      <c r="A8680">
        <v>8679</v>
      </c>
      <c r="B8680" t="str">
        <v>Công an xã Tiên Tiến  thành phố Hải Phòng</v>
      </c>
      <c r="C8680" t="str">
        <v>-</v>
      </c>
      <c r="D8680" t="str">
        <v>-</v>
      </c>
      <c r="E8680" t="str">
        <v/>
      </c>
      <c r="F8680" t="str">
        <v>-</v>
      </c>
      <c r="G8680" t="str">
        <v>-</v>
      </c>
    </row>
    <row r="8681">
      <c r="A8681">
        <v>8680</v>
      </c>
      <c r="B8681" t="str">
        <v>UBND Ủy ban nhân dân xã Tiên Tiến  thành phố Hải Phòng</v>
      </c>
      <c r="C8681" t="str">
        <v>-</v>
      </c>
      <c r="D8681" t="str">
        <v>-</v>
      </c>
      <c r="E8681" t="str">
        <v>-</v>
      </c>
      <c r="F8681" t="str">
        <v>-</v>
      </c>
      <c r="G8681" t="str">
        <v>-</v>
      </c>
    </row>
    <row r="8682">
      <c r="A8682">
        <v>8681</v>
      </c>
      <c r="B8682" t="str">
        <v>Công an xã Quyết Tiến  thành phố Hải Phòng</v>
      </c>
      <c r="C8682" t="str">
        <v>-</v>
      </c>
      <c r="D8682" t="str">
        <v>-</v>
      </c>
      <c r="E8682" t="str">
        <v/>
      </c>
      <c r="F8682" t="str">
        <v>-</v>
      </c>
      <c r="G8682" t="str">
        <v>-</v>
      </c>
    </row>
    <row r="8683">
      <c r="A8683">
        <v>8682</v>
      </c>
      <c r="B8683" t="str">
        <v>UBND Ủy ban nhân dân xã Quyết Tiến  thành phố Hải Phòng</v>
      </c>
      <c r="C8683" t="str">
        <v>-</v>
      </c>
      <c r="D8683" t="str">
        <v>-</v>
      </c>
      <c r="E8683" t="str">
        <v>-</v>
      </c>
      <c r="F8683" t="str">
        <v>-</v>
      </c>
      <c r="G8683" t="str">
        <v>-</v>
      </c>
    </row>
    <row r="8684">
      <c r="A8684">
        <v>8683</v>
      </c>
      <c r="B8684" t="str">
        <v>Công an xã Khởi Nghĩa  thành phố Hải Phòng</v>
      </c>
      <c r="C8684" t="str">
        <v>-</v>
      </c>
      <c r="D8684" t="str">
        <v>-</v>
      </c>
      <c r="E8684" t="str">
        <v/>
      </c>
      <c r="F8684" t="str">
        <v>-</v>
      </c>
      <c r="G8684" t="str">
        <v>-</v>
      </c>
    </row>
    <row r="8685">
      <c r="A8685">
        <v>8684</v>
      </c>
      <c r="B8685" t="str">
        <v>UBND Ủy ban nhân dân xã Khởi Nghĩa  thành phố Hải Phòng</v>
      </c>
      <c r="C8685" t="str">
        <v>-</v>
      </c>
      <c r="D8685" t="str">
        <v>-</v>
      </c>
      <c r="E8685" t="str">
        <v>-</v>
      </c>
      <c r="F8685" t="str">
        <v>-</v>
      </c>
      <c r="G8685" t="str">
        <v>-</v>
      </c>
    </row>
    <row r="8686">
      <c r="A8686">
        <v>8685</v>
      </c>
      <c r="B8686" t="str">
        <v>Công an xã Tiên Thanh  thành phố Hải Phòng</v>
      </c>
      <c r="C8686" t="str">
        <v>-</v>
      </c>
      <c r="D8686" t="str">
        <v>-</v>
      </c>
      <c r="E8686" t="str">
        <v/>
      </c>
      <c r="F8686" t="str">
        <v>-</v>
      </c>
      <c r="G8686" t="str">
        <v>-</v>
      </c>
    </row>
    <row r="8687">
      <c r="A8687">
        <v>8686</v>
      </c>
      <c r="B8687" t="str">
        <v>UBND Ủy ban nhân dân xã Tiên Thanh  thành phố Hải Phòng</v>
      </c>
      <c r="C8687" t="str">
        <v>-</v>
      </c>
      <c r="D8687" t="str">
        <v>-</v>
      </c>
      <c r="E8687" t="str">
        <v>-</v>
      </c>
      <c r="F8687" t="str">
        <v>-</v>
      </c>
      <c r="G8687" t="str">
        <v>-</v>
      </c>
    </row>
    <row r="8688">
      <c r="A8688">
        <v>8687</v>
      </c>
      <c r="B8688" t="str">
        <v>Công an xã Cấp Tiến  thành phố Hải Phòng</v>
      </c>
      <c r="C8688" t="str">
        <v>-</v>
      </c>
      <c r="D8688" t="str">
        <v>-</v>
      </c>
      <c r="E8688" t="str">
        <v/>
      </c>
      <c r="F8688" t="str">
        <v>-</v>
      </c>
      <c r="G8688" t="str">
        <v>-</v>
      </c>
    </row>
    <row r="8689">
      <c r="A8689">
        <v>8688</v>
      </c>
      <c r="B8689" t="str">
        <v>UBND Ủy ban nhân dân xã Cấp Tiến  thành phố Hải Phòng</v>
      </c>
      <c r="C8689" t="str">
        <v>-</v>
      </c>
      <c r="D8689" t="str">
        <v>-</v>
      </c>
      <c r="E8689" t="str">
        <v>-</v>
      </c>
      <c r="F8689" t="str">
        <v>-</v>
      </c>
      <c r="G8689" t="str">
        <v>-</v>
      </c>
    </row>
    <row r="8690">
      <c r="A8690">
        <v>8689</v>
      </c>
      <c r="B8690" t="str">
        <v>Công an xã Kiến Thiết  thành phố Hải Phòng</v>
      </c>
      <c r="C8690" t="str">
        <v>-</v>
      </c>
      <c r="D8690" t="str">
        <v>-</v>
      </c>
      <c r="E8690" t="str">
        <v/>
      </c>
      <c r="F8690" t="str">
        <v>-</v>
      </c>
      <c r="G8690" t="str">
        <v>-</v>
      </c>
    </row>
    <row r="8691">
      <c r="A8691">
        <v>8690</v>
      </c>
      <c r="B8691" t="str">
        <v>UBND Ủy ban nhân dân xã Kiến Thiết  thành phố Hải Phòng</v>
      </c>
      <c r="C8691" t="str">
        <v>-</v>
      </c>
      <c r="D8691" t="str">
        <v>-</v>
      </c>
      <c r="E8691" t="str">
        <v>-</v>
      </c>
      <c r="F8691" t="str">
        <v>-</v>
      </c>
      <c r="G8691" t="str">
        <v>-</v>
      </c>
    </row>
    <row r="8692">
      <c r="A8692">
        <v>8691</v>
      </c>
      <c r="B8692" t="str">
        <v>Công an xã Đoàn Lập  thành phố Hải Phòng</v>
      </c>
      <c r="C8692" t="str">
        <v>-</v>
      </c>
      <c r="D8692" t="str">
        <v>-</v>
      </c>
      <c r="E8692" t="str">
        <v/>
      </c>
      <c r="F8692" t="str">
        <v>-</v>
      </c>
      <c r="G8692" t="str">
        <v>-</v>
      </c>
    </row>
    <row r="8693">
      <c r="A8693">
        <v>8692</v>
      </c>
      <c r="B8693" t="str">
        <v>UBND Ủy ban nhân dân xã Đoàn Lập  thành phố Hải Phòng</v>
      </c>
      <c r="C8693" t="str">
        <v>-</v>
      </c>
      <c r="D8693" t="str">
        <v>-</v>
      </c>
      <c r="E8693" t="str">
        <v>-</v>
      </c>
      <c r="F8693" t="str">
        <v>-</v>
      </c>
      <c r="G8693" t="str">
        <v>-</v>
      </c>
    </row>
    <row r="8694">
      <c r="A8694">
        <v>8693</v>
      </c>
      <c r="B8694" t="str">
        <v>Công an xã Bạch Đằng  thành phố Hải Phòng</v>
      </c>
      <c r="C8694" t="str">
        <v>-</v>
      </c>
      <c r="D8694" t="str">
        <v>-</v>
      </c>
      <c r="E8694" t="str">
        <v/>
      </c>
      <c r="F8694" t="str">
        <v>-</v>
      </c>
      <c r="G8694" t="str">
        <v>-</v>
      </c>
    </row>
    <row r="8695">
      <c r="A8695">
        <v>8694</v>
      </c>
      <c r="B8695" t="str">
        <v>UBND Ủy ban nhân dân xã Bạch Đằng  thành phố Hải Phòng</v>
      </c>
      <c r="C8695" t="str">
        <v>-</v>
      </c>
      <c r="D8695" t="str">
        <v>-</v>
      </c>
      <c r="E8695" t="str">
        <v>-</v>
      </c>
      <c r="F8695" t="str">
        <v>-</v>
      </c>
      <c r="G8695" t="str">
        <v>-</v>
      </c>
    </row>
    <row r="8696">
      <c r="A8696">
        <v>8695</v>
      </c>
      <c r="B8696" t="str">
        <v>Công an xã Quang Phục  thành phố Hải Phòng</v>
      </c>
      <c r="C8696" t="str">
        <v>-</v>
      </c>
      <c r="D8696" t="str">
        <v>-</v>
      </c>
      <c r="E8696" t="str">
        <v/>
      </c>
      <c r="F8696" t="str">
        <v>-</v>
      </c>
      <c r="G8696" t="str">
        <v>-</v>
      </c>
    </row>
    <row r="8697">
      <c r="A8697">
        <v>8696</v>
      </c>
      <c r="B8697" t="str">
        <v>UBND Ủy ban nhân dân xã Quang Phục  thành phố Hải Phòng</v>
      </c>
      <c r="C8697" t="str">
        <v>-</v>
      </c>
      <c r="D8697" t="str">
        <v>-</v>
      </c>
      <c r="E8697" t="str">
        <v>-</v>
      </c>
      <c r="F8697" t="str">
        <v>-</v>
      </c>
      <c r="G8697" t="str">
        <v>-</v>
      </c>
    </row>
    <row r="8698">
      <c r="A8698">
        <v>8697</v>
      </c>
      <c r="B8698" t="str">
        <v>Công an xã Toàn Thắng  thành phố Hải Phòng</v>
      </c>
      <c r="C8698" t="str">
        <v>-</v>
      </c>
      <c r="D8698" t="str">
        <v>-</v>
      </c>
      <c r="E8698" t="str">
        <v/>
      </c>
      <c r="F8698" t="str">
        <v>-</v>
      </c>
      <c r="G8698" t="str">
        <v>-</v>
      </c>
    </row>
    <row r="8699">
      <c r="A8699">
        <v>8698</v>
      </c>
      <c r="B8699" t="str">
        <v>UBND Ủy ban nhân dân xã Toàn Thắng  thành phố Hải Phòng</v>
      </c>
      <c r="C8699" t="str">
        <v>-</v>
      </c>
      <c r="D8699" t="str">
        <v>-</v>
      </c>
      <c r="E8699" t="str">
        <v>-</v>
      </c>
      <c r="F8699" t="str">
        <v>-</v>
      </c>
      <c r="G8699" t="str">
        <v>-</v>
      </c>
    </row>
    <row r="8700">
      <c r="A8700">
        <v>8699</v>
      </c>
      <c r="B8700" t="str">
        <v>Công an xã Tiên Thắng  thành phố Hải Phòng</v>
      </c>
      <c r="C8700" t="str">
        <v>-</v>
      </c>
      <c r="D8700" t="str">
        <v>-</v>
      </c>
      <c r="E8700" t="str">
        <v/>
      </c>
      <c r="F8700" t="str">
        <v>-</v>
      </c>
      <c r="G8700" t="str">
        <v>-</v>
      </c>
    </row>
    <row r="8701">
      <c r="A8701">
        <v>8700</v>
      </c>
      <c r="B8701" t="str">
        <v>UBND Ủy ban nhân dân xã Tiên Thắng  thành phố Hải Phòng</v>
      </c>
      <c r="C8701" t="str">
        <v>-</v>
      </c>
      <c r="D8701" t="str">
        <v>-</v>
      </c>
      <c r="E8701" t="str">
        <v>-</v>
      </c>
      <c r="F8701" t="str">
        <v>-</v>
      </c>
      <c r="G8701" t="str">
        <v>-</v>
      </c>
    </row>
    <row r="8702">
      <c r="A8702">
        <v>8701</v>
      </c>
      <c r="B8702" t="str">
        <v>Công an xã Tiên Minh  thành phố Hải Phòng</v>
      </c>
      <c r="C8702" t="str">
        <v>-</v>
      </c>
      <c r="D8702" t="str">
        <v>-</v>
      </c>
      <c r="E8702" t="str">
        <v/>
      </c>
      <c r="F8702" t="str">
        <v>-</v>
      </c>
      <c r="G8702" t="str">
        <v>-</v>
      </c>
    </row>
    <row r="8703">
      <c r="A8703">
        <v>8702</v>
      </c>
      <c r="B8703" t="str">
        <v>UBND Ủy ban nhân dân xã Tiên Minh  thành phố Hải Phòng</v>
      </c>
      <c r="C8703" t="str">
        <v>-</v>
      </c>
      <c r="D8703" t="str">
        <v>-</v>
      </c>
      <c r="E8703" t="str">
        <v>-</v>
      </c>
      <c r="F8703" t="str">
        <v>-</v>
      </c>
      <c r="G8703" t="str">
        <v>-</v>
      </c>
    </row>
    <row r="8704">
      <c r="A8704">
        <v>8703</v>
      </c>
      <c r="B8704" t="str">
        <v>Công an xã Bắc Hưng  thành phố Hải Phòng</v>
      </c>
      <c r="C8704" t="str">
        <v>-</v>
      </c>
      <c r="D8704" t="str">
        <v>-</v>
      </c>
      <c r="E8704" t="str">
        <v/>
      </c>
      <c r="F8704" t="str">
        <v>-</v>
      </c>
      <c r="G8704" t="str">
        <v>-</v>
      </c>
    </row>
    <row r="8705">
      <c r="A8705">
        <v>8704</v>
      </c>
      <c r="B8705" t="str">
        <v>UBND Ủy ban nhân dân xã Bắc Hưng  thành phố Hải Phòng</v>
      </c>
      <c r="C8705" t="str">
        <v>-</v>
      </c>
      <c r="D8705" t="str">
        <v>-</v>
      </c>
      <c r="E8705" t="str">
        <v>-</v>
      </c>
      <c r="F8705" t="str">
        <v>-</v>
      </c>
      <c r="G8705" t="str">
        <v>-</v>
      </c>
    </row>
    <row r="8706">
      <c r="A8706">
        <v>8705</v>
      </c>
      <c r="B8706" t="str">
        <v>Công an xã Nam Hưng  thành phố Hải Phòng</v>
      </c>
      <c r="C8706" t="str">
        <v>-</v>
      </c>
      <c r="D8706" t="str">
        <v>-</v>
      </c>
      <c r="E8706" t="str">
        <v/>
      </c>
      <c r="F8706" t="str">
        <v>-</v>
      </c>
      <c r="G8706" t="str">
        <v>-</v>
      </c>
    </row>
    <row r="8707">
      <c r="A8707">
        <v>8706</v>
      </c>
      <c r="B8707" t="str">
        <v>UBND Ủy ban nhân dân xã Nam Hưng  thành phố Hải Phòng</v>
      </c>
      <c r="C8707" t="str">
        <v>-</v>
      </c>
      <c r="D8707" t="str">
        <v>-</v>
      </c>
      <c r="E8707" t="str">
        <v>-</v>
      </c>
      <c r="F8707" t="str">
        <v>-</v>
      </c>
      <c r="G8707" t="str">
        <v>-</v>
      </c>
    </row>
    <row r="8708">
      <c r="A8708">
        <v>8707</v>
      </c>
      <c r="B8708" t="str">
        <v>Công an xã Hùng Thắng  thành phố Hải Phòng</v>
      </c>
      <c r="C8708" t="str">
        <v>-</v>
      </c>
      <c r="D8708" t="str">
        <v>-</v>
      </c>
      <c r="E8708" t="str">
        <v/>
      </c>
      <c r="F8708" t="str">
        <v>-</v>
      </c>
      <c r="G8708" t="str">
        <v>-</v>
      </c>
    </row>
    <row r="8709">
      <c r="A8709">
        <v>8708</v>
      </c>
      <c r="B8709" t="str">
        <v>UBND Ủy ban nhân dân xã Hùng Thắng  thành phố Hải Phòng</v>
      </c>
      <c r="C8709" t="str">
        <v>-</v>
      </c>
      <c r="D8709" t="str">
        <v>-</v>
      </c>
      <c r="E8709" t="str">
        <v>-</v>
      </c>
      <c r="F8709" t="str">
        <v>-</v>
      </c>
      <c r="G8709" t="str">
        <v>-</v>
      </c>
    </row>
    <row r="8710">
      <c r="A8710">
        <v>8709</v>
      </c>
      <c r="B8710" t="str">
        <v>Công an xã Tây Hưng  thành phố Hải Phòng</v>
      </c>
      <c r="C8710" t="str">
        <v>-</v>
      </c>
      <c r="D8710" t="str">
        <v>-</v>
      </c>
      <c r="E8710" t="str">
        <v/>
      </c>
      <c r="F8710" t="str">
        <v>-</v>
      </c>
      <c r="G8710" t="str">
        <v>-</v>
      </c>
    </row>
    <row r="8711">
      <c r="A8711">
        <v>8710</v>
      </c>
      <c r="B8711" t="str">
        <v>UBND Ủy ban nhân dân xã Tây Hưng  thành phố Hải Phòng</v>
      </c>
      <c r="C8711" t="str">
        <v>-</v>
      </c>
      <c r="D8711" t="str">
        <v>-</v>
      </c>
      <c r="E8711" t="str">
        <v>-</v>
      </c>
      <c r="F8711" t="str">
        <v>-</v>
      </c>
      <c r="G8711" t="str">
        <v>-</v>
      </c>
    </row>
    <row r="8712">
      <c r="A8712">
        <v>8711</v>
      </c>
      <c r="B8712" t="str">
        <v>Công an xã Đông Hưng  thành phố Hải Phòng</v>
      </c>
      <c r="C8712" t="str">
        <v>-</v>
      </c>
      <c r="D8712" t="str">
        <v>-</v>
      </c>
      <c r="E8712" t="str">
        <v/>
      </c>
      <c r="F8712" t="str">
        <v>-</v>
      </c>
      <c r="G8712" t="str">
        <v>-</v>
      </c>
    </row>
    <row r="8713">
      <c r="A8713">
        <v>8712</v>
      </c>
      <c r="B8713" t="str">
        <v>UBND Ủy ban nhân dân xã Đông Hưng  thành phố Hải Phòng</v>
      </c>
      <c r="C8713" t="str">
        <v>-</v>
      </c>
      <c r="D8713" t="str">
        <v>-</v>
      </c>
      <c r="E8713" t="str">
        <v>-</v>
      </c>
      <c r="F8713" t="str">
        <v>-</v>
      </c>
      <c r="G8713" t="str">
        <v>-</v>
      </c>
    </row>
    <row r="8714">
      <c r="A8714">
        <v>8713</v>
      </c>
      <c r="B8714" t="str">
        <v>Công an xã Tiên Hưng  thành phố Hải Phòng</v>
      </c>
      <c r="C8714" t="str">
        <v>-</v>
      </c>
      <c r="D8714" t="str">
        <v>-</v>
      </c>
      <c r="E8714" t="str">
        <v/>
      </c>
      <c r="F8714" t="str">
        <v>-</v>
      </c>
      <c r="G8714" t="str">
        <v>-</v>
      </c>
    </row>
    <row r="8715">
      <c r="A8715">
        <v>8714</v>
      </c>
      <c r="B8715" t="str">
        <v>UBND Ủy ban nhân dân xã Tiên Hưng  thành phố Hải Phòng</v>
      </c>
      <c r="C8715" t="str">
        <v>-</v>
      </c>
      <c r="D8715" t="str">
        <v>-</v>
      </c>
      <c r="E8715" t="str">
        <v>-</v>
      </c>
      <c r="F8715" t="str">
        <v>-</v>
      </c>
      <c r="G8715" t="str">
        <v>-</v>
      </c>
    </row>
    <row r="8716">
      <c r="A8716">
        <v>8715</v>
      </c>
      <c r="B8716" t="str">
        <v>Công an xã Vinh Quang  thành phố Hải Phòng</v>
      </c>
      <c r="C8716" t="str">
        <v>-</v>
      </c>
      <c r="D8716" t="str">
        <v>-</v>
      </c>
      <c r="E8716" t="str">
        <v/>
      </c>
      <c r="F8716" t="str">
        <v>-</v>
      </c>
      <c r="G8716" t="str">
        <v>-</v>
      </c>
    </row>
    <row r="8717">
      <c r="A8717">
        <v>8716</v>
      </c>
      <c r="B8717" t="str">
        <v>UBND Ủy ban nhân dân xã Vinh Quang  thành phố Hải Phòng</v>
      </c>
      <c r="C8717" t="str">
        <v>-</v>
      </c>
      <c r="D8717" t="str">
        <v>-</v>
      </c>
      <c r="E8717" t="str">
        <v>-</v>
      </c>
      <c r="F8717" t="str">
        <v>-</v>
      </c>
      <c r="G8717" t="str">
        <v>-</v>
      </c>
    </row>
    <row r="8718">
      <c r="A8718">
        <v>8717</v>
      </c>
      <c r="B8718" t="str">
        <v>Công an thị trấn Vĩnh Bảo  thành phố Hải Phòng</v>
      </c>
      <c r="C8718" t="str">
        <v>-</v>
      </c>
      <c r="D8718" t="str">
        <v>-</v>
      </c>
      <c r="E8718" t="str">
        <v/>
      </c>
      <c r="F8718" t="str">
        <v>-</v>
      </c>
      <c r="G8718" t="str">
        <v>-</v>
      </c>
    </row>
    <row r="8719">
      <c r="A8719">
        <v>8718</v>
      </c>
      <c r="B8719" t="str">
        <v>UBND Ủy ban nhân dân thị trấn Vĩnh Bảo  thành phố Hải Phòng</v>
      </c>
      <c r="C8719" t="str">
        <v>-</v>
      </c>
      <c r="D8719" t="str">
        <v>-</v>
      </c>
      <c r="E8719" t="str">
        <v>-</v>
      </c>
      <c r="F8719" t="str">
        <v>-</v>
      </c>
      <c r="G8719" t="str">
        <v>-</v>
      </c>
    </row>
    <row r="8720">
      <c r="A8720">
        <v>8719</v>
      </c>
      <c r="B8720" t="str">
        <v>Công an xã Dũng Tiến  thành phố Hải Phòng</v>
      </c>
      <c r="C8720" t="str">
        <v>-</v>
      </c>
      <c r="D8720" t="str">
        <v>-</v>
      </c>
      <c r="E8720" t="str">
        <v/>
      </c>
      <c r="F8720" t="str">
        <v>-</v>
      </c>
      <c r="G8720" t="str">
        <v>-</v>
      </c>
    </row>
    <row r="8721">
      <c r="A8721">
        <v>8720</v>
      </c>
      <c r="B8721" t="str">
        <v>UBND Ủy ban nhân dân xã Dũng Tiến  thành phố Hải Phòng</v>
      </c>
      <c r="C8721" t="str">
        <v>-</v>
      </c>
      <c r="D8721" t="str">
        <v>-</v>
      </c>
      <c r="E8721" t="str">
        <v>-</v>
      </c>
      <c r="F8721" t="str">
        <v>-</v>
      </c>
      <c r="G8721" t="str">
        <v>-</v>
      </c>
    </row>
    <row r="8722">
      <c r="A8722">
        <v>8721</v>
      </c>
      <c r="B8722" t="str">
        <v>Công an xã Giang Biên  thành phố Hải Phòng</v>
      </c>
      <c r="C8722" t="str">
        <v>-</v>
      </c>
      <c r="D8722" t="str">
        <v>-</v>
      </c>
      <c r="E8722" t="str">
        <v/>
      </c>
      <c r="F8722" t="str">
        <v>-</v>
      </c>
      <c r="G8722" t="str">
        <v>-</v>
      </c>
    </row>
    <row r="8723">
      <c r="A8723">
        <v>8722</v>
      </c>
      <c r="B8723" t="str">
        <v>UBND Ủy ban nhân dân xã Giang Biên  thành phố Hải Phòng</v>
      </c>
      <c r="C8723" t="str">
        <v>-</v>
      </c>
      <c r="D8723" t="str">
        <v>-</v>
      </c>
      <c r="E8723" t="str">
        <v>-</v>
      </c>
      <c r="F8723" t="str">
        <v>-</v>
      </c>
      <c r="G8723" t="str">
        <v>-</v>
      </c>
    </row>
    <row r="8724">
      <c r="A8724">
        <v>8723</v>
      </c>
      <c r="B8724" t="str">
        <v>Công an xã Thắng Thuỷ  thành phố Hải Phòng</v>
      </c>
      <c r="C8724" t="str">
        <v>-</v>
      </c>
      <c r="D8724" t="str">
        <v>-</v>
      </c>
      <c r="E8724" t="str">
        <v/>
      </c>
      <c r="F8724" t="str">
        <v>-</v>
      </c>
      <c r="G8724" t="str">
        <v>-</v>
      </c>
    </row>
    <row r="8725">
      <c r="A8725">
        <v>8724</v>
      </c>
      <c r="B8725" t="str">
        <v>UBND Ủy ban nhân dân xã Thắng Thuỷ  thành phố Hải Phòng</v>
      </c>
      <c r="C8725" t="str">
        <v>-</v>
      </c>
      <c r="D8725" t="str">
        <v>-</v>
      </c>
      <c r="E8725" t="str">
        <v>-</v>
      </c>
      <c r="F8725" t="str">
        <v>-</v>
      </c>
      <c r="G8725" t="str">
        <v>-</v>
      </c>
    </row>
    <row r="8726">
      <c r="A8726">
        <v>8725</v>
      </c>
      <c r="B8726" t="str">
        <v>Công an xã Trung Lập  thành phố Hải Phòng</v>
      </c>
      <c r="C8726" t="str">
        <v>-</v>
      </c>
      <c r="D8726" t="str">
        <v>-</v>
      </c>
      <c r="E8726" t="str">
        <v/>
      </c>
      <c r="F8726" t="str">
        <v>-</v>
      </c>
      <c r="G8726" t="str">
        <v>-</v>
      </c>
    </row>
    <row r="8727">
      <c r="A8727">
        <v>8726</v>
      </c>
      <c r="B8727" t="str">
        <v>UBND Ủy ban nhân dân xã Trung Lập  thành phố Hải Phòng</v>
      </c>
      <c r="C8727" t="str">
        <v>-</v>
      </c>
      <c r="D8727" t="str">
        <v>-</v>
      </c>
      <c r="E8727" t="str">
        <v>-</v>
      </c>
      <c r="F8727" t="str">
        <v>-</v>
      </c>
      <c r="G8727" t="str">
        <v>-</v>
      </c>
    </row>
    <row r="8728">
      <c r="A8728">
        <v>8727</v>
      </c>
      <c r="B8728" t="str">
        <v>Công an xã Việt Tiến  thành phố Hải Phòng</v>
      </c>
      <c r="C8728" t="str">
        <v>-</v>
      </c>
      <c r="D8728" t="str">
        <v>-</v>
      </c>
      <c r="E8728" t="str">
        <v/>
      </c>
      <c r="F8728" t="str">
        <v>-</v>
      </c>
      <c r="G8728" t="str">
        <v>-</v>
      </c>
    </row>
    <row r="8729">
      <c r="A8729">
        <v>8728</v>
      </c>
      <c r="B8729" t="str">
        <v>UBND Ủy ban nhân dân xã Việt Tiến  thành phố Hải Phòng</v>
      </c>
      <c r="C8729" t="str">
        <v>-</v>
      </c>
      <c r="D8729" t="str">
        <v>-</v>
      </c>
      <c r="E8729" t="str">
        <v>-</v>
      </c>
      <c r="F8729" t="str">
        <v>-</v>
      </c>
      <c r="G8729" t="str">
        <v>-</v>
      </c>
    </row>
    <row r="8730">
      <c r="A8730">
        <v>8729</v>
      </c>
      <c r="B8730" t="str">
        <v>Công an xã Vĩnh An  thành phố Hải Phòng</v>
      </c>
      <c r="C8730" t="str">
        <v>-</v>
      </c>
      <c r="D8730" t="str">
        <v>-</v>
      </c>
      <c r="E8730" t="str">
        <v/>
      </c>
      <c r="F8730" t="str">
        <v>-</v>
      </c>
      <c r="G8730" t="str">
        <v>-</v>
      </c>
    </row>
    <row r="8731">
      <c r="A8731">
        <v>8730</v>
      </c>
      <c r="B8731" t="str">
        <v>UBND Ủy ban nhân dân xã Vĩnh An  thành phố Hải Phòng</v>
      </c>
      <c r="C8731" t="str">
        <v>-</v>
      </c>
      <c r="D8731" t="str">
        <v>-</v>
      </c>
      <c r="E8731" t="str">
        <v>-</v>
      </c>
      <c r="F8731" t="str">
        <v>-</v>
      </c>
      <c r="G8731" t="str">
        <v>-</v>
      </c>
    </row>
    <row r="8732">
      <c r="A8732">
        <v>8731</v>
      </c>
      <c r="B8732" t="str">
        <v>Công an xã Vĩnh Long  thành phố Hải Phòng</v>
      </c>
      <c r="C8732" t="str">
        <v>-</v>
      </c>
      <c r="D8732" t="str">
        <v>-</v>
      </c>
      <c r="E8732" t="str">
        <v/>
      </c>
      <c r="F8732" t="str">
        <v>-</v>
      </c>
      <c r="G8732" t="str">
        <v>-</v>
      </c>
    </row>
    <row r="8733">
      <c r="A8733">
        <v>8732</v>
      </c>
      <c r="B8733" t="str">
        <v>UBND Ủy ban nhân dân xã Vĩnh Long  thành phố Hải Phòng</v>
      </c>
      <c r="C8733" t="str">
        <v>-</v>
      </c>
      <c r="D8733" t="str">
        <v>-</v>
      </c>
      <c r="E8733" t="str">
        <v>-</v>
      </c>
      <c r="F8733" t="str">
        <v>-</v>
      </c>
      <c r="G8733" t="str">
        <v>-</v>
      </c>
    </row>
    <row r="8734">
      <c r="A8734">
        <v>8733</v>
      </c>
      <c r="B8734" t="str">
        <v>Công an xã Hiệp Hoà  thành phố Hải Phòng</v>
      </c>
      <c r="C8734" t="str">
        <v>-</v>
      </c>
      <c r="D8734" t="str">
        <v>-</v>
      </c>
      <c r="E8734" t="str">
        <v/>
      </c>
      <c r="F8734" t="str">
        <v>-</v>
      </c>
      <c r="G8734" t="str">
        <v>-</v>
      </c>
    </row>
    <row r="8735">
      <c r="A8735">
        <v>8734</v>
      </c>
      <c r="B8735" t="str">
        <v>UBND Ủy ban nhân dân xã Hiệp Hoà  thành phố Hải Phòng</v>
      </c>
      <c r="C8735" t="str">
        <v>-</v>
      </c>
      <c r="D8735" t="str">
        <v>-</v>
      </c>
      <c r="E8735" t="str">
        <v>-</v>
      </c>
      <c r="F8735" t="str">
        <v>-</v>
      </c>
      <c r="G8735" t="str">
        <v>-</v>
      </c>
    </row>
    <row r="8736">
      <c r="A8736">
        <v>8735</v>
      </c>
      <c r="B8736" t="str">
        <v>Công an xã Hùng Tiến  thành phố Hải Phòng</v>
      </c>
      <c r="C8736" t="str">
        <v>-</v>
      </c>
      <c r="D8736" t="str">
        <v>-</v>
      </c>
      <c r="E8736" t="str">
        <v/>
      </c>
      <c r="F8736" t="str">
        <v>-</v>
      </c>
      <c r="G8736" t="str">
        <v>-</v>
      </c>
    </row>
    <row r="8737">
      <c r="A8737">
        <v>8736</v>
      </c>
      <c r="B8737" t="str">
        <v>UBND Ủy ban nhân dân xã Hùng Tiến  thành phố Hải Phòng</v>
      </c>
      <c r="C8737" t="str">
        <v>-</v>
      </c>
      <c r="D8737" t="str">
        <v>-</v>
      </c>
      <c r="E8737" t="str">
        <v>-</v>
      </c>
      <c r="F8737" t="str">
        <v>-</v>
      </c>
      <c r="G8737" t="str">
        <v>-</v>
      </c>
    </row>
    <row r="8738">
      <c r="A8738">
        <v>8737</v>
      </c>
      <c r="B8738" t="str">
        <v>Công an xã An Hoà  thành phố Hải Phòng</v>
      </c>
      <c r="C8738" t="str">
        <v>-</v>
      </c>
      <c r="D8738" t="str">
        <v>-</v>
      </c>
      <c r="E8738" t="str">
        <v/>
      </c>
      <c r="F8738" t="str">
        <v>-</v>
      </c>
      <c r="G8738" t="str">
        <v>-</v>
      </c>
    </row>
    <row r="8739">
      <c r="A8739">
        <v>8738</v>
      </c>
      <c r="B8739" t="str">
        <v>UBND Ủy ban nhân dân xã An Hoà  thành phố Hải Phòng</v>
      </c>
      <c r="C8739" t="str">
        <v>-</v>
      </c>
      <c r="D8739" t="str">
        <v>-</v>
      </c>
      <c r="E8739" t="str">
        <v>-</v>
      </c>
      <c r="F8739" t="str">
        <v>-</v>
      </c>
      <c r="G8739" t="str">
        <v>-</v>
      </c>
    </row>
    <row r="8740">
      <c r="A8740">
        <v>8739</v>
      </c>
      <c r="B8740" t="str">
        <v>Công an xã Tân Hưng  thành phố Hải Phòng</v>
      </c>
      <c r="C8740" t="str">
        <v>-</v>
      </c>
      <c r="D8740" t="str">
        <v>-</v>
      </c>
      <c r="E8740" t="str">
        <v/>
      </c>
      <c r="F8740" t="str">
        <v>-</v>
      </c>
      <c r="G8740" t="str">
        <v>-</v>
      </c>
    </row>
    <row r="8741">
      <c r="A8741">
        <v>8740</v>
      </c>
      <c r="B8741" t="str">
        <v>UBND Ủy ban nhân dân xã Tân Hưng  thành phố Hải Phòng</v>
      </c>
      <c r="C8741" t="str">
        <v>-</v>
      </c>
      <c r="D8741" t="str">
        <v>-</v>
      </c>
      <c r="E8741" t="str">
        <v>-</v>
      </c>
      <c r="F8741" t="str">
        <v>-</v>
      </c>
      <c r="G8741" t="str">
        <v>-</v>
      </c>
    </row>
    <row r="8742">
      <c r="A8742">
        <v>8741</v>
      </c>
      <c r="B8742" t="str">
        <v>Công an xã Tân Liên  thành phố Hải Phòng</v>
      </c>
      <c r="C8742" t="str">
        <v>-</v>
      </c>
      <c r="D8742" t="str">
        <v>-</v>
      </c>
      <c r="E8742" t="str">
        <v/>
      </c>
      <c r="F8742" t="str">
        <v>-</v>
      </c>
      <c r="G8742" t="str">
        <v>-</v>
      </c>
    </row>
    <row r="8743">
      <c r="A8743">
        <v>8742</v>
      </c>
      <c r="B8743" t="str">
        <v>UBND Ủy ban nhân dân xã Tân Liên  thành phố Hải Phòng</v>
      </c>
      <c r="C8743" t="str">
        <v>-</v>
      </c>
      <c r="D8743" t="str">
        <v>-</v>
      </c>
      <c r="E8743" t="str">
        <v>-</v>
      </c>
      <c r="F8743" t="str">
        <v>-</v>
      </c>
      <c r="G8743" t="str">
        <v>-</v>
      </c>
    </row>
    <row r="8744">
      <c r="A8744">
        <v>8743</v>
      </c>
      <c r="B8744" t="str">
        <v>Công an xã Nhân Hoà  thành phố Hải Phòng</v>
      </c>
      <c r="C8744" t="str">
        <v>-</v>
      </c>
      <c r="D8744" t="str">
        <v>-</v>
      </c>
      <c r="E8744" t="str">
        <v/>
      </c>
      <c r="F8744" t="str">
        <v>-</v>
      </c>
      <c r="G8744" t="str">
        <v>-</v>
      </c>
    </row>
    <row r="8745">
      <c r="A8745">
        <v>8744</v>
      </c>
      <c r="B8745" t="str">
        <v>UBND Ủy ban nhân dân xã Nhân Hoà  thành phố Hải Phòng</v>
      </c>
      <c r="C8745" t="str">
        <v>-</v>
      </c>
      <c r="D8745" t="str">
        <v>-</v>
      </c>
      <c r="E8745" t="str">
        <v>-</v>
      </c>
      <c r="F8745" t="str">
        <v>-</v>
      </c>
      <c r="G8745" t="str">
        <v>-</v>
      </c>
    </row>
    <row r="8746">
      <c r="A8746">
        <v>8745</v>
      </c>
      <c r="B8746" t="str">
        <v>Công an xã Tam Đa  thành phố Hải Phòng</v>
      </c>
      <c r="C8746" t="str">
        <v>-</v>
      </c>
      <c r="D8746" t="str">
        <v>-</v>
      </c>
      <c r="E8746" t="str">
        <v/>
      </c>
      <c r="F8746" t="str">
        <v>-</v>
      </c>
      <c r="G8746" t="str">
        <v>-</v>
      </c>
    </row>
    <row r="8747">
      <c r="A8747">
        <v>8746</v>
      </c>
      <c r="B8747" t="str">
        <v>UBND Ủy ban nhân dân xã Tam Đa  thành phố Hải Phòng</v>
      </c>
      <c r="C8747" t="str">
        <v>-</v>
      </c>
      <c r="D8747" t="str">
        <v>-</v>
      </c>
      <c r="E8747" t="str">
        <v>-</v>
      </c>
      <c r="F8747" t="str">
        <v>-</v>
      </c>
      <c r="G8747" t="str">
        <v>-</v>
      </c>
    </row>
    <row r="8748">
      <c r="A8748">
        <v>8747</v>
      </c>
      <c r="B8748" t="str">
        <v>Công an xã Hưng Nhân  thành phố Hải Phòng</v>
      </c>
      <c r="C8748" t="str">
        <v>-</v>
      </c>
      <c r="D8748" t="str">
        <v>-</v>
      </c>
      <c r="E8748" t="str">
        <v/>
      </c>
      <c r="F8748" t="str">
        <v>-</v>
      </c>
      <c r="G8748" t="str">
        <v>-</v>
      </c>
    </row>
    <row r="8749">
      <c r="A8749">
        <v>8748</v>
      </c>
      <c r="B8749" t="str">
        <v>UBND Ủy ban nhân dân xã Hưng Nhân  thành phố Hải Phòng</v>
      </c>
      <c r="C8749" t="str">
        <v>-</v>
      </c>
      <c r="D8749" t="str">
        <v>-</v>
      </c>
      <c r="E8749" t="str">
        <v>-</v>
      </c>
      <c r="F8749" t="str">
        <v>-</v>
      </c>
      <c r="G8749" t="str">
        <v>-</v>
      </c>
    </row>
    <row r="8750">
      <c r="A8750">
        <v>8749</v>
      </c>
      <c r="B8750" t="str">
        <v>Công an xã Vinh Quang  thành phố Hải Phòng</v>
      </c>
      <c r="C8750" t="str">
        <v>-</v>
      </c>
      <c r="D8750" t="str">
        <v>-</v>
      </c>
      <c r="E8750" t="str">
        <v/>
      </c>
      <c r="F8750" t="str">
        <v>-</v>
      </c>
      <c r="G8750" t="str">
        <v>-</v>
      </c>
    </row>
    <row r="8751">
      <c r="A8751">
        <v>8750</v>
      </c>
      <c r="B8751" t="str">
        <v>UBND Ủy ban nhân dân xã Vinh Quang  thành phố Hải Phòng</v>
      </c>
      <c r="C8751" t="str">
        <v>-</v>
      </c>
      <c r="D8751" t="str">
        <v>-</v>
      </c>
      <c r="E8751" t="str">
        <v>-</v>
      </c>
      <c r="F8751" t="str">
        <v>-</v>
      </c>
      <c r="G8751" t="str">
        <v>-</v>
      </c>
    </row>
    <row r="8752">
      <c r="A8752">
        <v>8751</v>
      </c>
      <c r="B8752" t="str">
        <v>Công an xã Đồng Minh  thành phố Hải Phòng</v>
      </c>
      <c r="C8752" t="str">
        <v>-</v>
      </c>
      <c r="D8752" t="str">
        <v>-</v>
      </c>
      <c r="E8752" t="str">
        <v/>
      </c>
      <c r="F8752" t="str">
        <v>-</v>
      </c>
      <c r="G8752" t="str">
        <v>-</v>
      </c>
    </row>
    <row r="8753">
      <c r="A8753">
        <v>8752</v>
      </c>
      <c r="B8753" t="str">
        <v>UBND Ủy ban nhân dân xã Đồng Minh  thành phố Hải Phòng</v>
      </c>
      <c r="C8753" t="str">
        <v>-</v>
      </c>
      <c r="D8753" t="str">
        <v>-</v>
      </c>
      <c r="E8753" t="str">
        <v>-</v>
      </c>
      <c r="F8753" t="str">
        <v>-</v>
      </c>
      <c r="G8753" t="str">
        <v>-</v>
      </c>
    </row>
    <row r="8754">
      <c r="A8754">
        <v>8753</v>
      </c>
      <c r="B8754" t="str">
        <v>Công an xã Thanh Lương  thành phố Hải Phòng</v>
      </c>
      <c r="C8754" t="str">
        <v>-</v>
      </c>
      <c r="D8754" t="str">
        <v>-</v>
      </c>
      <c r="E8754" t="str">
        <v/>
      </c>
      <c r="F8754" t="str">
        <v>-</v>
      </c>
      <c r="G8754" t="str">
        <v>-</v>
      </c>
    </row>
    <row r="8755">
      <c r="A8755">
        <v>8754</v>
      </c>
      <c r="B8755" t="str">
        <v>UBND Ủy ban nhân dân xã Thanh Lương  thành phố Hải Phòng</v>
      </c>
      <c r="C8755" t="str">
        <v>-</v>
      </c>
      <c r="D8755" t="str">
        <v>-</v>
      </c>
      <c r="E8755" t="str">
        <v>-</v>
      </c>
      <c r="F8755" t="str">
        <v>-</v>
      </c>
      <c r="G8755" t="str">
        <v>-</v>
      </c>
    </row>
    <row r="8756">
      <c r="A8756">
        <v>8755</v>
      </c>
      <c r="B8756" t="str">
        <v>Công an xã Liên Am  thành phố Hải Phòng</v>
      </c>
      <c r="C8756" t="str">
        <v>-</v>
      </c>
      <c r="D8756" t="str">
        <v>-</v>
      </c>
      <c r="E8756" t="str">
        <v/>
      </c>
      <c r="F8756" t="str">
        <v>-</v>
      </c>
      <c r="G8756" t="str">
        <v>-</v>
      </c>
    </row>
    <row r="8757">
      <c r="A8757">
        <v>8756</v>
      </c>
      <c r="B8757" t="str">
        <v>UBND Ủy ban nhân dân xã Liên Am  thành phố Hải Phòng</v>
      </c>
      <c r="C8757" t="str">
        <v>-</v>
      </c>
      <c r="D8757" t="str">
        <v>-</v>
      </c>
      <c r="E8757" t="str">
        <v>-</v>
      </c>
      <c r="F8757" t="str">
        <v>-</v>
      </c>
      <c r="G8757" t="str">
        <v>-</v>
      </c>
    </row>
    <row r="8758">
      <c r="A8758">
        <v>8757</v>
      </c>
      <c r="B8758" t="str">
        <v>Công an xã Lý Học  thành phố Hải Phòng</v>
      </c>
      <c r="C8758" t="str">
        <v>-</v>
      </c>
      <c r="D8758" t="str">
        <v>-</v>
      </c>
      <c r="E8758" t="str">
        <v/>
      </c>
      <c r="F8758" t="str">
        <v>-</v>
      </c>
      <c r="G8758" t="str">
        <v>-</v>
      </c>
    </row>
    <row r="8759">
      <c r="A8759">
        <v>8758</v>
      </c>
      <c r="B8759" t="str">
        <v>UBND Ủy ban nhân dân xã Lý Học  thành phố Hải Phòng</v>
      </c>
      <c r="C8759" t="str">
        <v>-</v>
      </c>
      <c r="D8759" t="str">
        <v>-</v>
      </c>
      <c r="E8759" t="str">
        <v>-</v>
      </c>
      <c r="F8759" t="str">
        <v>-</v>
      </c>
      <c r="G8759" t="str">
        <v>-</v>
      </c>
    </row>
    <row r="8760">
      <c r="A8760">
        <v>8759</v>
      </c>
      <c r="B8760" t="str">
        <v>Công an xã Tam Cường  thành phố Hải Phòng</v>
      </c>
      <c r="C8760" t="str">
        <v>-</v>
      </c>
      <c r="D8760" t="str">
        <v>-</v>
      </c>
      <c r="E8760" t="str">
        <v/>
      </c>
      <c r="F8760" t="str">
        <v>-</v>
      </c>
      <c r="G8760" t="str">
        <v>-</v>
      </c>
    </row>
    <row r="8761">
      <c r="A8761">
        <v>8760</v>
      </c>
      <c r="B8761" t="str">
        <v>UBND Ủy ban nhân dân xã Tam Cường  thành phố Hải Phòng</v>
      </c>
      <c r="C8761" t="str">
        <v>-</v>
      </c>
      <c r="D8761" t="str">
        <v>-</v>
      </c>
      <c r="E8761" t="str">
        <v>-</v>
      </c>
      <c r="F8761" t="str">
        <v>-</v>
      </c>
      <c r="G8761" t="str">
        <v>-</v>
      </c>
    </row>
    <row r="8762">
      <c r="A8762">
        <v>8761</v>
      </c>
      <c r="B8762" t="str">
        <v>Công an xã Hoà Bình  thành phố Hải Phòng</v>
      </c>
      <c r="C8762" t="str">
        <v>-</v>
      </c>
      <c r="D8762" t="str">
        <v>-</v>
      </c>
      <c r="E8762" t="str">
        <v/>
      </c>
      <c r="F8762" t="str">
        <v>-</v>
      </c>
      <c r="G8762" t="str">
        <v>-</v>
      </c>
    </row>
    <row r="8763">
      <c r="A8763">
        <v>8762</v>
      </c>
      <c r="B8763" t="str">
        <v>UBND Ủy ban nhân dân xã Hoà Bình  thành phố Hải Phòng</v>
      </c>
      <c r="C8763" t="str">
        <v>-</v>
      </c>
      <c r="D8763" t="str">
        <v>-</v>
      </c>
      <c r="E8763" t="str">
        <v>-</v>
      </c>
      <c r="F8763" t="str">
        <v>-</v>
      </c>
      <c r="G8763" t="str">
        <v>-</v>
      </c>
    </row>
    <row r="8764">
      <c r="A8764">
        <v>8763</v>
      </c>
      <c r="B8764" t="str">
        <v>Công an xã Tiền Phong  thành phố Hải Phòng</v>
      </c>
      <c r="C8764" t="str">
        <v>-</v>
      </c>
      <c r="D8764" t="str">
        <v>-</v>
      </c>
      <c r="E8764" t="str">
        <v/>
      </c>
      <c r="F8764" t="str">
        <v>-</v>
      </c>
      <c r="G8764" t="str">
        <v>-</v>
      </c>
    </row>
    <row r="8765">
      <c r="A8765">
        <v>8764</v>
      </c>
      <c r="B8765" t="str">
        <v>UBND Ủy ban nhân dân xã Tiền Phong  thành phố Hải Phòng</v>
      </c>
      <c r="C8765" t="str">
        <v>-</v>
      </c>
      <c r="D8765" t="str">
        <v>-</v>
      </c>
      <c r="E8765" t="str">
        <v>-</v>
      </c>
      <c r="F8765" t="str">
        <v>-</v>
      </c>
      <c r="G8765" t="str">
        <v>-</v>
      </c>
    </row>
    <row r="8766">
      <c r="A8766">
        <v>8765</v>
      </c>
      <c r="B8766" t="str">
        <v>Công an xã Vĩnh Phong  thành phố Hải Phòng</v>
      </c>
      <c r="C8766" t="str">
        <v>-</v>
      </c>
      <c r="D8766" t="str">
        <v>-</v>
      </c>
      <c r="E8766" t="str">
        <v/>
      </c>
      <c r="F8766" t="str">
        <v>-</v>
      </c>
      <c r="G8766" t="str">
        <v>-</v>
      </c>
    </row>
    <row r="8767">
      <c r="A8767">
        <v>8766</v>
      </c>
      <c r="B8767" t="str">
        <v>UBND Ủy ban nhân dân xã Vĩnh Phong  thành phố Hải Phòng</v>
      </c>
      <c r="C8767" t="str">
        <v>-</v>
      </c>
      <c r="D8767" t="str">
        <v>-</v>
      </c>
      <c r="E8767" t="str">
        <v>-</v>
      </c>
      <c r="F8767" t="str">
        <v>-</v>
      </c>
      <c r="G8767" t="str">
        <v>-</v>
      </c>
    </row>
    <row r="8768">
      <c r="A8768">
        <v>8767</v>
      </c>
      <c r="B8768" t="str">
        <v>Công an xã Cộng Hiền  thành phố Hải Phòng</v>
      </c>
      <c r="C8768" t="str">
        <v>-</v>
      </c>
      <c r="D8768" t="str">
        <v>-</v>
      </c>
      <c r="E8768" t="str">
        <v/>
      </c>
      <c r="F8768" t="str">
        <v>-</v>
      </c>
      <c r="G8768" t="str">
        <v>-</v>
      </c>
    </row>
    <row r="8769">
      <c r="A8769">
        <v>8768</v>
      </c>
      <c r="B8769" t="str">
        <v>UBND Ủy ban nhân dân xã Cộng Hiền  thành phố Hải Phòng</v>
      </c>
      <c r="C8769" t="str">
        <v>-</v>
      </c>
      <c r="D8769" t="str">
        <v>-</v>
      </c>
      <c r="E8769" t="str">
        <v>-</v>
      </c>
      <c r="F8769" t="str">
        <v>-</v>
      </c>
      <c r="G8769" t="str">
        <v>-</v>
      </c>
    </row>
    <row r="8770">
      <c r="A8770">
        <v>8769</v>
      </c>
      <c r="B8770" t="str">
        <v>Công an xã Cao Minh  thành phố Hải Phòng</v>
      </c>
      <c r="C8770" t="str">
        <v>-</v>
      </c>
      <c r="D8770" t="str">
        <v>-</v>
      </c>
      <c r="E8770" t="str">
        <v/>
      </c>
      <c r="F8770" t="str">
        <v>-</v>
      </c>
      <c r="G8770" t="str">
        <v>-</v>
      </c>
    </row>
    <row r="8771">
      <c r="A8771">
        <v>8770</v>
      </c>
      <c r="B8771" t="str">
        <v>UBND Ủy ban nhân dân xã Cao Minh  thành phố Hải Phòng</v>
      </c>
      <c r="C8771" t="str">
        <v>-</v>
      </c>
      <c r="D8771" t="str">
        <v>-</v>
      </c>
      <c r="E8771" t="str">
        <v>-</v>
      </c>
      <c r="F8771" t="str">
        <v>-</v>
      </c>
      <c r="G8771" t="str">
        <v>-</v>
      </c>
    </row>
    <row r="8772">
      <c r="A8772">
        <v>8771</v>
      </c>
      <c r="B8772" t="str">
        <v>Công an xã Cổ Am  thành phố Hải Phòng</v>
      </c>
      <c r="C8772" t="str">
        <v>-</v>
      </c>
      <c r="D8772" t="str">
        <v>-</v>
      </c>
      <c r="E8772" t="str">
        <v/>
      </c>
      <c r="F8772" t="str">
        <v>-</v>
      </c>
      <c r="G8772" t="str">
        <v>-</v>
      </c>
    </row>
    <row r="8773">
      <c r="A8773">
        <v>8772</v>
      </c>
      <c r="B8773" t="str">
        <v>UBND Ủy ban nhân dân xã Cổ Am  thành phố Hải Phòng</v>
      </c>
      <c r="C8773" t="str">
        <v>-</v>
      </c>
      <c r="D8773" t="str">
        <v>-</v>
      </c>
      <c r="E8773" t="str">
        <v>-</v>
      </c>
      <c r="F8773" t="str">
        <v>-</v>
      </c>
      <c r="G8773" t="str">
        <v>-</v>
      </c>
    </row>
    <row r="8774">
      <c r="A8774">
        <v>8773</v>
      </c>
      <c r="B8774" t="str">
        <v>Công an xã Vĩnh Tiến  thành phố Hải Phòng</v>
      </c>
      <c r="C8774" t="str">
        <v>-</v>
      </c>
      <c r="D8774" t="str">
        <v>-</v>
      </c>
      <c r="E8774" t="str">
        <v/>
      </c>
      <c r="F8774" t="str">
        <v>-</v>
      </c>
      <c r="G8774" t="str">
        <v>-</v>
      </c>
    </row>
    <row r="8775">
      <c r="A8775">
        <v>8774</v>
      </c>
      <c r="B8775" t="str">
        <v>UBND Ủy ban nhân dân xã Vĩnh Tiến  thành phố Hải Phòng</v>
      </c>
      <c r="C8775" t="str">
        <v>-</v>
      </c>
      <c r="D8775" t="str">
        <v>-</v>
      </c>
      <c r="E8775" t="str">
        <v>-</v>
      </c>
      <c r="F8775" t="str">
        <v>-</v>
      </c>
      <c r="G8775" t="str">
        <v>-</v>
      </c>
    </row>
    <row r="8776">
      <c r="A8776">
        <v>8775</v>
      </c>
      <c r="B8776" t="str">
        <v>Công an xã Trấn Dương  thành phố Hải Phòng</v>
      </c>
      <c r="C8776" t="str">
        <v>-</v>
      </c>
      <c r="D8776" t="str">
        <v>-</v>
      </c>
      <c r="E8776" t="str">
        <v/>
      </c>
      <c r="F8776" t="str">
        <v>-</v>
      </c>
      <c r="G8776" t="str">
        <v>-</v>
      </c>
    </row>
    <row r="8777">
      <c r="A8777">
        <v>8776</v>
      </c>
      <c r="B8777" t="str">
        <v>UBND Ủy ban nhân dân xã Trấn Dương  thành phố Hải Phòng</v>
      </c>
      <c r="C8777" t="str">
        <v>-</v>
      </c>
      <c r="D8777" t="str">
        <v>-</v>
      </c>
      <c r="E8777" t="str">
        <v>-</v>
      </c>
      <c r="F8777" t="str">
        <v>-</v>
      </c>
      <c r="G8777" t="str">
        <v>-</v>
      </c>
    </row>
    <row r="8778">
      <c r="A8778">
        <v>8777</v>
      </c>
      <c r="B8778" t="str">
        <v>Công an thị trấn Cát Bà  thành phố Hải Phòng</v>
      </c>
      <c r="C8778" t="str">
        <v>-</v>
      </c>
      <c r="D8778" t="str">
        <v>-</v>
      </c>
      <c r="E8778" t="str">
        <v/>
      </c>
      <c r="F8778" t="str">
        <v>-</v>
      </c>
      <c r="G8778" t="str">
        <v>-</v>
      </c>
    </row>
    <row r="8779">
      <c r="A8779">
        <v>8778</v>
      </c>
      <c r="B8779" t="str">
        <v>UBND Ủy ban nhân dân thị trấn Cát Bà  thành phố Hải Phòng</v>
      </c>
      <c r="C8779" t="str">
        <v>-</v>
      </c>
      <c r="D8779" t="str">
        <v>-</v>
      </c>
      <c r="E8779" t="str">
        <v>-</v>
      </c>
      <c r="F8779" t="str">
        <v>-</v>
      </c>
      <c r="G8779" t="str">
        <v>-</v>
      </c>
    </row>
    <row r="8780">
      <c r="A8780">
        <v>8779</v>
      </c>
      <c r="B8780" t="str">
        <v>Công an thị trấn Cát Hải  thành phố Hải Phòng</v>
      </c>
      <c r="C8780" t="str">
        <v>-</v>
      </c>
      <c r="D8780" t="str">
        <v>-</v>
      </c>
      <c r="E8780" t="str">
        <v/>
      </c>
      <c r="F8780" t="str">
        <v>-</v>
      </c>
      <c r="G8780" t="str">
        <v>-</v>
      </c>
    </row>
    <row r="8781">
      <c r="A8781">
        <v>8780</v>
      </c>
      <c r="B8781" t="str">
        <v>UBND Ủy ban nhân dân thị trấn Cát Hải  thành phố Hải Phòng</v>
      </c>
      <c r="C8781" t="str">
        <v>-</v>
      </c>
      <c r="D8781" t="str">
        <v>-</v>
      </c>
      <c r="E8781" t="str">
        <v>-</v>
      </c>
      <c r="F8781" t="str">
        <v>-</v>
      </c>
      <c r="G8781" t="str">
        <v>-</v>
      </c>
    </row>
    <row r="8782">
      <c r="A8782">
        <v>8781</v>
      </c>
      <c r="B8782" t="str">
        <v>Công an xã Nghĩa Lộ  thành phố Hải Phòng</v>
      </c>
      <c r="C8782" t="str">
        <v>-</v>
      </c>
      <c r="D8782" t="str">
        <v>-</v>
      </c>
      <c r="E8782" t="str">
        <v/>
      </c>
      <c r="F8782" t="str">
        <v>-</v>
      </c>
      <c r="G8782" t="str">
        <v>-</v>
      </c>
    </row>
    <row r="8783">
      <c r="A8783">
        <v>8782</v>
      </c>
      <c r="B8783" t="str">
        <v>UBND Ủy ban nhân dân xã Nghĩa Lộ  thành phố Hải Phòng</v>
      </c>
      <c r="C8783" t="str">
        <v>-</v>
      </c>
      <c r="D8783" t="str">
        <v>-</v>
      </c>
      <c r="E8783" t="str">
        <v>-</v>
      </c>
      <c r="F8783" t="str">
        <v>-</v>
      </c>
      <c r="G8783" t="str">
        <v>-</v>
      </c>
    </row>
    <row r="8784">
      <c r="A8784">
        <v>8783</v>
      </c>
      <c r="B8784" t="str">
        <v>Công an xã Đồng Bài  thành phố Hải Phòng</v>
      </c>
      <c r="C8784" t="str">
        <v>-</v>
      </c>
      <c r="D8784" t="str">
        <v>-</v>
      </c>
      <c r="E8784" t="str">
        <v/>
      </c>
      <c r="F8784" t="str">
        <v>-</v>
      </c>
      <c r="G8784" t="str">
        <v>-</v>
      </c>
    </row>
    <row r="8785">
      <c r="A8785">
        <v>8784</v>
      </c>
      <c r="B8785" t="str">
        <v>UBND Ủy ban nhân dân xã Đồng Bài  thành phố Hải Phòng</v>
      </c>
      <c r="C8785" t="str">
        <v>-</v>
      </c>
      <c r="D8785" t="str">
        <v>-</v>
      </c>
      <c r="E8785" t="str">
        <v>-</v>
      </c>
      <c r="F8785" t="str">
        <v>-</v>
      </c>
      <c r="G8785" t="str">
        <v>-</v>
      </c>
    </row>
    <row r="8786">
      <c r="A8786">
        <v>8785</v>
      </c>
      <c r="B8786" t="str">
        <v>Công an xã Hoàng Châu  thành phố Hải Phòng</v>
      </c>
      <c r="C8786" t="str">
        <v>-</v>
      </c>
      <c r="D8786" t="str">
        <v>-</v>
      </c>
      <c r="E8786" t="str">
        <v/>
      </c>
      <c r="F8786" t="str">
        <v>-</v>
      </c>
      <c r="G8786" t="str">
        <v>-</v>
      </c>
    </row>
    <row r="8787">
      <c r="A8787">
        <v>8786</v>
      </c>
      <c r="B8787" t="str">
        <v>UBND Ủy ban nhân dân xã Hoàng Châu  thành phố Hải Phòng</v>
      </c>
      <c r="C8787" t="str">
        <v>-</v>
      </c>
      <c r="D8787" t="str">
        <v>-</v>
      </c>
      <c r="E8787" t="str">
        <v>-</v>
      </c>
      <c r="F8787" t="str">
        <v>-</v>
      </c>
      <c r="G8787" t="str">
        <v>-</v>
      </c>
    </row>
    <row r="8788">
      <c r="A8788">
        <v>8787</v>
      </c>
      <c r="B8788" t="str">
        <v>Công an xã Văn Phong  thành phố Hải Phòng</v>
      </c>
      <c r="C8788" t="str">
        <v>-</v>
      </c>
      <c r="D8788" t="str">
        <v>-</v>
      </c>
      <c r="E8788" t="str">
        <v/>
      </c>
      <c r="F8788" t="str">
        <v>-</v>
      </c>
      <c r="G8788" t="str">
        <v>-</v>
      </c>
    </row>
    <row r="8789">
      <c r="A8789">
        <v>8788</v>
      </c>
      <c r="B8789" t="str">
        <v>UBND Ủy ban nhân dân xã Văn Phong  thành phố Hải Phòng</v>
      </c>
      <c r="C8789" t="str">
        <v>-</v>
      </c>
      <c r="D8789" t="str">
        <v>-</v>
      </c>
      <c r="E8789" t="str">
        <v>-</v>
      </c>
      <c r="F8789" t="str">
        <v>-</v>
      </c>
      <c r="G8789" t="str">
        <v>-</v>
      </c>
    </row>
    <row r="8790">
      <c r="A8790">
        <v>8789</v>
      </c>
      <c r="B8790" t="str">
        <v>Công an xã Phù Long  thành phố Hải Phòng</v>
      </c>
      <c r="C8790" t="str">
        <v>-</v>
      </c>
      <c r="D8790" t="str">
        <v>-</v>
      </c>
      <c r="E8790" t="str">
        <v/>
      </c>
      <c r="F8790" t="str">
        <v>-</v>
      </c>
      <c r="G8790" t="str">
        <v>-</v>
      </c>
    </row>
    <row r="8791">
      <c r="A8791">
        <v>8790</v>
      </c>
      <c r="B8791" t="str">
        <v>UBND Ủy ban nhân dân xã Phù Long  thành phố Hải Phòng</v>
      </c>
      <c r="C8791" t="str">
        <v>-</v>
      </c>
      <c r="D8791" t="str">
        <v>-</v>
      </c>
      <c r="E8791" t="str">
        <v>-</v>
      </c>
      <c r="F8791" t="str">
        <v>-</v>
      </c>
      <c r="G8791" t="str">
        <v>-</v>
      </c>
    </row>
    <row r="8792">
      <c r="A8792">
        <v>8791</v>
      </c>
      <c r="B8792" t="str">
        <v>Công an xã Gia Luận  thành phố Hải Phòng</v>
      </c>
      <c r="C8792" t="str">
        <v>-</v>
      </c>
      <c r="D8792" t="str">
        <v>-</v>
      </c>
      <c r="E8792" t="str">
        <v/>
      </c>
      <c r="F8792" t="str">
        <v>-</v>
      </c>
      <c r="G8792" t="str">
        <v>-</v>
      </c>
    </row>
    <row r="8793">
      <c r="A8793">
        <v>8792</v>
      </c>
      <c r="B8793" t="str">
        <v>UBND Ủy ban nhân dân xã Gia Luận  thành phố Hải Phòng</v>
      </c>
      <c r="C8793" t="str">
        <v>-</v>
      </c>
      <c r="D8793" t="str">
        <v>-</v>
      </c>
      <c r="E8793" t="str">
        <v>-</v>
      </c>
      <c r="F8793" t="str">
        <v>-</v>
      </c>
      <c r="G8793" t="str">
        <v>-</v>
      </c>
    </row>
    <row r="8794">
      <c r="A8794">
        <v>8793</v>
      </c>
      <c r="B8794" t="str">
        <v>Công an xã Hiền Hào  thành phố Hải Phòng</v>
      </c>
      <c r="C8794" t="str">
        <v>-</v>
      </c>
      <c r="D8794" t="str">
        <v>-</v>
      </c>
      <c r="E8794" t="str">
        <v/>
      </c>
      <c r="F8794" t="str">
        <v>-</v>
      </c>
      <c r="G8794" t="str">
        <v>-</v>
      </c>
    </row>
    <row r="8795">
      <c r="A8795">
        <v>8794</v>
      </c>
      <c r="B8795" t="str">
        <v>UBND Ủy ban nhân dân xã Hiền Hào  thành phố Hải Phòng</v>
      </c>
      <c r="C8795" t="str">
        <v>-</v>
      </c>
      <c r="D8795" t="str">
        <v>-</v>
      </c>
      <c r="E8795" t="str">
        <v>-</v>
      </c>
      <c r="F8795" t="str">
        <v>-</v>
      </c>
      <c r="G8795" t="str">
        <v>-</v>
      </c>
    </row>
    <row r="8796">
      <c r="A8796">
        <v>8795</v>
      </c>
      <c r="B8796" t="str">
        <v>Công an xã Trân Châu  thành phố Hải Phòng</v>
      </c>
      <c r="C8796" t="str">
        <v>-</v>
      </c>
      <c r="D8796" t="str">
        <v>-</v>
      </c>
      <c r="E8796" t="str">
        <v/>
      </c>
      <c r="F8796" t="str">
        <v>-</v>
      </c>
      <c r="G8796" t="str">
        <v>-</v>
      </c>
    </row>
    <row r="8797">
      <c r="A8797">
        <v>8796</v>
      </c>
      <c r="B8797" t="str">
        <v>UBND Ủy ban nhân dân xã Trân Châu  thành phố Hải Phòng</v>
      </c>
      <c r="C8797" t="str">
        <v>-</v>
      </c>
      <c r="D8797" t="str">
        <v>-</v>
      </c>
      <c r="E8797" t="str">
        <v>-</v>
      </c>
      <c r="F8797" t="str">
        <v>-</v>
      </c>
      <c r="G8797" t="str">
        <v>-</v>
      </c>
    </row>
    <row r="8798">
      <c r="A8798">
        <v>8797</v>
      </c>
      <c r="B8798" t="str">
        <v>Công an xã Việt Hải  thành phố Hải Phòng</v>
      </c>
      <c r="C8798" t="str">
        <v>-</v>
      </c>
      <c r="D8798" t="str">
        <v>-</v>
      </c>
      <c r="E8798" t="str">
        <v/>
      </c>
      <c r="F8798" t="str">
        <v>-</v>
      </c>
      <c r="G8798" t="str">
        <v>-</v>
      </c>
    </row>
    <row r="8799">
      <c r="A8799">
        <v>8798</v>
      </c>
      <c r="B8799" t="str">
        <v>UBND Ủy ban nhân dân xã Việt Hải  thành phố Hải Phòng</v>
      </c>
      <c r="C8799" t="str">
        <v>-</v>
      </c>
      <c r="D8799" t="str">
        <v>-</v>
      </c>
      <c r="E8799" t="str">
        <v>-</v>
      </c>
      <c r="F8799" t="str">
        <v>-</v>
      </c>
      <c r="G8799" t="str">
        <v>-</v>
      </c>
    </row>
    <row r="8800">
      <c r="A8800">
        <v>8799</v>
      </c>
      <c r="B8800" t="str">
        <v>Công an xã Xuân Đám  thành phố Hải Phòng</v>
      </c>
      <c r="C8800" t="str">
        <v>-</v>
      </c>
      <c r="D8800" t="str">
        <v>-</v>
      </c>
      <c r="E8800" t="str">
        <v/>
      </c>
      <c r="F8800" t="str">
        <v>-</v>
      </c>
      <c r="G8800" t="str">
        <v>-</v>
      </c>
    </row>
    <row r="8801">
      <c r="A8801">
        <v>8800</v>
      </c>
      <c r="B8801" t="str">
        <v>UBND Ủy ban nhân dân xã Xuân Đám  thành phố Hải Phòng</v>
      </c>
      <c r="C8801" t="str">
        <v>-</v>
      </c>
      <c r="D8801" t="str">
        <v>-</v>
      </c>
      <c r="E8801" t="str">
        <v>-</v>
      </c>
      <c r="F8801" t="str">
        <v>-</v>
      </c>
      <c r="G8801" t="str">
        <v>-</v>
      </c>
    </row>
    <row r="8802">
      <c r="A8802">
        <v>8801</v>
      </c>
      <c r="B8802" t="str">
        <v>Công an phường Lam Sơn  tỉnh Hưng Yên</v>
      </c>
      <c r="C8802" t="str">
        <v>-</v>
      </c>
      <c r="D8802" t="str">
        <v>-</v>
      </c>
      <c r="E8802" t="str">
        <v/>
      </c>
      <c r="F8802" t="str">
        <v>-</v>
      </c>
      <c r="G8802" t="str">
        <v>-</v>
      </c>
    </row>
    <row r="8803">
      <c r="A8803">
        <v>8802</v>
      </c>
      <c r="B8803" t="str">
        <v>UBND Ủy ban nhân dân phường Lam Sơn  tỉnh Hưng Yên</v>
      </c>
      <c r="C8803" t="str">
        <v>-</v>
      </c>
      <c r="D8803" t="str">
        <v>-</v>
      </c>
      <c r="E8803" t="str">
        <v>-</v>
      </c>
      <c r="F8803" t="str">
        <v>-</v>
      </c>
      <c r="G8803" t="str">
        <v>-</v>
      </c>
    </row>
    <row r="8804">
      <c r="A8804">
        <v>8803</v>
      </c>
      <c r="B8804" t="str">
        <v>Công an phường Hiến Nam  tỉnh Hưng Yên</v>
      </c>
      <c r="C8804" t="str">
        <v>-</v>
      </c>
      <c r="D8804" t="str">
        <v>-</v>
      </c>
      <c r="E8804" t="str">
        <v/>
      </c>
      <c r="F8804" t="str">
        <v>-</v>
      </c>
      <c r="G8804" t="str">
        <v>-</v>
      </c>
    </row>
    <row r="8805">
      <c r="A8805">
        <v>8804</v>
      </c>
      <c r="B8805" t="str">
        <v>UBND Ủy ban nhân dân phường Hiến Nam  tỉnh Hưng Yên</v>
      </c>
      <c r="C8805" t="str">
        <v>-</v>
      </c>
      <c r="D8805" t="str">
        <v>-</v>
      </c>
      <c r="E8805" t="str">
        <v>-</v>
      </c>
      <c r="F8805" t="str">
        <v>-</v>
      </c>
      <c r="G8805" t="str">
        <v>-</v>
      </c>
    </row>
    <row r="8806">
      <c r="A8806">
        <v>8805</v>
      </c>
      <c r="B8806" t="str">
        <v>Công an phường An Tảo  tỉnh Hưng Yên</v>
      </c>
      <c r="C8806" t="str">
        <v>-</v>
      </c>
      <c r="D8806" t="str">
        <v>-</v>
      </c>
      <c r="E8806" t="str">
        <v/>
      </c>
      <c r="F8806" t="str">
        <v>-</v>
      </c>
      <c r="G8806" t="str">
        <v>-</v>
      </c>
    </row>
    <row r="8807">
      <c r="A8807">
        <v>8806</v>
      </c>
      <c r="B8807" t="str">
        <v>UBND Ủy ban nhân dân phường An Tảo  tỉnh Hưng Yên</v>
      </c>
      <c r="C8807" t="str">
        <v>-</v>
      </c>
      <c r="D8807" t="str">
        <v>-</v>
      </c>
      <c r="E8807" t="str">
        <v>-</v>
      </c>
      <c r="F8807" t="str">
        <v>-</v>
      </c>
      <c r="G8807" t="str">
        <v>-</v>
      </c>
    </row>
    <row r="8808">
      <c r="A8808">
        <v>8807</v>
      </c>
      <c r="B8808" t="str">
        <v>Công an phường Lê Lợi  tỉnh Hưng Yên</v>
      </c>
      <c r="C8808" t="str">
        <v>-</v>
      </c>
      <c r="D8808" t="str">
        <v>-</v>
      </c>
      <c r="E8808" t="str">
        <v/>
      </c>
      <c r="F8808" t="str">
        <v>-</v>
      </c>
      <c r="G8808" t="str">
        <v>-</v>
      </c>
    </row>
    <row r="8809">
      <c r="A8809">
        <v>8808</v>
      </c>
      <c r="B8809" t="str">
        <v>UBND Ủy ban nhân dân phường Lê Lợi  tỉnh Hưng Yên</v>
      </c>
      <c r="C8809" t="str">
        <v>-</v>
      </c>
      <c r="D8809" t="str">
        <v>-</v>
      </c>
      <c r="E8809" t="str">
        <v>-</v>
      </c>
      <c r="F8809" t="str">
        <v>-</v>
      </c>
      <c r="G8809" t="str">
        <v>-</v>
      </c>
    </row>
    <row r="8810">
      <c r="A8810">
        <v>8809</v>
      </c>
      <c r="B8810" t="str">
        <v>Công an phường Minh Khai  tỉnh Hưng Yên</v>
      </c>
      <c r="C8810" t="str">
        <v>-</v>
      </c>
      <c r="D8810" t="str">
        <v>-</v>
      </c>
      <c r="E8810" t="str">
        <v/>
      </c>
      <c r="F8810" t="str">
        <v>-</v>
      </c>
      <c r="G8810" t="str">
        <v>-</v>
      </c>
    </row>
    <row r="8811">
      <c r="A8811">
        <v>8810</v>
      </c>
      <c r="B8811" t="str">
        <v>UBND Ủy ban nhân dân phường Minh Khai  tỉnh Hưng Yên</v>
      </c>
      <c r="C8811" t="str">
        <v>-</v>
      </c>
      <c r="D8811" t="str">
        <v>-</v>
      </c>
      <c r="E8811" t="str">
        <v>-</v>
      </c>
      <c r="F8811" t="str">
        <v>-</v>
      </c>
      <c r="G8811" t="str">
        <v>-</v>
      </c>
    </row>
    <row r="8812">
      <c r="A8812">
        <v>8811</v>
      </c>
      <c r="B8812" t="str">
        <v>Công an phường Quang Trung  tỉnh Hưng Yên</v>
      </c>
      <c r="C8812" t="str">
        <v>-</v>
      </c>
      <c r="D8812" t="str">
        <v>-</v>
      </c>
      <c r="E8812" t="str">
        <v/>
      </c>
      <c r="F8812" t="str">
        <v>-</v>
      </c>
      <c r="G8812" t="str">
        <v>-</v>
      </c>
    </row>
    <row r="8813">
      <c r="A8813">
        <v>8812</v>
      </c>
      <c r="B8813" t="str">
        <v>UBND Ủy ban nhân dân phường Quang Trung  tỉnh Hưng Yên</v>
      </c>
      <c r="C8813" t="str">
        <v>-</v>
      </c>
      <c r="D8813" t="str">
        <v>-</v>
      </c>
      <c r="E8813" t="str">
        <v>-</v>
      </c>
      <c r="F8813" t="str">
        <v>-</v>
      </c>
      <c r="G8813" t="str">
        <v>-</v>
      </c>
    </row>
    <row r="8814">
      <c r="A8814">
        <v>8813</v>
      </c>
      <c r="B8814" t="str">
        <v>Công an phường Hồng Châu  tỉnh Hưng Yên</v>
      </c>
      <c r="C8814" t="str">
        <v>-</v>
      </c>
      <c r="D8814" t="str">
        <v>-</v>
      </c>
      <c r="E8814" t="str">
        <v/>
      </c>
      <c r="F8814" t="str">
        <v>-</v>
      </c>
      <c r="G8814" t="str">
        <v>-</v>
      </c>
    </row>
    <row r="8815">
      <c r="A8815">
        <v>8814</v>
      </c>
      <c r="B8815" t="str">
        <v>UBND Ủy ban nhân dân phường Hồng Châu  tỉnh Hưng Yên</v>
      </c>
      <c r="C8815" t="str">
        <v>-</v>
      </c>
      <c r="D8815" t="str">
        <v>-</v>
      </c>
      <c r="E8815" t="str">
        <v>-</v>
      </c>
      <c r="F8815" t="str">
        <v>-</v>
      </c>
      <c r="G8815" t="str">
        <v>-</v>
      </c>
    </row>
    <row r="8816">
      <c r="A8816">
        <v>8815</v>
      </c>
      <c r="B8816" t="str">
        <v>Công an xã Trung Nghĩa  tỉnh Hưng Yên</v>
      </c>
      <c r="C8816" t="str">
        <v>-</v>
      </c>
      <c r="D8816" t="str">
        <v>-</v>
      </c>
      <c r="E8816" t="str">
        <v/>
      </c>
      <c r="F8816" t="str">
        <v>-</v>
      </c>
      <c r="G8816" t="str">
        <v>-</v>
      </c>
    </row>
    <row r="8817">
      <c r="A8817">
        <v>8816</v>
      </c>
      <c r="B8817" t="str">
        <v>UBND Ủy ban nhân dân xã Trung Nghĩa  tỉnh Hưng Yên</v>
      </c>
      <c r="C8817" t="str">
        <v>-</v>
      </c>
      <c r="D8817" t="str">
        <v>-</v>
      </c>
      <c r="E8817" t="str">
        <v>-</v>
      </c>
      <c r="F8817" t="str">
        <v>-</v>
      </c>
      <c r="G8817" t="str">
        <v>-</v>
      </c>
    </row>
    <row r="8818">
      <c r="A8818">
        <v>8817</v>
      </c>
      <c r="B8818" t="str">
        <v>Công an xã Liên Phương  tỉnh Hưng Yên</v>
      </c>
      <c r="C8818" t="str">
        <v>-</v>
      </c>
      <c r="D8818" t="str">
        <v>-</v>
      </c>
      <c r="E8818" t="str">
        <v/>
      </c>
      <c r="F8818" t="str">
        <v>-</v>
      </c>
      <c r="G8818" t="str">
        <v>-</v>
      </c>
    </row>
    <row r="8819">
      <c r="A8819">
        <v>8818</v>
      </c>
      <c r="B8819" t="str">
        <v>UBND Ủy ban nhân dân xã Liên Phương  tỉnh Hưng Yên</v>
      </c>
      <c r="C8819" t="str">
        <v>-</v>
      </c>
      <c r="D8819" t="str">
        <v>-</v>
      </c>
      <c r="E8819" t="str">
        <v>-</v>
      </c>
      <c r="F8819" t="str">
        <v>-</v>
      </c>
      <c r="G8819" t="str">
        <v>-</v>
      </c>
    </row>
    <row r="8820">
      <c r="A8820">
        <v>8819</v>
      </c>
      <c r="B8820" t="str">
        <v>Công an xã Hồng Nam  tỉnh Hưng Yên</v>
      </c>
      <c r="C8820" t="str">
        <v>-</v>
      </c>
      <c r="D8820" t="str">
        <v>-</v>
      </c>
      <c r="E8820" t="str">
        <v/>
      </c>
      <c r="F8820" t="str">
        <v>-</v>
      </c>
      <c r="G8820" t="str">
        <v>-</v>
      </c>
    </row>
    <row r="8821">
      <c r="A8821">
        <v>8820</v>
      </c>
      <c r="B8821" t="str">
        <v>UBND Ủy ban nhân dân xã Hồng Nam  tỉnh Hưng Yên</v>
      </c>
      <c r="C8821" t="str">
        <v>-</v>
      </c>
      <c r="D8821" t="str">
        <v>-</v>
      </c>
      <c r="E8821" t="str">
        <v>-</v>
      </c>
      <c r="F8821" t="str">
        <v>-</v>
      </c>
      <c r="G8821" t="str">
        <v>-</v>
      </c>
    </row>
    <row r="8822">
      <c r="A8822">
        <v>8821</v>
      </c>
      <c r="B8822" t="str">
        <v>Công an xã Quảng Châu  tỉnh Hưng Yên</v>
      </c>
      <c r="C8822" t="str">
        <v>-</v>
      </c>
      <c r="D8822" t="str">
        <v>-</v>
      </c>
      <c r="E8822" t="str">
        <v/>
      </c>
      <c r="F8822" t="str">
        <v>-</v>
      </c>
      <c r="G8822" t="str">
        <v>-</v>
      </c>
    </row>
    <row r="8823">
      <c r="A8823">
        <v>8822</v>
      </c>
      <c r="B8823" t="str">
        <v>UBND Ủy ban nhân dân xã Quảng Châu  tỉnh Hưng Yên</v>
      </c>
      <c r="C8823" t="str">
        <v>-</v>
      </c>
      <c r="D8823" t="str">
        <v>-</v>
      </c>
      <c r="E8823" t="str">
        <v>-</v>
      </c>
      <c r="F8823" t="str">
        <v>-</v>
      </c>
      <c r="G8823" t="str">
        <v>-</v>
      </c>
    </row>
    <row r="8824">
      <c r="A8824">
        <v>8823</v>
      </c>
      <c r="B8824" t="str">
        <v>Công an xã Bảo Khê  tỉnh Hưng Yên</v>
      </c>
      <c r="C8824" t="str">
        <v>-</v>
      </c>
      <c r="D8824" t="str">
        <v>-</v>
      </c>
      <c r="E8824" t="str">
        <v/>
      </c>
      <c r="F8824" t="str">
        <v>-</v>
      </c>
      <c r="G8824" t="str">
        <v>-</v>
      </c>
    </row>
    <row r="8825">
      <c r="A8825">
        <v>8824</v>
      </c>
      <c r="B8825" t="str">
        <v>UBND Ủy ban nhân dân xã Bảo Khê  tỉnh Hưng Yên</v>
      </c>
      <c r="C8825" t="str">
        <v>-</v>
      </c>
      <c r="D8825" t="str">
        <v>-</v>
      </c>
      <c r="E8825" t="str">
        <v>-</v>
      </c>
      <c r="F8825" t="str">
        <v>-</v>
      </c>
      <c r="G8825" t="str">
        <v>-</v>
      </c>
    </row>
    <row r="8826">
      <c r="A8826">
        <v>8825</v>
      </c>
      <c r="B8826" t="str">
        <v>Công an xã Phú Cường  tỉnh Hưng Yên</v>
      </c>
      <c r="C8826" t="str">
        <v>-</v>
      </c>
      <c r="D8826" t="str">
        <v>-</v>
      </c>
      <c r="E8826" t="str">
        <v/>
      </c>
      <c r="F8826" t="str">
        <v>-</v>
      </c>
      <c r="G8826" t="str">
        <v>-</v>
      </c>
    </row>
    <row r="8827">
      <c r="A8827">
        <v>8826</v>
      </c>
      <c r="B8827" t="str">
        <v>UBND Ủy ban nhân dân xã Phú Cường  tỉnh Hưng Yên</v>
      </c>
      <c r="C8827" t="str">
        <v>-</v>
      </c>
      <c r="D8827" t="str">
        <v>-</v>
      </c>
      <c r="E8827" t="str">
        <v>-</v>
      </c>
      <c r="F8827" t="str">
        <v>-</v>
      </c>
      <c r="G8827" t="str">
        <v>-</v>
      </c>
    </row>
    <row r="8828">
      <c r="A8828">
        <v>8827</v>
      </c>
      <c r="B8828" t="str">
        <v>Công an xã Hùng Cường  tỉnh Hưng Yên</v>
      </c>
      <c r="C8828" t="str">
        <v>-</v>
      </c>
      <c r="D8828" t="str">
        <v>-</v>
      </c>
      <c r="E8828" t="str">
        <v/>
      </c>
      <c r="F8828" t="str">
        <v>-</v>
      </c>
      <c r="G8828" t="str">
        <v>-</v>
      </c>
    </row>
    <row r="8829">
      <c r="A8829">
        <v>8828</v>
      </c>
      <c r="B8829" t="str">
        <v>UBND Ủy ban nhân dân xã Hùng Cường  tỉnh Hưng Yên</v>
      </c>
      <c r="C8829" t="str">
        <v>-</v>
      </c>
      <c r="D8829" t="str">
        <v>-</v>
      </c>
      <c r="E8829" t="str">
        <v>-</v>
      </c>
      <c r="F8829" t="str">
        <v>-</v>
      </c>
      <c r="G8829" t="str">
        <v>-</v>
      </c>
    </row>
    <row r="8830">
      <c r="A8830">
        <v>8829</v>
      </c>
      <c r="B8830" t="str">
        <v>Công an xã Phương Chiểu  tỉnh Hưng Yên</v>
      </c>
      <c r="C8830" t="str">
        <v>-</v>
      </c>
      <c r="D8830" t="str">
        <v>-</v>
      </c>
      <c r="E8830" t="str">
        <v/>
      </c>
      <c r="F8830" t="str">
        <v>-</v>
      </c>
      <c r="G8830" t="str">
        <v>-</v>
      </c>
    </row>
    <row r="8831">
      <c r="A8831">
        <v>8830</v>
      </c>
      <c r="B8831" t="str">
        <v>UBND Ủy ban nhân dân xã Phương Chiểu  tỉnh Hưng Yên</v>
      </c>
      <c r="C8831" t="str">
        <v>-</v>
      </c>
      <c r="D8831" t="str">
        <v>-</v>
      </c>
      <c r="E8831" t="str">
        <v>-</v>
      </c>
      <c r="F8831" t="str">
        <v>-</v>
      </c>
      <c r="G8831" t="str">
        <v>-</v>
      </c>
    </row>
    <row r="8832">
      <c r="A8832">
        <v>8831</v>
      </c>
      <c r="B8832" t="str">
        <v>Công an xã Tân Hưng  tỉnh Hưng Yên</v>
      </c>
      <c r="C8832" t="str">
        <v>-</v>
      </c>
      <c r="D8832" t="str">
        <v>-</v>
      </c>
      <c r="E8832" t="str">
        <v/>
      </c>
      <c r="F8832" t="str">
        <v>-</v>
      </c>
      <c r="G8832" t="str">
        <v>-</v>
      </c>
    </row>
    <row r="8833">
      <c r="A8833">
        <v>8832</v>
      </c>
      <c r="B8833" t="str">
        <v>UBND Ủy ban nhân dân xã Tân Hưng  tỉnh Hưng Yên</v>
      </c>
      <c r="C8833" t="str">
        <v>-</v>
      </c>
      <c r="D8833" t="str">
        <v>-</v>
      </c>
      <c r="E8833" t="str">
        <v>-</v>
      </c>
      <c r="F8833" t="str">
        <v>-</v>
      </c>
      <c r="G8833" t="str">
        <v>-</v>
      </c>
    </row>
    <row r="8834">
      <c r="A8834">
        <v>8833</v>
      </c>
      <c r="B8834" t="str">
        <v>Công an xã Hoàng Hanh  tỉnh Hưng Yên</v>
      </c>
      <c r="C8834" t="str">
        <v>-</v>
      </c>
      <c r="D8834" t="str">
        <v>-</v>
      </c>
      <c r="E8834" t="str">
        <v/>
      </c>
      <c r="F8834" t="str">
        <v>-</v>
      </c>
      <c r="G8834" t="str">
        <v>-</v>
      </c>
    </row>
    <row r="8835">
      <c r="A8835">
        <v>8834</v>
      </c>
      <c r="B8835" t="str">
        <v>UBND Ủy ban nhân dân xã Hoàng Hanh  tỉnh Hưng Yên</v>
      </c>
      <c r="C8835" t="str">
        <v>-</v>
      </c>
      <c r="D8835" t="str">
        <v>-</v>
      </c>
      <c r="E8835" t="str">
        <v>-</v>
      </c>
      <c r="F8835" t="str">
        <v>-</v>
      </c>
      <c r="G8835" t="str">
        <v>-</v>
      </c>
    </row>
    <row r="8836">
      <c r="A8836">
        <v>8835</v>
      </c>
      <c r="B8836" t="str">
        <v>Công an thị trấn Như Quỳnh  tỉnh Hưng Yên</v>
      </c>
      <c r="C8836" t="str">
        <v>-</v>
      </c>
      <c r="D8836" t="str">
        <v>-</v>
      </c>
      <c r="E8836" t="str">
        <v/>
      </c>
      <c r="F8836" t="str">
        <v>-</v>
      </c>
      <c r="G8836" t="str">
        <v>-</v>
      </c>
    </row>
    <row r="8837">
      <c r="A8837">
        <v>8836</v>
      </c>
      <c r="B8837" t="str">
        <v>UBND Ủy ban nhân dân thị trấn Như Quỳnh  tỉnh Hưng Yên</v>
      </c>
      <c r="C8837" t="str">
        <v>-</v>
      </c>
      <c r="D8837" t="str">
        <v>-</v>
      </c>
      <c r="E8837" t="str">
        <v>-</v>
      </c>
      <c r="F8837" t="str">
        <v>-</v>
      </c>
      <c r="G8837" t="str">
        <v>-</v>
      </c>
    </row>
    <row r="8838">
      <c r="A8838">
        <v>8837</v>
      </c>
      <c r="B8838" t="str">
        <v>Công an xã Lạc Đạo  tỉnh Hưng Yên</v>
      </c>
      <c r="C8838" t="str">
        <v>-</v>
      </c>
      <c r="D8838" t="str">
        <v>-</v>
      </c>
      <c r="E8838" t="str">
        <v/>
      </c>
      <c r="F8838" t="str">
        <v>-</v>
      </c>
      <c r="G8838" t="str">
        <v>-</v>
      </c>
    </row>
    <row r="8839">
      <c r="A8839">
        <v>8838</v>
      </c>
      <c r="B8839" t="str">
        <v>UBND Ủy ban nhân dân xã Lạc Đạo  tỉnh Hưng Yên</v>
      </c>
      <c r="C8839" t="str">
        <v>-</v>
      </c>
      <c r="D8839" t="str">
        <v>-</v>
      </c>
      <c r="E8839" t="str">
        <v>-</v>
      </c>
      <c r="F8839" t="str">
        <v>-</v>
      </c>
      <c r="G8839" t="str">
        <v>-</v>
      </c>
    </row>
    <row r="8840">
      <c r="A8840">
        <v>8839</v>
      </c>
      <c r="B8840" t="str">
        <v>Công an xã Chỉ Đạo  tỉnh Hưng Yên</v>
      </c>
      <c r="C8840" t="str">
        <v>-</v>
      </c>
      <c r="D8840" t="str">
        <v>-</v>
      </c>
      <c r="E8840" t="str">
        <v/>
      </c>
      <c r="F8840" t="str">
        <v>-</v>
      </c>
      <c r="G8840" t="str">
        <v>-</v>
      </c>
    </row>
    <row r="8841">
      <c r="A8841">
        <v>8840</v>
      </c>
      <c r="B8841" t="str">
        <v>UBND Ủy ban nhân dân xã Chỉ Đạo  tỉnh Hưng Yên</v>
      </c>
      <c r="C8841" t="str">
        <v>-</v>
      </c>
      <c r="D8841" t="str">
        <v>-</v>
      </c>
      <c r="E8841" t="str">
        <v>-</v>
      </c>
      <c r="F8841" t="str">
        <v>-</v>
      </c>
      <c r="G8841" t="str">
        <v>-</v>
      </c>
    </row>
    <row r="8842">
      <c r="A8842">
        <v>8841</v>
      </c>
      <c r="B8842" t="str">
        <v>Công an xã Đại Đồng  tỉnh Hưng Yên</v>
      </c>
      <c r="C8842" t="str">
        <v>-</v>
      </c>
      <c r="D8842" t="str">
        <v>-</v>
      </c>
      <c r="E8842" t="str">
        <v/>
      </c>
      <c r="F8842" t="str">
        <v>-</v>
      </c>
      <c r="G8842" t="str">
        <v>-</v>
      </c>
    </row>
    <row r="8843">
      <c r="A8843">
        <v>8842</v>
      </c>
      <c r="B8843" t="str">
        <v>UBND Ủy ban nhân dân xã Đại Đồng  tỉnh Hưng Yên</v>
      </c>
      <c r="C8843" t="str">
        <v>-</v>
      </c>
      <c r="D8843" t="str">
        <v>-</v>
      </c>
      <c r="E8843" t="str">
        <v>-</v>
      </c>
      <c r="F8843" t="str">
        <v>-</v>
      </c>
      <c r="G8843" t="str">
        <v>-</v>
      </c>
    </row>
    <row r="8844">
      <c r="A8844">
        <v>8843</v>
      </c>
      <c r="B8844" t="str">
        <v>Công an xã Việt Hưng  tỉnh Hưng Yên</v>
      </c>
      <c r="C8844" t="str">
        <v>-</v>
      </c>
      <c r="D8844" t="str">
        <v>-</v>
      </c>
      <c r="E8844" t="str">
        <v/>
      </c>
      <c r="F8844" t="str">
        <v>-</v>
      </c>
      <c r="G8844" t="str">
        <v>-</v>
      </c>
    </row>
    <row r="8845">
      <c r="A8845">
        <v>8844</v>
      </c>
      <c r="B8845" t="str">
        <v>UBND Ủy ban nhân dân xã Việt Hưng  tỉnh Hưng Yên</v>
      </c>
      <c r="C8845" t="str">
        <v>-</v>
      </c>
      <c r="D8845" t="str">
        <v>-</v>
      </c>
      <c r="E8845" t="str">
        <v>-</v>
      </c>
      <c r="F8845" t="str">
        <v>-</v>
      </c>
      <c r="G8845" t="str">
        <v>-</v>
      </c>
    </row>
    <row r="8846">
      <c r="A8846">
        <v>8845</v>
      </c>
      <c r="B8846" t="str">
        <v>Công an xã Tân Quang  tỉnh Hưng Yên</v>
      </c>
      <c r="C8846" t="str">
        <v>-</v>
      </c>
      <c r="D8846" t="str">
        <v>-</v>
      </c>
      <c r="E8846" t="str">
        <v/>
      </c>
      <c r="F8846" t="str">
        <v>-</v>
      </c>
      <c r="G8846" t="str">
        <v>-</v>
      </c>
    </row>
    <row r="8847">
      <c r="A8847">
        <v>8846</v>
      </c>
      <c r="B8847" t="str">
        <v>UBND Ủy ban nhân dân xã Tân Quang  tỉnh Hưng Yên</v>
      </c>
      <c r="C8847" t="str">
        <v>-</v>
      </c>
      <c r="D8847" t="str">
        <v>-</v>
      </c>
      <c r="E8847" t="str">
        <v>-</v>
      </c>
      <c r="F8847" t="str">
        <v>-</v>
      </c>
      <c r="G8847" t="str">
        <v>-</v>
      </c>
    </row>
    <row r="8848">
      <c r="A8848">
        <v>8847</v>
      </c>
      <c r="B8848" t="str">
        <v>Công an xã Đình Dù  tỉnh Hưng Yên</v>
      </c>
      <c r="C8848" t="str">
        <v>-</v>
      </c>
      <c r="D8848" t="str">
        <v>-</v>
      </c>
      <c r="E8848" t="str">
        <v/>
      </c>
      <c r="F8848" t="str">
        <v>-</v>
      </c>
      <c r="G8848" t="str">
        <v>-</v>
      </c>
    </row>
    <row r="8849">
      <c r="A8849">
        <v>8848</v>
      </c>
      <c r="B8849" t="str">
        <v>UBND Ủy ban nhân dân xã Đình Dù  tỉnh Hưng Yên</v>
      </c>
      <c r="C8849" t="str">
        <v>-</v>
      </c>
      <c r="D8849" t="str">
        <v>-</v>
      </c>
      <c r="E8849" t="str">
        <v>-</v>
      </c>
      <c r="F8849" t="str">
        <v>-</v>
      </c>
      <c r="G8849" t="str">
        <v>-</v>
      </c>
    </row>
    <row r="8850">
      <c r="A8850">
        <v>8849</v>
      </c>
      <c r="B8850" t="str">
        <v>Công an xã Minh Hải  tỉnh Hưng Yên</v>
      </c>
      <c r="C8850" t="str">
        <v>-</v>
      </c>
      <c r="D8850" t="str">
        <v>-</v>
      </c>
      <c r="E8850" t="str">
        <v/>
      </c>
      <c r="F8850" t="str">
        <v>-</v>
      </c>
      <c r="G8850" t="str">
        <v>-</v>
      </c>
    </row>
    <row r="8851">
      <c r="A8851">
        <v>8850</v>
      </c>
      <c r="B8851" t="str">
        <v>UBND Ủy ban nhân dân xã Minh Hải  tỉnh Hưng Yên</v>
      </c>
      <c r="C8851" t="str">
        <v>-</v>
      </c>
      <c r="D8851" t="str">
        <v>-</v>
      </c>
      <c r="E8851" t="str">
        <v>-</v>
      </c>
      <c r="F8851" t="str">
        <v>-</v>
      </c>
      <c r="G8851" t="str">
        <v>-</v>
      </c>
    </row>
    <row r="8852">
      <c r="A8852">
        <v>8851</v>
      </c>
      <c r="B8852" t="str">
        <v>Công an xã Lương Tài  tỉnh Hưng Yên</v>
      </c>
      <c r="C8852" t="str">
        <v>-</v>
      </c>
      <c r="D8852" t="str">
        <v>-</v>
      </c>
      <c r="E8852" t="str">
        <v/>
      </c>
      <c r="F8852" t="str">
        <v>-</v>
      </c>
      <c r="G8852" t="str">
        <v>-</v>
      </c>
    </row>
    <row r="8853">
      <c r="A8853">
        <v>8852</v>
      </c>
      <c r="B8853" t="str">
        <v>UBND Ủy ban nhân dân xã Lương Tài  tỉnh Hưng Yên</v>
      </c>
      <c r="C8853" t="str">
        <v>-</v>
      </c>
      <c r="D8853" t="str">
        <v>-</v>
      </c>
      <c r="E8853" t="str">
        <v>-</v>
      </c>
      <c r="F8853" t="str">
        <v>-</v>
      </c>
      <c r="G8853" t="str">
        <v>-</v>
      </c>
    </row>
    <row r="8854">
      <c r="A8854">
        <v>8853</v>
      </c>
      <c r="B8854" t="str">
        <v>Công an xã Trưng Trắc  tỉnh Hưng Yên</v>
      </c>
      <c r="C8854" t="str">
        <v>-</v>
      </c>
      <c r="D8854" t="str">
        <v>-</v>
      </c>
      <c r="E8854" t="str">
        <v/>
      </c>
      <c r="F8854" t="str">
        <v>-</v>
      </c>
      <c r="G8854" t="str">
        <v>-</v>
      </c>
    </row>
    <row r="8855">
      <c r="A8855">
        <v>8854</v>
      </c>
      <c r="B8855" t="str">
        <v>UBND Ủy ban nhân dân xã Trưng Trắc  tỉnh Hưng Yên</v>
      </c>
      <c r="C8855" t="str">
        <v>-</v>
      </c>
      <c r="D8855" t="str">
        <v>-</v>
      </c>
      <c r="E8855" t="str">
        <v>-</v>
      </c>
      <c r="F8855" t="str">
        <v>-</v>
      </c>
      <c r="G8855" t="str">
        <v>-</v>
      </c>
    </row>
    <row r="8856">
      <c r="A8856">
        <v>8855</v>
      </c>
      <c r="B8856" t="str">
        <v>Công an xã Lạc Hồng  tỉnh Hưng Yên</v>
      </c>
      <c r="C8856" t="str">
        <v>-</v>
      </c>
      <c r="D8856" t="str">
        <v>-</v>
      </c>
      <c r="E8856" t="str">
        <v/>
      </c>
      <c r="F8856" t="str">
        <v>-</v>
      </c>
      <c r="G8856" t="str">
        <v>-</v>
      </c>
    </row>
    <row r="8857">
      <c r="A8857">
        <v>8856</v>
      </c>
      <c r="B8857" t="str">
        <v>UBND Ủy ban nhân dân xã Lạc Hồng  tỉnh Hưng Yên</v>
      </c>
      <c r="C8857" t="str">
        <v>-</v>
      </c>
      <c r="D8857" t="str">
        <v>-</v>
      </c>
      <c r="E8857" t="str">
        <v>-</v>
      </c>
      <c r="F8857" t="str">
        <v>-</v>
      </c>
      <c r="G8857" t="str">
        <v>-</v>
      </c>
    </row>
    <row r="8858">
      <c r="A8858">
        <v>8857</v>
      </c>
      <c r="B8858" t="str">
        <v>Công an thị trấn Văn Giang  tỉnh Hưng Yên</v>
      </c>
      <c r="C8858" t="str">
        <v>-</v>
      </c>
      <c r="D8858" t="str">
        <v>-</v>
      </c>
      <c r="E8858" t="str">
        <v/>
      </c>
      <c r="F8858" t="str">
        <v>-</v>
      </c>
      <c r="G8858" t="str">
        <v>-</v>
      </c>
    </row>
    <row r="8859">
      <c r="A8859">
        <v>8858</v>
      </c>
      <c r="B8859" t="str">
        <v>UBND Ủy ban nhân dân thị trấn Văn Giang  tỉnh Hưng Yên</v>
      </c>
      <c r="C8859" t="str">
        <v>-</v>
      </c>
      <c r="D8859" t="str">
        <v>-</v>
      </c>
      <c r="E8859" t="str">
        <v>-</v>
      </c>
      <c r="F8859" t="str">
        <v>-</v>
      </c>
      <c r="G8859" t="str">
        <v>-</v>
      </c>
    </row>
    <row r="8860">
      <c r="A8860">
        <v>8859</v>
      </c>
      <c r="B8860" t="str">
        <v>Công an xã Xuân Quan  tỉnh Hưng Yên</v>
      </c>
      <c r="C8860" t="str">
        <v>-</v>
      </c>
      <c r="D8860" t="str">
        <v>-</v>
      </c>
      <c r="E8860" t="str">
        <v/>
      </c>
      <c r="F8860" t="str">
        <v>-</v>
      </c>
      <c r="G8860" t="str">
        <v>-</v>
      </c>
    </row>
    <row r="8861">
      <c r="A8861">
        <v>8860</v>
      </c>
      <c r="B8861" t="str">
        <v>UBND Ủy ban nhân dân xã Xuân Quan  tỉnh Hưng Yên</v>
      </c>
      <c r="C8861" t="str">
        <v>-</v>
      </c>
      <c r="D8861" t="str">
        <v>-</v>
      </c>
      <c r="E8861" t="str">
        <v>-</v>
      </c>
      <c r="F8861" t="str">
        <v>-</v>
      </c>
      <c r="G8861" t="str">
        <v>-</v>
      </c>
    </row>
    <row r="8862">
      <c r="A8862">
        <v>8861</v>
      </c>
      <c r="B8862" t="str">
        <v>Công an xã Cửu Cao  tỉnh Hưng Yên</v>
      </c>
      <c r="C8862" t="str">
        <v>-</v>
      </c>
      <c r="D8862" t="str">
        <v>-</v>
      </c>
      <c r="E8862" t="str">
        <v/>
      </c>
      <c r="F8862" t="str">
        <v>-</v>
      </c>
      <c r="G8862" t="str">
        <v>-</v>
      </c>
    </row>
    <row r="8863">
      <c r="A8863">
        <v>8862</v>
      </c>
      <c r="B8863" t="str">
        <v>UBND Ủy ban nhân dân xã Cửu Cao  tỉnh Hưng Yên</v>
      </c>
      <c r="C8863" t="str">
        <v>-</v>
      </c>
      <c r="D8863" t="str">
        <v>-</v>
      </c>
      <c r="E8863" t="str">
        <v>-</v>
      </c>
      <c r="F8863" t="str">
        <v>-</v>
      </c>
      <c r="G8863" t="str">
        <v>-</v>
      </c>
    </row>
    <row r="8864">
      <c r="A8864">
        <v>8863</v>
      </c>
      <c r="B8864" t="str">
        <v>Công an xã Phụng Công  tỉnh Hưng Yên</v>
      </c>
      <c r="C8864" t="str">
        <v>-</v>
      </c>
      <c r="D8864" t="str">
        <v>-</v>
      </c>
      <c r="E8864" t="str">
        <v/>
      </c>
      <c r="F8864" t="str">
        <v>-</v>
      </c>
      <c r="G8864" t="str">
        <v>-</v>
      </c>
    </row>
    <row r="8865">
      <c r="A8865">
        <v>8864</v>
      </c>
      <c r="B8865" t="str">
        <v>UBND Ủy ban nhân dân xã Phụng Công  tỉnh Hưng Yên</v>
      </c>
      <c r="C8865" t="str">
        <v>-</v>
      </c>
      <c r="D8865" t="str">
        <v>-</v>
      </c>
      <c r="E8865" t="str">
        <v>-</v>
      </c>
      <c r="F8865" t="str">
        <v>-</v>
      </c>
      <c r="G8865" t="str">
        <v>-</v>
      </c>
    </row>
    <row r="8866">
      <c r="A8866">
        <v>8865</v>
      </c>
      <c r="B8866" t="str">
        <v>Công an xã Nghĩa Trụ  tỉnh Hưng Yên</v>
      </c>
      <c r="C8866" t="str">
        <v>-</v>
      </c>
      <c r="D8866" t="str">
        <v>-</v>
      </c>
      <c r="E8866" t="str">
        <v/>
      </c>
      <c r="F8866" t="str">
        <v>-</v>
      </c>
      <c r="G8866" t="str">
        <v>-</v>
      </c>
    </row>
    <row r="8867">
      <c r="A8867">
        <v>8866</v>
      </c>
      <c r="B8867" t="str">
        <v>UBND Ủy ban nhân dân xã Nghĩa Trụ  tỉnh Hưng Yên</v>
      </c>
      <c r="C8867" t="str">
        <v>-</v>
      </c>
      <c r="D8867" t="str">
        <v>-</v>
      </c>
      <c r="E8867" t="str">
        <v>-</v>
      </c>
      <c r="F8867" t="str">
        <v>-</v>
      </c>
      <c r="G8867" t="str">
        <v>-</v>
      </c>
    </row>
    <row r="8868">
      <c r="A8868">
        <v>8867</v>
      </c>
      <c r="B8868" t="str">
        <v>Công an xã Long Hưng  tỉnh Hưng Yên</v>
      </c>
      <c r="C8868" t="str">
        <v>-</v>
      </c>
      <c r="D8868" t="str">
        <v>-</v>
      </c>
      <c r="E8868" t="str">
        <v/>
      </c>
      <c r="F8868" t="str">
        <v>-</v>
      </c>
      <c r="G8868" t="str">
        <v>-</v>
      </c>
    </row>
    <row r="8869">
      <c r="A8869">
        <v>8868</v>
      </c>
      <c r="B8869" t="str">
        <v>UBND Ủy ban nhân dân xã Long Hưng  tỉnh Hưng Yên</v>
      </c>
      <c r="C8869" t="str">
        <v>-</v>
      </c>
      <c r="D8869" t="str">
        <v>-</v>
      </c>
      <c r="E8869" t="str">
        <v>-</v>
      </c>
      <c r="F8869" t="str">
        <v>-</v>
      </c>
      <c r="G8869" t="str">
        <v>-</v>
      </c>
    </row>
    <row r="8870">
      <c r="A8870">
        <v>8869</v>
      </c>
      <c r="B8870" t="str">
        <v>Công an xã Vĩnh Khúc  tỉnh Hưng Yên</v>
      </c>
      <c r="C8870" t="str">
        <v>-</v>
      </c>
      <c r="D8870" t="str">
        <v>-</v>
      </c>
      <c r="E8870" t="str">
        <v/>
      </c>
      <c r="F8870" t="str">
        <v>-</v>
      </c>
      <c r="G8870" t="str">
        <v>-</v>
      </c>
    </row>
    <row r="8871">
      <c r="A8871">
        <v>8870</v>
      </c>
      <c r="B8871" t="str">
        <v>UBND Ủy ban nhân dân xã Vĩnh Khúc  tỉnh Hưng Yên</v>
      </c>
      <c r="C8871" t="str">
        <v>-</v>
      </c>
      <c r="D8871" t="str">
        <v>-</v>
      </c>
      <c r="E8871" t="str">
        <v>-</v>
      </c>
      <c r="F8871" t="str">
        <v>-</v>
      </c>
      <c r="G8871" t="str">
        <v>-</v>
      </c>
    </row>
    <row r="8872">
      <c r="A8872">
        <v>8871</v>
      </c>
      <c r="B8872" t="str">
        <v>Công an xã Liên Nghĩa  tỉnh Hưng Yên</v>
      </c>
      <c r="C8872" t="str">
        <v>-</v>
      </c>
      <c r="D8872" t="str">
        <v>-</v>
      </c>
      <c r="E8872" t="str">
        <v/>
      </c>
      <c r="F8872" t="str">
        <v>-</v>
      </c>
      <c r="G8872" t="str">
        <v>-</v>
      </c>
    </row>
    <row r="8873">
      <c r="A8873">
        <v>8872</v>
      </c>
      <c r="B8873" t="str">
        <v>UBND Ủy ban nhân dân xã Liên Nghĩa  tỉnh Hưng Yên</v>
      </c>
      <c r="C8873" t="str">
        <v>-</v>
      </c>
      <c r="D8873" t="str">
        <v>-</v>
      </c>
      <c r="E8873" t="str">
        <v>-</v>
      </c>
      <c r="F8873" t="str">
        <v>-</v>
      </c>
      <c r="G8873" t="str">
        <v>-</v>
      </c>
    </row>
    <row r="8874">
      <c r="A8874">
        <v>8873</v>
      </c>
      <c r="B8874" t="str">
        <v>Công an xã Tân Tiến  tỉnh Hưng Yên</v>
      </c>
      <c r="C8874" t="str">
        <v>-</v>
      </c>
      <c r="D8874" t="str">
        <v>-</v>
      </c>
      <c r="E8874" t="str">
        <v/>
      </c>
      <c r="F8874" t="str">
        <v>-</v>
      </c>
      <c r="G8874" t="str">
        <v>-</v>
      </c>
    </row>
    <row r="8875">
      <c r="A8875">
        <v>8874</v>
      </c>
      <c r="B8875" t="str">
        <v>UBND Ủy ban nhân dân xã Tân Tiến  tỉnh Hưng Yên</v>
      </c>
      <c r="C8875" t="str">
        <v>-</v>
      </c>
      <c r="D8875" t="str">
        <v>-</v>
      </c>
      <c r="E8875" t="str">
        <v>-</v>
      </c>
      <c r="F8875" t="str">
        <v>-</v>
      </c>
      <c r="G8875" t="str">
        <v>-</v>
      </c>
    </row>
    <row r="8876">
      <c r="A8876">
        <v>8875</v>
      </c>
      <c r="B8876" t="str">
        <v>Công an xã Thắng Lợi  tỉnh Hưng Yên</v>
      </c>
      <c r="C8876" t="str">
        <v>-</v>
      </c>
      <c r="D8876" t="str">
        <v>-</v>
      </c>
      <c r="E8876" t="str">
        <v/>
      </c>
      <c r="F8876" t="str">
        <v>-</v>
      </c>
      <c r="G8876" t="str">
        <v>-</v>
      </c>
    </row>
    <row r="8877">
      <c r="A8877">
        <v>8876</v>
      </c>
      <c r="B8877" t="str">
        <v>UBND Ủy ban nhân dân xã Thắng Lợi  tỉnh Hưng Yên</v>
      </c>
      <c r="C8877" t="str">
        <v>-</v>
      </c>
      <c r="D8877" t="str">
        <v>-</v>
      </c>
      <c r="E8877" t="str">
        <v>-</v>
      </c>
      <c r="F8877" t="str">
        <v>-</v>
      </c>
      <c r="G8877" t="str">
        <v>-</v>
      </c>
    </row>
    <row r="8878">
      <c r="A8878">
        <v>8877</v>
      </c>
      <c r="B8878" t="str">
        <v>Công an xã Mễ Sở  tỉnh Hưng Yên</v>
      </c>
      <c r="C8878" t="str">
        <v>-</v>
      </c>
      <c r="D8878" t="str">
        <v>-</v>
      </c>
      <c r="E8878" t="str">
        <v/>
      </c>
      <c r="F8878" t="str">
        <v>-</v>
      </c>
      <c r="G8878" t="str">
        <v>-</v>
      </c>
    </row>
    <row r="8879">
      <c r="A8879">
        <v>8878</v>
      </c>
      <c r="B8879" t="str">
        <v>UBND Ủy ban nhân dân xã Mễ Sở  tỉnh Hưng Yên</v>
      </c>
      <c r="C8879" t="str">
        <v>-</v>
      </c>
      <c r="D8879" t="str">
        <v>-</v>
      </c>
      <c r="E8879" t="str">
        <v>-</v>
      </c>
      <c r="F8879" t="str">
        <v>-</v>
      </c>
      <c r="G8879" t="str">
        <v>-</v>
      </c>
    </row>
    <row r="8880">
      <c r="A8880">
        <v>8879</v>
      </c>
      <c r="B8880" t="str">
        <v>Công an thị trấn Yên Mỹ  tỉnh Hưng Yên</v>
      </c>
      <c r="C8880" t="str">
        <v>-</v>
      </c>
      <c r="D8880" t="str">
        <v>-</v>
      </c>
      <c r="E8880" t="str">
        <v/>
      </c>
      <c r="F8880" t="str">
        <v>-</v>
      </c>
      <c r="G8880" t="str">
        <v>-</v>
      </c>
    </row>
    <row r="8881">
      <c r="A8881">
        <v>8880</v>
      </c>
      <c r="B8881" t="str">
        <v>UBND Ủy ban nhân dân thị trấn Yên Mỹ  tỉnh Hưng Yên</v>
      </c>
      <c r="C8881" t="str">
        <v>-</v>
      </c>
      <c r="D8881" t="str">
        <v>-</v>
      </c>
      <c r="E8881" t="str">
        <v>-</v>
      </c>
      <c r="F8881" t="str">
        <v>-</v>
      </c>
      <c r="G8881" t="str">
        <v>-</v>
      </c>
    </row>
    <row r="8882">
      <c r="A8882">
        <v>8881</v>
      </c>
      <c r="B8882" t="str">
        <v>Công an xã Giai Phạm  tỉnh Hưng Yên</v>
      </c>
      <c r="C8882" t="str">
        <v>-</v>
      </c>
      <c r="D8882" t="str">
        <v>-</v>
      </c>
      <c r="E8882" t="str">
        <v/>
      </c>
      <c r="F8882" t="str">
        <v>-</v>
      </c>
      <c r="G8882" t="str">
        <v>-</v>
      </c>
    </row>
    <row r="8883">
      <c r="A8883">
        <v>8882</v>
      </c>
      <c r="B8883" t="str">
        <v>UBND Ủy ban nhân dân xã Giai Phạm  tỉnh Hưng Yên</v>
      </c>
      <c r="C8883" t="str">
        <v>-</v>
      </c>
      <c r="D8883" t="str">
        <v>-</v>
      </c>
      <c r="E8883" t="str">
        <v>-</v>
      </c>
      <c r="F8883" t="str">
        <v>-</v>
      </c>
      <c r="G8883" t="str">
        <v>-</v>
      </c>
    </row>
    <row r="8884">
      <c r="A8884">
        <v>8883</v>
      </c>
      <c r="B8884" t="str">
        <v>Công an xã Nghĩa Hiệp  tỉnh Hưng Yên</v>
      </c>
      <c r="C8884" t="str">
        <v>-</v>
      </c>
      <c r="D8884" t="str">
        <v>-</v>
      </c>
      <c r="E8884" t="str">
        <v/>
      </c>
      <c r="F8884" t="str">
        <v>-</v>
      </c>
      <c r="G8884" t="str">
        <v>-</v>
      </c>
    </row>
    <row r="8885">
      <c r="A8885">
        <v>8884</v>
      </c>
      <c r="B8885" t="str">
        <v>UBND Ủy ban nhân dân xã Nghĩa Hiệp  tỉnh Hưng Yên</v>
      </c>
      <c r="C8885" t="str">
        <v>-</v>
      </c>
      <c r="D8885" t="str">
        <v>-</v>
      </c>
      <c r="E8885" t="str">
        <v>-</v>
      </c>
      <c r="F8885" t="str">
        <v>-</v>
      </c>
      <c r="G8885" t="str">
        <v>-</v>
      </c>
    </row>
    <row r="8886">
      <c r="A8886">
        <v>8885</v>
      </c>
      <c r="B8886" t="str">
        <v>Công an xã Đồng Than  tỉnh Hưng Yên</v>
      </c>
      <c r="C8886" t="str">
        <v>-</v>
      </c>
      <c r="D8886" t="str">
        <v>-</v>
      </c>
      <c r="E8886" t="str">
        <v/>
      </c>
      <c r="F8886" t="str">
        <v>-</v>
      </c>
      <c r="G8886" t="str">
        <v>-</v>
      </c>
    </row>
    <row r="8887">
      <c r="A8887">
        <v>8886</v>
      </c>
      <c r="B8887" t="str">
        <v>UBND Ủy ban nhân dân xã Đồng Than  tỉnh Hưng Yên</v>
      </c>
      <c r="C8887" t="str">
        <v>-</v>
      </c>
      <c r="D8887" t="str">
        <v>-</v>
      </c>
      <c r="E8887" t="str">
        <v>-</v>
      </c>
      <c r="F8887" t="str">
        <v>-</v>
      </c>
      <c r="G8887" t="str">
        <v>-</v>
      </c>
    </row>
    <row r="8888">
      <c r="A8888">
        <v>8887</v>
      </c>
      <c r="B8888" t="str">
        <v>Công an xã Ngọc Long  tỉnh Hưng Yên</v>
      </c>
      <c r="C8888" t="str">
        <v>-</v>
      </c>
      <c r="D8888" t="str">
        <v>-</v>
      </c>
      <c r="E8888" t="str">
        <v/>
      </c>
      <c r="F8888" t="str">
        <v>-</v>
      </c>
      <c r="G8888" t="str">
        <v>-</v>
      </c>
    </row>
    <row r="8889">
      <c r="A8889">
        <v>8888</v>
      </c>
      <c r="B8889" t="str">
        <v>UBND Ủy ban nhân dân xã Ngọc Long  tỉnh Hưng Yên</v>
      </c>
      <c r="C8889" t="str">
        <v>-</v>
      </c>
      <c r="D8889" t="str">
        <v>-</v>
      </c>
      <c r="E8889" t="str">
        <v>-</v>
      </c>
      <c r="F8889" t="str">
        <v>-</v>
      </c>
      <c r="G8889" t="str">
        <v>-</v>
      </c>
    </row>
    <row r="8890">
      <c r="A8890">
        <v>8889</v>
      </c>
      <c r="B8890" t="str">
        <v>Công an xã Liêu Xá  tỉnh Hưng Yên</v>
      </c>
      <c r="C8890" t="str">
        <v>-</v>
      </c>
      <c r="D8890" t="str">
        <v>-</v>
      </c>
      <c r="E8890" t="str">
        <v/>
      </c>
      <c r="F8890" t="str">
        <v>-</v>
      </c>
      <c r="G8890" t="str">
        <v>-</v>
      </c>
    </row>
    <row r="8891">
      <c r="A8891">
        <v>8890</v>
      </c>
      <c r="B8891" t="str">
        <v>UBND Ủy ban nhân dân xã Liêu Xá  tỉnh Hưng Yên</v>
      </c>
      <c r="C8891" t="str">
        <v>-</v>
      </c>
      <c r="D8891" t="str">
        <v>-</v>
      </c>
      <c r="E8891" t="str">
        <v>-</v>
      </c>
      <c r="F8891" t="str">
        <v>-</v>
      </c>
      <c r="G8891" t="str">
        <v>-</v>
      </c>
    </row>
    <row r="8892">
      <c r="A8892">
        <v>8891</v>
      </c>
      <c r="B8892" t="str">
        <v>Công an xã Hoàn Long  tỉnh Hưng Yên</v>
      </c>
      <c r="C8892" t="str">
        <v>-</v>
      </c>
      <c r="D8892" t="str">
        <v>-</v>
      </c>
      <c r="E8892" t="str">
        <v/>
      </c>
      <c r="F8892" t="str">
        <v>-</v>
      </c>
      <c r="G8892" t="str">
        <v>-</v>
      </c>
    </row>
    <row r="8893">
      <c r="A8893">
        <v>8892</v>
      </c>
      <c r="B8893" t="str">
        <v>UBND Ủy ban nhân dân xã Hoàn Long  tỉnh Hưng Yên</v>
      </c>
      <c r="C8893" t="str">
        <v>-</v>
      </c>
      <c r="D8893" t="str">
        <v>-</v>
      </c>
      <c r="E8893" t="str">
        <v>-</v>
      </c>
      <c r="F8893" t="str">
        <v>-</v>
      </c>
      <c r="G8893" t="str">
        <v>-</v>
      </c>
    </row>
    <row r="8894">
      <c r="A8894">
        <v>8893</v>
      </c>
      <c r="B8894" t="str">
        <v>Công an xã Tân Lập  tỉnh Hưng Yên</v>
      </c>
      <c r="C8894" t="str">
        <v>-</v>
      </c>
      <c r="D8894" t="str">
        <v>-</v>
      </c>
      <c r="E8894" t="str">
        <v/>
      </c>
      <c r="F8894" t="str">
        <v>-</v>
      </c>
      <c r="G8894" t="str">
        <v>-</v>
      </c>
    </row>
    <row r="8895">
      <c r="A8895">
        <v>8894</v>
      </c>
      <c r="B8895" t="str">
        <v>UBND Ủy ban nhân dân xã Tân Lập  tỉnh Hưng Yên</v>
      </c>
      <c r="C8895" t="str">
        <v>-</v>
      </c>
      <c r="D8895" t="str">
        <v>-</v>
      </c>
      <c r="E8895" t="str">
        <v>-</v>
      </c>
      <c r="F8895" t="str">
        <v>-</v>
      </c>
      <c r="G8895" t="str">
        <v>-</v>
      </c>
    </row>
    <row r="8896">
      <c r="A8896">
        <v>8895</v>
      </c>
      <c r="B8896" t="str">
        <v>Công an xã Thanh Long  tỉnh Hưng Yên</v>
      </c>
      <c r="C8896" t="str">
        <v>-</v>
      </c>
      <c r="D8896" t="str">
        <v>-</v>
      </c>
      <c r="E8896" t="str">
        <v/>
      </c>
      <c r="F8896" t="str">
        <v>-</v>
      </c>
      <c r="G8896" t="str">
        <v>-</v>
      </c>
    </row>
    <row r="8897">
      <c r="A8897">
        <v>8896</v>
      </c>
      <c r="B8897" t="str">
        <v>UBND Ủy ban nhân dân xã Thanh Long  tỉnh Hưng Yên</v>
      </c>
      <c r="C8897" t="str">
        <v>-</v>
      </c>
      <c r="D8897" t="str">
        <v>-</v>
      </c>
      <c r="E8897" t="str">
        <v>-</v>
      </c>
      <c r="F8897" t="str">
        <v>-</v>
      </c>
      <c r="G8897" t="str">
        <v>-</v>
      </c>
    </row>
    <row r="8898">
      <c r="A8898">
        <v>8897</v>
      </c>
      <c r="B8898" t="str">
        <v>Công an xã Yên Phú  tỉnh Hưng Yên</v>
      </c>
      <c r="C8898" t="str">
        <v>-</v>
      </c>
      <c r="D8898" t="str">
        <v>-</v>
      </c>
      <c r="E8898" t="str">
        <v/>
      </c>
      <c r="F8898" t="str">
        <v>-</v>
      </c>
      <c r="G8898" t="str">
        <v>-</v>
      </c>
    </row>
    <row r="8899">
      <c r="A8899">
        <v>8898</v>
      </c>
      <c r="B8899" t="str">
        <v>UBND Ủy ban nhân dân xã Yên Phú  tỉnh Hưng Yên</v>
      </c>
      <c r="C8899" t="str">
        <v>-</v>
      </c>
      <c r="D8899" t="str">
        <v>-</v>
      </c>
      <c r="E8899" t="str">
        <v>-</v>
      </c>
      <c r="F8899" t="str">
        <v>-</v>
      </c>
      <c r="G8899" t="str">
        <v>-</v>
      </c>
    </row>
    <row r="8900">
      <c r="A8900">
        <v>8899</v>
      </c>
      <c r="B8900" t="str">
        <v>Công an xã Việt Cường  tỉnh Hưng Yên</v>
      </c>
      <c r="C8900" t="str">
        <v>-</v>
      </c>
      <c r="D8900" t="str">
        <v>-</v>
      </c>
      <c r="E8900" t="str">
        <v/>
      </c>
      <c r="F8900" t="str">
        <v>-</v>
      </c>
      <c r="G8900" t="str">
        <v>-</v>
      </c>
    </row>
    <row r="8901">
      <c r="A8901">
        <v>8900</v>
      </c>
      <c r="B8901" t="str">
        <v>UBND Ủy ban nhân dân xã Việt Cường  tỉnh Hưng Yên</v>
      </c>
      <c r="C8901" t="str">
        <v>-</v>
      </c>
      <c r="D8901" t="str">
        <v>-</v>
      </c>
      <c r="E8901" t="str">
        <v>-</v>
      </c>
      <c r="F8901" t="str">
        <v>-</v>
      </c>
      <c r="G8901" t="str">
        <v>-</v>
      </c>
    </row>
    <row r="8902">
      <c r="A8902">
        <v>8901</v>
      </c>
      <c r="B8902" t="str">
        <v>Công an xã Trung Hòa  tỉnh Hưng Yên</v>
      </c>
      <c r="C8902" t="str">
        <v>-</v>
      </c>
      <c r="D8902" t="str">
        <v>-</v>
      </c>
      <c r="E8902" t="str">
        <v/>
      </c>
      <c r="F8902" t="str">
        <v>-</v>
      </c>
      <c r="G8902" t="str">
        <v>-</v>
      </c>
    </row>
    <row r="8903">
      <c r="A8903">
        <v>8902</v>
      </c>
      <c r="B8903" t="str">
        <v>UBND Ủy ban nhân dân xã Trung Hòa  tỉnh Hưng Yên</v>
      </c>
      <c r="C8903" t="str">
        <v>-</v>
      </c>
      <c r="D8903" t="str">
        <v>-</v>
      </c>
      <c r="E8903" t="str">
        <v>-</v>
      </c>
      <c r="F8903" t="str">
        <v>-</v>
      </c>
      <c r="G8903" t="str">
        <v>-</v>
      </c>
    </row>
    <row r="8904">
      <c r="A8904">
        <v>8903</v>
      </c>
      <c r="B8904" t="str">
        <v>Công an xã Yên Hòa  tỉnh Hưng Yên</v>
      </c>
      <c r="C8904" t="str">
        <v>-</v>
      </c>
      <c r="D8904" t="str">
        <v>-</v>
      </c>
      <c r="E8904" t="str">
        <v/>
      </c>
      <c r="F8904" t="str">
        <v>-</v>
      </c>
      <c r="G8904" t="str">
        <v>-</v>
      </c>
    </row>
    <row r="8905">
      <c r="A8905">
        <v>8904</v>
      </c>
      <c r="B8905" t="str">
        <v>UBND Ủy ban nhân dân xã Yên Hòa  tỉnh Hưng Yên</v>
      </c>
      <c r="C8905" t="str">
        <v>-</v>
      </c>
      <c r="D8905" t="str">
        <v>-</v>
      </c>
      <c r="E8905" t="str">
        <v>-</v>
      </c>
      <c r="F8905" t="str">
        <v>-</v>
      </c>
      <c r="G8905" t="str">
        <v>-</v>
      </c>
    </row>
    <row r="8906">
      <c r="A8906">
        <v>8905</v>
      </c>
      <c r="B8906" t="str">
        <v>Công an xã Minh Châu  tỉnh Hưng Yên</v>
      </c>
      <c r="C8906" t="str">
        <v>-</v>
      </c>
      <c r="D8906" t="str">
        <v>-</v>
      </c>
      <c r="E8906" t="str">
        <v/>
      </c>
      <c r="F8906" t="str">
        <v>-</v>
      </c>
      <c r="G8906" t="str">
        <v>-</v>
      </c>
    </row>
    <row r="8907">
      <c r="A8907">
        <v>8906</v>
      </c>
      <c r="B8907" t="str">
        <v>UBND Ủy ban nhân dân xã Minh Châu  tỉnh Hưng Yên</v>
      </c>
      <c r="C8907" t="str">
        <v>-</v>
      </c>
      <c r="D8907" t="str">
        <v>-</v>
      </c>
      <c r="E8907" t="str">
        <v>-</v>
      </c>
      <c r="F8907" t="str">
        <v>-</v>
      </c>
      <c r="G8907" t="str">
        <v>-</v>
      </c>
    </row>
    <row r="8908">
      <c r="A8908">
        <v>8907</v>
      </c>
      <c r="B8908" t="str">
        <v>Công an xã Trung Hưng  tỉnh Hưng Yên</v>
      </c>
      <c r="C8908" t="str">
        <v>-</v>
      </c>
      <c r="D8908" t="str">
        <v>-</v>
      </c>
      <c r="E8908" t="str">
        <v/>
      </c>
      <c r="F8908" t="str">
        <v>-</v>
      </c>
      <c r="G8908" t="str">
        <v>-</v>
      </c>
    </row>
    <row r="8909">
      <c r="A8909">
        <v>8908</v>
      </c>
      <c r="B8909" t="str">
        <v>UBND Ủy ban nhân dân xã Trung Hưng  tỉnh Hưng Yên</v>
      </c>
      <c r="C8909" t="str">
        <v>-</v>
      </c>
      <c r="D8909" t="str">
        <v>-</v>
      </c>
      <c r="E8909" t="str">
        <v>-</v>
      </c>
      <c r="F8909" t="str">
        <v>-</v>
      </c>
      <c r="G8909" t="str">
        <v>-</v>
      </c>
    </row>
    <row r="8910">
      <c r="A8910">
        <v>8909</v>
      </c>
      <c r="B8910" t="str">
        <v>Công an xã Lý Thường Kiệt  tỉnh Hưng Yên</v>
      </c>
      <c r="C8910" t="str">
        <v>-</v>
      </c>
      <c r="D8910" t="str">
        <v>-</v>
      </c>
      <c r="E8910" t="str">
        <v/>
      </c>
      <c r="F8910" t="str">
        <v>-</v>
      </c>
      <c r="G8910" t="str">
        <v>-</v>
      </c>
    </row>
    <row r="8911">
      <c r="A8911">
        <v>8910</v>
      </c>
      <c r="B8911" t="str">
        <v>UBND Ủy ban nhân dân xã Lý Thường Kiệt  tỉnh Hưng Yên</v>
      </c>
      <c r="C8911" t="str">
        <v>-</v>
      </c>
      <c r="D8911" t="str">
        <v>-</v>
      </c>
      <c r="E8911" t="str">
        <v>-</v>
      </c>
      <c r="F8911" t="str">
        <v>-</v>
      </c>
      <c r="G8911" t="str">
        <v>-</v>
      </c>
    </row>
    <row r="8912">
      <c r="A8912">
        <v>8911</v>
      </c>
      <c r="B8912" t="str">
        <v>Công an xã Tân Việt  tỉnh Hưng Yên</v>
      </c>
      <c r="C8912" t="str">
        <v>-</v>
      </c>
      <c r="D8912" t="str">
        <v>-</v>
      </c>
      <c r="E8912" t="str">
        <v/>
      </c>
      <c r="F8912" t="str">
        <v>-</v>
      </c>
      <c r="G8912" t="str">
        <v>-</v>
      </c>
    </row>
    <row r="8913">
      <c r="A8913">
        <v>8912</v>
      </c>
      <c r="B8913" t="str">
        <v>UBND Ủy ban nhân dân xã Tân Việt  tỉnh Hưng Yên</v>
      </c>
      <c r="C8913" t="str">
        <v>-</v>
      </c>
      <c r="D8913" t="str">
        <v>-</v>
      </c>
      <c r="E8913" t="str">
        <v>-</v>
      </c>
      <c r="F8913" t="str">
        <v>-</v>
      </c>
      <c r="G8913" t="str">
        <v>-</v>
      </c>
    </row>
    <row r="8914">
      <c r="A8914">
        <v>8913</v>
      </c>
      <c r="B8914" t="str">
        <v>Công an thị trấn Bần Yên Nhân  tỉnh Hưng Yên</v>
      </c>
      <c r="C8914" t="str">
        <v>-</v>
      </c>
      <c r="D8914" t="str">
        <v>-</v>
      </c>
      <c r="E8914" t="str">
        <v/>
      </c>
      <c r="F8914" t="str">
        <v>-</v>
      </c>
      <c r="G8914" t="str">
        <v>-</v>
      </c>
    </row>
    <row r="8915">
      <c r="A8915">
        <v>8914</v>
      </c>
      <c r="B8915" t="str">
        <v>UBND Ủy ban nhân dân thị trấn Bần Yên Nhân  tỉnh Hưng Yên</v>
      </c>
      <c r="C8915" t="str">
        <v>-</v>
      </c>
      <c r="D8915" t="str">
        <v>-</v>
      </c>
      <c r="E8915" t="str">
        <v>-</v>
      </c>
      <c r="F8915" t="str">
        <v>-</v>
      </c>
      <c r="G8915" t="str">
        <v>-</v>
      </c>
    </row>
    <row r="8916">
      <c r="A8916">
        <v>8915</v>
      </c>
      <c r="B8916" t="str">
        <v>Công an xã Phan Đình Phùng  tỉnh Hưng Yên</v>
      </c>
      <c r="C8916" t="str">
        <v>-</v>
      </c>
      <c r="D8916" t="str">
        <v>-</v>
      </c>
      <c r="E8916" t="str">
        <v/>
      </c>
      <c r="F8916" t="str">
        <v>-</v>
      </c>
      <c r="G8916" t="str">
        <v>-</v>
      </c>
    </row>
    <row r="8917">
      <c r="A8917">
        <v>8916</v>
      </c>
      <c r="B8917" t="str">
        <v>UBND Ủy ban nhân dân xã Phan Đình Phùng  tỉnh Hưng Yên</v>
      </c>
      <c r="C8917" t="str">
        <v>-</v>
      </c>
      <c r="D8917" t="str">
        <v>-</v>
      </c>
      <c r="E8917" t="str">
        <v>-</v>
      </c>
      <c r="F8917" t="str">
        <v>-</v>
      </c>
      <c r="G8917" t="str">
        <v>-</v>
      </c>
    </row>
    <row r="8918">
      <c r="A8918">
        <v>8917</v>
      </c>
      <c r="B8918" t="str">
        <v>Công an xã Cẩm Xá  tỉnh Hưng Yên</v>
      </c>
      <c r="C8918" t="str">
        <v>-</v>
      </c>
      <c r="D8918" t="str">
        <v>-</v>
      </c>
      <c r="E8918" t="str">
        <v/>
      </c>
      <c r="F8918" t="str">
        <v>-</v>
      </c>
      <c r="G8918" t="str">
        <v>-</v>
      </c>
    </row>
    <row r="8919">
      <c r="A8919">
        <v>8918</v>
      </c>
      <c r="B8919" t="str">
        <v>UBND Ủy ban nhân dân xã Cẩm Xá  tỉnh Hưng Yên</v>
      </c>
      <c r="C8919" t="str">
        <v>-</v>
      </c>
      <c r="D8919" t="str">
        <v>-</v>
      </c>
      <c r="E8919" t="str">
        <v>-</v>
      </c>
      <c r="F8919" t="str">
        <v>-</v>
      </c>
      <c r="G8919" t="str">
        <v>-</v>
      </c>
    </row>
    <row r="8920">
      <c r="A8920">
        <v>8919</v>
      </c>
      <c r="B8920" t="str">
        <v>Công an xã Dương Quang  tỉnh Hưng Yên</v>
      </c>
      <c r="C8920" t="str">
        <v>-</v>
      </c>
      <c r="D8920" t="str">
        <v>-</v>
      </c>
      <c r="E8920" t="str">
        <v/>
      </c>
      <c r="F8920" t="str">
        <v>-</v>
      </c>
      <c r="G8920" t="str">
        <v>-</v>
      </c>
    </row>
    <row r="8921">
      <c r="A8921">
        <v>8920</v>
      </c>
      <c r="B8921" t="str">
        <v>UBND Ủy ban nhân dân xã Dương Quang  tỉnh Hưng Yên</v>
      </c>
      <c r="C8921" t="str">
        <v>-</v>
      </c>
      <c r="D8921" t="str">
        <v>-</v>
      </c>
      <c r="E8921" t="str">
        <v>-</v>
      </c>
      <c r="F8921" t="str">
        <v>-</v>
      </c>
      <c r="G8921" t="str">
        <v>-</v>
      </c>
    </row>
    <row r="8922">
      <c r="A8922">
        <v>8921</v>
      </c>
      <c r="B8922" t="str">
        <v>Công an xã Hòa Phong  tỉnh Hưng Yên</v>
      </c>
      <c r="C8922" t="str">
        <v>-</v>
      </c>
      <c r="D8922" t="str">
        <v>-</v>
      </c>
      <c r="E8922" t="str">
        <v/>
      </c>
      <c r="F8922" t="str">
        <v>-</v>
      </c>
      <c r="G8922" t="str">
        <v>-</v>
      </c>
    </row>
    <row r="8923">
      <c r="A8923">
        <v>8922</v>
      </c>
      <c r="B8923" t="str">
        <v>UBND Ủy ban nhân dân xã Hòa Phong  tỉnh Hưng Yên</v>
      </c>
      <c r="C8923" t="str">
        <v>-</v>
      </c>
      <c r="D8923" t="str">
        <v>-</v>
      </c>
      <c r="E8923" t="str">
        <v>-</v>
      </c>
      <c r="F8923" t="str">
        <v>-</v>
      </c>
      <c r="G8923" t="str">
        <v>-</v>
      </c>
    </row>
    <row r="8924">
      <c r="A8924">
        <v>8923</v>
      </c>
      <c r="B8924" t="str">
        <v>Công an xã Nhân Hòa  tỉnh Hưng Yên</v>
      </c>
      <c r="C8924" t="str">
        <v>-</v>
      </c>
      <c r="D8924" t="str">
        <v>-</v>
      </c>
      <c r="E8924" t="str">
        <v/>
      </c>
      <c r="F8924" t="str">
        <v>-</v>
      </c>
      <c r="G8924" t="str">
        <v>-</v>
      </c>
    </row>
    <row r="8925">
      <c r="A8925">
        <v>8924</v>
      </c>
      <c r="B8925" t="str">
        <v>UBND Ủy ban nhân dân xã Nhân Hòa  tỉnh Hưng Yên</v>
      </c>
      <c r="C8925" t="str">
        <v>-</v>
      </c>
      <c r="D8925" t="str">
        <v>-</v>
      </c>
      <c r="E8925" t="str">
        <v>-</v>
      </c>
      <c r="F8925" t="str">
        <v>-</v>
      </c>
      <c r="G8925" t="str">
        <v>-</v>
      </c>
    </row>
    <row r="8926">
      <c r="A8926">
        <v>8925</v>
      </c>
      <c r="B8926" t="str">
        <v>Công an xã Dị Sử  tỉnh Hưng Yên</v>
      </c>
      <c r="C8926" t="str">
        <v>-</v>
      </c>
      <c r="D8926" t="str">
        <v>-</v>
      </c>
      <c r="E8926" t="str">
        <v/>
      </c>
      <c r="F8926" t="str">
        <v>-</v>
      </c>
      <c r="G8926" t="str">
        <v>-</v>
      </c>
    </row>
    <row r="8927">
      <c r="A8927">
        <v>8926</v>
      </c>
      <c r="B8927" t="str">
        <v>UBND Ủy ban nhân dân xã Dị Sử  tỉnh Hưng Yên</v>
      </c>
      <c r="C8927" t="str">
        <v>-</v>
      </c>
      <c r="D8927" t="str">
        <v>-</v>
      </c>
      <c r="E8927" t="str">
        <v>-</v>
      </c>
      <c r="F8927" t="str">
        <v>-</v>
      </c>
      <c r="G8927" t="str">
        <v>-</v>
      </c>
    </row>
    <row r="8928">
      <c r="A8928">
        <v>8927</v>
      </c>
      <c r="B8928" t="str">
        <v>Công an xã Bạch Sam  tỉnh Hưng Yên</v>
      </c>
      <c r="C8928" t="str">
        <v>-</v>
      </c>
      <c r="D8928" t="str">
        <v>-</v>
      </c>
      <c r="E8928" t="str">
        <v/>
      </c>
      <c r="F8928" t="str">
        <v>-</v>
      </c>
      <c r="G8928" t="str">
        <v>-</v>
      </c>
    </row>
    <row r="8929">
      <c r="A8929">
        <v>8928</v>
      </c>
      <c r="B8929" t="str">
        <v>UBND Ủy ban nhân dân xã Bạch Sam  tỉnh Hưng Yên</v>
      </c>
      <c r="C8929" t="str">
        <v>-</v>
      </c>
      <c r="D8929" t="str">
        <v>-</v>
      </c>
      <c r="E8929" t="str">
        <v>-</v>
      </c>
      <c r="F8929" t="str">
        <v>-</v>
      </c>
      <c r="G8929" t="str">
        <v>-</v>
      </c>
    </row>
    <row r="8930">
      <c r="A8930">
        <v>8929</v>
      </c>
      <c r="B8930" t="str">
        <v>Công an xã Minh Đức  tỉnh Hưng Yên</v>
      </c>
      <c r="C8930" t="str">
        <v>-</v>
      </c>
      <c r="D8930" t="str">
        <v>-</v>
      </c>
      <c r="E8930" t="str">
        <v/>
      </c>
      <c r="F8930" t="str">
        <v>-</v>
      </c>
      <c r="G8930" t="str">
        <v>-</v>
      </c>
    </row>
    <row r="8931">
      <c r="A8931">
        <v>8930</v>
      </c>
      <c r="B8931" t="str">
        <v>UBND Ủy ban nhân dân xã Minh Đức  tỉnh Hưng Yên</v>
      </c>
      <c r="C8931" t="str">
        <v>-</v>
      </c>
      <c r="D8931" t="str">
        <v>-</v>
      </c>
      <c r="E8931" t="str">
        <v>-</v>
      </c>
      <c r="F8931" t="str">
        <v>-</v>
      </c>
      <c r="G8931" t="str">
        <v>-</v>
      </c>
    </row>
    <row r="8932">
      <c r="A8932">
        <v>8931</v>
      </c>
      <c r="B8932" t="str">
        <v>Công an xã Phùng Chí Kiên  tỉnh Hưng Yên</v>
      </c>
      <c r="C8932" t="str">
        <v>-</v>
      </c>
      <c r="D8932" t="str">
        <v>-</v>
      </c>
      <c r="E8932" t="str">
        <v/>
      </c>
      <c r="F8932" t="str">
        <v>-</v>
      </c>
      <c r="G8932" t="str">
        <v>-</v>
      </c>
    </row>
    <row r="8933">
      <c r="A8933">
        <v>8932</v>
      </c>
      <c r="B8933" t="str">
        <v>UBND Ủy ban nhân dân xã Phùng Chí Kiên  tỉnh Hưng Yên</v>
      </c>
      <c r="C8933" t="str">
        <v>-</v>
      </c>
      <c r="D8933" t="str">
        <v>-</v>
      </c>
      <c r="E8933" t="str">
        <v>-</v>
      </c>
      <c r="F8933" t="str">
        <v>-</v>
      </c>
      <c r="G8933" t="str">
        <v>-</v>
      </c>
    </row>
    <row r="8934">
      <c r="A8934">
        <v>8933</v>
      </c>
      <c r="B8934" t="str">
        <v>Công an xã Xuân Dục  tỉnh Hưng Yên</v>
      </c>
      <c r="C8934" t="str">
        <v>-</v>
      </c>
      <c r="D8934" t="str">
        <v>-</v>
      </c>
      <c r="E8934" t="str">
        <v/>
      </c>
      <c r="F8934" t="str">
        <v>-</v>
      </c>
      <c r="G8934" t="str">
        <v>-</v>
      </c>
    </row>
    <row r="8935">
      <c r="A8935">
        <v>8934</v>
      </c>
      <c r="B8935" t="str">
        <v>UBND Ủy ban nhân dân xã Xuân Dục  tỉnh Hưng Yên</v>
      </c>
      <c r="C8935" t="str">
        <v>-</v>
      </c>
      <c r="D8935" t="str">
        <v>-</v>
      </c>
      <c r="E8935" t="str">
        <v>-</v>
      </c>
      <c r="F8935" t="str">
        <v>-</v>
      </c>
      <c r="G8935" t="str">
        <v>-</v>
      </c>
    </row>
    <row r="8936">
      <c r="A8936">
        <v>8935</v>
      </c>
      <c r="B8936" t="str">
        <v>Công an xã Ngọc Lâm  tỉnh Hưng Yên</v>
      </c>
      <c r="C8936" t="str">
        <v>-</v>
      </c>
      <c r="D8936" t="str">
        <v>-</v>
      </c>
      <c r="E8936" t="str">
        <v/>
      </c>
      <c r="F8936" t="str">
        <v>-</v>
      </c>
      <c r="G8936" t="str">
        <v>-</v>
      </c>
    </row>
    <row r="8937">
      <c r="A8937">
        <v>8936</v>
      </c>
      <c r="B8937" t="str">
        <v>UBND Ủy ban nhân dân xã Ngọc Lâm  tỉnh Hưng Yên</v>
      </c>
      <c r="C8937" t="str">
        <v>-</v>
      </c>
      <c r="D8937" t="str">
        <v>-</v>
      </c>
      <c r="E8937" t="str">
        <v>-</v>
      </c>
      <c r="F8937" t="str">
        <v>-</v>
      </c>
      <c r="G8937" t="str">
        <v>-</v>
      </c>
    </row>
    <row r="8938">
      <c r="A8938">
        <v>8937</v>
      </c>
      <c r="B8938" t="str">
        <v>Công an xã Hưng Long  tỉnh Hưng Yên</v>
      </c>
      <c r="C8938" t="str">
        <v>-</v>
      </c>
      <c r="D8938" t="str">
        <v>-</v>
      </c>
      <c r="E8938" t="str">
        <v/>
      </c>
      <c r="F8938" t="str">
        <v>-</v>
      </c>
      <c r="G8938" t="str">
        <v>-</v>
      </c>
    </row>
    <row r="8939">
      <c r="A8939">
        <v>8938</v>
      </c>
      <c r="B8939" t="str">
        <v>UBND Ủy ban nhân dân xã Hưng Long  tỉnh Hưng Yên</v>
      </c>
      <c r="C8939" t="str">
        <v>-</v>
      </c>
      <c r="D8939" t="str">
        <v>-</v>
      </c>
      <c r="E8939" t="str">
        <v>-</v>
      </c>
      <c r="F8939" t="str">
        <v>-</v>
      </c>
      <c r="G8939" t="str">
        <v>-</v>
      </c>
    </row>
    <row r="8940">
      <c r="A8940">
        <v>8939</v>
      </c>
      <c r="B8940" t="str">
        <v>Công an thị trấn Ân Thi  tỉnh Hưng Yên</v>
      </c>
      <c r="C8940" t="str">
        <v>-</v>
      </c>
      <c r="D8940" t="str">
        <v>-</v>
      </c>
      <c r="E8940" t="str">
        <v/>
      </c>
      <c r="F8940" t="str">
        <v>-</v>
      </c>
      <c r="G8940" t="str">
        <v>-</v>
      </c>
    </row>
    <row r="8941">
      <c r="A8941">
        <v>8940</v>
      </c>
      <c r="B8941" t="str">
        <v>UBND Ủy ban nhân dân thị trấn Ân Thi  tỉnh Hưng Yên</v>
      </c>
      <c r="C8941" t="str">
        <v>-</v>
      </c>
      <c r="D8941" t="str">
        <v>-</v>
      </c>
      <c r="E8941" t="str">
        <v>-</v>
      </c>
      <c r="F8941" t="str">
        <v>-</v>
      </c>
      <c r="G8941" t="str">
        <v>-</v>
      </c>
    </row>
    <row r="8942">
      <c r="A8942">
        <v>8941</v>
      </c>
      <c r="B8942" t="str">
        <v>Công an xã Phù Ủng  tỉnh Hưng Yên</v>
      </c>
      <c r="C8942" t="str">
        <v>-</v>
      </c>
      <c r="D8942" t="str">
        <v>-</v>
      </c>
      <c r="E8942" t="str">
        <v/>
      </c>
      <c r="F8942" t="str">
        <v>-</v>
      </c>
      <c r="G8942" t="str">
        <v>-</v>
      </c>
    </row>
    <row r="8943">
      <c r="A8943">
        <v>8942</v>
      </c>
      <c r="B8943" t="str">
        <v>UBND Ủy ban nhân dân xã Phù Ủng  tỉnh Hưng Yên</v>
      </c>
      <c r="C8943" t="str">
        <v>-</v>
      </c>
      <c r="D8943" t="str">
        <v>-</v>
      </c>
      <c r="E8943" t="str">
        <v>-</v>
      </c>
      <c r="F8943" t="str">
        <v>-</v>
      </c>
      <c r="G8943" t="str">
        <v>-</v>
      </c>
    </row>
    <row r="8944">
      <c r="A8944">
        <v>8943</v>
      </c>
      <c r="B8944" t="str">
        <v>Công an xã Bắc Sơn  tỉnh Hưng Yên</v>
      </c>
      <c r="C8944" t="str">
        <v>-</v>
      </c>
      <c r="D8944" t="str">
        <v>-</v>
      </c>
      <c r="E8944" t="str">
        <v/>
      </c>
      <c r="F8944" t="str">
        <v>-</v>
      </c>
      <c r="G8944" t="str">
        <v>-</v>
      </c>
    </row>
    <row r="8945">
      <c r="A8945">
        <v>8944</v>
      </c>
      <c r="B8945" t="str">
        <v>UBND Ủy ban nhân dân xã Bắc Sơn  tỉnh Hưng Yên</v>
      </c>
      <c r="C8945" t="str">
        <v>-</v>
      </c>
      <c r="D8945" t="str">
        <v>-</v>
      </c>
      <c r="E8945" t="str">
        <v>-</v>
      </c>
      <c r="F8945" t="str">
        <v>-</v>
      </c>
      <c r="G8945" t="str">
        <v>-</v>
      </c>
    </row>
    <row r="8946">
      <c r="A8946">
        <v>8945</v>
      </c>
      <c r="B8946" t="str">
        <v>Công an xã Bãi Sậy  tỉnh Hưng Yên</v>
      </c>
      <c r="C8946" t="str">
        <v>-</v>
      </c>
      <c r="D8946" t="str">
        <v>-</v>
      </c>
      <c r="E8946" t="str">
        <v/>
      </c>
      <c r="F8946" t="str">
        <v>-</v>
      </c>
      <c r="G8946" t="str">
        <v>-</v>
      </c>
    </row>
    <row r="8947">
      <c r="A8947">
        <v>8946</v>
      </c>
      <c r="B8947" t="str">
        <v>UBND Ủy ban nhân dân xã Bãi Sậy  tỉnh Hưng Yên</v>
      </c>
      <c r="C8947" t="str">
        <v>-</v>
      </c>
      <c r="D8947" t="str">
        <v>-</v>
      </c>
      <c r="E8947" t="str">
        <v>-</v>
      </c>
      <c r="F8947" t="str">
        <v>-</v>
      </c>
      <c r="G8947" t="str">
        <v>-</v>
      </c>
    </row>
    <row r="8948">
      <c r="A8948">
        <v>8947</v>
      </c>
      <c r="B8948" t="str">
        <v>Công an xã Đào Dương  tỉnh Hưng Yên</v>
      </c>
      <c r="C8948" t="str">
        <v>-</v>
      </c>
      <c r="D8948" t="str">
        <v>-</v>
      </c>
      <c r="E8948" t="str">
        <v/>
      </c>
      <c r="F8948" t="str">
        <v>-</v>
      </c>
      <c r="G8948" t="str">
        <v>-</v>
      </c>
    </row>
    <row r="8949">
      <c r="A8949">
        <v>8948</v>
      </c>
      <c r="B8949" t="str">
        <v>UBND Ủy ban nhân dân xã Đào Dương  tỉnh Hưng Yên</v>
      </c>
      <c r="C8949" t="str">
        <v>-</v>
      </c>
      <c r="D8949" t="str">
        <v>-</v>
      </c>
      <c r="E8949" t="str">
        <v>-</v>
      </c>
      <c r="F8949" t="str">
        <v>-</v>
      </c>
      <c r="G8949" t="str">
        <v>-</v>
      </c>
    </row>
    <row r="8950">
      <c r="A8950">
        <v>8949</v>
      </c>
      <c r="B8950" t="str">
        <v>Công an xã Tân Phúc  tỉnh Hưng Yên</v>
      </c>
      <c r="C8950" t="str">
        <v>-</v>
      </c>
      <c r="D8950" t="str">
        <v>-</v>
      </c>
      <c r="E8950" t="str">
        <v/>
      </c>
      <c r="F8950" t="str">
        <v>-</v>
      </c>
      <c r="G8950" t="str">
        <v>-</v>
      </c>
    </row>
    <row r="8951">
      <c r="A8951">
        <v>8950</v>
      </c>
      <c r="B8951" t="str">
        <v>UBND Ủy ban nhân dân xã Tân Phúc  tỉnh Hưng Yên</v>
      </c>
      <c r="C8951" t="str">
        <v>-</v>
      </c>
      <c r="D8951" t="str">
        <v>-</v>
      </c>
      <c r="E8951" t="str">
        <v>-</v>
      </c>
      <c r="F8951" t="str">
        <v>-</v>
      </c>
      <c r="G8951" t="str">
        <v>-</v>
      </c>
    </row>
    <row r="8952">
      <c r="A8952">
        <v>8951</v>
      </c>
      <c r="B8952" t="str">
        <v>Công an xã Vân Du  tỉnh Hưng Yên</v>
      </c>
      <c r="C8952" t="str">
        <v>-</v>
      </c>
      <c r="D8952" t="str">
        <v>-</v>
      </c>
      <c r="E8952" t="str">
        <v/>
      </c>
      <c r="F8952" t="str">
        <v>-</v>
      </c>
      <c r="G8952" t="str">
        <v>-</v>
      </c>
    </row>
    <row r="8953">
      <c r="A8953">
        <v>8952</v>
      </c>
      <c r="B8953" t="str">
        <v>UBND Ủy ban nhân dân xã Vân Du  tỉnh Hưng Yên</v>
      </c>
      <c r="C8953" t="str">
        <v>-</v>
      </c>
      <c r="D8953" t="str">
        <v>-</v>
      </c>
      <c r="E8953" t="str">
        <v>-</v>
      </c>
      <c r="F8953" t="str">
        <v>-</v>
      </c>
      <c r="G8953" t="str">
        <v>-</v>
      </c>
    </row>
    <row r="8954">
      <c r="A8954">
        <v>8953</v>
      </c>
      <c r="B8954" t="str">
        <v>Công an xã Quang Vinh  tỉnh Hưng Yên</v>
      </c>
      <c r="C8954" t="str">
        <v>-</v>
      </c>
      <c r="D8954" t="str">
        <v>-</v>
      </c>
      <c r="E8954" t="str">
        <v/>
      </c>
      <c r="F8954" t="str">
        <v>-</v>
      </c>
      <c r="G8954" t="str">
        <v>-</v>
      </c>
    </row>
    <row r="8955">
      <c r="A8955">
        <v>8954</v>
      </c>
      <c r="B8955" t="str">
        <v>UBND Ủy ban nhân dân xã Quang Vinh  tỉnh Hưng Yên</v>
      </c>
      <c r="C8955" t="str">
        <v>-</v>
      </c>
      <c r="D8955" t="str">
        <v>-</v>
      </c>
      <c r="E8955" t="str">
        <v>-</v>
      </c>
      <c r="F8955" t="str">
        <v>-</v>
      </c>
      <c r="G8955" t="str">
        <v>-</v>
      </c>
    </row>
    <row r="8956">
      <c r="A8956">
        <v>8955</v>
      </c>
      <c r="B8956" t="str">
        <v>Công an xã Xuân Trúc  tỉnh Hưng Yên</v>
      </c>
      <c r="C8956" t="str">
        <v>-</v>
      </c>
      <c r="D8956" t="str">
        <v>-</v>
      </c>
      <c r="E8956" t="str">
        <v/>
      </c>
      <c r="F8956" t="str">
        <v>-</v>
      </c>
      <c r="G8956" t="str">
        <v>-</v>
      </c>
    </row>
    <row r="8957">
      <c r="A8957">
        <v>8956</v>
      </c>
      <c r="B8957" t="str">
        <v>UBND Ủy ban nhân dân xã Xuân Trúc  tỉnh Hưng Yên</v>
      </c>
      <c r="C8957" t="str">
        <v>-</v>
      </c>
      <c r="D8957" t="str">
        <v>-</v>
      </c>
      <c r="E8957" t="str">
        <v>-</v>
      </c>
      <c r="F8957" t="str">
        <v>-</v>
      </c>
      <c r="G8957" t="str">
        <v>-</v>
      </c>
    </row>
    <row r="8958">
      <c r="A8958">
        <v>8957</v>
      </c>
      <c r="B8958" t="str">
        <v>Công an xã Hoàng Hoa Thám  tỉnh Hưng Yên</v>
      </c>
      <c r="C8958" t="str">
        <v>-</v>
      </c>
      <c r="D8958" t="str">
        <v>-</v>
      </c>
      <c r="E8958" t="str">
        <v/>
      </c>
      <c r="F8958" t="str">
        <v>-</v>
      </c>
      <c r="G8958" t="str">
        <v>-</v>
      </c>
    </row>
    <row r="8959">
      <c r="A8959">
        <v>8958</v>
      </c>
      <c r="B8959" t="str">
        <v>UBND Ủy ban nhân dân xã Hoàng Hoa Thám  tỉnh Hưng Yên</v>
      </c>
      <c r="C8959" t="str">
        <v>-</v>
      </c>
      <c r="D8959" t="str">
        <v>-</v>
      </c>
      <c r="E8959" t="str">
        <v>-</v>
      </c>
      <c r="F8959" t="str">
        <v>-</v>
      </c>
      <c r="G8959" t="str">
        <v>-</v>
      </c>
    </row>
    <row r="8960">
      <c r="A8960">
        <v>8959</v>
      </c>
      <c r="B8960" t="str">
        <v>Công an xã Quảng Lãng  tỉnh Hưng Yên</v>
      </c>
      <c r="C8960" t="str">
        <v>-</v>
      </c>
      <c r="D8960" t="str">
        <v>-</v>
      </c>
      <c r="E8960" t="str">
        <v/>
      </c>
      <c r="F8960" t="str">
        <v>-</v>
      </c>
      <c r="G8960" t="str">
        <v>-</v>
      </c>
    </row>
    <row r="8961">
      <c r="A8961">
        <v>8960</v>
      </c>
      <c r="B8961" t="str">
        <v>UBND Ủy ban nhân dân xã Quảng Lãng  tỉnh Hưng Yên</v>
      </c>
      <c r="C8961" t="str">
        <v>-</v>
      </c>
      <c r="D8961" t="str">
        <v>-</v>
      </c>
      <c r="E8961" t="str">
        <v>-</v>
      </c>
      <c r="F8961" t="str">
        <v>-</v>
      </c>
      <c r="G8961" t="str">
        <v>-</v>
      </c>
    </row>
    <row r="8962">
      <c r="A8962">
        <v>8961</v>
      </c>
      <c r="B8962" t="str">
        <v>Công an xã Văn Nhuệ  tỉnh Hưng Yên</v>
      </c>
      <c r="C8962" t="str">
        <v>-</v>
      </c>
      <c r="D8962" t="str">
        <v>-</v>
      </c>
      <c r="E8962" t="str">
        <v/>
      </c>
      <c r="F8962" t="str">
        <v>-</v>
      </c>
      <c r="G8962" t="str">
        <v>-</v>
      </c>
    </row>
    <row r="8963">
      <c r="A8963">
        <v>8962</v>
      </c>
      <c r="B8963" t="str">
        <v>UBND Ủy ban nhân dân xã Văn Nhuệ  tỉnh Hưng Yên</v>
      </c>
      <c r="C8963" t="str">
        <v>-</v>
      </c>
      <c r="D8963" t="str">
        <v>-</v>
      </c>
      <c r="E8963" t="str">
        <v>-</v>
      </c>
      <c r="F8963" t="str">
        <v>-</v>
      </c>
      <c r="G8963" t="str">
        <v>-</v>
      </c>
    </row>
    <row r="8964">
      <c r="A8964">
        <v>8963</v>
      </c>
      <c r="B8964" t="str">
        <v>Công an xã Đặng Lễ  tỉnh Hưng Yên</v>
      </c>
      <c r="C8964" t="str">
        <v>-</v>
      </c>
      <c r="D8964" t="str">
        <v>-</v>
      </c>
      <c r="E8964" t="str">
        <v/>
      </c>
      <c r="F8964" t="str">
        <v>-</v>
      </c>
      <c r="G8964" t="str">
        <v>-</v>
      </c>
    </row>
    <row r="8965">
      <c r="A8965">
        <v>8964</v>
      </c>
      <c r="B8965" t="str">
        <v>UBND Ủy ban nhân dân xã Đặng Lễ  tỉnh Hưng Yên</v>
      </c>
      <c r="C8965" t="str">
        <v>-</v>
      </c>
      <c r="D8965" t="str">
        <v>-</v>
      </c>
      <c r="E8965" t="str">
        <v>-</v>
      </c>
      <c r="F8965" t="str">
        <v>-</v>
      </c>
      <c r="G8965" t="str">
        <v>-</v>
      </c>
    </row>
    <row r="8966">
      <c r="A8966">
        <v>8965</v>
      </c>
      <c r="B8966" t="str">
        <v>Công an xã Cẩm Ninh  tỉnh Hưng Yên</v>
      </c>
      <c r="C8966" t="str">
        <v>-</v>
      </c>
      <c r="D8966" t="str">
        <v>-</v>
      </c>
      <c r="E8966" t="str">
        <v/>
      </c>
      <c r="F8966" t="str">
        <v>-</v>
      </c>
      <c r="G8966" t="str">
        <v>-</v>
      </c>
    </row>
    <row r="8967">
      <c r="A8967">
        <v>8966</v>
      </c>
      <c r="B8967" t="str">
        <v>UBND Ủy ban nhân dân xã Cẩm Ninh  tỉnh Hưng Yên</v>
      </c>
      <c r="C8967" t="str">
        <v>-</v>
      </c>
      <c r="D8967" t="str">
        <v>-</v>
      </c>
      <c r="E8967" t="str">
        <v>-</v>
      </c>
      <c r="F8967" t="str">
        <v>-</v>
      </c>
      <c r="G8967" t="str">
        <v>-</v>
      </c>
    </row>
    <row r="8968">
      <c r="A8968">
        <v>8967</v>
      </c>
      <c r="B8968" t="str">
        <v>Công an xã Nguyễn Trãi  tỉnh Hưng Yên</v>
      </c>
      <c r="C8968" t="str">
        <v>-</v>
      </c>
      <c r="D8968" t="str">
        <v>-</v>
      </c>
      <c r="E8968" t="str">
        <v/>
      </c>
      <c r="F8968" t="str">
        <v>-</v>
      </c>
      <c r="G8968" t="str">
        <v>-</v>
      </c>
    </row>
    <row r="8969">
      <c r="A8969">
        <v>8968</v>
      </c>
      <c r="B8969" t="str">
        <v>UBND Ủy ban nhân dân xã Nguyễn Trãi  tỉnh Hưng Yên</v>
      </c>
      <c r="C8969" t="str">
        <v>-</v>
      </c>
      <c r="D8969" t="str">
        <v>-</v>
      </c>
      <c r="E8969" t="str">
        <v>-</v>
      </c>
      <c r="F8969" t="str">
        <v>-</v>
      </c>
      <c r="G8969" t="str">
        <v>-</v>
      </c>
    </row>
    <row r="8970">
      <c r="A8970">
        <v>8969</v>
      </c>
      <c r="B8970" t="str">
        <v>Công an xã Đa Lộc  tỉnh Hưng Yên</v>
      </c>
      <c r="C8970" t="str">
        <v>-</v>
      </c>
      <c r="D8970" t="str">
        <v>-</v>
      </c>
      <c r="E8970" t="str">
        <v/>
      </c>
      <c r="F8970" t="str">
        <v>-</v>
      </c>
      <c r="G8970" t="str">
        <v>-</v>
      </c>
    </row>
    <row r="8971">
      <c r="A8971">
        <v>8970</v>
      </c>
      <c r="B8971" t="str">
        <v>UBND Ủy ban nhân dân xã Đa Lộc  tỉnh Hưng Yên</v>
      </c>
      <c r="C8971" t="str">
        <v>-</v>
      </c>
      <c r="D8971" t="str">
        <v>-</v>
      </c>
      <c r="E8971" t="str">
        <v>-</v>
      </c>
      <c r="F8971" t="str">
        <v>-</v>
      </c>
      <c r="G8971" t="str">
        <v>-</v>
      </c>
    </row>
    <row r="8972">
      <c r="A8972">
        <v>8971</v>
      </c>
      <c r="B8972" t="str">
        <v>Công an xã Hồ Tùng Mậu  tỉnh Hưng Yên</v>
      </c>
      <c r="C8972" t="str">
        <v>-</v>
      </c>
      <c r="D8972" t="str">
        <v>-</v>
      </c>
      <c r="E8972" t="str">
        <v/>
      </c>
      <c r="F8972" t="str">
        <v>-</v>
      </c>
      <c r="G8972" t="str">
        <v>-</v>
      </c>
    </row>
    <row r="8973">
      <c r="A8973">
        <v>8972</v>
      </c>
      <c r="B8973" t="str">
        <v>UBND Ủy ban nhân dân xã Hồ Tùng Mậu  tỉnh Hưng Yên</v>
      </c>
      <c r="C8973" t="str">
        <v>-</v>
      </c>
      <c r="D8973" t="str">
        <v>-</v>
      </c>
      <c r="E8973" t="str">
        <v>-</v>
      </c>
      <c r="F8973" t="str">
        <v>-</v>
      </c>
      <c r="G8973" t="str">
        <v>-</v>
      </c>
    </row>
    <row r="8974">
      <c r="A8974">
        <v>8973</v>
      </c>
      <c r="B8974" t="str">
        <v>Công an xã Tiền Phong  tỉnh Hưng Yên</v>
      </c>
      <c r="C8974" t="str">
        <v>-</v>
      </c>
      <c r="D8974" t="str">
        <v>-</v>
      </c>
      <c r="E8974" t="str">
        <v/>
      </c>
      <c r="F8974" t="str">
        <v>-</v>
      </c>
      <c r="G8974" t="str">
        <v>-</v>
      </c>
    </row>
    <row r="8975">
      <c r="A8975">
        <v>8974</v>
      </c>
      <c r="B8975" t="str">
        <v>UBND Ủy ban nhân dân xã Tiền Phong  tỉnh Hưng Yên</v>
      </c>
      <c r="C8975" t="str">
        <v>-</v>
      </c>
      <c r="D8975" t="str">
        <v>-</v>
      </c>
      <c r="E8975" t="str">
        <v>-</v>
      </c>
      <c r="F8975" t="str">
        <v>-</v>
      </c>
      <c r="G8975" t="str">
        <v>-</v>
      </c>
    </row>
    <row r="8976">
      <c r="A8976">
        <v>8975</v>
      </c>
      <c r="B8976" t="str">
        <v>Công an xã Hồng Vân  tỉnh Hưng Yên</v>
      </c>
      <c r="C8976" t="str">
        <v>-</v>
      </c>
      <c r="D8976" t="str">
        <v>-</v>
      </c>
      <c r="E8976" t="str">
        <v/>
      </c>
      <c r="F8976" t="str">
        <v>-</v>
      </c>
      <c r="G8976" t="str">
        <v>-</v>
      </c>
    </row>
    <row r="8977">
      <c r="A8977">
        <v>8976</v>
      </c>
      <c r="B8977" t="str">
        <v>UBND Ủy ban nhân dân xã Hồng Vân  tỉnh Hưng Yên</v>
      </c>
      <c r="C8977" t="str">
        <v>-</v>
      </c>
      <c r="D8977" t="str">
        <v>-</v>
      </c>
      <c r="E8977" t="str">
        <v>-</v>
      </c>
      <c r="F8977" t="str">
        <v>-</v>
      </c>
      <c r="G8977" t="str">
        <v>-</v>
      </c>
    </row>
    <row r="8978">
      <c r="A8978">
        <v>8977</v>
      </c>
      <c r="B8978" t="str">
        <v>Công an xã Hồng Quang  tỉnh Hưng Yên</v>
      </c>
      <c r="C8978" t="str">
        <v>-</v>
      </c>
      <c r="D8978" t="str">
        <v>-</v>
      </c>
      <c r="E8978" t="str">
        <v/>
      </c>
      <c r="F8978" t="str">
        <v>-</v>
      </c>
      <c r="G8978" t="str">
        <v>-</v>
      </c>
    </row>
    <row r="8979">
      <c r="A8979">
        <v>8978</v>
      </c>
      <c r="B8979" t="str">
        <v>UBND Ủy ban nhân dân xã Hồng Quang  tỉnh Hưng Yên</v>
      </c>
      <c r="C8979" t="str">
        <v>-</v>
      </c>
      <c r="D8979" t="str">
        <v>-</v>
      </c>
      <c r="E8979" t="str">
        <v>-</v>
      </c>
      <c r="F8979" t="str">
        <v>-</v>
      </c>
      <c r="G8979" t="str">
        <v>-</v>
      </c>
    </row>
    <row r="8980">
      <c r="A8980">
        <v>8979</v>
      </c>
      <c r="B8980" t="str">
        <v>Công an xã Hạ Lễ  tỉnh Hưng Yên</v>
      </c>
      <c r="C8980" t="str">
        <v>-</v>
      </c>
      <c r="D8980" t="str">
        <v>-</v>
      </c>
      <c r="E8980" t="str">
        <v/>
      </c>
      <c r="F8980" t="str">
        <v>-</v>
      </c>
      <c r="G8980" t="str">
        <v>-</v>
      </c>
    </row>
    <row r="8981">
      <c r="A8981">
        <v>8980</v>
      </c>
      <c r="B8981" t="str">
        <v>UBND Ủy ban nhân dân xã Hạ Lễ  tỉnh Hưng Yên</v>
      </c>
      <c r="C8981" t="str">
        <v>-</v>
      </c>
      <c r="D8981" t="str">
        <v>-</v>
      </c>
      <c r="E8981" t="str">
        <v>-</v>
      </c>
      <c r="F8981" t="str">
        <v>-</v>
      </c>
      <c r="G8981" t="str">
        <v>-</v>
      </c>
    </row>
    <row r="8982">
      <c r="A8982">
        <v>8981</v>
      </c>
      <c r="B8982" t="str">
        <v>Công an thị trấn Khoái Châu  tỉnh Hưng Yên</v>
      </c>
      <c r="C8982" t="str">
        <v>-</v>
      </c>
      <c r="D8982" t="str">
        <v>-</v>
      </c>
      <c r="E8982" t="str">
        <v/>
      </c>
      <c r="F8982" t="str">
        <v>-</v>
      </c>
      <c r="G8982" t="str">
        <v>-</v>
      </c>
    </row>
    <row r="8983">
      <c r="A8983">
        <v>8982</v>
      </c>
      <c r="B8983" t="str">
        <v>UBND Ủy ban nhân dân thị trấn Khoái Châu  tỉnh Hưng Yên</v>
      </c>
      <c r="C8983" t="str">
        <v>-</v>
      </c>
      <c r="D8983" t="str">
        <v>-</v>
      </c>
      <c r="E8983" t="str">
        <v>-</v>
      </c>
      <c r="F8983" t="str">
        <v>-</v>
      </c>
      <c r="G8983" t="str">
        <v>-</v>
      </c>
    </row>
    <row r="8984">
      <c r="A8984">
        <v>8983</v>
      </c>
      <c r="B8984" t="str">
        <v>Công an xã Đông Tảo  tỉnh Hưng Yên</v>
      </c>
      <c r="C8984" t="str">
        <v>-</v>
      </c>
      <c r="D8984" t="str">
        <v>-</v>
      </c>
      <c r="E8984" t="str">
        <v/>
      </c>
      <c r="F8984" t="str">
        <v>-</v>
      </c>
      <c r="G8984" t="str">
        <v>-</v>
      </c>
    </row>
    <row r="8985">
      <c r="A8985">
        <v>8984</v>
      </c>
      <c r="B8985" t="str">
        <v>UBND Ủy ban nhân dân xã Đông Tảo  tỉnh Hưng Yên</v>
      </c>
      <c r="C8985" t="str">
        <v>-</v>
      </c>
      <c r="D8985" t="str">
        <v>-</v>
      </c>
      <c r="E8985" t="str">
        <v>-</v>
      </c>
      <c r="F8985" t="str">
        <v>-</v>
      </c>
      <c r="G8985" t="str">
        <v>-</v>
      </c>
    </row>
    <row r="8986">
      <c r="A8986">
        <v>8985</v>
      </c>
      <c r="B8986" t="str">
        <v>Công an xã Bình Minh  tỉnh Hưng Yên</v>
      </c>
      <c r="C8986" t="str">
        <v>-</v>
      </c>
      <c r="D8986" t="str">
        <v>-</v>
      </c>
      <c r="E8986" t="str">
        <v/>
      </c>
      <c r="F8986" t="str">
        <v>-</v>
      </c>
      <c r="G8986" t="str">
        <v>-</v>
      </c>
    </row>
    <row r="8987">
      <c r="A8987">
        <v>8986</v>
      </c>
      <c r="B8987" t="str">
        <v>UBND Ủy ban nhân dân xã Bình Minh  tỉnh Hưng Yên</v>
      </c>
      <c r="C8987" t="str">
        <v>-</v>
      </c>
      <c r="D8987" t="str">
        <v>-</v>
      </c>
      <c r="E8987" t="str">
        <v>-</v>
      </c>
      <c r="F8987" t="str">
        <v>-</v>
      </c>
      <c r="G8987" t="str">
        <v>-</v>
      </c>
    </row>
    <row r="8988">
      <c r="A8988">
        <v>8987</v>
      </c>
      <c r="B8988" t="str">
        <v>Công an xã Dạ Trạch  tỉnh Hưng Yên</v>
      </c>
      <c r="C8988" t="str">
        <v>-</v>
      </c>
      <c r="D8988" t="str">
        <v>-</v>
      </c>
      <c r="E8988" t="str">
        <v/>
      </c>
      <c r="F8988" t="str">
        <v>-</v>
      </c>
      <c r="G8988" t="str">
        <v>-</v>
      </c>
    </row>
    <row r="8989">
      <c r="A8989">
        <v>8988</v>
      </c>
      <c r="B8989" t="str">
        <v>UBND Ủy ban nhân dân xã Dạ Trạch  tỉnh Hưng Yên</v>
      </c>
      <c r="C8989" t="str">
        <v>-</v>
      </c>
      <c r="D8989" t="str">
        <v>-</v>
      </c>
      <c r="E8989" t="str">
        <v>-</v>
      </c>
      <c r="F8989" t="str">
        <v>-</v>
      </c>
      <c r="G8989" t="str">
        <v>-</v>
      </c>
    </row>
    <row r="8990">
      <c r="A8990">
        <v>8989</v>
      </c>
      <c r="B8990" t="str">
        <v>Công an xã Hàm Tử  tỉnh Hưng Yên</v>
      </c>
      <c r="C8990" t="str">
        <v>-</v>
      </c>
      <c r="D8990" t="str">
        <v>-</v>
      </c>
      <c r="E8990" t="str">
        <v/>
      </c>
      <c r="F8990" t="str">
        <v>-</v>
      </c>
      <c r="G8990" t="str">
        <v>-</v>
      </c>
    </row>
    <row r="8991">
      <c r="A8991">
        <v>8990</v>
      </c>
      <c r="B8991" t="str">
        <v>UBND Ủy ban nhân dân xã Hàm Tử  tỉnh Hưng Yên</v>
      </c>
      <c r="C8991" t="str">
        <v>-</v>
      </c>
      <c r="D8991" t="str">
        <v>-</v>
      </c>
      <c r="E8991" t="str">
        <v>-</v>
      </c>
      <c r="F8991" t="str">
        <v>-</v>
      </c>
      <c r="G8991" t="str">
        <v>-</v>
      </c>
    </row>
    <row r="8992">
      <c r="A8992">
        <v>8991</v>
      </c>
      <c r="B8992" t="str">
        <v>Công an xã Ông Đình  tỉnh Hưng Yên</v>
      </c>
      <c r="C8992" t="str">
        <v>-</v>
      </c>
      <c r="D8992" t="str">
        <v>-</v>
      </c>
      <c r="E8992" t="str">
        <v/>
      </c>
      <c r="F8992" t="str">
        <v>-</v>
      </c>
      <c r="G8992" t="str">
        <v>-</v>
      </c>
    </row>
    <row r="8993">
      <c r="A8993">
        <v>8992</v>
      </c>
      <c r="B8993" t="str">
        <v>UBND Ủy ban nhân dân xã Ông Đình  tỉnh Hưng Yên</v>
      </c>
      <c r="C8993" t="str">
        <v>-</v>
      </c>
      <c r="D8993" t="str">
        <v>-</v>
      </c>
      <c r="E8993" t="str">
        <v>-</v>
      </c>
      <c r="F8993" t="str">
        <v>-</v>
      </c>
      <c r="G8993" t="str">
        <v>-</v>
      </c>
    </row>
    <row r="8994">
      <c r="A8994">
        <v>8993</v>
      </c>
      <c r="B8994" t="str">
        <v>Công an xã Tân Dân  tỉnh Hưng Yên</v>
      </c>
      <c r="C8994" t="str">
        <v>-</v>
      </c>
      <c r="D8994" t="str">
        <v>-</v>
      </c>
      <c r="E8994" t="str">
        <v/>
      </c>
      <c r="F8994" t="str">
        <v>-</v>
      </c>
      <c r="G8994" t="str">
        <v>-</v>
      </c>
    </row>
    <row r="8995">
      <c r="A8995">
        <v>8994</v>
      </c>
      <c r="B8995" t="str">
        <v>UBND Ủy ban nhân dân xã Tân Dân  tỉnh Hưng Yên</v>
      </c>
      <c r="C8995" t="str">
        <v>-</v>
      </c>
      <c r="D8995" t="str">
        <v>-</v>
      </c>
      <c r="E8995" t="str">
        <v>-</v>
      </c>
      <c r="F8995" t="str">
        <v>-</v>
      </c>
      <c r="G8995" t="str">
        <v>-</v>
      </c>
    </row>
    <row r="8996">
      <c r="A8996">
        <v>8995</v>
      </c>
      <c r="B8996" t="str">
        <v>Công an xã Tứ Dân  tỉnh Hưng Yên</v>
      </c>
      <c r="C8996" t="str">
        <v>-</v>
      </c>
      <c r="D8996" t="str">
        <v>-</v>
      </c>
      <c r="E8996" t="str">
        <v/>
      </c>
      <c r="F8996" t="str">
        <v>-</v>
      </c>
      <c r="G8996" t="str">
        <v>-</v>
      </c>
    </row>
    <row r="8997">
      <c r="A8997">
        <v>8996</v>
      </c>
      <c r="B8997" t="str">
        <v>UBND Ủy ban nhân dân xã Tứ Dân  tỉnh Hưng Yên</v>
      </c>
      <c r="C8997" t="str">
        <v>-</v>
      </c>
      <c r="D8997" t="str">
        <v>-</v>
      </c>
      <c r="E8997" t="str">
        <v>-</v>
      </c>
      <c r="F8997" t="str">
        <v>-</v>
      </c>
      <c r="G8997" t="str">
        <v>-</v>
      </c>
    </row>
    <row r="8998">
      <c r="A8998">
        <v>8997</v>
      </c>
      <c r="B8998" t="str">
        <v>Công an xã An Vĩ  tỉnh Hưng Yên</v>
      </c>
      <c r="C8998" t="str">
        <v>-</v>
      </c>
      <c r="D8998" t="str">
        <v>-</v>
      </c>
      <c r="E8998" t="str">
        <v/>
      </c>
      <c r="F8998" t="str">
        <v>-</v>
      </c>
      <c r="G8998" t="str">
        <v>-</v>
      </c>
    </row>
    <row r="8999">
      <c r="A8999">
        <v>8998</v>
      </c>
      <c r="B8999" t="str">
        <v>UBND Ủy ban nhân dân xã An Vĩ  tỉnh Hưng Yên</v>
      </c>
      <c r="C8999" t="str">
        <v>-</v>
      </c>
      <c r="D8999" t="str">
        <v>-</v>
      </c>
      <c r="E8999" t="str">
        <v>-</v>
      </c>
      <c r="F8999" t="str">
        <v>-</v>
      </c>
      <c r="G8999" t="str">
        <v>-</v>
      </c>
    </row>
    <row r="9000">
      <c r="A9000">
        <v>8999</v>
      </c>
      <c r="B9000" t="str">
        <v>Công an xã Đông Kết  tỉnh Hưng Yên</v>
      </c>
      <c r="C9000" t="str">
        <v>-</v>
      </c>
      <c r="D9000" t="str">
        <v>-</v>
      </c>
      <c r="E9000" t="str">
        <v/>
      </c>
      <c r="F9000" t="str">
        <v>-</v>
      </c>
      <c r="G9000" t="str">
        <v>-</v>
      </c>
    </row>
    <row r="9001">
      <c r="A9001">
        <v>9000</v>
      </c>
      <c r="B9001" t="str">
        <v>UBND Ủy ban nhân dân xã Đông Kết  tỉnh Hưng Yên</v>
      </c>
      <c r="C9001" t="str">
        <v>-</v>
      </c>
      <c r="D9001" t="str">
        <v>-</v>
      </c>
      <c r="E9001" t="str">
        <v>-</v>
      </c>
      <c r="F9001" t="str">
        <v>-</v>
      </c>
      <c r="G9001" t="str">
        <v>-</v>
      </c>
    </row>
    <row r="9002">
      <c r="A9002">
        <v>9001</v>
      </c>
      <c r="B9002" t="str">
        <v>Công an xã Bình Kiều  tỉnh Hưng Yên</v>
      </c>
      <c r="C9002" t="str">
        <v>-</v>
      </c>
      <c r="D9002" t="str">
        <v>-</v>
      </c>
      <c r="E9002" t="str">
        <v/>
      </c>
      <c r="F9002" t="str">
        <v>-</v>
      </c>
      <c r="G9002" t="str">
        <v>-</v>
      </c>
    </row>
    <row r="9003">
      <c r="A9003">
        <v>9002</v>
      </c>
      <c r="B9003" t="str">
        <v>UBND Ủy ban nhân dân xã Bình Kiều  tỉnh Hưng Yên</v>
      </c>
      <c r="C9003" t="str">
        <v>-</v>
      </c>
      <c r="D9003" t="str">
        <v>-</v>
      </c>
      <c r="E9003" t="str">
        <v>-</v>
      </c>
      <c r="F9003" t="str">
        <v>-</v>
      </c>
      <c r="G9003" t="str">
        <v>-</v>
      </c>
    </row>
    <row r="9004">
      <c r="A9004">
        <v>9003</v>
      </c>
      <c r="B9004" t="str">
        <v>Công an xã Dân Tiến  tỉnh Hưng Yên</v>
      </c>
      <c r="C9004" t="str">
        <v>-</v>
      </c>
      <c r="D9004" t="str">
        <v>-</v>
      </c>
      <c r="E9004" t="str">
        <v/>
      </c>
      <c r="F9004" t="str">
        <v>-</v>
      </c>
      <c r="G9004" t="str">
        <v>-</v>
      </c>
    </row>
    <row r="9005">
      <c r="A9005">
        <v>9004</v>
      </c>
      <c r="B9005" t="str">
        <v>UBND Ủy ban nhân dân xã Dân Tiến  tỉnh Hưng Yên</v>
      </c>
      <c r="C9005" t="str">
        <v>-</v>
      </c>
      <c r="D9005" t="str">
        <v>-</v>
      </c>
      <c r="E9005" t="str">
        <v>-</v>
      </c>
      <c r="F9005" t="str">
        <v>-</v>
      </c>
      <c r="G9005" t="str">
        <v>-</v>
      </c>
    </row>
    <row r="9006">
      <c r="A9006">
        <v>9005</v>
      </c>
      <c r="B9006" t="str">
        <v>Công an xã Đồng Tiến  tỉnh Hưng Yên</v>
      </c>
      <c r="C9006" t="str">
        <v>-</v>
      </c>
      <c r="D9006" t="str">
        <v>-</v>
      </c>
      <c r="E9006" t="str">
        <v/>
      </c>
      <c r="F9006" t="str">
        <v>-</v>
      </c>
      <c r="G9006" t="str">
        <v>-</v>
      </c>
    </row>
    <row r="9007">
      <c r="A9007">
        <v>9006</v>
      </c>
      <c r="B9007" t="str">
        <v>UBND Ủy ban nhân dân xã Đồng Tiến  tỉnh Hưng Yên</v>
      </c>
      <c r="C9007" t="str">
        <v>-</v>
      </c>
      <c r="D9007" t="str">
        <v>-</v>
      </c>
      <c r="E9007" t="str">
        <v>-</v>
      </c>
      <c r="F9007" t="str">
        <v>-</v>
      </c>
      <c r="G9007" t="str">
        <v>-</v>
      </c>
    </row>
    <row r="9008">
      <c r="A9008">
        <v>9007</v>
      </c>
      <c r="B9008" t="str">
        <v>Công an xã Hồng Tiến  tỉnh Hưng Yên</v>
      </c>
      <c r="C9008" t="str">
        <v>-</v>
      </c>
      <c r="D9008" t="str">
        <v>-</v>
      </c>
      <c r="E9008" t="str">
        <v/>
      </c>
      <c r="F9008" t="str">
        <v>-</v>
      </c>
      <c r="G9008" t="str">
        <v>-</v>
      </c>
    </row>
    <row r="9009">
      <c r="A9009">
        <v>9008</v>
      </c>
      <c r="B9009" t="str">
        <v>UBND Ủy ban nhân dân xã Hồng Tiến  tỉnh Hưng Yên</v>
      </c>
      <c r="C9009" t="str">
        <v>-</v>
      </c>
      <c r="D9009" t="str">
        <v>-</v>
      </c>
      <c r="E9009" t="str">
        <v>-</v>
      </c>
      <c r="F9009" t="str">
        <v>-</v>
      </c>
      <c r="G9009" t="str">
        <v>-</v>
      </c>
    </row>
    <row r="9010">
      <c r="A9010">
        <v>9009</v>
      </c>
      <c r="B9010" t="str">
        <v>Công an xã Tân Châu  tỉnh Hưng Yên</v>
      </c>
      <c r="C9010" t="str">
        <v>-</v>
      </c>
      <c r="D9010" t="str">
        <v>-</v>
      </c>
      <c r="E9010" t="str">
        <v/>
      </c>
      <c r="F9010" t="str">
        <v>-</v>
      </c>
      <c r="G9010" t="str">
        <v>-</v>
      </c>
    </row>
    <row r="9011">
      <c r="A9011">
        <v>9010</v>
      </c>
      <c r="B9011" t="str">
        <v>UBND Ủy ban nhân dân xã Tân Châu  tỉnh Hưng Yên</v>
      </c>
      <c r="C9011" t="str">
        <v>-</v>
      </c>
      <c r="D9011" t="str">
        <v>-</v>
      </c>
      <c r="E9011" t="str">
        <v>-</v>
      </c>
      <c r="F9011" t="str">
        <v>-</v>
      </c>
      <c r="G9011" t="str">
        <v>-</v>
      </c>
    </row>
    <row r="9012">
      <c r="A9012">
        <v>9011</v>
      </c>
      <c r="B9012" t="str">
        <v>Công an xã Liên Khê  tỉnh Hưng Yên</v>
      </c>
      <c r="C9012" t="str">
        <v>-</v>
      </c>
      <c r="D9012" t="str">
        <v>-</v>
      </c>
      <c r="E9012" t="str">
        <v/>
      </c>
      <c r="F9012" t="str">
        <v>-</v>
      </c>
      <c r="G9012" t="str">
        <v>-</v>
      </c>
    </row>
    <row r="9013">
      <c r="A9013">
        <v>9012</v>
      </c>
      <c r="B9013" t="str">
        <v>UBND Ủy ban nhân dân xã Liên Khê  tỉnh Hưng Yên</v>
      </c>
      <c r="C9013" t="str">
        <v>-</v>
      </c>
      <c r="D9013" t="str">
        <v>-</v>
      </c>
      <c r="E9013" t="str">
        <v>-</v>
      </c>
      <c r="F9013" t="str">
        <v>-</v>
      </c>
      <c r="G9013" t="str">
        <v>-</v>
      </c>
    </row>
    <row r="9014">
      <c r="A9014">
        <v>9013</v>
      </c>
      <c r="B9014" t="str">
        <v>Công an xã Phùng Hưng  tỉnh Hưng Yên</v>
      </c>
      <c r="C9014" t="str">
        <v>-</v>
      </c>
      <c r="D9014" t="str">
        <v>-</v>
      </c>
      <c r="E9014" t="str">
        <v/>
      </c>
      <c r="F9014" t="str">
        <v>-</v>
      </c>
      <c r="G9014" t="str">
        <v>-</v>
      </c>
    </row>
    <row r="9015">
      <c r="A9015">
        <v>9014</v>
      </c>
      <c r="B9015" t="str">
        <v>UBND Ủy ban nhân dân xã Phùng Hưng  tỉnh Hưng Yên</v>
      </c>
      <c r="C9015" t="str">
        <v>-</v>
      </c>
      <c r="D9015" t="str">
        <v>-</v>
      </c>
      <c r="E9015" t="str">
        <v>-</v>
      </c>
      <c r="F9015" t="str">
        <v>-</v>
      </c>
      <c r="G9015" t="str">
        <v>-</v>
      </c>
    </row>
    <row r="9016">
      <c r="A9016">
        <v>9015</v>
      </c>
      <c r="B9016" t="str">
        <v>Công an xã Việt Hòa  tỉnh Hưng Yên</v>
      </c>
      <c r="C9016" t="str">
        <v>-</v>
      </c>
      <c r="D9016" t="str">
        <v>-</v>
      </c>
      <c r="E9016" t="str">
        <v/>
      </c>
      <c r="F9016" t="str">
        <v>-</v>
      </c>
      <c r="G9016" t="str">
        <v>-</v>
      </c>
    </row>
    <row r="9017">
      <c r="A9017">
        <v>9016</v>
      </c>
      <c r="B9017" t="str">
        <v>UBND Ủy ban nhân dân xã Việt Hòa  tỉnh Hưng Yên</v>
      </c>
      <c r="C9017" t="str">
        <v>-</v>
      </c>
      <c r="D9017" t="str">
        <v>-</v>
      </c>
      <c r="E9017" t="str">
        <v>-</v>
      </c>
      <c r="F9017" t="str">
        <v>-</v>
      </c>
      <c r="G9017" t="str">
        <v>-</v>
      </c>
    </row>
    <row r="9018">
      <c r="A9018">
        <v>9017</v>
      </c>
      <c r="B9018" t="str">
        <v>Công an xã Đông Ninh  tỉnh Hưng Yên</v>
      </c>
      <c r="C9018" t="str">
        <v>-</v>
      </c>
      <c r="D9018" t="str">
        <v>-</v>
      </c>
      <c r="E9018" t="str">
        <v/>
      </c>
      <c r="F9018" t="str">
        <v>-</v>
      </c>
      <c r="G9018" t="str">
        <v>-</v>
      </c>
    </row>
    <row r="9019">
      <c r="A9019">
        <v>9018</v>
      </c>
      <c r="B9019" t="str">
        <v>UBND Ủy ban nhân dân xã Đông Ninh  tỉnh Hưng Yên</v>
      </c>
      <c r="C9019" t="str">
        <v>-</v>
      </c>
      <c r="D9019" t="str">
        <v>-</v>
      </c>
      <c r="E9019" t="str">
        <v>-</v>
      </c>
      <c r="F9019" t="str">
        <v>-</v>
      </c>
      <c r="G9019" t="str">
        <v>-</v>
      </c>
    </row>
    <row r="9020">
      <c r="A9020">
        <v>9019</v>
      </c>
      <c r="B9020" t="str">
        <v>Công an xã Đại Tập  tỉnh Hưng Yên</v>
      </c>
      <c r="C9020" t="str">
        <v>-</v>
      </c>
      <c r="D9020" t="str">
        <v>-</v>
      </c>
      <c r="E9020" t="str">
        <v/>
      </c>
      <c r="F9020" t="str">
        <v>-</v>
      </c>
      <c r="G9020" t="str">
        <v>-</v>
      </c>
    </row>
    <row r="9021">
      <c r="A9021">
        <v>9020</v>
      </c>
      <c r="B9021" t="str">
        <v>UBND Ủy ban nhân dân xã Đại Tập  tỉnh Hưng Yên</v>
      </c>
      <c r="C9021" t="str">
        <v>-</v>
      </c>
      <c r="D9021" t="str">
        <v>-</v>
      </c>
      <c r="E9021" t="str">
        <v>-</v>
      </c>
      <c r="F9021" t="str">
        <v>-</v>
      </c>
      <c r="G9021" t="str">
        <v>-</v>
      </c>
    </row>
    <row r="9022">
      <c r="A9022">
        <v>9021</v>
      </c>
      <c r="B9022" t="str">
        <v>Công an xã Chí Tân  tỉnh Hưng Yên</v>
      </c>
      <c r="C9022" t="str">
        <v>-</v>
      </c>
      <c r="D9022" t="str">
        <v>-</v>
      </c>
      <c r="E9022" t="str">
        <v/>
      </c>
      <c r="F9022" t="str">
        <v>-</v>
      </c>
      <c r="G9022" t="str">
        <v>-</v>
      </c>
    </row>
    <row r="9023">
      <c r="A9023">
        <v>9022</v>
      </c>
      <c r="B9023" t="str">
        <v>UBND Ủy ban nhân dân xã Chí Tân  tỉnh Hưng Yên</v>
      </c>
      <c r="C9023" t="str">
        <v>-</v>
      </c>
      <c r="D9023" t="str">
        <v>-</v>
      </c>
      <c r="E9023" t="str">
        <v>-</v>
      </c>
      <c r="F9023" t="str">
        <v>-</v>
      </c>
      <c r="G9023" t="str">
        <v>-</v>
      </c>
    </row>
    <row r="9024">
      <c r="A9024">
        <v>9023</v>
      </c>
      <c r="B9024" t="str">
        <v>Công an xã Đại Hưng  tỉnh Hưng Yên</v>
      </c>
      <c r="C9024" t="str">
        <v>-</v>
      </c>
      <c r="D9024" t="str">
        <v>-</v>
      </c>
      <c r="E9024" t="str">
        <v/>
      </c>
      <c r="F9024" t="str">
        <v>-</v>
      </c>
      <c r="G9024" t="str">
        <v>-</v>
      </c>
    </row>
    <row r="9025">
      <c r="A9025">
        <v>9024</v>
      </c>
      <c r="B9025" t="str">
        <v>UBND Ủy ban nhân dân xã Đại Hưng  tỉnh Hưng Yên</v>
      </c>
      <c r="C9025" t="str">
        <v>-</v>
      </c>
      <c r="D9025" t="str">
        <v>-</v>
      </c>
      <c r="E9025" t="str">
        <v>-</v>
      </c>
      <c r="F9025" t="str">
        <v>-</v>
      </c>
      <c r="G9025" t="str">
        <v>-</v>
      </c>
    </row>
    <row r="9026">
      <c r="A9026">
        <v>9025</v>
      </c>
      <c r="B9026" t="str">
        <v>Công an xã Thuần Hưng  tỉnh Hưng Yên</v>
      </c>
      <c r="C9026" t="str">
        <v>-</v>
      </c>
      <c r="D9026" t="str">
        <v>-</v>
      </c>
      <c r="E9026" t="str">
        <v/>
      </c>
      <c r="F9026" t="str">
        <v>-</v>
      </c>
      <c r="G9026" t="str">
        <v>-</v>
      </c>
    </row>
    <row r="9027">
      <c r="A9027">
        <v>9026</v>
      </c>
      <c r="B9027" t="str">
        <v>UBND Ủy ban nhân dân xã Thuần Hưng  tỉnh Hưng Yên</v>
      </c>
      <c r="C9027" t="str">
        <v>-</v>
      </c>
      <c r="D9027" t="str">
        <v>-</v>
      </c>
      <c r="E9027" t="str">
        <v>-</v>
      </c>
      <c r="F9027" t="str">
        <v>-</v>
      </c>
      <c r="G9027" t="str">
        <v>-</v>
      </c>
    </row>
    <row r="9028">
      <c r="A9028">
        <v>9027</v>
      </c>
      <c r="B9028" t="str">
        <v>Công an xã Thành Công  tỉnh Hưng Yên</v>
      </c>
      <c r="C9028" t="str">
        <v>-</v>
      </c>
      <c r="D9028" t="str">
        <v>-</v>
      </c>
      <c r="E9028" t="str">
        <v/>
      </c>
      <c r="F9028" t="str">
        <v>-</v>
      </c>
      <c r="G9028" t="str">
        <v>-</v>
      </c>
    </row>
    <row r="9029">
      <c r="A9029">
        <v>9028</v>
      </c>
      <c r="B9029" t="str">
        <v>UBND Ủy ban nhân dân xã Thành Công  tỉnh Hưng Yên</v>
      </c>
      <c r="C9029" t="str">
        <v>-</v>
      </c>
      <c r="D9029" t="str">
        <v>-</v>
      </c>
      <c r="E9029" t="str">
        <v>-</v>
      </c>
      <c r="F9029" t="str">
        <v>-</v>
      </c>
      <c r="G9029" t="str">
        <v>-</v>
      </c>
    </row>
    <row r="9030">
      <c r="A9030">
        <v>9029</v>
      </c>
      <c r="B9030" t="str">
        <v>Công an xã Nhuế Dương  tỉnh Hưng Yên</v>
      </c>
      <c r="C9030" t="str">
        <v>-</v>
      </c>
      <c r="D9030" t="str">
        <v>-</v>
      </c>
      <c r="E9030" t="str">
        <v/>
      </c>
      <c r="F9030" t="str">
        <v>-</v>
      </c>
      <c r="G9030" t="str">
        <v>-</v>
      </c>
    </row>
    <row r="9031">
      <c r="A9031">
        <v>9030</v>
      </c>
      <c r="B9031" t="str">
        <v>UBND Ủy ban nhân dân xã Nhuế Dương  tỉnh Hưng Yên</v>
      </c>
      <c r="C9031" t="str">
        <v>-</v>
      </c>
      <c r="D9031" t="str">
        <v>-</v>
      </c>
      <c r="E9031" t="str">
        <v>-</v>
      </c>
      <c r="F9031" t="str">
        <v>-</v>
      </c>
      <c r="G9031" t="str">
        <v>-</v>
      </c>
    </row>
    <row r="9032">
      <c r="A9032">
        <v>9031</v>
      </c>
      <c r="B9032" t="str">
        <v>Công an thị trấn Lương Bằng  tỉnh Hưng Yên</v>
      </c>
      <c r="C9032" t="str">
        <v>-</v>
      </c>
      <c r="D9032" t="str">
        <v>-</v>
      </c>
      <c r="E9032" t="str">
        <v/>
      </c>
      <c r="F9032" t="str">
        <v>-</v>
      </c>
      <c r="G9032" t="str">
        <v>-</v>
      </c>
    </row>
    <row r="9033">
      <c r="A9033">
        <v>9032</v>
      </c>
      <c r="B9033" t="str">
        <v>UBND Ủy ban nhân dân thị trấn Lương Bằng  tỉnh Hưng Yên</v>
      </c>
      <c r="C9033" t="str">
        <v>-</v>
      </c>
      <c r="D9033" t="str">
        <v>-</v>
      </c>
      <c r="E9033" t="str">
        <v>-</v>
      </c>
      <c r="F9033" t="str">
        <v>-</v>
      </c>
      <c r="G9033" t="str">
        <v>-</v>
      </c>
    </row>
    <row r="9034">
      <c r="A9034">
        <v>9033</v>
      </c>
      <c r="B9034" t="str">
        <v>Công an xã Nghĩa Dân  tỉnh Hưng Yên</v>
      </c>
      <c r="C9034" t="str">
        <v>-</v>
      </c>
      <c r="D9034" t="str">
        <v>-</v>
      </c>
      <c r="E9034" t="str">
        <v/>
      </c>
      <c r="F9034" t="str">
        <v>-</v>
      </c>
      <c r="G9034" t="str">
        <v>-</v>
      </c>
    </row>
    <row r="9035">
      <c r="A9035">
        <v>9034</v>
      </c>
      <c r="B9035" t="str">
        <v>UBND Ủy ban nhân dân xã Nghĩa Dân  tỉnh Hưng Yên</v>
      </c>
      <c r="C9035" t="str">
        <v>-</v>
      </c>
      <c r="D9035" t="str">
        <v>-</v>
      </c>
      <c r="E9035" t="str">
        <v>-</v>
      </c>
      <c r="F9035" t="str">
        <v>-</v>
      </c>
      <c r="G9035" t="str">
        <v>-</v>
      </c>
    </row>
    <row r="9036">
      <c r="A9036">
        <v>9035</v>
      </c>
      <c r="B9036" t="str">
        <v>Công an xã Toàn Thắng  tỉnh Hưng Yên</v>
      </c>
      <c r="C9036" t="str">
        <v>-</v>
      </c>
      <c r="D9036" t="str">
        <v>-</v>
      </c>
      <c r="E9036" t="str">
        <v/>
      </c>
      <c r="F9036" t="str">
        <v>-</v>
      </c>
      <c r="G9036" t="str">
        <v>-</v>
      </c>
    </row>
    <row r="9037">
      <c r="A9037">
        <v>9036</v>
      </c>
      <c r="B9037" t="str">
        <v>UBND Ủy ban nhân dân xã Toàn Thắng  tỉnh Hưng Yên</v>
      </c>
      <c r="C9037" t="str">
        <v>-</v>
      </c>
      <c r="D9037" t="str">
        <v>-</v>
      </c>
      <c r="E9037" t="str">
        <v>-</v>
      </c>
      <c r="F9037" t="str">
        <v>-</v>
      </c>
      <c r="G9037" t="str">
        <v>-</v>
      </c>
    </row>
    <row r="9038">
      <c r="A9038">
        <v>9037</v>
      </c>
      <c r="B9038" t="str">
        <v>Công an xã Vĩnh Xá  tỉnh Hưng Yên</v>
      </c>
      <c r="C9038" t="str">
        <v>-</v>
      </c>
      <c r="D9038" t="str">
        <v>-</v>
      </c>
      <c r="E9038" t="str">
        <v/>
      </c>
      <c r="F9038" t="str">
        <v>-</v>
      </c>
      <c r="G9038" t="str">
        <v>-</v>
      </c>
    </row>
    <row r="9039">
      <c r="A9039">
        <v>9038</v>
      </c>
      <c r="B9039" t="str">
        <v>UBND Ủy ban nhân dân xã Vĩnh Xá  tỉnh Hưng Yên</v>
      </c>
      <c r="C9039" t="str">
        <v>-</v>
      </c>
      <c r="D9039" t="str">
        <v>-</v>
      </c>
      <c r="E9039" t="str">
        <v>-</v>
      </c>
      <c r="F9039" t="str">
        <v>-</v>
      </c>
      <c r="G9039" t="str">
        <v>-</v>
      </c>
    </row>
    <row r="9040">
      <c r="A9040">
        <v>9039</v>
      </c>
      <c r="B9040" t="str">
        <v>Công an xã Phạm Ngũ Lão  tỉnh Hưng Yên</v>
      </c>
      <c r="C9040" t="str">
        <v>-</v>
      </c>
      <c r="D9040" t="str">
        <v>-</v>
      </c>
      <c r="E9040" t="str">
        <v/>
      </c>
      <c r="F9040" t="str">
        <v>-</v>
      </c>
      <c r="G9040" t="str">
        <v>-</v>
      </c>
    </row>
    <row r="9041">
      <c r="A9041">
        <v>9040</v>
      </c>
      <c r="B9041" t="str">
        <v>UBND Ủy ban nhân dân xã Phạm Ngũ Lão  tỉnh Hưng Yên</v>
      </c>
      <c r="C9041" t="str">
        <v>-</v>
      </c>
      <c r="D9041" t="str">
        <v>-</v>
      </c>
      <c r="E9041" t="str">
        <v>-</v>
      </c>
      <c r="F9041" t="str">
        <v>-</v>
      </c>
      <c r="G9041" t="str">
        <v>-</v>
      </c>
    </row>
    <row r="9042">
      <c r="A9042">
        <v>9041</v>
      </c>
      <c r="B9042" t="str">
        <v>Công an xã Thọ Vinh  tỉnh Hưng Yên</v>
      </c>
      <c r="C9042" t="str">
        <v>-</v>
      </c>
      <c r="D9042" t="str">
        <v>-</v>
      </c>
      <c r="E9042" t="str">
        <v/>
      </c>
      <c r="F9042" t="str">
        <v>-</v>
      </c>
      <c r="G9042" t="str">
        <v>-</v>
      </c>
    </row>
    <row r="9043">
      <c r="A9043">
        <v>9042</v>
      </c>
      <c r="B9043" t="str">
        <v>UBND Ủy ban nhân dân xã Thọ Vinh  tỉnh Hưng Yên</v>
      </c>
      <c r="C9043" t="str">
        <v>-</v>
      </c>
      <c r="D9043" t="str">
        <v>-</v>
      </c>
      <c r="E9043" t="str">
        <v>-</v>
      </c>
      <c r="F9043" t="str">
        <v>-</v>
      </c>
      <c r="G9043" t="str">
        <v>-</v>
      </c>
    </row>
    <row r="9044">
      <c r="A9044">
        <v>9043</v>
      </c>
      <c r="B9044" t="str">
        <v>Công an xã Đồng Thanh  tỉnh Hưng Yên</v>
      </c>
      <c r="C9044" t="str">
        <v>-</v>
      </c>
      <c r="D9044" t="str">
        <v>-</v>
      </c>
      <c r="E9044" t="str">
        <v/>
      </c>
      <c r="F9044" t="str">
        <v>-</v>
      </c>
      <c r="G9044" t="str">
        <v>-</v>
      </c>
    </row>
    <row r="9045">
      <c r="A9045">
        <v>9044</v>
      </c>
      <c r="B9045" t="str">
        <v>UBND Ủy ban nhân dân xã Đồng Thanh  tỉnh Hưng Yên</v>
      </c>
      <c r="C9045" t="str">
        <v>-</v>
      </c>
      <c r="D9045" t="str">
        <v>-</v>
      </c>
      <c r="E9045" t="str">
        <v>-</v>
      </c>
      <c r="F9045" t="str">
        <v>-</v>
      </c>
      <c r="G9045" t="str">
        <v>-</v>
      </c>
    </row>
    <row r="9046">
      <c r="A9046">
        <v>9045</v>
      </c>
      <c r="B9046" t="str">
        <v>Công an xã Song Mai  tỉnh Hưng Yên</v>
      </c>
      <c r="C9046" t="str">
        <v>-</v>
      </c>
      <c r="D9046" t="str">
        <v>-</v>
      </c>
      <c r="E9046" t="str">
        <v/>
      </c>
      <c r="F9046" t="str">
        <v>-</v>
      </c>
      <c r="G9046" t="str">
        <v>-</v>
      </c>
    </row>
    <row r="9047">
      <c r="A9047">
        <v>9046</v>
      </c>
      <c r="B9047" t="str">
        <v>UBND Ủy ban nhân dân xã Song Mai  tỉnh Hưng Yên</v>
      </c>
      <c r="C9047" t="str">
        <v>-</v>
      </c>
      <c r="D9047" t="str">
        <v>-</v>
      </c>
      <c r="E9047" t="str">
        <v>-</v>
      </c>
      <c r="F9047" t="str">
        <v>-</v>
      </c>
      <c r="G9047" t="str">
        <v>-</v>
      </c>
    </row>
    <row r="9048">
      <c r="A9048">
        <v>9047</v>
      </c>
      <c r="B9048" t="str">
        <v>Công an xã Chính Nghĩa  tỉnh Hưng Yên</v>
      </c>
      <c r="C9048" t="str">
        <v>-</v>
      </c>
      <c r="D9048" t="str">
        <v>-</v>
      </c>
      <c r="E9048" t="str">
        <v/>
      </c>
      <c r="F9048" t="str">
        <v>-</v>
      </c>
      <c r="G9048" t="str">
        <v>-</v>
      </c>
    </row>
    <row r="9049">
      <c r="A9049">
        <v>9048</v>
      </c>
      <c r="B9049" t="str">
        <v>UBND Ủy ban nhân dân xã Chính Nghĩa  tỉnh Hưng Yên</v>
      </c>
      <c r="C9049" t="str">
        <v>-</v>
      </c>
      <c r="D9049" t="str">
        <v>-</v>
      </c>
      <c r="E9049" t="str">
        <v>-</v>
      </c>
      <c r="F9049" t="str">
        <v>-</v>
      </c>
      <c r="G9049" t="str">
        <v>-</v>
      </c>
    </row>
    <row r="9050">
      <c r="A9050">
        <v>9049</v>
      </c>
      <c r="B9050" t="str">
        <v>Công an xã Nhân La  tỉnh Hưng Yên</v>
      </c>
      <c r="C9050" t="str">
        <v>-</v>
      </c>
      <c r="D9050" t="str">
        <v>-</v>
      </c>
      <c r="E9050" t="str">
        <v/>
      </c>
      <c r="F9050" t="str">
        <v>-</v>
      </c>
      <c r="G9050" t="str">
        <v>-</v>
      </c>
    </row>
    <row r="9051">
      <c r="A9051">
        <v>9050</v>
      </c>
      <c r="B9051" t="str">
        <v>UBND Ủy ban nhân dân xã Nhân La  tỉnh Hưng Yên</v>
      </c>
      <c r="C9051" t="str">
        <v>-</v>
      </c>
      <c r="D9051" t="str">
        <v>-</v>
      </c>
      <c r="E9051" t="str">
        <v>-</v>
      </c>
      <c r="F9051" t="str">
        <v>-</v>
      </c>
      <c r="G9051" t="str">
        <v>-</v>
      </c>
    </row>
    <row r="9052">
      <c r="A9052">
        <v>9051</v>
      </c>
      <c r="B9052" t="str">
        <v>Công an xã Phú Thịnh  tỉnh Hưng Yên</v>
      </c>
      <c r="C9052" t="str">
        <v>-</v>
      </c>
      <c r="D9052" t="str">
        <v>-</v>
      </c>
      <c r="E9052" t="str">
        <v/>
      </c>
      <c r="F9052" t="str">
        <v>-</v>
      </c>
      <c r="G9052" t="str">
        <v>-</v>
      </c>
    </row>
    <row r="9053">
      <c r="A9053">
        <v>9052</v>
      </c>
      <c r="B9053" t="str">
        <v>UBND Ủy ban nhân dân xã Phú Thịnh  tỉnh Hưng Yên</v>
      </c>
      <c r="C9053" t="str">
        <v>-</v>
      </c>
      <c r="D9053" t="str">
        <v>-</v>
      </c>
      <c r="E9053" t="str">
        <v>-</v>
      </c>
      <c r="F9053" t="str">
        <v>-</v>
      </c>
      <c r="G9053" t="str">
        <v>-</v>
      </c>
    </row>
    <row r="9054">
      <c r="A9054">
        <v>9053</v>
      </c>
      <c r="B9054" t="str">
        <v>Công an xã Mai Động  tỉnh Hưng Yên</v>
      </c>
      <c r="C9054" t="str">
        <v>-</v>
      </c>
      <c r="D9054" t="str">
        <v>-</v>
      </c>
      <c r="E9054" t="str">
        <v/>
      </c>
      <c r="F9054" t="str">
        <v>-</v>
      </c>
      <c r="G9054" t="str">
        <v>-</v>
      </c>
    </row>
    <row r="9055">
      <c r="A9055">
        <v>9054</v>
      </c>
      <c r="B9055" t="str">
        <v>UBND Ủy ban nhân dân xã Mai Động  tỉnh Hưng Yên</v>
      </c>
      <c r="C9055" t="str">
        <v>-</v>
      </c>
      <c r="D9055" t="str">
        <v>-</v>
      </c>
      <c r="E9055" t="str">
        <v>-</v>
      </c>
      <c r="F9055" t="str">
        <v>-</v>
      </c>
      <c r="G9055" t="str">
        <v>-</v>
      </c>
    </row>
    <row r="9056">
      <c r="A9056">
        <v>9055</v>
      </c>
      <c r="B9056" t="str">
        <v>Công an xã Đức Hợp  tỉnh Hưng Yên</v>
      </c>
      <c r="C9056" t="str">
        <v>-</v>
      </c>
      <c r="D9056" t="str">
        <v>-</v>
      </c>
      <c r="E9056" t="str">
        <v/>
      </c>
      <c r="F9056" t="str">
        <v>-</v>
      </c>
      <c r="G9056" t="str">
        <v>-</v>
      </c>
    </row>
    <row r="9057">
      <c r="A9057">
        <v>9056</v>
      </c>
      <c r="B9057" t="str">
        <v>UBND Ủy ban nhân dân xã Đức Hợp  tỉnh Hưng Yên</v>
      </c>
      <c r="C9057" t="str">
        <v>-</v>
      </c>
      <c r="D9057" t="str">
        <v>-</v>
      </c>
      <c r="E9057" t="str">
        <v>-</v>
      </c>
      <c r="F9057" t="str">
        <v>-</v>
      </c>
      <c r="G9057" t="str">
        <v>-</v>
      </c>
    </row>
    <row r="9058">
      <c r="A9058">
        <v>9057</v>
      </c>
      <c r="B9058" t="str">
        <v>Công an xã Hùng An  tỉnh Hưng Yên</v>
      </c>
      <c r="C9058" t="str">
        <v>-</v>
      </c>
      <c r="D9058" t="str">
        <v>-</v>
      </c>
      <c r="E9058" t="str">
        <v/>
      </c>
      <c r="F9058" t="str">
        <v>-</v>
      </c>
      <c r="G9058" t="str">
        <v>-</v>
      </c>
    </row>
    <row r="9059">
      <c r="A9059">
        <v>9058</v>
      </c>
      <c r="B9059" t="str">
        <v>UBND Ủy ban nhân dân xã Hùng An  tỉnh Hưng Yên</v>
      </c>
      <c r="C9059" t="str">
        <v>-</v>
      </c>
      <c r="D9059" t="str">
        <v>-</v>
      </c>
      <c r="E9059" t="str">
        <v>-</v>
      </c>
      <c r="F9059" t="str">
        <v>-</v>
      </c>
      <c r="G9059" t="str">
        <v>-</v>
      </c>
    </row>
    <row r="9060">
      <c r="A9060">
        <v>9059</v>
      </c>
      <c r="B9060" t="str">
        <v>Công an xã Ngọc Thanh  tỉnh Hưng Yên</v>
      </c>
      <c r="C9060" t="str">
        <v>-</v>
      </c>
      <c r="D9060" t="str">
        <v>-</v>
      </c>
      <c r="E9060" t="str">
        <v/>
      </c>
      <c r="F9060" t="str">
        <v>-</v>
      </c>
      <c r="G9060" t="str">
        <v>-</v>
      </c>
    </row>
    <row r="9061">
      <c r="A9061">
        <v>9060</v>
      </c>
      <c r="B9061" t="str">
        <v>UBND Ủy ban nhân dân xã Ngọc Thanh  tỉnh Hưng Yên</v>
      </c>
      <c r="C9061" t="str">
        <v>-</v>
      </c>
      <c r="D9061" t="str">
        <v>-</v>
      </c>
      <c r="E9061" t="str">
        <v>-</v>
      </c>
      <c r="F9061" t="str">
        <v>-</v>
      </c>
      <c r="G9061" t="str">
        <v>-</v>
      </c>
    </row>
    <row r="9062">
      <c r="A9062">
        <v>9061</v>
      </c>
      <c r="B9062" t="str">
        <v>Công an xã Vũ Xá  tỉnh Hưng Yên</v>
      </c>
      <c r="C9062" t="str">
        <v>-</v>
      </c>
      <c r="D9062" t="str">
        <v>-</v>
      </c>
      <c r="E9062" t="str">
        <v/>
      </c>
      <c r="F9062" t="str">
        <v>-</v>
      </c>
      <c r="G9062" t="str">
        <v>-</v>
      </c>
    </row>
    <row r="9063">
      <c r="A9063">
        <v>9062</v>
      </c>
      <c r="B9063" t="str">
        <v>UBND Ủy ban nhân dân xã Vũ Xá  tỉnh Hưng Yên</v>
      </c>
      <c r="C9063" t="str">
        <v>-</v>
      </c>
      <c r="D9063" t="str">
        <v>-</v>
      </c>
      <c r="E9063" t="str">
        <v>-</v>
      </c>
      <c r="F9063" t="str">
        <v>-</v>
      </c>
      <c r="G9063" t="str">
        <v>-</v>
      </c>
    </row>
    <row r="9064">
      <c r="A9064">
        <v>9063</v>
      </c>
      <c r="B9064" t="str">
        <v>Công an xã Hiệp Cường  tỉnh Hưng Yên</v>
      </c>
      <c r="C9064" t="str">
        <v>-</v>
      </c>
      <c r="D9064" t="str">
        <v>-</v>
      </c>
      <c r="E9064" t="str">
        <v/>
      </c>
      <c r="F9064" t="str">
        <v>-</v>
      </c>
      <c r="G9064" t="str">
        <v>-</v>
      </c>
    </row>
    <row r="9065">
      <c r="A9065">
        <v>9064</v>
      </c>
      <c r="B9065" t="str">
        <v>UBND Ủy ban nhân dân xã Hiệp Cường  tỉnh Hưng Yên</v>
      </c>
      <c r="C9065" t="str">
        <v>-</v>
      </c>
      <c r="D9065" t="str">
        <v>-</v>
      </c>
      <c r="E9065" t="str">
        <v>-</v>
      </c>
      <c r="F9065" t="str">
        <v>-</v>
      </c>
      <c r="G9065" t="str">
        <v>-</v>
      </c>
    </row>
    <row r="9066">
      <c r="A9066">
        <v>9065</v>
      </c>
      <c r="B9066" t="str">
        <v>Công an thị trấn Vương  tỉnh Hưng Yên</v>
      </c>
      <c r="C9066" t="str">
        <v>-</v>
      </c>
      <c r="D9066" t="str">
        <v>-</v>
      </c>
      <c r="E9066" t="str">
        <v/>
      </c>
      <c r="F9066" t="str">
        <v>-</v>
      </c>
      <c r="G9066" t="str">
        <v>-</v>
      </c>
    </row>
    <row r="9067">
      <c r="A9067">
        <v>9066</v>
      </c>
      <c r="B9067" t="str">
        <v>UBND Ủy ban nhân dân thị trấn Vương  tỉnh Hưng Yên</v>
      </c>
      <c r="C9067" t="str">
        <v>-</v>
      </c>
      <c r="D9067" t="str">
        <v>-</v>
      </c>
      <c r="E9067" t="str">
        <v>-</v>
      </c>
      <c r="F9067" t="str">
        <v>-</v>
      </c>
      <c r="G9067" t="str">
        <v>-</v>
      </c>
    </row>
    <row r="9068">
      <c r="A9068">
        <v>9067</v>
      </c>
      <c r="B9068" t="str">
        <v>Công an xã Hưng Đạo  tỉnh Hưng Yên</v>
      </c>
      <c r="C9068" t="str">
        <v>-</v>
      </c>
      <c r="D9068" t="str">
        <v>-</v>
      </c>
      <c r="E9068" t="str">
        <v/>
      </c>
      <c r="F9068" t="str">
        <v>-</v>
      </c>
      <c r="G9068" t="str">
        <v>-</v>
      </c>
    </row>
    <row r="9069">
      <c r="A9069">
        <v>9068</v>
      </c>
      <c r="B9069" t="str">
        <v>UBND Ủy ban nhân dân xã Hưng Đạo  tỉnh Hưng Yên</v>
      </c>
      <c r="C9069" t="str">
        <v>-</v>
      </c>
      <c r="D9069" t="str">
        <v>-</v>
      </c>
      <c r="E9069" t="str">
        <v>-</v>
      </c>
      <c r="F9069" t="str">
        <v>-</v>
      </c>
      <c r="G9069" t="str">
        <v>-</v>
      </c>
    </row>
    <row r="9070">
      <c r="A9070">
        <v>9069</v>
      </c>
      <c r="B9070" t="str">
        <v>Công an xã Ngô Quyền  tỉnh Hưng Yên</v>
      </c>
      <c r="C9070" t="str">
        <v>-</v>
      </c>
      <c r="D9070" t="str">
        <v>-</v>
      </c>
      <c r="E9070" t="str">
        <v/>
      </c>
      <c r="F9070" t="str">
        <v>-</v>
      </c>
      <c r="G9070" t="str">
        <v>-</v>
      </c>
    </row>
    <row r="9071">
      <c r="A9071">
        <v>9070</v>
      </c>
      <c r="B9071" t="str">
        <v>UBND Ủy ban nhân dân xã Ngô Quyền  tỉnh Hưng Yên</v>
      </c>
      <c r="C9071" t="str">
        <v>-</v>
      </c>
      <c r="D9071" t="str">
        <v>-</v>
      </c>
      <c r="E9071" t="str">
        <v>-</v>
      </c>
      <c r="F9071" t="str">
        <v>-</v>
      </c>
      <c r="G9071" t="str">
        <v>-</v>
      </c>
    </row>
    <row r="9072">
      <c r="A9072">
        <v>9071</v>
      </c>
      <c r="B9072" t="str">
        <v>Công an xã Nhật Tân  tỉnh Hưng Yên</v>
      </c>
      <c r="C9072" t="str">
        <v>-</v>
      </c>
      <c r="D9072" t="str">
        <v>-</v>
      </c>
      <c r="E9072" t="str">
        <v/>
      </c>
      <c r="F9072" t="str">
        <v>-</v>
      </c>
      <c r="G9072" t="str">
        <v>-</v>
      </c>
    </row>
    <row r="9073">
      <c r="A9073">
        <v>9072</v>
      </c>
      <c r="B9073" t="str">
        <v>UBND Ủy ban nhân dân xã Nhật Tân  tỉnh Hưng Yên</v>
      </c>
      <c r="C9073" t="str">
        <v>-</v>
      </c>
      <c r="D9073" t="str">
        <v>-</v>
      </c>
      <c r="E9073" t="str">
        <v>-</v>
      </c>
      <c r="F9073" t="str">
        <v>-</v>
      </c>
      <c r="G9073" t="str">
        <v>-</v>
      </c>
    </row>
    <row r="9074">
      <c r="A9074">
        <v>9073</v>
      </c>
      <c r="B9074" t="str">
        <v>Công an xã Dị Chế  tỉnh Hưng Yên</v>
      </c>
      <c r="C9074" t="str">
        <v>-</v>
      </c>
      <c r="D9074" t="str">
        <v>-</v>
      </c>
      <c r="E9074" t="str">
        <v/>
      </c>
      <c r="F9074" t="str">
        <v>-</v>
      </c>
      <c r="G9074" t="str">
        <v>-</v>
      </c>
    </row>
    <row r="9075">
      <c r="A9075">
        <v>9074</v>
      </c>
      <c r="B9075" t="str">
        <v>UBND Ủy ban nhân dân xã Dị Chế  tỉnh Hưng Yên</v>
      </c>
      <c r="C9075" t="str">
        <v>-</v>
      </c>
      <c r="D9075" t="str">
        <v>-</v>
      </c>
      <c r="E9075" t="str">
        <v>-</v>
      </c>
      <c r="F9075" t="str">
        <v>-</v>
      </c>
      <c r="G9075" t="str">
        <v>-</v>
      </c>
    </row>
    <row r="9076">
      <c r="A9076">
        <v>9075</v>
      </c>
      <c r="B9076" t="str">
        <v>Công an xã Lệ Xá  tỉnh Hưng Yên</v>
      </c>
      <c r="C9076" t="str">
        <v>-</v>
      </c>
      <c r="D9076" t="str">
        <v>-</v>
      </c>
      <c r="E9076" t="str">
        <v/>
      </c>
      <c r="F9076" t="str">
        <v>-</v>
      </c>
      <c r="G9076" t="str">
        <v>-</v>
      </c>
    </row>
    <row r="9077">
      <c r="A9077">
        <v>9076</v>
      </c>
      <c r="B9077" t="str">
        <v>UBND Ủy ban nhân dân xã Lệ Xá  tỉnh Hưng Yên</v>
      </c>
      <c r="C9077" t="str">
        <v>-</v>
      </c>
      <c r="D9077" t="str">
        <v>-</v>
      </c>
      <c r="E9077" t="str">
        <v>-</v>
      </c>
      <c r="F9077" t="str">
        <v>-</v>
      </c>
      <c r="G9077" t="str">
        <v>-</v>
      </c>
    </row>
    <row r="9078">
      <c r="A9078">
        <v>9077</v>
      </c>
      <c r="B9078" t="str">
        <v>Công an xã An Viên  tỉnh Hưng Yên</v>
      </c>
      <c r="C9078" t="str">
        <v>-</v>
      </c>
      <c r="D9078" t="str">
        <v>-</v>
      </c>
      <c r="E9078" t="str">
        <v/>
      </c>
      <c r="F9078" t="str">
        <v>-</v>
      </c>
      <c r="G9078" t="str">
        <v>-</v>
      </c>
    </row>
    <row r="9079">
      <c r="A9079">
        <v>9078</v>
      </c>
      <c r="B9079" t="str">
        <v>UBND Ủy ban nhân dân xã An Viên  tỉnh Hưng Yên</v>
      </c>
      <c r="C9079" t="str">
        <v>-</v>
      </c>
      <c r="D9079" t="str">
        <v>-</v>
      </c>
      <c r="E9079" t="str">
        <v>-</v>
      </c>
      <c r="F9079" t="str">
        <v>-</v>
      </c>
      <c r="G9079" t="str">
        <v>-</v>
      </c>
    </row>
    <row r="9080">
      <c r="A9080">
        <v>9079</v>
      </c>
      <c r="B9080" t="str">
        <v>Công an xã Đức Thắng  tỉnh Hưng Yên</v>
      </c>
      <c r="C9080" t="str">
        <v>-</v>
      </c>
      <c r="D9080" t="str">
        <v>-</v>
      </c>
      <c r="E9080" t="str">
        <v/>
      </c>
      <c r="F9080" t="str">
        <v>-</v>
      </c>
      <c r="G9080" t="str">
        <v>-</v>
      </c>
    </row>
    <row r="9081">
      <c r="A9081">
        <v>9080</v>
      </c>
      <c r="B9081" t="str">
        <v>UBND Ủy ban nhân dân xã Đức Thắng  tỉnh Hưng Yên</v>
      </c>
      <c r="C9081" t="str">
        <v>-</v>
      </c>
      <c r="D9081" t="str">
        <v>-</v>
      </c>
      <c r="E9081" t="str">
        <v>-</v>
      </c>
      <c r="F9081" t="str">
        <v>-</v>
      </c>
      <c r="G9081" t="str">
        <v>-</v>
      </c>
    </row>
    <row r="9082">
      <c r="A9082">
        <v>9081</v>
      </c>
      <c r="B9082" t="str">
        <v>Công an xã Trung Dũng  tỉnh Hưng Yên</v>
      </c>
      <c r="C9082" t="str">
        <v>-</v>
      </c>
      <c r="D9082" t="str">
        <v>-</v>
      </c>
      <c r="E9082" t="str">
        <v/>
      </c>
      <c r="F9082" t="str">
        <v>-</v>
      </c>
      <c r="G9082" t="str">
        <v>-</v>
      </c>
    </row>
    <row r="9083">
      <c r="A9083">
        <v>9082</v>
      </c>
      <c r="B9083" t="str">
        <v>UBND Ủy ban nhân dân xã Trung Dũng  tỉnh Hưng Yên</v>
      </c>
      <c r="C9083" t="str">
        <v>-</v>
      </c>
      <c r="D9083" t="str">
        <v>-</v>
      </c>
      <c r="E9083" t="str">
        <v>-</v>
      </c>
      <c r="F9083" t="str">
        <v>-</v>
      </c>
      <c r="G9083" t="str">
        <v>-</v>
      </c>
    </row>
    <row r="9084">
      <c r="A9084">
        <v>9083</v>
      </c>
      <c r="B9084" t="str">
        <v>Công an xã Hải Triều  tỉnh Hưng Yên</v>
      </c>
      <c r="C9084" t="str">
        <v>-</v>
      </c>
      <c r="D9084" t="str">
        <v>-</v>
      </c>
      <c r="E9084" t="str">
        <v/>
      </c>
      <c r="F9084" t="str">
        <v>-</v>
      </c>
      <c r="G9084" t="str">
        <v>-</v>
      </c>
    </row>
    <row r="9085">
      <c r="A9085">
        <v>9084</v>
      </c>
      <c r="B9085" t="str">
        <v>UBND Ủy ban nhân dân xã Hải Triều  tỉnh Hưng Yên</v>
      </c>
      <c r="C9085" t="str">
        <v>-</v>
      </c>
      <c r="D9085" t="str">
        <v>-</v>
      </c>
      <c r="E9085" t="str">
        <v>-</v>
      </c>
      <c r="F9085" t="str">
        <v>-</v>
      </c>
      <c r="G9085" t="str">
        <v>-</v>
      </c>
    </row>
    <row r="9086">
      <c r="A9086">
        <v>9085</v>
      </c>
      <c r="B9086" t="str">
        <v>Công an xã Thủ Sỹ  tỉnh Hưng Yên</v>
      </c>
      <c r="C9086" t="str">
        <v>-</v>
      </c>
      <c r="D9086" t="str">
        <v>-</v>
      </c>
      <c r="E9086" t="str">
        <v/>
      </c>
      <c r="F9086" t="str">
        <v>-</v>
      </c>
      <c r="G9086" t="str">
        <v>-</v>
      </c>
    </row>
    <row r="9087">
      <c r="A9087">
        <v>9086</v>
      </c>
      <c r="B9087" t="str">
        <v>UBND Ủy ban nhân dân xã Thủ Sỹ  tỉnh Hưng Yên</v>
      </c>
      <c r="C9087" t="str">
        <v>-</v>
      </c>
      <c r="D9087" t="str">
        <v>-</v>
      </c>
      <c r="E9087" t="str">
        <v>-</v>
      </c>
      <c r="F9087" t="str">
        <v>-</v>
      </c>
      <c r="G9087" t="str">
        <v>-</v>
      </c>
    </row>
    <row r="9088">
      <c r="A9088">
        <v>9087</v>
      </c>
      <c r="B9088" t="str">
        <v>Công an xã Thiện Phiến  tỉnh Hưng Yên</v>
      </c>
      <c r="C9088" t="str">
        <v>-</v>
      </c>
      <c r="D9088" t="str">
        <v>-</v>
      </c>
      <c r="E9088" t="str">
        <v/>
      </c>
      <c r="F9088" t="str">
        <v>-</v>
      </c>
      <c r="G9088" t="str">
        <v>-</v>
      </c>
    </row>
    <row r="9089">
      <c r="A9089">
        <v>9088</v>
      </c>
      <c r="B9089" t="str">
        <v>UBND Ủy ban nhân dân xã Thiện Phiến  tỉnh Hưng Yên</v>
      </c>
      <c r="C9089" t="str">
        <v>-</v>
      </c>
      <c r="D9089" t="str">
        <v>-</v>
      </c>
      <c r="E9089" t="str">
        <v>-</v>
      </c>
      <c r="F9089" t="str">
        <v>-</v>
      </c>
      <c r="G9089" t="str">
        <v>-</v>
      </c>
    </row>
    <row r="9090">
      <c r="A9090">
        <v>9089</v>
      </c>
      <c r="B9090" t="str">
        <v>Công an xã Thụy Lôi  tỉnh Hưng Yên</v>
      </c>
      <c r="C9090" t="str">
        <v>-</v>
      </c>
      <c r="D9090" t="str">
        <v>-</v>
      </c>
      <c r="E9090" t="str">
        <v/>
      </c>
      <c r="F9090" t="str">
        <v>-</v>
      </c>
      <c r="G9090" t="str">
        <v>-</v>
      </c>
    </row>
    <row r="9091">
      <c r="A9091">
        <v>9090</v>
      </c>
      <c r="B9091" t="str">
        <v>UBND Ủy ban nhân dân xã Thụy Lôi  tỉnh Hưng Yên</v>
      </c>
      <c r="C9091" t="str">
        <v>-</v>
      </c>
      <c r="D9091" t="str">
        <v>-</v>
      </c>
      <c r="E9091" t="str">
        <v>-</v>
      </c>
      <c r="F9091" t="str">
        <v>-</v>
      </c>
      <c r="G9091" t="str">
        <v>-</v>
      </c>
    </row>
    <row r="9092">
      <c r="A9092">
        <v>9091</v>
      </c>
      <c r="B9092" t="str">
        <v>Công an xã Cương Chính  tỉnh Hưng Yên</v>
      </c>
      <c r="C9092" t="str">
        <v>-</v>
      </c>
      <c r="D9092" t="str">
        <v>-</v>
      </c>
      <c r="E9092" t="str">
        <v/>
      </c>
      <c r="F9092" t="str">
        <v>-</v>
      </c>
      <c r="G9092" t="str">
        <v>-</v>
      </c>
    </row>
    <row r="9093">
      <c r="A9093">
        <v>9092</v>
      </c>
      <c r="B9093" t="str">
        <v>UBND Ủy ban nhân dân xã Cương Chính  tỉnh Hưng Yên</v>
      </c>
      <c r="C9093" t="str">
        <v>-</v>
      </c>
      <c r="D9093" t="str">
        <v>-</v>
      </c>
      <c r="E9093" t="str">
        <v>-</v>
      </c>
      <c r="F9093" t="str">
        <v>-</v>
      </c>
      <c r="G9093" t="str">
        <v>-</v>
      </c>
    </row>
    <row r="9094">
      <c r="A9094">
        <v>9093</v>
      </c>
      <c r="B9094" t="str">
        <v>Công an xã Minh Phượng  tỉnh Hưng Yên</v>
      </c>
      <c r="C9094" t="str">
        <v>-</v>
      </c>
      <c r="D9094" t="str">
        <v>-</v>
      </c>
      <c r="E9094" t="str">
        <v/>
      </c>
      <c r="F9094" t="str">
        <v>-</v>
      </c>
      <c r="G9094" t="str">
        <v>-</v>
      </c>
    </row>
    <row r="9095">
      <c r="A9095">
        <v>9094</v>
      </c>
      <c r="B9095" t="str">
        <v>UBND Ủy ban nhân dân xã Minh Phượng  tỉnh Hưng Yên</v>
      </c>
      <c r="C9095" t="str">
        <v>-</v>
      </c>
      <c r="D9095" t="str">
        <v>-</v>
      </c>
      <c r="E9095" t="str">
        <v>-</v>
      </c>
      <c r="F9095" t="str">
        <v>-</v>
      </c>
      <c r="G9095" t="str">
        <v>-</v>
      </c>
    </row>
    <row r="9096">
      <c r="A9096">
        <v>9095</v>
      </c>
      <c r="B9096" t="str">
        <v>Công an thị trấn Trần Cao  tỉnh Hưng Yên</v>
      </c>
      <c r="C9096" t="str">
        <v>-</v>
      </c>
      <c r="D9096" t="str">
        <v>-</v>
      </c>
      <c r="E9096" t="str">
        <v/>
      </c>
      <c r="F9096" t="str">
        <v>-</v>
      </c>
      <c r="G9096" t="str">
        <v>-</v>
      </c>
    </row>
    <row r="9097">
      <c r="A9097">
        <v>9096</v>
      </c>
      <c r="B9097" t="str">
        <v>UBND Ủy ban nhân dân thị trấn Trần Cao  tỉnh Hưng Yên</v>
      </c>
      <c r="C9097" t="str">
        <v>-</v>
      </c>
      <c r="D9097" t="str">
        <v>-</v>
      </c>
      <c r="E9097" t="str">
        <v>-</v>
      </c>
      <c r="F9097" t="str">
        <v>-</v>
      </c>
      <c r="G9097" t="str">
        <v>-</v>
      </c>
    </row>
    <row r="9098">
      <c r="A9098">
        <v>9097</v>
      </c>
      <c r="B9098" t="str">
        <v>Công an xã Minh Tân  tỉnh Hưng Yên</v>
      </c>
      <c r="C9098" t="str">
        <v>-</v>
      </c>
      <c r="D9098" t="str">
        <v>-</v>
      </c>
      <c r="E9098" t="str">
        <v/>
      </c>
      <c r="F9098" t="str">
        <v>-</v>
      </c>
      <c r="G9098" t="str">
        <v>-</v>
      </c>
    </row>
    <row r="9099">
      <c r="A9099">
        <v>9098</v>
      </c>
      <c r="B9099" t="str">
        <v>UBND Ủy ban nhân dân xã Minh Tân  tỉnh Hưng Yên</v>
      </c>
      <c r="C9099" t="str">
        <v>-</v>
      </c>
      <c r="D9099" t="str">
        <v>-</v>
      </c>
      <c r="E9099" t="str">
        <v>-</v>
      </c>
      <c r="F9099" t="str">
        <v>-</v>
      </c>
      <c r="G9099" t="str">
        <v>-</v>
      </c>
    </row>
    <row r="9100">
      <c r="A9100">
        <v>9099</v>
      </c>
      <c r="B9100" t="str">
        <v>Công an xã Phan Sào Nam  tỉnh Hưng Yên</v>
      </c>
      <c r="C9100" t="str">
        <v>-</v>
      </c>
      <c r="D9100" t="str">
        <v>-</v>
      </c>
      <c r="E9100" t="str">
        <v/>
      </c>
      <c r="F9100" t="str">
        <v>-</v>
      </c>
      <c r="G9100" t="str">
        <v>-</v>
      </c>
    </row>
    <row r="9101">
      <c r="A9101">
        <v>9100</v>
      </c>
      <c r="B9101" t="str">
        <v>UBND Ủy ban nhân dân xã Phan Sào Nam  tỉnh Hưng Yên</v>
      </c>
      <c r="C9101" t="str">
        <v>-</v>
      </c>
      <c r="D9101" t="str">
        <v>-</v>
      </c>
      <c r="E9101" t="str">
        <v>-</v>
      </c>
      <c r="F9101" t="str">
        <v>-</v>
      </c>
      <c r="G9101" t="str">
        <v>-</v>
      </c>
    </row>
    <row r="9102">
      <c r="A9102">
        <v>9101</v>
      </c>
      <c r="B9102" t="str">
        <v>Công an xã Quang Hưng  tỉnh Hưng Yên</v>
      </c>
      <c r="C9102" t="str">
        <v>-</v>
      </c>
      <c r="D9102" t="str">
        <v>-</v>
      </c>
      <c r="E9102" t="str">
        <v/>
      </c>
      <c r="F9102" t="str">
        <v>-</v>
      </c>
      <c r="G9102" t="str">
        <v>-</v>
      </c>
    </row>
    <row r="9103">
      <c r="A9103">
        <v>9102</v>
      </c>
      <c r="B9103" t="str">
        <v>UBND Ủy ban nhân dân xã Quang Hưng  tỉnh Hưng Yên</v>
      </c>
      <c r="C9103" t="str">
        <v>-</v>
      </c>
      <c r="D9103" t="str">
        <v>-</v>
      </c>
      <c r="E9103" t="str">
        <v>-</v>
      </c>
      <c r="F9103" t="str">
        <v>-</v>
      </c>
      <c r="G9103" t="str">
        <v>-</v>
      </c>
    </row>
    <row r="9104">
      <c r="A9104">
        <v>9103</v>
      </c>
      <c r="B9104" t="str">
        <v>Công an xã Minh Hoàng  tỉnh Hưng Yên</v>
      </c>
      <c r="C9104" t="str">
        <v>-</v>
      </c>
      <c r="D9104" t="str">
        <v>-</v>
      </c>
      <c r="E9104" t="str">
        <v/>
      </c>
      <c r="F9104" t="str">
        <v>-</v>
      </c>
      <c r="G9104" t="str">
        <v>-</v>
      </c>
    </row>
    <row r="9105">
      <c r="A9105">
        <v>9104</v>
      </c>
      <c r="B9105" t="str">
        <v>UBND Ủy ban nhân dân xã Minh Hoàng  tỉnh Hưng Yên</v>
      </c>
      <c r="C9105" t="str">
        <v>-</v>
      </c>
      <c r="D9105" t="str">
        <v>-</v>
      </c>
      <c r="E9105" t="str">
        <v>-</v>
      </c>
      <c r="F9105" t="str">
        <v>-</v>
      </c>
      <c r="G9105" t="str">
        <v>-</v>
      </c>
    </row>
    <row r="9106">
      <c r="A9106">
        <v>9105</v>
      </c>
      <c r="B9106" t="str">
        <v>Công an xã Đoàn Đào  tỉnh Hưng Yên</v>
      </c>
      <c r="C9106" t="str">
        <v>-</v>
      </c>
      <c r="D9106" t="str">
        <v>-</v>
      </c>
      <c r="E9106" t="str">
        <v/>
      </c>
      <c r="F9106" t="str">
        <v>-</v>
      </c>
      <c r="G9106" t="str">
        <v>-</v>
      </c>
    </row>
    <row r="9107">
      <c r="A9107">
        <v>9106</v>
      </c>
      <c r="B9107" t="str">
        <v>UBND Ủy ban nhân dân xã Đoàn Đào  tỉnh Hưng Yên</v>
      </c>
      <c r="C9107" t="str">
        <v>-</v>
      </c>
      <c r="D9107" t="str">
        <v>-</v>
      </c>
      <c r="E9107" t="str">
        <v>-</v>
      </c>
      <c r="F9107" t="str">
        <v>-</v>
      </c>
      <c r="G9107" t="str">
        <v>-</v>
      </c>
    </row>
    <row r="9108">
      <c r="A9108">
        <v>9107</v>
      </c>
      <c r="B9108" t="str">
        <v>Công an xã Tống Phan  tỉnh Hưng Yên</v>
      </c>
      <c r="C9108" t="str">
        <v>-</v>
      </c>
      <c r="D9108" t="str">
        <v>-</v>
      </c>
      <c r="E9108" t="str">
        <v/>
      </c>
      <c r="F9108" t="str">
        <v>-</v>
      </c>
      <c r="G9108" t="str">
        <v>-</v>
      </c>
    </row>
    <row r="9109">
      <c r="A9109">
        <v>9108</v>
      </c>
      <c r="B9109" t="str">
        <v>UBND Ủy ban nhân dân xã Tống Phan  tỉnh Hưng Yên</v>
      </c>
      <c r="C9109" t="str">
        <v>-</v>
      </c>
      <c r="D9109" t="str">
        <v>-</v>
      </c>
      <c r="E9109" t="str">
        <v>-</v>
      </c>
      <c r="F9109" t="str">
        <v>-</v>
      </c>
      <c r="G9109" t="str">
        <v>-</v>
      </c>
    </row>
    <row r="9110">
      <c r="A9110">
        <v>9109</v>
      </c>
      <c r="B9110" t="str">
        <v>Công an xã Đình Cao  tỉnh Hưng Yên</v>
      </c>
      <c r="C9110" t="str">
        <v>-</v>
      </c>
      <c r="D9110" t="str">
        <v>-</v>
      </c>
      <c r="E9110" t="str">
        <v/>
      </c>
      <c r="F9110" t="str">
        <v>-</v>
      </c>
      <c r="G9110" t="str">
        <v>-</v>
      </c>
    </row>
    <row r="9111">
      <c r="A9111">
        <v>9110</v>
      </c>
      <c r="B9111" t="str">
        <v>UBND Ủy ban nhân dân xã Đình Cao  tỉnh Hưng Yên</v>
      </c>
      <c r="C9111" t="str">
        <v>-</v>
      </c>
      <c r="D9111" t="str">
        <v>-</v>
      </c>
      <c r="E9111" t="str">
        <v>-</v>
      </c>
      <c r="F9111" t="str">
        <v>-</v>
      </c>
      <c r="G9111" t="str">
        <v>-</v>
      </c>
    </row>
    <row r="9112">
      <c r="A9112">
        <v>9111</v>
      </c>
      <c r="B9112" t="str">
        <v>Công an xã Nhật Quang  tỉnh Hưng Yên</v>
      </c>
      <c r="C9112" t="str">
        <v>-</v>
      </c>
      <c r="D9112" t="str">
        <v>-</v>
      </c>
      <c r="E9112" t="str">
        <v/>
      </c>
      <c r="F9112" t="str">
        <v>-</v>
      </c>
      <c r="G9112" t="str">
        <v>-</v>
      </c>
    </row>
    <row r="9113">
      <c r="A9113">
        <v>9112</v>
      </c>
      <c r="B9113" t="str">
        <v>UBND Ủy ban nhân dân xã Nhật Quang  tỉnh Hưng Yên</v>
      </c>
      <c r="C9113" t="str">
        <v>-</v>
      </c>
      <c r="D9113" t="str">
        <v>-</v>
      </c>
      <c r="E9113" t="str">
        <v>-</v>
      </c>
      <c r="F9113" t="str">
        <v>-</v>
      </c>
      <c r="G9113" t="str">
        <v>-</v>
      </c>
    </row>
    <row r="9114">
      <c r="A9114">
        <v>9113</v>
      </c>
      <c r="B9114" t="str">
        <v>Công an xã Tiền Tiến  tỉnh Hưng Yên</v>
      </c>
      <c r="C9114" t="str">
        <v>-</v>
      </c>
      <c r="D9114" t="str">
        <v>-</v>
      </c>
      <c r="E9114" t="str">
        <v/>
      </c>
      <c r="F9114" t="str">
        <v>-</v>
      </c>
      <c r="G9114" t="str">
        <v>-</v>
      </c>
    </row>
    <row r="9115">
      <c r="A9115">
        <v>9114</v>
      </c>
      <c r="B9115" t="str">
        <v>UBND Ủy ban nhân dân xã Tiền Tiến  tỉnh Hưng Yên</v>
      </c>
      <c r="C9115" t="str">
        <v>-</v>
      </c>
      <c r="D9115" t="str">
        <v>-</v>
      </c>
      <c r="E9115" t="str">
        <v>-</v>
      </c>
      <c r="F9115" t="str">
        <v>-</v>
      </c>
      <c r="G9115" t="str">
        <v>-</v>
      </c>
    </row>
    <row r="9116">
      <c r="A9116">
        <v>9115</v>
      </c>
      <c r="B9116" t="str">
        <v>Công an xã Tam Đa  tỉnh Hưng Yên</v>
      </c>
      <c r="C9116" t="str">
        <v>-</v>
      </c>
      <c r="D9116" t="str">
        <v>-</v>
      </c>
      <c r="E9116" t="str">
        <v/>
      </c>
      <c r="F9116" t="str">
        <v>-</v>
      </c>
      <c r="G9116" t="str">
        <v>-</v>
      </c>
    </row>
    <row r="9117">
      <c r="A9117">
        <v>9116</v>
      </c>
      <c r="B9117" t="str">
        <v>UBND Ủy ban nhân dân xã Tam Đa  tỉnh Hưng Yên</v>
      </c>
      <c r="C9117" t="str">
        <v>-</v>
      </c>
      <c r="D9117" t="str">
        <v>-</v>
      </c>
      <c r="E9117" t="str">
        <v>-</v>
      </c>
      <c r="F9117" t="str">
        <v>-</v>
      </c>
      <c r="G9117" t="str">
        <v>-</v>
      </c>
    </row>
    <row r="9118">
      <c r="A9118">
        <v>9117</v>
      </c>
      <c r="B9118" t="str">
        <v>Công an xã Minh Tiến  tỉnh Hưng Yên</v>
      </c>
      <c r="C9118" t="str">
        <v>-</v>
      </c>
      <c r="D9118" t="str">
        <v>-</v>
      </c>
      <c r="E9118" t="str">
        <v/>
      </c>
      <c r="F9118" t="str">
        <v>-</v>
      </c>
      <c r="G9118" t="str">
        <v>-</v>
      </c>
    </row>
    <row r="9119">
      <c r="A9119">
        <v>9118</v>
      </c>
      <c r="B9119" t="str">
        <v>UBND Ủy ban nhân dân xã Minh Tiến  tỉnh Hưng Yên</v>
      </c>
      <c r="C9119" t="str">
        <v>-</v>
      </c>
      <c r="D9119" t="str">
        <v>-</v>
      </c>
      <c r="E9119" t="str">
        <v>-</v>
      </c>
      <c r="F9119" t="str">
        <v>-</v>
      </c>
      <c r="G9119" t="str">
        <v>-</v>
      </c>
    </row>
    <row r="9120">
      <c r="A9120">
        <v>9119</v>
      </c>
      <c r="B9120" t="str">
        <v>Công an xã Nguyên Hòa  tỉnh Hưng Yên</v>
      </c>
      <c r="C9120" t="str">
        <v>-</v>
      </c>
      <c r="D9120" t="str">
        <v>-</v>
      </c>
      <c r="E9120" t="str">
        <v/>
      </c>
      <c r="F9120" t="str">
        <v>-</v>
      </c>
      <c r="G9120" t="str">
        <v>-</v>
      </c>
    </row>
    <row r="9121">
      <c r="A9121">
        <v>9120</v>
      </c>
      <c r="B9121" t="str">
        <v>UBND Ủy ban nhân dân xã Nguyên Hòa  tỉnh Hưng Yên</v>
      </c>
      <c r="C9121" t="str">
        <v>-</v>
      </c>
      <c r="D9121" t="str">
        <v>-</v>
      </c>
      <c r="E9121" t="str">
        <v>-</v>
      </c>
      <c r="F9121" t="str">
        <v>-</v>
      </c>
      <c r="G9121" t="str">
        <v>-</v>
      </c>
    </row>
    <row r="9122">
      <c r="A9122">
        <v>9121</v>
      </c>
      <c r="B9122" t="str">
        <v>Công an xã Tống Trân  tỉnh Hưng Yên</v>
      </c>
      <c r="C9122" t="str">
        <v>-</v>
      </c>
      <c r="D9122" t="str">
        <v>-</v>
      </c>
      <c r="E9122" t="str">
        <v/>
      </c>
      <c r="F9122" t="str">
        <v>-</v>
      </c>
      <c r="G9122" t="str">
        <v>-</v>
      </c>
    </row>
    <row r="9123">
      <c r="A9123">
        <v>9122</v>
      </c>
      <c r="B9123" t="str">
        <v>UBND Ủy ban nhân dân xã Tống Trân  tỉnh Hưng Yên</v>
      </c>
      <c r="C9123" t="str">
        <v>-</v>
      </c>
      <c r="D9123" t="str">
        <v>-</v>
      </c>
      <c r="E9123" t="str">
        <v>-</v>
      </c>
      <c r="F9123" t="str">
        <v>-</v>
      </c>
      <c r="G9123" t="str">
        <v>-</v>
      </c>
    </row>
    <row r="9124">
      <c r="A9124">
        <v>9123</v>
      </c>
      <c r="B9124" t="str">
        <v>Công an phường Lê Hồng Phong  tỉnh Thái Bình</v>
      </c>
      <c r="C9124" t="str">
        <v>-</v>
      </c>
      <c r="D9124" t="str">
        <v>-</v>
      </c>
      <c r="E9124" t="str">
        <v/>
      </c>
      <c r="F9124" t="str">
        <v>-</v>
      </c>
      <c r="G9124" t="str">
        <v>-</v>
      </c>
    </row>
    <row r="9125">
      <c r="A9125">
        <v>9124</v>
      </c>
      <c r="B9125" t="str">
        <v>UBND Ủy ban nhân dân phường Lê Hồng Phong  tỉnh Thái Bình</v>
      </c>
      <c r="C9125" t="str">
        <v>-</v>
      </c>
      <c r="D9125" t="str">
        <v>-</v>
      </c>
      <c r="E9125" t="str">
        <v>-</v>
      </c>
      <c r="F9125" t="str">
        <v>-</v>
      </c>
      <c r="G9125" t="str">
        <v>-</v>
      </c>
    </row>
    <row r="9126">
      <c r="A9126">
        <v>9125</v>
      </c>
      <c r="B9126" t="str">
        <v>Công an phường Bồ Xuyên  tỉnh Thái Bình</v>
      </c>
      <c r="C9126" t="str">
        <v>-</v>
      </c>
      <c r="D9126" t="str">
        <v>-</v>
      </c>
      <c r="E9126" t="str">
        <v/>
      </c>
      <c r="F9126" t="str">
        <v>-</v>
      </c>
      <c r="G9126" t="str">
        <v>-</v>
      </c>
    </row>
    <row r="9127">
      <c r="A9127">
        <v>9126</v>
      </c>
      <c r="B9127" t="str">
        <v>UBND Ủy ban nhân dân phường Bồ Xuyên  tỉnh Thái Bình</v>
      </c>
      <c r="C9127" t="str">
        <v>-</v>
      </c>
      <c r="D9127" t="str">
        <v>-</v>
      </c>
      <c r="E9127" t="str">
        <v>-</v>
      </c>
      <c r="F9127" t="str">
        <v>-</v>
      </c>
      <c r="G9127" t="str">
        <v>-</v>
      </c>
    </row>
    <row r="9128">
      <c r="A9128">
        <v>9127</v>
      </c>
      <c r="B9128" t="str">
        <v>Công an phường Đề Thám  tỉnh Thái Bình</v>
      </c>
      <c r="C9128" t="str">
        <v>-</v>
      </c>
      <c r="D9128" t="str">
        <v>-</v>
      </c>
      <c r="E9128" t="str">
        <v/>
      </c>
      <c r="F9128" t="str">
        <v>-</v>
      </c>
      <c r="G9128" t="str">
        <v>-</v>
      </c>
    </row>
    <row r="9129">
      <c r="A9129">
        <v>9128</v>
      </c>
      <c r="B9129" t="str">
        <v>UBND Ủy ban nhân dân phường Đề Thám  tỉnh Thái Bình</v>
      </c>
      <c r="C9129" t="str">
        <v>-</v>
      </c>
      <c r="D9129" t="str">
        <v>-</v>
      </c>
      <c r="E9129" t="str">
        <v>-</v>
      </c>
      <c r="F9129" t="str">
        <v>-</v>
      </c>
      <c r="G9129" t="str">
        <v>-</v>
      </c>
    </row>
    <row r="9130">
      <c r="A9130">
        <v>9129</v>
      </c>
      <c r="B9130" t="str">
        <v>Công an phường Kỳ Bá  tỉnh Thái Bình</v>
      </c>
      <c r="C9130" t="str">
        <v>-</v>
      </c>
      <c r="D9130" t="str">
        <v>-</v>
      </c>
      <c r="E9130" t="str">
        <v/>
      </c>
      <c r="F9130" t="str">
        <v>-</v>
      </c>
      <c r="G9130" t="str">
        <v>-</v>
      </c>
    </row>
    <row r="9131">
      <c r="A9131">
        <v>9130</v>
      </c>
      <c r="B9131" t="str">
        <v>UBND Ủy ban nhân dân phường Kỳ Bá  tỉnh Thái Bình</v>
      </c>
      <c r="C9131" t="str">
        <v>-</v>
      </c>
      <c r="D9131" t="str">
        <v>-</v>
      </c>
      <c r="E9131" t="str">
        <v>-</v>
      </c>
      <c r="F9131" t="str">
        <v>-</v>
      </c>
      <c r="G9131" t="str">
        <v>-</v>
      </c>
    </row>
    <row r="9132">
      <c r="A9132">
        <v>9131</v>
      </c>
      <c r="B9132" t="str">
        <v>Công an phường Quang Trung  tỉnh Thái Bình</v>
      </c>
      <c r="C9132" t="str">
        <v>-</v>
      </c>
      <c r="D9132" t="str">
        <v>-</v>
      </c>
      <c r="E9132" t="str">
        <v/>
      </c>
      <c r="F9132" t="str">
        <v>-</v>
      </c>
      <c r="G9132" t="str">
        <v>-</v>
      </c>
    </row>
    <row r="9133">
      <c r="A9133">
        <v>9132</v>
      </c>
      <c r="B9133" t="str">
        <v>UBND Ủy ban nhân dân phường Quang Trung  tỉnh Thái Bình</v>
      </c>
      <c r="C9133" t="str">
        <v>-</v>
      </c>
      <c r="D9133" t="str">
        <v>-</v>
      </c>
      <c r="E9133" t="str">
        <v>-</v>
      </c>
      <c r="F9133" t="str">
        <v>-</v>
      </c>
      <c r="G9133" t="str">
        <v>-</v>
      </c>
    </row>
    <row r="9134">
      <c r="A9134">
        <v>9133</v>
      </c>
      <c r="B9134" t="str">
        <v>Công an phường Phú Khánh  tỉnh Thái Bình</v>
      </c>
      <c r="C9134" t="str">
        <v>-</v>
      </c>
      <c r="D9134" t="str">
        <v>-</v>
      </c>
      <c r="E9134" t="str">
        <v/>
      </c>
      <c r="F9134" t="str">
        <v>-</v>
      </c>
      <c r="G9134" t="str">
        <v>-</v>
      </c>
    </row>
    <row r="9135">
      <c r="A9135">
        <v>9134</v>
      </c>
      <c r="B9135" t="str">
        <v>UBND Ủy ban nhân dân phường Phú Khánh  tỉnh Thái Bình</v>
      </c>
      <c r="C9135" t="str">
        <v>-</v>
      </c>
      <c r="D9135" t="str">
        <v>-</v>
      </c>
      <c r="E9135" t="str">
        <v>-</v>
      </c>
      <c r="F9135" t="str">
        <v>-</v>
      </c>
      <c r="G9135" t="str">
        <v>-</v>
      </c>
    </row>
    <row r="9136">
      <c r="A9136">
        <v>9135</v>
      </c>
      <c r="B9136" t="str">
        <v>Công an phường Tiền Phong  tỉnh Thái Bình</v>
      </c>
      <c r="C9136" t="str">
        <v>-</v>
      </c>
      <c r="D9136" t="str">
        <v>-</v>
      </c>
      <c r="E9136" t="str">
        <v/>
      </c>
      <c r="F9136" t="str">
        <v>-</v>
      </c>
      <c r="G9136" t="str">
        <v>-</v>
      </c>
    </row>
    <row r="9137">
      <c r="A9137">
        <v>9136</v>
      </c>
      <c r="B9137" t="str">
        <v>UBND Ủy ban nhân dân phường Tiền Phong  tỉnh Thái Bình</v>
      </c>
      <c r="C9137" t="str">
        <v>-</v>
      </c>
      <c r="D9137" t="str">
        <v>-</v>
      </c>
      <c r="E9137" t="str">
        <v>-</v>
      </c>
      <c r="F9137" t="str">
        <v>-</v>
      </c>
      <c r="G9137" t="str">
        <v>-</v>
      </c>
    </row>
    <row r="9138">
      <c r="A9138">
        <v>9137</v>
      </c>
      <c r="B9138" t="str">
        <v>Công an phường Trần Hưng Đạo  tỉnh Thái Bình</v>
      </c>
      <c r="C9138" t="str">
        <v>-</v>
      </c>
      <c r="D9138" t="str">
        <v>-</v>
      </c>
      <c r="E9138" t="str">
        <v/>
      </c>
      <c r="F9138" t="str">
        <v>-</v>
      </c>
      <c r="G9138" t="str">
        <v>-</v>
      </c>
    </row>
    <row r="9139">
      <c r="A9139">
        <v>9138</v>
      </c>
      <c r="B9139" t="str">
        <v>UBND Ủy ban nhân dân phường Trần Hưng Đạo  tỉnh Thái Bình</v>
      </c>
      <c r="C9139" t="str">
        <v>-</v>
      </c>
      <c r="D9139" t="str">
        <v>-</v>
      </c>
      <c r="E9139" t="str">
        <v>-</v>
      </c>
      <c r="F9139" t="str">
        <v>-</v>
      </c>
      <c r="G9139" t="str">
        <v>-</v>
      </c>
    </row>
    <row r="9140">
      <c r="A9140">
        <v>9139</v>
      </c>
      <c r="B9140" t="str">
        <v>Công an phường Trần Lãm  tỉnh Thái Bình</v>
      </c>
      <c r="C9140" t="str">
        <v>-</v>
      </c>
      <c r="D9140" t="str">
        <v>-</v>
      </c>
      <c r="E9140" t="str">
        <v/>
      </c>
      <c r="F9140" t="str">
        <v>-</v>
      </c>
      <c r="G9140" t="str">
        <v>-</v>
      </c>
    </row>
    <row r="9141">
      <c r="A9141">
        <v>9140</v>
      </c>
      <c r="B9141" t="str">
        <v>UBND Ủy ban nhân dân phường Trần Lãm  tỉnh Thái Bình</v>
      </c>
      <c r="C9141" t="str">
        <v>-</v>
      </c>
      <c r="D9141" t="str">
        <v>-</v>
      </c>
      <c r="E9141" t="str">
        <v>-</v>
      </c>
      <c r="F9141" t="str">
        <v>-</v>
      </c>
      <c r="G9141" t="str">
        <v>-</v>
      </c>
    </row>
    <row r="9142">
      <c r="A9142">
        <v>9141</v>
      </c>
      <c r="B9142" t="str">
        <v>Công an xã Đông Hòa  tỉnh Thái Bình</v>
      </c>
      <c r="C9142" t="str">
        <v>-</v>
      </c>
      <c r="D9142" t="str">
        <v>-</v>
      </c>
      <c r="E9142" t="str">
        <v/>
      </c>
      <c r="F9142" t="str">
        <v>-</v>
      </c>
      <c r="G9142" t="str">
        <v>-</v>
      </c>
    </row>
    <row r="9143">
      <c r="A9143">
        <v>9142</v>
      </c>
      <c r="B9143" t="str">
        <v>UBND Ủy ban nhân dân xã Đông Hòa  tỉnh Thái Bình</v>
      </c>
      <c r="C9143" t="str">
        <v>-</v>
      </c>
      <c r="D9143" t="str">
        <v>-</v>
      </c>
      <c r="E9143" t="str">
        <v>-</v>
      </c>
      <c r="F9143" t="str">
        <v>-</v>
      </c>
      <c r="G9143" t="str">
        <v>-</v>
      </c>
    </row>
    <row r="9144">
      <c r="A9144">
        <v>9143</v>
      </c>
      <c r="B9144" t="str">
        <v>Công an phường Hoàng Diệu  tỉnh Thái Bình</v>
      </c>
      <c r="C9144" t="str">
        <v>-</v>
      </c>
      <c r="D9144" t="str">
        <v>-</v>
      </c>
      <c r="E9144" t="str">
        <v/>
      </c>
      <c r="F9144" t="str">
        <v>-</v>
      </c>
      <c r="G9144" t="str">
        <v>-</v>
      </c>
    </row>
    <row r="9145">
      <c r="A9145">
        <v>9144</v>
      </c>
      <c r="B9145" t="str">
        <v>UBND Ủy ban nhân dân phường Hoàng Diệu  tỉnh Thái Bình</v>
      </c>
      <c r="C9145" t="str">
        <v>-</v>
      </c>
      <c r="D9145" t="str">
        <v>-</v>
      </c>
      <c r="E9145" t="str">
        <v>-</v>
      </c>
      <c r="F9145" t="str">
        <v>-</v>
      </c>
      <c r="G9145" t="str">
        <v>-</v>
      </c>
    </row>
    <row r="9146">
      <c r="A9146">
        <v>9145</v>
      </c>
      <c r="B9146" t="str">
        <v>Công an xã Phú Xuân  tỉnh Thái Bình</v>
      </c>
      <c r="C9146" t="str">
        <v>-</v>
      </c>
      <c r="D9146" t="str">
        <v>-</v>
      </c>
      <c r="E9146" t="str">
        <v/>
      </c>
      <c r="F9146" t="str">
        <v>-</v>
      </c>
      <c r="G9146" t="str">
        <v>-</v>
      </c>
    </row>
    <row r="9147">
      <c r="A9147">
        <v>9146</v>
      </c>
      <c r="B9147" t="str">
        <v>UBND Ủy ban nhân dân xã Phú Xuân  tỉnh Thái Bình</v>
      </c>
      <c r="C9147" t="str">
        <v>-</v>
      </c>
      <c r="D9147" t="str">
        <v>-</v>
      </c>
      <c r="E9147" t="str">
        <v>-</v>
      </c>
      <c r="F9147" t="str">
        <v>-</v>
      </c>
      <c r="G9147" t="str">
        <v>-</v>
      </c>
    </row>
    <row r="9148">
      <c r="A9148">
        <v>9147</v>
      </c>
      <c r="B9148" t="str">
        <v>Công an xã Vũ Phúc  tỉnh Thái Bình</v>
      </c>
      <c r="C9148" t="str">
        <v>-</v>
      </c>
      <c r="D9148" t="str">
        <v>-</v>
      </c>
      <c r="E9148" t="str">
        <v/>
      </c>
      <c r="F9148" t="str">
        <v>-</v>
      </c>
      <c r="G9148" t="str">
        <v>-</v>
      </c>
    </row>
    <row r="9149">
      <c r="A9149">
        <v>9148</v>
      </c>
      <c r="B9149" t="str">
        <v>UBND Ủy ban nhân dân xã Vũ Phúc  tỉnh Thái Bình</v>
      </c>
      <c r="C9149" t="str">
        <v>-</v>
      </c>
      <c r="D9149" t="str">
        <v>-</v>
      </c>
      <c r="E9149" t="str">
        <v>-</v>
      </c>
      <c r="F9149" t="str">
        <v>-</v>
      </c>
      <c r="G9149" t="str">
        <v>-</v>
      </c>
    </row>
    <row r="9150">
      <c r="A9150">
        <v>9149</v>
      </c>
      <c r="B9150" t="str">
        <v>Công an xã Vũ Chính  tỉnh Thái Bình</v>
      </c>
      <c r="C9150" t="str">
        <v>-</v>
      </c>
      <c r="D9150" t="str">
        <v>-</v>
      </c>
      <c r="E9150" t="str">
        <v/>
      </c>
      <c r="F9150" t="str">
        <v>-</v>
      </c>
      <c r="G9150" t="str">
        <v>-</v>
      </c>
    </row>
    <row r="9151">
      <c r="A9151">
        <v>9150</v>
      </c>
      <c r="B9151" t="str">
        <v>UBND Ủy ban nhân dân xã Vũ Chính  tỉnh Thái Bình</v>
      </c>
      <c r="C9151" t="str">
        <v>-</v>
      </c>
      <c r="D9151" t="str">
        <v>-</v>
      </c>
      <c r="E9151" t="str">
        <v>-</v>
      </c>
      <c r="F9151" t="str">
        <v>-</v>
      </c>
      <c r="G9151" t="str">
        <v>-</v>
      </c>
    </row>
    <row r="9152">
      <c r="A9152">
        <v>9151</v>
      </c>
      <c r="B9152" t="str">
        <v>Công an xã Đông Mỹ  tỉnh Thái Bình</v>
      </c>
      <c r="C9152" t="str">
        <v>-</v>
      </c>
      <c r="D9152" t="str">
        <v>-</v>
      </c>
      <c r="E9152" t="str">
        <v/>
      </c>
      <c r="F9152" t="str">
        <v>-</v>
      </c>
      <c r="G9152" t="str">
        <v>-</v>
      </c>
    </row>
    <row r="9153">
      <c r="A9153">
        <v>9152</v>
      </c>
      <c r="B9153" t="str">
        <v>UBND Ủy ban nhân dân xã Đông Mỹ  tỉnh Thái Bình</v>
      </c>
      <c r="C9153" t="str">
        <v>-</v>
      </c>
      <c r="D9153" t="str">
        <v>-</v>
      </c>
      <c r="E9153" t="str">
        <v>-</v>
      </c>
      <c r="F9153" t="str">
        <v>-</v>
      </c>
      <c r="G9153" t="str">
        <v>-</v>
      </c>
    </row>
    <row r="9154">
      <c r="A9154">
        <v>9153</v>
      </c>
      <c r="B9154" t="str">
        <v>Công an xã Đông Thọ  tỉnh Thái Bình</v>
      </c>
      <c r="C9154" t="str">
        <v>-</v>
      </c>
      <c r="D9154" t="str">
        <v>-</v>
      </c>
      <c r="E9154" t="str">
        <v/>
      </c>
      <c r="F9154" t="str">
        <v>-</v>
      </c>
      <c r="G9154" t="str">
        <v>-</v>
      </c>
    </row>
    <row r="9155">
      <c r="A9155">
        <v>9154</v>
      </c>
      <c r="B9155" t="str">
        <v>UBND Ủy ban nhân dân xã Đông Thọ  tỉnh Thái Bình</v>
      </c>
      <c r="C9155" t="str">
        <v>-</v>
      </c>
      <c r="D9155" t="str">
        <v>-</v>
      </c>
      <c r="E9155" t="str">
        <v>-</v>
      </c>
      <c r="F9155" t="str">
        <v>-</v>
      </c>
      <c r="G9155" t="str">
        <v>-</v>
      </c>
    </row>
    <row r="9156">
      <c r="A9156">
        <v>9155</v>
      </c>
      <c r="B9156" t="str">
        <v>Công an xã Vũ Đông  tỉnh Thái Bình</v>
      </c>
      <c r="C9156" t="str">
        <v>-</v>
      </c>
      <c r="D9156" t="str">
        <v>-</v>
      </c>
      <c r="E9156" t="str">
        <v/>
      </c>
      <c r="F9156" t="str">
        <v>-</v>
      </c>
      <c r="G9156" t="str">
        <v>-</v>
      </c>
    </row>
    <row r="9157">
      <c r="A9157">
        <v>9156</v>
      </c>
      <c r="B9157" t="str">
        <v>UBND Ủy ban nhân dân xã Vũ Đông  tỉnh Thái Bình</v>
      </c>
      <c r="C9157" t="str">
        <v>-</v>
      </c>
      <c r="D9157" t="str">
        <v>-</v>
      </c>
      <c r="E9157" t="str">
        <v>-</v>
      </c>
      <c r="F9157" t="str">
        <v>-</v>
      </c>
      <c r="G9157" t="str">
        <v>-</v>
      </c>
    </row>
    <row r="9158">
      <c r="A9158">
        <v>9157</v>
      </c>
      <c r="B9158" t="str">
        <v>Công an xã Vũ Lạc  tỉnh Thái Bình</v>
      </c>
      <c r="C9158" t="str">
        <v>-</v>
      </c>
      <c r="D9158" t="str">
        <v>-</v>
      </c>
      <c r="E9158" t="str">
        <v/>
      </c>
      <c r="F9158" t="str">
        <v>-</v>
      </c>
      <c r="G9158" t="str">
        <v>-</v>
      </c>
    </row>
    <row r="9159">
      <c r="A9159">
        <v>9158</v>
      </c>
      <c r="B9159" t="str">
        <v>UBND Ủy ban nhân dân xã Vũ Lạc  tỉnh Thái Bình</v>
      </c>
      <c r="C9159" t="str">
        <v>-</v>
      </c>
      <c r="D9159" t="str">
        <v>-</v>
      </c>
      <c r="E9159" t="str">
        <v>-</v>
      </c>
      <c r="F9159" t="str">
        <v>-</v>
      </c>
      <c r="G9159" t="str">
        <v>-</v>
      </c>
    </row>
    <row r="9160">
      <c r="A9160">
        <v>9159</v>
      </c>
      <c r="B9160" t="str">
        <v>Công an xã Tân Bình  tỉnh Thái Bình</v>
      </c>
      <c r="C9160" t="str">
        <v>-</v>
      </c>
      <c r="D9160" t="str">
        <v>-</v>
      </c>
      <c r="E9160" t="str">
        <v/>
      </c>
      <c r="F9160" t="str">
        <v>-</v>
      </c>
      <c r="G9160" t="str">
        <v>-</v>
      </c>
    </row>
    <row r="9161">
      <c r="A9161">
        <v>9160</v>
      </c>
      <c r="B9161" t="str">
        <v>UBND Ủy ban nhân dân xã Tân Bình  tỉnh Thái Bình</v>
      </c>
      <c r="C9161" t="str">
        <v>-</v>
      </c>
      <c r="D9161" t="str">
        <v>-</v>
      </c>
      <c r="E9161" t="str">
        <v>-</v>
      </c>
      <c r="F9161" t="str">
        <v>-</v>
      </c>
      <c r="G9161" t="str">
        <v>-</v>
      </c>
    </row>
    <row r="9162">
      <c r="A9162">
        <v>9161</v>
      </c>
      <c r="B9162" t="str">
        <v>Công an thị trấn Quỳnh Côi  tỉnh Thái Bình</v>
      </c>
      <c r="C9162" t="str">
        <v>-</v>
      </c>
      <c r="D9162" t="str">
        <v>-</v>
      </c>
      <c r="E9162" t="str">
        <v/>
      </c>
      <c r="F9162" t="str">
        <v>-</v>
      </c>
      <c r="G9162" t="str">
        <v>-</v>
      </c>
    </row>
    <row r="9163">
      <c r="A9163">
        <v>9162</v>
      </c>
      <c r="B9163" t="str">
        <v>UBND Ủy ban nhân dân thị trấn Quỳnh Côi  tỉnh Thái Bình</v>
      </c>
      <c r="C9163" t="str">
        <v>-</v>
      </c>
      <c r="D9163" t="str">
        <v>-</v>
      </c>
      <c r="E9163" t="str">
        <v>-</v>
      </c>
      <c r="F9163" t="str">
        <v>-</v>
      </c>
      <c r="G9163" t="str">
        <v>-</v>
      </c>
    </row>
    <row r="9164">
      <c r="A9164">
        <v>9163</v>
      </c>
      <c r="B9164" t="str">
        <v>Công an xã An Khê  tỉnh Thái Bình</v>
      </c>
      <c r="C9164" t="str">
        <v>-</v>
      </c>
      <c r="D9164" t="str">
        <v>-</v>
      </c>
      <c r="E9164" t="str">
        <v/>
      </c>
      <c r="F9164" t="str">
        <v>-</v>
      </c>
      <c r="G9164" t="str">
        <v>-</v>
      </c>
    </row>
    <row r="9165">
      <c r="A9165">
        <v>9164</v>
      </c>
      <c r="B9165" t="str">
        <v>UBND Ủy ban nhân dân xã An Khê  tỉnh Thái Bình</v>
      </c>
      <c r="C9165" t="str">
        <v>-</v>
      </c>
      <c r="D9165" t="str">
        <v>-</v>
      </c>
      <c r="E9165" t="str">
        <v>-</v>
      </c>
      <c r="F9165" t="str">
        <v>-</v>
      </c>
      <c r="G9165" t="str">
        <v>-</v>
      </c>
    </row>
    <row r="9166">
      <c r="A9166">
        <v>9165</v>
      </c>
      <c r="B9166" t="str">
        <v>Công an xã An Đồng  tỉnh Thái Bình</v>
      </c>
      <c r="C9166" t="str">
        <v>-</v>
      </c>
      <c r="D9166" t="str">
        <v>-</v>
      </c>
      <c r="E9166" t="str">
        <v/>
      </c>
      <c r="F9166" t="str">
        <v>-</v>
      </c>
      <c r="G9166" t="str">
        <v>-</v>
      </c>
    </row>
    <row r="9167">
      <c r="A9167">
        <v>9166</v>
      </c>
      <c r="B9167" t="str">
        <v>UBND Ủy ban nhân dân xã An Đồng  tỉnh Thái Bình</v>
      </c>
      <c r="C9167" t="str">
        <v>-</v>
      </c>
      <c r="D9167" t="str">
        <v>-</v>
      </c>
      <c r="E9167" t="str">
        <v>-</v>
      </c>
      <c r="F9167" t="str">
        <v>-</v>
      </c>
      <c r="G9167" t="str">
        <v>-</v>
      </c>
    </row>
    <row r="9168">
      <c r="A9168">
        <v>9167</v>
      </c>
      <c r="B9168" t="str">
        <v>Công an xã Quỳnh Hoa  tỉnh Thái Bình</v>
      </c>
      <c r="C9168" t="str">
        <v>-</v>
      </c>
      <c r="D9168" t="str">
        <v>-</v>
      </c>
      <c r="E9168" t="str">
        <v/>
      </c>
      <c r="F9168" t="str">
        <v>-</v>
      </c>
      <c r="G9168" t="str">
        <v>-</v>
      </c>
    </row>
    <row r="9169">
      <c r="A9169">
        <v>9168</v>
      </c>
      <c r="B9169" t="str">
        <v>UBND Ủy ban nhân dân xã Quỳnh Hoa  tỉnh Thái Bình</v>
      </c>
      <c r="C9169" t="str">
        <v>-</v>
      </c>
      <c r="D9169" t="str">
        <v>-</v>
      </c>
      <c r="E9169" t="str">
        <v>-</v>
      </c>
      <c r="F9169" t="str">
        <v>-</v>
      </c>
      <c r="G9169" t="str">
        <v>-</v>
      </c>
    </row>
    <row r="9170">
      <c r="A9170">
        <v>9169</v>
      </c>
      <c r="B9170" t="str">
        <v>Công an xã Quỳnh Lâm  tỉnh Thái Bình</v>
      </c>
      <c r="C9170" t="str">
        <v>-</v>
      </c>
      <c r="D9170" t="str">
        <v>-</v>
      </c>
      <c r="E9170" t="str">
        <v/>
      </c>
      <c r="F9170" t="str">
        <v>-</v>
      </c>
      <c r="G9170" t="str">
        <v>-</v>
      </c>
    </row>
    <row r="9171">
      <c r="A9171">
        <v>9170</v>
      </c>
      <c r="B9171" t="str">
        <v>UBND Ủy ban nhân dân xã Quỳnh Lâm  tỉnh Thái Bình</v>
      </c>
      <c r="C9171" t="str">
        <v>-</v>
      </c>
      <c r="D9171" t="str">
        <v>-</v>
      </c>
      <c r="E9171" t="str">
        <v>-</v>
      </c>
      <c r="F9171" t="str">
        <v>-</v>
      </c>
      <c r="G9171" t="str">
        <v>-</v>
      </c>
    </row>
    <row r="9172">
      <c r="A9172">
        <v>9171</v>
      </c>
      <c r="B9172" t="str">
        <v>Công an xã Quỳnh Thọ  tỉnh Thái Bình</v>
      </c>
      <c r="C9172" t="str">
        <v>-</v>
      </c>
      <c r="D9172" t="str">
        <v>-</v>
      </c>
      <c r="E9172" t="str">
        <v/>
      </c>
      <c r="F9172" t="str">
        <v>-</v>
      </c>
      <c r="G9172" t="str">
        <v>-</v>
      </c>
    </row>
    <row r="9173">
      <c r="A9173">
        <v>9172</v>
      </c>
      <c r="B9173" t="str">
        <v>UBND Ủy ban nhân dân xã Quỳnh Thọ  tỉnh Thái Bình</v>
      </c>
      <c r="C9173" t="str">
        <v>-</v>
      </c>
      <c r="D9173" t="str">
        <v>-</v>
      </c>
      <c r="E9173" t="str">
        <v>-</v>
      </c>
      <c r="F9173" t="str">
        <v>-</v>
      </c>
      <c r="G9173" t="str">
        <v>-</v>
      </c>
    </row>
    <row r="9174">
      <c r="A9174">
        <v>9173</v>
      </c>
      <c r="B9174" t="str">
        <v>Công an xã An Hiệp  tỉnh Thái Bình</v>
      </c>
      <c r="C9174" t="str">
        <v>-</v>
      </c>
      <c r="D9174" t="str">
        <v>-</v>
      </c>
      <c r="E9174" t="str">
        <v/>
      </c>
      <c r="F9174" t="str">
        <v>-</v>
      </c>
      <c r="G9174" t="str">
        <v>-</v>
      </c>
    </row>
    <row r="9175">
      <c r="A9175">
        <v>9174</v>
      </c>
      <c r="B9175" t="str">
        <v>UBND Ủy ban nhân dân xã An Hiệp  tỉnh Thái Bình</v>
      </c>
      <c r="C9175" t="str">
        <v>-</v>
      </c>
      <c r="D9175" t="str">
        <v>-</v>
      </c>
      <c r="E9175" t="str">
        <v>-</v>
      </c>
      <c r="F9175" t="str">
        <v>-</v>
      </c>
      <c r="G9175" t="str">
        <v>-</v>
      </c>
    </row>
    <row r="9176">
      <c r="A9176">
        <v>9175</v>
      </c>
      <c r="B9176" t="str">
        <v>Công an xã Quỳnh Hoàng  tỉnh Thái Bình</v>
      </c>
      <c r="C9176" t="str">
        <v>-</v>
      </c>
      <c r="D9176" t="str">
        <v>-</v>
      </c>
      <c r="E9176" t="str">
        <v/>
      </c>
      <c r="F9176" t="str">
        <v>-</v>
      </c>
      <c r="G9176" t="str">
        <v>-</v>
      </c>
    </row>
    <row r="9177">
      <c r="A9177">
        <v>9176</v>
      </c>
      <c r="B9177" t="str">
        <v>UBND Ủy ban nhân dân xã Quỳnh Hoàng  tỉnh Thái Bình</v>
      </c>
      <c r="C9177" t="str">
        <v>-</v>
      </c>
      <c r="D9177" t="str">
        <v>-</v>
      </c>
      <c r="E9177" t="str">
        <v>-</v>
      </c>
      <c r="F9177" t="str">
        <v>-</v>
      </c>
      <c r="G9177" t="str">
        <v>-</v>
      </c>
    </row>
    <row r="9178">
      <c r="A9178">
        <v>9177</v>
      </c>
      <c r="B9178" t="str">
        <v>Công an xã Quỳnh Giao  tỉnh Thái Bình</v>
      </c>
      <c r="C9178" t="str">
        <v>-</v>
      </c>
      <c r="D9178" t="str">
        <v>-</v>
      </c>
      <c r="E9178" t="str">
        <v/>
      </c>
      <c r="F9178" t="str">
        <v>-</v>
      </c>
      <c r="G9178" t="str">
        <v>-</v>
      </c>
    </row>
    <row r="9179">
      <c r="A9179">
        <v>9178</v>
      </c>
      <c r="B9179" t="str">
        <v>UBND Ủy ban nhân dân xã Quỳnh Giao  tỉnh Thái Bình</v>
      </c>
      <c r="C9179" t="str">
        <v>-</v>
      </c>
      <c r="D9179" t="str">
        <v>-</v>
      </c>
      <c r="E9179" t="str">
        <v>-</v>
      </c>
      <c r="F9179" t="str">
        <v>-</v>
      </c>
      <c r="G9179" t="str">
        <v>-</v>
      </c>
    </row>
    <row r="9180">
      <c r="A9180">
        <v>9179</v>
      </c>
      <c r="B9180" t="str">
        <v>Công an xã An Thái  tỉnh Thái Bình</v>
      </c>
      <c r="C9180" t="str">
        <v>-</v>
      </c>
      <c r="D9180" t="str">
        <v>-</v>
      </c>
      <c r="E9180" t="str">
        <v/>
      </c>
      <c r="F9180" t="str">
        <v>-</v>
      </c>
      <c r="G9180" t="str">
        <v>-</v>
      </c>
    </row>
    <row r="9181">
      <c r="A9181">
        <v>9180</v>
      </c>
      <c r="B9181" t="str">
        <v>UBND Ủy ban nhân dân xã An Thái  tỉnh Thái Bình</v>
      </c>
      <c r="C9181" t="str">
        <v>-</v>
      </c>
      <c r="D9181" t="str">
        <v>-</v>
      </c>
      <c r="E9181" t="str">
        <v>-</v>
      </c>
      <c r="F9181" t="str">
        <v>-</v>
      </c>
      <c r="G9181" t="str">
        <v>-</v>
      </c>
    </row>
    <row r="9182">
      <c r="A9182">
        <v>9181</v>
      </c>
      <c r="B9182" t="str">
        <v>Công an xã An Cầu  tỉnh Thái Bình</v>
      </c>
      <c r="C9182" t="str">
        <v>-</v>
      </c>
      <c r="D9182" t="str">
        <v>-</v>
      </c>
      <c r="E9182" t="str">
        <v/>
      </c>
      <c r="F9182" t="str">
        <v>-</v>
      </c>
      <c r="G9182" t="str">
        <v>-</v>
      </c>
    </row>
    <row r="9183">
      <c r="A9183">
        <v>9182</v>
      </c>
      <c r="B9183" t="str">
        <v>UBND Ủy ban nhân dân xã An Cầu  tỉnh Thái Bình</v>
      </c>
      <c r="C9183" t="str">
        <v>-</v>
      </c>
      <c r="D9183" t="str">
        <v>-</v>
      </c>
      <c r="E9183" t="str">
        <v>-</v>
      </c>
      <c r="F9183" t="str">
        <v>-</v>
      </c>
      <c r="G9183" t="str">
        <v>-</v>
      </c>
    </row>
    <row r="9184">
      <c r="A9184">
        <v>9183</v>
      </c>
      <c r="B9184" t="str">
        <v>Công an xã Quỳnh Hồng  tỉnh Thái Bình</v>
      </c>
      <c r="C9184" t="str">
        <v>-</v>
      </c>
      <c r="D9184" t="str">
        <v>-</v>
      </c>
      <c r="E9184" t="str">
        <v/>
      </c>
      <c r="F9184" t="str">
        <v>-</v>
      </c>
      <c r="G9184" t="str">
        <v>-</v>
      </c>
    </row>
    <row r="9185">
      <c r="A9185">
        <v>9184</v>
      </c>
      <c r="B9185" t="str">
        <v>UBND Ủy ban nhân dân xã Quỳnh Hồng  tỉnh Thái Bình</v>
      </c>
      <c r="C9185" t="str">
        <v>-</v>
      </c>
      <c r="D9185" t="str">
        <v>-</v>
      </c>
      <c r="E9185" t="str">
        <v>-</v>
      </c>
      <c r="F9185" t="str">
        <v>-</v>
      </c>
      <c r="G9185" t="str">
        <v>-</v>
      </c>
    </row>
    <row r="9186">
      <c r="A9186">
        <v>9185</v>
      </c>
      <c r="B9186" t="str">
        <v>Công an xã Quỳnh Khê  tỉnh Thái Bình</v>
      </c>
      <c r="C9186" t="str">
        <v>-</v>
      </c>
      <c r="D9186" t="str">
        <v>-</v>
      </c>
      <c r="E9186" t="str">
        <v/>
      </c>
      <c r="F9186" t="str">
        <v>-</v>
      </c>
      <c r="G9186" t="str">
        <v>-</v>
      </c>
    </row>
    <row r="9187">
      <c r="A9187">
        <v>9186</v>
      </c>
      <c r="B9187" t="str">
        <v>UBND Ủy ban nhân dân xã Quỳnh Khê  tỉnh Thái Bình</v>
      </c>
      <c r="C9187" t="str">
        <v>-</v>
      </c>
      <c r="D9187" t="str">
        <v>-</v>
      </c>
      <c r="E9187" t="str">
        <v>-</v>
      </c>
      <c r="F9187" t="str">
        <v>-</v>
      </c>
      <c r="G9187" t="str">
        <v>-</v>
      </c>
    </row>
    <row r="9188">
      <c r="A9188">
        <v>9187</v>
      </c>
      <c r="B9188" t="str">
        <v>Công an xã Quỳnh Minh  tỉnh Thái Bình</v>
      </c>
      <c r="C9188" t="str">
        <v>-</v>
      </c>
      <c r="D9188" t="str">
        <v>-</v>
      </c>
      <c r="E9188" t="str">
        <v/>
      </c>
      <c r="F9188" t="str">
        <v>-</v>
      </c>
      <c r="G9188" t="str">
        <v>-</v>
      </c>
    </row>
    <row r="9189">
      <c r="A9189">
        <v>9188</v>
      </c>
      <c r="B9189" t="str">
        <v>UBND Ủy ban nhân dân xã Quỳnh Minh  tỉnh Thái Bình</v>
      </c>
      <c r="C9189" t="str">
        <v>-</v>
      </c>
      <c r="D9189" t="str">
        <v>-</v>
      </c>
      <c r="E9189" t="str">
        <v>-</v>
      </c>
      <c r="F9189" t="str">
        <v>-</v>
      </c>
      <c r="G9189" t="str">
        <v>-</v>
      </c>
    </row>
    <row r="9190">
      <c r="A9190">
        <v>9189</v>
      </c>
      <c r="B9190" t="str">
        <v>Công an xã An Ninh  tỉnh Thái Bình</v>
      </c>
      <c r="C9190" t="str">
        <v>-</v>
      </c>
      <c r="D9190" t="str">
        <v>-</v>
      </c>
      <c r="E9190" t="str">
        <v/>
      </c>
      <c r="F9190" t="str">
        <v>-</v>
      </c>
      <c r="G9190" t="str">
        <v>-</v>
      </c>
    </row>
    <row r="9191">
      <c r="A9191">
        <v>9190</v>
      </c>
      <c r="B9191" t="str">
        <v>UBND Ủy ban nhân dân xã An Ninh  tỉnh Thái Bình</v>
      </c>
      <c r="C9191" t="str">
        <v>-</v>
      </c>
      <c r="D9191" t="str">
        <v>-</v>
      </c>
      <c r="E9191" t="str">
        <v>-</v>
      </c>
      <c r="F9191" t="str">
        <v>-</v>
      </c>
      <c r="G9191" t="str">
        <v>-</v>
      </c>
    </row>
    <row r="9192">
      <c r="A9192">
        <v>9191</v>
      </c>
      <c r="B9192" t="str">
        <v>Công an xã Quỳnh Ngọc  tỉnh Thái Bình</v>
      </c>
      <c r="C9192" t="str">
        <v>-</v>
      </c>
      <c r="D9192" t="str">
        <v>-</v>
      </c>
      <c r="E9192" t="str">
        <v/>
      </c>
      <c r="F9192" t="str">
        <v>-</v>
      </c>
      <c r="G9192" t="str">
        <v>-</v>
      </c>
    </row>
    <row r="9193">
      <c r="A9193">
        <v>9192</v>
      </c>
      <c r="B9193" t="str">
        <v>UBND Ủy ban nhân dân xã Quỳnh Ngọc  tỉnh Thái Bình</v>
      </c>
      <c r="C9193" t="str">
        <v>-</v>
      </c>
      <c r="D9193" t="str">
        <v>-</v>
      </c>
      <c r="E9193" t="str">
        <v>-</v>
      </c>
      <c r="F9193" t="str">
        <v>-</v>
      </c>
      <c r="G9193" t="str">
        <v>-</v>
      </c>
    </row>
    <row r="9194">
      <c r="A9194">
        <v>9193</v>
      </c>
      <c r="B9194" t="str">
        <v>Công an xã Quỳnh Hải  tỉnh Thái Bình</v>
      </c>
      <c r="C9194" t="str">
        <v>-</v>
      </c>
      <c r="D9194" t="str">
        <v>-</v>
      </c>
      <c r="E9194" t="str">
        <v/>
      </c>
      <c r="F9194" t="str">
        <v>-</v>
      </c>
      <c r="G9194" t="str">
        <v>-</v>
      </c>
    </row>
    <row r="9195">
      <c r="A9195">
        <v>9194</v>
      </c>
      <c r="B9195" t="str">
        <v>UBND Ủy ban nhân dân xã Quỳnh Hải  tỉnh Thái Bình</v>
      </c>
      <c r="C9195" t="str">
        <v>-</v>
      </c>
      <c r="D9195" t="str">
        <v>-</v>
      </c>
      <c r="E9195" t="str">
        <v>-</v>
      </c>
      <c r="F9195" t="str">
        <v>-</v>
      </c>
      <c r="G9195" t="str">
        <v>-</v>
      </c>
    </row>
    <row r="9196">
      <c r="A9196">
        <v>9195</v>
      </c>
      <c r="B9196" t="str">
        <v>Công an thị trấn An Bài  tỉnh Thái Bình</v>
      </c>
      <c r="C9196" t="str">
        <v>-</v>
      </c>
      <c r="D9196" t="str">
        <v>-</v>
      </c>
      <c r="E9196" t="str">
        <v/>
      </c>
      <c r="F9196" t="str">
        <v>-</v>
      </c>
      <c r="G9196" t="str">
        <v>-</v>
      </c>
    </row>
    <row r="9197">
      <c r="A9197">
        <v>9196</v>
      </c>
      <c r="B9197" t="str">
        <v>UBND Ủy ban nhân dân thị trấn An Bài  tỉnh Thái Bình</v>
      </c>
      <c r="C9197" t="str">
        <v>-</v>
      </c>
      <c r="D9197" t="str">
        <v>-</v>
      </c>
      <c r="E9197" t="str">
        <v>-</v>
      </c>
      <c r="F9197" t="str">
        <v>-</v>
      </c>
      <c r="G9197" t="str">
        <v>-</v>
      </c>
    </row>
    <row r="9198">
      <c r="A9198">
        <v>9197</v>
      </c>
      <c r="B9198" t="str">
        <v>Công an xã An Ấp  tỉnh Thái Bình</v>
      </c>
      <c r="C9198" t="str">
        <v>-</v>
      </c>
      <c r="D9198" t="str">
        <v>-</v>
      </c>
      <c r="E9198" t="str">
        <v/>
      </c>
      <c r="F9198" t="str">
        <v>-</v>
      </c>
      <c r="G9198" t="str">
        <v>-</v>
      </c>
    </row>
    <row r="9199">
      <c r="A9199">
        <v>9198</v>
      </c>
      <c r="B9199" t="str">
        <v>UBND Ủy ban nhân dân xã An Ấp  tỉnh Thái Bình</v>
      </c>
      <c r="C9199" t="str">
        <v>-</v>
      </c>
      <c r="D9199" t="str">
        <v>-</v>
      </c>
      <c r="E9199" t="str">
        <v>-</v>
      </c>
      <c r="F9199" t="str">
        <v>-</v>
      </c>
      <c r="G9199" t="str">
        <v>-</v>
      </c>
    </row>
    <row r="9200">
      <c r="A9200">
        <v>9199</v>
      </c>
      <c r="B9200" t="str">
        <v>Công an xã Quỳnh Hội  tỉnh Thái Bình</v>
      </c>
      <c r="C9200" t="str">
        <v>-</v>
      </c>
      <c r="D9200" t="str">
        <v>-</v>
      </c>
      <c r="E9200" t="str">
        <v/>
      </c>
      <c r="F9200" t="str">
        <v>-</v>
      </c>
      <c r="G9200" t="str">
        <v>-</v>
      </c>
    </row>
    <row r="9201">
      <c r="A9201">
        <v>9200</v>
      </c>
      <c r="B9201" t="str">
        <v>UBND Ủy ban nhân dân xã Quỳnh Hội  tỉnh Thái Bình</v>
      </c>
      <c r="C9201" t="str">
        <v>-</v>
      </c>
      <c r="D9201" t="str">
        <v>-</v>
      </c>
      <c r="E9201" t="str">
        <v>-</v>
      </c>
      <c r="F9201" t="str">
        <v>-</v>
      </c>
      <c r="G9201" t="str">
        <v>-</v>
      </c>
    </row>
    <row r="9202">
      <c r="A9202">
        <v>9201</v>
      </c>
      <c r="B9202" t="str">
        <v>Công an xã Quỳnh Sơn  tỉnh Thái Bình</v>
      </c>
      <c r="C9202" t="str">
        <v>-</v>
      </c>
      <c r="D9202" t="str">
        <v>-</v>
      </c>
      <c r="E9202" t="str">
        <v/>
      </c>
      <c r="F9202" t="str">
        <v>-</v>
      </c>
      <c r="G9202" t="str">
        <v>-</v>
      </c>
    </row>
    <row r="9203">
      <c r="A9203">
        <v>9202</v>
      </c>
      <c r="B9203" t="str">
        <v>UBND Ủy ban nhân dân xã Quỳnh Sơn  tỉnh Thái Bình</v>
      </c>
      <c r="C9203" t="str">
        <v>-</v>
      </c>
      <c r="D9203" t="str">
        <v>-</v>
      </c>
      <c r="E9203" t="str">
        <v>-</v>
      </c>
      <c r="F9203" t="str">
        <v>-</v>
      </c>
      <c r="G9203" t="str">
        <v>-</v>
      </c>
    </row>
    <row r="9204">
      <c r="A9204">
        <v>9203</v>
      </c>
      <c r="B9204" t="str">
        <v>Công an xã Quỳnh Mỹ  tỉnh Thái Bình</v>
      </c>
      <c r="C9204" t="str">
        <v>-</v>
      </c>
      <c r="D9204" t="str">
        <v>-</v>
      </c>
      <c r="E9204" t="str">
        <v/>
      </c>
      <c r="F9204" t="str">
        <v>-</v>
      </c>
      <c r="G9204" t="str">
        <v>-</v>
      </c>
    </row>
    <row r="9205">
      <c r="A9205">
        <v>9204</v>
      </c>
      <c r="B9205" t="str">
        <v>UBND Ủy ban nhân dân xã Quỳnh Mỹ  tỉnh Thái Bình</v>
      </c>
      <c r="C9205" t="str">
        <v>-</v>
      </c>
      <c r="D9205" t="str">
        <v>-</v>
      </c>
      <c r="E9205" t="str">
        <v>-</v>
      </c>
      <c r="F9205" t="str">
        <v>-</v>
      </c>
      <c r="G9205" t="str">
        <v>-</v>
      </c>
    </row>
    <row r="9206">
      <c r="A9206">
        <v>9205</v>
      </c>
      <c r="B9206" t="str">
        <v>Công an xã An Quí  tỉnh Thái Bình</v>
      </c>
      <c r="C9206" t="str">
        <v>-</v>
      </c>
      <c r="D9206" t="str">
        <v>-</v>
      </c>
      <c r="E9206" t="str">
        <v/>
      </c>
      <c r="F9206" t="str">
        <v>-</v>
      </c>
      <c r="G9206" t="str">
        <v>-</v>
      </c>
    </row>
    <row r="9207">
      <c r="A9207">
        <v>9206</v>
      </c>
      <c r="B9207" t="str">
        <v>UBND Ủy ban nhân dân xã An Quí  tỉnh Thái Bình</v>
      </c>
      <c r="C9207" t="str">
        <v>-</v>
      </c>
      <c r="D9207" t="str">
        <v>-</v>
      </c>
      <c r="E9207" t="str">
        <v>-</v>
      </c>
      <c r="F9207" t="str">
        <v>-</v>
      </c>
      <c r="G9207" t="str">
        <v>-</v>
      </c>
    </row>
    <row r="9208">
      <c r="A9208">
        <v>9207</v>
      </c>
      <c r="B9208" t="str">
        <v>Công an xã An Thanh  tỉnh Thái Bình</v>
      </c>
      <c r="C9208" t="str">
        <v>-</v>
      </c>
      <c r="D9208" t="str">
        <v>-</v>
      </c>
      <c r="E9208" t="str">
        <v/>
      </c>
      <c r="F9208" t="str">
        <v>-</v>
      </c>
      <c r="G9208" t="str">
        <v>-</v>
      </c>
    </row>
    <row r="9209">
      <c r="A9209">
        <v>9208</v>
      </c>
      <c r="B9209" t="str">
        <v>UBND Ủy ban nhân dân xã An Thanh  tỉnh Thái Bình</v>
      </c>
      <c r="C9209" t="str">
        <v>-</v>
      </c>
      <c r="D9209" t="str">
        <v>-</v>
      </c>
      <c r="E9209" t="str">
        <v>-</v>
      </c>
      <c r="F9209" t="str">
        <v>-</v>
      </c>
      <c r="G9209" t="str">
        <v>-</v>
      </c>
    </row>
    <row r="9210">
      <c r="A9210">
        <v>9209</v>
      </c>
      <c r="B9210" t="str">
        <v>Công an xã Quỳnh Châu  tỉnh Thái Bình</v>
      </c>
      <c r="C9210" t="str">
        <v>-</v>
      </c>
      <c r="D9210" t="str">
        <v>-</v>
      </c>
      <c r="E9210" t="str">
        <v/>
      </c>
      <c r="F9210" t="str">
        <v>-</v>
      </c>
      <c r="G9210" t="str">
        <v>-</v>
      </c>
    </row>
    <row r="9211">
      <c r="A9211">
        <v>9210</v>
      </c>
      <c r="B9211" t="str">
        <v>UBND Ủy ban nhân dân xã Quỳnh Châu  tỉnh Thái Bình</v>
      </c>
      <c r="C9211" t="str">
        <v>-</v>
      </c>
      <c r="D9211" t="str">
        <v>-</v>
      </c>
      <c r="E9211" t="str">
        <v>-</v>
      </c>
      <c r="F9211" t="str">
        <v>-</v>
      </c>
      <c r="G9211" t="str">
        <v>-</v>
      </c>
    </row>
    <row r="9212">
      <c r="A9212">
        <v>9211</v>
      </c>
      <c r="B9212" t="str">
        <v>Công an xã An Vũ  tỉnh Thái Bình</v>
      </c>
      <c r="C9212" t="str">
        <v>-</v>
      </c>
      <c r="D9212" t="str">
        <v>-</v>
      </c>
      <c r="E9212" t="str">
        <v/>
      </c>
      <c r="F9212" t="str">
        <v>-</v>
      </c>
      <c r="G9212" t="str">
        <v>-</v>
      </c>
    </row>
    <row r="9213">
      <c r="A9213">
        <v>9212</v>
      </c>
      <c r="B9213" t="str">
        <v>UBND Ủy ban nhân dân xã An Vũ  tỉnh Thái Bình</v>
      </c>
      <c r="C9213" t="str">
        <v>-</v>
      </c>
      <c r="D9213" t="str">
        <v>-</v>
      </c>
      <c r="E9213" t="str">
        <v>-</v>
      </c>
      <c r="F9213" t="str">
        <v>-</v>
      </c>
      <c r="G9213" t="str">
        <v>-</v>
      </c>
    </row>
    <row r="9214">
      <c r="A9214">
        <v>9213</v>
      </c>
      <c r="B9214" t="str">
        <v>Công an xã An Lễ  tỉnh Thái Bình</v>
      </c>
      <c r="C9214" t="str">
        <v>-</v>
      </c>
      <c r="D9214" t="str">
        <v>-</v>
      </c>
      <c r="E9214" t="str">
        <v/>
      </c>
      <c r="F9214" t="str">
        <v>-</v>
      </c>
      <c r="G9214" t="str">
        <v>-</v>
      </c>
    </row>
    <row r="9215">
      <c r="A9215">
        <v>9214</v>
      </c>
      <c r="B9215" t="str">
        <v>UBND Ủy ban nhân dân xã An Lễ  tỉnh Thái Bình</v>
      </c>
      <c r="C9215" t="str">
        <v>-</v>
      </c>
      <c r="D9215" t="str">
        <v>-</v>
      </c>
      <c r="E9215" t="str">
        <v>-</v>
      </c>
      <c r="F9215" t="str">
        <v>-</v>
      </c>
      <c r="G9215" t="str">
        <v>-</v>
      </c>
    </row>
    <row r="9216">
      <c r="A9216">
        <v>9215</v>
      </c>
      <c r="B9216" t="str">
        <v>Công an xã Quỳnh Hưng  tỉnh Thái Bình</v>
      </c>
      <c r="C9216" t="str">
        <v>-</v>
      </c>
      <c r="D9216" t="str">
        <v>-</v>
      </c>
      <c r="E9216" t="str">
        <v/>
      </c>
      <c r="F9216" t="str">
        <v>-</v>
      </c>
      <c r="G9216" t="str">
        <v>-</v>
      </c>
    </row>
    <row r="9217">
      <c r="A9217">
        <v>9216</v>
      </c>
      <c r="B9217" t="str">
        <v>UBND Ủy ban nhân dân xã Quỳnh Hưng  tỉnh Thái Bình</v>
      </c>
      <c r="C9217" t="str">
        <v>-</v>
      </c>
      <c r="D9217" t="str">
        <v>-</v>
      </c>
      <c r="E9217" t="str">
        <v>-</v>
      </c>
      <c r="F9217" t="str">
        <v>-</v>
      </c>
      <c r="G9217" t="str">
        <v>-</v>
      </c>
    </row>
    <row r="9218">
      <c r="A9218">
        <v>9217</v>
      </c>
      <c r="B9218" t="str">
        <v>Công an xã Quỳnh Bảo  tỉnh Thái Bình</v>
      </c>
      <c r="C9218" t="str">
        <v>-</v>
      </c>
      <c r="D9218" t="str">
        <v>-</v>
      </c>
      <c r="E9218" t="str">
        <v/>
      </c>
      <c r="F9218" t="str">
        <v>-</v>
      </c>
      <c r="G9218" t="str">
        <v>-</v>
      </c>
    </row>
    <row r="9219">
      <c r="A9219">
        <v>9218</v>
      </c>
      <c r="B9219" t="str">
        <v>UBND Ủy ban nhân dân xã Quỳnh Bảo  tỉnh Thái Bình</v>
      </c>
      <c r="C9219" t="str">
        <v>-</v>
      </c>
      <c r="D9219" t="str">
        <v>-</v>
      </c>
      <c r="E9219" t="str">
        <v>-</v>
      </c>
      <c r="F9219" t="str">
        <v>-</v>
      </c>
      <c r="G9219" t="str">
        <v>-</v>
      </c>
    </row>
    <row r="9220">
      <c r="A9220">
        <v>9219</v>
      </c>
      <c r="B9220" t="str">
        <v>Công an xã An Mỹ  tỉnh Thái Bình</v>
      </c>
      <c r="C9220" t="str">
        <v>-</v>
      </c>
      <c r="D9220" t="str">
        <v>-</v>
      </c>
      <c r="E9220" t="str">
        <v/>
      </c>
      <c r="F9220" t="str">
        <v>-</v>
      </c>
      <c r="G9220" t="str">
        <v>-</v>
      </c>
    </row>
    <row r="9221">
      <c r="A9221">
        <v>9220</v>
      </c>
      <c r="B9221" t="str">
        <v>UBND Ủy ban nhân dân xã An Mỹ  tỉnh Thái Bình</v>
      </c>
      <c r="C9221" t="str">
        <v>-</v>
      </c>
      <c r="D9221" t="str">
        <v>-</v>
      </c>
      <c r="E9221" t="str">
        <v>-</v>
      </c>
      <c r="F9221" t="str">
        <v>-</v>
      </c>
      <c r="G9221" t="str">
        <v>-</v>
      </c>
    </row>
    <row r="9222">
      <c r="A9222">
        <v>9221</v>
      </c>
      <c r="B9222" t="str">
        <v>Công an xã Quỳnh Nguyên  tỉnh Thái Bình</v>
      </c>
      <c r="C9222" t="str">
        <v>-</v>
      </c>
      <c r="D9222" t="str">
        <v>-</v>
      </c>
      <c r="E9222" t="str">
        <v/>
      </c>
      <c r="F9222" t="str">
        <v>-</v>
      </c>
      <c r="G9222" t="str">
        <v>-</v>
      </c>
    </row>
    <row r="9223">
      <c r="A9223">
        <v>9222</v>
      </c>
      <c r="B9223" t="str">
        <v>UBND Ủy ban nhân dân xã Quỳnh Nguyên  tỉnh Thái Bình</v>
      </c>
      <c r="C9223" t="str">
        <v>-</v>
      </c>
      <c r="D9223" t="str">
        <v>-</v>
      </c>
      <c r="E9223" t="str">
        <v>-</v>
      </c>
      <c r="F9223" t="str">
        <v>-</v>
      </c>
      <c r="G9223" t="str">
        <v>-</v>
      </c>
    </row>
    <row r="9224">
      <c r="A9224">
        <v>9223</v>
      </c>
      <c r="B9224" t="str">
        <v>Công an xã An Vinh  tỉnh Thái Bình</v>
      </c>
      <c r="C9224" t="str">
        <v>-</v>
      </c>
      <c r="D9224" t="str">
        <v>-</v>
      </c>
      <c r="E9224" t="str">
        <v/>
      </c>
      <c r="F9224" t="str">
        <v>-</v>
      </c>
      <c r="G9224" t="str">
        <v>-</v>
      </c>
    </row>
    <row r="9225">
      <c r="A9225">
        <v>9224</v>
      </c>
      <c r="B9225" t="str">
        <v>UBND Ủy ban nhân dân xã An Vinh  tỉnh Thái Bình</v>
      </c>
      <c r="C9225" t="str">
        <v>-</v>
      </c>
      <c r="D9225" t="str">
        <v>-</v>
      </c>
      <c r="E9225" t="str">
        <v>-</v>
      </c>
      <c r="F9225" t="str">
        <v>-</v>
      </c>
      <c r="G9225" t="str">
        <v>-</v>
      </c>
    </row>
    <row r="9226">
      <c r="A9226">
        <v>9225</v>
      </c>
      <c r="B9226" t="str">
        <v>Công an xã Quỳnh Xá  tỉnh Thái Bình</v>
      </c>
      <c r="C9226" t="str">
        <v>-</v>
      </c>
      <c r="D9226" t="str">
        <v>-</v>
      </c>
      <c r="E9226" t="str">
        <v/>
      </c>
      <c r="F9226" t="str">
        <v>-</v>
      </c>
      <c r="G9226" t="str">
        <v>-</v>
      </c>
    </row>
    <row r="9227">
      <c r="A9227">
        <v>9226</v>
      </c>
      <c r="B9227" t="str">
        <v>UBND Ủy ban nhân dân xã Quỳnh Xá  tỉnh Thái Bình</v>
      </c>
      <c r="C9227" t="str">
        <v>-</v>
      </c>
      <c r="D9227" t="str">
        <v>-</v>
      </c>
      <c r="E9227" t="str">
        <v>-</v>
      </c>
      <c r="F9227" t="str">
        <v>-</v>
      </c>
      <c r="G9227" t="str">
        <v>-</v>
      </c>
    </row>
    <row r="9228">
      <c r="A9228">
        <v>9227</v>
      </c>
      <c r="B9228" t="str">
        <v>Công an xã An Dục  tỉnh Thái Bình</v>
      </c>
      <c r="C9228" t="str">
        <v>-</v>
      </c>
      <c r="D9228" t="str">
        <v>-</v>
      </c>
      <c r="E9228" t="str">
        <v/>
      </c>
      <c r="F9228" t="str">
        <v>-</v>
      </c>
      <c r="G9228" t="str">
        <v>-</v>
      </c>
    </row>
    <row r="9229">
      <c r="A9229">
        <v>9228</v>
      </c>
      <c r="B9229" t="str">
        <v>UBND Ủy ban nhân dân xã An Dục  tỉnh Thái Bình</v>
      </c>
      <c r="C9229" t="str">
        <v>-</v>
      </c>
      <c r="D9229" t="str">
        <v>-</v>
      </c>
      <c r="E9229" t="str">
        <v>-</v>
      </c>
      <c r="F9229" t="str">
        <v>-</v>
      </c>
      <c r="G9229" t="str">
        <v>-</v>
      </c>
    </row>
    <row r="9230">
      <c r="A9230">
        <v>9229</v>
      </c>
      <c r="B9230" t="str">
        <v>Công an xã Đông Hải  tỉnh Thái Bình</v>
      </c>
      <c r="C9230" t="str">
        <v>-</v>
      </c>
      <c r="D9230" t="str">
        <v>-</v>
      </c>
      <c r="E9230" t="str">
        <v/>
      </c>
      <c r="F9230" t="str">
        <v>-</v>
      </c>
      <c r="G9230" t="str">
        <v>-</v>
      </c>
    </row>
    <row r="9231">
      <c r="A9231">
        <v>9230</v>
      </c>
      <c r="B9231" t="str">
        <v>UBND Ủy ban nhân dân xã Đông Hải  tỉnh Thái Bình</v>
      </c>
      <c r="C9231" t="str">
        <v>-</v>
      </c>
      <c r="D9231" t="str">
        <v>-</v>
      </c>
      <c r="E9231" t="str">
        <v>-</v>
      </c>
      <c r="F9231" t="str">
        <v>-</v>
      </c>
      <c r="G9231" t="str">
        <v>-</v>
      </c>
    </row>
    <row r="9232">
      <c r="A9232">
        <v>9231</v>
      </c>
      <c r="B9232" t="str">
        <v>Công an xã Quỳnh Trang  tỉnh Thái Bình</v>
      </c>
      <c r="C9232" t="str">
        <v>-</v>
      </c>
      <c r="D9232" t="str">
        <v>-</v>
      </c>
      <c r="E9232" t="str">
        <v/>
      </c>
      <c r="F9232" t="str">
        <v>-</v>
      </c>
      <c r="G9232" t="str">
        <v>-</v>
      </c>
    </row>
    <row r="9233">
      <c r="A9233">
        <v>9232</v>
      </c>
      <c r="B9233" t="str">
        <v>UBND Ủy ban nhân dân xã Quỳnh Trang  tỉnh Thái Bình</v>
      </c>
      <c r="C9233" t="str">
        <v>-</v>
      </c>
      <c r="D9233" t="str">
        <v>-</v>
      </c>
      <c r="E9233" t="str">
        <v>-</v>
      </c>
      <c r="F9233" t="str">
        <v>-</v>
      </c>
      <c r="G9233" t="str">
        <v>-</v>
      </c>
    </row>
    <row r="9234">
      <c r="A9234">
        <v>9233</v>
      </c>
      <c r="B9234" t="str">
        <v>Công an xã An Tràng  tỉnh Thái Bình</v>
      </c>
      <c r="C9234" t="str">
        <v>-</v>
      </c>
      <c r="D9234" t="str">
        <v>-</v>
      </c>
      <c r="E9234" t="str">
        <v/>
      </c>
      <c r="F9234" t="str">
        <v>-</v>
      </c>
      <c r="G9234" t="str">
        <v>-</v>
      </c>
    </row>
    <row r="9235">
      <c r="A9235">
        <v>9234</v>
      </c>
      <c r="B9235" t="str">
        <v>UBND Ủy ban nhân dân xã An Tràng  tỉnh Thái Bình</v>
      </c>
      <c r="C9235" t="str">
        <v>-</v>
      </c>
      <c r="D9235" t="str">
        <v>-</v>
      </c>
      <c r="E9235" t="str">
        <v>-</v>
      </c>
      <c r="F9235" t="str">
        <v>-</v>
      </c>
      <c r="G9235" t="str">
        <v>-</v>
      </c>
    </row>
    <row r="9236">
      <c r="A9236">
        <v>9235</v>
      </c>
      <c r="B9236" t="str">
        <v>Công an xã Đồng Tiến  tỉnh Thái Bình</v>
      </c>
      <c r="C9236" t="str">
        <v>-</v>
      </c>
      <c r="D9236" t="str">
        <v>-</v>
      </c>
      <c r="E9236" t="str">
        <v/>
      </c>
      <c r="F9236" t="str">
        <v>-</v>
      </c>
      <c r="G9236" t="str">
        <v>-</v>
      </c>
    </row>
    <row r="9237">
      <c r="A9237">
        <v>9236</v>
      </c>
      <c r="B9237" t="str">
        <v>UBND Ủy ban nhân dân xã Đồng Tiến  tỉnh Thái Bình</v>
      </c>
      <c r="C9237" t="str">
        <v>-</v>
      </c>
      <c r="D9237" t="str">
        <v>-</v>
      </c>
      <c r="E9237" t="str">
        <v>-</v>
      </c>
      <c r="F9237" t="str">
        <v>-</v>
      </c>
      <c r="G9237" t="str">
        <v>-</v>
      </c>
    </row>
    <row r="9238">
      <c r="A9238">
        <v>9237</v>
      </c>
      <c r="B9238" t="str">
        <v>Công an thị trấn Hưng Hà  tỉnh Thái Bình</v>
      </c>
      <c r="C9238" t="str">
        <v>-</v>
      </c>
      <c r="D9238" t="str">
        <v>-</v>
      </c>
      <c r="E9238" t="str">
        <v/>
      </c>
      <c r="F9238" t="str">
        <v>-</v>
      </c>
      <c r="G9238" t="str">
        <v>-</v>
      </c>
    </row>
    <row r="9239">
      <c r="A9239">
        <v>9238</v>
      </c>
      <c r="B9239" t="str">
        <v>UBND Ủy ban nhân dân thị trấn Hưng Hà  tỉnh Thái Bình</v>
      </c>
      <c r="C9239" t="str">
        <v>-</v>
      </c>
      <c r="D9239" t="str">
        <v>-</v>
      </c>
      <c r="E9239" t="str">
        <v>-</v>
      </c>
      <c r="F9239" t="str">
        <v>-</v>
      </c>
      <c r="G9239" t="str">
        <v>-</v>
      </c>
    </row>
    <row r="9240">
      <c r="A9240">
        <v>9239</v>
      </c>
      <c r="B9240" t="str">
        <v>Công an xã Điệp Nông  tỉnh Thái Bình</v>
      </c>
      <c r="C9240" t="str">
        <v>-</v>
      </c>
      <c r="D9240" t="str">
        <v>-</v>
      </c>
      <c r="E9240" t="str">
        <v/>
      </c>
      <c r="F9240" t="str">
        <v>-</v>
      </c>
      <c r="G9240" t="str">
        <v>-</v>
      </c>
    </row>
    <row r="9241">
      <c r="A9241">
        <v>9240</v>
      </c>
      <c r="B9241" t="str">
        <v>UBND Ủy ban nhân dân xã Điệp Nông  tỉnh Thái Bình</v>
      </c>
      <c r="C9241" t="str">
        <v>-</v>
      </c>
      <c r="D9241" t="str">
        <v>-</v>
      </c>
      <c r="E9241" t="str">
        <v>-</v>
      </c>
      <c r="F9241" t="str">
        <v>-</v>
      </c>
      <c r="G9241" t="str">
        <v>-</v>
      </c>
    </row>
    <row r="9242">
      <c r="A9242">
        <v>9241</v>
      </c>
      <c r="B9242" t="str">
        <v>Công an xã Tân Lễ  tỉnh Thái Bình</v>
      </c>
      <c r="C9242" t="str">
        <v>-</v>
      </c>
      <c r="D9242" t="str">
        <v>-</v>
      </c>
      <c r="E9242" t="str">
        <v/>
      </c>
      <c r="F9242" t="str">
        <v>-</v>
      </c>
      <c r="G9242" t="str">
        <v>-</v>
      </c>
    </row>
    <row r="9243">
      <c r="A9243">
        <v>9242</v>
      </c>
      <c r="B9243" t="str">
        <v>UBND Ủy ban nhân dân xã Tân Lễ  tỉnh Thái Bình</v>
      </c>
      <c r="C9243" t="str">
        <v>-</v>
      </c>
      <c r="D9243" t="str">
        <v>-</v>
      </c>
      <c r="E9243" t="str">
        <v>-</v>
      </c>
      <c r="F9243" t="str">
        <v>-</v>
      </c>
      <c r="G9243" t="str">
        <v>-</v>
      </c>
    </row>
    <row r="9244">
      <c r="A9244">
        <v>9243</v>
      </c>
      <c r="B9244" t="str">
        <v>Công an xã Cộng Hòa  tỉnh Thái Bình</v>
      </c>
      <c r="C9244" t="str">
        <v>-</v>
      </c>
      <c r="D9244" t="str">
        <v>-</v>
      </c>
      <c r="E9244" t="str">
        <v/>
      </c>
      <c r="F9244" t="str">
        <v>-</v>
      </c>
      <c r="G9244" t="str">
        <v>-</v>
      </c>
    </row>
    <row r="9245">
      <c r="A9245">
        <v>9244</v>
      </c>
      <c r="B9245" t="str">
        <v>UBND Ủy ban nhân dân xã Cộng Hòa  tỉnh Thái Bình</v>
      </c>
      <c r="C9245" t="str">
        <v>-</v>
      </c>
      <c r="D9245" t="str">
        <v>-</v>
      </c>
      <c r="E9245" t="str">
        <v>-</v>
      </c>
      <c r="F9245" t="str">
        <v>-</v>
      </c>
      <c r="G9245" t="str">
        <v>-</v>
      </c>
    </row>
    <row r="9246">
      <c r="A9246">
        <v>9245</v>
      </c>
      <c r="B9246" t="str">
        <v>Công an xã Dân Chủ  tỉnh Thái Bình</v>
      </c>
      <c r="C9246" t="str">
        <v>-</v>
      </c>
      <c r="D9246" t="str">
        <v>-</v>
      </c>
      <c r="E9246" t="str">
        <v/>
      </c>
      <c r="F9246" t="str">
        <v>-</v>
      </c>
      <c r="G9246" t="str">
        <v>-</v>
      </c>
    </row>
    <row r="9247">
      <c r="A9247">
        <v>9246</v>
      </c>
      <c r="B9247" t="str">
        <v>UBND Ủy ban nhân dân xã Dân Chủ  tỉnh Thái Bình</v>
      </c>
      <c r="C9247" t="str">
        <v>-</v>
      </c>
      <c r="D9247" t="str">
        <v>-</v>
      </c>
      <c r="E9247" t="str">
        <v>-</v>
      </c>
      <c r="F9247" t="str">
        <v>-</v>
      </c>
      <c r="G9247" t="str">
        <v>-</v>
      </c>
    </row>
    <row r="9248">
      <c r="A9248">
        <v>9247</v>
      </c>
      <c r="B9248" t="str">
        <v>Công an xã Canh Tân  tỉnh Thái Bình</v>
      </c>
      <c r="C9248" t="str">
        <v>-</v>
      </c>
      <c r="D9248" t="str">
        <v>-</v>
      </c>
      <c r="E9248" t="str">
        <v/>
      </c>
      <c r="F9248" t="str">
        <v>-</v>
      </c>
      <c r="G9248" t="str">
        <v>-</v>
      </c>
    </row>
    <row r="9249">
      <c r="A9249">
        <v>9248</v>
      </c>
      <c r="B9249" t="str">
        <v>UBND Ủy ban nhân dân xã Canh Tân  tỉnh Thái Bình</v>
      </c>
      <c r="C9249" t="str">
        <v>-</v>
      </c>
      <c r="D9249" t="str">
        <v>-</v>
      </c>
      <c r="E9249" t="str">
        <v>-</v>
      </c>
      <c r="F9249" t="str">
        <v>-</v>
      </c>
      <c r="G9249" t="str">
        <v>-</v>
      </c>
    </row>
    <row r="9250">
      <c r="A9250">
        <v>9249</v>
      </c>
      <c r="B9250" t="str">
        <v>Công an xã Hòa Tiến  tỉnh Thái Bình</v>
      </c>
      <c r="C9250" t="str">
        <v>-</v>
      </c>
      <c r="D9250" t="str">
        <v>-</v>
      </c>
      <c r="E9250" t="str">
        <v/>
      </c>
      <c r="F9250" t="str">
        <v>-</v>
      </c>
      <c r="G9250" t="str">
        <v>-</v>
      </c>
    </row>
    <row r="9251">
      <c r="A9251">
        <v>9250</v>
      </c>
      <c r="B9251" t="str">
        <v>UBND Ủy ban nhân dân xã Hòa Tiến  tỉnh Thái Bình</v>
      </c>
      <c r="C9251" t="str">
        <v>-</v>
      </c>
      <c r="D9251" t="str">
        <v>-</v>
      </c>
      <c r="E9251" t="str">
        <v>-</v>
      </c>
      <c r="F9251" t="str">
        <v>-</v>
      </c>
      <c r="G9251" t="str">
        <v>-</v>
      </c>
    </row>
    <row r="9252">
      <c r="A9252">
        <v>9251</v>
      </c>
      <c r="B9252" t="str">
        <v>Công an xã Hùng Dũng  tỉnh Thái Bình</v>
      </c>
      <c r="C9252" t="str">
        <v>-</v>
      </c>
      <c r="D9252" t="str">
        <v>-</v>
      </c>
      <c r="E9252" t="str">
        <v/>
      </c>
      <c r="F9252" t="str">
        <v>-</v>
      </c>
      <c r="G9252" t="str">
        <v>-</v>
      </c>
    </row>
    <row r="9253">
      <c r="A9253">
        <v>9252</v>
      </c>
      <c r="B9253" t="str">
        <v>UBND Ủy ban nhân dân xã Hùng Dũng  tỉnh Thái Bình</v>
      </c>
      <c r="C9253" t="str">
        <v>-</v>
      </c>
      <c r="D9253" t="str">
        <v>-</v>
      </c>
      <c r="E9253" t="str">
        <v>-</v>
      </c>
      <c r="F9253" t="str">
        <v>-</v>
      </c>
      <c r="G9253" t="str">
        <v>-</v>
      </c>
    </row>
    <row r="9254">
      <c r="A9254">
        <v>9253</v>
      </c>
      <c r="B9254" t="str">
        <v>Công an xã Tân Tiến  tỉnh Thái Bình</v>
      </c>
      <c r="C9254" t="str">
        <v>-</v>
      </c>
      <c r="D9254" t="str">
        <v>-</v>
      </c>
      <c r="E9254" t="str">
        <v/>
      </c>
      <c r="F9254" t="str">
        <v>-</v>
      </c>
      <c r="G9254" t="str">
        <v>-</v>
      </c>
    </row>
    <row r="9255">
      <c r="A9255">
        <v>9254</v>
      </c>
      <c r="B9255" t="str">
        <v>UBND Ủy ban nhân dân xã Tân Tiến  tỉnh Thái Bình</v>
      </c>
      <c r="C9255" t="str">
        <v>-</v>
      </c>
      <c r="D9255" t="str">
        <v>-</v>
      </c>
      <c r="E9255" t="str">
        <v>-</v>
      </c>
      <c r="F9255" t="str">
        <v>-</v>
      </c>
      <c r="G9255" t="str">
        <v>-</v>
      </c>
    </row>
    <row r="9256">
      <c r="A9256">
        <v>9255</v>
      </c>
      <c r="B9256" t="str">
        <v>Công an thị trấn Hưng Nhân  tỉnh Thái Bình</v>
      </c>
      <c r="C9256" t="str">
        <v>-</v>
      </c>
      <c r="D9256" t="str">
        <v>-</v>
      </c>
      <c r="E9256" t="str">
        <v/>
      </c>
      <c r="F9256" t="str">
        <v>-</v>
      </c>
      <c r="G9256" t="str">
        <v>-</v>
      </c>
    </row>
    <row r="9257">
      <c r="A9257">
        <v>9256</v>
      </c>
      <c r="B9257" t="str">
        <v>UBND Ủy ban nhân dân thị trấn Hưng Nhân  tỉnh Thái Bình</v>
      </c>
      <c r="C9257" t="str">
        <v>-</v>
      </c>
      <c r="D9257" t="str">
        <v>-</v>
      </c>
      <c r="E9257" t="str">
        <v>-</v>
      </c>
      <c r="F9257" t="str">
        <v>-</v>
      </c>
      <c r="G9257" t="str">
        <v>-</v>
      </c>
    </row>
    <row r="9258">
      <c r="A9258">
        <v>9257</v>
      </c>
      <c r="B9258" t="str">
        <v>Công an xã Đoan Hùng  tỉnh Thái Bình</v>
      </c>
      <c r="C9258" t="str">
        <v>-</v>
      </c>
      <c r="D9258" t="str">
        <v>-</v>
      </c>
      <c r="E9258" t="str">
        <v/>
      </c>
      <c r="F9258" t="str">
        <v>-</v>
      </c>
      <c r="G9258" t="str">
        <v>-</v>
      </c>
    </row>
    <row r="9259">
      <c r="A9259">
        <v>9258</v>
      </c>
      <c r="B9259" t="str">
        <v>UBND Ủy ban nhân dân xã Đoan Hùng  tỉnh Thái Bình</v>
      </c>
      <c r="C9259" t="str">
        <v>-</v>
      </c>
      <c r="D9259" t="str">
        <v>-</v>
      </c>
      <c r="E9259" t="str">
        <v>-</v>
      </c>
      <c r="F9259" t="str">
        <v>-</v>
      </c>
      <c r="G9259" t="str">
        <v>-</v>
      </c>
    </row>
    <row r="9260">
      <c r="A9260">
        <v>9259</v>
      </c>
      <c r="B9260" t="str">
        <v>Công an xã Duyên Hải  tỉnh Thái Bình</v>
      </c>
      <c r="C9260" t="str">
        <v>-</v>
      </c>
      <c r="D9260" t="str">
        <v>-</v>
      </c>
      <c r="E9260" t="str">
        <v/>
      </c>
      <c r="F9260" t="str">
        <v>-</v>
      </c>
      <c r="G9260" t="str">
        <v>-</v>
      </c>
    </row>
    <row r="9261">
      <c r="A9261">
        <v>9260</v>
      </c>
      <c r="B9261" t="str">
        <v>UBND Ủy ban nhân dân xã Duyên Hải  tỉnh Thái Bình</v>
      </c>
      <c r="C9261" t="str">
        <v>-</v>
      </c>
      <c r="D9261" t="str">
        <v>-</v>
      </c>
      <c r="E9261" t="str">
        <v>-</v>
      </c>
      <c r="F9261" t="str">
        <v>-</v>
      </c>
      <c r="G9261" t="str">
        <v>-</v>
      </c>
    </row>
    <row r="9262">
      <c r="A9262">
        <v>9261</v>
      </c>
      <c r="B9262" t="str">
        <v>Công an xã Tân Hòa  tỉnh Thái Bình</v>
      </c>
      <c r="C9262" t="str">
        <v>-</v>
      </c>
      <c r="D9262" t="str">
        <v>-</v>
      </c>
      <c r="E9262" t="str">
        <v/>
      </c>
      <c r="F9262" t="str">
        <v>-</v>
      </c>
      <c r="G9262" t="str">
        <v>-</v>
      </c>
    </row>
    <row r="9263">
      <c r="A9263">
        <v>9262</v>
      </c>
      <c r="B9263" t="str">
        <v>UBND Ủy ban nhân dân xã Tân Hòa  tỉnh Thái Bình</v>
      </c>
      <c r="C9263" t="str">
        <v>-</v>
      </c>
      <c r="D9263" t="str">
        <v>-</v>
      </c>
      <c r="E9263" t="str">
        <v>-</v>
      </c>
      <c r="F9263" t="str">
        <v>-</v>
      </c>
      <c r="G9263" t="str">
        <v>-</v>
      </c>
    </row>
    <row r="9264">
      <c r="A9264">
        <v>9263</v>
      </c>
      <c r="B9264" t="str">
        <v>Công an xã Văn Cẩm  tỉnh Thái Bình</v>
      </c>
      <c r="C9264" t="str">
        <v>-</v>
      </c>
      <c r="D9264" t="str">
        <v>-</v>
      </c>
      <c r="E9264" t="str">
        <v/>
      </c>
      <c r="F9264" t="str">
        <v>-</v>
      </c>
      <c r="G9264" t="str">
        <v>-</v>
      </c>
    </row>
    <row r="9265">
      <c r="A9265">
        <v>9264</v>
      </c>
      <c r="B9265" t="str">
        <v>UBND Ủy ban nhân dân xã Văn Cẩm  tỉnh Thái Bình</v>
      </c>
      <c r="C9265" t="str">
        <v>-</v>
      </c>
      <c r="D9265" t="str">
        <v>-</v>
      </c>
      <c r="E9265" t="str">
        <v>-</v>
      </c>
      <c r="F9265" t="str">
        <v>-</v>
      </c>
      <c r="G9265" t="str">
        <v>-</v>
      </c>
    </row>
    <row r="9266">
      <c r="A9266">
        <v>9265</v>
      </c>
      <c r="B9266" t="str">
        <v>Công an xã Bắc Sơn  tỉnh Thái Bình</v>
      </c>
      <c r="C9266" t="str">
        <v>-</v>
      </c>
      <c r="D9266" t="str">
        <v>-</v>
      </c>
      <c r="E9266" t="str">
        <v/>
      </c>
      <c r="F9266" t="str">
        <v>-</v>
      </c>
      <c r="G9266" t="str">
        <v>-</v>
      </c>
    </row>
    <row r="9267">
      <c r="A9267">
        <v>9266</v>
      </c>
      <c r="B9267" t="str">
        <v>UBND Ủy ban nhân dân xã Bắc Sơn  tỉnh Thái Bình</v>
      </c>
      <c r="C9267" t="str">
        <v>-</v>
      </c>
      <c r="D9267" t="str">
        <v>-</v>
      </c>
      <c r="E9267" t="str">
        <v>-</v>
      </c>
      <c r="F9267" t="str">
        <v>-</v>
      </c>
      <c r="G9267" t="str">
        <v>-</v>
      </c>
    </row>
    <row r="9268">
      <c r="A9268">
        <v>9267</v>
      </c>
      <c r="B9268" t="str">
        <v>Công an xã Đông Đô  tỉnh Thái Bình</v>
      </c>
      <c r="C9268" t="str">
        <v>-</v>
      </c>
      <c r="D9268" t="str">
        <v>-</v>
      </c>
      <c r="E9268" t="str">
        <v/>
      </c>
      <c r="F9268" t="str">
        <v>-</v>
      </c>
      <c r="G9268" t="str">
        <v>-</v>
      </c>
    </row>
    <row r="9269">
      <c r="A9269">
        <v>9268</v>
      </c>
      <c r="B9269" t="str">
        <v>UBND Ủy ban nhân dân xã Đông Đô  tỉnh Thái Bình</v>
      </c>
      <c r="C9269" t="str">
        <v>-</v>
      </c>
      <c r="D9269" t="str">
        <v>-</v>
      </c>
      <c r="E9269" t="str">
        <v>-</v>
      </c>
      <c r="F9269" t="str">
        <v>-</v>
      </c>
      <c r="G9269" t="str">
        <v>-</v>
      </c>
    </row>
    <row r="9270">
      <c r="A9270">
        <v>9269</v>
      </c>
      <c r="B9270" t="str">
        <v>Công an xã Phúc Khánh  tỉnh Thái Bình</v>
      </c>
      <c r="C9270" t="str">
        <v>-</v>
      </c>
      <c r="D9270" t="str">
        <v>-</v>
      </c>
      <c r="E9270" t="str">
        <v/>
      </c>
      <c r="F9270" t="str">
        <v>-</v>
      </c>
      <c r="G9270" t="str">
        <v>-</v>
      </c>
    </row>
    <row r="9271">
      <c r="A9271">
        <v>9270</v>
      </c>
      <c r="B9271" t="str">
        <v>UBND Ủy ban nhân dân xã Phúc Khánh  tỉnh Thái Bình</v>
      </c>
      <c r="C9271" t="str">
        <v>-</v>
      </c>
      <c r="D9271" t="str">
        <v>-</v>
      </c>
      <c r="E9271" t="str">
        <v>-</v>
      </c>
      <c r="F9271" t="str">
        <v>-</v>
      </c>
      <c r="G9271" t="str">
        <v>-</v>
      </c>
    </row>
    <row r="9272">
      <c r="A9272">
        <v>9271</v>
      </c>
      <c r="B9272" t="str">
        <v>Công an xã Liên Hiệp  tỉnh Thái Bình</v>
      </c>
      <c r="C9272" t="str">
        <v>-</v>
      </c>
      <c r="D9272" t="str">
        <v>-</v>
      </c>
      <c r="E9272" t="str">
        <v/>
      </c>
      <c r="F9272" t="str">
        <v>-</v>
      </c>
      <c r="G9272" t="str">
        <v>-</v>
      </c>
    </row>
    <row r="9273">
      <c r="A9273">
        <v>9272</v>
      </c>
      <c r="B9273" t="str">
        <v>UBND Ủy ban nhân dân xã Liên Hiệp  tỉnh Thái Bình</v>
      </c>
      <c r="C9273" t="str">
        <v>-</v>
      </c>
      <c r="D9273" t="str">
        <v>-</v>
      </c>
      <c r="E9273" t="str">
        <v>-</v>
      </c>
      <c r="F9273" t="str">
        <v>-</v>
      </c>
      <c r="G9273" t="str">
        <v>-</v>
      </c>
    </row>
    <row r="9274">
      <c r="A9274">
        <v>9273</v>
      </c>
      <c r="B9274" t="str">
        <v>Công an xã Tây Đô  tỉnh Thái Bình</v>
      </c>
      <c r="C9274" t="str">
        <v>-</v>
      </c>
      <c r="D9274" t="str">
        <v>-</v>
      </c>
      <c r="E9274" t="str">
        <v/>
      </c>
      <c r="F9274" t="str">
        <v>-</v>
      </c>
      <c r="G9274" t="str">
        <v>-</v>
      </c>
    </row>
    <row r="9275">
      <c r="A9275">
        <v>9274</v>
      </c>
      <c r="B9275" t="str">
        <v>UBND Ủy ban nhân dân xã Tây Đô  tỉnh Thái Bình</v>
      </c>
      <c r="C9275" t="str">
        <v>-</v>
      </c>
      <c r="D9275" t="str">
        <v>-</v>
      </c>
      <c r="E9275" t="str">
        <v>-</v>
      </c>
      <c r="F9275" t="str">
        <v>-</v>
      </c>
      <c r="G9275" t="str">
        <v>-</v>
      </c>
    </row>
    <row r="9276">
      <c r="A9276">
        <v>9275</v>
      </c>
      <c r="B9276" t="str">
        <v>Công an xã Thống Nhất  tỉnh Thái Bình</v>
      </c>
      <c r="C9276" t="str">
        <v>-</v>
      </c>
      <c r="D9276" t="str">
        <v>-</v>
      </c>
      <c r="E9276" t="str">
        <v/>
      </c>
      <c r="F9276" t="str">
        <v>-</v>
      </c>
      <c r="G9276" t="str">
        <v>-</v>
      </c>
    </row>
    <row r="9277">
      <c r="A9277">
        <v>9276</v>
      </c>
      <c r="B9277" t="str">
        <v>UBND Ủy ban nhân dân xã Thống Nhất  tỉnh Thái Bình</v>
      </c>
      <c r="C9277" t="str">
        <v>-</v>
      </c>
      <c r="D9277" t="str">
        <v>-</v>
      </c>
      <c r="E9277" t="str">
        <v>-</v>
      </c>
      <c r="F9277" t="str">
        <v>-</v>
      </c>
      <c r="G9277" t="str">
        <v>-</v>
      </c>
    </row>
    <row r="9278">
      <c r="A9278">
        <v>9277</v>
      </c>
      <c r="B9278" t="str">
        <v>Công an xã Tiến Đức  tỉnh Thái Bình</v>
      </c>
      <c r="C9278" t="str">
        <v>-</v>
      </c>
      <c r="D9278" t="str">
        <v>-</v>
      </c>
      <c r="E9278" t="str">
        <v/>
      </c>
      <c r="F9278" t="str">
        <v>-</v>
      </c>
      <c r="G9278" t="str">
        <v>-</v>
      </c>
    </row>
    <row r="9279">
      <c r="A9279">
        <v>9278</v>
      </c>
      <c r="B9279" t="str">
        <v>UBND Ủy ban nhân dân xã Tiến Đức  tỉnh Thái Bình</v>
      </c>
      <c r="C9279" t="str">
        <v>-</v>
      </c>
      <c r="D9279" t="str">
        <v>-</v>
      </c>
      <c r="E9279" t="str">
        <v>-</v>
      </c>
      <c r="F9279" t="str">
        <v>-</v>
      </c>
      <c r="G9279" t="str">
        <v>-</v>
      </c>
    </row>
    <row r="9280">
      <c r="A9280">
        <v>9279</v>
      </c>
      <c r="B9280" t="str">
        <v>Công an xã Thái Hưng  tỉnh Thái Bình</v>
      </c>
      <c r="C9280" t="str">
        <v>-</v>
      </c>
      <c r="D9280" t="str">
        <v>-</v>
      </c>
      <c r="E9280" t="str">
        <v/>
      </c>
      <c r="F9280" t="str">
        <v>-</v>
      </c>
      <c r="G9280" t="str">
        <v>-</v>
      </c>
    </row>
    <row r="9281">
      <c r="A9281">
        <v>9280</v>
      </c>
      <c r="B9281" t="str">
        <v>UBND Ủy ban nhân dân xã Thái Hưng  tỉnh Thái Bình</v>
      </c>
      <c r="C9281" t="str">
        <v>-</v>
      </c>
      <c r="D9281" t="str">
        <v>-</v>
      </c>
      <c r="E9281" t="str">
        <v>-</v>
      </c>
      <c r="F9281" t="str">
        <v>-</v>
      </c>
      <c r="G9281" t="str">
        <v>-</v>
      </c>
    </row>
    <row r="9282">
      <c r="A9282">
        <v>9281</v>
      </c>
      <c r="B9282" t="str">
        <v>Công an xã Thái Phương  tỉnh Thái Bình</v>
      </c>
      <c r="C9282" t="str">
        <v>-</v>
      </c>
      <c r="D9282" t="str">
        <v>-</v>
      </c>
      <c r="E9282" t="str">
        <v/>
      </c>
      <c r="F9282" t="str">
        <v>-</v>
      </c>
      <c r="G9282" t="str">
        <v>-</v>
      </c>
    </row>
    <row r="9283">
      <c r="A9283">
        <v>9282</v>
      </c>
      <c r="B9283" t="str">
        <v>UBND Ủy ban nhân dân xã Thái Phương  tỉnh Thái Bình</v>
      </c>
      <c r="C9283" t="str">
        <v>-</v>
      </c>
      <c r="D9283" t="str">
        <v>-</v>
      </c>
      <c r="E9283" t="str">
        <v>-</v>
      </c>
      <c r="F9283" t="str">
        <v>-</v>
      </c>
      <c r="G9283" t="str">
        <v>-</v>
      </c>
    </row>
    <row r="9284">
      <c r="A9284">
        <v>9283</v>
      </c>
      <c r="B9284" t="str">
        <v>Công an xã Hòa Bình  tỉnh Thái Bình</v>
      </c>
      <c r="C9284" t="str">
        <v>-</v>
      </c>
      <c r="D9284" t="str">
        <v>-</v>
      </c>
      <c r="E9284" t="str">
        <v/>
      </c>
      <c r="F9284" t="str">
        <v>-</v>
      </c>
      <c r="G9284" t="str">
        <v>-</v>
      </c>
    </row>
    <row r="9285">
      <c r="A9285">
        <v>9284</v>
      </c>
      <c r="B9285" t="str">
        <v>UBND Ủy ban nhân dân xã Hòa Bình  tỉnh Thái Bình</v>
      </c>
      <c r="C9285" t="str">
        <v>-</v>
      </c>
      <c r="D9285" t="str">
        <v>-</v>
      </c>
      <c r="E9285" t="str">
        <v>-</v>
      </c>
      <c r="F9285" t="str">
        <v>-</v>
      </c>
      <c r="G9285" t="str">
        <v>-</v>
      </c>
    </row>
    <row r="9286">
      <c r="A9286">
        <v>9285</v>
      </c>
      <c r="B9286" t="str">
        <v>Công an xã Chi Lăng  tỉnh Thái Bình</v>
      </c>
      <c r="C9286" t="str">
        <v>-</v>
      </c>
      <c r="D9286" t="str">
        <v>-</v>
      </c>
      <c r="E9286" t="str">
        <v/>
      </c>
      <c r="F9286" t="str">
        <v>-</v>
      </c>
      <c r="G9286" t="str">
        <v>-</v>
      </c>
    </row>
    <row r="9287">
      <c r="A9287">
        <v>9286</v>
      </c>
      <c r="B9287" t="str">
        <v>UBND Ủy ban nhân dân xã Chi Lăng  tỉnh Thái Bình</v>
      </c>
      <c r="C9287" t="str">
        <v>-</v>
      </c>
      <c r="D9287" t="str">
        <v>-</v>
      </c>
      <c r="E9287" t="str">
        <v>-</v>
      </c>
      <c r="F9287" t="str">
        <v>-</v>
      </c>
      <c r="G9287" t="str">
        <v>-</v>
      </c>
    </row>
    <row r="9288">
      <c r="A9288">
        <v>9287</v>
      </c>
      <c r="B9288" t="str">
        <v>Công an xã Minh Khai  tỉnh Thái Bình</v>
      </c>
      <c r="C9288" t="str">
        <v>-</v>
      </c>
      <c r="D9288" t="str">
        <v>-</v>
      </c>
      <c r="E9288" t="str">
        <v/>
      </c>
      <c r="F9288" t="str">
        <v>-</v>
      </c>
      <c r="G9288" t="str">
        <v>-</v>
      </c>
    </row>
    <row r="9289">
      <c r="A9289">
        <v>9288</v>
      </c>
      <c r="B9289" t="str">
        <v>UBND Ủy ban nhân dân xã Minh Khai  tỉnh Thái Bình</v>
      </c>
      <c r="C9289" t="str">
        <v>-</v>
      </c>
      <c r="D9289" t="str">
        <v>-</v>
      </c>
      <c r="E9289" t="str">
        <v>-</v>
      </c>
      <c r="F9289" t="str">
        <v>-</v>
      </c>
      <c r="G9289" t="str">
        <v>-</v>
      </c>
    </row>
    <row r="9290">
      <c r="A9290">
        <v>9289</v>
      </c>
      <c r="B9290" t="str">
        <v>Công an xã Hồng An  tỉnh Thái Bình</v>
      </c>
      <c r="C9290" t="str">
        <v>-</v>
      </c>
      <c r="D9290" t="str">
        <v>-</v>
      </c>
      <c r="E9290" t="str">
        <v/>
      </c>
      <c r="F9290" t="str">
        <v>-</v>
      </c>
      <c r="G9290" t="str">
        <v>-</v>
      </c>
    </row>
    <row r="9291">
      <c r="A9291">
        <v>9290</v>
      </c>
      <c r="B9291" t="str">
        <v>UBND Ủy ban nhân dân xã Hồng An  tỉnh Thái Bình</v>
      </c>
      <c r="C9291" t="str">
        <v>-</v>
      </c>
      <c r="D9291" t="str">
        <v>-</v>
      </c>
      <c r="E9291" t="str">
        <v>-</v>
      </c>
      <c r="F9291" t="str">
        <v>-</v>
      </c>
      <c r="G9291" t="str">
        <v>-</v>
      </c>
    </row>
    <row r="9292">
      <c r="A9292">
        <v>9291</v>
      </c>
      <c r="B9292" t="str">
        <v>Công an xã Kim Chung  tỉnh Thái Bình</v>
      </c>
      <c r="C9292" t="str">
        <v>-</v>
      </c>
      <c r="D9292" t="str">
        <v>-</v>
      </c>
      <c r="E9292" t="str">
        <v/>
      </c>
      <c r="F9292" t="str">
        <v>-</v>
      </c>
      <c r="G9292" t="str">
        <v>-</v>
      </c>
    </row>
    <row r="9293">
      <c r="A9293">
        <v>9292</v>
      </c>
      <c r="B9293" t="str">
        <v>UBND Ủy ban nhân dân xã Kim Chung  tỉnh Thái Bình</v>
      </c>
      <c r="C9293" t="str">
        <v>-</v>
      </c>
      <c r="D9293" t="str">
        <v>-</v>
      </c>
      <c r="E9293" t="str">
        <v>-</v>
      </c>
      <c r="F9293" t="str">
        <v>-</v>
      </c>
      <c r="G9293" t="str">
        <v>-</v>
      </c>
    </row>
    <row r="9294">
      <c r="A9294">
        <v>9293</v>
      </c>
      <c r="B9294" t="str">
        <v>Công an xã Hồng Lĩnh  tỉnh Thái Bình</v>
      </c>
      <c r="C9294" t="str">
        <v>-</v>
      </c>
      <c r="D9294" t="str">
        <v>-</v>
      </c>
      <c r="E9294" t="str">
        <v/>
      </c>
      <c r="F9294" t="str">
        <v>-</v>
      </c>
      <c r="G9294" t="str">
        <v>-</v>
      </c>
    </row>
    <row r="9295">
      <c r="A9295">
        <v>9294</v>
      </c>
      <c r="B9295" t="str">
        <v>UBND Ủy ban nhân dân xã Hồng Lĩnh  tỉnh Thái Bình</v>
      </c>
      <c r="C9295" t="str">
        <v>-</v>
      </c>
      <c r="D9295" t="str">
        <v>-</v>
      </c>
      <c r="E9295" t="str">
        <v>-</v>
      </c>
      <c r="F9295" t="str">
        <v>-</v>
      </c>
      <c r="G9295" t="str">
        <v>-</v>
      </c>
    </row>
    <row r="9296">
      <c r="A9296">
        <v>9295</v>
      </c>
      <c r="B9296" t="str">
        <v>Công an xã Minh Tân  tỉnh Thái Bình</v>
      </c>
      <c r="C9296" t="str">
        <v>-</v>
      </c>
      <c r="D9296" t="str">
        <v>-</v>
      </c>
      <c r="E9296" t="str">
        <v/>
      </c>
      <c r="F9296" t="str">
        <v>-</v>
      </c>
      <c r="G9296" t="str">
        <v>-</v>
      </c>
    </row>
    <row r="9297">
      <c r="A9297">
        <v>9296</v>
      </c>
      <c r="B9297" t="str">
        <v>UBND Ủy ban nhân dân xã Minh Tân  tỉnh Thái Bình</v>
      </c>
      <c r="C9297" t="str">
        <v>-</v>
      </c>
      <c r="D9297" t="str">
        <v>-</v>
      </c>
      <c r="E9297" t="str">
        <v>-</v>
      </c>
      <c r="F9297" t="str">
        <v>-</v>
      </c>
      <c r="G9297" t="str">
        <v>-</v>
      </c>
    </row>
    <row r="9298">
      <c r="A9298">
        <v>9297</v>
      </c>
      <c r="B9298" t="str">
        <v>Công an xã Văn Lang  tỉnh Thái Bình</v>
      </c>
      <c r="C9298" t="str">
        <v>-</v>
      </c>
      <c r="D9298" t="str">
        <v>-</v>
      </c>
      <c r="E9298" t="str">
        <v/>
      </c>
      <c r="F9298" t="str">
        <v>-</v>
      </c>
      <c r="G9298" t="str">
        <v>-</v>
      </c>
    </row>
    <row r="9299">
      <c r="A9299">
        <v>9298</v>
      </c>
      <c r="B9299" t="str">
        <v>UBND Ủy ban nhân dân xã Văn Lang  tỉnh Thái Bình</v>
      </c>
      <c r="C9299" t="str">
        <v>-</v>
      </c>
      <c r="D9299" t="str">
        <v>-</v>
      </c>
      <c r="E9299" t="str">
        <v>-</v>
      </c>
      <c r="F9299" t="str">
        <v>-</v>
      </c>
      <c r="G9299" t="str">
        <v>-</v>
      </c>
    </row>
    <row r="9300">
      <c r="A9300">
        <v>9299</v>
      </c>
      <c r="B9300" t="str">
        <v>Công an xã Độc Lập  tỉnh Thái Bình</v>
      </c>
      <c r="C9300" t="str">
        <v>-</v>
      </c>
      <c r="D9300" t="str">
        <v>-</v>
      </c>
      <c r="E9300" t="str">
        <v/>
      </c>
      <c r="F9300" t="str">
        <v>-</v>
      </c>
      <c r="G9300" t="str">
        <v>-</v>
      </c>
    </row>
    <row r="9301">
      <c r="A9301">
        <v>9300</v>
      </c>
      <c r="B9301" t="str">
        <v>UBND Ủy ban nhân dân xã Độc Lập  tỉnh Thái Bình</v>
      </c>
      <c r="C9301" t="str">
        <v>-</v>
      </c>
      <c r="D9301" t="str">
        <v>-</v>
      </c>
      <c r="E9301" t="str">
        <v>-</v>
      </c>
      <c r="F9301" t="str">
        <v>-</v>
      </c>
      <c r="G9301" t="str">
        <v>-</v>
      </c>
    </row>
    <row r="9302">
      <c r="A9302">
        <v>9301</v>
      </c>
      <c r="B9302" t="str">
        <v>Công an xã Chí Hòa  tỉnh Thái Bình</v>
      </c>
      <c r="C9302" t="str">
        <v>-</v>
      </c>
      <c r="D9302" t="str">
        <v>-</v>
      </c>
      <c r="E9302" t="str">
        <v/>
      </c>
      <c r="F9302" t="str">
        <v>-</v>
      </c>
      <c r="G9302" t="str">
        <v>-</v>
      </c>
    </row>
    <row r="9303">
      <c r="A9303">
        <v>9302</v>
      </c>
      <c r="B9303" t="str">
        <v>UBND Ủy ban nhân dân xã Chí Hòa  tỉnh Thái Bình</v>
      </c>
      <c r="C9303" t="str">
        <v>-</v>
      </c>
      <c r="D9303" t="str">
        <v>-</v>
      </c>
      <c r="E9303" t="str">
        <v>-</v>
      </c>
      <c r="F9303" t="str">
        <v>-</v>
      </c>
      <c r="G9303" t="str">
        <v>-</v>
      </c>
    </row>
    <row r="9304">
      <c r="A9304">
        <v>9303</v>
      </c>
      <c r="B9304" t="str">
        <v>Công an xã Minh Hòa  tỉnh Thái Bình</v>
      </c>
      <c r="C9304" t="str">
        <v>-</v>
      </c>
      <c r="D9304" t="str">
        <v>-</v>
      </c>
      <c r="E9304" t="str">
        <v/>
      </c>
      <c r="F9304" t="str">
        <v>-</v>
      </c>
      <c r="G9304" t="str">
        <v>-</v>
      </c>
    </row>
    <row r="9305">
      <c r="A9305">
        <v>9304</v>
      </c>
      <c r="B9305" t="str">
        <v>UBND Ủy ban nhân dân xã Minh Hòa  tỉnh Thái Bình</v>
      </c>
      <c r="C9305" t="str">
        <v>-</v>
      </c>
      <c r="D9305" t="str">
        <v>-</v>
      </c>
      <c r="E9305" t="str">
        <v>-</v>
      </c>
      <c r="F9305" t="str">
        <v>-</v>
      </c>
      <c r="G9305" t="str">
        <v>-</v>
      </c>
    </row>
    <row r="9306">
      <c r="A9306">
        <v>9305</v>
      </c>
      <c r="B9306" t="str">
        <v>Công an xã Hồng Minh  tỉnh Thái Bình</v>
      </c>
      <c r="C9306" t="str">
        <v>-</v>
      </c>
      <c r="D9306" t="str">
        <v>-</v>
      </c>
      <c r="E9306" t="str">
        <v/>
      </c>
      <c r="F9306" t="str">
        <v>-</v>
      </c>
      <c r="G9306" t="str">
        <v>-</v>
      </c>
    </row>
    <row r="9307">
      <c r="A9307">
        <v>9306</v>
      </c>
      <c r="B9307" t="str">
        <v>UBND Ủy ban nhân dân xã Hồng Minh  tỉnh Thái Bình</v>
      </c>
      <c r="C9307" t="str">
        <v>-</v>
      </c>
      <c r="D9307" t="str">
        <v>-</v>
      </c>
      <c r="E9307" t="str">
        <v>-</v>
      </c>
      <c r="F9307" t="str">
        <v>-</v>
      </c>
      <c r="G9307" t="str">
        <v>-</v>
      </c>
    </row>
    <row r="9308">
      <c r="A9308">
        <v>9307</v>
      </c>
      <c r="B9308" t="str">
        <v>Công an thị trấn Đông Hưng  tỉnh Thái Bình</v>
      </c>
      <c r="C9308" t="str">
        <v>-</v>
      </c>
      <c r="D9308" t="str">
        <v>-</v>
      </c>
      <c r="E9308" t="str">
        <v/>
      </c>
      <c r="F9308" t="str">
        <v>-</v>
      </c>
      <c r="G9308" t="str">
        <v>-</v>
      </c>
    </row>
    <row r="9309">
      <c r="A9309">
        <v>9308</v>
      </c>
      <c r="B9309" t="str">
        <v>UBND Ủy ban nhân dân thị trấn Đông Hưng  tỉnh Thái Bình</v>
      </c>
      <c r="C9309" t="str">
        <v>-</v>
      </c>
      <c r="D9309" t="str">
        <v>-</v>
      </c>
      <c r="E9309" t="str">
        <v>-</v>
      </c>
      <c r="F9309" t="str">
        <v>-</v>
      </c>
      <c r="G9309" t="str">
        <v>-</v>
      </c>
    </row>
    <row r="9310">
      <c r="A9310">
        <v>9309</v>
      </c>
      <c r="B9310" t="str">
        <v>Công an xã Đô Lương  tỉnh Thái Bình</v>
      </c>
      <c r="C9310" t="str">
        <v>-</v>
      </c>
      <c r="D9310" t="str">
        <v>-</v>
      </c>
      <c r="E9310" t="str">
        <v/>
      </c>
      <c r="F9310" t="str">
        <v>-</v>
      </c>
      <c r="G9310" t="str">
        <v>-</v>
      </c>
    </row>
    <row r="9311">
      <c r="A9311">
        <v>9310</v>
      </c>
      <c r="B9311" t="str">
        <v>UBND Ủy ban nhân dân xã Đô Lương  tỉnh Thái Bình</v>
      </c>
      <c r="C9311" t="str">
        <v>-</v>
      </c>
      <c r="D9311" t="str">
        <v>-</v>
      </c>
      <c r="E9311" t="str">
        <v>-</v>
      </c>
      <c r="F9311" t="str">
        <v>-</v>
      </c>
      <c r="G9311" t="str">
        <v>-</v>
      </c>
    </row>
    <row r="9312">
      <c r="A9312">
        <v>9311</v>
      </c>
      <c r="B9312" t="str">
        <v>Công an xã Đông Phương  tỉnh Thái Bình</v>
      </c>
      <c r="C9312" t="str">
        <v>-</v>
      </c>
      <c r="D9312" t="str">
        <v>-</v>
      </c>
      <c r="E9312" t="str">
        <v/>
      </c>
      <c r="F9312" t="str">
        <v>-</v>
      </c>
      <c r="G9312" t="str">
        <v>-</v>
      </c>
    </row>
    <row r="9313">
      <c r="A9313">
        <v>9312</v>
      </c>
      <c r="B9313" t="str">
        <v>UBND Ủy ban nhân dân xã Đông Phương  tỉnh Thái Bình</v>
      </c>
      <c r="C9313" t="str">
        <v>-</v>
      </c>
      <c r="D9313" t="str">
        <v>-</v>
      </c>
      <c r="E9313" t="str">
        <v>-</v>
      </c>
      <c r="F9313" t="str">
        <v>-</v>
      </c>
      <c r="G9313" t="str">
        <v>-</v>
      </c>
    </row>
    <row r="9314">
      <c r="A9314">
        <v>9313</v>
      </c>
      <c r="B9314" t="str">
        <v>Công an xã Liên Giang  tỉnh Thái Bình</v>
      </c>
      <c r="C9314" t="str">
        <v>-</v>
      </c>
      <c r="D9314" t="str">
        <v>-</v>
      </c>
      <c r="E9314" t="str">
        <v/>
      </c>
      <c r="F9314" t="str">
        <v>-</v>
      </c>
      <c r="G9314" t="str">
        <v>-</v>
      </c>
    </row>
    <row r="9315">
      <c r="A9315">
        <v>9314</v>
      </c>
      <c r="B9315" t="str">
        <v>UBND Ủy ban nhân dân xã Liên Giang  tỉnh Thái Bình</v>
      </c>
      <c r="C9315" t="str">
        <v>-</v>
      </c>
      <c r="D9315" t="str">
        <v>-</v>
      </c>
      <c r="E9315" t="str">
        <v>-</v>
      </c>
      <c r="F9315" t="str">
        <v>-</v>
      </c>
      <c r="G9315" t="str">
        <v>-</v>
      </c>
    </row>
    <row r="9316">
      <c r="A9316">
        <v>9315</v>
      </c>
      <c r="B9316" t="str">
        <v>Công an xã An Châu  tỉnh Thái Bình</v>
      </c>
      <c r="C9316" t="str">
        <v>-</v>
      </c>
      <c r="D9316" t="str">
        <v>-</v>
      </c>
      <c r="E9316" t="str">
        <v/>
      </c>
      <c r="F9316" t="str">
        <v>-</v>
      </c>
      <c r="G9316" t="str">
        <v>-</v>
      </c>
    </row>
    <row r="9317">
      <c r="A9317">
        <v>9316</v>
      </c>
      <c r="B9317" t="str">
        <v>UBND Ủy ban nhân dân xã An Châu  tỉnh Thái Bình</v>
      </c>
      <c r="C9317" t="str">
        <v>-</v>
      </c>
      <c r="D9317" t="str">
        <v>-</v>
      </c>
      <c r="E9317" t="str">
        <v>-</v>
      </c>
      <c r="F9317" t="str">
        <v>-</v>
      </c>
      <c r="G9317" t="str">
        <v>-</v>
      </c>
    </row>
    <row r="9318">
      <c r="A9318">
        <v>9317</v>
      </c>
      <c r="B9318" t="str">
        <v>Công an xã Đông Sơn  tỉnh Thái Bình</v>
      </c>
      <c r="C9318" t="str">
        <v>-</v>
      </c>
      <c r="D9318" t="str">
        <v>-</v>
      </c>
      <c r="E9318" t="str">
        <v/>
      </c>
      <c r="F9318" t="str">
        <v>-</v>
      </c>
      <c r="G9318" t="str">
        <v>-</v>
      </c>
    </row>
    <row r="9319">
      <c r="A9319">
        <v>9318</v>
      </c>
      <c r="B9319" t="str">
        <v>UBND Ủy ban nhân dân xã Đông Sơn  tỉnh Thái Bình</v>
      </c>
      <c r="C9319" t="str">
        <v>-</v>
      </c>
      <c r="D9319" t="str">
        <v>-</v>
      </c>
      <c r="E9319" t="str">
        <v>-</v>
      </c>
      <c r="F9319" t="str">
        <v>-</v>
      </c>
      <c r="G9319" t="str">
        <v>-</v>
      </c>
    </row>
    <row r="9320">
      <c r="A9320">
        <v>9319</v>
      </c>
      <c r="B9320" t="str">
        <v>Công an xã Đông Cường  tỉnh Thái Bình</v>
      </c>
      <c r="C9320" t="str">
        <v>-</v>
      </c>
      <c r="D9320" t="str">
        <v>-</v>
      </c>
      <c r="E9320" t="str">
        <v/>
      </c>
      <c r="F9320" t="str">
        <v>-</v>
      </c>
      <c r="G9320" t="str">
        <v>-</v>
      </c>
    </row>
    <row r="9321">
      <c r="A9321">
        <v>9320</v>
      </c>
      <c r="B9321" t="str">
        <v>UBND Ủy ban nhân dân xã Đông Cường  tỉnh Thái Bình</v>
      </c>
      <c r="C9321" t="str">
        <v>-</v>
      </c>
      <c r="D9321" t="str">
        <v>-</v>
      </c>
      <c r="E9321" t="str">
        <v>-</v>
      </c>
      <c r="F9321" t="str">
        <v>-</v>
      </c>
      <c r="G9321" t="str">
        <v>-</v>
      </c>
    </row>
    <row r="9322">
      <c r="A9322">
        <v>9321</v>
      </c>
      <c r="B9322" t="str">
        <v>Công an xã Phú Lương  tỉnh Thái Bình</v>
      </c>
      <c r="C9322" t="str">
        <v>-</v>
      </c>
      <c r="D9322" t="str">
        <v>-</v>
      </c>
      <c r="E9322" t="str">
        <v/>
      </c>
      <c r="F9322" t="str">
        <v>-</v>
      </c>
      <c r="G9322" t="str">
        <v>-</v>
      </c>
    </row>
    <row r="9323">
      <c r="A9323">
        <v>9322</v>
      </c>
      <c r="B9323" t="str">
        <v>UBND Ủy ban nhân dân xã Phú Lương  tỉnh Thái Bình</v>
      </c>
      <c r="C9323" t="str">
        <v>-</v>
      </c>
      <c r="D9323" t="str">
        <v>-</v>
      </c>
      <c r="E9323" t="str">
        <v>-</v>
      </c>
      <c r="F9323" t="str">
        <v>-</v>
      </c>
      <c r="G9323" t="str">
        <v>-</v>
      </c>
    </row>
    <row r="9324">
      <c r="A9324">
        <v>9323</v>
      </c>
      <c r="B9324" t="str">
        <v>Công an xã Mê Linh  tỉnh Thái Bình</v>
      </c>
      <c r="C9324" t="str">
        <v>-</v>
      </c>
      <c r="D9324" t="str">
        <v>-</v>
      </c>
      <c r="E9324" t="str">
        <v/>
      </c>
      <c r="F9324" t="str">
        <v>-</v>
      </c>
      <c r="G9324" t="str">
        <v>-</v>
      </c>
    </row>
    <row r="9325">
      <c r="A9325">
        <v>9324</v>
      </c>
      <c r="B9325" t="str">
        <v>UBND Ủy ban nhân dân xã Mê Linh  tỉnh Thái Bình</v>
      </c>
      <c r="C9325" t="str">
        <v>-</v>
      </c>
      <c r="D9325" t="str">
        <v>-</v>
      </c>
      <c r="E9325" t="str">
        <v>-</v>
      </c>
      <c r="F9325" t="str">
        <v>-</v>
      </c>
      <c r="G9325" t="str">
        <v>-</v>
      </c>
    </row>
    <row r="9326">
      <c r="A9326">
        <v>9325</v>
      </c>
      <c r="B9326" t="str">
        <v>Công an xã Lô Giang  tỉnh Thái Bình</v>
      </c>
      <c r="C9326" t="str">
        <v>-</v>
      </c>
      <c r="D9326" t="str">
        <v>-</v>
      </c>
      <c r="E9326" t="str">
        <v/>
      </c>
      <c r="F9326" t="str">
        <v>-</v>
      </c>
      <c r="G9326" t="str">
        <v>-</v>
      </c>
    </row>
    <row r="9327">
      <c r="A9327">
        <v>9326</v>
      </c>
      <c r="B9327" t="str">
        <v>UBND Ủy ban nhân dân xã Lô Giang  tỉnh Thái Bình</v>
      </c>
      <c r="C9327" t="str">
        <v>-</v>
      </c>
      <c r="D9327" t="str">
        <v>-</v>
      </c>
      <c r="E9327" t="str">
        <v>-</v>
      </c>
      <c r="F9327" t="str">
        <v>-</v>
      </c>
      <c r="G9327" t="str">
        <v>-</v>
      </c>
    </row>
    <row r="9328">
      <c r="A9328">
        <v>9327</v>
      </c>
      <c r="B9328" t="str">
        <v>Công an xã Đông La  tỉnh Thái Bình</v>
      </c>
      <c r="C9328" t="str">
        <v>-</v>
      </c>
      <c r="D9328" t="str">
        <v>-</v>
      </c>
      <c r="E9328" t="str">
        <v/>
      </c>
      <c r="F9328" t="str">
        <v>-</v>
      </c>
      <c r="G9328" t="str">
        <v>-</v>
      </c>
    </row>
    <row r="9329">
      <c r="A9329">
        <v>9328</v>
      </c>
      <c r="B9329" t="str">
        <v>UBND Ủy ban nhân dân xã Đông La  tỉnh Thái Bình</v>
      </c>
      <c r="C9329" t="str">
        <v>-</v>
      </c>
      <c r="D9329" t="str">
        <v>-</v>
      </c>
      <c r="E9329" t="str">
        <v>-</v>
      </c>
      <c r="F9329" t="str">
        <v>-</v>
      </c>
      <c r="G9329" t="str">
        <v>-</v>
      </c>
    </row>
    <row r="9330">
      <c r="A9330">
        <v>9329</v>
      </c>
      <c r="B9330" t="str">
        <v>Công an xã Minh Tân  tỉnh Thái Bình</v>
      </c>
      <c r="C9330" t="str">
        <v>-</v>
      </c>
      <c r="D9330" t="str">
        <v>-</v>
      </c>
      <c r="E9330" t="str">
        <v/>
      </c>
      <c r="F9330" t="str">
        <v>-</v>
      </c>
      <c r="G9330" t="str">
        <v>-</v>
      </c>
    </row>
    <row r="9331">
      <c r="A9331">
        <v>9330</v>
      </c>
      <c r="B9331" t="str">
        <v>UBND Ủy ban nhân dân xã Minh Tân  tỉnh Thái Bình</v>
      </c>
      <c r="C9331" t="str">
        <v>-</v>
      </c>
      <c r="D9331" t="str">
        <v>-</v>
      </c>
      <c r="E9331" t="str">
        <v>-</v>
      </c>
      <c r="F9331" t="str">
        <v>-</v>
      </c>
      <c r="G9331" t="str">
        <v>-</v>
      </c>
    </row>
    <row r="9332">
      <c r="A9332">
        <v>9331</v>
      </c>
      <c r="B9332" t="str">
        <v>Công an xã Đông Xá  tỉnh Thái Bình</v>
      </c>
      <c r="C9332" t="str">
        <v>-</v>
      </c>
      <c r="D9332" t="str">
        <v>-</v>
      </c>
      <c r="E9332" t="str">
        <v/>
      </c>
      <c r="F9332" t="str">
        <v>-</v>
      </c>
      <c r="G9332" t="str">
        <v>-</v>
      </c>
    </row>
    <row r="9333">
      <c r="A9333">
        <v>9332</v>
      </c>
      <c r="B9333" t="str">
        <v>UBND Ủy ban nhân dân xã Đông Xá  tỉnh Thái Bình</v>
      </c>
      <c r="C9333" t="str">
        <v>-</v>
      </c>
      <c r="D9333" t="str">
        <v>-</v>
      </c>
      <c r="E9333" t="str">
        <v>-</v>
      </c>
      <c r="F9333" t="str">
        <v>-</v>
      </c>
      <c r="G9333" t="str">
        <v>-</v>
      </c>
    </row>
    <row r="9334">
      <c r="A9334">
        <v>9333</v>
      </c>
      <c r="B9334" t="str">
        <v>Công an xã Chương Dương  tỉnh Thái Bình</v>
      </c>
      <c r="C9334" t="str">
        <v>-</v>
      </c>
      <c r="D9334" t="str">
        <v>-</v>
      </c>
      <c r="E9334" t="str">
        <v/>
      </c>
      <c r="F9334" t="str">
        <v>-</v>
      </c>
      <c r="G9334" t="str">
        <v>-</v>
      </c>
    </row>
    <row r="9335">
      <c r="A9335">
        <v>9334</v>
      </c>
      <c r="B9335" t="str">
        <v>UBND Ủy ban nhân dân xã Chương Dương  tỉnh Thái Bình</v>
      </c>
      <c r="C9335" t="str">
        <v>-</v>
      </c>
      <c r="D9335" t="str">
        <v>-</v>
      </c>
      <c r="E9335" t="str">
        <v>-</v>
      </c>
      <c r="F9335" t="str">
        <v>-</v>
      </c>
      <c r="G9335" t="str">
        <v>-</v>
      </c>
    </row>
    <row r="9336">
      <c r="A9336">
        <v>9335</v>
      </c>
      <c r="B9336" t="str">
        <v>Công an xã Nguyên Xá  tỉnh Thái Bình</v>
      </c>
      <c r="C9336" t="str">
        <v>-</v>
      </c>
      <c r="D9336" t="str">
        <v>-</v>
      </c>
      <c r="E9336" t="str">
        <v/>
      </c>
      <c r="F9336" t="str">
        <v>-</v>
      </c>
      <c r="G9336" t="str">
        <v>-</v>
      </c>
    </row>
    <row r="9337">
      <c r="A9337">
        <v>9336</v>
      </c>
      <c r="B9337" t="str">
        <v>UBND Ủy ban nhân dân xã Nguyên Xá  tỉnh Thái Bình</v>
      </c>
      <c r="C9337" t="str">
        <v>-</v>
      </c>
      <c r="D9337" t="str">
        <v>-</v>
      </c>
      <c r="E9337" t="str">
        <v>-</v>
      </c>
      <c r="F9337" t="str">
        <v>-</v>
      </c>
      <c r="G9337" t="str">
        <v>-</v>
      </c>
    </row>
    <row r="9338">
      <c r="A9338">
        <v>9337</v>
      </c>
      <c r="B9338" t="str">
        <v>Công an xã Phong Châu  tỉnh Thái Bình</v>
      </c>
      <c r="C9338" t="str">
        <v>-</v>
      </c>
      <c r="D9338" t="str">
        <v>-</v>
      </c>
      <c r="E9338" t="str">
        <v/>
      </c>
      <c r="F9338" t="str">
        <v>-</v>
      </c>
      <c r="G9338" t="str">
        <v>-</v>
      </c>
    </row>
    <row r="9339">
      <c r="A9339">
        <v>9338</v>
      </c>
      <c r="B9339" t="str">
        <v>UBND Ủy ban nhân dân xã Phong Châu  tỉnh Thái Bình</v>
      </c>
      <c r="C9339" t="str">
        <v>-</v>
      </c>
      <c r="D9339" t="str">
        <v>-</v>
      </c>
      <c r="E9339" t="str">
        <v>-</v>
      </c>
      <c r="F9339" t="str">
        <v>-</v>
      </c>
      <c r="G9339" t="str">
        <v>-</v>
      </c>
    </row>
    <row r="9340">
      <c r="A9340">
        <v>9339</v>
      </c>
      <c r="B9340" t="str">
        <v>Công an xã Hợp Tiến  tỉnh Thái Bình</v>
      </c>
      <c r="C9340" t="str">
        <v>-</v>
      </c>
      <c r="D9340" t="str">
        <v>-</v>
      </c>
      <c r="E9340" t="str">
        <v/>
      </c>
      <c r="F9340" t="str">
        <v>-</v>
      </c>
      <c r="G9340" t="str">
        <v>-</v>
      </c>
    </row>
    <row r="9341">
      <c r="A9341">
        <v>9340</v>
      </c>
      <c r="B9341" t="str">
        <v>UBND Ủy ban nhân dân xã Hợp Tiến  tỉnh Thái Bình</v>
      </c>
      <c r="C9341" t="str">
        <v>-</v>
      </c>
      <c r="D9341" t="str">
        <v>-</v>
      </c>
      <c r="E9341" t="str">
        <v>-</v>
      </c>
      <c r="F9341" t="str">
        <v>-</v>
      </c>
      <c r="G9341" t="str">
        <v>-</v>
      </c>
    </row>
    <row r="9342">
      <c r="A9342">
        <v>9341</v>
      </c>
      <c r="B9342" t="str">
        <v>Công an xã Hồng Việt  tỉnh Thái Bình</v>
      </c>
      <c r="C9342" t="str">
        <v>-</v>
      </c>
      <c r="D9342" t="str">
        <v>-</v>
      </c>
      <c r="E9342" t="str">
        <v/>
      </c>
      <c r="F9342" t="str">
        <v>-</v>
      </c>
      <c r="G9342" t="str">
        <v>-</v>
      </c>
    </row>
    <row r="9343">
      <c r="A9343">
        <v>9342</v>
      </c>
      <c r="B9343" t="str">
        <v>UBND Ủy ban nhân dân xã Hồng Việt  tỉnh Thái Bình</v>
      </c>
      <c r="C9343" t="str">
        <v>-</v>
      </c>
      <c r="D9343" t="str">
        <v>-</v>
      </c>
      <c r="E9343" t="str">
        <v>-</v>
      </c>
      <c r="F9343" t="str">
        <v>-</v>
      </c>
      <c r="G9343" t="str">
        <v>-</v>
      </c>
    </row>
    <row r="9344">
      <c r="A9344">
        <v>9343</v>
      </c>
      <c r="B9344" t="str">
        <v>Công an xã Đông Hà  tỉnh Thái Bình</v>
      </c>
      <c r="C9344" t="str">
        <v>-</v>
      </c>
      <c r="D9344" t="str">
        <v>-</v>
      </c>
      <c r="E9344" t="str">
        <v/>
      </c>
      <c r="F9344" t="str">
        <v>-</v>
      </c>
      <c r="G9344" t="str">
        <v>-</v>
      </c>
    </row>
    <row r="9345">
      <c r="A9345">
        <v>9344</v>
      </c>
      <c r="B9345" t="str">
        <v>UBND Ủy ban nhân dân xã Đông Hà  tỉnh Thái Bình</v>
      </c>
      <c r="C9345" t="str">
        <v>-</v>
      </c>
      <c r="D9345" t="str">
        <v>-</v>
      </c>
      <c r="E9345" t="str">
        <v>-</v>
      </c>
      <c r="F9345" t="str">
        <v>-</v>
      </c>
      <c r="G9345" t="str">
        <v>-</v>
      </c>
    </row>
    <row r="9346">
      <c r="A9346">
        <v>9345</v>
      </c>
      <c r="B9346" t="str">
        <v>Công an xã Đông Giang  tỉnh Thái Bình</v>
      </c>
      <c r="C9346" t="str">
        <v>-</v>
      </c>
      <c r="D9346" t="str">
        <v>-</v>
      </c>
      <c r="E9346" t="str">
        <v/>
      </c>
      <c r="F9346" t="str">
        <v>-</v>
      </c>
      <c r="G9346" t="str">
        <v>-</v>
      </c>
    </row>
    <row r="9347">
      <c r="A9347">
        <v>9346</v>
      </c>
      <c r="B9347" t="str">
        <v>UBND Ủy ban nhân dân xã Đông Giang  tỉnh Thái Bình</v>
      </c>
      <c r="C9347" t="str">
        <v>-</v>
      </c>
      <c r="D9347" t="str">
        <v>-</v>
      </c>
      <c r="E9347" t="str">
        <v>-</v>
      </c>
      <c r="F9347" t="str">
        <v>-</v>
      </c>
      <c r="G9347" t="str">
        <v>-</v>
      </c>
    </row>
    <row r="9348">
      <c r="A9348">
        <v>9347</v>
      </c>
      <c r="B9348" t="str">
        <v>Công an xã Đông Kinh  tỉnh Thái Bình</v>
      </c>
      <c r="C9348" t="str">
        <v>-</v>
      </c>
      <c r="D9348" t="str">
        <v>-</v>
      </c>
      <c r="E9348" t="str">
        <v/>
      </c>
      <c r="F9348" t="str">
        <v>-</v>
      </c>
      <c r="G9348" t="str">
        <v>-</v>
      </c>
    </row>
    <row r="9349">
      <c r="A9349">
        <v>9348</v>
      </c>
      <c r="B9349" t="str">
        <v>UBND Ủy ban nhân dân xã Đông Kinh  tỉnh Thái Bình</v>
      </c>
      <c r="C9349" t="str">
        <v>-</v>
      </c>
      <c r="D9349" t="str">
        <v>-</v>
      </c>
      <c r="E9349" t="str">
        <v>-</v>
      </c>
      <c r="F9349" t="str">
        <v>-</v>
      </c>
      <c r="G9349" t="str">
        <v>-</v>
      </c>
    </row>
    <row r="9350">
      <c r="A9350">
        <v>9349</v>
      </c>
      <c r="B9350" t="str">
        <v>Công an xã Đông Hợp  tỉnh Thái Bình</v>
      </c>
      <c r="C9350" t="str">
        <v>-</v>
      </c>
      <c r="D9350" t="str">
        <v>-</v>
      </c>
      <c r="E9350" t="str">
        <v/>
      </c>
      <c r="F9350" t="str">
        <v>-</v>
      </c>
      <c r="G9350" t="str">
        <v>-</v>
      </c>
    </row>
    <row r="9351">
      <c r="A9351">
        <v>9350</v>
      </c>
      <c r="B9351" t="str">
        <v>UBND Ủy ban nhân dân xã Đông Hợp  tỉnh Thái Bình</v>
      </c>
      <c r="C9351" t="str">
        <v>-</v>
      </c>
      <c r="D9351" t="str">
        <v>-</v>
      </c>
      <c r="E9351" t="str">
        <v>-</v>
      </c>
      <c r="F9351" t="str">
        <v>-</v>
      </c>
      <c r="G9351" t="str">
        <v>-</v>
      </c>
    </row>
    <row r="9352">
      <c r="A9352">
        <v>9351</v>
      </c>
      <c r="B9352" t="str">
        <v>Công an xã Thăng Long  tỉnh Thái Bình</v>
      </c>
      <c r="C9352" t="str">
        <v>-</v>
      </c>
      <c r="D9352" t="str">
        <v>-</v>
      </c>
      <c r="E9352" t="str">
        <v/>
      </c>
      <c r="F9352" t="str">
        <v>-</v>
      </c>
      <c r="G9352" t="str">
        <v>-</v>
      </c>
    </row>
    <row r="9353">
      <c r="A9353">
        <v>9352</v>
      </c>
      <c r="B9353" t="str">
        <v>UBND Ủy ban nhân dân xã Thăng Long  tỉnh Thái Bình</v>
      </c>
      <c r="C9353" t="str">
        <v>-</v>
      </c>
      <c r="D9353" t="str">
        <v>-</v>
      </c>
      <c r="E9353" t="str">
        <v>-</v>
      </c>
      <c r="F9353" t="str">
        <v>-</v>
      </c>
      <c r="G9353" t="str">
        <v>-</v>
      </c>
    </row>
    <row r="9354">
      <c r="A9354">
        <v>9353</v>
      </c>
      <c r="B9354" t="str">
        <v>Công an xã Đông Các  tỉnh Thái Bình</v>
      </c>
      <c r="C9354" t="str">
        <v>-</v>
      </c>
      <c r="D9354" t="str">
        <v>-</v>
      </c>
      <c r="E9354" t="str">
        <v/>
      </c>
      <c r="F9354" t="str">
        <v>-</v>
      </c>
      <c r="G9354" t="str">
        <v>-</v>
      </c>
    </row>
    <row r="9355">
      <c r="A9355">
        <v>9354</v>
      </c>
      <c r="B9355" t="str">
        <v>UBND Ủy ban nhân dân xã Đông Các  tỉnh Thái Bình</v>
      </c>
      <c r="C9355" t="str">
        <v>-</v>
      </c>
      <c r="D9355" t="str">
        <v>-</v>
      </c>
      <c r="E9355" t="str">
        <v>-</v>
      </c>
      <c r="F9355" t="str">
        <v>-</v>
      </c>
      <c r="G9355" t="str">
        <v>-</v>
      </c>
    </row>
    <row r="9356">
      <c r="A9356">
        <v>9355</v>
      </c>
      <c r="B9356" t="str">
        <v>Công an xã Phú Châu  tỉnh Thái Bình</v>
      </c>
      <c r="C9356" t="str">
        <v>-</v>
      </c>
      <c r="D9356" t="str">
        <v>-</v>
      </c>
      <c r="E9356" t="str">
        <v/>
      </c>
      <c r="F9356" t="str">
        <v>-</v>
      </c>
      <c r="G9356" t="str">
        <v>-</v>
      </c>
    </row>
    <row r="9357">
      <c r="A9357">
        <v>9356</v>
      </c>
      <c r="B9357" t="str">
        <v>UBND Ủy ban nhân dân xã Phú Châu  tỉnh Thái Bình</v>
      </c>
      <c r="C9357" t="str">
        <v>-</v>
      </c>
      <c r="D9357" t="str">
        <v>-</v>
      </c>
      <c r="E9357" t="str">
        <v>-</v>
      </c>
      <c r="F9357" t="str">
        <v>-</v>
      </c>
      <c r="G9357" t="str">
        <v>-</v>
      </c>
    </row>
    <row r="9358">
      <c r="A9358">
        <v>9357</v>
      </c>
      <c r="B9358" t="str">
        <v>Công an xã Hoa Lư  tỉnh Thái Bình</v>
      </c>
      <c r="C9358" t="str">
        <v>-</v>
      </c>
      <c r="D9358" t="str">
        <v>-</v>
      </c>
      <c r="E9358" t="str">
        <v/>
      </c>
      <c r="F9358" t="str">
        <v>-</v>
      </c>
      <c r="G9358" t="str">
        <v>-</v>
      </c>
    </row>
    <row r="9359">
      <c r="A9359">
        <v>9358</v>
      </c>
      <c r="B9359" t="str">
        <v>UBND Ủy ban nhân dân xã Hoa Lư  tỉnh Thái Bình</v>
      </c>
      <c r="C9359" t="str">
        <v>-</v>
      </c>
      <c r="D9359" t="str">
        <v>-</v>
      </c>
      <c r="E9359" t="str">
        <v>-</v>
      </c>
      <c r="F9359" t="str">
        <v>-</v>
      </c>
      <c r="G9359" t="str">
        <v>-</v>
      </c>
    </row>
    <row r="9360">
      <c r="A9360">
        <v>9359</v>
      </c>
      <c r="B9360" t="str">
        <v>Công an xã Minh Châu  tỉnh Thái Bình</v>
      </c>
      <c r="C9360" t="str">
        <v>-</v>
      </c>
      <c r="D9360" t="str">
        <v>-</v>
      </c>
      <c r="E9360" t="str">
        <v/>
      </c>
      <c r="F9360" t="str">
        <v>-</v>
      </c>
      <c r="G9360" t="str">
        <v>-</v>
      </c>
    </row>
    <row r="9361">
      <c r="A9361">
        <v>9360</v>
      </c>
      <c r="B9361" t="str">
        <v>UBND Ủy ban nhân dân xã Minh Châu  tỉnh Thái Bình</v>
      </c>
      <c r="C9361" t="str">
        <v>-</v>
      </c>
      <c r="D9361" t="str">
        <v>-</v>
      </c>
      <c r="E9361" t="str">
        <v>-</v>
      </c>
      <c r="F9361" t="str">
        <v>-</v>
      </c>
      <c r="G9361" t="str">
        <v>-</v>
      </c>
    </row>
    <row r="9362">
      <c r="A9362">
        <v>9361</v>
      </c>
      <c r="B9362" t="str">
        <v>Công an xã Đông Tân  tỉnh Thái Bình</v>
      </c>
      <c r="C9362" t="str">
        <v>-</v>
      </c>
      <c r="D9362" t="str">
        <v>-</v>
      </c>
      <c r="E9362" t="str">
        <v/>
      </c>
      <c r="F9362" t="str">
        <v>-</v>
      </c>
      <c r="G9362" t="str">
        <v>-</v>
      </c>
    </row>
    <row r="9363">
      <c r="A9363">
        <v>9362</v>
      </c>
      <c r="B9363" t="str">
        <v>UBND Ủy ban nhân dân xã Đông Tân  tỉnh Thái Bình</v>
      </c>
      <c r="C9363" t="str">
        <v>-</v>
      </c>
      <c r="D9363" t="str">
        <v>-</v>
      </c>
      <c r="E9363" t="str">
        <v>-</v>
      </c>
      <c r="F9363" t="str">
        <v>-</v>
      </c>
      <c r="G9363" t="str">
        <v>-</v>
      </c>
    </row>
    <row r="9364">
      <c r="A9364">
        <v>9363</v>
      </c>
      <c r="B9364" t="str">
        <v>Công an xã Đông Vinh  tỉnh Thái Bình</v>
      </c>
      <c r="C9364" t="str">
        <v>-</v>
      </c>
      <c r="D9364" t="str">
        <v>-</v>
      </c>
      <c r="E9364" t="str">
        <v/>
      </c>
      <c r="F9364" t="str">
        <v>-</v>
      </c>
      <c r="G9364" t="str">
        <v>-</v>
      </c>
    </row>
    <row r="9365">
      <c r="A9365">
        <v>9364</v>
      </c>
      <c r="B9365" t="str">
        <v>UBND Ủy ban nhân dân xã Đông Vinh  tỉnh Thái Bình</v>
      </c>
      <c r="C9365" t="str">
        <v>-</v>
      </c>
      <c r="D9365" t="str">
        <v>-</v>
      </c>
      <c r="E9365" t="str">
        <v>-</v>
      </c>
      <c r="F9365" t="str">
        <v>-</v>
      </c>
      <c r="G9365" t="str">
        <v>-</v>
      </c>
    </row>
    <row r="9366">
      <c r="A9366">
        <v>9365</v>
      </c>
      <c r="B9366" t="str">
        <v>Công an xã Đông Động  tỉnh Thái Bình</v>
      </c>
      <c r="C9366" t="str">
        <v>-</v>
      </c>
      <c r="D9366" t="str">
        <v>-</v>
      </c>
      <c r="E9366" t="str">
        <v/>
      </c>
      <c r="F9366" t="str">
        <v>-</v>
      </c>
      <c r="G9366" t="str">
        <v>-</v>
      </c>
    </row>
    <row r="9367">
      <c r="A9367">
        <v>9366</v>
      </c>
      <c r="B9367" t="str">
        <v>UBND Ủy ban nhân dân xã Đông Động  tỉnh Thái Bình</v>
      </c>
      <c r="C9367" t="str">
        <v>-</v>
      </c>
      <c r="D9367" t="str">
        <v>-</v>
      </c>
      <c r="E9367" t="str">
        <v>-</v>
      </c>
      <c r="F9367" t="str">
        <v>-</v>
      </c>
      <c r="G9367" t="str">
        <v>-</v>
      </c>
    </row>
    <row r="9368">
      <c r="A9368">
        <v>9367</v>
      </c>
      <c r="B9368" t="str">
        <v>Công an xã Hồng Châu  tỉnh Thái Bình</v>
      </c>
      <c r="C9368" t="str">
        <v>-</v>
      </c>
      <c r="D9368" t="str">
        <v>-</v>
      </c>
      <c r="E9368" t="str">
        <v/>
      </c>
      <c r="F9368" t="str">
        <v>-</v>
      </c>
      <c r="G9368" t="str">
        <v>-</v>
      </c>
    </row>
    <row r="9369">
      <c r="A9369">
        <v>9368</v>
      </c>
      <c r="B9369" t="str">
        <v>UBND Ủy ban nhân dân xã Hồng Châu  tỉnh Thái Bình</v>
      </c>
      <c r="C9369" t="str">
        <v>-</v>
      </c>
      <c r="D9369" t="str">
        <v>-</v>
      </c>
      <c r="E9369" t="str">
        <v>-</v>
      </c>
      <c r="F9369" t="str">
        <v>-</v>
      </c>
      <c r="G9369" t="str">
        <v>-</v>
      </c>
    </row>
    <row r="9370">
      <c r="A9370">
        <v>9369</v>
      </c>
      <c r="B9370" t="str">
        <v>Công an xã Bạch Đằng  tỉnh Thái Bình</v>
      </c>
      <c r="C9370" t="str">
        <v>-</v>
      </c>
      <c r="D9370" t="str">
        <v>-</v>
      </c>
      <c r="E9370" t="str">
        <v/>
      </c>
      <c r="F9370" t="str">
        <v>-</v>
      </c>
      <c r="G9370" t="str">
        <v>-</v>
      </c>
    </row>
    <row r="9371">
      <c r="A9371">
        <v>9370</v>
      </c>
      <c r="B9371" t="str">
        <v>UBND Ủy ban nhân dân xã Bạch Đằng  tỉnh Thái Bình</v>
      </c>
      <c r="C9371" t="str">
        <v>-</v>
      </c>
      <c r="D9371" t="str">
        <v>-</v>
      </c>
      <c r="E9371" t="str">
        <v>-</v>
      </c>
      <c r="F9371" t="str">
        <v>-</v>
      </c>
      <c r="G9371" t="str">
        <v>-</v>
      </c>
    </row>
    <row r="9372">
      <c r="A9372">
        <v>9371</v>
      </c>
      <c r="B9372" t="str">
        <v>Công an xã Trọng Quan  tỉnh Thái Bình</v>
      </c>
      <c r="C9372" t="str">
        <v>-</v>
      </c>
      <c r="D9372" t="str">
        <v>-</v>
      </c>
      <c r="E9372" t="str">
        <v/>
      </c>
      <c r="F9372" t="str">
        <v>-</v>
      </c>
      <c r="G9372" t="str">
        <v>-</v>
      </c>
    </row>
    <row r="9373">
      <c r="A9373">
        <v>9372</v>
      </c>
      <c r="B9373" t="str">
        <v>UBND Ủy ban nhân dân xã Trọng Quan  tỉnh Thái Bình</v>
      </c>
      <c r="C9373" t="str">
        <v>-</v>
      </c>
      <c r="D9373" t="str">
        <v>-</v>
      </c>
      <c r="E9373" t="str">
        <v>-</v>
      </c>
      <c r="F9373" t="str">
        <v>-</v>
      </c>
      <c r="G9373" t="str">
        <v>-</v>
      </c>
    </row>
    <row r="9374">
      <c r="A9374">
        <v>9373</v>
      </c>
      <c r="B9374" t="str">
        <v>Công an xã Hoa Nam  tỉnh Thái Bình</v>
      </c>
      <c r="C9374" t="str">
        <v>-</v>
      </c>
      <c r="D9374" t="str">
        <v>-</v>
      </c>
      <c r="E9374" t="str">
        <v/>
      </c>
      <c r="F9374" t="str">
        <v>-</v>
      </c>
      <c r="G9374" t="str">
        <v>-</v>
      </c>
    </row>
    <row r="9375">
      <c r="A9375">
        <v>9374</v>
      </c>
      <c r="B9375" t="str">
        <v>UBND Ủy ban nhân dân xã Hoa Nam  tỉnh Thái Bình</v>
      </c>
      <c r="C9375" t="str">
        <v>-</v>
      </c>
      <c r="D9375" t="str">
        <v>-</v>
      </c>
      <c r="E9375" t="str">
        <v>-</v>
      </c>
      <c r="F9375" t="str">
        <v>-</v>
      </c>
      <c r="G9375" t="str">
        <v>-</v>
      </c>
    </row>
    <row r="9376">
      <c r="A9376">
        <v>9375</v>
      </c>
      <c r="B9376" t="str">
        <v>Công an xã Hồng Giang  tỉnh Thái Bình</v>
      </c>
      <c r="C9376" t="str">
        <v>-</v>
      </c>
      <c r="D9376" t="str">
        <v>-</v>
      </c>
      <c r="E9376" t="str">
        <v/>
      </c>
      <c r="F9376" t="str">
        <v>-</v>
      </c>
      <c r="G9376" t="str">
        <v>-</v>
      </c>
    </row>
    <row r="9377">
      <c r="A9377">
        <v>9376</v>
      </c>
      <c r="B9377" t="str">
        <v>UBND Ủy ban nhân dân xã Hồng Giang  tỉnh Thái Bình</v>
      </c>
      <c r="C9377" t="str">
        <v>-</v>
      </c>
      <c r="D9377" t="str">
        <v>-</v>
      </c>
      <c r="E9377" t="str">
        <v>-</v>
      </c>
      <c r="F9377" t="str">
        <v>-</v>
      </c>
      <c r="G9377" t="str">
        <v>-</v>
      </c>
    </row>
    <row r="9378">
      <c r="A9378">
        <v>9377</v>
      </c>
      <c r="B9378" t="str">
        <v>Công an xã Đông Phong  tỉnh Thái Bình</v>
      </c>
      <c r="C9378" t="str">
        <v>-</v>
      </c>
      <c r="D9378" t="str">
        <v>-</v>
      </c>
      <c r="E9378" t="str">
        <v/>
      </c>
      <c r="F9378" t="str">
        <v>-</v>
      </c>
      <c r="G9378" t="str">
        <v>-</v>
      </c>
    </row>
    <row r="9379">
      <c r="A9379">
        <v>9378</v>
      </c>
      <c r="B9379" t="str">
        <v>UBND Ủy ban nhân dân xã Đông Phong  tỉnh Thái Bình</v>
      </c>
      <c r="C9379" t="str">
        <v>-</v>
      </c>
      <c r="D9379" t="str">
        <v>-</v>
      </c>
      <c r="E9379" t="str">
        <v>-</v>
      </c>
      <c r="F9379" t="str">
        <v>-</v>
      </c>
      <c r="G9379" t="str">
        <v>-</v>
      </c>
    </row>
    <row r="9380">
      <c r="A9380">
        <v>9379</v>
      </c>
      <c r="B9380" t="str">
        <v>Công an xã Đông Quang  tỉnh Thái Bình</v>
      </c>
      <c r="C9380" t="str">
        <v>-</v>
      </c>
      <c r="D9380" t="str">
        <v>-</v>
      </c>
      <c r="E9380" t="str">
        <v/>
      </c>
      <c r="F9380" t="str">
        <v>-</v>
      </c>
      <c r="G9380" t="str">
        <v>-</v>
      </c>
    </row>
    <row r="9381">
      <c r="A9381">
        <v>9380</v>
      </c>
      <c r="B9381" t="str">
        <v>UBND Ủy ban nhân dân xã Đông Quang  tỉnh Thái Bình</v>
      </c>
      <c r="C9381" t="str">
        <v>-</v>
      </c>
      <c r="D9381" t="str">
        <v>-</v>
      </c>
      <c r="E9381" t="str">
        <v>-</v>
      </c>
      <c r="F9381" t="str">
        <v>-</v>
      </c>
      <c r="G9381" t="str">
        <v>-</v>
      </c>
    </row>
    <row r="9382">
      <c r="A9382">
        <v>9381</v>
      </c>
      <c r="B9382" t="str">
        <v>Công an xã Đông Xuân  tỉnh Thái Bình</v>
      </c>
      <c r="C9382" t="str">
        <v>-</v>
      </c>
      <c r="D9382" t="str">
        <v>-</v>
      </c>
      <c r="E9382" t="str">
        <v/>
      </c>
      <c r="F9382" t="str">
        <v>-</v>
      </c>
      <c r="G9382" t="str">
        <v>-</v>
      </c>
    </row>
    <row r="9383">
      <c r="A9383">
        <v>9382</v>
      </c>
      <c r="B9383" t="str">
        <v>UBND Ủy ban nhân dân xã Đông Xuân  tỉnh Thái Bình</v>
      </c>
      <c r="C9383" t="str">
        <v>-</v>
      </c>
      <c r="D9383" t="str">
        <v>-</v>
      </c>
      <c r="E9383" t="str">
        <v>-</v>
      </c>
      <c r="F9383" t="str">
        <v>-</v>
      </c>
      <c r="G9383" t="str">
        <v>-</v>
      </c>
    </row>
    <row r="9384">
      <c r="A9384">
        <v>9383</v>
      </c>
      <c r="B9384" t="str">
        <v>Công an xã Đông Á  tỉnh Thái Bình</v>
      </c>
      <c r="C9384" t="str">
        <v>-</v>
      </c>
      <c r="D9384" t="str">
        <v>-</v>
      </c>
      <c r="E9384" t="str">
        <v/>
      </c>
      <c r="F9384" t="str">
        <v>-</v>
      </c>
      <c r="G9384" t="str">
        <v>-</v>
      </c>
    </row>
    <row r="9385">
      <c r="A9385">
        <v>9384</v>
      </c>
      <c r="B9385" t="str">
        <v>UBND Ủy ban nhân dân xã Đông Á  tỉnh Thái Bình</v>
      </c>
      <c r="C9385" t="str">
        <v>-</v>
      </c>
      <c r="D9385" t="str">
        <v>-</v>
      </c>
      <c r="E9385" t="str">
        <v>-</v>
      </c>
      <c r="F9385" t="str">
        <v>-</v>
      </c>
      <c r="G9385" t="str">
        <v>-</v>
      </c>
    </row>
    <row r="9386">
      <c r="A9386">
        <v>9385</v>
      </c>
      <c r="B9386" t="str">
        <v>Công an xã Đông Lĩnh  tỉnh Thái Bình</v>
      </c>
      <c r="C9386" t="str">
        <v>-</v>
      </c>
      <c r="D9386" t="str">
        <v>-</v>
      </c>
      <c r="E9386" t="str">
        <v/>
      </c>
      <c r="F9386" t="str">
        <v>-</v>
      </c>
      <c r="G9386" t="str">
        <v>-</v>
      </c>
    </row>
    <row r="9387">
      <c r="A9387">
        <v>9386</v>
      </c>
      <c r="B9387" t="str">
        <v>UBND Ủy ban nhân dân xã Đông Lĩnh  tỉnh Thái Bình</v>
      </c>
      <c r="C9387" t="str">
        <v>-</v>
      </c>
      <c r="D9387" t="str">
        <v>-</v>
      </c>
      <c r="E9387" t="str">
        <v>-</v>
      </c>
      <c r="F9387" t="str">
        <v>-</v>
      </c>
      <c r="G9387" t="str">
        <v>-</v>
      </c>
    </row>
    <row r="9388">
      <c r="A9388">
        <v>9387</v>
      </c>
      <c r="B9388" t="str">
        <v>Công an xã Đông Hoàng  tỉnh Thái Bình</v>
      </c>
      <c r="C9388" t="str">
        <v>-</v>
      </c>
      <c r="D9388" t="str">
        <v>-</v>
      </c>
      <c r="E9388" t="str">
        <v/>
      </c>
      <c r="F9388" t="str">
        <v>-</v>
      </c>
      <c r="G9388" t="str">
        <v>-</v>
      </c>
    </row>
    <row r="9389">
      <c r="A9389">
        <v>9388</v>
      </c>
      <c r="B9389" t="str">
        <v>UBND Ủy ban nhân dân xã Đông Hoàng  tỉnh Thái Bình</v>
      </c>
      <c r="C9389" t="str">
        <v>-</v>
      </c>
      <c r="D9389" t="str">
        <v>-</v>
      </c>
      <c r="E9389" t="str">
        <v>-</v>
      </c>
      <c r="F9389" t="str">
        <v>-</v>
      </c>
      <c r="G9389" t="str">
        <v>-</v>
      </c>
    </row>
    <row r="9390">
      <c r="A9390">
        <v>9389</v>
      </c>
      <c r="B9390" t="str">
        <v>Công an xã Đông Dương  tỉnh Thái Bình</v>
      </c>
      <c r="C9390" t="str">
        <v>-</v>
      </c>
      <c r="D9390" t="str">
        <v>-</v>
      </c>
      <c r="E9390" t="str">
        <v/>
      </c>
      <c r="F9390" t="str">
        <v>-</v>
      </c>
      <c r="G9390" t="str">
        <v>-</v>
      </c>
    </row>
    <row r="9391">
      <c r="A9391">
        <v>9390</v>
      </c>
      <c r="B9391" t="str">
        <v>UBND Ủy ban nhân dân xã Đông Dương  tỉnh Thái Bình</v>
      </c>
      <c r="C9391" t="str">
        <v>-</v>
      </c>
      <c r="D9391" t="str">
        <v>-</v>
      </c>
      <c r="E9391" t="str">
        <v>-</v>
      </c>
      <c r="F9391" t="str">
        <v>-</v>
      </c>
      <c r="G9391" t="str">
        <v>-</v>
      </c>
    </row>
    <row r="9392">
      <c r="A9392">
        <v>9391</v>
      </c>
      <c r="B9392" t="str">
        <v>Công an xã Đông Huy  tỉnh Thái Bình</v>
      </c>
      <c r="C9392" t="str">
        <v>-</v>
      </c>
      <c r="D9392" t="str">
        <v>-</v>
      </c>
      <c r="E9392" t="str">
        <v/>
      </c>
      <c r="F9392" t="str">
        <v>-</v>
      </c>
      <c r="G9392" t="str">
        <v>-</v>
      </c>
    </row>
    <row r="9393">
      <c r="A9393">
        <v>9392</v>
      </c>
      <c r="B9393" t="str">
        <v>UBND Ủy ban nhân dân xã Đông Huy  tỉnh Thái Bình</v>
      </c>
      <c r="C9393" t="str">
        <v>-</v>
      </c>
      <c r="D9393" t="str">
        <v>-</v>
      </c>
      <c r="E9393" t="str">
        <v>-</v>
      </c>
      <c r="F9393" t="str">
        <v>-</v>
      </c>
      <c r="G9393" t="str">
        <v>-</v>
      </c>
    </row>
    <row r="9394">
      <c r="A9394">
        <v>9393</v>
      </c>
      <c r="B9394" t="str">
        <v>Công an xã Đồng Phú  tỉnh Thái Bình</v>
      </c>
      <c r="C9394" t="str">
        <v>-</v>
      </c>
      <c r="D9394" t="str">
        <v>-</v>
      </c>
      <c r="E9394" t="str">
        <v/>
      </c>
      <c r="F9394" t="str">
        <v>-</v>
      </c>
      <c r="G9394" t="str">
        <v>-</v>
      </c>
    </row>
    <row r="9395">
      <c r="A9395">
        <v>9394</v>
      </c>
      <c r="B9395" t="str">
        <v>UBND Ủy ban nhân dân xã Đồng Phú  tỉnh Thái Bình</v>
      </c>
      <c r="C9395" t="str">
        <v>-</v>
      </c>
      <c r="D9395" t="str">
        <v>-</v>
      </c>
      <c r="E9395" t="str">
        <v>-</v>
      </c>
      <c r="F9395" t="str">
        <v>-</v>
      </c>
      <c r="G9395" t="str">
        <v>-</v>
      </c>
    </row>
    <row r="9396">
      <c r="A9396">
        <v>9395</v>
      </c>
      <c r="B9396" t="str">
        <v>Công an thị trấn Diêm Điền  tỉnh Thái Bình</v>
      </c>
      <c r="C9396" t="str">
        <v>-</v>
      </c>
      <c r="D9396" t="str">
        <v>-</v>
      </c>
      <c r="E9396" t="str">
        <v/>
      </c>
      <c r="F9396" t="str">
        <v>-</v>
      </c>
      <c r="G9396" t="str">
        <v>-</v>
      </c>
    </row>
    <row r="9397">
      <c r="A9397">
        <v>9396</v>
      </c>
      <c r="B9397" t="str">
        <v>UBND Ủy ban nhân dân thị trấn Diêm Điền  tỉnh Thái Bình</v>
      </c>
      <c r="C9397" t="str">
        <v>-</v>
      </c>
      <c r="D9397" t="str">
        <v>-</v>
      </c>
      <c r="E9397" t="str">
        <v>-</v>
      </c>
      <c r="F9397" t="str">
        <v>-</v>
      </c>
      <c r="G9397" t="str">
        <v>-</v>
      </c>
    </row>
    <row r="9398">
      <c r="A9398">
        <v>9397</v>
      </c>
      <c r="B9398" t="str">
        <v>Công an xã Thụy Tân  tỉnh Thái Bình</v>
      </c>
      <c r="C9398" t="str">
        <v>-</v>
      </c>
      <c r="D9398" t="str">
        <v>-</v>
      </c>
      <c r="E9398" t="str">
        <v/>
      </c>
      <c r="F9398" t="str">
        <v>-</v>
      </c>
      <c r="G9398" t="str">
        <v>-</v>
      </c>
    </row>
    <row r="9399">
      <c r="A9399">
        <v>9398</v>
      </c>
      <c r="B9399" t="str">
        <v>UBND Ủy ban nhân dân xã Thụy Tân  tỉnh Thái Bình</v>
      </c>
      <c r="C9399" t="str">
        <v>-</v>
      </c>
      <c r="D9399" t="str">
        <v>-</v>
      </c>
      <c r="E9399" t="str">
        <v>-</v>
      </c>
      <c r="F9399" t="str">
        <v>-</v>
      </c>
      <c r="G9399" t="str">
        <v>-</v>
      </c>
    </row>
    <row r="9400">
      <c r="A9400">
        <v>9399</v>
      </c>
      <c r="B9400" t="str">
        <v>Công an xã Thụy Trường  tỉnh Thái Bình</v>
      </c>
      <c r="C9400" t="str">
        <v>-</v>
      </c>
      <c r="D9400" t="str">
        <v>-</v>
      </c>
      <c r="E9400" t="str">
        <v/>
      </c>
      <c r="F9400" t="str">
        <v>-</v>
      </c>
      <c r="G9400" t="str">
        <v>-</v>
      </c>
    </row>
    <row r="9401">
      <c r="A9401">
        <v>9400</v>
      </c>
      <c r="B9401" t="str">
        <v>UBND Ủy ban nhân dân xã Thụy Trường  tỉnh Thái Bình</v>
      </c>
      <c r="C9401" t="str">
        <v>-</v>
      </c>
      <c r="D9401" t="str">
        <v>-</v>
      </c>
      <c r="E9401" t="str">
        <v>-</v>
      </c>
      <c r="F9401" t="str">
        <v>-</v>
      </c>
      <c r="G9401" t="str">
        <v>-</v>
      </c>
    </row>
    <row r="9402">
      <c r="A9402">
        <v>9401</v>
      </c>
      <c r="B9402" t="str">
        <v>Công an xã Hồng Quỳnh  tỉnh Thái Bình</v>
      </c>
      <c r="C9402" t="str">
        <v>-</v>
      </c>
      <c r="D9402" t="str">
        <v>-</v>
      </c>
      <c r="E9402" t="str">
        <v/>
      </c>
      <c r="F9402" t="str">
        <v>-</v>
      </c>
      <c r="G9402" t="str">
        <v>-</v>
      </c>
    </row>
    <row r="9403">
      <c r="A9403">
        <v>9402</v>
      </c>
      <c r="B9403" t="str">
        <v>UBND Ủy ban nhân dân xã Hồng Quỳnh  tỉnh Thái Bình</v>
      </c>
      <c r="C9403" t="str">
        <v>-</v>
      </c>
      <c r="D9403" t="str">
        <v>-</v>
      </c>
      <c r="E9403" t="str">
        <v>-</v>
      </c>
      <c r="F9403" t="str">
        <v>-</v>
      </c>
      <c r="G9403" t="str">
        <v>-</v>
      </c>
    </row>
    <row r="9404">
      <c r="A9404">
        <v>9403</v>
      </c>
      <c r="B9404" t="str">
        <v>Công an xã Thụy Dũng  tỉnh Thái Bình</v>
      </c>
      <c r="C9404" t="str">
        <v>-</v>
      </c>
      <c r="D9404" t="str">
        <v>-</v>
      </c>
      <c r="E9404" t="str">
        <v/>
      </c>
      <c r="F9404" t="str">
        <v>-</v>
      </c>
      <c r="G9404" t="str">
        <v>-</v>
      </c>
    </row>
    <row r="9405">
      <c r="A9405">
        <v>9404</v>
      </c>
      <c r="B9405" t="str">
        <v>UBND Ủy ban nhân dân xã Thụy Dũng  tỉnh Thái Bình</v>
      </c>
      <c r="C9405" t="str">
        <v>-</v>
      </c>
      <c r="D9405" t="str">
        <v>-</v>
      </c>
      <c r="E9405" t="str">
        <v>-</v>
      </c>
      <c r="F9405" t="str">
        <v>-</v>
      </c>
      <c r="G9405" t="str">
        <v>-</v>
      </c>
    </row>
    <row r="9406">
      <c r="A9406">
        <v>9405</v>
      </c>
      <c r="B9406" t="str">
        <v>Công an xã Thụy Hồng  tỉnh Thái Bình</v>
      </c>
      <c r="C9406" t="str">
        <v>-</v>
      </c>
      <c r="D9406" t="str">
        <v>-</v>
      </c>
      <c r="E9406" t="str">
        <v/>
      </c>
      <c r="F9406" t="str">
        <v>-</v>
      </c>
      <c r="G9406" t="str">
        <v>-</v>
      </c>
    </row>
    <row r="9407">
      <c r="A9407">
        <v>9406</v>
      </c>
      <c r="B9407" t="str">
        <v>UBND Ủy ban nhân dân xã Thụy Hồng  tỉnh Thái Bình</v>
      </c>
      <c r="C9407" t="str">
        <v>-</v>
      </c>
      <c r="D9407" t="str">
        <v>-</v>
      </c>
      <c r="E9407" t="str">
        <v>-</v>
      </c>
      <c r="F9407" t="str">
        <v>-</v>
      </c>
      <c r="G9407" t="str">
        <v>-</v>
      </c>
    </row>
    <row r="9408">
      <c r="A9408">
        <v>9407</v>
      </c>
      <c r="B9408" t="str">
        <v>Công an xã Thụy Quỳnh  tỉnh Thái Bình</v>
      </c>
      <c r="C9408" t="str">
        <v>-</v>
      </c>
      <c r="D9408" t="str">
        <v>-</v>
      </c>
      <c r="E9408" t="str">
        <v/>
      </c>
      <c r="F9408" t="str">
        <v>-</v>
      </c>
      <c r="G9408" t="str">
        <v>-</v>
      </c>
    </row>
    <row r="9409">
      <c r="A9409">
        <v>9408</v>
      </c>
      <c r="B9409" t="str">
        <v>UBND Ủy ban nhân dân xã Thụy Quỳnh  tỉnh Thái Bình</v>
      </c>
      <c r="C9409" t="str">
        <v>-</v>
      </c>
      <c r="D9409" t="str">
        <v>-</v>
      </c>
      <c r="E9409" t="str">
        <v>-</v>
      </c>
      <c r="F9409" t="str">
        <v>-</v>
      </c>
      <c r="G9409" t="str">
        <v>-</v>
      </c>
    </row>
    <row r="9410">
      <c r="A9410">
        <v>9409</v>
      </c>
      <c r="B9410" t="str">
        <v>Công an xã Thụy An  tỉnh Thái Bình</v>
      </c>
      <c r="C9410" t="str">
        <v>-</v>
      </c>
      <c r="D9410" t="str">
        <v>-</v>
      </c>
      <c r="E9410" t="str">
        <v/>
      </c>
      <c r="F9410" t="str">
        <v>-</v>
      </c>
      <c r="G9410" t="str">
        <v>-</v>
      </c>
    </row>
    <row r="9411">
      <c r="A9411">
        <v>9410</v>
      </c>
      <c r="B9411" t="str">
        <v>UBND Ủy ban nhân dân xã Thụy An  tỉnh Thái Bình</v>
      </c>
      <c r="C9411" t="str">
        <v>-</v>
      </c>
      <c r="D9411" t="str">
        <v>-</v>
      </c>
      <c r="E9411" t="str">
        <v>-</v>
      </c>
      <c r="F9411" t="str">
        <v>-</v>
      </c>
      <c r="G9411" t="str">
        <v>-</v>
      </c>
    </row>
    <row r="9412">
      <c r="A9412">
        <v>9411</v>
      </c>
      <c r="B9412" t="str">
        <v>Công an xã Thụy Ninh  tỉnh Thái Bình</v>
      </c>
      <c r="C9412" t="str">
        <v>-</v>
      </c>
      <c r="D9412" t="str">
        <v>-</v>
      </c>
      <c r="E9412" t="str">
        <v/>
      </c>
      <c r="F9412" t="str">
        <v>-</v>
      </c>
      <c r="G9412" t="str">
        <v>-</v>
      </c>
    </row>
    <row r="9413">
      <c r="A9413">
        <v>9412</v>
      </c>
      <c r="B9413" t="str">
        <v>UBND Ủy ban nhân dân xã Thụy Ninh  tỉnh Thái Bình</v>
      </c>
      <c r="C9413" t="str">
        <v>-</v>
      </c>
      <c r="D9413" t="str">
        <v>-</v>
      </c>
      <c r="E9413" t="str">
        <v>-</v>
      </c>
      <c r="F9413" t="str">
        <v>-</v>
      </c>
      <c r="G9413" t="str">
        <v>-</v>
      </c>
    </row>
    <row r="9414">
      <c r="A9414">
        <v>9413</v>
      </c>
      <c r="B9414" t="str">
        <v>Công an xã Thụy Hưng  tỉnh Thái Bình</v>
      </c>
      <c r="C9414" t="str">
        <v>-</v>
      </c>
      <c r="D9414" t="str">
        <v>-</v>
      </c>
      <c r="E9414" t="str">
        <v/>
      </c>
      <c r="F9414" t="str">
        <v>-</v>
      </c>
      <c r="G9414" t="str">
        <v>-</v>
      </c>
    </row>
    <row r="9415">
      <c r="A9415">
        <v>9414</v>
      </c>
      <c r="B9415" t="str">
        <v>UBND Ủy ban nhân dân xã Thụy Hưng  tỉnh Thái Bình</v>
      </c>
      <c r="C9415" t="str">
        <v>-</v>
      </c>
      <c r="D9415" t="str">
        <v>-</v>
      </c>
      <c r="E9415" t="str">
        <v>-</v>
      </c>
      <c r="F9415" t="str">
        <v>-</v>
      </c>
      <c r="G9415" t="str">
        <v>-</v>
      </c>
    </row>
    <row r="9416">
      <c r="A9416">
        <v>9415</v>
      </c>
      <c r="B9416" t="str">
        <v>Công an xã Thụy Việt  tỉnh Thái Bình</v>
      </c>
      <c r="C9416" t="str">
        <v>-</v>
      </c>
      <c r="D9416" t="str">
        <v>-</v>
      </c>
      <c r="E9416" t="str">
        <v/>
      </c>
      <c r="F9416" t="str">
        <v>-</v>
      </c>
      <c r="G9416" t="str">
        <v>-</v>
      </c>
    </row>
    <row r="9417">
      <c r="A9417">
        <v>9416</v>
      </c>
      <c r="B9417" t="str">
        <v>UBND Ủy ban nhân dân xã Thụy Việt  tỉnh Thái Bình</v>
      </c>
      <c r="C9417" t="str">
        <v>-</v>
      </c>
      <c r="D9417" t="str">
        <v>-</v>
      </c>
      <c r="E9417" t="str">
        <v>-</v>
      </c>
      <c r="F9417" t="str">
        <v>-</v>
      </c>
      <c r="G9417" t="str">
        <v>-</v>
      </c>
    </row>
    <row r="9418">
      <c r="A9418">
        <v>9417</v>
      </c>
      <c r="B9418" t="str">
        <v>Công an xã Thụy Văn  tỉnh Thái Bình</v>
      </c>
      <c r="C9418" t="str">
        <v>-</v>
      </c>
      <c r="D9418" t="str">
        <v>-</v>
      </c>
      <c r="E9418" t="str">
        <v/>
      </c>
      <c r="F9418" t="str">
        <v>-</v>
      </c>
      <c r="G9418" t="str">
        <v>-</v>
      </c>
    </row>
    <row r="9419">
      <c r="A9419">
        <v>9418</v>
      </c>
      <c r="B9419" t="str">
        <v>UBND Ủy ban nhân dân xã Thụy Văn  tỉnh Thái Bình</v>
      </c>
      <c r="C9419" t="str">
        <v>-</v>
      </c>
      <c r="D9419" t="str">
        <v>-</v>
      </c>
      <c r="E9419" t="str">
        <v>-</v>
      </c>
      <c r="F9419" t="str">
        <v>-</v>
      </c>
      <c r="G9419" t="str">
        <v>-</v>
      </c>
    </row>
    <row r="9420">
      <c r="A9420">
        <v>9419</v>
      </c>
      <c r="B9420" t="str">
        <v>Công an xã Thụy Xuân  tỉnh Thái Bình</v>
      </c>
      <c r="C9420" t="str">
        <v>-</v>
      </c>
      <c r="D9420" t="str">
        <v>-</v>
      </c>
      <c r="E9420" t="str">
        <v/>
      </c>
      <c r="F9420" t="str">
        <v>-</v>
      </c>
      <c r="G9420" t="str">
        <v>-</v>
      </c>
    </row>
    <row r="9421">
      <c r="A9421">
        <v>9420</v>
      </c>
      <c r="B9421" t="str">
        <v>UBND Ủy ban nhân dân xã Thụy Xuân  tỉnh Thái Bình</v>
      </c>
      <c r="C9421" t="str">
        <v>-</v>
      </c>
      <c r="D9421" t="str">
        <v>-</v>
      </c>
      <c r="E9421" t="str">
        <v>-</v>
      </c>
      <c r="F9421" t="str">
        <v>-</v>
      </c>
      <c r="G9421" t="str">
        <v>-</v>
      </c>
    </row>
    <row r="9422">
      <c r="A9422">
        <v>9421</v>
      </c>
      <c r="B9422" t="str">
        <v>Công an xã Thụy Dương  tỉnh Thái Bình</v>
      </c>
      <c r="C9422" t="str">
        <v>-</v>
      </c>
      <c r="D9422" t="str">
        <v>-</v>
      </c>
      <c r="E9422" t="str">
        <v/>
      </c>
      <c r="F9422" t="str">
        <v>-</v>
      </c>
      <c r="G9422" t="str">
        <v>-</v>
      </c>
    </row>
    <row r="9423">
      <c r="A9423">
        <v>9422</v>
      </c>
      <c r="B9423" t="str">
        <v>UBND Ủy ban nhân dân xã Thụy Dương  tỉnh Thái Bình</v>
      </c>
      <c r="C9423" t="str">
        <v>-</v>
      </c>
      <c r="D9423" t="str">
        <v>-</v>
      </c>
      <c r="E9423" t="str">
        <v>-</v>
      </c>
      <c r="F9423" t="str">
        <v>-</v>
      </c>
      <c r="G9423" t="str">
        <v>-</v>
      </c>
    </row>
    <row r="9424">
      <c r="A9424">
        <v>9423</v>
      </c>
      <c r="B9424" t="str">
        <v>Công an xã Thụy Trình  tỉnh Thái Bình</v>
      </c>
      <c r="C9424" t="str">
        <v>-</v>
      </c>
      <c r="D9424" t="str">
        <v>-</v>
      </c>
      <c r="E9424" t="str">
        <v/>
      </c>
      <c r="F9424" t="str">
        <v>-</v>
      </c>
      <c r="G9424" t="str">
        <v>-</v>
      </c>
    </row>
    <row r="9425">
      <c r="A9425">
        <v>9424</v>
      </c>
      <c r="B9425" t="str">
        <v>UBND Ủy ban nhân dân xã Thụy Trình  tỉnh Thái Bình</v>
      </c>
      <c r="C9425" t="str">
        <v>-</v>
      </c>
      <c r="D9425" t="str">
        <v>-</v>
      </c>
      <c r="E9425" t="str">
        <v>-</v>
      </c>
      <c r="F9425" t="str">
        <v>-</v>
      </c>
      <c r="G9425" t="str">
        <v>-</v>
      </c>
    </row>
    <row r="9426">
      <c r="A9426">
        <v>9425</v>
      </c>
      <c r="B9426" t="str">
        <v>Công an xã Thụy Bình  tỉnh Thái Bình</v>
      </c>
      <c r="C9426" t="str">
        <v>-</v>
      </c>
      <c r="D9426" t="str">
        <v>-</v>
      </c>
      <c r="E9426" t="str">
        <v/>
      </c>
      <c r="F9426" t="str">
        <v>-</v>
      </c>
      <c r="G9426" t="str">
        <v>-</v>
      </c>
    </row>
    <row r="9427">
      <c r="A9427">
        <v>9426</v>
      </c>
      <c r="B9427" t="str">
        <v>UBND Ủy ban nhân dân xã Thụy Bình  tỉnh Thái Bình</v>
      </c>
      <c r="C9427" t="str">
        <v>-</v>
      </c>
      <c r="D9427" t="str">
        <v>-</v>
      </c>
      <c r="E9427" t="str">
        <v>-</v>
      </c>
      <c r="F9427" t="str">
        <v>-</v>
      </c>
      <c r="G9427" t="str">
        <v>-</v>
      </c>
    </row>
    <row r="9428">
      <c r="A9428">
        <v>9427</v>
      </c>
      <c r="B9428" t="str">
        <v>Công an xã Thụy Chính  tỉnh Thái Bình</v>
      </c>
      <c r="C9428" t="str">
        <v>-</v>
      </c>
      <c r="D9428" t="str">
        <v>-</v>
      </c>
      <c r="E9428" t="str">
        <v/>
      </c>
      <c r="F9428" t="str">
        <v>-</v>
      </c>
      <c r="G9428" t="str">
        <v>-</v>
      </c>
    </row>
    <row r="9429">
      <c r="A9429">
        <v>9428</v>
      </c>
      <c r="B9429" t="str">
        <v>UBND Ủy ban nhân dân xã Thụy Chính  tỉnh Thái Bình</v>
      </c>
      <c r="C9429" t="str">
        <v>-</v>
      </c>
      <c r="D9429" t="str">
        <v>-</v>
      </c>
      <c r="E9429" t="str">
        <v>-</v>
      </c>
      <c r="F9429" t="str">
        <v>-</v>
      </c>
      <c r="G9429" t="str">
        <v>-</v>
      </c>
    </row>
    <row r="9430">
      <c r="A9430">
        <v>9429</v>
      </c>
      <c r="B9430" t="str">
        <v>Công an xã Thụy Dân  tỉnh Thái Bình</v>
      </c>
      <c r="C9430" t="str">
        <v>-</v>
      </c>
      <c r="D9430" t="str">
        <v>-</v>
      </c>
      <c r="E9430" t="str">
        <v/>
      </c>
      <c r="F9430" t="str">
        <v>-</v>
      </c>
      <c r="G9430" t="str">
        <v>-</v>
      </c>
    </row>
    <row r="9431">
      <c r="A9431">
        <v>9430</v>
      </c>
      <c r="B9431" t="str">
        <v>UBND Ủy ban nhân dân xã Thụy Dân  tỉnh Thái Bình</v>
      </c>
      <c r="C9431" t="str">
        <v>-</v>
      </c>
      <c r="D9431" t="str">
        <v>-</v>
      </c>
      <c r="E9431" t="str">
        <v>-</v>
      </c>
      <c r="F9431" t="str">
        <v>-</v>
      </c>
      <c r="G9431" t="str">
        <v>-</v>
      </c>
    </row>
    <row r="9432">
      <c r="A9432">
        <v>9431</v>
      </c>
      <c r="B9432" t="str">
        <v>Công an xã Thụy Hải  tỉnh Thái Bình</v>
      </c>
      <c r="C9432" t="str">
        <v>-</v>
      </c>
      <c r="D9432" t="str">
        <v>-</v>
      </c>
      <c r="E9432" t="str">
        <v/>
      </c>
      <c r="F9432" t="str">
        <v>-</v>
      </c>
      <c r="G9432" t="str">
        <v>-</v>
      </c>
    </row>
    <row r="9433">
      <c r="A9433">
        <v>9432</v>
      </c>
      <c r="B9433" t="str">
        <v>UBND Ủy ban nhân dân xã Thụy Hải  tỉnh Thái Bình</v>
      </c>
      <c r="C9433" t="str">
        <v>-</v>
      </c>
      <c r="D9433" t="str">
        <v>-</v>
      </c>
      <c r="E9433" t="str">
        <v>-</v>
      </c>
      <c r="F9433" t="str">
        <v>-</v>
      </c>
      <c r="G9433" t="str">
        <v>-</v>
      </c>
    </row>
    <row r="9434">
      <c r="A9434">
        <v>9433</v>
      </c>
      <c r="B9434" t="str">
        <v>Công an xã Thụy Phúc  tỉnh Thái Bình</v>
      </c>
      <c r="C9434" t="str">
        <v>-</v>
      </c>
      <c r="D9434" t="str">
        <v>-</v>
      </c>
      <c r="E9434" t="str">
        <v/>
      </c>
      <c r="F9434" t="str">
        <v>-</v>
      </c>
      <c r="G9434" t="str">
        <v>-</v>
      </c>
    </row>
    <row r="9435">
      <c r="A9435">
        <v>9434</v>
      </c>
      <c r="B9435" t="str">
        <v>UBND Ủy ban nhân dân xã Thụy Phúc  tỉnh Thái Bình</v>
      </c>
      <c r="C9435" t="str">
        <v>-</v>
      </c>
      <c r="D9435" t="str">
        <v>-</v>
      </c>
      <c r="E9435" t="str">
        <v>-</v>
      </c>
      <c r="F9435" t="str">
        <v>-</v>
      </c>
      <c r="G9435" t="str">
        <v>-</v>
      </c>
    </row>
    <row r="9436">
      <c r="A9436">
        <v>9435</v>
      </c>
      <c r="B9436" t="str">
        <v>Công an xã Thụy Lương  tỉnh Thái Bình</v>
      </c>
      <c r="C9436" t="str">
        <v>-</v>
      </c>
      <c r="D9436" t="str">
        <v>-</v>
      </c>
      <c r="E9436" t="str">
        <v/>
      </c>
      <c r="F9436" t="str">
        <v>-</v>
      </c>
      <c r="G9436" t="str">
        <v>-</v>
      </c>
    </row>
    <row r="9437">
      <c r="A9437">
        <v>9436</v>
      </c>
      <c r="B9437" t="str">
        <v>UBND Ủy ban nhân dân xã Thụy Lương  tỉnh Thái Bình</v>
      </c>
      <c r="C9437" t="str">
        <v>-</v>
      </c>
      <c r="D9437" t="str">
        <v>-</v>
      </c>
      <c r="E9437" t="str">
        <v>-</v>
      </c>
      <c r="F9437" t="str">
        <v>-</v>
      </c>
      <c r="G9437" t="str">
        <v>-</v>
      </c>
    </row>
    <row r="9438">
      <c r="A9438">
        <v>9437</v>
      </c>
      <c r="B9438" t="str">
        <v>Công an xã Thụy Liên  tỉnh Thái Bình</v>
      </c>
      <c r="C9438" t="str">
        <v>-</v>
      </c>
      <c r="D9438" t="str">
        <v>-</v>
      </c>
      <c r="E9438" t="str">
        <v/>
      </c>
      <c r="F9438" t="str">
        <v>-</v>
      </c>
      <c r="G9438" t="str">
        <v>-</v>
      </c>
    </row>
    <row r="9439">
      <c r="A9439">
        <v>9438</v>
      </c>
      <c r="B9439" t="str">
        <v>UBND Ủy ban nhân dân xã Thụy Liên  tỉnh Thái Bình</v>
      </c>
      <c r="C9439" t="str">
        <v>-</v>
      </c>
      <c r="D9439" t="str">
        <v>-</v>
      </c>
      <c r="E9439" t="str">
        <v>-</v>
      </c>
      <c r="F9439" t="str">
        <v>-</v>
      </c>
      <c r="G9439" t="str">
        <v>-</v>
      </c>
    </row>
    <row r="9440">
      <c r="A9440">
        <v>9439</v>
      </c>
      <c r="B9440" t="str">
        <v>Công an xã Thụy Duyên  tỉnh Thái Bình</v>
      </c>
      <c r="C9440" t="str">
        <v>-</v>
      </c>
      <c r="D9440" t="str">
        <v>-</v>
      </c>
      <c r="E9440" t="str">
        <v/>
      </c>
      <c r="F9440" t="str">
        <v>-</v>
      </c>
      <c r="G9440" t="str">
        <v>-</v>
      </c>
    </row>
    <row r="9441">
      <c r="A9441">
        <v>9440</v>
      </c>
      <c r="B9441" t="str">
        <v>UBND Ủy ban nhân dân xã Thụy Duyên  tỉnh Thái Bình</v>
      </c>
      <c r="C9441" t="str">
        <v>-</v>
      </c>
      <c r="D9441" t="str">
        <v>-</v>
      </c>
      <c r="E9441" t="str">
        <v>-</v>
      </c>
      <c r="F9441" t="str">
        <v>-</v>
      </c>
      <c r="G9441" t="str">
        <v>-</v>
      </c>
    </row>
    <row r="9442">
      <c r="A9442">
        <v>9441</v>
      </c>
      <c r="B9442" t="str">
        <v>Công an xã Thụy Hà  tỉnh Thái Bình</v>
      </c>
      <c r="C9442" t="str">
        <v>-</v>
      </c>
      <c r="D9442" t="str">
        <v>-</v>
      </c>
      <c r="E9442" t="str">
        <v/>
      </c>
      <c r="F9442" t="str">
        <v>-</v>
      </c>
      <c r="G9442" t="str">
        <v>-</v>
      </c>
    </row>
    <row r="9443">
      <c r="A9443">
        <v>9442</v>
      </c>
      <c r="B9443" t="str">
        <v>UBND Ủy ban nhân dân xã Thụy Hà  tỉnh Thái Bình</v>
      </c>
      <c r="C9443" t="str">
        <v>-</v>
      </c>
      <c r="D9443" t="str">
        <v>-</v>
      </c>
      <c r="E9443" t="str">
        <v>-</v>
      </c>
      <c r="F9443" t="str">
        <v>-</v>
      </c>
      <c r="G9443" t="str">
        <v>-</v>
      </c>
    </row>
    <row r="9444">
      <c r="A9444">
        <v>9443</v>
      </c>
      <c r="B9444" t="str">
        <v>Công an xã Thụy Thanh  tỉnh Thái Bình</v>
      </c>
      <c r="C9444" t="str">
        <v>-</v>
      </c>
      <c r="D9444" t="str">
        <v>-</v>
      </c>
      <c r="E9444" t="str">
        <v/>
      </c>
      <c r="F9444" t="str">
        <v>-</v>
      </c>
      <c r="G9444" t="str">
        <v>-</v>
      </c>
    </row>
    <row r="9445">
      <c r="A9445">
        <v>9444</v>
      </c>
      <c r="B9445" t="str">
        <v>UBND Ủy ban nhân dân xã Thụy Thanh  tỉnh Thái Bình</v>
      </c>
      <c r="C9445" t="str">
        <v>-</v>
      </c>
      <c r="D9445" t="str">
        <v>-</v>
      </c>
      <c r="E9445" t="str">
        <v>-</v>
      </c>
      <c r="F9445" t="str">
        <v>-</v>
      </c>
      <c r="G9445" t="str">
        <v>-</v>
      </c>
    </row>
    <row r="9446">
      <c r="A9446">
        <v>9445</v>
      </c>
      <c r="B9446" t="str">
        <v>Công an xã Thụy Sơn  tỉnh Thái Bình</v>
      </c>
      <c r="C9446" t="str">
        <v>-</v>
      </c>
      <c r="D9446" t="str">
        <v>-</v>
      </c>
      <c r="E9446" t="str">
        <v/>
      </c>
      <c r="F9446" t="str">
        <v>-</v>
      </c>
      <c r="G9446" t="str">
        <v>-</v>
      </c>
    </row>
    <row r="9447">
      <c r="A9447">
        <v>9446</v>
      </c>
      <c r="B9447" t="str">
        <v>UBND Ủy ban nhân dân xã Thụy Sơn  tỉnh Thái Bình</v>
      </c>
      <c r="C9447" t="str">
        <v>-</v>
      </c>
      <c r="D9447" t="str">
        <v>-</v>
      </c>
      <c r="E9447" t="str">
        <v>-</v>
      </c>
      <c r="F9447" t="str">
        <v>-</v>
      </c>
      <c r="G9447" t="str">
        <v>-</v>
      </c>
    </row>
    <row r="9448">
      <c r="A9448">
        <v>9447</v>
      </c>
      <c r="B9448" t="str">
        <v>Công an xã Thụy Phong  tỉnh Thái Bình</v>
      </c>
      <c r="C9448" t="str">
        <v>-</v>
      </c>
      <c r="D9448" t="str">
        <v>-</v>
      </c>
      <c r="E9448" t="str">
        <v/>
      </c>
      <c r="F9448" t="str">
        <v>-</v>
      </c>
      <c r="G9448" t="str">
        <v>-</v>
      </c>
    </row>
    <row r="9449">
      <c r="A9449">
        <v>9448</v>
      </c>
      <c r="B9449" t="str">
        <v>UBND Ủy ban nhân dân xã Thụy Phong  tỉnh Thái Bình</v>
      </c>
      <c r="C9449" t="str">
        <v>-</v>
      </c>
      <c r="D9449" t="str">
        <v>-</v>
      </c>
      <c r="E9449" t="str">
        <v>-</v>
      </c>
      <c r="F9449" t="str">
        <v>-</v>
      </c>
      <c r="G9449" t="str">
        <v>-</v>
      </c>
    </row>
    <row r="9450">
      <c r="A9450">
        <v>9449</v>
      </c>
      <c r="B9450" t="str">
        <v>Công an xã Thái Thượng  tỉnh Thái Bình</v>
      </c>
      <c r="C9450" t="str">
        <v>-</v>
      </c>
      <c r="D9450" t="str">
        <v>-</v>
      </c>
      <c r="E9450" t="str">
        <v/>
      </c>
      <c r="F9450" t="str">
        <v>-</v>
      </c>
      <c r="G9450" t="str">
        <v>-</v>
      </c>
    </row>
    <row r="9451">
      <c r="A9451">
        <v>9450</v>
      </c>
      <c r="B9451" t="str">
        <v>UBND Ủy ban nhân dân xã Thái Thượng  tỉnh Thái Bình</v>
      </c>
      <c r="C9451" t="str">
        <v>-</v>
      </c>
      <c r="D9451" t="str">
        <v>-</v>
      </c>
      <c r="E9451" t="str">
        <v>-</v>
      </c>
      <c r="F9451" t="str">
        <v>-</v>
      </c>
      <c r="G9451" t="str">
        <v>-</v>
      </c>
    </row>
    <row r="9452">
      <c r="A9452">
        <v>9451</v>
      </c>
      <c r="B9452" t="str">
        <v>Công an xã Thái Nguyên  tỉnh Thái Bình</v>
      </c>
      <c r="C9452" t="str">
        <v>-</v>
      </c>
      <c r="D9452" t="str">
        <v>-</v>
      </c>
      <c r="E9452" t="str">
        <v/>
      </c>
      <c r="F9452" t="str">
        <v>-</v>
      </c>
      <c r="G9452" t="str">
        <v>-</v>
      </c>
    </row>
    <row r="9453">
      <c r="A9453">
        <v>9452</v>
      </c>
      <c r="B9453" t="str">
        <v>UBND Ủy ban nhân dân xã Thái Nguyên  tỉnh Thái Bình</v>
      </c>
      <c r="C9453" t="str">
        <v>-</v>
      </c>
      <c r="D9453" t="str">
        <v>-</v>
      </c>
      <c r="E9453" t="str">
        <v>-</v>
      </c>
      <c r="F9453" t="str">
        <v>-</v>
      </c>
      <c r="G9453" t="str">
        <v>-</v>
      </c>
    </row>
    <row r="9454">
      <c r="A9454">
        <v>9453</v>
      </c>
      <c r="B9454" t="str">
        <v>Công an xã Thái Thủy  tỉnh Thái Bình</v>
      </c>
      <c r="C9454" t="str">
        <v>-</v>
      </c>
      <c r="D9454" t="str">
        <v>-</v>
      </c>
      <c r="E9454" t="str">
        <v/>
      </c>
      <c r="F9454" t="str">
        <v>-</v>
      </c>
      <c r="G9454" t="str">
        <v>-</v>
      </c>
    </row>
    <row r="9455">
      <c r="A9455">
        <v>9454</v>
      </c>
      <c r="B9455" t="str">
        <v>UBND Ủy ban nhân dân xã Thái Thủy  tỉnh Thái Bình</v>
      </c>
      <c r="C9455" t="str">
        <v>-</v>
      </c>
      <c r="D9455" t="str">
        <v>-</v>
      </c>
      <c r="E9455" t="str">
        <v>-</v>
      </c>
      <c r="F9455" t="str">
        <v>-</v>
      </c>
      <c r="G9455" t="str">
        <v>-</v>
      </c>
    </row>
    <row r="9456">
      <c r="A9456">
        <v>9455</v>
      </c>
      <c r="B9456" t="str">
        <v>Công an xã Thái Dương  tỉnh Thái Bình</v>
      </c>
      <c r="C9456" t="str">
        <v>-</v>
      </c>
      <c r="D9456" t="str">
        <v>-</v>
      </c>
      <c r="E9456" t="str">
        <v/>
      </c>
      <c r="F9456" t="str">
        <v>-</v>
      </c>
      <c r="G9456" t="str">
        <v>-</v>
      </c>
    </row>
    <row r="9457">
      <c r="A9457">
        <v>9456</v>
      </c>
      <c r="B9457" t="str">
        <v>UBND Ủy ban nhân dân xã Thái Dương  tỉnh Thái Bình</v>
      </c>
      <c r="C9457" t="str">
        <v>-</v>
      </c>
      <c r="D9457" t="str">
        <v>-</v>
      </c>
      <c r="E9457" t="str">
        <v>-</v>
      </c>
      <c r="F9457" t="str">
        <v>-</v>
      </c>
      <c r="G9457" t="str">
        <v>-</v>
      </c>
    </row>
    <row r="9458">
      <c r="A9458">
        <v>9457</v>
      </c>
      <c r="B9458" t="str">
        <v>Công an xã Thái Giang  tỉnh Thái Bình</v>
      </c>
      <c r="C9458" t="str">
        <v>-</v>
      </c>
      <c r="D9458" t="str">
        <v>-</v>
      </c>
      <c r="E9458" t="str">
        <v/>
      </c>
      <c r="F9458" t="str">
        <v>-</v>
      </c>
      <c r="G9458" t="str">
        <v>-</v>
      </c>
    </row>
    <row r="9459">
      <c r="A9459">
        <v>9458</v>
      </c>
      <c r="B9459" t="str">
        <v>UBND Ủy ban nhân dân xã Thái Giang  tỉnh Thái Bình</v>
      </c>
      <c r="C9459" t="str">
        <v>-</v>
      </c>
      <c r="D9459" t="str">
        <v>-</v>
      </c>
      <c r="E9459" t="str">
        <v>-</v>
      </c>
      <c r="F9459" t="str">
        <v>-</v>
      </c>
      <c r="G9459" t="str">
        <v>-</v>
      </c>
    </row>
    <row r="9460">
      <c r="A9460">
        <v>9459</v>
      </c>
      <c r="B9460" t="str">
        <v>Công an xã Thái Hòa  tỉnh Thái Bình</v>
      </c>
      <c r="C9460" t="str">
        <v>-</v>
      </c>
      <c r="D9460" t="str">
        <v>-</v>
      </c>
      <c r="E9460" t="str">
        <v/>
      </c>
      <c r="F9460" t="str">
        <v>-</v>
      </c>
      <c r="G9460" t="str">
        <v>-</v>
      </c>
    </row>
    <row r="9461">
      <c r="A9461">
        <v>9460</v>
      </c>
      <c r="B9461" t="str">
        <v>UBND Ủy ban nhân dân xã Thái Hòa  tỉnh Thái Bình</v>
      </c>
      <c r="C9461" t="str">
        <v>-</v>
      </c>
      <c r="D9461" t="str">
        <v>-</v>
      </c>
      <c r="E9461" t="str">
        <v>-</v>
      </c>
      <c r="F9461" t="str">
        <v>-</v>
      </c>
      <c r="G9461" t="str">
        <v>-</v>
      </c>
    </row>
    <row r="9462">
      <c r="A9462">
        <v>9461</v>
      </c>
      <c r="B9462" t="str">
        <v>Công an xã Thái Sơn  tỉnh Thái Bình</v>
      </c>
      <c r="C9462" t="str">
        <v>-</v>
      </c>
      <c r="D9462" t="str">
        <v>-</v>
      </c>
      <c r="E9462" t="str">
        <v/>
      </c>
      <c r="F9462" t="str">
        <v>-</v>
      </c>
      <c r="G9462" t="str">
        <v>-</v>
      </c>
    </row>
    <row r="9463">
      <c r="A9463">
        <v>9462</v>
      </c>
      <c r="B9463" t="str">
        <v>UBND Ủy ban nhân dân xã Thái Sơn  tỉnh Thái Bình</v>
      </c>
      <c r="C9463" t="str">
        <v>-</v>
      </c>
      <c r="D9463" t="str">
        <v>-</v>
      </c>
      <c r="E9463" t="str">
        <v>-</v>
      </c>
      <c r="F9463" t="str">
        <v>-</v>
      </c>
      <c r="G9463" t="str">
        <v>-</v>
      </c>
    </row>
    <row r="9464">
      <c r="A9464">
        <v>9463</v>
      </c>
      <c r="B9464" t="str">
        <v>Công an xã Thái Hồng  tỉnh Thái Bình</v>
      </c>
      <c r="C9464" t="str">
        <v>-</v>
      </c>
      <c r="D9464" t="str">
        <v>-</v>
      </c>
      <c r="E9464" t="str">
        <v/>
      </c>
      <c r="F9464" t="str">
        <v>-</v>
      </c>
      <c r="G9464" t="str">
        <v>-</v>
      </c>
    </row>
    <row r="9465">
      <c r="A9465">
        <v>9464</v>
      </c>
      <c r="B9465" t="str">
        <v>UBND Ủy ban nhân dân xã Thái Hồng  tỉnh Thái Bình</v>
      </c>
      <c r="C9465" t="str">
        <v>-</v>
      </c>
      <c r="D9465" t="str">
        <v>-</v>
      </c>
      <c r="E9465" t="str">
        <v>-</v>
      </c>
      <c r="F9465" t="str">
        <v>-</v>
      </c>
      <c r="G9465" t="str">
        <v>-</v>
      </c>
    </row>
    <row r="9466">
      <c r="A9466">
        <v>9465</v>
      </c>
      <c r="B9466" t="str">
        <v>Công an xã Thái An  tỉnh Thái Bình</v>
      </c>
      <c r="C9466" t="str">
        <v>-</v>
      </c>
      <c r="D9466" t="str">
        <v>-</v>
      </c>
      <c r="E9466" t="str">
        <v/>
      </c>
      <c r="F9466" t="str">
        <v>-</v>
      </c>
      <c r="G9466" t="str">
        <v>-</v>
      </c>
    </row>
    <row r="9467">
      <c r="A9467">
        <v>9466</v>
      </c>
      <c r="B9467" t="str">
        <v>UBND Ủy ban nhân dân xã Thái An  tỉnh Thái Bình</v>
      </c>
      <c r="C9467" t="str">
        <v>-</v>
      </c>
      <c r="D9467" t="str">
        <v>-</v>
      </c>
      <c r="E9467" t="str">
        <v>-</v>
      </c>
      <c r="F9467" t="str">
        <v>-</v>
      </c>
      <c r="G9467" t="str">
        <v>-</v>
      </c>
    </row>
    <row r="9468">
      <c r="A9468">
        <v>9467</v>
      </c>
      <c r="B9468" t="str">
        <v>Công an xã Thái Phúc  tỉnh Thái Bình</v>
      </c>
      <c r="C9468" t="str">
        <v>-</v>
      </c>
      <c r="D9468" t="str">
        <v>-</v>
      </c>
      <c r="E9468" t="str">
        <v/>
      </c>
      <c r="F9468" t="str">
        <v>-</v>
      </c>
      <c r="G9468" t="str">
        <v>-</v>
      </c>
    </row>
    <row r="9469">
      <c r="A9469">
        <v>9468</v>
      </c>
      <c r="B9469" t="str">
        <v>UBND Ủy ban nhân dân xã Thái Phúc  tỉnh Thái Bình</v>
      </c>
      <c r="C9469" t="str">
        <v>-</v>
      </c>
      <c r="D9469" t="str">
        <v>-</v>
      </c>
      <c r="E9469" t="str">
        <v>-</v>
      </c>
      <c r="F9469" t="str">
        <v>-</v>
      </c>
      <c r="G9469" t="str">
        <v>-</v>
      </c>
    </row>
    <row r="9470">
      <c r="A9470">
        <v>9469</v>
      </c>
      <c r="B9470" t="str">
        <v>Công an xã Thái Hưng  tỉnh Thái Bình</v>
      </c>
      <c r="C9470" t="str">
        <v>-</v>
      </c>
      <c r="D9470" t="str">
        <v>-</v>
      </c>
      <c r="E9470" t="str">
        <v/>
      </c>
      <c r="F9470" t="str">
        <v>-</v>
      </c>
      <c r="G9470" t="str">
        <v>-</v>
      </c>
    </row>
    <row r="9471">
      <c r="A9471">
        <v>9470</v>
      </c>
      <c r="B9471" t="str">
        <v>UBND Ủy ban nhân dân xã Thái Hưng  tỉnh Thái Bình</v>
      </c>
      <c r="C9471" t="str">
        <v>-</v>
      </c>
      <c r="D9471" t="str">
        <v>-</v>
      </c>
      <c r="E9471" t="str">
        <v>-</v>
      </c>
      <c r="F9471" t="str">
        <v>-</v>
      </c>
      <c r="G9471" t="str">
        <v>-</v>
      </c>
    </row>
    <row r="9472">
      <c r="A9472">
        <v>9471</v>
      </c>
      <c r="B9472" t="str">
        <v>Công an xã Thái Đô  tỉnh Thái Bình</v>
      </c>
      <c r="C9472" t="str">
        <v>-</v>
      </c>
      <c r="D9472" t="str">
        <v>-</v>
      </c>
      <c r="E9472" t="str">
        <v/>
      </c>
      <c r="F9472" t="str">
        <v>-</v>
      </c>
      <c r="G9472" t="str">
        <v>-</v>
      </c>
    </row>
    <row r="9473">
      <c r="A9473">
        <v>9472</v>
      </c>
      <c r="B9473" t="str">
        <v>UBND Ủy ban nhân dân xã Thái Đô  tỉnh Thái Bình</v>
      </c>
      <c r="C9473" t="str">
        <v>-</v>
      </c>
      <c r="D9473" t="str">
        <v>-</v>
      </c>
      <c r="E9473" t="str">
        <v>-</v>
      </c>
      <c r="F9473" t="str">
        <v>-</v>
      </c>
      <c r="G9473" t="str">
        <v>-</v>
      </c>
    </row>
    <row r="9474">
      <c r="A9474">
        <v>9473</v>
      </c>
      <c r="B9474" t="str">
        <v>Công an xã Thái Xuyên  tỉnh Thái Bình</v>
      </c>
      <c r="C9474" t="str">
        <v>-</v>
      </c>
      <c r="D9474" t="str">
        <v>-</v>
      </c>
      <c r="E9474" t="str">
        <v/>
      </c>
      <c r="F9474" t="str">
        <v>-</v>
      </c>
      <c r="G9474" t="str">
        <v>-</v>
      </c>
    </row>
    <row r="9475">
      <c r="A9475">
        <v>9474</v>
      </c>
      <c r="B9475" t="str">
        <v>UBND Ủy ban nhân dân xã Thái Xuyên  tỉnh Thái Bình</v>
      </c>
      <c r="C9475" t="str">
        <v>-</v>
      </c>
      <c r="D9475" t="str">
        <v>-</v>
      </c>
      <c r="E9475" t="str">
        <v>-</v>
      </c>
      <c r="F9475" t="str">
        <v>-</v>
      </c>
      <c r="G9475" t="str">
        <v>-</v>
      </c>
    </row>
    <row r="9476">
      <c r="A9476">
        <v>9475</v>
      </c>
      <c r="B9476" t="str">
        <v>Công an xã Thái Hà  tỉnh Thái Bình</v>
      </c>
      <c r="C9476" t="str">
        <v>-</v>
      </c>
      <c r="D9476" t="str">
        <v>-</v>
      </c>
      <c r="E9476" t="str">
        <v/>
      </c>
      <c r="F9476" t="str">
        <v>-</v>
      </c>
      <c r="G9476" t="str">
        <v>-</v>
      </c>
    </row>
    <row r="9477">
      <c r="A9477">
        <v>9476</v>
      </c>
      <c r="B9477" t="str">
        <v>UBND Ủy ban nhân dân xã Thái Hà  tỉnh Thái Bình</v>
      </c>
      <c r="C9477" t="str">
        <v>-</v>
      </c>
      <c r="D9477" t="str">
        <v>-</v>
      </c>
      <c r="E9477" t="str">
        <v>-</v>
      </c>
      <c r="F9477" t="str">
        <v>-</v>
      </c>
      <c r="G9477" t="str">
        <v>-</v>
      </c>
    </row>
    <row r="9478">
      <c r="A9478">
        <v>9477</v>
      </c>
      <c r="B9478" t="str">
        <v>Công an xã  Mỹ Lộc  tỉnh Thái Bình</v>
      </c>
      <c r="C9478" t="str">
        <v>-</v>
      </c>
      <c r="D9478" t="str">
        <v>-</v>
      </c>
      <c r="E9478" t="str">
        <v/>
      </c>
      <c r="F9478" t="str">
        <v>-</v>
      </c>
      <c r="G9478" t="str">
        <v>-</v>
      </c>
    </row>
    <row r="9479">
      <c r="A9479">
        <v>9478</v>
      </c>
      <c r="B9479" t="str">
        <v>UBND Ủy ban nhân dân xã  Mỹ Lộc  tỉnh Thái Bình</v>
      </c>
      <c r="C9479" t="str">
        <v>-</v>
      </c>
      <c r="D9479" t="str">
        <v>-</v>
      </c>
      <c r="E9479" t="str">
        <v>-</v>
      </c>
      <c r="F9479" t="str">
        <v>-</v>
      </c>
      <c r="G9479" t="str">
        <v>-</v>
      </c>
    </row>
    <row r="9480">
      <c r="A9480">
        <v>9479</v>
      </c>
      <c r="B9480" t="str">
        <v>Công an xã Thái Tân  tỉnh Thái Bình</v>
      </c>
      <c r="C9480" t="str">
        <v>-</v>
      </c>
      <c r="D9480" t="str">
        <v>-</v>
      </c>
      <c r="E9480" t="str">
        <v/>
      </c>
      <c r="F9480" t="str">
        <v>-</v>
      </c>
      <c r="G9480" t="str">
        <v>-</v>
      </c>
    </row>
    <row r="9481">
      <c r="A9481">
        <v>9480</v>
      </c>
      <c r="B9481" t="str">
        <v>UBND Ủy ban nhân dân xã Thái Tân  tỉnh Thái Bình</v>
      </c>
      <c r="C9481" t="str">
        <v>-</v>
      </c>
      <c r="D9481" t="str">
        <v>-</v>
      </c>
      <c r="E9481" t="str">
        <v>-</v>
      </c>
      <c r="F9481" t="str">
        <v>-</v>
      </c>
      <c r="G9481" t="str">
        <v>-</v>
      </c>
    </row>
    <row r="9482">
      <c r="A9482">
        <v>9481</v>
      </c>
      <c r="B9482" t="str">
        <v>Công an xã Thái Thuần  tỉnh Thái Bình</v>
      </c>
      <c r="C9482" t="str">
        <v>-</v>
      </c>
      <c r="D9482" t="str">
        <v>-</v>
      </c>
      <c r="E9482" t="str">
        <v/>
      </c>
      <c r="F9482" t="str">
        <v>-</v>
      </c>
      <c r="G9482" t="str">
        <v>-</v>
      </c>
    </row>
    <row r="9483">
      <c r="A9483">
        <v>9482</v>
      </c>
      <c r="B9483" t="str">
        <v>UBND Ủy ban nhân dân xã Thái Thuần  tỉnh Thái Bình</v>
      </c>
      <c r="C9483" t="str">
        <v>-</v>
      </c>
      <c r="D9483" t="str">
        <v>-</v>
      </c>
      <c r="E9483" t="str">
        <v>-</v>
      </c>
      <c r="F9483" t="str">
        <v>-</v>
      </c>
      <c r="G9483" t="str">
        <v>-</v>
      </c>
    </row>
    <row r="9484">
      <c r="A9484">
        <v>9483</v>
      </c>
      <c r="B9484" t="str">
        <v>Công an xã Thái Học  tỉnh Thái Bình</v>
      </c>
      <c r="C9484" t="str">
        <v>-</v>
      </c>
      <c r="D9484" t="str">
        <v>-</v>
      </c>
      <c r="E9484" t="str">
        <v/>
      </c>
      <c r="F9484" t="str">
        <v>-</v>
      </c>
      <c r="G9484" t="str">
        <v>-</v>
      </c>
    </row>
    <row r="9485">
      <c r="A9485">
        <v>9484</v>
      </c>
      <c r="B9485" t="str">
        <v>UBND Ủy ban nhân dân xã Thái Học  tỉnh Thái Bình</v>
      </c>
      <c r="C9485" t="str">
        <v>-</v>
      </c>
      <c r="D9485" t="str">
        <v>-</v>
      </c>
      <c r="E9485" t="str">
        <v>-</v>
      </c>
      <c r="F9485" t="str">
        <v>-</v>
      </c>
      <c r="G9485" t="str">
        <v>-</v>
      </c>
    </row>
    <row r="9486">
      <c r="A9486">
        <v>9485</v>
      </c>
      <c r="B9486" t="str">
        <v>Công an xã Thái Thịnh  tỉnh Thái Bình</v>
      </c>
      <c r="C9486" t="str">
        <v>-</v>
      </c>
      <c r="D9486" t="str">
        <v>-</v>
      </c>
      <c r="E9486" t="str">
        <v/>
      </c>
      <c r="F9486" t="str">
        <v>-</v>
      </c>
      <c r="G9486" t="str">
        <v>-</v>
      </c>
    </row>
    <row r="9487">
      <c r="A9487">
        <v>9486</v>
      </c>
      <c r="B9487" t="str">
        <v>UBND Ủy ban nhân dân xã Thái Thịnh  tỉnh Thái Bình</v>
      </c>
      <c r="C9487" t="str">
        <v>-</v>
      </c>
      <c r="D9487" t="str">
        <v>-</v>
      </c>
      <c r="E9487" t="str">
        <v>-</v>
      </c>
      <c r="F9487" t="str">
        <v>-</v>
      </c>
      <c r="G9487" t="str">
        <v>-</v>
      </c>
    </row>
    <row r="9488">
      <c r="A9488">
        <v>9487</v>
      </c>
      <c r="B9488" t="str">
        <v>Công an xã Thái Thành  tỉnh Thái Bình</v>
      </c>
      <c r="C9488" t="str">
        <v>-</v>
      </c>
      <c r="D9488" t="str">
        <v>-</v>
      </c>
      <c r="E9488" t="str">
        <v/>
      </c>
      <c r="F9488" t="str">
        <v>-</v>
      </c>
      <c r="G9488" t="str">
        <v>-</v>
      </c>
    </row>
    <row r="9489">
      <c r="A9489">
        <v>9488</v>
      </c>
      <c r="B9489" t="str">
        <v>UBND Ủy ban nhân dân xã Thái Thành  tỉnh Thái Bình</v>
      </c>
      <c r="C9489" t="str">
        <v>-</v>
      </c>
      <c r="D9489" t="str">
        <v>-</v>
      </c>
      <c r="E9489" t="str">
        <v>-</v>
      </c>
      <c r="F9489" t="str">
        <v>-</v>
      </c>
      <c r="G9489" t="str">
        <v>-</v>
      </c>
    </row>
    <row r="9490">
      <c r="A9490">
        <v>9489</v>
      </c>
      <c r="B9490" t="str">
        <v>Công an xã Thái Thọ  tỉnh Thái Bình</v>
      </c>
      <c r="C9490" t="str">
        <v>-</v>
      </c>
      <c r="D9490" t="str">
        <v>-</v>
      </c>
      <c r="E9490" t="str">
        <v/>
      </c>
      <c r="F9490" t="str">
        <v>-</v>
      </c>
      <c r="G9490" t="str">
        <v>-</v>
      </c>
    </row>
    <row r="9491">
      <c r="A9491">
        <v>9490</v>
      </c>
      <c r="B9491" t="str">
        <v>UBND Ủy ban nhân dân xã Thái Thọ  tỉnh Thái Bình</v>
      </c>
      <c r="C9491" t="str">
        <v>-</v>
      </c>
      <c r="D9491" t="str">
        <v>-</v>
      </c>
      <c r="E9491" t="str">
        <v>-</v>
      </c>
      <c r="F9491" t="str">
        <v>-</v>
      </c>
      <c r="G9491" t="str">
        <v>-</v>
      </c>
    </row>
    <row r="9492">
      <c r="A9492">
        <v>9491</v>
      </c>
      <c r="B9492" t="str">
        <v>Công an thị trấn Tiền Hải  tỉnh Thái Bình</v>
      </c>
      <c r="C9492" t="str">
        <v>-</v>
      </c>
      <c r="D9492" t="str">
        <v>-</v>
      </c>
      <c r="E9492" t="str">
        <v/>
      </c>
      <c r="F9492" t="str">
        <v>-</v>
      </c>
      <c r="G9492" t="str">
        <v>-</v>
      </c>
    </row>
    <row r="9493">
      <c r="A9493">
        <v>9492</v>
      </c>
      <c r="B9493" t="str">
        <v>UBND Ủy ban nhân dân thị trấn Tiền Hải  tỉnh Thái Bình</v>
      </c>
      <c r="C9493" t="str">
        <v>-</v>
      </c>
      <c r="D9493" t="str">
        <v>-</v>
      </c>
      <c r="E9493" t="str">
        <v>-</v>
      </c>
      <c r="F9493" t="str">
        <v>-</v>
      </c>
      <c r="G9493" t="str">
        <v>-</v>
      </c>
    </row>
    <row r="9494">
      <c r="A9494">
        <v>9493</v>
      </c>
      <c r="B9494" t="str">
        <v>Công an xã Đông Hải  tỉnh Thái Bình</v>
      </c>
      <c r="C9494" t="str">
        <v>-</v>
      </c>
      <c r="D9494" t="str">
        <v>-</v>
      </c>
      <c r="E9494" t="str">
        <v/>
      </c>
      <c r="F9494" t="str">
        <v>-</v>
      </c>
      <c r="G9494" t="str">
        <v>-</v>
      </c>
    </row>
    <row r="9495">
      <c r="A9495">
        <v>9494</v>
      </c>
      <c r="B9495" t="str">
        <v>UBND Ủy ban nhân dân xã Đông Hải  tỉnh Thái Bình</v>
      </c>
      <c r="C9495" t="str">
        <v>-</v>
      </c>
      <c r="D9495" t="str">
        <v>-</v>
      </c>
      <c r="E9495" t="str">
        <v>-</v>
      </c>
      <c r="F9495" t="str">
        <v>-</v>
      </c>
      <c r="G9495" t="str">
        <v>-</v>
      </c>
    </row>
    <row r="9496">
      <c r="A9496">
        <v>9495</v>
      </c>
      <c r="B9496" t="str">
        <v>Công an xã Đông Trà  tỉnh Thái Bình</v>
      </c>
      <c r="C9496" t="str">
        <v>-</v>
      </c>
      <c r="D9496" t="str">
        <v>-</v>
      </c>
      <c r="E9496" t="str">
        <v/>
      </c>
      <c r="F9496" t="str">
        <v>-</v>
      </c>
      <c r="G9496" t="str">
        <v>-</v>
      </c>
    </row>
    <row r="9497">
      <c r="A9497">
        <v>9496</v>
      </c>
      <c r="B9497" t="str">
        <v>UBND Ủy ban nhân dân xã Đông Trà  tỉnh Thái Bình</v>
      </c>
      <c r="C9497" t="str">
        <v>-</v>
      </c>
      <c r="D9497" t="str">
        <v>-</v>
      </c>
      <c r="E9497" t="str">
        <v>-</v>
      </c>
      <c r="F9497" t="str">
        <v>-</v>
      </c>
      <c r="G9497" t="str">
        <v>-</v>
      </c>
    </row>
    <row r="9498">
      <c r="A9498">
        <v>9497</v>
      </c>
      <c r="B9498" t="str">
        <v>Công an xã Đông Long  tỉnh Thái Bình</v>
      </c>
      <c r="C9498" t="str">
        <v>-</v>
      </c>
      <c r="D9498" t="str">
        <v>-</v>
      </c>
      <c r="E9498" t="str">
        <v/>
      </c>
      <c r="F9498" t="str">
        <v>-</v>
      </c>
      <c r="G9498" t="str">
        <v>-</v>
      </c>
    </row>
    <row r="9499">
      <c r="A9499">
        <v>9498</v>
      </c>
      <c r="B9499" t="str">
        <v>UBND Ủy ban nhân dân xã Đông Long  tỉnh Thái Bình</v>
      </c>
      <c r="C9499" t="str">
        <v>-</v>
      </c>
      <c r="D9499" t="str">
        <v>-</v>
      </c>
      <c r="E9499" t="str">
        <v>-</v>
      </c>
      <c r="F9499" t="str">
        <v>-</v>
      </c>
      <c r="G9499" t="str">
        <v>-</v>
      </c>
    </row>
    <row r="9500">
      <c r="A9500">
        <v>9499</v>
      </c>
      <c r="B9500" t="str">
        <v>Công an xã Đông Quí  tỉnh Thái Bình</v>
      </c>
      <c r="C9500" t="str">
        <v>-</v>
      </c>
      <c r="D9500" t="str">
        <v>-</v>
      </c>
      <c r="E9500" t="str">
        <v/>
      </c>
      <c r="F9500" t="str">
        <v>-</v>
      </c>
      <c r="G9500" t="str">
        <v>-</v>
      </c>
    </row>
    <row r="9501">
      <c r="A9501">
        <v>9500</v>
      </c>
      <c r="B9501" t="str">
        <v>UBND Ủy ban nhân dân xã Đông Quí  tỉnh Thái Bình</v>
      </c>
      <c r="C9501" t="str">
        <v>-</v>
      </c>
      <c r="D9501" t="str">
        <v>-</v>
      </c>
      <c r="E9501" t="str">
        <v>-</v>
      </c>
      <c r="F9501" t="str">
        <v>-</v>
      </c>
      <c r="G9501" t="str">
        <v>-</v>
      </c>
    </row>
    <row r="9502">
      <c r="A9502">
        <v>9501</v>
      </c>
      <c r="B9502" t="str">
        <v>Công an xã Vũ Lăng  tỉnh Thái Bình</v>
      </c>
      <c r="C9502" t="str">
        <v>-</v>
      </c>
      <c r="D9502" t="str">
        <v>-</v>
      </c>
      <c r="E9502" t="str">
        <v/>
      </c>
      <c r="F9502" t="str">
        <v>-</v>
      </c>
      <c r="G9502" t="str">
        <v>-</v>
      </c>
    </row>
    <row r="9503">
      <c r="A9503">
        <v>9502</v>
      </c>
      <c r="B9503" t="str">
        <v>UBND Ủy ban nhân dân xã Vũ Lăng  tỉnh Thái Bình</v>
      </c>
      <c r="C9503" t="str">
        <v>-</v>
      </c>
      <c r="D9503" t="str">
        <v>-</v>
      </c>
      <c r="E9503" t="str">
        <v>-</v>
      </c>
      <c r="F9503" t="str">
        <v>-</v>
      </c>
      <c r="G9503" t="str">
        <v>-</v>
      </c>
    </row>
    <row r="9504">
      <c r="A9504">
        <v>9503</v>
      </c>
      <c r="B9504" t="str">
        <v>Công an xã Đông Xuyên  tỉnh Thái Bình</v>
      </c>
      <c r="C9504" t="str">
        <v>-</v>
      </c>
      <c r="D9504" t="str">
        <v>-</v>
      </c>
      <c r="E9504" t="str">
        <v/>
      </c>
      <c r="F9504" t="str">
        <v>-</v>
      </c>
      <c r="G9504" t="str">
        <v>-</v>
      </c>
    </row>
    <row r="9505">
      <c r="A9505">
        <v>9504</v>
      </c>
      <c r="B9505" t="str">
        <v>UBND Ủy ban nhân dân xã Đông Xuyên  tỉnh Thái Bình</v>
      </c>
      <c r="C9505" t="str">
        <v>-</v>
      </c>
      <c r="D9505" t="str">
        <v>-</v>
      </c>
      <c r="E9505" t="str">
        <v>-</v>
      </c>
      <c r="F9505" t="str">
        <v>-</v>
      </c>
      <c r="G9505" t="str">
        <v>-</v>
      </c>
    </row>
    <row r="9506">
      <c r="A9506">
        <v>9505</v>
      </c>
      <c r="B9506" t="str">
        <v>Công an xã Tây Lương  tỉnh Thái Bình</v>
      </c>
      <c r="C9506" t="str">
        <v>-</v>
      </c>
      <c r="D9506" t="str">
        <v>-</v>
      </c>
      <c r="E9506" t="str">
        <v/>
      </c>
      <c r="F9506" t="str">
        <v>-</v>
      </c>
      <c r="G9506" t="str">
        <v>-</v>
      </c>
    </row>
    <row r="9507">
      <c r="A9507">
        <v>9506</v>
      </c>
      <c r="B9507" t="str">
        <v>UBND Ủy ban nhân dân xã Tây Lương  tỉnh Thái Bình</v>
      </c>
      <c r="C9507" t="str">
        <v>-</v>
      </c>
      <c r="D9507" t="str">
        <v>-</v>
      </c>
      <c r="E9507" t="str">
        <v>-</v>
      </c>
      <c r="F9507" t="str">
        <v>-</v>
      </c>
      <c r="G9507" t="str">
        <v>-</v>
      </c>
    </row>
    <row r="9508">
      <c r="A9508">
        <v>9507</v>
      </c>
      <c r="B9508" t="str">
        <v>Công an xã Tây Ninh  tỉnh Thái Bình</v>
      </c>
      <c r="C9508" t="str">
        <v>-</v>
      </c>
      <c r="D9508" t="str">
        <v>-</v>
      </c>
      <c r="E9508" t="str">
        <v/>
      </c>
      <c r="F9508" t="str">
        <v>-</v>
      </c>
      <c r="G9508" t="str">
        <v>-</v>
      </c>
    </row>
    <row r="9509">
      <c r="A9509">
        <v>9508</v>
      </c>
      <c r="B9509" t="str">
        <v>UBND Ủy ban nhân dân xã Tây Ninh  tỉnh Thái Bình</v>
      </c>
      <c r="C9509" t="str">
        <v>-</v>
      </c>
      <c r="D9509" t="str">
        <v>-</v>
      </c>
      <c r="E9509" t="str">
        <v>-</v>
      </c>
      <c r="F9509" t="str">
        <v>-</v>
      </c>
      <c r="G9509" t="str">
        <v>-</v>
      </c>
    </row>
    <row r="9510">
      <c r="A9510">
        <v>9509</v>
      </c>
      <c r="B9510" t="str">
        <v>Công an xã Đông Trung  tỉnh Thái Bình</v>
      </c>
      <c r="C9510" t="str">
        <v>-</v>
      </c>
      <c r="D9510" t="str">
        <v>-</v>
      </c>
      <c r="E9510" t="str">
        <v/>
      </c>
      <c r="F9510" t="str">
        <v>-</v>
      </c>
      <c r="G9510" t="str">
        <v>-</v>
      </c>
    </row>
    <row r="9511">
      <c r="A9511">
        <v>9510</v>
      </c>
      <c r="B9511" t="str">
        <v>UBND Ủy ban nhân dân xã Đông Trung  tỉnh Thái Bình</v>
      </c>
      <c r="C9511" t="str">
        <v>-</v>
      </c>
      <c r="D9511" t="str">
        <v>-</v>
      </c>
      <c r="E9511" t="str">
        <v>-</v>
      </c>
      <c r="F9511" t="str">
        <v>-</v>
      </c>
      <c r="G9511" t="str">
        <v>-</v>
      </c>
    </row>
    <row r="9512">
      <c r="A9512">
        <v>9511</v>
      </c>
      <c r="B9512" t="str">
        <v>Công an xã Đông Hoàng  tỉnh Thái Bình</v>
      </c>
      <c r="C9512" t="str">
        <v>-</v>
      </c>
      <c r="D9512" t="str">
        <v>-</v>
      </c>
      <c r="E9512" t="str">
        <v/>
      </c>
      <c r="F9512" t="str">
        <v>-</v>
      </c>
      <c r="G9512" t="str">
        <v>-</v>
      </c>
    </row>
    <row r="9513">
      <c r="A9513">
        <v>9512</v>
      </c>
      <c r="B9513" t="str">
        <v>UBND Ủy ban nhân dân xã Đông Hoàng  tỉnh Thái Bình</v>
      </c>
      <c r="C9513" t="str">
        <v>-</v>
      </c>
      <c r="D9513" t="str">
        <v>-</v>
      </c>
      <c r="E9513" t="str">
        <v>-</v>
      </c>
      <c r="F9513" t="str">
        <v>-</v>
      </c>
      <c r="G9513" t="str">
        <v>-</v>
      </c>
    </row>
    <row r="9514">
      <c r="A9514">
        <v>9513</v>
      </c>
      <c r="B9514" t="str">
        <v>Công an xã Đông Minh  tỉnh Thái Bình</v>
      </c>
      <c r="C9514" t="str">
        <v>-</v>
      </c>
      <c r="D9514" t="str">
        <v>-</v>
      </c>
      <c r="E9514" t="str">
        <v/>
      </c>
      <c r="F9514" t="str">
        <v>-</v>
      </c>
      <c r="G9514" t="str">
        <v>-</v>
      </c>
    </row>
    <row r="9515">
      <c r="A9515">
        <v>9514</v>
      </c>
      <c r="B9515" t="str">
        <v>UBND Ủy ban nhân dân xã Đông Minh  tỉnh Thái Bình</v>
      </c>
      <c r="C9515" t="str">
        <v>-</v>
      </c>
      <c r="D9515" t="str">
        <v>-</v>
      </c>
      <c r="E9515" t="str">
        <v>-</v>
      </c>
      <c r="F9515" t="str">
        <v>-</v>
      </c>
      <c r="G9515" t="str">
        <v>-</v>
      </c>
    </row>
    <row r="9516">
      <c r="A9516">
        <v>9515</v>
      </c>
      <c r="B9516" t="str">
        <v>Công an xã Tây An  tỉnh Thái Bình</v>
      </c>
      <c r="C9516" t="str">
        <v>-</v>
      </c>
      <c r="D9516" t="str">
        <v>-</v>
      </c>
      <c r="E9516" t="str">
        <v/>
      </c>
      <c r="F9516" t="str">
        <v>-</v>
      </c>
      <c r="G9516" t="str">
        <v>-</v>
      </c>
    </row>
    <row r="9517">
      <c r="A9517">
        <v>9516</v>
      </c>
      <c r="B9517" t="str">
        <v>UBND Ủy ban nhân dân xã Tây An  tỉnh Thái Bình</v>
      </c>
      <c r="C9517" t="str">
        <v>-</v>
      </c>
      <c r="D9517" t="str">
        <v>-</v>
      </c>
      <c r="E9517" t="str">
        <v>-</v>
      </c>
      <c r="F9517" t="str">
        <v>-</v>
      </c>
      <c r="G9517" t="str">
        <v>-</v>
      </c>
    </row>
    <row r="9518">
      <c r="A9518">
        <v>9517</v>
      </c>
      <c r="B9518" t="str">
        <v>Công an xã Đông Phong  tỉnh Thái Bình</v>
      </c>
      <c r="C9518" t="str">
        <v>-</v>
      </c>
      <c r="D9518" t="str">
        <v>-</v>
      </c>
      <c r="E9518" t="str">
        <v/>
      </c>
      <c r="F9518" t="str">
        <v>-</v>
      </c>
      <c r="G9518" t="str">
        <v>-</v>
      </c>
    </row>
    <row r="9519">
      <c r="A9519">
        <v>9518</v>
      </c>
      <c r="B9519" t="str">
        <v>UBND Ủy ban nhân dân xã Đông Phong  tỉnh Thái Bình</v>
      </c>
      <c r="C9519" t="str">
        <v>-</v>
      </c>
      <c r="D9519" t="str">
        <v>-</v>
      </c>
      <c r="E9519" t="str">
        <v>-</v>
      </c>
      <c r="F9519" t="str">
        <v>-</v>
      </c>
      <c r="G9519" t="str">
        <v>-</v>
      </c>
    </row>
    <row r="9520">
      <c r="A9520">
        <v>9519</v>
      </c>
      <c r="B9520" t="str">
        <v>Công an xã An Ninh  tỉnh Thái Bình</v>
      </c>
      <c r="C9520" t="str">
        <v>-</v>
      </c>
      <c r="D9520" t="str">
        <v>-</v>
      </c>
      <c r="E9520" t="str">
        <v/>
      </c>
      <c r="F9520" t="str">
        <v>-</v>
      </c>
      <c r="G9520" t="str">
        <v>-</v>
      </c>
    </row>
    <row r="9521">
      <c r="A9521">
        <v>9520</v>
      </c>
      <c r="B9521" t="str">
        <v>UBND Ủy ban nhân dân xã An Ninh  tỉnh Thái Bình</v>
      </c>
      <c r="C9521" t="str">
        <v>-</v>
      </c>
      <c r="D9521" t="str">
        <v>-</v>
      </c>
      <c r="E9521" t="str">
        <v>-</v>
      </c>
      <c r="F9521" t="str">
        <v>-</v>
      </c>
      <c r="G9521" t="str">
        <v>-</v>
      </c>
    </row>
    <row r="9522">
      <c r="A9522">
        <v>9521</v>
      </c>
      <c r="B9522" t="str">
        <v>Công an xã Tây Sơn  tỉnh Thái Bình</v>
      </c>
      <c r="C9522" t="str">
        <v>-</v>
      </c>
      <c r="D9522" t="str">
        <v>-</v>
      </c>
      <c r="E9522" t="str">
        <v/>
      </c>
      <c r="F9522" t="str">
        <v>-</v>
      </c>
      <c r="G9522" t="str">
        <v>-</v>
      </c>
    </row>
    <row r="9523">
      <c r="A9523">
        <v>9522</v>
      </c>
      <c r="B9523" t="str">
        <v>UBND Ủy ban nhân dân xã Tây Sơn  tỉnh Thái Bình</v>
      </c>
      <c r="C9523" t="str">
        <v>-</v>
      </c>
      <c r="D9523" t="str">
        <v>-</v>
      </c>
      <c r="E9523" t="str">
        <v>-</v>
      </c>
      <c r="F9523" t="str">
        <v>-</v>
      </c>
      <c r="G9523" t="str">
        <v>-</v>
      </c>
    </row>
    <row r="9524">
      <c r="A9524">
        <v>9523</v>
      </c>
      <c r="B9524" t="str">
        <v>Công an xã Đông Cơ  tỉnh Thái Bình</v>
      </c>
      <c r="C9524" t="str">
        <v>-</v>
      </c>
      <c r="D9524" t="str">
        <v>-</v>
      </c>
      <c r="E9524" t="str">
        <v/>
      </c>
      <c r="F9524" t="str">
        <v>-</v>
      </c>
      <c r="G9524" t="str">
        <v>-</v>
      </c>
    </row>
    <row r="9525">
      <c r="A9525">
        <v>9524</v>
      </c>
      <c r="B9525" t="str">
        <v>UBND Ủy ban nhân dân xã Đông Cơ  tỉnh Thái Bình</v>
      </c>
      <c r="C9525" t="str">
        <v>-</v>
      </c>
      <c r="D9525" t="str">
        <v>-</v>
      </c>
      <c r="E9525" t="str">
        <v>-</v>
      </c>
      <c r="F9525" t="str">
        <v>-</v>
      </c>
      <c r="G9525" t="str">
        <v>-</v>
      </c>
    </row>
    <row r="9526">
      <c r="A9526">
        <v>9525</v>
      </c>
      <c r="B9526" t="str">
        <v>Công an xã Tây Giang  tỉnh Thái Bình</v>
      </c>
      <c r="C9526" t="str">
        <v>-</v>
      </c>
      <c r="D9526" t="str">
        <v>-</v>
      </c>
      <c r="E9526" t="str">
        <v/>
      </c>
      <c r="F9526" t="str">
        <v>-</v>
      </c>
      <c r="G9526" t="str">
        <v>-</v>
      </c>
    </row>
    <row r="9527">
      <c r="A9527">
        <v>9526</v>
      </c>
      <c r="B9527" t="str">
        <v>UBND Ủy ban nhân dân xã Tây Giang  tỉnh Thái Bình</v>
      </c>
      <c r="C9527" t="str">
        <v>-</v>
      </c>
      <c r="D9527" t="str">
        <v>-</v>
      </c>
      <c r="E9527" t="str">
        <v>-</v>
      </c>
      <c r="F9527" t="str">
        <v>-</v>
      </c>
      <c r="G9527" t="str">
        <v>-</v>
      </c>
    </row>
    <row r="9528">
      <c r="A9528">
        <v>9527</v>
      </c>
      <c r="B9528" t="str">
        <v>Công an xã Đông Lâm  tỉnh Thái Bình</v>
      </c>
      <c r="C9528" t="str">
        <v>-</v>
      </c>
      <c r="D9528" t="str">
        <v>-</v>
      </c>
      <c r="E9528" t="str">
        <v/>
      </c>
      <c r="F9528" t="str">
        <v>-</v>
      </c>
      <c r="G9528" t="str">
        <v>-</v>
      </c>
    </row>
    <row r="9529">
      <c r="A9529">
        <v>9528</v>
      </c>
      <c r="B9529" t="str">
        <v>UBND Ủy ban nhân dân xã Đông Lâm  tỉnh Thái Bình</v>
      </c>
      <c r="C9529" t="str">
        <v>-</v>
      </c>
      <c r="D9529" t="str">
        <v>-</v>
      </c>
      <c r="E9529" t="str">
        <v>-</v>
      </c>
      <c r="F9529" t="str">
        <v>-</v>
      </c>
      <c r="G9529" t="str">
        <v>-</v>
      </c>
    </row>
    <row r="9530">
      <c r="A9530">
        <v>9529</v>
      </c>
      <c r="B9530" t="str">
        <v>Công an xã Phương Công  tỉnh Thái Bình</v>
      </c>
      <c r="C9530" t="str">
        <v>-</v>
      </c>
      <c r="D9530" t="str">
        <v>-</v>
      </c>
      <c r="E9530" t="str">
        <v/>
      </c>
      <c r="F9530" t="str">
        <v>-</v>
      </c>
      <c r="G9530" t="str">
        <v>-</v>
      </c>
    </row>
    <row r="9531">
      <c r="A9531">
        <v>9530</v>
      </c>
      <c r="B9531" t="str">
        <v>UBND Ủy ban nhân dân xã Phương Công  tỉnh Thái Bình</v>
      </c>
      <c r="C9531" t="str">
        <v>-</v>
      </c>
      <c r="D9531" t="str">
        <v>-</v>
      </c>
      <c r="E9531" t="str">
        <v>-</v>
      </c>
      <c r="F9531" t="str">
        <v>-</v>
      </c>
      <c r="G9531" t="str">
        <v>-</v>
      </c>
    </row>
    <row r="9532">
      <c r="A9532">
        <v>9531</v>
      </c>
      <c r="B9532" t="str">
        <v>Công an xã Tây Phong  tỉnh Thái Bình</v>
      </c>
      <c r="C9532" t="str">
        <v>-</v>
      </c>
      <c r="D9532" t="str">
        <v>-</v>
      </c>
      <c r="E9532" t="str">
        <v/>
      </c>
      <c r="F9532" t="str">
        <v>-</v>
      </c>
      <c r="G9532" t="str">
        <v>-</v>
      </c>
    </row>
    <row r="9533">
      <c r="A9533">
        <v>9532</v>
      </c>
      <c r="B9533" t="str">
        <v>UBND Ủy ban nhân dân xã Tây Phong  tỉnh Thái Bình</v>
      </c>
      <c r="C9533" t="str">
        <v>-</v>
      </c>
      <c r="D9533" t="str">
        <v>-</v>
      </c>
      <c r="E9533" t="str">
        <v>-</v>
      </c>
      <c r="F9533" t="str">
        <v>-</v>
      </c>
      <c r="G9533" t="str">
        <v>-</v>
      </c>
    </row>
    <row r="9534">
      <c r="A9534">
        <v>9533</v>
      </c>
      <c r="B9534" t="str">
        <v>Công an xã Tây Tiến  tỉnh Thái Bình</v>
      </c>
      <c r="C9534" t="str">
        <v>-</v>
      </c>
      <c r="D9534" t="str">
        <v>-</v>
      </c>
      <c r="E9534" t="str">
        <v/>
      </c>
      <c r="F9534" t="str">
        <v>-</v>
      </c>
      <c r="G9534" t="str">
        <v>-</v>
      </c>
    </row>
    <row r="9535">
      <c r="A9535">
        <v>9534</v>
      </c>
      <c r="B9535" t="str">
        <v>UBND Ủy ban nhân dân xã Tây Tiến  tỉnh Thái Bình</v>
      </c>
      <c r="C9535" t="str">
        <v>-</v>
      </c>
      <c r="D9535" t="str">
        <v>-</v>
      </c>
      <c r="E9535" t="str">
        <v>-</v>
      </c>
      <c r="F9535" t="str">
        <v>-</v>
      </c>
      <c r="G9535" t="str">
        <v>-</v>
      </c>
    </row>
    <row r="9536">
      <c r="A9536">
        <v>9535</v>
      </c>
      <c r="B9536" t="str">
        <v>Công an xã Nam Cường  tỉnh Thái Bình</v>
      </c>
      <c r="C9536" t="str">
        <v>-</v>
      </c>
      <c r="D9536" t="str">
        <v>-</v>
      </c>
      <c r="E9536" t="str">
        <v/>
      </c>
      <c r="F9536" t="str">
        <v>-</v>
      </c>
      <c r="G9536" t="str">
        <v>-</v>
      </c>
    </row>
    <row r="9537">
      <c r="A9537">
        <v>9536</v>
      </c>
      <c r="B9537" t="str">
        <v>UBND Ủy ban nhân dân xã Nam Cường  tỉnh Thái Bình</v>
      </c>
      <c r="C9537" t="str">
        <v>-</v>
      </c>
      <c r="D9537" t="str">
        <v>-</v>
      </c>
      <c r="E9537" t="str">
        <v>-</v>
      </c>
      <c r="F9537" t="str">
        <v>-</v>
      </c>
      <c r="G9537" t="str">
        <v>-</v>
      </c>
    </row>
    <row r="9538">
      <c r="A9538">
        <v>9537</v>
      </c>
      <c r="B9538" t="str">
        <v>Công an xã Vân Trường  tỉnh Thái Bình</v>
      </c>
      <c r="C9538" t="str">
        <v>-</v>
      </c>
      <c r="D9538" t="str">
        <v>-</v>
      </c>
      <c r="E9538" t="str">
        <v/>
      </c>
      <c r="F9538" t="str">
        <v>-</v>
      </c>
      <c r="G9538" t="str">
        <v>-</v>
      </c>
    </row>
    <row r="9539">
      <c r="A9539">
        <v>9538</v>
      </c>
      <c r="B9539" t="str">
        <v>UBND Ủy ban nhân dân xã Vân Trường  tỉnh Thái Bình</v>
      </c>
      <c r="C9539" t="str">
        <v>-</v>
      </c>
      <c r="D9539" t="str">
        <v>-</v>
      </c>
      <c r="E9539" t="str">
        <v>-</v>
      </c>
      <c r="F9539" t="str">
        <v>-</v>
      </c>
      <c r="G9539" t="str">
        <v>-</v>
      </c>
    </row>
    <row r="9540">
      <c r="A9540">
        <v>9539</v>
      </c>
      <c r="B9540" t="str">
        <v>Công an xã Nam Thắng  tỉnh Thái Bình</v>
      </c>
      <c r="C9540" t="str">
        <v>-</v>
      </c>
      <c r="D9540" t="str">
        <v>-</v>
      </c>
      <c r="E9540" t="str">
        <v/>
      </c>
      <c r="F9540" t="str">
        <v>-</v>
      </c>
      <c r="G9540" t="str">
        <v>-</v>
      </c>
    </row>
    <row r="9541">
      <c r="A9541">
        <v>9540</v>
      </c>
      <c r="B9541" t="str">
        <v>UBND Ủy ban nhân dân xã Nam Thắng  tỉnh Thái Bình</v>
      </c>
      <c r="C9541" t="str">
        <v>-</v>
      </c>
      <c r="D9541" t="str">
        <v>-</v>
      </c>
      <c r="E9541" t="str">
        <v>-</v>
      </c>
      <c r="F9541" t="str">
        <v>-</v>
      </c>
      <c r="G9541" t="str">
        <v>-</v>
      </c>
    </row>
    <row r="9542">
      <c r="A9542">
        <v>9541</v>
      </c>
      <c r="B9542" t="str">
        <v>Công an xã Nam Chính  tỉnh Thái Bình</v>
      </c>
      <c r="C9542" t="str">
        <v>-</v>
      </c>
      <c r="D9542" t="str">
        <v>-</v>
      </c>
      <c r="E9542" t="str">
        <v/>
      </c>
      <c r="F9542" t="str">
        <v>-</v>
      </c>
      <c r="G9542" t="str">
        <v>-</v>
      </c>
    </row>
    <row r="9543">
      <c r="A9543">
        <v>9542</v>
      </c>
      <c r="B9543" t="str">
        <v>UBND Ủy ban nhân dân xã Nam Chính  tỉnh Thái Bình</v>
      </c>
      <c r="C9543" t="str">
        <v>-</v>
      </c>
      <c r="D9543" t="str">
        <v>-</v>
      </c>
      <c r="E9543" t="str">
        <v>-</v>
      </c>
      <c r="F9543" t="str">
        <v>-</v>
      </c>
      <c r="G9543" t="str">
        <v>-</v>
      </c>
    </row>
    <row r="9544">
      <c r="A9544">
        <v>9543</v>
      </c>
      <c r="B9544" t="str">
        <v>Công an xã Bắc Hải  tỉnh Thái Bình</v>
      </c>
      <c r="C9544" t="str">
        <v>-</v>
      </c>
      <c r="D9544" t="str">
        <v>-</v>
      </c>
      <c r="E9544" t="str">
        <v/>
      </c>
      <c r="F9544" t="str">
        <v>-</v>
      </c>
      <c r="G9544" t="str">
        <v>-</v>
      </c>
    </row>
    <row r="9545">
      <c r="A9545">
        <v>9544</v>
      </c>
      <c r="B9545" t="str">
        <v>UBND Ủy ban nhân dân xã Bắc Hải  tỉnh Thái Bình</v>
      </c>
      <c r="C9545" t="str">
        <v>-</v>
      </c>
      <c r="D9545" t="str">
        <v>-</v>
      </c>
      <c r="E9545" t="str">
        <v>-</v>
      </c>
      <c r="F9545" t="str">
        <v>-</v>
      </c>
      <c r="G9545" t="str">
        <v>-</v>
      </c>
    </row>
    <row r="9546">
      <c r="A9546">
        <v>9545</v>
      </c>
      <c r="B9546" t="str">
        <v>Công an xã Nam Thịnh  tỉnh Thái Bình</v>
      </c>
      <c r="C9546" t="str">
        <v>-</v>
      </c>
      <c r="D9546" t="str">
        <v>-</v>
      </c>
      <c r="E9546" t="str">
        <v/>
      </c>
      <c r="F9546" t="str">
        <v>-</v>
      </c>
      <c r="G9546" t="str">
        <v>-</v>
      </c>
    </row>
    <row r="9547">
      <c r="A9547">
        <v>9546</v>
      </c>
      <c r="B9547" t="str">
        <v>UBND Ủy ban nhân dân xã Nam Thịnh  tỉnh Thái Bình</v>
      </c>
      <c r="C9547" t="str">
        <v>-</v>
      </c>
      <c r="D9547" t="str">
        <v>-</v>
      </c>
      <c r="E9547" t="str">
        <v>-</v>
      </c>
      <c r="F9547" t="str">
        <v>-</v>
      </c>
      <c r="G9547" t="str">
        <v>-</v>
      </c>
    </row>
    <row r="9548">
      <c r="A9548">
        <v>9547</v>
      </c>
      <c r="B9548" t="str">
        <v>Công an xã Nam Hà  tỉnh Thái Bình</v>
      </c>
      <c r="C9548" t="str">
        <v>-</v>
      </c>
      <c r="D9548" t="str">
        <v>-</v>
      </c>
      <c r="E9548" t="str">
        <v/>
      </c>
      <c r="F9548" t="str">
        <v>-</v>
      </c>
      <c r="G9548" t="str">
        <v>-</v>
      </c>
    </row>
    <row r="9549">
      <c r="A9549">
        <v>9548</v>
      </c>
      <c r="B9549" t="str">
        <v>UBND Ủy ban nhân dân xã Nam Hà  tỉnh Thái Bình</v>
      </c>
      <c r="C9549" t="str">
        <v>-</v>
      </c>
      <c r="D9549" t="str">
        <v>-</v>
      </c>
      <c r="E9549" t="str">
        <v>-</v>
      </c>
      <c r="F9549" t="str">
        <v>-</v>
      </c>
      <c r="G9549" t="str">
        <v>-</v>
      </c>
    </row>
    <row r="9550">
      <c r="A9550">
        <v>9549</v>
      </c>
      <c r="B9550" t="str">
        <v>Công an xã Nam Thanh  tỉnh Thái Bình</v>
      </c>
      <c r="C9550" t="str">
        <v>-</v>
      </c>
      <c r="D9550" t="str">
        <v>-</v>
      </c>
      <c r="E9550" t="str">
        <v/>
      </c>
      <c r="F9550" t="str">
        <v>-</v>
      </c>
      <c r="G9550" t="str">
        <v>-</v>
      </c>
    </row>
    <row r="9551">
      <c r="A9551">
        <v>9550</v>
      </c>
      <c r="B9551" t="str">
        <v>UBND Ủy ban nhân dân xã Nam Thanh  tỉnh Thái Bình</v>
      </c>
      <c r="C9551" t="str">
        <v>-</v>
      </c>
      <c r="D9551" t="str">
        <v>-</v>
      </c>
      <c r="E9551" t="str">
        <v>-</v>
      </c>
      <c r="F9551" t="str">
        <v>-</v>
      </c>
      <c r="G9551" t="str">
        <v>-</v>
      </c>
    </row>
    <row r="9552">
      <c r="A9552">
        <v>9551</v>
      </c>
      <c r="B9552" t="str">
        <v>Công an xã Nam Trung  tỉnh Thái Bình</v>
      </c>
      <c r="C9552" t="str">
        <v>-</v>
      </c>
      <c r="D9552" t="str">
        <v>-</v>
      </c>
      <c r="E9552" t="str">
        <v/>
      </c>
      <c r="F9552" t="str">
        <v>-</v>
      </c>
      <c r="G9552" t="str">
        <v>-</v>
      </c>
    </row>
    <row r="9553">
      <c r="A9553">
        <v>9552</v>
      </c>
      <c r="B9553" t="str">
        <v>UBND Ủy ban nhân dân xã Nam Trung  tỉnh Thái Bình</v>
      </c>
      <c r="C9553" t="str">
        <v>-</v>
      </c>
      <c r="D9553" t="str">
        <v>-</v>
      </c>
      <c r="E9553" t="str">
        <v>-</v>
      </c>
      <c r="F9553" t="str">
        <v>-</v>
      </c>
      <c r="G9553" t="str">
        <v>-</v>
      </c>
    </row>
    <row r="9554">
      <c r="A9554">
        <v>9553</v>
      </c>
      <c r="B9554" t="str">
        <v>Công an xã Nam Hồng  tỉnh Thái Bình</v>
      </c>
      <c r="C9554" t="str">
        <v>-</v>
      </c>
      <c r="D9554" t="str">
        <v>-</v>
      </c>
      <c r="E9554" t="str">
        <v/>
      </c>
      <c r="F9554" t="str">
        <v>-</v>
      </c>
      <c r="G9554" t="str">
        <v>-</v>
      </c>
    </row>
    <row r="9555">
      <c r="A9555">
        <v>9554</v>
      </c>
      <c r="B9555" t="str">
        <v>UBND Ủy ban nhân dân xã Nam Hồng  tỉnh Thái Bình</v>
      </c>
      <c r="C9555" t="str">
        <v>-</v>
      </c>
      <c r="D9555" t="str">
        <v>-</v>
      </c>
      <c r="E9555" t="str">
        <v>-</v>
      </c>
      <c r="F9555" t="str">
        <v>-</v>
      </c>
      <c r="G9555" t="str">
        <v>-</v>
      </c>
    </row>
    <row r="9556">
      <c r="A9556">
        <v>9555</v>
      </c>
      <c r="B9556" t="str">
        <v>Công an xã Nam Hưng  tỉnh Thái Bình</v>
      </c>
      <c r="C9556" t="str">
        <v>-</v>
      </c>
      <c r="D9556" t="str">
        <v>-</v>
      </c>
      <c r="E9556" t="str">
        <v/>
      </c>
      <c r="F9556" t="str">
        <v>-</v>
      </c>
      <c r="G9556" t="str">
        <v>-</v>
      </c>
    </row>
    <row r="9557">
      <c r="A9557">
        <v>9556</v>
      </c>
      <c r="B9557" t="str">
        <v>UBND Ủy ban nhân dân xã Nam Hưng  tỉnh Thái Bình</v>
      </c>
      <c r="C9557" t="str">
        <v>-</v>
      </c>
      <c r="D9557" t="str">
        <v>-</v>
      </c>
      <c r="E9557" t="str">
        <v>-</v>
      </c>
      <c r="F9557" t="str">
        <v>-</v>
      </c>
      <c r="G9557" t="str">
        <v>-</v>
      </c>
    </row>
    <row r="9558">
      <c r="A9558">
        <v>9557</v>
      </c>
      <c r="B9558" t="str">
        <v>Công an xã Nam Hải  tỉnh Thái Bình</v>
      </c>
      <c r="C9558" t="str">
        <v>-</v>
      </c>
      <c r="D9558" t="str">
        <v>-</v>
      </c>
      <c r="E9558" t="str">
        <v/>
      </c>
      <c r="F9558" t="str">
        <v>-</v>
      </c>
      <c r="G9558" t="str">
        <v>-</v>
      </c>
    </row>
    <row r="9559">
      <c r="A9559">
        <v>9558</v>
      </c>
      <c r="B9559" t="str">
        <v>UBND Ủy ban nhân dân xã Nam Hải  tỉnh Thái Bình</v>
      </c>
      <c r="C9559" t="str">
        <v>-</v>
      </c>
      <c r="D9559" t="str">
        <v>-</v>
      </c>
      <c r="E9559" t="str">
        <v>-</v>
      </c>
      <c r="F9559" t="str">
        <v>-</v>
      </c>
      <c r="G9559" t="str">
        <v>-</v>
      </c>
    </row>
    <row r="9560">
      <c r="A9560">
        <v>9559</v>
      </c>
      <c r="B9560" t="str">
        <v>Công an xã Nam Phú  tỉnh Thái Bình</v>
      </c>
      <c r="C9560" t="str">
        <v>-</v>
      </c>
      <c r="D9560" t="str">
        <v>-</v>
      </c>
      <c r="E9560" t="str">
        <v/>
      </c>
      <c r="F9560" t="str">
        <v>-</v>
      </c>
      <c r="G9560" t="str">
        <v>-</v>
      </c>
    </row>
    <row r="9561">
      <c r="A9561">
        <v>9560</v>
      </c>
      <c r="B9561" t="str">
        <v>UBND Ủy ban nhân dân xã Nam Phú  tỉnh Thái Bình</v>
      </c>
      <c r="C9561" t="str">
        <v>-</v>
      </c>
      <c r="D9561" t="str">
        <v>-</v>
      </c>
      <c r="E9561" t="str">
        <v>-</v>
      </c>
      <c r="F9561" t="str">
        <v>-</v>
      </c>
      <c r="G9561" t="str">
        <v>-</v>
      </c>
    </row>
    <row r="9562">
      <c r="A9562">
        <v>9561</v>
      </c>
      <c r="B9562" t="str">
        <v>Công an thị trấn Thanh Nê  tỉnh Thái Bình</v>
      </c>
      <c r="C9562" t="str">
        <v>-</v>
      </c>
      <c r="D9562" t="str">
        <v>-</v>
      </c>
      <c r="E9562" t="str">
        <v/>
      </c>
      <c r="F9562" t="str">
        <v>-</v>
      </c>
      <c r="G9562" t="str">
        <v>-</v>
      </c>
    </row>
    <row r="9563">
      <c r="A9563">
        <v>9562</v>
      </c>
      <c r="B9563" t="str">
        <v>UBND Ủy ban nhân dân thị trấn Thanh Nê  tỉnh Thái Bình</v>
      </c>
      <c r="C9563" t="str">
        <v>-</v>
      </c>
      <c r="D9563" t="str">
        <v>-</v>
      </c>
      <c r="E9563" t="str">
        <v>-</v>
      </c>
      <c r="F9563" t="str">
        <v>-</v>
      </c>
      <c r="G9563" t="str">
        <v>-</v>
      </c>
    </row>
    <row r="9564">
      <c r="A9564">
        <v>9563</v>
      </c>
      <c r="B9564" t="str">
        <v>Công an xã Trà Giang  tỉnh Thái Bình</v>
      </c>
      <c r="C9564" t="str">
        <v>-</v>
      </c>
      <c r="D9564" t="str">
        <v>-</v>
      </c>
      <c r="E9564" t="str">
        <v/>
      </c>
      <c r="F9564" t="str">
        <v>-</v>
      </c>
      <c r="G9564" t="str">
        <v>-</v>
      </c>
    </row>
    <row r="9565">
      <c r="A9565">
        <v>9564</v>
      </c>
      <c r="B9565" t="str">
        <v>UBND Ủy ban nhân dân xã Trà Giang  tỉnh Thái Bình</v>
      </c>
      <c r="C9565" t="str">
        <v>-</v>
      </c>
      <c r="D9565" t="str">
        <v>-</v>
      </c>
      <c r="E9565" t="str">
        <v>-</v>
      </c>
      <c r="F9565" t="str">
        <v>-</v>
      </c>
      <c r="G9565" t="str">
        <v>-</v>
      </c>
    </row>
    <row r="9566">
      <c r="A9566">
        <v>9565</v>
      </c>
      <c r="B9566" t="str">
        <v>Công an xã Quốc Tuấn  tỉnh Thái Bình</v>
      </c>
      <c r="C9566" t="str">
        <v>-</v>
      </c>
      <c r="D9566" t="str">
        <v>-</v>
      </c>
      <c r="E9566" t="str">
        <v/>
      </c>
      <c r="F9566" t="str">
        <v>-</v>
      </c>
      <c r="G9566" t="str">
        <v>-</v>
      </c>
    </row>
    <row r="9567">
      <c r="A9567">
        <v>9566</v>
      </c>
      <c r="B9567" t="str">
        <v>UBND Ủy ban nhân dân xã Quốc Tuấn  tỉnh Thái Bình</v>
      </c>
      <c r="C9567" t="str">
        <v>-</v>
      </c>
      <c r="D9567" t="str">
        <v>-</v>
      </c>
      <c r="E9567" t="str">
        <v>-</v>
      </c>
      <c r="F9567" t="str">
        <v>-</v>
      </c>
      <c r="G9567" t="str">
        <v>-</v>
      </c>
    </row>
    <row r="9568">
      <c r="A9568">
        <v>9567</v>
      </c>
      <c r="B9568" t="str">
        <v>Công an xã An Bình  tỉnh Thái Bình</v>
      </c>
      <c r="C9568" t="str">
        <v>-</v>
      </c>
      <c r="D9568" t="str">
        <v>-</v>
      </c>
      <c r="E9568" t="str">
        <v/>
      </c>
      <c r="F9568" t="str">
        <v>-</v>
      </c>
      <c r="G9568" t="str">
        <v>-</v>
      </c>
    </row>
    <row r="9569">
      <c r="A9569">
        <v>9568</v>
      </c>
      <c r="B9569" t="str">
        <v>UBND Ủy ban nhân dân xã An Bình  tỉnh Thái Bình</v>
      </c>
      <c r="C9569" t="str">
        <v>-</v>
      </c>
      <c r="D9569" t="str">
        <v>-</v>
      </c>
      <c r="E9569" t="str">
        <v>-</v>
      </c>
      <c r="F9569" t="str">
        <v>-</v>
      </c>
      <c r="G9569" t="str">
        <v>-</v>
      </c>
    </row>
    <row r="9570">
      <c r="A9570">
        <v>9569</v>
      </c>
      <c r="B9570" t="str">
        <v>Công an xã Vũ Tây  tỉnh Thái Bình</v>
      </c>
      <c r="C9570" t="str">
        <v>-</v>
      </c>
      <c r="D9570" t="str">
        <v>-</v>
      </c>
      <c r="E9570" t="str">
        <v/>
      </c>
      <c r="F9570" t="str">
        <v>-</v>
      </c>
      <c r="G9570" t="str">
        <v>-</v>
      </c>
    </row>
    <row r="9571">
      <c r="A9571">
        <v>9570</v>
      </c>
      <c r="B9571" t="str">
        <v>UBND Ủy ban nhân dân xã Vũ Tây  tỉnh Thái Bình</v>
      </c>
      <c r="C9571" t="str">
        <v>-</v>
      </c>
      <c r="D9571" t="str">
        <v>-</v>
      </c>
      <c r="E9571" t="str">
        <v>-</v>
      </c>
      <c r="F9571" t="str">
        <v>-</v>
      </c>
      <c r="G9571" t="str">
        <v>-</v>
      </c>
    </row>
    <row r="9572">
      <c r="A9572">
        <v>9571</v>
      </c>
      <c r="B9572" t="str">
        <v>Công an xã Hồng Thái  tỉnh Thái Bình</v>
      </c>
      <c r="C9572" t="str">
        <v>-</v>
      </c>
      <c r="D9572" t="str">
        <v>-</v>
      </c>
      <c r="E9572" t="str">
        <v/>
      </c>
      <c r="F9572" t="str">
        <v>-</v>
      </c>
      <c r="G9572" t="str">
        <v>-</v>
      </c>
    </row>
    <row r="9573">
      <c r="A9573">
        <v>9572</v>
      </c>
      <c r="B9573" t="str">
        <v>UBND Ủy ban nhân dân xã Hồng Thái  tỉnh Thái Bình</v>
      </c>
      <c r="C9573" t="str">
        <v>-</v>
      </c>
      <c r="D9573" t="str">
        <v>-</v>
      </c>
      <c r="E9573" t="str">
        <v>-</v>
      </c>
      <c r="F9573" t="str">
        <v>-</v>
      </c>
      <c r="G9573" t="str">
        <v>-</v>
      </c>
    </row>
    <row r="9574">
      <c r="A9574">
        <v>9573</v>
      </c>
      <c r="B9574" t="str">
        <v>Công an xã Bình Nguyên  tỉnh Thái Bình</v>
      </c>
      <c r="C9574" t="str">
        <v>-</v>
      </c>
      <c r="D9574" t="str">
        <v>-</v>
      </c>
      <c r="E9574" t="str">
        <v/>
      </c>
      <c r="F9574" t="str">
        <v>-</v>
      </c>
      <c r="G9574" t="str">
        <v>-</v>
      </c>
    </row>
    <row r="9575">
      <c r="A9575">
        <v>9574</v>
      </c>
      <c r="B9575" t="str">
        <v>UBND Ủy ban nhân dân xã Bình Nguyên  tỉnh Thái Bình</v>
      </c>
      <c r="C9575" t="str">
        <v>-</v>
      </c>
      <c r="D9575" t="str">
        <v>-</v>
      </c>
      <c r="E9575" t="str">
        <v>-</v>
      </c>
      <c r="F9575" t="str">
        <v>-</v>
      </c>
      <c r="G9575" t="str">
        <v>-</v>
      </c>
    </row>
    <row r="9576">
      <c r="A9576">
        <v>9575</v>
      </c>
      <c r="B9576" t="str">
        <v>Công an xã Vũ Sơn  tỉnh Thái Bình</v>
      </c>
      <c r="C9576" t="str">
        <v>-</v>
      </c>
      <c r="D9576" t="str">
        <v>-</v>
      </c>
      <c r="E9576" t="str">
        <v/>
      </c>
      <c r="F9576" t="str">
        <v>-</v>
      </c>
      <c r="G9576" t="str">
        <v>-</v>
      </c>
    </row>
    <row r="9577">
      <c r="A9577">
        <v>9576</v>
      </c>
      <c r="B9577" t="str">
        <v>UBND Ủy ban nhân dân xã Vũ Sơn  tỉnh Thái Bình</v>
      </c>
      <c r="C9577" t="str">
        <v>-</v>
      </c>
      <c r="D9577" t="str">
        <v>-</v>
      </c>
      <c r="E9577" t="str">
        <v>-</v>
      </c>
      <c r="F9577" t="str">
        <v>-</v>
      </c>
      <c r="G9577" t="str">
        <v>-</v>
      </c>
    </row>
    <row r="9578">
      <c r="A9578">
        <v>9577</v>
      </c>
      <c r="B9578" t="str">
        <v>Công an xã Lê Lợi  tỉnh Thái Bình</v>
      </c>
      <c r="C9578" t="str">
        <v>-</v>
      </c>
      <c r="D9578" t="str">
        <v>-</v>
      </c>
      <c r="E9578" t="str">
        <v/>
      </c>
      <c r="F9578" t="str">
        <v>-</v>
      </c>
      <c r="G9578" t="str">
        <v>-</v>
      </c>
    </row>
    <row r="9579">
      <c r="A9579">
        <v>9578</v>
      </c>
      <c r="B9579" t="str">
        <v>UBND Ủy ban nhân dân xã Lê Lợi  tỉnh Thái Bình</v>
      </c>
      <c r="C9579" t="str">
        <v>-</v>
      </c>
      <c r="D9579" t="str">
        <v>-</v>
      </c>
      <c r="E9579" t="str">
        <v>-</v>
      </c>
      <c r="F9579" t="str">
        <v>-</v>
      </c>
      <c r="G9579" t="str">
        <v>-</v>
      </c>
    </row>
    <row r="9580">
      <c r="A9580">
        <v>9579</v>
      </c>
      <c r="B9580" t="str">
        <v>Công an xã Quyết Tiến  tỉnh Thái Bình</v>
      </c>
      <c r="C9580" t="str">
        <v>-</v>
      </c>
      <c r="D9580" t="str">
        <v>-</v>
      </c>
      <c r="E9580" t="str">
        <v/>
      </c>
      <c r="F9580" t="str">
        <v>-</v>
      </c>
      <c r="G9580" t="str">
        <v>-</v>
      </c>
    </row>
    <row r="9581">
      <c r="A9581">
        <v>9580</v>
      </c>
      <c r="B9581" t="str">
        <v>UBND Ủy ban nhân dân xã Quyết Tiến  tỉnh Thái Bình</v>
      </c>
      <c r="C9581" t="str">
        <v>-</v>
      </c>
      <c r="D9581" t="str">
        <v>-</v>
      </c>
      <c r="E9581" t="str">
        <v>-</v>
      </c>
      <c r="F9581" t="str">
        <v>-</v>
      </c>
      <c r="G9581" t="str">
        <v>-</v>
      </c>
    </row>
    <row r="9582">
      <c r="A9582">
        <v>9581</v>
      </c>
      <c r="B9582" t="str">
        <v>Công an xã Vũ Lễ  tỉnh Thái Bình</v>
      </c>
      <c r="C9582" t="str">
        <v>-</v>
      </c>
      <c r="D9582" t="str">
        <v>-</v>
      </c>
      <c r="E9582" t="str">
        <v/>
      </c>
      <c r="F9582" t="str">
        <v>-</v>
      </c>
      <c r="G9582" t="str">
        <v>-</v>
      </c>
    </row>
    <row r="9583">
      <c r="A9583">
        <v>9582</v>
      </c>
      <c r="B9583" t="str">
        <v>UBND Ủy ban nhân dân xã Vũ Lễ  tỉnh Thái Bình</v>
      </c>
      <c r="C9583" t="str">
        <v>-</v>
      </c>
      <c r="D9583" t="str">
        <v>-</v>
      </c>
      <c r="E9583" t="str">
        <v>-</v>
      </c>
      <c r="F9583" t="str">
        <v>-</v>
      </c>
      <c r="G9583" t="str">
        <v>-</v>
      </c>
    </row>
    <row r="9584">
      <c r="A9584">
        <v>9583</v>
      </c>
      <c r="B9584" t="str">
        <v>Công an xã Thanh Tân  tỉnh Thái Bình</v>
      </c>
      <c r="C9584" t="str">
        <v>-</v>
      </c>
      <c r="D9584" t="str">
        <v>-</v>
      </c>
      <c r="E9584" t="str">
        <v/>
      </c>
      <c r="F9584" t="str">
        <v>-</v>
      </c>
      <c r="G9584" t="str">
        <v>-</v>
      </c>
    </row>
    <row r="9585">
      <c r="A9585">
        <v>9584</v>
      </c>
      <c r="B9585" t="str">
        <v>UBND Ủy ban nhân dân xã Thanh Tân  tỉnh Thái Bình</v>
      </c>
      <c r="C9585" t="str">
        <v>-</v>
      </c>
      <c r="D9585" t="str">
        <v>-</v>
      </c>
      <c r="E9585" t="str">
        <v>-</v>
      </c>
      <c r="F9585" t="str">
        <v>-</v>
      </c>
      <c r="G9585" t="str">
        <v>-</v>
      </c>
    </row>
    <row r="9586">
      <c r="A9586">
        <v>9585</v>
      </c>
      <c r="B9586" t="str">
        <v>Công an xã Thượng Hiền  tỉnh Thái Bình</v>
      </c>
      <c r="C9586" t="str">
        <v>-</v>
      </c>
      <c r="D9586" t="str">
        <v>-</v>
      </c>
      <c r="E9586" t="str">
        <v/>
      </c>
      <c r="F9586" t="str">
        <v>-</v>
      </c>
      <c r="G9586" t="str">
        <v>-</v>
      </c>
    </row>
    <row r="9587">
      <c r="A9587">
        <v>9586</v>
      </c>
      <c r="B9587" t="str">
        <v>UBND Ủy ban nhân dân xã Thượng Hiền  tỉnh Thái Bình</v>
      </c>
      <c r="C9587" t="str">
        <v>-</v>
      </c>
      <c r="D9587" t="str">
        <v>-</v>
      </c>
      <c r="E9587" t="str">
        <v>-</v>
      </c>
      <c r="F9587" t="str">
        <v>-</v>
      </c>
      <c r="G9587" t="str">
        <v>-</v>
      </c>
    </row>
    <row r="9588">
      <c r="A9588">
        <v>9587</v>
      </c>
      <c r="B9588" t="str">
        <v>Công an xã Nam Cao  tỉnh Thái Bình</v>
      </c>
      <c r="C9588" t="str">
        <v>-</v>
      </c>
      <c r="D9588" t="str">
        <v>-</v>
      </c>
      <c r="E9588" t="str">
        <v/>
      </c>
      <c r="F9588" t="str">
        <v>-</v>
      </c>
      <c r="G9588" t="str">
        <v>-</v>
      </c>
    </row>
    <row r="9589">
      <c r="A9589">
        <v>9588</v>
      </c>
      <c r="B9589" t="str">
        <v>UBND Ủy ban nhân dân xã Nam Cao  tỉnh Thái Bình</v>
      </c>
      <c r="C9589" t="str">
        <v>-</v>
      </c>
      <c r="D9589" t="str">
        <v>-</v>
      </c>
      <c r="E9589" t="str">
        <v>-</v>
      </c>
      <c r="F9589" t="str">
        <v>-</v>
      </c>
      <c r="G9589" t="str">
        <v>-</v>
      </c>
    </row>
    <row r="9590">
      <c r="A9590">
        <v>9589</v>
      </c>
      <c r="B9590" t="str">
        <v>Công an xã Đình Phùng  tỉnh Thái Bình</v>
      </c>
      <c r="C9590" t="str">
        <v>-</v>
      </c>
      <c r="D9590" t="str">
        <v>-</v>
      </c>
      <c r="E9590" t="str">
        <v/>
      </c>
      <c r="F9590" t="str">
        <v>-</v>
      </c>
      <c r="G9590" t="str">
        <v>-</v>
      </c>
    </row>
    <row r="9591">
      <c r="A9591">
        <v>9590</v>
      </c>
      <c r="B9591" t="str">
        <v>UBND Ủy ban nhân dân xã Đình Phùng  tỉnh Thái Bình</v>
      </c>
      <c r="C9591" t="str">
        <v>-</v>
      </c>
      <c r="D9591" t="str">
        <v>-</v>
      </c>
      <c r="E9591" t="str">
        <v>-</v>
      </c>
      <c r="F9591" t="str">
        <v>-</v>
      </c>
      <c r="G9591" t="str">
        <v>-</v>
      </c>
    </row>
    <row r="9592">
      <c r="A9592">
        <v>9591</v>
      </c>
      <c r="B9592" t="str">
        <v>Công an xã Vũ Ninh  tỉnh Thái Bình</v>
      </c>
      <c r="C9592" t="str">
        <v>-</v>
      </c>
      <c r="D9592" t="str">
        <v>-</v>
      </c>
      <c r="E9592" t="str">
        <v/>
      </c>
      <c r="F9592" t="str">
        <v>-</v>
      </c>
      <c r="G9592" t="str">
        <v>-</v>
      </c>
    </row>
    <row r="9593">
      <c r="A9593">
        <v>9592</v>
      </c>
      <c r="B9593" t="str">
        <v>UBND Ủy ban nhân dân xã Vũ Ninh  tỉnh Thái Bình</v>
      </c>
      <c r="C9593" t="str">
        <v>-</v>
      </c>
      <c r="D9593" t="str">
        <v>-</v>
      </c>
      <c r="E9593" t="str">
        <v>-</v>
      </c>
      <c r="F9593" t="str">
        <v>-</v>
      </c>
      <c r="G9593" t="str">
        <v>-</v>
      </c>
    </row>
    <row r="9594">
      <c r="A9594">
        <v>9593</v>
      </c>
      <c r="B9594" t="str">
        <v>Công an xã Vũ An  tỉnh Thái Bình</v>
      </c>
      <c r="C9594" t="str">
        <v>-</v>
      </c>
      <c r="D9594" t="str">
        <v>-</v>
      </c>
      <c r="E9594" t="str">
        <v/>
      </c>
      <c r="F9594" t="str">
        <v>-</v>
      </c>
      <c r="G9594" t="str">
        <v>-</v>
      </c>
    </row>
    <row r="9595">
      <c r="A9595">
        <v>9594</v>
      </c>
      <c r="B9595" t="str">
        <v>UBND Ủy ban nhân dân xã Vũ An  tỉnh Thái Bình</v>
      </c>
      <c r="C9595" t="str">
        <v>-</v>
      </c>
      <c r="D9595" t="str">
        <v>-</v>
      </c>
      <c r="E9595" t="str">
        <v>-</v>
      </c>
      <c r="F9595" t="str">
        <v>-</v>
      </c>
      <c r="G9595" t="str">
        <v>-</v>
      </c>
    </row>
    <row r="9596">
      <c r="A9596">
        <v>9595</v>
      </c>
      <c r="B9596" t="str">
        <v>Công an xã Quang Lịch  tỉnh Thái Bình</v>
      </c>
      <c r="C9596" t="str">
        <v>-</v>
      </c>
      <c r="D9596" t="str">
        <v>-</v>
      </c>
      <c r="E9596" t="str">
        <v/>
      </c>
      <c r="F9596" t="str">
        <v>-</v>
      </c>
      <c r="G9596" t="str">
        <v>-</v>
      </c>
    </row>
    <row r="9597">
      <c r="A9597">
        <v>9596</v>
      </c>
      <c r="B9597" t="str">
        <v>UBND Ủy ban nhân dân xã Quang Lịch  tỉnh Thái Bình</v>
      </c>
      <c r="C9597" t="str">
        <v>-</v>
      </c>
      <c r="D9597" t="str">
        <v>-</v>
      </c>
      <c r="E9597" t="str">
        <v>-</v>
      </c>
      <c r="F9597" t="str">
        <v>-</v>
      </c>
      <c r="G9597" t="str">
        <v>-</v>
      </c>
    </row>
    <row r="9598">
      <c r="A9598">
        <v>9597</v>
      </c>
      <c r="B9598" t="str">
        <v>Công an xã Hòa Bình  tỉnh Thái Bình</v>
      </c>
      <c r="C9598" t="str">
        <v>-</v>
      </c>
      <c r="D9598" t="str">
        <v>-</v>
      </c>
      <c r="E9598" t="str">
        <v/>
      </c>
      <c r="F9598" t="str">
        <v>-</v>
      </c>
      <c r="G9598" t="str">
        <v>-</v>
      </c>
    </row>
    <row r="9599">
      <c r="A9599">
        <v>9598</v>
      </c>
      <c r="B9599" t="str">
        <v>UBND Ủy ban nhân dân xã Hòa Bình  tỉnh Thái Bình</v>
      </c>
      <c r="C9599" t="str">
        <v>-</v>
      </c>
      <c r="D9599" t="str">
        <v>-</v>
      </c>
      <c r="E9599" t="str">
        <v>-</v>
      </c>
      <c r="F9599" t="str">
        <v>-</v>
      </c>
      <c r="G9599" t="str">
        <v>-</v>
      </c>
    </row>
    <row r="9600">
      <c r="A9600">
        <v>9599</v>
      </c>
      <c r="B9600" t="str">
        <v>Công an xã Bình Minh  tỉnh Thái Bình</v>
      </c>
      <c r="C9600" t="str">
        <v>-</v>
      </c>
      <c r="D9600" t="str">
        <v>-</v>
      </c>
      <c r="E9600" t="str">
        <v/>
      </c>
      <c r="F9600" t="str">
        <v>-</v>
      </c>
      <c r="G9600" t="str">
        <v>-</v>
      </c>
    </row>
    <row r="9601">
      <c r="A9601">
        <v>9600</v>
      </c>
      <c r="B9601" t="str">
        <v>UBND Ủy ban nhân dân xã Bình Minh  tỉnh Thái Bình</v>
      </c>
      <c r="C9601" t="str">
        <v>-</v>
      </c>
      <c r="D9601" t="str">
        <v>-</v>
      </c>
      <c r="E9601" t="str">
        <v>-</v>
      </c>
      <c r="F9601" t="str">
        <v>-</v>
      </c>
      <c r="G9601" t="str">
        <v>-</v>
      </c>
    </row>
    <row r="9602">
      <c r="A9602">
        <v>9601</v>
      </c>
      <c r="B9602" t="str">
        <v>Công an xã Vũ Quí  tỉnh Thái Bình</v>
      </c>
      <c r="C9602" t="str">
        <v>-</v>
      </c>
      <c r="D9602" t="str">
        <v>-</v>
      </c>
      <c r="E9602" t="str">
        <v/>
      </c>
      <c r="F9602" t="str">
        <v>-</v>
      </c>
      <c r="G9602" t="str">
        <v>-</v>
      </c>
    </row>
    <row r="9603">
      <c r="A9603">
        <v>9602</v>
      </c>
      <c r="B9603" t="str">
        <v>UBND Ủy ban nhân dân xã Vũ Quí  tỉnh Thái Bình</v>
      </c>
      <c r="C9603" t="str">
        <v>-</v>
      </c>
      <c r="D9603" t="str">
        <v>-</v>
      </c>
      <c r="E9603" t="str">
        <v>-</v>
      </c>
      <c r="F9603" t="str">
        <v>-</v>
      </c>
      <c r="G9603" t="str">
        <v>-</v>
      </c>
    </row>
    <row r="9604">
      <c r="A9604">
        <v>9603</v>
      </c>
      <c r="B9604" t="str">
        <v>Công an xã Quang Bình  tỉnh Thái Bình</v>
      </c>
      <c r="C9604" t="str">
        <v>-</v>
      </c>
      <c r="D9604" t="str">
        <v>-</v>
      </c>
      <c r="E9604" t="str">
        <v/>
      </c>
      <c r="F9604" t="str">
        <v>-</v>
      </c>
      <c r="G9604" t="str">
        <v>-</v>
      </c>
    </row>
    <row r="9605">
      <c r="A9605">
        <v>9604</v>
      </c>
      <c r="B9605" t="str">
        <v>UBND Ủy ban nhân dân xã Quang Bình  tỉnh Thái Bình</v>
      </c>
      <c r="C9605" t="str">
        <v>-</v>
      </c>
      <c r="D9605" t="str">
        <v>-</v>
      </c>
      <c r="E9605" t="str">
        <v>-</v>
      </c>
      <c r="F9605" t="str">
        <v>-</v>
      </c>
      <c r="G9605" t="str">
        <v>-</v>
      </c>
    </row>
    <row r="9606">
      <c r="A9606">
        <v>9605</v>
      </c>
      <c r="B9606" t="str">
        <v>Công an xã An Bồi  tỉnh Thái Bình</v>
      </c>
      <c r="C9606" t="str">
        <v>-</v>
      </c>
      <c r="D9606" t="str">
        <v>-</v>
      </c>
      <c r="E9606" t="str">
        <v/>
      </c>
      <c r="F9606" t="str">
        <v>-</v>
      </c>
      <c r="G9606" t="str">
        <v>-</v>
      </c>
    </row>
    <row r="9607">
      <c r="A9607">
        <v>9606</v>
      </c>
      <c r="B9607" t="str">
        <v>UBND Ủy ban nhân dân xã An Bồi  tỉnh Thái Bình</v>
      </c>
      <c r="C9607" t="str">
        <v>-</v>
      </c>
      <c r="D9607" t="str">
        <v>-</v>
      </c>
      <c r="E9607" t="str">
        <v>-</v>
      </c>
      <c r="F9607" t="str">
        <v>-</v>
      </c>
      <c r="G9607" t="str">
        <v>-</v>
      </c>
    </row>
    <row r="9608">
      <c r="A9608">
        <v>9607</v>
      </c>
      <c r="B9608" t="str">
        <v>Công an xã Vũ Trung  tỉnh Thái Bình</v>
      </c>
      <c r="C9608" t="str">
        <v>-</v>
      </c>
      <c r="D9608" t="str">
        <v>-</v>
      </c>
      <c r="E9608" t="str">
        <v/>
      </c>
      <c r="F9608" t="str">
        <v>-</v>
      </c>
      <c r="G9608" t="str">
        <v>-</v>
      </c>
    </row>
    <row r="9609">
      <c r="A9609">
        <v>9608</v>
      </c>
      <c r="B9609" t="str">
        <v>UBND Ủy ban nhân dân xã Vũ Trung  tỉnh Thái Bình</v>
      </c>
      <c r="C9609" t="str">
        <v>-</v>
      </c>
      <c r="D9609" t="str">
        <v>-</v>
      </c>
      <c r="E9609" t="str">
        <v>-</v>
      </c>
      <c r="F9609" t="str">
        <v>-</v>
      </c>
      <c r="G9609" t="str">
        <v>-</v>
      </c>
    </row>
    <row r="9610">
      <c r="A9610">
        <v>9609</v>
      </c>
      <c r="B9610" t="str">
        <v>Công an xã Vũ Thắng  tỉnh Thái Bình</v>
      </c>
      <c r="C9610" t="str">
        <v>-</v>
      </c>
      <c r="D9610" t="str">
        <v>-</v>
      </c>
      <c r="E9610" t="str">
        <v/>
      </c>
      <c r="F9610" t="str">
        <v>-</v>
      </c>
      <c r="G9610" t="str">
        <v>-</v>
      </c>
    </row>
    <row r="9611">
      <c r="A9611">
        <v>9610</v>
      </c>
      <c r="B9611" t="str">
        <v>UBND Ủy ban nhân dân xã Vũ Thắng  tỉnh Thái Bình</v>
      </c>
      <c r="C9611" t="str">
        <v>-</v>
      </c>
      <c r="D9611" t="str">
        <v>-</v>
      </c>
      <c r="E9611" t="str">
        <v>-</v>
      </c>
      <c r="F9611" t="str">
        <v>-</v>
      </c>
      <c r="G9611" t="str">
        <v>-</v>
      </c>
    </row>
    <row r="9612">
      <c r="A9612">
        <v>9611</v>
      </c>
      <c r="B9612" t="str">
        <v>Công an xã Vũ Công  tỉnh Thái Bình</v>
      </c>
      <c r="C9612" t="str">
        <v>-</v>
      </c>
      <c r="D9612" t="str">
        <v>-</v>
      </c>
      <c r="E9612" t="str">
        <v/>
      </c>
      <c r="F9612" t="str">
        <v>-</v>
      </c>
      <c r="G9612" t="str">
        <v>-</v>
      </c>
    </row>
    <row r="9613">
      <c r="A9613">
        <v>9612</v>
      </c>
      <c r="B9613" t="str">
        <v>UBND Ủy ban nhân dân xã Vũ Công  tỉnh Thái Bình</v>
      </c>
      <c r="C9613" t="str">
        <v>-</v>
      </c>
      <c r="D9613" t="str">
        <v>-</v>
      </c>
      <c r="E9613" t="str">
        <v>-</v>
      </c>
      <c r="F9613" t="str">
        <v>-</v>
      </c>
      <c r="G9613" t="str">
        <v>-</v>
      </c>
    </row>
    <row r="9614">
      <c r="A9614">
        <v>9613</v>
      </c>
      <c r="B9614" t="str">
        <v>Công an xã Vũ Hòa  tỉnh Thái Bình</v>
      </c>
      <c r="C9614" t="str">
        <v>-</v>
      </c>
      <c r="D9614" t="str">
        <v>-</v>
      </c>
      <c r="E9614" t="str">
        <v/>
      </c>
      <c r="F9614" t="str">
        <v>-</v>
      </c>
      <c r="G9614" t="str">
        <v>-</v>
      </c>
    </row>
    <row r="9615">
      <c r="A9615">
        <v>9614</v>
      </c>
      <c r="B9615" t="str">
        <v>UBND Ủy ban nhân dân xã Vũ Hòa  tỉnh Thái Bình</v>
      </c>
      <c r="C9615" t="str">
        <v>-</v>
      </c>
      <c r="D9615" t="str">
        <v>-</v>
      </c>
      <c r="E9615" t="str">
        <v>-</v>
      </c>
      <c r="F9615" t="str">
        <v>-</v>
      </c>
      <c r="G9615" t="str">
        <v>-</v>
      </c>
    </row>
    <row r="9616">
      <c r="A9616">
        <v>9615</v>
      </c>
      <c r="B9616" t="str">
        <v>Công an xã Quang Minh  tỉnh Thái Bình</v>
      </c>
      <c r="C9616" t="str">
        <v>-</v>
      </c>
      <c r="D9616" t="str">
        <v>-</v>
      </c>
      <c r="E9616" t="str">
        <v/>
      </c>
      <c r="F9616" t="str">
        <v>-</v>
      </c>
      <c r="G9616" t="str">
        <v>-</v>
      </c>
    </row>
    <row r="9617">
      <c r="A9617">
        <v>9616</v>
      </c>
      <c r="B9617" t="str">
        <v>UBND Ủy ban nhân dân xã Quang Minh  tỉnh Thái Bình</v>
      </c>
      <c r="C9617" t="str">
        <v>-</v>
      </c>
      <c r="D9617" t="str">
        <v>-</v>
      </c>
      <c r="E9617" t="str">
        <v>-</v>
      </c>
      <c r="F9617" t="str">
        <v>-</v>
      </c>
      <c r="G9617" t="str">
        <v>-</v>
      </c>
    </row>
    <row r="9618">
      <c r="A9618">
        <v>9617</v>
      </c>
      <c r="B9618" t="str">
        <v>Công an xã Quang Trung  tỉnh Thái Bình</v>
      </c>
      <c r="C9618" t="str">
        <v>-</v>
      </c>
      <c r="D9618" t="str">
        <v>-</v>
      </c>
      <c r="E9618" t="str">
        <v/>
      </c>
      <c r="F9618" t="str">
        <v>-</v>
      </c>
      <c r="G9618" t="str">
        <v>-</v>
      </c>
    </row>
    <row r="9619">
      <c r="A9619">
        <v>9618</v>
      </c>
      <c r="B9619" t="str">
        <v>UBND Ủy ban nhân dân xã Quang Trung  tỉnh Thái Bình</v>
      </c>
      <c r="C9619" t="str">
        <v>-</v>
      </c>
      <c r="D9619" t="str">
        <v>-</v>
      </c>
      <c r="E9619" t="str">
        <v>-</v>
      </c>
      <c r="F9619" t="str">
        <v>-</v>
      </c>
      <c r="G9619" t="str">
        <v>-</v>
      </c>
    </row>
    <row r="9620">
      <c r="A9620">
        <v>9619</v>
      </c>
      <c r="B9620" t="str">
        <v>Công an xã Minh Hưng  tỉnh Thái Bình</v>
      </c>
      <c r="C9620" t="str">
        <v>-</v>
      </c>
      <c r="D9620" t="str">
        <v>-</v>
      </c>
      <c r="E9620" t="str">
        <v/>
      </c>
      <c r="F9620" t="str">
        <v>-</v>
      </c>
      <c r="G9620" t="str">
        <v>-</v>
      </c>
    </row>
    <row r="9621">
      <c r="A9621">
        <v>9620</v>
      </c>
      <c r="B9621" t="str">
        <v>UBND Ủy ban nhân dân xã Minh Hưng  tỉnh Thái Bình</v>
      </c>
      <c r="C9621" t="str">
        <v>-</v>
      </c>
      <c r="D9621" t="str">
        <v>-</v>
      </c>
      <c r="E9621" t="str">
        <v>-</v>
      </c>
      <c r="F9621" t="str">
        <v>-</v>
      </c>
      <c r="G9621" t="str">
        <v>-</v>
      </c>
    </row>
    <row r="9622">
      <c r="A9622">
        <v>9621</v>
      </c>
      <c r="B9622" t="str">
        <v>Công an xã Quang Hưng  tỉnh Thái Bình</v>
      </c>
      <c r="C9622" t="str">
        <v>-</v>
      </c>
      <c r="D9622" t="str">
        <v>-</v>
      </c>
      <c r="E9622" t="str">
        <v/>
      </c>
      <c r="F9622" t="str">
        <v>-</v>
      </c>
      <c r="G9622" t="str">
        <v>-</v>
      </c>
    </row>
    <row r="9623">
      <c r="A9623">
        <v>9622</v>
      </c>
      <c r="B9623" t="str">
        <v>UBND Ủy ban nhân dân xã Quang Hưng  tỉnh Thái Bình</v>
      </c>
      <c r="C9623" t="str">
        <v>-</v>
      </c>
      <c r="D9623" t="str">
        <v>-</v>
      </c>
      <c r="E9623" t="str">
        <v>-</v>
      </c>
      <c r="F9623" t="str">
        <v>-</v>
      </c>
      <c r="G9623" t="str">
        <v>-</v>
      </c>
    </row>
    <row r="9624">
      <c r="A9624">
        <v>9623</v>
      </c>
      <c r="B9624" t="str">
        <v>Công an xã Vũ Bình  tỉnh Thái Bình</v>
      </c>
      <c r="C9624" t="str">
        <v>-</v>
      </c>
      <c r="D9624" t="str">
        <v>-</v>
      </c>
      <c r="E9624" t="str">
        <v/>
      </c>
      <c r="F9624" t="str">
        <v>-</v>
      </c>
      <c r="G9624" t="str">
        <v>-</v>
      </c>
    </row>
    <row r="9625">
      <c r="A9625">
        <v>9624</v>
      </c>
      <c r="B9625" t="str">
        <v>UBND Ủy ban nhân dân xã Vũ Bình  tỉnh Thái Bình</v>
      </c>
      <c r="C9625" t="str">
        <v>-</v>
      </c>
      <c r="D9625" t="str">
        <v>-</v>
      </c>
      <c r="E9625" t="str">
        <v>-</v>
      </c>
      <c r="F9625" t="str">
        <v>-</v>
      </c>
      <c r="G9625" t="str">
        <v>-</v>
      </c>
    </row>
    <row r="9626">
      <c r="A9626">
        <v>9625</v>
      </c>
      <c r="B9626" t="str">
        <v>Công an xã Minh Tân  tỉnh Thái Bình</v>
      </c>
      <c r="C9626" t="str">
        <v>-</v>
      </c>
      <c r="D9626" t="str">
        <v>-</v>
      </c>
      <c r="E9626" t="str">
        <v/>
      </c>
      <c r="F9626" t="str">
        <v>-</v>
      </c>
      <c r="G9626" t="str">
        <v>-</v>
      </c>
    </row>
    <row r="9627">
      <c r="A9627">
        <v>9626</v>
      </c>
      <c r="B9627" t="str">
        <v>UBND Ủy ban nhân dân xã Minh Tân  tỉnh Thái Bình</v>
      </c>
      <c r="C9627" t="str">
        <v>-</v>
      </c>
      <c r="D9627" t="str">
        <v>-</v>
      </c>
      <c r="E9627" t="str">
        <v>-</v>
      </c>
      <c r="F9627" t="str">
        <v>-</v>
      </c>
      <c r="G9627" t="str">
        <v>-</v>
      </c>
    </row>
    <row r="9628">
      <c r="A9628">
        <v>9627</v>
      </c>
      <c r="B9628" t="str">
        <v>Công an xã Nam Bình  tỉnh Thái Bình</v>
      </c>
      <c r="C9628" t="str">
        <v>-</v>
      </c>
      <c r="D9628" t="str">
        <v>-</v>
      </c>
      <c r="E9628" t="str">
        <v/>
      </c>
      <c r="F9628" t="str">
        <v>-</v>
      </c>
      <c r="G9628" t="str">
        <v>-</v>
      </c>
    </row>
    <row r="9629">
      <c r="A9629">
        <v>9628</v>
      </c>
      <c r="B9629" t="str">
        <v>UBND Ủy ban nhân dân xã Nam Bình  tỉnh Thái Bình</v>
      </c>
      <c r="C9629" t="str">
        <v>-</v>
      </c>
      <c r="D9629" t="str">
        <v>-</v>
      </c>
      <c r="E9629" t="str">
        <v>-</v>
      </c>
      <c r="F9629" t="str">
        <v>-</v>
      </c>
      <c r="G9629" t="str">
        <v>-</v>
      </c>
    </row>
    <row r="9630">
      <c r="A9630">
        <v>9629</v>
      </c>
      <c r="B9630" t="str">
        <v>Công an xã Bình Thanh  tỉnh Thái Bình</v>
      </c>
      <c r="C9630" t="str">
        <v>-</v>
      </c>
      <c r="D9630" t="str">
        <v>-</v>
      </c>
      <c r="E9630" t="str">
        <v/>
      </c>
      <c r="F9630" t="str">
        <v>-</v>
      </c>
      <c r="G9630" t="str">
        <v>-</v>
      </c>
    </row>
    <row r="9631">
      <c r="A9631">
        <v>9630</v>
      </c>
      <c r="B9631" t="str">
        <v>UBND Ủy ban nhân dân xã Bình Thanh  tỉnh Thái Bình</v>
      </c>
      <c r="C9631" t="str">
        <v>-</v>
      </c>
      <c r="D9631" t="str">
        <v>-</v>
      </c>
      <c r="E9631" t="str">
        <v>-</v>
      </c>
      <c r="F9631" t="str">
        <v>-</v>
      </c>
      <c r="G9631" t="str">
        <v>-</v>
      </c>
    </row>
    <row r="9632">
      <c r="A9632">
        <v>9631</v>
      </c>
      <c r="B9632" t="str">
        <v>Công an xã Bình Định  tỉnh Thái Bình</v>
      </c>
      <c r="C9632" t="str">
        <v>-</v>
      </c>
      <c r="D9632" t="str">
        <v>-</v>
      </c>
      <c r="E9632" t="str">
        <v/>
      </c>
      <c r="F9632" t="str">
        <v>-</v>
      </c>
      <c r="G9632" t="str">
        <v>-</v>
      </c>
    </row>
    <row r="9633">
      <c r="A9633">
        <v>9632</v>
      </c>
      <c r="B9633" t="str">
        <v>UBND Ủy ban nhân dân xã Bình Định  tỉnh Thái Bình</v>
      </c>
      <c r="C9633" t="str">
        <v>-</v>
      </c>
      <c r="D9633" t="str">
        <v>-</v>
      </c>
      <c r="E9633" t="str">
        <v>-</v>
      </c>
      <c r="F9633" t="str">
        <v>-</v>
      </c>
      <c r="G9633" t="str">
        <v>-</v>
      </c>
    </row>
    <row r="9634">
      <c r="A9634">
        <v>9633</v>
      </c>
      <c r="B9634" t="str">
        <v>Công an xã Hồng Tiến  tỉnh Thái Bình</v>
      </c>
      <c r="C9634" t="str">
        <v>-</v>
      </c>
      <c r="D9634" t="str">
        <v>-</v>
      </c>
      <c r="E9634" t="str">
        <v/>
      </c>
      <c r="F9634" t="str">
        <v>-</v>
      </c>
      <c r="G9634" t="str">
        <v>-</v>
      </c>
    </row>
    <row r="9635">
      <c r="A9635">
        <v>9634</v>
      </c>
      <c r="B9635" t="str">
        <v>UBND Ủy ban nhân dân xã Hồng Tiến  tỉnh Thái Bình</v>
      </c>
      <c r="C9635" t="str">
        <v>-</v>
      </c>
      <c r="D9635" t="str">
        <v>-</v>
      </c>
      <c r="E9635" t="str">
        <v>-</v>
      </c>
      <c r="F9635" t="str">
        <v>-</v>
      </c>
      <c r="G9635" t="str">
        <v>-</v>
      </c>
    </row>
    <row r="9636">
      <c r="A9636">
        <v>9635</v>
      </c>
      <c r="B9636" t="str">
        <v>Công an thị trấn Vũ Thư  tỉnh Thái Bình</v>
      </c>
      <c r="C9636" t="str">
        <v>-</v>
      </c>
      <c r="D9636" t="str">
        <v>-</v>
      </c>
      <c r="E9636" t="str">
        <v/>
      </c>
      <c r="F9636" t="str">
        <v>-</v>
      </c>
      <c r="G9636" t="str">
        <v>-</v>
      </c>
    </row>
    <row r="9637">
      <c r="A9637">
        <v>9636</v>
      </c>
      <c r="B9637" t="str">
        <v>UBND Ủy ban nhân dân thị trấn Vũ Thư  tỉnh Thái Bình</v>
      </c>
      <c r="C9637" t="str">
        <v>-</v>
      </c>
      <c r="D9637" t="str">
        <v>-</v>
      </c>
      <c r="E9637" t="str">
        <v>-</v>
      </c>
      <c r="F9637" t="str">
        <v>-</v>
      </c>
      <c r="G9637" t="str">
        <v>-</v>
      </c>
    </row>
    <row r="9638">
      <c r="A9638">
        <v>9637</v>
      </c>
      <c r="B9638" t="str">
        <v>Công an xã Hồng Lý  tỉnh Thái Bình</v>
      </c>
      <c r="C9638" t="str">
        <v>-</v>
      </c>
      <c r="D9638" t="str">
        <v>-</v>
      </c>
      <c r="E9638" t="str">
        <v/>
      </c>
      <c r="F9638" t="str">
        <v>-</v>
      </c>
      <c r="G9638" t="str">
        <v>-</v>
      </c>
    </row>
    <row r="9639">
      <c r="A9639">
        <v>9638</v>
      </c>
      <c r="B9639" t="str">
        <v>UBND Ủy ban nhân dân xã Hồng Lý  tỉnh Thái Bình</v>
      </c>
      <c r="C9639" t="str">
        <v>-</v>
      </c>
      <c r="D9639" t="str">
        <v>-</v>
      </c>
      <c r="E9639" t="str">
        <v>-</v>
      </c>
      <c r="F9639" t="str">
        <v>-</v>
      </c>
      <c r="G9639" t="str">
        <v>-</v>
      </c>
    </row>
    <row r="9640">
      <c r="A9640">
        <v>9639</v>
      </c>
      <c r="B9640" t="str">
        <v>Công an xã Đồng Thanh  tỉnh Thái Bình</v>
      </c>
      <c r="C9640" t="str">
        <v>-</v>
      </c>
      <c r="D9640" t="str">
        <v>-</v>
      </c>
      <c r="E9640" t="str">
        <v/>
      </c>
      <c r="F9640" t="str">
        <v>-</v>
      </c>
      <c r="G9640" t="str">
        <v>-</v>
      </c>
    </row>
    <row r="9641">
      <c r="A9641">
        <v>9640</v>
      </c>
      <c r="B9641" t="str">
        <v>UBND Ủy ban nhân dân xã Đồng Thanh  tỉnh Thái Bình</v>
      </c>
      <c r="C9641" t="str">
        <v>-</v>
      </c>
      <c r="D9641" t="str">
        <v>-</v>
      </c>
      <c r="E9641" t="str">
        <v>-</v>
      </c>
      <c r="F9641" t="str">
        <v>-</v>
      </c>
      <c r="G9641" t="str">
        <v>-</v>
      </c>
    </row>
    <row r="9642">
      <c r="A9642">
        <v>9641</v>
      </c>
      <c r="B9642" t="str">
        <v>Công an xã Xuân Hòa  tỉnh Thái Bình</v>
      </c>
      <c r="C9642" t="str">
        <v>-</v>
      </c>
      <c r="D9642" t="str">
        <v>-</v>
      </c>
      <c r="E9642" t="str">
        <v/>
      </c>
      <c r="F9642" t="str">
        <v>-</v>
      </c>
      <c r="G9642" t="str">
        <v>-</v>
      </c>
    </row>
    <row r="9643">
      <c r="A9643">
        <v>9642</v>
      </c>
      <c r="B9643" t="str">
        <v>UBND Ủy ban nhân dân xã Xuân Hòa  tỉnh Thái Bình</v>
      </c>
      <c r="C9643" t="str">
        <v>-</v>
      </c>
      <c r="D9643" t="str">
        <v>-</v>
      </c>
      <c r="E9643" t="str">
        <v>-</v>
      </c>
      <c r="F9643" t="str">
        <v>-</v>
      </c>
      <c r="G9643" t="str">
        <v>-</v>
      </c>
    </row>
    <row r="9644">
      <c r="A9644">
        <v>9643</v>
      </c>
      <c r="B9644" t="str">
        <v>Công an xã Hiệp Hòa  tỉnh Thái Bình</v>
      </c>
      <c r="C9644" t="str">
        <v>-</v>
      </c>
      <c r="D9644" t="str">
        <v>-</v>
      </c>
      <c r="E9644" t="str">
        <v/>
      </c>
      <c r="F9644" t="str">
        <v>-</v>
      </c>
      <c r="G9644" t="str">
        <v>-</v>
      </c>
    </row>
    <row r="9645">
      <c r="A9645">
        <v>9644</v>
      </c>
      <c r="B9645" t="str">
        <v>UBND Ủy ban nhân dân xã Hiệp Hòa  tỉnh Thái Bình</v>
      </c>
      <c r="C9645" t="str">
        <v>-</v>
      </c>
      <c r="D9645" t="str">
        <v>-</v>
      </c>
      <c r="E9645" t="str">
        <v>-</v>
      </c>
      <c r="F9645" t="str">
        <v>-</v>
      </c>
      <c r="G9645" t="str">
        <v>-</v>
      </c>
    </row>
    <row r="9646">
      <c r="A9646">
        <v>9645</v>
      </c>
      <c r="B9646" t="str">
        <v>Công an xã Phúc Thành  tỉnh Thái Bình</v>
      </c>
      <c r="C9646" t="str">
        <v>-</v>
      </c>
      <c r="D9646" t="str">
        <v>-</v>
      </c>
      <c r="E9646" t="str">
        <v/>
      </c>
      <c r="F9646" t="str">
        <v>-</v>
      </c>
      <c r="G9646" t="str">
        <v>-</v>
      </c>
    </row>
    <row r="9647">
      <c r="A9647">
        <v>9646</v>
      </c>
      <c r="B9647" t="str">
        <v>UBND Ủy ban nhân dân xã Phúc Thành  tỉnh Thái Bình</v>
      </c>
      <c r="C9647" t="str">
        <v>-</v>
      </c>
      <c r="D9647" t="str">
        <v>-</v>
      </c>
      <c r="E9647" t="str">
        <v>-</v>
      </c>
      <c r="F9647" t="str">
        <v>-</v>
      </c>
      <c r="G9647" t="str">
        <v>-</v>
      </c>
    </row>
    <row r="9648">
      <c r="A9648">
        <v>9647</v>
      </c>
      <c r="B9648" t="str">
        <v>Công an xã Tân Phong  tỉnh Thái Bình</v>
      </c>
      <c r="C9648" t="str">
        <v>-</v>
      </c>
      <c r="D9648" t="str">
        <v>-</v>
      </c>
      <c r="E9648" t="str">
        <v/>
      </c>
      <c r="F9648" t="str">
        <v>-</v>
      </c>
      <c r="G9648" t="str">
        <v>-</v>
      </c>
    </row>
    <row r="9649">
      <c r="A9649">
        <v>9648</v>
      </c>
      <c r="B9649" t="str">
        <v>UBND Ủy ban nhân dân xã Tân Phong  tỉnh Thái Bình</v>
      </c>
      <c r="C9649" t="str">
        <v>-</v>
      </c>
      <c r="D9649" t="str">
        <v>-</v>
      </c>
      <c r="E9649" t="str">
        <v>-</v>
      </c>
      <c r="F9649" t="str">
        <v>-</v>
      </c>
      <c r="G9649" t="str">
        <v>-</v>
      </c>
    </row>
    <row r="9650">
      <c r="A9650">
        <v>9649</v>
      </c>
      <c r="B9650" t="str">
        <v>Công an xã Song Lãng  tỉnh Thái Bình</v>
      </c>
      <c r="C9650" t="str">
        <v>-</v>
      </c>
      <c r="D9650" t="str">
        <v>-</v>
      </c>
      <c r="E9650" t="str">
        <v/>
      </c>
      <c r="F9650" t="str">
        <v>-</v>
      </c>
      <c r="G9650" t="str">
        <v>-</v>
      </c>
    </row>
    <row r="9651">
      <c r="A9651">
        <v>9650</v>
      </c>
      <c r="B9651" t="str">
        <v>UBND Ủy ban nhân dân xã Song Lãng  tỉnh Thái Bình</v>
      </c>
      <c r="C9651" t="str">
        <v>-</v>
      </c>
      <c r="D9651" t="str">
        <v>-</v>
      </c>
      <c r="E9651" t="str">
        <v>-</v>
      </c>
      <c r="F9651" t="str">
        <v>-</v>
      </c>
      <c r="G9651" t="str">
        <v>-</v>
      </c>
    </row>
    <row r="9652">
      <c r="A9652">
        <v>9651</v>
      </c>
      <c r="B9652" t="str">
        <v>Công an xã Tân Hòa  tỉnh Thái Bình</v>
      </c>
      <c r="C9652" t="str">
        <v>-</v>
      </c>
      <c r="D9652" t="str">
        <v>-</v>
      </c>
      <c r="E9652" t="str">
        <v/>
      </c>
      <c r="F9652" t="str">
        <v>-</v>
      </c>
      <c r="G9652" t="str">
        <v>-</v>
      </c>
    </row>
    <row r="9653">
      <c r="A9653">
        <v>9652</v>
      </c>
      <c r="B9653" t="str">
        <v>UBND Ủy ban nhân dân xã Tân Hòa  tỉnh Thái Bình</v>
      </c>
      <c r="C9653" t="str">
        <v>-</v>
      </c>
      <c r="D9653" t="str">
        <v>-</v>
      </c>
      <c r="E9653" t="str">
        <v>-</v>
      </c>
      <c r="F9653" t="str">
        <v>-</v>
      </c>
      <c r="G9653" t="str">
        <v>-</v>
      </c>
    </row>
    <row r="9654">
      <c r="A9654">
        <v>9653</v>
      </c>
      <c r="B9654" t="str">
        <v>Công an xã Việt Hùng  tỉnh Thái Bình</v>
      </c>
      <c r="C9654" t="str">
        <v>-</v>
      </c>
      <c r="D9654" t="str">
        <v>-</v>
      </c>
      <c r="E9654" t="str">
        <v/>
      </c>
      <c r="F9654" t="str">
        <v>-</v>
      </c>
      <c r="G9654" t="str">
        <v>-</v>
      </c>
    </row>
    <row r="9655">
      <c r="A9655">
        <v>9654</v>
      </c>
      <c r="B9655" t="str">
        <v>UBND Ủy ban nhân dân xã Việt Hùng  tỉnh Thái Bình</v>
      </c>
      <c r="C9655" t="str">
        <v>-</v>
      </c>
      <c r="D9655" t="str">
        <v>-</v>
      </c>
      <c r="E9655" t="str">
        <v>-</v>
      </c>
      <c r="F9655" t="str">
        <v>-</v>
      </c>
      <c r="G9655" t="str">
        <v>-</v>
      </c>
    </row>
    <row r="9656">
      <c r="A9656">
        <v>9655</v>
      </c>
      <c r="B9656" t="str">
        <v>Công an xã Minh Lãng  tỉnh Thái Bình</v>
      </c>
      <c r="C9656" t="str">
        <v>-</v>
      </c>
      <c r="D9656" t="str">
        <v>-</v>
      </c>
      <c r="E9656" t="str">
        <v/>
      </c>
      <c r="F9656" t="str">
        <v>-</v>
      </c>
      <c r="G9656" t="str">
        <v>-</v>
      </c>
    </row>
    <row r="9657">
      <c r="A9657">
        <v>9656</v>
      </c>
      <c r="B9657" t="str">
        <v>UBND Ủy ban nhân dân xã Minh Lãng  tỉnh Thái Bình</v>
      </c>
      <c r="C9657" t="str">
        <v>-</v>
      </c>
      <c r="D9657" t="str">
        <v>-</v>
      </c>
      <c r="E9657" t="str">
        <v>-</v>
      </c>
      <c r="F9657" t="str">
        <v>-</v>
      </c>
      <c r="G9657" t="str">
        <v>-</v>
      </c>
    </row>
    <row r="9658">
      <c r="A9658">
        <v>9657</v>
      </c>
      <c r="B9658" t="str">
        <v>Công an xã Minh Khai  tỉnh Thái Bình</v>
      </c>
      <c r="C9658" t="str">
        <v>-</v>
      </c>
      <c r="D9658" t="str">
        <v>-</v>
      </c>
      <c r="E9658" t="str">
        <v/>
      </c>
      <c r="F9658" t="str">
        <v>-</v>
      </c>
      <c r="G9658" t="str">
        <v>-</v>
      </c>
    </row>
    <row r="9659">
      <c r="A9659">
        <v>9658</v>
      </c>
      <c r="B9659" t="str">
        <v>UBND Ủy ban nhân dân xã Minh Khai  tỉnh Thái Bình</v>
      </c>
      <c r="C9659" t="str">
        <v>-</v>
      </c>
      <c r="D9659" t="str">
        <v>-</v>
      </c>
      <c r="E9659" t="str">
        <v>-</v>
      </c>
      <c r="F9659" t="str">
        <v>-</v>
      </c>
      <c r="G9659" t="str">
        <v>-</v>
      </c>
    </row>
    <row r="9660">
      <c r="A9660">
        <v>9659</v>
      </c>
      <c r="B9660" t="str">
        <v>Công an xã Dũng Nghĩa  tỉnh Thái Bình</v>
      </c>
      <c r="C9660" t="str">
        <v>-</v>
      </c>
      <c r="D9660" t="str">
        <v>-</v>
      </c>
      <c r="E9660" t="str">
        <v/>
      </c>
      <c r="F9660" t="str">
        <v>-</v>
      </c>
      <c r="G9660" t="str">
        <v>-</v>
      </c>
    </row>
    <row r="9661">
      <c r="A9661">
        <v>9660</v>
      </c>
      <c r="B9661" t="str">
        <v>UBND Ủy ban nhân dân xã Dũng Nghĩa  tỉnh Thái Bình</v>
      </c>
      <c r="C9661" t="str">
        <v>-</v>
      </c>
      <c r="D9661" t="str">
        <v>-</v>
      </c>
      <c r="E9661" t="str">
        <v>-</v>
      </c>
      <c r="F9661" t="str">
        <v>-</v>
      </c>
      <c r="G9661" t="str">
        <v>-</v>
      </c>
    </row>
    <row r="9662">
      <c r="A9662">
        <v>9661</v>
      </c>
      <c r="B9662" t="str">
        <v>Công an xã Minh Quang  tỉnh Thái Bình</v>
      </c>
      <c r="C9662" t="str">
        <v>-</v>
      </c>
      <c r="D9662" t="str">
        <v>-</v>
      </c>
      <c r="E9662" t="str">
        <v/>
      </c>
      <c r="F9662" t="str">
        <v>-</v>
      </c>
      <c r="G9662" t="str">
        <v>-</v>
      </c>
    </row>
    <row r="9663">
      <c r="A9663">
        <v>9662</v>
      </c>
      <c r="B9663" t="str">
        <v>UBND Ủy ban nhân dân xã Minh Quang  tỉnh Thái Bình</v>
      </c>
      <c r="C9663" t="str">
        <v>-</v>
      </c>
      <c r="D9663" t="str">
        <v>-</v>
      </c>
      <c r="E9663" t="str">
        <v>-</v>
      </c>
      <c r="F9663" t="str">
        <v>-</v>
      </c>
      <c r="G9663" t="str">
        <v>-</v>
      </c>
    </row>
    <row r="9664">
      <c r="A9664">
        <v>9663</v>
      </c>
      <c r="B9664" t="str">
        <v>Công an xã Tam Quang  tỉnh Thái Bình</v>
      </c>
      <c r="C9664" t="str">
        <v>-</v>
      </c>
      <c r="D9664" t="str">
        <v>-</v>
      </c>
      <c r="E9664" t="str">
        <v/>
      </c>
      <c r="F9664" t="str">
        <v>-</v>
      </c>
      <c r="G9664" t="str">
        <v>-</v>
      </c>
    </row>
    <row r="9665">
      <c r="A9665">
        <v>9664</v>
      </c>
      <c r="B9665" t="str">
        <v>UBND Ủy ban nhân dân xã Tam Quang  tỉnh Thái Bình</v>
      </c>
      <c r="C9665" t="str">
        <v>-</v>
      </c>
      <c r="D9665" t="str">
        <v>-</v>
      </c>
      <c r="E9665" t="str">
        <v>-</v>
      </c>
      <c r="F9665" t="str">
        <v>-</v>
      </c>
      <c r="G9665" t="str">
        <v>-</v>
      </c>
    </row>
    <row r="9666">
      <c r="A9666">
        <v>9665</v>
      </c>
      <c r="B9666" t="str">
        <v>Công an xã Tân Lập  tỉnh Thái Bình</v>
      </c>
      <c r="C9666" t="str">
        <v>-</v>
      </c>
      <c r="D9666" t="str">
        <v>-</v>
      </c>
      <c r="E9666" t="str">
        <v/>
      </c>
      <c r="F9666" t="str">
        <v>-</v>
      </c>
      <c r="G9666" t="str">
        <v>-</v>
      </c>
    </row>
    <row r="9667">
      <c r="A9667">
        <v>9666</v>
      </c>
      <c r="B9667" t="str">
        <v>UBND Ủy ban nhân dân xã Tân Lập  tỉnh Thái Bình</v>
      </c>
      <c r="C9667" t="str">
        <v>-</v>
      </c>
      <c r="D9667" t="str">
        <v>-</v>
      </c>
      <c r="E9667" t="str">
        <v>-</v>
      </c>
      <c r="F9667" t="str">
        <v>-</v>
      </c>
      <c r="G9667" t="str">
        <v>-</v>
      </c>
    </row>
    <row r="9668">
      <c r="A9668">
        <v>9667</v>
      </c>
      <c r="B9668" t="str">
        <v>Công an xã Bách Thuận  tỉnh Thái Bình</v>
      </c>
      <c r="C9668" t="str">
        <v>-</v>
      </c>
      <c r="D9668" t="str">
        <v>-</v>
      </c>
      <c r="E9668" t="str">
        <v/>
      </c>
      <c r="F9668" t="str">
        <v>-</v>
      </c>
      <c r="G9668" t="str">
        <v>-</v>
      </c>
    </row>
    <row r="9669">
      <c r="A9669">
        <v>9668</v>
      </c>
      <c r="B9669" t="str">
        <v>UBND Ủy ban nhân dân xã Bách Thuận  tỉnh Thái Bình</v>
      </c>
      <c r="C9669" t="str">
        <v>-</v>
      </c>
      <c r="D9669" t="str">
        <v>-</v>
      </c>
      <c r="E9669" t="str">
        <v>-</v>
      </c>
      <c r="F9669" t="str">
        <v>-</v>
      </c>
      <c r="G9669" t="str">
        <v>-</v>
      </c>
    </row>
    <row r="9670">
      <c r="A9670">
        <v>9669</v>
      </c>
      <c r="B9670" t="str">
        <v>Công an xã Tự Tân  tỉnh Thái Bình</v>
      </c>
      <c r="C9670" t="str">
        <v>-</v>
      </c>
      <c r="D9670" t="str">
        <v>-</v>
      </c>
      <c r="E9670" t="str">
        <v/>
      </c>
      <c r="F9670" t="str">
        <v>-</v>
      </c>
      <c r="G9670" t="str">
        <v>-</v>
      </c>
    </row>
    <row r="9671">
      <c r="A9671">
        <v>9670</v>
      </c>
      <c r="B9671" t="str">
        <v>UBND Ủy ban nhân dân xã Tự Tân  tỉnh Thái Bình</v>
      </c>
      <c r="C9671" t="str">
        <v>-</v>
      </c>
      <c r="D9671" t="str">
        <v>-</v>
      </c>
      <c r="E9671" t="str">
        <v>-</v>
      </c>
      <c r="F9671" t="str">
        <v>-</v>
      </c>
      <c r="G9671" t="str">
        <v>-</v>
      </c>
    </row>
    <row r="9672">
      <c r="A9672">
        <v>9671</v>
      </c>
      <c r="B9672" t="str">
        <v>Công an xã Song An  tỉnh Thái Bình</v>
      </c>
      <c r="C9672" t="str">
        <v>-</v>
      </c>
      <c r="D9672" t="str">
        <v>-</v>
      </c>
      <c r="E9672" t="str">
        <v/>
      </c>
      <c r="F9672" t="str">
        <v>-</v>
      </c>
      <c r="G9672" t="str">
        <v>-</v>
      </c>
    </row>
    <row r="9673">
      <c r="A9673">
        <v>9672</v>
      </c>
      <c r="B9673" t="str">
        <v>UBND Ủy ban nhân dân xã Song An  tỉnh Thái Bình</v>
      </c>
      <c r="C9673" t="str">
        <v>-</v>
      </c>
      <c r="D9673" t="str">
        <v>-</v>
      </c>
      <c r="E9673" t="str">
        <v>-</v>
      </c>
      <c r="F9673" t="str">
        <v>-</v>
      </c>
      <c r="G9673" t="str">
        <v>-</v>
      </c>
    </row>
    <row r="9674">
      <c r="A9674">
        <v>9673</v>
      </c>
      <c r="B9674" t="str">
        <v>Công an xã Trung An  tỉnh Thái Bình</v>
      </c>
      <c r="C9674" t="str">
        <v>-</v>
      </c>
      <c r="D9674" t="str">
        <v>-</v>
      </c>
      <c r="E9674" t="str">
        <v/>
      </c>
      <c r="F9674" t="str">
        <v>-</v>
      </c>
      <c r="G9674" t="str">
        <v>-</v>
      </c>
    </row>
    <row r="9675">
      <c r="A9675">
        <v>9674</v>
      </c>
      <c r="B9675" t="str">
        <v>UBND Ủy ban nhân dân xã Trung An  tỉnh Thái Bình</v>
      </c>
      <c r="C9675" t="str">
        <v>-</v>
      </c>
      <c r="D9675" t="str">
        <v>-</v>
      </c>
      <c r="E9675" t="str">
        <v>-</v>
      </c>
      <c r="F9675" t="str">
        <v>-</v>
      </c>
      <c r="G9675" t="str">
        <v>-</v>
      </c>
    </row>
    <row r="9676">
      <c r="A9676">
        <v>9675</v>
      </c>
      <c r="B9676" t="str">
        <v>Công an xã Vũ Hội  tỉnh Thái Bình</v>
      </c>
      <c r="C9676" t="str">
        <v>-</v>
      </c>
      <c r="D9676" t="str">
        <v>-</v>
      </c>
      <c r="E9676" t="str">
        <v/>
      </c>
      <c r="F9676" t="str">
        <v>-</v>
      </c>
      <c r="G9676" t="str">
        <v>-</v>
      </c>
    </row>
    <row r="9677">
      <c r="A9677">
        <v>9676</v>
      </c>
      <c r="B9677" t="str">
        <v>UBND Ủy ban nhân dân xã Vũ Hội  tỉnh Thái Bình</v>
      </c>
      <c r="C9677" t="str">
        <v>-</v>
      </c>
      <c r="D9677" t="str">
        <v>-</v>
      </c>
      <c r="E9677" t="str">
        <v>-</v>
      </c>
      <c r="F9677" t="str">
        <v>-</v>
      </c>
      <c r="G9677" t="str">
        <v>-</v>
      </c>
    </row>
    <row r="9678">
      <c r="A9678">
        <v>9677</v>
      </c>
      <c r="B9678" t="str">
        <v>Công an xã Hòa Bình  tỉnh Thái Bình</v>
      </c>
      <c r="C9678" t="str">
        <v>-</v>
      </c>
      <c r="D9678" t="str">
        <v>-</v>
      </c>
      <c r="E9678" t="str">
        <v/>
      </c>
      <c r="F9678" t="str">
        <v>-</v>
      </c>
      <c r="G9678" t="str">
        <v>-</v>
      </c>
    </row>
    <row r="9679">
      <c r="A9679">
        <v>9678</v>
      </c>
      <c r="B9679" t="str">
        <v>UBND Ủy ban nhân dân xã Hòa Bình  tỉnh Thái Bình</v>
      </c>
      <c r="C9679" t="str">
        <v>-</v>
      </c>
      <c r="D9679" t="str">
        <v>-</v>
      </c>
      <c r="E9679" t="str">
        <v>-</v>
      </c>
      <c r="F9679" t="str">
        <v>-</v>
      </c>
      <c r="G9679" t="str">
        <v>-</v>
      </c>
    </row>
    <row r="9680">
      <c r="A9680">
        <v>9679</v>
      </c>
      <c r="B9680" t="str">
        <v>Công an xã Nguyên Xá  tỉnh Thái Bình</v>
      </c>
      <c r="C9680" t="str">
        <v>-</v>
      </c>
      <c r="D9680" t="str">
        <v>-</v>
      </c>
      <c r="E9680" t="str">
        <v/>
      </c>
      <c r="F9680" t="str">
        <v>-</v>
      </c>
      <c r="G9680" t="str">
        <v>-</v>
      </c>
    </row>
    <row r="9681">
      <c r="A9681">
        <v>9680</v>
      </c>
      <c r="B9681" t="str">
        <v>UBND Ủy ban nhân dân xã Nguyên Xá  tỉnh Thái Bình</v>
      </c>
      <c r="C9681" t="str">
        <v>-</v>
      </c>
      <c r="D9681" t="str">
        <v>-</v>
      </c>
      <c r="E9681" t="str">
        <v>-</v>
      </c>
      <c r="F9681" t="str">
        <v>-</v>
      </c>
      <c r="G9681" t="str">
        <v>-</v>
      </c>
    </row>
    <row r="9682">
      <c r="A9682">
        <v>9681</v>
      </c>
      <c r="B9682" t="str">
        <v>Công an xã Việt Thuận  tỉnh Thái Bình</v>
      </c>
      <c r="C9682" t="str">
        <v>-</v>
      </c>
      <c r="D9682" t="str">
        <v>-</v>
      </c>
      <c r="E9682" t="str">
        <v/>
      </c>
      <c r="F9682" t="str">
        <v>-</v>
      </c>
      <c r="G9682" t="str">
        <v>-</v>
      </c>
    </row>
    <row r="9683">
      <c r="A9683">
        <v>9682</v>
      </c>
      <c r="B9683" t="str">
        <v>UBND Ủy ban nhân dân xã Việt Thuận  tỉnh Thái Bình</v>
      </c>
      <c r="C9683" t="str">
        <v>-</v>
      </c>
      <c r="D9683" t="str">
        <v>-</v>
      </c>
      <c r="E9683" t="str">
        <v>-</v>
      </c>
      <c r="F9683" t="str">
        <v>-</v>
      </c>
      <c r="G9683" t="str">
        <v>-</v>
      </c>
    </row>
    <row r="9684">
      <c r="A9684">
        <v>9683</v>
      </c>
      <c r="B9684" t="str">
        <v>Công an xã Vũ Vinh  tỉnh Thái Bình</v>
      </c>
      <c r="C9684" t="str">
        <v>-</v>
      </c>
      <c r="D9684" t="str">
        <v>-</v>
      </c>
      <c r="E9684" t="str">
        <v/>
      </c>
      <c r="F9684" t="str">
        <v>-</v>
      </c>
      <c r="G9684" t="str">
        <v>-</v>
      </c>
    </row>
    <row r="9685">
      <c r="A9685">
        <v>9684</v>
      </c>
      <c r="B9685" t="str">
        <v>UBND Ủy ban nhân dân xã Vũ Vinh  tỉnh Thái Bình</v>
      </c>
      <c r="C9685" t="str">
        <v>-</v>
      </c>
      <c r="D9685" t="str">
        <v>-</v>
      </c>
      <c r="E9685" t="str">
        <v>-</v>
      </c>
      <c r="F9685" t="str">
        <v>-</v>
      </c>
      <c r="G9685" t="str">
        <v>-</v>
      </c>
    </row>
    <row r="9686">
      <c r="A9686">
        <v>9685</v>
      </c>
      <c r="B9686" t="str">
        <v>Công an xã Vũ Đoài  tỉnh Thái Bình</v>
      </c>
      <c r="C9686" t="str">
        <v>-</v>
      </c>
      <c r="D9686" t="str">
        <v>-</v>
      </c>
      <c r="E9686" t="str">
        <v/>
      </c>
      <c r="F9686" t="str">
        <v>-</v>
      </c>
      <c r="G9686" t="str">
        <v>-</v>
      </c>
    </row>
    <row r="9687">
      <c r="A9687">
        <v>9686</v>
      </c>
      <c r="B9687" t="str">
        <v>UBND Ủy ban nhân dân xã Vũ Đoài  tỉnh Thái Bình</v>
      </c>
      <c r="C9687" t="str">
        <v>-</v>
      </c>
      <c r="D9687" t="str">
        <v>-</v>
      </c>
      <c r="E9687" t="str">
        <v>-</v>
      </c>
      <c r="F9687" t="str">
        <v>-</v>
      </c>
      <c r="G9687" t="str">
        <v>-</v>
      </c>
    </row>
    <row r="9688">
      <c r="A9688">
        <v>9687</v>
      </c>
      <c r="B9688" t="str">
        <v>Công an xã Vũ Tiến  tỉnh Thái Bình</v>
      </c>
      <c r="C9688" t="str">
        <v>-</v>
      </c>
      <c r="D9688" t="str">
        <v>-</v>
      </c>
      <c r="E9688" t="str">
        <v/>
      </c>
      <c r="F9688" t="str">
        <v>-</v>
      </c>
      <c r="G9688" t="str">
        <v>-</v>
      </c>
    </row>
    <row r="9689">
      <c r="A9689">
        <v>9688</v>
      </c>
      <c r="B9689" t="str">
        <v>UBND Ủy ban nhân dân xã Vũ Tiến  tỉnh Thái Bình</v>
      </c>
      <c r="C9689" t="str">
        <v>-</v>
      </c>
      <c r="D9689" t="str">
        <v>-</v>
      </c>
      <c r="E9689" t="str">
        <v>-</v>
      </c>
      <c r="F9689" t="str">
        <v>-</v>
      </c>
      <c r="G9689" t="str">
        <v>-</v>
      </c>
    </row>
    <row r="9690">
      <c r="A9690">
        <v>9689</v>
      </c>
      <c r="B9690" t="str">
        <v>Công an xã Vũ Vân  tỉnh Thái Bình</v>
      </c>
      <c r="C9690" t="str">
        <v>-</v>
      </c>
      <c r="D9690" t="str">
        <v>-</v>
      </c>
      <c r="E9690" t="str">
        <v/>
      </c>
      <c r="F9690" t="str">
        <v>-</v>
      </c>
      <c r="G9690" t="str">
        <v>-</v>
      </c>
    </row>
    <row r="9691">
      <c r="A9691">
        <v>9690</v>
      </c>
      <c r="B9691" t="str">
        <v>UBND Ủy ban nhân dân xã Vũ Vân  tỉnh Thái Bình</v>
      </c>
      <c r="C9691" t="str">
        <v>-</v>
      </c>
      <c r="D9691" t="str">
        <v>-</v>
      </c>
      <c r="E9691" t="str">
        <v>-</v>
      </c>
      <c r="F9691" t="str">
        <v>-</v>
      </c>
      <c r="G9691" t="str">
        <v>-</v>
      </c>
    </row>
    <row r="9692">
      <c r="A9692">
        <v>9691</v>
      </c>
      <c r="B9692" t="str">
        <v>Công an xã Duy Nhất  tỉnh Thái Bình</v>
      </c>
      <c r="C9692" t="str">
        <v>-</v>
      </c>
      <c r="D9692" t="str">
        <v>-</v>
      </c>
      <c r="E9692" t="str">
        <v/>
      </c>
      <c r="F9692" t="str">
        <v>-</v>
      </c>
      <c r="G9692" t="str">
        <v>-</v>
      </c>
    </row>
    <row r="9693">
      <c r="A9693">
        <v>9692</v>
      </c>
      <c r="B9693" t="str">
        <v>UBND Ủy ban nhân dân xã Duy Nhất  tỉnh Thái Bình</v>
      </c>
      <c r="C9693" t="str">
        <v>-</v>
      </c>
      <c r="D9693" t="str">
        <v>-</v>
      </c>
      <c r="E9693" t="str">
        <v>-</v>
      </c>
      <c r="F9693" t="str">
        <v>-</v>
      </c>
      <c r="G9693" t="str">
        <v>-</v>
      </c>
    </row>
    <row r="9694">
      <c r="A9694">
        <v>9693</v>
      </c>
      <c r="B9694" t="str">
        <v>Công an xã Hồng Phong  tỉnh Thái Bình</v>
      </c>
      <c r="C9694" t="str">
        <v>-</v>
      </c>
      <c r="D9694" t="str">
        <v>-</v>
      </c>
      <c r="E9694" t="str">
        <v/>
      </c>
      <c r="F9694" t="str">
        <v>-</v>
      </c>
      <c r="G9694" t="str">
        <v>-</v>
      </c>
    </row>
    <row r="9695">
      <c r="A9695">
        <v>9694</v>
      </c>
      <c r="B9695" t="str">
        <v>UBND Ủy ban nhân dân xã Hồng Phong  tỉnh Thái Bình</v>
      </c>
      <c r="C9695" t="str">
        <v>-</v>
      </c>
      <c r="D9695" t="str">
        <v>-</v>
      </c>
      <c r="E9695" t="str">
        <v>-</v>
      </c>
      <c r="F9695" t="str">
        <v>-</v>
      </c>
      <c r="G9695" t="str">
        <v>-</v>
      </c>
    </row>
    <row r="9696">
      <c r="A9696">
        <v>9695</v>
      </c>
      <c r="B9696" t="str">
        <v>Công an phường Quang Trung  tỉnh Hà Nam</v>
      </c>
      <c r="C9696" t="str">
        <v>-</v>
      </c>
      <c r="D9696" t="str">
        <v>-</v>
      </c>
      <c r="E9696" t="str">
        <v/>
      </c>
      <c r="F9696" t="str">
        <v>-</v>
      </c>
      <c r="G9696" t="str">
        <v>-</v>
      </c>
    </row>
    <row r="9697">
      <c r="A9697">
        <v>9696</v>
      </c>
      <c r="B9697" t="str">
        <v>UBND Ủy ban nhân dân phường Quang Trung  tỉnh Hà Nam</v>
      </c>
      <c r="C9697" t="str">
        <v>-</v>
      </c>
      <c r="D9697" t="str">
        <v>-</v>
      </c>
      <c r="E9697" t="str">
        <v>-</v>
      </c>
      <c r="F9697" t="str">
        <v>-</v>
      </c>
      <c r="G9697" t="str">
        <v>-</v>
      </c>
    </row>
    <row r="9698">
      <c r="A9698">
        <v>9697</v>
      </c>
      <c r="B9698" t="str">
        <v>Công an phường Lương Khánh Thiện  tỉnh Hà Nam</v>
      </c>
      <c r="C9698" t="str">
        <v>-</v>
      </c>
      <c r="D9698" t="str">
        <v>-</v>
      </c>
      <c r="E9698" t="str">
        <v/>
      </c>
      <c r="F9698" t="str">
        <v>-</v>
      </c>
      <c r="G9698" t="str">
        <v>-</v>
      </c>
    </row>
    <row r="9699">
      <c r="A9699">
        <v>9698</v>
      </c>
      <c r="B9699" t="str">
        <v>UBND Ủy ban nhân dân phường Lương Khánh Thiện  tỉnh Hà Nam</v>
      </c>
      <c r="C9699" t="str">
        <v>-</v>
      </c>
      <c r="D9699" t="str">
        <v>-</v>
      </c>
      <c r="E9699" t="str">
        <v>-</v>
      </c>
      <c r="F9699" t="str">
        <v>-</v>
      </c>
      <c r="G9699" t="str">
        <v>-</v>
      </c>
    </row>
    <row r="9700">
      <c r="A9700">
        <v>9699</v>
      </c>
      <c r="B9700" t="str">
        <v>Công an phường Lê Hồng Phong  tỉnh Hà Nam</v>
      </c>
      <c r="C9700" t="str">
        <v>-</v>
      </c>
      <c r="D9700" t="str">
        <v>-</v>
      </c>
      <c r="E9700" t="str">
        <v/>
      </c>
      <c r="F9700" t="str">
        <v>-</v>
      </c>
      <c r="G9700" t="str">
        <v>-</v>
      </c>
    </row>
    <row r="9701">
      <c r="A9701">
        <v>9700</v>
      </c>
      <c r="B9701" t="str">
        <v>UBND Ủy ban nhân dân phường Lê Hồng Phong  tỉnh Hà Nam</v>
      </c>
      <c r="C9701" t="str">
        <v>-</v>
      </c>
      <c r="D9701" t="str">
        <v>-</v>
      </c>
      <c r="E9701" t="str">
        <v>-</v>
      </c>
      <c r="F9701" t="str">
        <v>-</v>
      </c>
      <c r="G9701" t="str">
        <v>-</v>
      </c>
    </row>
    <row r="9702">
      <c r="A9702">
        <v>9701</v>
      </c>
      <c r="B9702" t="str">
        <v>Công an phường Minh Khai  tỉnh Hà Nam</v>
      </c>
      <c r="C9702" t="str">
        <v>-</v>
      </c>
      <c r="D9702" t="str">
        <v>-</v>
      </c>
      <c r="E9702" t="str">
        <v/>
      </c>
      <c r="F9702" t="str">
        <v>-</v>
      </c>
      <c r="G9702" t="str">
        <v>-</v>
      </c>
    </row>
    <row r="9703">
      <c r="A9703">
        <v>9702</v>
      </c>
      <c r="B9703" t="str">
        <v>UBND Ủy ban nhân dân phường Minh Khai  tỉnh Hà Nam</v>
      </c>
      <c r="C9703" t="str">
        <v>-</v>
      </c>
      <c r="D9703" t="str">
        <v>-</v>
      </c>
      <c r="E9703" t="str">
        <v>-</v>
      </c>
      <c r="F9703" t="str">
        <v>-</v>
      </c>
      <c r="G9703" t="str">
        <v>-</v>
      </c>
    </row>
    <row r="9704">
      <c r="A9704">
        <v>9703</v>
      </c>
      <c r="B9704" t="str">
        <v>Công an phường Hai Bà Trưng  tỉnh Hà Nam</v>
      </c>
      <c r="C9704" t="str">
        <v>-</v>
      </c>
      <c r="D9704" t="str">
        <v>-</v>
      </c>
      <c r="E9704" t="str">
        <v/>
      </c>
      <c r="F9704" t="str">
        <v>-</v>
      </c>
      <c r="G9704" t="str">
        <v>-</v>
      </c>
    </row>
    <row r="9705">
      <c r="A9705">
        <v>9704</v>
      </c>
      <c r="B9705" t="str">
        <v>UBND Ủy ban nhân dân phường Hai Bà Trưng  tỉnh Hà Nam</v>
      </c>
      <c r="C9705" t="str">
        <v>-</v>
      </c>
      <c r="D9705" t="str">
        <v>-</v>
      </c>
      <c r="E9705" t="str">
        <v>-</v>
      </c>
      <c r="F9705" t="str">
        <v>-</v>
      </c>
      <c r="G9705" t="str">
        <v>-</v>
      </c>
    </row>
    <row r="9706">
      <c r="A9706">
        <v>9705</v>
      </c>
      <c r="B9706" t="str">
        <v>Công an phường Trần Hưng Đạo  tỉnh Hà Nam</v>
      </c>
      <c r="C9706" t="str">
        <v>-</v>
      </c>
      <c r="D9706" t="str">
        <v>-</v>
      </c>
      <c r="E9706" t="str">
        <v/>
      </c>
      <c r="F9706" t="str">
        <v>-</v>
      </c>
      <c r="G9706" t="str">
        <v>-</v>
      </c>
    </row>
    <row r="9707">
      <c r="A9707">
        <v>9706</v>
      </c>
      <c r="B9707" t="str">
        <v>UBND Ủy ban nhân dân phường Trần Hưng Đạo  tỉnh Hà Nam</v>
      </c>
      <c r="C9707" t="str">
        <v>-</v>
      </c>
      <c r="D9707" t="str">
        <v>-</v>
      </c>
      <c r="E9707" t="str">
        <v>-</v>
      </c>
      <c r="F9707" t="str">
        <v>-</v>
      </c>
      <c r="G9707" t="str">
        <v>-</v>
      </c>
    </row>
    <row r="9708">
      <c r="A9708">
        <v>9707</v>
      </c>
      <c r="B9708" t="str">
        <v>Công an phường Lam Hạ  tỉnh Hà Nam</v>
      </c>
      <c r="C9708" t="str">
        <v>-</v>
      </c>
      <c r="D9708" t="str">
        <v>-</v>
      </c>
      <c r="E9708" t="str">
        <v/>
      </c>
      <c r="F9708" t="str">
        <v>-</v>
      </c>
      <c r="G9708" t="str">
        <v>-</v>
      </c>
    </row>
    <row r="9709">
      <c r="A9709">
        <v>9708</v>
      </c>
      <c r="B9709" t="str">
        <v>UBND Ủy ban nhân dân phường Lam Hạ  tỉnh Hà Nam</v>
      </c>
      <c r="C9709" t="str">
        <v>-</v>
      </c>
      <c r="D9709" t="str">
        <v>-</v>
      </c>
      <c r="E9709" t="str">
        <v>-</v>
      </c>
      <c r="F9709" t="str">
        <v>-</v>
      </c>
      <c r="G9709" t="str">
        <v>-</v>
      </c>
    </row>
    <row r="9710">
      <c r="A9710">
        <v>9709</v>
      </c>
      <c r="B9710" t="str">
        <v>Công an xã Phù Vân  tỉnh Hà Nam</v>
      </c>
      <c r="C9710" t="str">
        <v>-</v>
      </c>
      <c r="D9710" t="str">
        <v>-</v>
      </c>
      <c r="E9710" t="str">
        <v/>
      </c>
      <c r="F9710" t="str">
        <v>-</v>
      </c>
      <c r="G9710" t="str">
        <v>-</v>
      </c>
    </row>
    <row r="9711">
      <c r="A9711">
        <v>9710</v>
      </c>
      <c r="B9711" t="str">
        <v>UBND Ủy ban nhân dân xã Phù Vân  tỉnh Hà Nam</v>
      </c>
      <c r="C9711" t="str">
        <v>-</v>
      </c>
      <c r="D9711" t="str">
        <v>-</v>
      </c>
      <c r="E9711" t="str">
        <v>-</v>
      </c>
      <c r="F9711" t="str">
        <v>-</v>
      </c>
      <c r="G9711" t="str">
        <v>-</v>
      </c>
    </row>
    <row r="9712">
      <c r="A9712">
        <v>9711</v>
      </c>
      <c r="B9712" t="str">
        <v>Công an phường Liêm Chính  tỉnh Hà Nam</v>
      </c>
      <c r="C9712" t="str">
        <v>-</v>
      </c>
      <c r="D9712" t="str">
        <v>-</v>
      </c>
      <c r="E9712" t="str">
        <v/>
      </c>
      <c r="F9712" t="str">
        <v>-</v>
      </c>
      <c r="G9712" t="str">
        <v>-</v>
      </c>
    </row>
    <row r="9713">
      <c r="A9713">
        <v>9712</v>
      </c>
      <c r="B9713" t="str">
        <v>UBND Ủy ban nhân dân phường Liêm Chính  tỉnh Hà Nam</v>
      </c>
      <c r="C9713" t="str">
        <v>-</v>
      </c>
      <c r="D9713" t="str">
        <v>-</v>
      </c>
      <c r="E9713" t="str">
        <v>-</v>
      </c>
      <c r="F9713" t="str">
        <v>-</v>
      </c>
      <c r="G9713" t="str">
        <v>-</v>
      </c>
    </row>
    <row r="9714">
      <c r="A9714">
        <v>9713</v>
      </c>
      <c r="B9714" t="str">
        <v>Công an xã Liêm Chung  tỉnh Hà Nam</v>
      </c>
      <c r="C9714" t="str">
        <v>-</v>
      </c>
      <c r="D9714" t="str">
        <v>-</v>
      </c>
      <c r="E9714" t="str">
        <v/>
      </c>
      <c r="F9714" t="str">
        <v>-</v>
      </c>
      <c r="G9714" t="str">
        <v>-</v>
      </c>
    </row>
    <row r="9715">
      <c r="A9715">
        <v>9714</v>
      </c>
      <c r="B9715" t="str">
        <v>UBND Ủy ban nhân dân xã Liêm Chung  tỉnh Hà Nam</v>
      </c>
      <c r="C9715" t="str">
        <v>-</v>
      </c>
      <c r="D9715" t="str">
        <v>-</v>
      </c>
      <c r="E9715" t="str">
        <v>-</v>
      </c>
      <c r="F9715" t="str">
        <v>-</v>
      </c>
      <c r="G9715" t="str">
        <v>-</v>
      </c>
    </row>
    <row r="9716">
      <c r="A9716">
        <v>9715</v>
      </c>
      <c r="B9716" t="str">
        <v>Công an phường Thanh Châu  tỉnh Hà Nam</v>
      </c>
      <c r="C9716" t="str">
        <v>-</v>
      </c>
      <c r="D9716" t="str">
        <v>-</v>
      </c>
      <c r="E9716" t="str">
        <v/>
      </c>
      <c r="F9716" t="str">
        <v>-</v>
      </c>
      <c r="G9716" t="str">
        <v>-</v>
      </c>
    </row>
    <row r="9717">
      <c r="A9717">
        <v>9716</v>
      </c>
      <c r="B9717" t="str">
        <v>UBND Ủy ban nhân dân phường Thanh Châu  tỉnh Hà Nam</v>
      </c>
      <c r="C9717" t="str">
        <v>-</v>
      </c>
      <c r="D9717" t="str">
        <v>-</v>
      </c>
      <c r="E9717" t="str">
        <v>-</v>
      </c>
      <c r="F9717" t="str">
        <v>-</v>
      </c>
      <c r="G9717" t="str">
        <v>-</v>
      </c>
    </row>
    <row r="9718">
      <c r="A9718">
        <v>9717</v>
      </c>
      <c r="B9718" t="str">
        <v>Công an phường Châu Sơn  tỉnh Hà Nam</v>
      </c>
      <c r="C9718" t="str">
        <v>-</v>
      </c>
      <c r="D9718" t="str">
        <v>-</v>
      </c>
      <c r="E9718" t="str">
        <v/>
      </c>
      <c r="F9718" t="str">
        <v>-</v>
      </c>
      <c r="G9718" t="str">
        <v>-</v>
      </c>
    </row>
    <row r="9719">
      <c r="A9719">
        <v>9718</v>
      </c>
      <c r="B9719" t="str">
        <v>UBND Ủy ban nhân dân phường Châu Sơn  tỉnh Hà Nam</v>
      </c>
      <c r="C9719" t="str">
        <v>-</v>
      </c>
      <c r="D9719" t="str">
        <v>-</v>
      </c>
      <c r="E9719" t="str">
        <v>-</v>
      </c>
      <c r="F9719" t="str">
        <v>-</v>
      </c>
      <c r="G9719" t="str">
        <v>-</v>
      </c>
    </row>
    <row r="9720">
      <c r="A9720">
        <v>9719</v>
      </c>
      <c r="B9720" t="str">
        <v>Công an xã Tiên Tân  tỉnh Hà Nam</v>
      </c>
      <c r="C9720" t="str">
        <v>-</v>
      </c>
      <c r="D9720" t="str">
        <v>-</v>
      </c>
      <c r="E9720" t="str">
        <v/>
      </c>
      <c r="F9720" t="str">
        <v>-</v>
      </c>
      <c r="G9720" t="str">
        <v>-</v>
      </c>
    </row>
    <row r="9721">
      <c r="A9721">
        <v>9720</v>
      </c>
      <c r="B9721" t="str">
        <v>UBND Ủy ban nhân dân xã Tiên Tân  tỉnh Hà Nam</v>
      </c>
      <c r="C9721" t="str">
        <v>-</v>
      </c>
      <c r="D9721" t="str">
        <v>-</v>
      </c>
      <c r="E9721" t="str">
        <v>-</v>
      </c>
      <c r="F9721" t="str">
        <v>-</v>
      </c>
      <c r="G9721" t="str">
        <v>-</v>
      </c>
    </row>
    <row r="9722">
      <c r="A9722">
        <v>9721</v>
      </c>
      <c r="B9722" t="str">
        <v>Công an xã Tiên Hiệp  tỉnh Hà Nam</v>
      </c>
      <c r="C9722" t="str">
        <v>-</v>
      </c>
      <c r="D9722" t="str">
        <v>-</v>
      </c>
      <c r="E9722" t="str">
        <v/>
      </c>
      <c r="F9722" t="str">
        <v>-</v>
      </c>
      <c r="G9722" t="str">
        <v>-</v>
      </c>
    </row>
    <row r="9723">
      <c r="A9723">
        <v>9722</v>
      </c>
      <c r="B9723" t="str">
        <v>UBND Ủy ban nhân dân xã Tiên Hiệp  tỉnh Hà Nam</v>
      </c>
      <c r="C9723" t="str">
        <v>-</v>
      </c>
      <c r="D9723" t="str">
        <v>-</v>
      </c>
      <c r="E9723" t="str">
        <v>-</v>
      </c>
      <c r="F9723" t="str">
        <v>-</v>
      </c>
      <c r="G9723" t="str">
        <v>-</v>
      </c>
    </row>
    <row r="9724">
      <c r="A9724">
        <v>9723</v>
      </c>
      <c r="B9724" t="str">
        <v>Công an xã Tiên Hải  tỉnh Hà Nam</v>
      </c>
      <c r="C9724" t="str">
        <v>-</v>
      </c>
      <c r="D9724" t="str">
        <v>-</v>
      </c>
      <c r="E9724" t="str">
        <v/>
      </c>
      <c r="F9724" t="str">
        <v>-</v>
      </c>
      <c r="G9724" t="str">
        <v>-</v>
      </c>
    </row>
    <row r="9725">
      <c r="A9725">
        <v>9724</v>
      </c>
      <c r="B9725" t="str">
        <v>UBND Ủy ban nhân dân xã Tiên Hải  tỉnh Hà Nam</v>
      </c>
      <c r="C9725" t="str">
        <v>-</v>
      </c>
      <c r="D9725" t="str">
        <v>-</v>
      </c>
      <c r="E9725" t="str">
        <v>-</v>
      </c>
      <c r="F9725" t="str">
        <v>-</v>
      </c>
      <c r="G9725" t="str">
        <v>-</v>
      </c>
    </row>
    <row r="9726">
      <c r="A9726">
        <v>9725</v>
      </c>
      <c r="B9726" t="str">
        <v>Công an xã Kim Bình  tỉnh Hà Nam</v>
      </c>
      <c r="C9726" t="str">
        <v>-</v>
      </c>
      <c r="D9726" t="str">
        <v>-</v>
      </c>
      <c r="E9726" t="str">
        <v/>
      </c>
      <c r="F9726" t="str">
        <v>-</v>
      </c>
      <c r="G9726" t="str">
        <v>-</v>
      </c>
    </row>
    <row r="9727">
      <c r="A9727">
        <v>9726</v>
      </c>
      <c r="B9727" t="str">
        <v>UBND Ủy ban nhân dân xã Kim Bình  tỉnh Hà Nam</v>
      </c>
      <c r="C9727" t="str">
        <v>-</v>
      </c>
      <c r="D9727" t="str">
        <v>-</v>
      </c>
      <c r="E9727" t="str">
        <v>-</v>
      </c>
      <c r="F9727" t="str">
        <v>-</v>
      </c>
      <c r="G9727" t="str">
        <v>-</v>
      </c>
    </row>
    <row r="9728">
      <c r="A9728">
        <v>9727</v>
      </c>
      <c r="B9728" t="str">
        <v>Công an xã Liêm Tuyền  tỉnh Hà Nam</v>
      </c>
      <c r="C9728" t="str">
        <v>-</v>
      </c>
      <c r="D9728" t="str">
        <v>-</v>
      </c>
      <c r="E9728" t="str">
        <v/>
      </c>
      <c r="F9728" t="str">
        <v>-</v>
      </c>
      <c r="G9728" t="str">
        <v>-</v>
      </c>
    </row>
    <row r="9729">
      <c r="A9729">
        <v>9728</v>
      </c>
      <c r="B9729" t="str">
        <v>UBND Ủy ban nhân dân xã Liêm Tuyền  tỉnh Hà Nam</v>
      </c>
      <c r="C9729" t="str">
        <v>-</v>
      </c>
      <c r="D9729" t="str">
        <v>-</v>
      </c>
      <c r="E9729" t="str">
        <v>-</v>
      </c>
      <c r="F9729" t="str">
        <v>-</v>
      </c>
      <c r="G9729" t="str">
        <v>-</v>
      </c>
    </row>
    <row r="9730">
      <c r="A9730">
        <v>9729</v>
      </c>
      <c r="B9730" t="str">
        <v>Công an xã Liêm Tiết  tỉnh Hà Nam</v>
      </c>
      <c r="C9730" t="str">
        <v>-</v>
      </c>
      <c r="D9730" t="str">
        <v>-</v>
      </c>
      <c r="E9730" t="str">
        <v/>
      </c>
      <c r="F9730" t="str">
        <v>-</v>
      </c>
      <c r="G9730" t="str">
        <v>-</v>
      </c>
    </row>
    <row r="9731">
      <c r="A9731">
        <v>9730</v>
      </c>
      <c r="B9731" t="str">
        <v>UBND Ủy ban nhân dân xã Liêm Tiết  tỉnh Hà Nam</v>
      </c>
      <c r="C9731" t="str">
        <v>-</v>
      </c>
      <c r="D9731" t="str">
        <v>-</v>
      </c>
      <c r="E9731" t="str">
        <v>-</v>
      </c>
      <c r="F9731" t="str">
        <v>-</v>
      </c>
      <c r="G9731" t="str">
        <v>-</v>
      </c>
    </row>
    <row r="9732">
      <c r="A9732">
        <v>9731</v>
      </c>
      <c r="B9732" t="str">
        <v>Công an phường Thanh Tuyền  tỉnh Hà Nam</v>
      </c>
      <c r="C9732" t="str">
        <v>-</v>
      </c>
      <c r="D9732" t="str">
        <v>-</v>
      </c>
      <c r="E9732" t="str">
        <v/>
      </c>
      <c r="F9732" t="str">
        <v>-</v>
      </c>
      <c r="G9732" t="str">
        <v>-</v>
      </c>
    </row>
    <row r="9733">
      <c r="A9733">
        <v>9732</v>
      </c>
      <c r="B9733" t="str">
        <v>UBND Ủy ban nhân dân phường Thanh Tuyền  tỉnh Hà Nam</v>
      </c>
      <c r="C9733" t="str">
        <v>-</v>
      </c>
      <c r="D9733" t="str">
        <v>-</v>
      </c>
      <c r="E9733" t="str">
        <v>-</v>
      </c>
      <c r="F9733" t="str">
        <v>-</v>
      </c>
      <c r="G9733" t="str">
        <v>-</v>
      </c>
    </row>
    <row r="9734">
      <c r="A9734">
        <v>9733</v>
      </c>
      <c r="B9734" t="str">
        <v>Công an xã Đinh Xá  tỉnh Hà Nam</v>
      </c>
      <c r="C9734" t="str">
        <v>-</v>
      </c>
      <c r="D9734" t="str">
        <v>-</v>
      </c>
      <c r="E9734" t="str">
        <v/>
      </c>
      <c r="F9734" t="str">
        <v>-</v>
      </c>
      <c r="G9734" t="str">
        <v>-</v>
      </c>
    </row>
    <row r="9735">
      <c r="A9735">
        <v>9734</v>
      </c>
      <c r="B9735" t="str">
        <v>UBND Ủy ban nhân dân xã Đinh Xá  tỉnh Hà Nam</v>
      </c>
      <c r="C9735" t="str">
        <v>-</v>
      </c>
      <c r="D9735" t="str">
        <v>-</v>
      </c>
      <c r="E9735" t="str">
        <v>-</v>
      </c>
      <c r="F9735" t="str">
        <v>-</v>
      </c>
      <c r="G9735" t="str">
        <v>-</v>
      </c>
    </row>
    <row r="9736">
      <c r="A9736">
        <v>9735</v>
      </c>
      <c r="B9736" t="str">
        <v>Công an xã Trịnh Xá  tỉnh Hà Nam</v>
      </c>
      <c r="C9736" t="str">
        <v>-</v>
      </c>
      <c r="D9736" t="str">
        <v>-</v>
      </c>
      <c r="E9736" t="str">
        <v/>
      </c>
      <c r="F9736" t="str">
        <v>-</v>
      </c>
      <c r="G9736" t="str">
        <v>-</v>
      </c>
    </row>
    <row r="9737">
      <c r="A9737">
        <v>9736</v>
      </c>
      <c r="B9737" t="str">
        <v>UBND Ủy ban nhân dân xã Trịnh Xá  tỉnh Hà Nam</v>
      </c>
      <c r="C9737" t="str">
        <v>-</v>
      </c>
      <c r="D9737" t="str">
        <v>-</v>
      </c>
      <c r="E9737" t="str">
        <v>-</v>
      </c>
      <c r="F9737" t="str">
        <v>-</v>
      </c>
      <c r="G9737" t="str">
        <v>-</v>
      </c>
    </row>
    <row r="9738">
      <c r="A9738">
        <v>9737</v>
      </c>
      <c r="B9738" t="str">
        <v>Công an thị trấn Đồng Văn  tỉnh Hà Nam</v>
      </c>
      <c r="C9738" t="str">
        <v>-</v>
      </c>
      <c r="D9738" t="str">
        <v>-</v>
      </c>
      <c r="E9738" t="str">
        <v/>
      </c>
      <c r="F9738" t="str">
        <v>-</v>
      </c>
      <c r="G9738" t="str">
        <v>-</v>
      </c>
    </row>
    <row r="9739">
      <c r="A9739">
        <v>9738</v>
      </c>
      <c r="B9739" t="str">
        <v>UBND Ủy ban nhân dân thị trấn Đồng Văn  tỉnh Hà Nam</v>
      </c>
      <c r="C9739" t="str">
        <v>-</v>
      </c>
      <c r="D9739" t="str">
        <v>-</v>
      </c>
      <c r="E9739" t="str">
        <v>-</v>
      </c>
      <c r="F9739" t="str">
        <v>-</v>
      </c>
      <c r="G9739" t="str">
        <v>-</v>
      </c>
    </row>
    <row r="9740">
      <c r="A9740">
        <v>9739</v>
      </c>
      <c r="B9740" t="str">
        <v>Công an thị trấn Hòa Mạc  tỉnh Hà Nam</v>
      </c>
      <c r="C9740" t="str">
        <v>-</v>
      </c>
      <c r="D9740" t="str">
        <v>-</v>
      </c>
      <c r="E9740" t="str">
        <v/>
      </c>
      <c r="F9740" t="str">
        <v>-</v>
      </c>
      <c r="G9740" t="str">
        <v>-</v>
      </c>
    </row>
    <row r="9741">
      <c r="A9741">
        <v>9740</v>
      </c>
      <c r="B9741" t="str">
        <v>UBND Ủy ban nhân dân thị trấn Hòa Mạc  tỉnh Hà Nam</v>
      </c>
      <c r="C9741" t="str">
        <v>-</v>
      </c>
      <c r="D9741" t="str">
        <v>-</v>
      </c>
      <c r="E9741" t="str">
        <v>-</v>
      </c>
      <c r="F9741" t="str">
        <v>-</v>
      </c>
      <c r="G9741" t="str">
        <v>-</v>
      </c>
    </row>
    <row r="9742">
      <c r="A9742">
        <v>9741</v>
      </c>
      <c r="B9742" t="str">
        <v>Công an xã Mộc Bắc  tỉnh Hà Nam</v>
      </c>
      <c r="C9742" t="str">
        <v>-</v>
      </c>
      <c r="D9742" t="str">
        <v>-</v>
      </c>
      <c r="E9742" t="str">
        <v/>
      </c>
      <c r="F9742" t="str">
        <v>-</v>
      </c>
      <c r="G9742" t="str">
        <v>-</v>
      </c>
    </row>
    <row r="9743">
      <c r="A9743">
        <v>9742</v>
      </c>
      <c r="B9743" t="str">
        <v>UBND Ủy ban nhân dân xã Mộc Bắc  tỉnh Hà Nam</v>
      </c>
      <c r="C9743" t="str">
        <v>-</v>
      </c>
      <c r="D9743" t="str">
        <v>-</v>
      </c>
      <c r="E9743" t="str">
        <v>-</v>
      </c>
      <c r="F9743" t="str">
        <v>-</v>
      </c>
      <c r="G9743" t="str">
        <v>-</v>
      </c>
    </row>
    <row r="9744">
      <c r="A9744">
        <v>9743</v>
      </c>
      <c r="B9744" t="str">
        <v>Công an xã Châu Giang  tỉnh Hà Nam</v>
      </c>
      <c r="C9744" t="str">
        <v>-</v>
      </c>
      <c r="D9744" t="str">
        <v>-</v>
      </c>
      <c r="E9744" t="str">
        <v/>
      </c>
      <c r="F9744" t="str">
        <v>-</v>
      </c>
      <c r="G9744" t="str">
        <v>-</v>
      </c>
    </row>
    <row r="9745">
      <c r="A9745">
        <v>9744</v>
      </c>
      <c r="B9745" t="str">
        <v>UBND Ủy ban nhân dân xã Châu Giang  tỉnh Hà Nam</v>
      </c>
      <c r="C9745" t="str">
        <v>-</v>
      </c>
      <c r="D9745" t="str">
        <v>-</v>
      </c>
      <c r="E9745" t="str">
        <v>-</v>
      </c>
      <c r="F9745" t="str">
        <v>-</v>
      </c>
      <c r="G9745" t="str">
        <v>-</v>
      </c>
    </row>
    <row r="9746">
      <c r="A9746">
        <v>9745</v>
      </c>
      <c r="B9746" t="str">
        <v>Công an xã Bạch Thượng  tỉnh Hà Nam</v>
      </c>
      <c r="C9746" t="str">
        <v>-</v>
      </c>
      <c r="D9746" t="str">
        <v>-</v>
      </c>
      <c r="E9746" t="str">
        <v/>
      </c>
      <c r="F9746" t="str">
        <v>-</v>
      </c>
      <c r="G9746" t="str">
        <v>-</v>
      </c>
    </row>
    <row r="9747">
      <c r="A9747">
        <v>9746</v>
      </c>
      <c r="B9747" t="str">
        <v>UBND Ủy ban nhân dân xã Bạch Thượng  tỉnh Hà Nam</v>
      </c>
      <c r="C9747" t="str">
        <v>-</v>
      </c>
      <c r="D9747" t="str">
        <v>-</v>
      </c>
      <c r="E9747" t="str">
        <v>-</v>
      </c>
      <c r="F9747" t="str">
        <v>-</v>
      </c>
      <c r="G9747" t="str">
        <v>-</v>
      </c>
    </row>
    <row r="9748">
      <c r="A9748">
        <v>9747</v>
      </c>
      <c r="B9748" t="str">
        <v>Công an xã Duy Minh  tỉnh Hà Nam</v>
      </c>
      <c r="C9748" t="str">
        <v>-</v>
      </c>
      <c r="D9748" t="str">
        <v>-</v>
      </c>
      <c r="E9748" t="str">
        <v/>
      </c>
      <c r="F9748" t="str">
        <v>-</v>
      </c>
      <c r="G9748" t="str">
        <v>-</v>
      </c>
    </row>
    <row r="9749">
      <c r="A9749">
        <v>9748</v>
      </c>
      <c r="B9749" t="str">
        <v>UBND Ủy ban nhân dân xã Duy Minh  tỉnh Hà Nam</v>
      </c>
      <c r="C9749" t="str">
        <v>-</v>
      </c>
      <c r="D9749" t="str">
        <v>-</v>
      </c>
      <c r="E9749" t="str">
        <v>-</v>
      </c>
      <c r="F9749" t="str">
        <v>-</v>
      </c>
      <c r="G9749" t="str">
        <v>-</v>
      </c>
    </row>
    <row r="9750">
      <c r="A9750">
        <v>9749</v>
      </c>
      <c r="B9750" t="str">
        <v>Công an xã Mộc Nam  tỉnh Hà Nam</v>
      </c>
      <c r="C9750" t="str">
        <v>-</v>
      </c>
      <c r="D9750" t="str">
        <v>-</v>
      </c>
      <c r="E9750" t="str">
        <v/>
      </c>
      <c r="F9750" t="str">
        <v>-</v>
      </c>
      <c r="G9750" t="str">
        <v>-</v>
      </c>
    </row>
    <row r="9751">
      <c r="A9751">
        <v>9750</v>
      </c>
      <c r="B9751" t="str">
        <v>UBND Ủy ban nhân dân xã Mộc Nam  tỉnh Hà Nam</v>
      </c>
      <c r="C9751" t="str">
        <v>-</v>
      </c>
      <c r="D9751" t="str">
        <v>-</v>
      </c>
      <c r="E9751" t="str">
        <v>-</v>
      </c>
      <c r="F9751" t="str">
        <v>-</v>
      </c>
      <c r="G9751" t="str">
        <v>-</v>
      </c>
    </row>
    <row r="9752">
      <c r="A9752">
        <v>9751</v>
      </c>
      <c r="B9752" t="str">
        <v>Công an xã Duy Hải  tỉnh Hà Nam</v>
      </c>
      <c r="C9752" t="str">
        <v>-</v>
      </c>
      <c r="D9752" t="str">
        <v>-</v>
      </c>
      <c r="E9752" t="str">
        <v/>
      </c>
      <c r="F9752" t="str">
        <v>-</v>
      </c>
      <c r="G9752" t="str">
        <v>-</v>
      </c>
    </row>
    <row r="9753">
      <c r="A9753">
        <v>9752</v>
      </c>
      <c r="B9753" t="str">
        <v>UBND Ủy ban nhân dân xã Duy Hải  tỉnh Hà Nam</v>
      </c>
      <c r="C9753" t="str">
        <v>-</v>
      </c>
      <c r="D9753" t="str">
        <v>-</v>
      </c>
      <c r="E9753" t="str">
        <v>-</v>
      </c>
      <c r="F9753" t="str">
        <v>-</v>
      </c>
      <c r="G9753" t="str">
        <v>-</v>
      </c>
    </row>
    <row r="9754">
      <c r="A9754">
        <v>9753</v>
      </c>
      <c r="B9754" t="str">
        <v>Công an xã Chuyên Ngoại  tỉnh Hà Nam</v>
      </c>
      <c r="C9754" t="str">
        <v>-</v>
      </c>
      <c r="D9754" t="str">
        <v>-</v>
      </c>
      <c r="E9754" t="str">
        <v/>
      </c>
      <c r="F9754" t="str">
        <v>-</v>
      </c>
      <c r="G9754" t="str">
        <v>-</v>
      </c>
    </row>
    <row r="9755">
      <c r="A9755">
        <v>9754</v>
      </c>
      <c r="B9755" t="str">
        <v>UBND Ủy ban nhân dân xã Chuyên Ngoại  tỉnh Hà Nam</v>
      </c>
      <c r="C9755" t="str">
        <v>-</v>
      </c>
      <c r="D9755" t="str">
        <v>-</v>
      </c>
      <c r="E9755" t="str">
        <v>-</v>
      </c>
      <c r="F9755" t="str">
        <v>-</v>
      </c>
      <c r="G9755" t="str">
        <v>-</v>
      </c>
    </row>
    <row r="9756">
      <c r="A9756">
        <v>9755</v>
      </c>
      <c r="B9756" t="str">
        <v>Công an xã Yên Bắc  tỉnh Hà Nam</v>
      </c>
      <c r="C9756" t="str">
        <v>-</v>
      </c>
      <c r="D9756" t="str">
        <v>-</v>
      </c>
      <c r="E9756" t="str">
        <v/>
      </c>
      <c r="F9756" t="str">
        <v>-</v>
      </c>
      <c r="G9756" t="str">
        <v>-</v>
      </c>
    </row>
    <row r="9757">
      <c r="A9757">
        <v>9756</v>
      </c>
      <c r="B9757" t="str">
        <v>UBND Ủy ban nhân dân xã Yên Bắc  tỉnh Hà Nam</v>
      </c>
      <c r="C9757" t="str">
        <v>-</v>
      </c>
      <c r="D9757" t="str">
        <v>-</v>
      </c>
      <c r="E9757" t="str">
        <v>-</v>
      </c>
      <c r="F9757" t="str">
        <v>-</v>
      </c>
      <c r="G9757" t="str">
        <v>-</v>
      </c>
    </row>
    <row r="9758">
      <c r="A9758">
        <v>9757</v>
      </c>
      <c r="B9758" t="str">
        <v>Công an xã Trác Văn  tỉnh Hà Nam</v>
      </c>
      <c r="C9758" t="str">
        <v>-</v>
      </c>
      <c r="D9758" t="str">
        <v>-</v>
      </c>
      <c r="E9758" t="str">
        <v/>
      </c>
      <c r="F9758" t="str">
        <v>-</v>
      </c>
      <c r="G9758" t="str">
        <v>-</v>
      </c>
    </row>
    <row r="9759">
      <c r="A9759">
        <v>9758</v>
      </c>
      <c r="B9759" t="str">
        <v>UBND Ủy ban nhân dân xã Trác Văn  tỉnh Hà Nam</v>
      </c>
      <c r="C9759" t="str">
        <v>-</v>
      </c>
      <c r="D9759" t="str">
        <v>-</v>
      </c>
      <c r="E9759" t="str">
        <v>-</v>
      </c>
      <c r="F9759" t="str">
        <v>-</v>
      </c>
      <c r="G9759" t="str">
        <v>-</v>
      </c>
    </row>
    <row r="9760">
      <c r="A9760">
        <v>9759</v>
      </c>
      <c r="B9760" t="str">
        <v>Công an xã Tiên Nội  tỉnh Hà Nam</v>
      </c>
      <c r="C9760" t="str">
        <v>-</v>
      </c>
      <c r="D9760" t="str">
        <v>-</v>
      </c>
      <c r="E9760" t="str">
        <v/>
      </c>
      <c r="F9760" t="str">
        <v>-</v>
      </c>
      <c r="G9760" t="str">
        <v>-</v>
      </c>
    </row>
    <row r="9761">
      <c r="A9761">
        <v>9760</v>
      </c>
      <c r="B9761" t="str">
        <v>UBND Ủy ban nhân dân xã Tiên Nội  tỉnh Hà Nam</v>
      </c>
      <c r="C9761" t="str">
        <v>-</v>
      </c>
      <c r="D9761" t="str">
        <v>-</v>
      </c>
      <c r="E9761" t="str">
        <v>-</v>
      </c>
      <c r="F9761" t="str">
        <v>-</v>
      </c>
      <c r="G9761" t="str">
        <v>-</v>
      </c>
    </row>
    <row r="9762">
      <c r="A9762">
        <v>9761</v>
      </c>
      <c r="B9762" t="str">
        <v>Công an xã Hoàng Đông  tỉnh Hà Nam</v>
      </c>
      <c r="C9762" t="str">
        <v>-</v>
      </c>
      <c r="D9762" t="str">
        <v>-</v>
      </c>
      <c r="E9762" t="str">
        <v/>
      </c>
      <c r="F9762" t="str">
        <v>-</v>
      </c>
      <c r="G9762" t="str">
        <v>-</v>
      </c>
    </row>
    <row r="9763">
      <c r="A9763">
        <v>9762</v>
      </c>
      <c r="B9763" t="str">
        <v>UBND Ủy ban nhân dân xã Hoàng Đông  tỉnh Hà Nam</v>
      </c>
      <c r="C9763" t="str">
        <v>-</v>
      </c>
      <c r="D9763" t="str">
        <v>-</v>
      </c>
      <c r="E9763" t="str">
        <v>-</v>
      </c>
      <c r="F9763" t="str">
        <v>-</v>
      </c>
      <c r="G9763" t="str">
        <v>-</v>
      </c>
    </row>
    <row r="9764">
      <c r="A9764">
        <v>9763</v>
      </c>
      <c r="B9764" t="str">
        <v>Công an xã Yên Nam  tỉnh Hà Nam</v>
      </c>
      <c r="C9764" t="str">
        <v>-</v>
      </c>
      <c r="D9764" t="str">
        <v>-</v>
      </c>
      <c r="E9764" t="str">
        <v/>
      </c>
      <c r="F9764" t="str">
        <v>-</v>
      </c>
      <c r="G9764" t="str">
        <v>-</v>
      </c>
    </row>
    <row r="9765">
      <c r="A9765">
        <v>9764</v>
      </c>
      <c r="B9765" t="str">
        <v>UBND Ủy ban nhân dân xã Yên Nam  tỉnh Hà Nam</v>
      </c>
      <c r="C9765" t="str">
        <v>-</v>
      </c>
      <c r="D9765" t="str">
        <v>-</v>
      </c>
      <c r="E9765" t="str">
        <v>-</v>
      </c>
      <c r="F9765" t="str">
        <v>-</v>
      </c>
      <c r="G9765" t="str">
        <v>-</v>
      </c>
    </row>
    <row r="9766">
      <c r="A9766">
        <v>9765</v>
      </c>
      <c r="B9766" t="str">
        <v>Công an xã Tiên Ngoại  tỉnh Hà Nam</v>
      </c>
      <c r="C9766" t="str">
        <v>-</v>
      </c>
      <c r="D9766" t="str">
        <v>-</v>
      </c>
      <c r="E9766" t="str">
        <v/>
      </c>
      <c r="F9766" t="str">
        <v>-</v>
      </c>
      <c r="G9766" t="str">
        <v>-</v>
      </c>
    </row>
    <row r="9767">
      <c r="A9767">
        <v>9766</v>
      </c>
      <c r="B9767" t="str">
        <v>UBND Ủy ban nhân dân xã Tiên Ngoại  tỉnh Hà Nam</v>
      </c>
      <c r="C9767" t="str">
        <v>-</v>
      </c>
      <c r="D9767" t="str">
        <v>-</v>
      </c>
      <c r="E9767" t="str">
        <v>-</v>
      </c>
      <c r="F9767" t="str">
        <v>-</v>
      </c>
      <c r="G9767" t="str">
        <v>-</v>
      </c>
    </row>
    <row r="9768">
      <c r="A9768">
        <v>9767</v>
      </c>
      <c r="B9768" t="str">
        <v>Công an xã Đọi Sơn  tỉnh Hà Nam</v>
      </c>
      <c r="C9768" t="str">
        <v>-</v>
      </c>
      <c r="D9768" t="str">
        <v>-</v>
      </c>
      <c r="E9768" t="str">
        <v/>
      </c>
      <c r="F9768" t="str">
        <v>-</v>
      </c>
      <c r="G9768" t="str">
        <v>-</v>
      </c>
    </row>
    <row r="9769">
      <c r="A9769">
        <v>9768</v>
      </c>
      <c r="B9769" t="str">
        <v>UBND Ủy ban nhân dân xã Đọi Sơn  tỉnh Hà Nam</v>
      </c>
      <c r="C9769" t="str">
        <v>-</v>
      </c>
      <c r="D9769" t="str">
        <v>-</v>
      </c>
      <c r="E9769" t="str">
        <v>-</v>
      </c>
      <c r="F9769" t="str">
        <v>-</v>
      </c>
      <c r="G9769" t="str">
        <v>-</v>
      </c>
    </row>
    <row r="9770">
      <c r="A9770">
        <v>9769</v>
      </c>
      <c r="B9770" t="str">
        <v>Công an xã Châu Sơn  tỉnh Hà Nam</v>
      </c>
      <c r="C9770" t="str">
        <v>-</v>
      </c>
      <c r="D9770" t="str">
        <v>-</v>
      </c>
      <c r="E9770" t="str">
        <v/>
      </c>
      <c r="F9770" t="str">
        <v>-</v>
      </c>
      <c r="G9770" t="str">
        <v>-</v>
      </c>
    </row>
    <row r="9771">
      <c r="A9771">
        <v>9770</v>
      </c>
      <c r="B9771" t="str">
        <v>UBND Ủy ban nhân dân xã Châu Sơn  tỉnh Hà Nam</v>
      </c>
      <c r="C9771" t="str">
        <v>-</v>
      </c>
      <c r="D9771" t="str">
        <v>-</v>
      </c>
      <c r="E9771" t="str">
        <v>-</v>
      </c>
      <c r="F9771" t="str">
        <v>-</v>
      </c>
      <c r="G9771" t="str">
        <v>-</v>
      </c>
    </row>
    <row r="9772">
      <c r="A9772">
        <v>9771</v>
      </c>
      <c r="B9772" t="str">
        <v>Công an xã Tiền Phong  tỉnh Hà Nam</v>
      </c>
      <c r="C9772" t="str">
        <v>-</v>
      </c>
      <c r="D9772" t="str">
        <v>-</v>
      </c>
      <c r="E9772" t="str">
        <v/>
      </c>
      <c r="F9772" t="str">
        <v>-</v>
      </c>
      <c r="G9772" t="str">
        <v>-</v>
      </c>
    </row>
    <row r="9773">
      <c r="A9773">
        <v>9772</v>
      </c>
      <c r="B9773" t="str">
        <v>UBND Ủy ban nhân dân xã Tiền Phong  tỉnh Hà Nam</v>
      </c>
      <c r="C9773" t="str">
        <v>-</v>
      </c>
      <c r="D9773" t="str">
        <v>-</v>
      </c>
      <c r="E9773" t="str">
        <v>-</v>
      </c>
      <c r="F9773" t="str">
        <v>-</v>
      </c>
      <c r="G9773" t="str">
        <v>-</v>
      </c>
    </row>
    <row r="9774">
      <c r="A9774">
        <v>9773</v>
      </c>
      <c r="B9774" t="str">
        <v>Công an thị trấn Quế  tỉnh Hà Nam</v>
      </c>
      <c r="C9774" t="str">
        <v>-</v>
      </c>
      <c r="D9774" t="str">
        <v>-</v>
      </c>
      <c r="E9774" t="str">
        <v/>
      </c>
      <c r="F9774" t="str">
        <v>-</v>
      </c>
      <c r="G9774" t="str">
        <v>-</v>
      </c>
    </row>
    <row r="9775">
      <c r="A9775">
        <v>9774</v>
      </c>
      <c r="B9775" t="str">
        <v>UBND Ủy ban nhân dân thị trấn Quế  tỉnh Hà Nam</v>
      </c>
      <c r="C9775" t="str">
        <v>-</v>
      </c>
      <c r="D9775" t="str">
        <v>-</v>
      </c>
      <c r="E9775" t="str">
        <v>-</v>
      </c>
      <c r="F9775" t="str">
        <v>-</v>
      </c>
      <c r="G9775" t="str">
        <v>-</v>
      </c>
    </row>
    <row r="9776">
      <c r="A9776">
        <v>9775</v>
      </c>
      <c r="B9776" t="str">
        <v>Công an xã Đại Cương  tỉnh Hà Nam</v>
      </c>
      <c r="C9776" t="str">
        <v>-</v>
      </c>
      <c r="D9776" t="str">
        <v>-</v>
      </c>
      <c r="E9776" t="str">
        <v/>
      </c>
      <c r="F9776" t="str">
        <v>-</v>
      </c>
      <c r="G9776" t="str">
        <v>-</v>
      </c>
    </row>
    <row r="9777">
      <c r="A9777">
        <v>9776</v>
      </c>
      <c r="B9777" t="str">
        <v>UBND Ủy ban nhân dân xã Đại Cương  tỉnh Hà Nam</v>
      </c>
      <c r="C9777" t="str">
        <v>-</v>
      </c>
      <c r="D9777" t="str">
        <v>-</v>
      </c>
      <c r="E9777" t="str">
        <v>-</v>
      </c>
      <c r="F9777" t="str">
        <v>-</v>
      </c>
      <c r="G9777" t="str">
        <v>-</v>
      </c>
    </row>
    <row r="9778">
      <c r="A9778">
        <v>9777</v>
      </c>
      <c r="B9778" t="str">
        <v>Công an xã Lê Hồ  tỉnh Hà Nam</v>
      </c>
      <c r="C9778" t="str">
        <v>-</v>
      </c>
      <c r="D9778" t="str">
        <v>-</v>
      </c>
      <c r="E9778" t="str">
        <v/>
      </c>
      <c r="F9778" t="str">
        <v>-</v>
      </c>
      <c r="G9778" t="str">
        <v>-</v>
      </c>
    </row>
    <row r="9779">
      <c r="A9779">
        <v>9778</v>
      </c>
      <c r="B9779" t="str">
        <v>UBND Ủy ban nhân dân xã Lê Hồ  tỉnh Hà Nam</v>
      </c>
      <c r="C9779" t="str">
        <v>-</v>
      </c>
      <c r="D9779" t="str">
        <v>-</v>
      </c>
      <c r="E9779" t="str">
        <v>-</v>
      </c>
      <c r="F9779" t="str">
        <v>-</v>
      </c>
      <c r="G9779" t="str">
        <v>-</v>
      </c>
    </row>
    <row r="9780">
      <c r="A9780">
        <v>9779</v>
      </c>
      <c r="B9780" t="str">
        <v>Công an xã Tượng Lĩnh  tỉnh Hà Nam</v>
      </c>
      <c r="C9780" t="str">
        <v>-</v>
      </c>
      <c r="D9780" t="str">
        <v>-</v>
      </c>
      <c r="E9780" t="str">
        <v/>
      </c>
      <c r="F9780" t="str">
        <v>-</v>
      </c>
      <c r="G9780" t="str">
        <v>-</v>
      </c>
    </row>
    <row r="9781">
      <c r="A9781">
        <v>9780</v>
      </c>
      <c r="B9781" t="str">
        <v>UBND Ủy ban nhân dân xã Tượng Lĩnh  tỉnh Hà Nam</v>
      </c>
      <c r="C9781" t="str">
        <v>-</v>
      </c>
      <c r="D9781" t="str">
        <v>-</v>
      </c>
      <c r="E9781" t="str">
        <v>-</v>
      </c>
      <c r="F9781" t="str">
        <v>-</v>
      </c>
      <c r="G9781" t="str">
        <v>-</v>
      </c>
    </row>
    <row r="9782">
      <c r="A9782">
        <v>9781</v>
      </c>
      <c r="B9782" t="str">
        <v>Công an xã Nhật Tựu  tỉnh Hà Nam</v>
      </c>
      <c r="C9782" t="str">
        <v>-</v>
      </c>
      <c r="D9782" t="str">
        <v>-</v>
      </c>
      <c r="E9782" t="str">
        <v/>
      </c>
      <c r="F9782" t="str">
        <v>-</v>
      </c>
      <c r="G9782" t="str">
        <v>-</v>
      </c>
    </row>
    <row r="9783">
      <c r="A9783">
        <v>9782</v>
      </c>
      <c r="B9783" t="str">
        <v>UBND Ủy ban nhân dân xã Nhật Tựu  tỉnh Hà Nam</v>
      </c>
      <c r="C9783" t="str">
        <v>-</v>
      </c>
      <c r="D9783" t="str">
        <v>-</v>
      </c>
      <c r="E9783" t="str">
        <v>-</v>
      </c>
      <c r="F9783" t="str">
        <v>-</v>
      </c>
      <c r="G9783" t="str">
        <v>-</v>
      </c>
    </row>
    <row r="9784">
      <c r="A9784">
        <v>9783</v>
      </c>
      <c r="B9784" t="str">
        <v>Công an xã Nhật Tân  tỉnh Hà Nam</v>
      </c>
      <c r="C9784" t="str">
        <v>-</v>
      </c>
      <c r="D9784" t="str">
        <v>-</v>
      </c>
      <c r="E9784" t="str">
        <v/>
      </c>
      <c r="F9784" t="str">
        <v>-</v>
      </c>
      <c r="G9784" t="str">
        <v>-</v>
      </c>
    </row>
    <row r="9785">
      <c r="A9785">
        <v>9784</v>
      </c>
      <c r="B9785" t="str">
        <v>UBND Ủy ban nhân dân xã Nhật Tân  tỉnh Hà Nam</v>
      </c>
      <c r="C9785" t="str">
        <v>-</v>
      </c>
      <c r="D9785" t="str">
        <v>-</v>
      </c>
      <c r="E9785" t="str">
        <v>-</v>
      </c>
      <c r="F9785" t="str">
        <v>-</v>
      </c>
      <c r="G9785" t="str">
        <v>-</v>
      </c>
    </row>
    <row r="9786">
      <c r="A9786">
        <v>9785</v>
      </c>
      <c r="B9786" t="str">
        <v>Công an xã Đồng Hóa  tỉnh Hà Nam</v>
      </c>
      <c r="C9786" t="str">
        <v>-</v>
      </c>
      <c r="D9786" t="str">
        <v>-</v>
      </c>
      <c r="E9786" t="str">
        <v/>
      </c>
      <c r="F9786" t="str">
        <v>-</v>
      </c>
      <c r="G9786" t="str">
        <v>-</v>
      </c>
    </row>
    <row r="9787">
      <c r="A9787">
        <v>9786</v>
      </c>
      <c r="B9787" t="str">
        <v>UBND Ủy ban nhân dân xã Đồng Hóa  tỉnh Hà Nam</v>
      </c>
      <c r="C9787" t="str">
        <v>-</v>
      </c>
      <c r="D9787" t="str">
        <v>-</v>
      </c>
      <c r="E9787" t="str">
        <v>-</v>
      </c>
      <c r="F9787" t="str">
        <v>-</v>
      </c>
      <c r="G9787" t="str">
        <v>-</v>
      </c>
    </row>
    <row r="9788">
      <c r="A9788">
        <v>9787</v>
      </c>
      <c r="B9788" t="str">
        <v>Công an xã Hoàng Tây  tỉnh Hà Nam</v>
      </c>
      <c r="C9788" t="str">
        <v>-</v>
      </c>
      <c r="D9788" t="str">
        <v>-</v>
      </c>
      <c r="E9788" t="str">
        <v/>
      </c>
      <c r="F9788" t="str">
        <v>-</v>
      </c>
      <c r="G9788" t="str">
        <v>-</v>
      </c>
    </row>
    <row r="9789">
      <c r="A9789">
        <v>9788</v>
      </c>
      <c r="B9789" t="str">
        <v>UBND Ủy ban nhân dân xã Hoàng Tây  tỉnh Hà Nam</v>
      </c>
      <c r="C9789" t="str">
        <v>-</v>
      </c>
      <c r="D9789" t="str">
        <v>-</v>
      </c>
      <c r="E9789" t="str">
        <v>-</v>
      </c>
      <c r="F9789" t="str">
        <v>-</v>
      </c>
      <c r="G9789" t="str">
        <v>-</v>
      </c>
    </row>
    <row r="9790">
      <c r="A9790">
        <v>9789</v>
      </c>
      <c r="B9790" t="str">
        <v>Công an xã Tân Sơn  tỉnh Hà Nam</v>
      </c>
      <c r="C9790" t="str">
        <v>-</v>
      </c>
      <c r="D9790" t="str">
        <v>-</v>
      </c>
      <c r="E9790" t="str">
        <v/>
      </c>
      <c r="F9790" t="str">
        <v>-</v>
      </c>
      <c r="G9790" t="str">
        <v>-</v>
      </c>
    </row>
    <row r="9791">
      <c r="A9791">
        <v>9790</v>
      </c>
      <c r="B9791" t="str">
        <v>UBND Ủy ban nhân dân xã Tân Sơn  tỉnh Hà Nam</v>
      </c>
      <c r="C9791" t="str">
        <v>-</v>
      </c>
      <c r="D9791" t="str">
        <v>-</v>
      </c>
      <c r="E9791" t="str">
        <v>-</v>
      </c>
      <c r="F9791" t="str">
        <v>-</v>
      </c>
      <c r="G9791" t="str">
        <v>-</v>
      </c>
    </row>
    <row r="9792">
      <c r="A9792">
        <v>9791</v>
      </c>
      <c r="B9792" t="str">
        <v>Công an xã Thụy Lôi  tỉnh Hà Nam</v>
      </c>
      <c r="C9792" t="str">
        <v>-</v>
      </c>
      <c r="D9792" t="str">
        <v>-</v>
      </c>
      <c r="E9792" t="str">
        <v/>
      </c>
      <c r="F9792" t="str">
        <v>-</v>
      </c>
      <c r="G9792" t="str">
        <v>-</v>
      </c>
    </row>
    <row r="9793">
      <c r="A9793">
        <v>9792</v>
      </c>
      <c r="B9793" t="str">
        <v>UBND Ủy ban nhân dân xã Thụy Lôi  tỉnh Hà Nam</v>
      </c>
      <c r="C9793" t="str">
        <v>-</v>
      </c>
      <c r="D9793" t="str">
        <v>-</v>
      </c>
      <c r="E9793" t="str">
        <v>-</v>
      </c>
      <c r="F9793" t="str">
        <v>-</v>
      </c>
      <c r="G9793" t="str">
        <v>-</v>
      </c>
    </row>
    <row r="9794">
      <c r="A9794">
        <v>9793</v>
      </c>
      <c r="B9794" t="str">
        <v>Công an xã Văn Xá  tỉnh Hà Nam</v>
      </c>
      <c r="C9794" t="str">
        <v>-</v>
      </c>
      <c r="D9794" t="str">
        <v>-</v>
      </c>
      <c r="E9794" t="str">
        <v/>
      </c>
      <c r="F9794" t="str">
        <v>-</v>
      </c>
      <c r="G9794" t="str">
        <v>-</v>
      </c>
    </row>
    <row r="9795">
      <c r="A9795">
        <v>9794</v>
      </c>
      <c r="B9795" t="str">
        <v>UBND Ủy ban nhân dân xã Văn Xá  tỉnh Hà Nam</v>
      </c>
      <c r="C9795" t="str">
        <v>-</v>
      </c>
      <c r="D9795" t="str">
        <v>-</v>
      </c>
      <c r="E9795" t="str">
        <v>-</v>
      </c>
      <c r="F9795" t="str">
        <v>-</v>
      </c>
      <c r="G9795" t="str">
        <v>-</v>
      </c>
    </row>
    <row r="9796">
      <c r="A9796">
        <v>9795</v>
      </c>
      <c r="B9796" t="str">
        <v>Công an xã Khả Phong  tỉnh Hà Nam</v>
      </c>
      <c r="C9796" t="str">
        <v>-</v>
      </c>
      <c r="D9796" t="str">
        <v>-</v>
      </c>
      <c r="E9796" t="str">
        <v/>
      </c>
      <c r="F9796" t="str">
        <v>-</v>
      </c>
      <c r="G9796" t="str">
        <v>-</v>
      </c>
    </row>
    <row r="9797">
      <c r="A9797">
        <v>9796</v>
      </c>
      <c r="B9797" t="str">
        <v>UBND Ủy ban nhân dân xã Khả Phong  tỉnh Hà Nam</v>
      </c>
      <c r="C9797" t="str">
        <v>-</v>
      </c>
      <c r="D9797" t="str">
        <v>-</v>
      </c>
      <c r="E9797" t="str">
        <v>-</v>
      </c>
      <c r="F9797" t="str">
        <v>-</v>
      </c>
      <c r="G9797" t="str">
        <v>-</v>
      </c>
    </row>
    <row r="9798">
      <c r="A9798">
        <v>9797</v>
      </c>
      <c r="B9798" t="str">
        <v>Công an xã Ngọc Sơn  tỉnh Hà Nam</v>
      </c>
      <c r="C9798" t="str">
        <v>-</v>
      </c>
      <c r="D9798" t="str">
        <v>-</v>
      </c>
      <c r="E9798" t="str">
        <v/>
      </c>
      <c r="F9798" t="str">
        <v>-</v>
      </c>
      <c r="G9798" t="str">
        <v>-</v>
      </c>
    </row>
    <row r="9799">
      <c r="A9799">
        <v>9798</v>
      </c>
      <c r="B9799" t="str">
        <v>UBND Ủy ban nhân dân xã Ngọc Sơn  tỉnh Hà Nam</v>
      </c>
      <c r="C9799" t="str">
        <v>-</v>
      </c>
      <c r="D9799" t="str">
        <v>-</v>
      </c>
      <c r="E9799" t="str">
        <v>-</v>
      </c>
      <c r="F9799" t="str">
        <v>-</v>
      </c>
      <c r="G9799" t="str">
        <v>-</v>
      </c>
    </row>
    <row r="9800">
      <c r="A9800">
        <v>9799</v>
      </c>
      <c r="B9800" t="str">
        <v>Công an thị trấn Ba Sao  tỉnh Hà Nam</v>
      </c>
      <c r="C9800" t="str">
        <v>-</v>
      </c>
      <c r="D9800" t="str">
        <v>-</v>
      </c>
      <c r="E9800" t="str">
        <v/>
      </c>
      <c r="F9800" t="str">
        <v>-</v>
      </c>
      <c r="G9800" t="str">
        <v>-</v>
      </c>
    </row>
    <row r="9801">
      <c r="A9801">
        <v>9800</v>
      </c>
      <c r="B9801" t="str">
        <v>UBND Ủy ban nhân dân thị trấn Ba Sao  tỉnh Hà Nam</v>
      </c>
      <c r="C9801" t="str">
        <v>-</v>
      </c>
      <c r="D9801" t="str">
        <v>-</v>
      </c>
      <c r="E9801" t="str">
        <v>-</v>
      </c>
      <c r="F9801" t="str">
        <v>-</v>
      </c>
      <c r="G9801" t="str">
        <v>-</v>
      </c>
    </row>
    <row r="9802">
      <c r="A9802">
        <v>9801</v>
      </c>
      <c r="B9802" t="str">
        <v>Công an xã Liên Sơn  tỉnh Hà Nam</v>
      </c>
      <c r="C9802" t="str">
        <v>-</v>
      </c>
      <c r="D9802" t="str">
        <v>-</v>
      </c>
      <c r="E9802" t="str">
        <v/>
      </c>
      <c r="F9802" t="str">
        <v>-</v>
      </c>
      <c r="G9802" t="str">
        <v>-</v>
      </c>
    </row>
    <row r="9803">
      <c r="A9803">
        <v>9802</v>
      </c>
      <c r="B9803" t="str">
        <v>UBND Ủy ban nhân dân xã Liên Sơn  tỉnh Hà Nam</v>
      </c>
      <c r="C9803" t="str">
        <v>-</v>
      </c>
      <c r="D9803" t="str">
        <v>-</v>
      </c>
      <c r="E9803" t="str">
        <v>-</v>
      </c>
      <c r="F9803" t="str">
        <v>-</v>
      </c>
      <c r="G9803" t="str">
        <v>-</v>
      </c>
    </row>
    <row r="9804">
      <c r="A9804">
        <v>9803</v>
      </c>
      <c r="B9804" t="str">
        <v>Công an xã Thi Sơn  tỉnh Hà Nam</v>
      </c>
      <c r="C9804" t="str">
        <v>-</v>
      </c>
      <c r="D9804" t="str">
        <v>-</v>
      </c>
      <c r="E9804" t="str">
        <v/>
      </c>
      <c r="F9804" t="str">
        <v>-</v>
      </c>
      <c r="G9804" t="str">
        <v>-</v>
      </c>
    </row>
    <row r="9805">
      <c r="A9805">
        <v>9804</v>
      </c>
      <c r="B9805" t="str">
        <v>UBND Ủy ban nhân dân xã Thi Sơn  tỉnh Hà Nam</v>
      </c>
      <c r="C9805" t="str">
        <v>-</v>
      </c>
      <c r="D9805" t="str">
        <v>-</v>
      </c>
      <c r="E9805" t="str">
        <v>-</v>
      </c>
      <c r="F9805" t="str">
        <v>-</v>
      </c>
      <c r="G9805" t="str">
        <v>-</v>
      </c>
    </row>
    <row r="9806">
      <c r="A9806">
        <v>9805</v>
      </c>
      <c r="B9806" t="str">
        <v>Công an xã Thanh Sơn  tỉnh Hà Nam</v>
      </c>
      <c r="C9806" t="str">
        <v>-</v>
      </c>
      <c r="D9806" t="str">
        <v>-</v>
      </c>
      <c r="E9806" t="str">
        <v/>
      </c>
      <c r="F9806" t="str">
        <v>-</v>
      </c>
      <c r="G9806" t="str">
        <v>-</v>
      </c>
    </row>
    <row r="9807">
      <c r="A9807">
        <v>9806</v>
      </c>
      <c r="B9807" t="str">
        <v>UBND Ủy ban nhân dân xã Thanh Sơn  tỉnh Hà Nam</v>
      </c>
      <c r="C9807" t="str">
        <v>-</v>
      </c>
      <c r="D9807" t="str">
        <v>-</v>
      </c>
      <c r="E9807" t="str">
        <v>-</v>
      </c>
      <c r="F9807" t="str">
        <v>-</v>
      </c>
      <c r="G9807" t="str">
        <v>-</v>
      </c>
    </row>
    <row r="9808">
      <c r="A9808">
        <v>9807</v>
      </c>
      <c r="B9808" t="str">
        <v>Công an thị trấn Kiện Khê  tỉnh Hà Nam</v>
      </c>
      <c r="C9808" t="str">
        <v>-</v>
      </c>
      <c r="D9808" t="str">
        <v>-</v>
      </c>
      <c r="E9808" t="str">
        <v/>
      </c>
      <c r="F9808" t="str">
        <v>-</v>
      </c>
      <c r="G9808" t="str">
        <v>-</v>
      </c>
    </row>
    <row r="9809">
      <c r="A9809">
        <v>9808</v>
      </c>
      <c r="B9809" t="str">
        <v>UBND Ủy ban nhân dân thị trấn Kiện Khê  tỉnh Hà Nam</v>
      </c>
      <c r="C9809" t="str">
        <v>-</v>
      </c>
      <c r="D9809" t="str">
        <v>-</v>
      </c>
      <c r="E9809" t="str">
        <v>-</v>
      </c>
      <c r="F9809" t="str">
        <v>-</v>
      </c>
      <c r="G9809" t="str">
        <v>-</v>
      </c>
    </row>
    <row r="9810">
      <c r="A9810">
        <v>9809</v>
      </c>
      <c r="B9810" t="str">
        <v>Công an xã Liêm Phong  tỉnh Hà Nam</v>
      </c>
      <c r="C9810" t="str">
        <v>-</v>
      </c>
      <c r="D9810" t="str">
        <v>-</v>
      </c>
      <c r="E9810" t="str">
        <v/>
      </c>
      <c r="F9810" t="str">
        <v>-</v>
      </c>
      <c r="G9810" t="str">
        <v>-</v>
      </c>
    </row>
    <row r="9811">
      <c r="A9811">
        <v>9810</v>
      </c>
      <c r="B9811" t="str">
        <v>UBND Ủy ban nhân dân xã Liêm Phong  tỉnh Hà Nam</v>
      </c>
      <c r="C9811" t="str">
        <v>-</v>
      </c>
      <c r="D9811" t="str">
        <v>-</v>
      </c>
      <c r="E9811" t="str">
        <v>-</v>
      </c>
      <c r="F9811" t="str">
        <v>-</v>
      </c>
      <c r="G9811" t="str">
        <v>-</v>
      </c>
    </row>
    <row r="9812">
      <c r="A9812">
        <v>9811</v>
      </c>
      <c r="B9812" t="str">
        <v>Công an xã Thanh Hà  tỉnh Hà Nam</v>
      </c>
      <c r="C9812" t="str">
        <v>-</v>
      </c>
      <c r="D9812" t="str">
        <v>-</v>
      </c>
      <c r="E9812" t="str">
        <v/>
      </c>
      <c r="F9812" t="str">
        <v>-</v>
      </c>
      <c r="G9812" t="str">
        <v>-</v>
      </c>
    </row>
    <row r="9813">
      <c r="A9813">
        <v>9812</v>
      </c>
      <c r="B9813" t="str">
        <v>UBND Ủy ban nhân dân xã Thanh Hà  tỉnh Hà Nam</v>
      </c>
      <c r="C9813" t="str">
        <v>-</v>
      </c>
      <c r="D9813" t="str">
        <v>-</v>
      </c>
      <c r="E9813" t="str">
        <v>-</v>
      </c>
      <c r="F9813" t="str">
        <v>-</v>
      </c>
      <c r="G9813" t="str">
        <v>-</v>
      </c>
    </row>
    <row r="9814">
      <c r="A9814">
        <v>9813</v>
      </c>
      <c r="B9814" t="str">
        <v>Công an xã Liêm Cần  tỉnh Hà Nam</v>
      </c>
      <c r="C9814" t="str">
        <v>-</v>
      </c>
      <c r="D9814" t="str">
        <v>-</v>
      </c>
      <c r="E9814" t="str">
        <v/>
      </c>
      <c r="F9814" t="str">
        <v>-</v>
      </c>
      <c r="G9814" t="str">
        <v>-</v>
      </c>
    </row>
    <row r="9815">
      <c r="A9815">
        <v>9814</v>
      </c>
      <c r="B9815" t="str">
        <v>UBND Ủy ban nhân dân xã Liêm Cần  tỉnh Hà Nam</v>
      </c>
      <c r="C9815" t="str">
        <v>-</v>
      </c>
      <c r="D9815" t="str">
        <v>-</v>
      </c>
      <c r="E9815" t="str">
        <v>-</v>
      </c>
      <c r="F9815" t="str">
        <v>-</v>
      </c>
      <c r="G9815" t="str">
        <v>-</v>
      </c>
    </row>
    <row r="9816">
      <c r="A9816">
        <v>9815</v>
      </c>
      <c r="B9816" t="str">
        <v>Công an xã Thanh Bình  tỉnh Hà Nam</v>
      </c>
      <c r="C9816" t="str">
        <v>-</v>
      </c>
      <c r="D9816" t="str">
        <v>-</v>
      </c>
      <c r="E9816" t="str">
        <v/>
      </c>
      <c r="F9816" t="str">
        <v>-</v>
      </c>
      <c r="G9816" t="str">
        <v>-</v>
      </c>
    </row>
    <row r="9817">
      <c r="A9817">
        <v>9816</v>
      </c>
      <c r="B9817" t="str">
        <v>UBND Ủy ban nhân dân xã Thanh Bình  tỉnh Hà Nam</v>
      </c>
      <c r="C9817" t="str">
        <v>-</v>
      </c>
      <c r="D9817" t="str">
        <v>-</v>
      </c>
      <c r="E9817" t="str">
        <v>-</v>
      </c>
      <c r="F9817" t="str">
        <v>-</v>
      </c>
      <c r="G9817" t="str">
        <v>-</v>
      </c>
    </row>
    <row r="9818">
      <c r="A9818">
        <v>9817</v>
      </c>
      <c r="B9818" t="str">
        <v>Công an xã Liêm Thuận  tỉnh Hà Nam</v>
      </c>
      <c r="C9818" t="str">
        <v>-</v>
      </c>
      <c r="D9818" t="str">
        <v>-</v>
      </c>
      <c r="E9818" t="str">
        <v/>
      </c>
      <c r="F9818" t="str">
        <v>-</v>
      </c>
      <c r="G9818" t="str">
        <v>-</v>
      </c>
    </row>
    <row r="9819">
      <c r="A9819">
        <v>9818</v>
      </c>
      <c r="B9819" t="str">
        <v>UBND Ủy ban nhân dân xã Liêm Thuận  tỉnh Hà Nam</v>
      </c>
      <c r="C9819" t="str">
        <v>-</v>
      </c>
      <c r="D9819" t="str">
        <v>-</v>
      </c>
      <c r="E9819" t="str">
        <v>-</v>
      </c>
      <c r="F9819" t="str">
        <v>-</v>
      </c>
      <c r="G9819" t="str">
        <v>-</v>
      </c>
    </row>
    <row r="9820">
      <c r="A9820">
        <v>9819</v>
      </c>
      <c r="B9820" t="str">
        <v>Công an xã Thanh Thủy  tỉnh Hà Nam</v>
      </c>
      <c r="C9820" t="str">
        <v>-</v>
      </c>
      <c r="D9820" t="str">
        <v>-</v>
      </c>
      <c r="E9820" t="str">
        <v/>
      </c>
      <c r="F9820" t="str">
        <v>-</v>
      </c>
      <c r="G9820" t="str">
        <v>-</v>
      </c>
    </row>
    <row r="9821">
      <c r="A9821">
        <v>9820</v>
      </c>
      <c r="B9821" t="str">
        <v>UBND Ủy ban nhân dân xã Thanh Thủy  tỉnh Hà Nam</v>
      </c>
      <c r="C9821" t="str">
        <v>-</v>
      </c>
      <c r="D9821" t="str">
        <v>-</v>
      </c>
      <c r="E9821" t="str">
        <v>-</v>
      </c>
      <c r="F9821" t="str">
        <v>-</v>
      </c>
      <c r="G9821" t="str">
        <v>-</v>
      </c>
    </row>
    <row r="9822">
      <c r="A9822">
        <v>9821</v>
      </c>
      <c r="B9822" t="str">
        <v>Công an xã Thanh Phong  tỉnh Hà Nam</v>
      </c>
      <c r="C9822" t="str">
        <v>-</v>
      </c>
      <c r="D9822" t="str">
        <v>-</v>
      </c>
      <c r="E9822" t="str">
        <v/>
      </c>
      <c r="F9822" t="str">
        <v>-</v>
      </c>
      <c r="G9822" t="str">
        <v>-</v>
      </c>
    </row>
    <row r="9823">
      <c r="A9823">
        <v>9822</v>
      </c>
      <c r="B9823" t="str">
        <v>UBND Ủy ban nhân dân xã Thanh Phong  tỉnh Hà Nam</v>
      </c>
      <c r="C9823" t="str">
        <v>-</v>
      </c>
      <c r="D9823" t="str">
        <v>-</v>
      </c>
      <c r="E9823" t="str">
        <v>-</v>
      </c>
      <c r="F9823" t="str">
        <v>-</v>
      </c>
      <c r="G9823" t="str">
        <v>-</v>
      </c>
    </row>
    <row r="9824">
      <c r="A9824">
        <v>9823</v>
      </c>
      <c r="B9824" t="str">
        <v>Công an xã Thanh Lưu  tỉnh Hà Nam</v>
      </c>
      <c r="C9824" t="str">
        <v>-</v>
      </c>
      <c r="D9824" t="str">
        <v>-</v>
      </c>
      <c r="E9824" t="str">
        <v/>
      </c>
      <c r="F9824" t="str">
        <v>-</v>
      </c>
      <c r="G9824" t="str">
        <v>-</v>
      </c>
    </row>
    <row r="9825">
      <c r="A9825">
        <v>9824</v>
      </c>
      <c r="B9825" t="str">
        <v>UBND Ủy ban nhân dân xã Thanh Lưu  tỉnh Hà Nam</v>
      </c>
      <c r="C9825" t="str">
        <v>-</v>
      </c>
      <c r="D9825" t="str">
        <v>-</v>
      </c>
      <c r="E9825" t="str">
        <v>-</v>
      </c>
      <c r="F9825" t="str">
        <v>-</v>
      </c>
      <c r="G9825" t="str">
        <v>-</v>
      </c>
    </row>
    <row r="9826">
      <c r="A9826">
        <v>9825</v>
      </c>
      <c r="B9826" t="str">
        <v>Công an xã Thanh Tân  tỉnh Hà Nam</v>
      </c>
      <c r="C9826" t="str">
        <v>-</v>
      </c>
      <c r="D9826" t="str">
        <v>-</v>
      </c>
      <c r="E9826" t="str">
        <v/>
      </c>
      <c r="F9826" t="str">
        <v>-</v>
      </c>
      <c r="G9826" t="str">
        <v>-</v>
      </c>
    </row>
    <row r="9827">
      <c r="A9827">
        <v>9826</v>
      </c>
      <c r="B9827" t="str">
        <v>UBND Ủy ban nhân dân xã Thanh Tân  tỉnh Hà Nam</v>
      </c>
      <c r="C9827" t="str">
        <v>-</v>
      </c>
      <c r="D9827" t="str">
        <v>-</v>
      </c>
      <c r="E9827" t="str">
        <v>-</v>
      </c>
      <c r="F9827" t="str">
        <v>-</v>
      </c>
      <c r="G9827" t="str">
        <v>-</v>
      </c>
    </row>
    <row r="9828">
      <c r="A9828">
        <v>9827</v>
      </c>
      <c r="B9828" t="str">
        <v>Công an xã Liêm Túc  tỉnh Hà Nam</v>
      </c>
      <c r="C9828" t="str">
        <v>-</v>
      </c>
      <c r="D9828" t="str">
        <v>-</v>
      </c>
      <c r="E9828" t="str">
        <v/>
      </c>
      <c r="F9828" t="str">
        <v>-</v>
      </c>
      <c r="G9828" t="str">
        <v>-</v>
      </c>
    </row>
    <row r="9829">
      <c r="A9829">
        <v>9828</v>
      </c>
      <c r="B9829" t="str">
        <v>UBND Ủy ban nhân dân xã Liêm Túc  tỉnh Hà Nam</v>
      </c>
      <c r="C9829" t="str">
        <v>-</v>
      </c>
      <c r="D9829" t="str">
        <v>-</v>
      </c>
      <c r="E9829" t="str">
        <v>-</v>
      </c>
      <c r="F9829" t="str">
        <v>-</v>
      </c>
      <c r="G9829" t="str">
        <v>-</v>
      </c>
    </row>
    <row r="9830">
      <c r="A9830">
        <v>9829</v>
      </c>
      <c r="B9830" t="str">
        <v>Công an xã Liêm Sơn  tỉnh Hà Nam</v>
      </c>
      <c r="C9830" t="str">
        <v>-</v>
      </c>
      <c r="D9830" t="str">
        <v>-</v>
      </c>
      <c r="E9830" t="str">
        <v/>
      </c>
      <c r="F9830" t="str">
        <v>-</v>
      </c>
      <c r="G9830" t="str">
        <v>-</v>
      </c>
    </row>
    <row r="9831">
      <c r="A9831">
        <v>9830</v>
      </c>
      <c r="B9831" t="str">
        <v>UBND Ủy ban nhân dân xã Liêm Sơn  tỉnh Hà Nam</v>
      </c>
      <c r="C9831" t="str">
        <v>-</v>
      </c>
      <c r="D9831" t="str">
        <v>-</v>
      </c>
      <c r="E9831" t="str">
        <v>-</v>
      </c>
      <c r="F9831" t="str">
        <v>-</v>
      </c>
      <c r="G9831" t="str">
        <v>-</v>
      </c>
    </row>
    <row r="9832">
      <c r="A9832">
        <v>9831</v>
      </c>
      <c r="B9832" t="str">
        <v>Công an xã Thanh Hương  tỉnh Hà Nam</v>
      </c>
      <c r="C9832" t="str">
        <v>-</v>
      </c>
      <c r="D9832" t="str">
        <v>-</v>
      </c>
      <c r="E9832" t="str">
        <v/>
      </c>
      <c r="F9832" t="str">
        <v>-</v>
      </c>
      <c r="G9832" t="str">
        <v>-</v>
      </c>
    </row>
    <row r="9833">
      <c r="A9833">
        <v>9832</v>
      </c>
      <c r="B9833" t="str">
        <v>UBND Ủy ban nhân dân xã Thanh Hương  tỉnh Hà Nam</v>
      </c>
      <c r="C9833" t="str">
        <v>-</v>
      </c>
      <c r="D9833" t="str">
        <v>-</v>
      </c>
      <c r="E9833" t="str">
        <v>-</v>
      </c>
      <c r="F9833" t="str">
        <v>-</v>
      </c>
      <c r="G9833" t="str">
        <v>-</v>
      </c>
    </row>
    <row r="9834">
      <c r="A9834">
        <v>9833</v>
      </c>
      <c r="B9834" t="str">
        <v>Công an xã Thanh Nghị  tỉnh Hà Nam</v>
      </c>
      <c r="C9834" t="str">
        <v>-</v>
      </c>
      <c r="D9834" t="str">
        <v>-</v>
      </c>
      <c r="E9834" t="str">
        <v/>
      </c>
      <c r="F9834" t="str">
        <v>-</v>
      </c>
      <c r="G9834" t="str">
        <v>-</v>
      </c>
    </row>
    <row r="9835">
      <c r="A9835">
        <v>9834</v>
      </c>
      <c r="B9835" t="str">
        <v>UBND Ủy ban nhân dân xã Thanh Nghị  tỉnh Hà Nam</v>
      </c>
      <c r="C9835" t="str">
        <v>-</v>
      </c>
      <c r="D9835" t="str">
        <v>-</v>
      </c>
      <c r="E9835" t="str">
        <v>-</v>
      </c>
      <c r="F9835" t="str">
        <v>-</v>
      </c>
      <c r="G9835" t="str">
        <v>-</v>
      </c>
    </row>
    <row r="9836">
      <c r="A9836">
        <v>9835</v>
      </c>
      <c r="B9836" t="str">
        <v>Công an xã Thanh Tâm  tỉnh Hà Nam</v>
      </c>
      <c r="C9836" t="str">
        <v>-</v>
      </c>
      <c r="D9836" t="str">
        <v>-</v>
      </c>
      <c r="E9836" t="str">
        <v/>
      </c>
      <c r="F9836" t="str">
        <v>-</v>
      </c>
      <c r="G9836" t="str">
        <v>-</v>
      </c>
    </row>
    <row r="9837">
      <c r="A9837">
        <v>9836</v>
      </c>
      <c r="B9837" t="str">
        <v>UBND Ủy ban nhân dân xã Thanh Tâm  tỉnh Hà Nam</v>
      </c>
      <c r="C9837" t="str">
        <v>-</v>
      </c>
      <c r="D9837" t="str">
        <v>-</v>
      </c>
      <c r="E9837" t="str">
        <v>-</v>
      </c>
      <c r="F9837" t="str">
        <v>-</v>
      </c>
      <c r="G9837" t="str">
        <v>-</v>
      </c>
    </row>
    <row r="9838">
      <c r="A9838">
        <v>9837</v>
      </c>
      <c r="B9838" t="str">
        <v>Công an xã Thanh Nguyên  tỉnh Hà Nam</v>
      </c>
      <c r="C9838" t="str">
        <v>-</v>
      </c>
      <c r="D9838" t="str">
        <v>-</v>
      </c>
      <c r="E9838" t="str">
        <v/>
      </c>
      <c r="F9838" t="str">
        <v>-</v>
      </c>
      <c r="G9838" t="str">
        <v>-</v>
      </c>
    </row>
    <row r="9839">
      <c r="A9839">
        <v>9838</v>
      </c>
      <c r="B9839" t="str">
        <v>UBND Ủy ban nhân dân xã Thanh Nguyên  tỉnh Hà Nam</v>
      </c>
      <c r="C9839" t="str">
        <v>-</v>
      </c>
      <c r="D9839" t="str">
        <v>-</v>
      </c>
      <c r="E9839" t="str">
        <v>-</v>
      </c>
      <c r="F9839" t="str">
        <v>-</v>
      </c>
      <c r="G9839" t="str">
        <v>-</v>
      </c>
    </row>
    <row r="9840">
      <c r="A9840">
        <v>9839</v>
      </c>
      <c r="B9840" t="str">
        <v>Công an xã Thanh Hải  tỉnh Hà Nam</v>
      </c>
      <c r="C9840" t="str">
        <v>-</v>
      </c>
      <c r="D9840" t="str">
        <v>-</v>
      </c>
      <c r="E9840" t="str">
        <v/>
      </c>
      <c r="F9840" t="str">
        <v>-</v>
      </c>
      <c r="G9840" t="str">
        <v>-</v>
      </c>
    </row>
    <row r="9841">
      <c r="A9841">
        <v>9840</v>
      </c>
      <c r="B9841" t="str">
        <v>UBND Ủy ban nhân dân xã Thanh Hải  tỉnh Hà Nam</v>
      </c>
      <c r="C9841" t="str">
        <v>-</v>
      </c>
      <c r="D9841" t="str">
        <v>-</v>
      </c>
      <c r="E9841" t="str">
        <v>-</v>
      </c>
      <c r="F9841" t="str">
        <v>-</v>
      </c>
      <c r="G9841" t="str">
        <v>-</v>
      </c>
    </row>
    <row r="9842">
      <c r="A9842">
        <v>9841</v>
      </c>
      <c r="B9842" t="str">
        <v>Công an thị trấn Bình Mỹ  tỉnh Hà Nam</v>
      </c>
      <c r="C9842" t="str">
        <v>-</v>
      </c>
      <c r="D9842" t="str">
        <v>-</v>
      </c>
      <c r="E9842" t="str">
        <v/>
      </c>
      <c r="F9842" t="str">
        <v>-</v>
      </c>
      <c r="G9842" t="str">
        <v>-</v>
      </c>
    </row>
    <row r="9843">
      <c r="A9843">
        <v>9842</v>
      </c>
      <c r="B9843" t="str">
        <v>UBND Ủy ban nhân dân thị trấn Bình Mỹ  tỉnh Hà Nam</v>
      </c>
      <c r="C9843" t="str">
        <v>-</v>
      </c>
      <c r="D9843" t="str">
        <v>-</v>
      </c>
      <c r="E9843" t="str">
        <v>-</v>
      </c>
      <c r="F9843" t="str">
        <v>-</v>
      </c>
      <c r="G9843" t="str">
        <v>-</v>
      </c>
    </row>
    <row r="9844">
      <c r="A9844">
        <v>9843</v>
      </c>
      <c r="B9844" t="str">
        <v>Công an xã Bình Nghĩa  tỉnh Hà Nam</v>
      </c>
      <c r="C9844" t="str">
        <v>-</v>
      </c>
      <c r="D9844" t="str">
        <v>-</v>
      </c>
      <c r="E9844" t="str">
        <v/>
      </c>
      <c r="F9844" t="str">
        <v>-</v>
      </c>
      <c r="G9844" t="str">
        <v>-</v>
      </c>
    </row>
    <row r="9845">
      <c r="A9845">
        <v>9844</v>
      </c>
      <c r="B9845" t="str">
        <v>UBND Ủy ban nhân dân xã Bình Nghĩa  tỉnh Hà Nam</v>
      </c>
      <c r="C9845" t="str">
        <v>-</v>
      </c>
      <c r="D9845" t="str">
        <v>-</v>
      </c>
      <c r="E9845" t="str">
        <v>-</v>
      </c>
      <c r="F9845" t="str">
        <v>-</v>
      </c>
      <c r="G9845" t="str">
        <v>-</v>
      </c>
    </row>
    <row r="9846">
      <c r="A9846">
        <v>9845</v>
      </c>
      <c r="B9846" t="str">
        <v>Công an xã Tràng An  tỉnh Hà Nam</v>
      </c>
      <c r="C9846" t="str">
        <v>-</v>
      </c>
      <c r="D9846" t="str">
        <v>-</v>
      </c>
      <c r="E9846" t="str">
        <v/>
      </c>
      <c r="F9846" t="str">
        <v>-</v>
      </c>
      <c r="G9846" t="str">
        <v>-</v>
      </c>
    </row>
    <row r="9847">
      <c r="A9847">
        <v>9846</v>
      </c>
      <c r="B9847" t="str">
        <v>UBND Ủy ban nhân dân xã Tràng An  tỉnh Hà Nam</v>
      </c>
      <c r="C9847" t="str">
        <v>-</v>
      </c>
      <c r="D9847" t="str">
        <v>-</v>
      </c>
      <c r="E9847" t="str">
        <v>-</v>
      </c>
      <c r="F9847" t="str">
        <v>-</v>
      </c>
      <c r="G9847" t="str">
        <v>-</v>
      </c>
    </row>
    <row r="9848">
      <c r="A9848">
        <v>9847</v>
      </c>
      <c r="B9848" t="str">
        <v>Công an xã Đồng Du  tỉnh Hà Nam</v>
      </c>
      <c r="C9848" t="str">
        <v>-</v>
      </c>
      <c r="D9848" t="str">
        <v>-</v>
      </c>
      <c r="E9848" t="str">
        <v/>
      </c>
      <c r="F9848" t="str">
        <v>-</v>
      </c>
      <c r="G9848" t="str">
        <v>-</v>
      </c>
    </row>
    <row r="9849">
      <c r="A9849">
        <v>9848</v>
      </c>
      <c r="B9849" t="str">
        <v>UBND Ủy ban nhân dân xã Đồng Du  tỉnh Hà Nam</v>
      </c>
      <c r="C9849" t="str">
        <v>-</v>
      </c>
      <c r="D9849" t="str">
        <v>-</v>
      </c>
      <c r="E9849" t="str">
        <v>-</v>
      </c>
      <c r="F9849" t="str">
        <v>-</v>
      </c>
      <c r="G9849" t="str">
        <v>-</v>
      </c>
    </row>
    <row r="9850">
      <c r="A9850">
        <v>9849</v>
      </c>
      <c r="B9850" t="str">
        <v>Công an xã Ngọc Lũ  tỉnh Hà Nam</v>
      </c>
      <c r="C9850" t="str">
        <v>-</v>
      </c>
      <c r="D9850" t="str">
        <v>-</v>
      </c>
      <c r="E9850" t="str">
        <v/>
      </c>
      <c r="F9850" t="str">
        <v>-</v>
      </c>
      <c r="G9850" t="str">
        <v>-</v>
      </c>
    </row>
    <row r="9851">
      <c r="A9851">
        <v>9850</v>
      </c>
      <c r="B9851" t="str">
        <v>UBND Ủy ban nhân dân xã Ngọc Lũ  tỉnh Hà Nam</v>
      </c>
      <c r="C9851" t="str">
        <v>-</v>
      </c>
      <c r="D9851" t="str">
        <v>-</v>
      </c>
      <c r="E9851" t="str">
        <v>-</v>
      </c>
      <c r="F9851" t="str">
        <v>-</v>
      </c>
      <c r="G9851" t="str">
        <v>-</v>
      </c>
    </row>
    <row r="9852">
      <c r="A9852">
        <v>9851</v>
      </c>
      <c r="B9852" t="str">
        <v>Công an xã Hưng Công  tỉnh Hà Nam</v>
      </c>
      <c r="C9852" t="str">
        <v>-</v>
      </c>
      <c r="D9852" t="str">
        <v>-</v>
      </c>
      <c r="E9852" t="str">
        <v/>
      </c>
      <c r="F9852" t="str">
        <v>-</v>
      </c>
      <c r="G9852" t="str">
        <v>-</v>
      </c>
    </row>
    <row r="9853">
      <c r="A9853">
        <v>9852</v>
      </c>
      <c r="B9853" t="str">
        <v>UBND Ủy ban nhân dân xã Hưng Công  tỉnh Hà Nam</v>
      </c>
      <c r="C9853" t="str">
        <v>-</v>
      </c>
      <c r="D9853" t="str">
        <v>-</v>
      </c>
      <c r="E9853" t="str">
        <v>-</v>
      </c>
      <c r="F9853" t="str">
        <v>-</v>
      </c>
      <c r="G9853" t="str">
        <v>-</v>
      </c>
    </row>
    <row r="9854">
      <c r="A9854">
        <v>9853</v>
      </c>
      <c r="B9854" t="str">
        <v>Công an xã Đồn Xá  tỉnh Hà Nam</v>
      </c>
      <c r="C9854" t="str">
        <v>-</v>
      </c>
      <c r="D9854" t="str">
        <v>-</v>
      </c>
      <c r="E9854" t="str">
        <v/>
      </c>
      <c r="F9854" t="str">
        <v>-</v>
      </c>
      <c r="G9854" t="str">
        <v>-</v>
      </c>
    </row>
    <row r="9855">
      <c r="A9855">
        <v>9854</v>
      </c>
      <c r="B9855" t="str">
        <v>UBND Ủy ban nhân dân xã Đồn Xá  tỉnh Hà Nam</v>
      </c>
      <c r="C9855" t="str">
        <v>-</v>
      </c>
      <c r="D9855" t="str">
        <v>-</v>
      </c>
      <c r="E9855" t="str">
        <v>-</v>
      </c>
      <c r="F9855" t="str">
        <v>-</v>
      </c>
      <c r="G9855" t="str">
        <v>-</v>
      </c>
    </row>
    <row r="9856">
      <c r="A9856">
        <v>9855</v>
      </c>
      <c r="B9856" t="str">
        <v>Công an xã An Ninh  tỉnh Hà Nam</v>
      </c>
      <c r="C9856" t="str">
        <v>-</v>
      </c>
      <c r="D9856" t="str">
        <v>-</v>
      </c>
      <c r="E9856" t="str">
        <v/>
      </c>
      <c r="F9856" t="str">
        <v>-</v>
      </c>
      <c r="G9856" t="str">
        <v>-</v>
      </c>
    </row>
    <row r="9857">
      <c r="A9857">
        <v>9856</v>
      </c>
      <c r="B9857" t="str">
        <v>UBND Ủy ban nhân dân xã An Ninh  tỉnh Hà Nam</v>
      </c>
      <c r="C9857" t="str">
        <v>-</v>
      </c>
      <c r="D9857" t="str">
        <v>-</v>
      </c>
      <c r="E9857" t="str">
        <v>-</v>
      </c>
      <c r="F9857" t="str">
        <v>-</v>
      </c>
      <c r="G9857" t="str">
        <v>-</v>
      </c>
    </row>
    <row r="9858">
      <c r="A9858">
        <v>9857</v>
      </c>
      <c r="B9858" t="str">
        <v>Công an xã Bồ Đề  tỉnh Hà Nam</v>
      </c>
      <c r="C9858" t="str">
        <v>-</v>
      </c>
      <c r="D9858" t="str">
        <v>-</v>
      </c>
      <c r="E9858" t="str">
        <v/>
      </c>
      <c r="F9858" t="str">
        <v>-</v>
      </c>
      <c r="G9858" t="str">
        <v>-</v>
      </c>
    </row>
    <row r="9859">
      <c r="A9859">
        <v>9858</v>
      </c>
      <c r="B9859" t="str">
        <v>UBND Ủy ban nhân dân xã Bồ Đề  tỉnh Hà Nam</v>
      </c>
      <c r="C9859" t="str">
        <v>-</v>
      </c>
      <c r="D9859" t="str">
        <v>-</v>
      </c>
      <c r="E9859" t="str">
        <v>-</v>
      </c>
      <c r="F9859" t="str">
        <v>-</v>
      </c>
      <c r="G9859" t="str">
        <v>-</v>
      </c>
    </row>
    <row r="9860">
      <c r="A9860">
        <v>9859</v>
      </c>
      <c r="B9860" t="str">
        <v>Công an xã Bối Cầu  tỉnh Hà Nam</v>
      </c>
      <c r="C9860" t="str">
        <v>-</v>
      </c>
      <c r="D9860" t="str">
        <v>-</v>
      </c>
      <c r="E9860" t="str">
        <v/>
      </c>
      <c r="F9860" t="str">
        <v>-</v>
      </c>
      <c r="G9860" t="str">
        <v>-</v>
      </c>
    </row>
    <row r="9861">
      <c r="A9861">
        <v>9860</v>
      </c>
      <c r="B9861" t="str">
        <v>UBND Ủy ban nhân dân xã Bối Cầu  tỉnh Hà Nam</v>
      </c>
      <c r="C9861" t="str">
        <v>-</v>
      </c>
      <c r="D9861" t="str">
        <v>-</v>
      </c>
      <c r="E9861" t="str">
        <v>-</v>
      </c>
      <c r="F9861" t="str">
        <v>-</v>
      </c>
      <c r="G9861" t="str">
        <v>-</v>
      </c>
    </row>
    <row r="9862">
      <c r="A9862">
        <v>9861</v>
      </c>
      <c r="B9862" t="str">
        <v>Công an xã An Mỹ  tỉnh Hà Nam</v>
      </c>
      <c r="C9862" t="str">
        <v>-</v>
      </c>
      <c r="D9862" t="str">
        <v>-</v>
      </c>
      <c r="E9862" t="str">
        <v/>
      </c>
      <c r="F9862" t="str">
        <v>-</v>
      </c>
      <c r="G9862" t="str">
        <v>-</v>
      </c>
    </row>
    <row r="9863">
      <c r="A9863">
        <v>9862</v>
      </c>
      <c r="B9863" t="str">
        <v>UBND Ủy ban nhân dân xã An Mỹ  tỉnh Hà Nam</v>
      </c>
      <c r="C9863" t="str">
        <v>-</v>
      </c>
      <c r="D9863" t="str">
        <v>-</v>
      </c>
      <c r="E9863" t="str">
        <v>-</v>
      </c>
      <c r="F9863" t="str">
        <v>-</v>
      </c>
      <c r="G9863" t="str">
        <v>-</v>
      </c>
    </row>
    <row r="9864">
      <c r="A9864">
        <v>9863</v>
      </c>
      <c r="B9864" t="str">
        <v>Công an xã An Nội  tỉnh Hà Nam</v>
      </c>
      <c r="C9864" t="str">
        <v>-</v>
      </c>
      <c r="D9864" t="str">
        <v>-</v>
      </c>
      <c r="E9864" t="str">
        <v/>
      </c>
      <c r="F9864" t="str">
        <v>-</v>
      </c>
      <c r="G9864" t="str">
        <v>-</v>
      </c>
    </row>
    <row r="9865">
      <c r="A9865">
        <v>9864</v>
      </c>
      <c r="B9865" t="str">
        <v>UBND Ủy ban nhân dân xã An Nội  tỉnh Hà Nam</v>
      </c>
      <c r="C9865" t="str">
        <v>-</v>
      </c>
      <c r="D9865" t="str">
        <v>-</v>
      </c>
      <c r="E9865" t="str">
        <v>-</v>
      </c>
      <c r="F9865" t="str">
        <v>-</v>
      </c>
      <c r="G9865" t="str">
        <v>-</v>
      </c>
    </row>
    <row r="9866">
      <c r="A9866">
        <v>9865</v>
      </c>
      <c r="B9866" t="str">
        <v>Công an xã Vũ Bản  tỉnh Hà Nam</v>
      </c>
      <c r="C9866" t="str">
        <v>-</v>
      </c>
      <c r="D9866" t="str">
        <v>-</v>
      </c>
      <c r="E9866" t="str">
        <v/>
      </c>
      <c r="F9866" t="str">
        <v>-</v>
      </c>
      <c r="G9866" t="str">
        <v>-</v>
      </c>
    </row>
    <row r="9867">
      <c r="A9867">
        <v>9866</v>
      </c>
      <c r="B9867" t="str">
        <v>UBND Ủy ban nhân dân xã Vũ Bản  tỉnh Hà Nam</v>
      </c>
      <c r="C9867" t="str">
        <v>-</v>
      </c>
      <c r="D9867" t="str">
        <v>-</v>
      </c>
      <c r="E9867" t="str">
        <v>-</v>
      </c>
      <c r="F9867" t="str">
        <v>-</v>
      </c>
      <c r="G9867" t="str">
        <v>-</v>
      </c>
    </row>
    <row r="9868">
      <c r="A9868">
        <v>9867</v>
      </c>
      <c r="B9868" t="str">
        <v>Công an xã Trung Lương  tỉnh Hà Nam</v>
      </c>
      <c r="C9868" t="str">
        <v>-</v>
      </c>
      <c r="D9868" t="str">
        <v>-</v>
      </c>
      <c r="E9868" t="str">
        <v/>
      </c>
      <c r="F9868" t="str">
        <v>-</v>
      </c>
      <c r="G9868" t="str">
        <v>-</v>
      </c>
    </row>
    <row r="9869">
      <c r="A9869">
        <v>9868</v>
      </c>
      <c r="B9869" t="str">
        <v>UBND Ủy ban nhân dân xã Trung Lương  tỉnh Hà Nam</v>
      </c>
      <c r="C9869" t="str">
        <v>-</v>
      </c>
      <c r="D9869" t="str">
        <v>-</v>
      </c>
      <c r="E9869" t="str">
        <v>-</v>
      </c>
      <c r="F9869" t="str">
        <v>-</v>
      </c>
      <c r="G9869" t="str">
        <v>-</v>
      </c>
    </row>
    <row r="9870">
      <c r="A9870">
        <v>9869</v>
      </c>
      <c r="B9870" t="str">
        <v>Công an xã Mỹ Thọ  tỉnh Hà Nam</v>
      </c>
      <c r="C9870" t="str">
        <v>-</v>
      </c>
      <c r="D9870" t="str">
        <v>-</v>
      </c>
      <c r="E9870" t="str">
        <v/>
      </c>
      <c r="F9870" t="str">
        <v>-</v>
      </c>
      <c r="G9870" t="str">
        <v>-</v>
      </c>
    </row>
    <row r="9871">
      <c r="A9871">
        <v>9870</v>
      </c>
      <c r="B9871" t="str">
        <v>UBND Ủy ban nhân dân xã Mỹ Thọ  tỉnh Hà Nam</v>
      </c>
      <c r="C9871" t="str">
        <v>-</v>
      </c>
      <c r="D9871" t="str">
        <v>-</v>
      </c>
      <c r="E9871" t="str">
        <v>-</v>
      </c>
      <c r="F9871" t="str">
        <v>-</v>
      </c>
      <c r="G9871" t="str">
        <v>-</v>
      </c>
    </row>
    <row r="9872">
      <c r="A9872">
        <v>9871</v>
      </c>
      <c r="B9872" t="str">
        <v>Công an xã An Đổ  tỉnh Hà Nam</v>
      </c>
      <c r="C9872" t="str">
        <v>-</v>
      </c>
      <c r="D9872" t="str">
        <v>-</v>
      </c>
      <c r="E9872" t="str">
        <v/>
      </c>
      <c r="F9872" t="str">
        <v>-</v>
      </c>
      <c r="G9872" t="str">
        <v>-</v>
      </c>
    </row>
    <row r="9873">
      <c r="A9873">
        <v>9872</v>
      </c>
      <c r="B9873" t="str">
        <v>UBND Ủy ban nhân dân xã An Đổ  tỉnh Hà Nam</v>
      </c>
      <c r="C9873" t="str">
        <v>-</v>
      </c>
      <c r="D9873" t="str">
        <v>-</v>
      </c>
      <c r="E9873" t="str">
        <v>-</v>
      </c>
      <c r="F9873" t="str">
        <v>-</v>
      </c>
      <c r="G9873" t="str">
        <v>-</v>
      </c>
    </row>
    <row r="9874">
      <c r="A9874">
        <v>9873</v>
      </c>
      <c r="B9874" t="str">
        <v>Công an xã La Sơn  tỉnh Hà Nam</v>
      </c>
      <c r="C9874" t="str">
        <v>-</v>
      </c>
      <c r="D9874" t="str">
        <v>-</v>
      </c>
      <c r="E9874" t="str">
        <v/>
      </c>
      <c r="F9874" t="str">
        <v>-</v>
      </c>
      <c r="G9874" t="str">
        <v>-</v>
      </c>
    </row>
    <row r="9875">
      <c r="A9875">
        <v>9874</v>
      </c>
      <c r="B9875" t="str">
        <v>UBND Ủy ban nhân dân xã La Sơn  tỉnh Hà Nam</v>
      </c>
      <c r="C9875" t="str">
        <v>-</v>
      </c>
      <c r="D9875" t="str">
        <v>-</v>
      </c>
      <c r="E9875" t="str">
        <v>-</v>
      </c>
      <c r="F9875" t="str">
        <v>-</v>
      </c>
      <c r="G9875" t="str">
        <v>-</v>
      </c>
    </row>
    <row r="9876">
      <c r="A9876">
        <v>9875</v>
      </c>
      <c r="B9876" t="str">
        <v>Công an xã Tiêu Động  tỉnh Hà Nam</v>
      </c>
      <c r="C9876" t="str">
        <v>-</v>
      </c>
      <c r="D9876" t="str">
        <v>-</v>
      </c>
      <c r="E9876" t="str">
        <v/>
      </c>
      <c r="F9876" t="str">
        <v>-</v>
      </c>
      <c r="G9876" t="str">
        <v>-</v>
      </c>
    </row>
    <row r="9877">
      <c r="A9877">
        <v>9876</v>
      </c>
      <c r="B9877" t="str">
        <v>UBND Ủy ban nhân dân xã Tiêu Động  tỉnh Hà Nam</v>
      </c>
      <c r="C9877" t="str">
        <v>-</v>
      </c>
      <c r="D9877" t="str">
        <v>-</v>
      </c>
      <c r="E9877" t="str">
        <v>-</v>
      </c>
      <c r="F9877" t="str">
        <v>-</v>
      </c>
      <c r="G9877" t="str">
        <v>-</v>
      </c>
    </row>
    <row r="9878">
      <c r="A9878">
        <v>9877</v>
      </c>
      <c r="B9878" t="str">
        <v>Công an xã An Lão  tỉnh Hà Nam</v>
      </c>
      <c r="C9878" t="str">
        <v>-</v>
      </c>
      <c r="D9878" t="str">
        <v>-</v>
      </c>
      <c r="E9878" t="str">
        <v/>
      </c>
      <c r="F9878" t="str">
        <v>-</v>
      </c>
      <c r="G9878" t="str">
        <v>-</v>
      </c>
    </row>
    <row r="9879">
      <c r="A9879">
        <v>9878</v>
      </c>
      <c r="B9879" t="str">
        <v>UBND Ủy ban nhân dân xã An Lão  tỉnh Hà Nam</v>
      </c>
      <c r="C9879" t="str">
        <v>-</v>
      </c>
      <c r="D9879" t="str">
        <v>-</v>
      </c>
      <c r="E9879" t="str">
        <v>-</v>
      </c>
      <c r="F9879" t="str">
        <v>-</v>
      </c>
      <c r="G9879" t="str">
        <v>-</v>
      </c>
    </row>
    <row r="9880">
      <c r="A9880">
        <v>9879</v>
      </c>
      <c r="B9880" t="str">
        <v>Công an thị trấn Vĩnh Trụ  tỉnh Hà Nam</v>
      </c>
      <c r="C9880" t="str">
        <v>-</v>
      </c>
      <c r="D9880" t="str">
        <v>-</v>
      </c>
      <c r="E9880" t="str">
        <v/>
      </c>
      <c r="F9880" t="str">
        <v>-</v>
      </c>
      <c r="G9880" t="str">
        <v>-</v>
      </c>
    </row>
    <row r="9881">
      <c r="A9881">
        <v>9880</v>
      </c>
      <c r="B9881" t="str">
        <v>UBND Ủy ban nhân dân thị trấn Vĩnh Trụ  tỉnh Hà Nam</v>
      </c>
      <c r="C9881" t="str">
        <v>-</v>
      </c>
      <c r="D9881" t="str">
        <v>-</v>
      </c>
      <c r="E9881" t="str">
        <v>-</v>
      </c>
      <c r="F9881" t="str">
        <v>-</v>
      </c>
      <c r="G9881" t="str">
        <v>-</v>
      </c>
    </row>
    <row r="9882">
      <c r="A9882">
        <v>9881</v>
      </c>
      <c r="B9882" t="str">
        <v>Công an xã Hợp Lý  tỉnh Hà Nam</v>
      </c>
      <c r="C9882" t="str">
        <v>-</v>
      </c>
      <c r="D9882" t="str">
        <v>-</v>
      </c>
      <c r="E9882" t="str">
        <v/>
      </c>
      <c r="F9882" t="str">
        <v>-</v>
      </c>
      <c r="G9882" t="str">
        <v>-</v>
      </c>
    </row>
    <row r="9883">
      <c r="A9883">
        <v>9882</v>
      </c>
      <c r="B9883" t="str">
        <v>UBND Ủy ban nhân dân xã Hợp Lý  tỉnh Hà Nam</v>
      </c>
      <c r="C9883" t="str">
        <v>-</v>
      </c>
      <c r="D9883" t="str">
        <v>-</v>
      </c>
      <c r="E9883" t="str">
        <v>-</v>
      </c>
      <c r="F9883" t="str">
        <v>-</v>
      </c>
      <c r="G9883" t="str">
        <v>-</v>
      </c>
    </row>
    <row r="9884">
      <c r="A9884">
        <v>9883</v>
      </c>
      <c r="B9884" t="str">
        <v>Công an xã Nguyên Lý  tỉnh Hà Nam</v>
      </c>
      <c r="C9884" t="str">
        <v>-</v>
      </c>
      <c r="D9884" t="str">
        <v>-</v>
      </c>
      <c r="E9884" t="str">
        <v/>
      </c>
      <c r="F9884" t="str">
        <v>-</v>
      </c>
      <c r="G9884" t="str">
        <v>-</v>
      </c>
    </row>
    <row r="9885">
      <c r="A9885">
        <v>9884</v>
      </c>
      <c r="B9885" t="str">
        <v>UBND Ủy ban nhân dân xã Nguyên Lý  tỉnh Hà Nam</v>
      </c>
      <c r="C9885" t="str">
        <v>-</v>
      </c>
      <c r="D9885" t="str">
        <v>-</v>
      </c>
      <c r="E9885" t="str">
        <v>-</v>
      </c>
      <c r="F9885" t="str">
        <v>-</v>
      </c>
      <c r="G9885" t="str">
        <v>-</v>
      </c>
    </row>
    <row r="9886">
      <c r="A9886">
        <v>9885</v>
      </c>
      <c r="B9886" t="str">
        <v>Công an xã Chính Lý  tỉnh Hà Nam</v>
      </c>
      <c r="C9886" t="str">
        <v>-</v>
      </c>
      <c r="D9886" t="str">
        <v>-</v>
      </c>
      <c r="E9886" t="str">
        <v/>
      </c>
      <c r="F9886" t="str">
        <v>-</v>
      </c>
      <c r="G9886" t="str">
        <v>-</v>
      </c>
    </row>
    <row r="9887">
      <c r="A9887">
        <v>9886</v>
      </c>
      <c r="B9887" t="str">
        <v>UBND Ủy ban nhân dân xã Chính Lý  tỉnh Hà Nam</v>
      </c>
      <c r="C9887" t="str">
        <v>-</v>
      </c>
      <c r="D9887" t="str">
        <v>-</v>
      </c>
      <c r="E9887" t="str">
        <v>-</v>
      </c>
      <c r="F9887" t="str">
        <v>-</v>
      </c>
      <c r="G9887" t="str">
        <v>-</v>
      </c>
    </row>
    <row r="9888">
      <c r="A9888">
        <v>9887</v>
      </c>
      <c r="B9888" t="str">
        <v>Công an xã Chân Lý  tỉnh Hà Nam</v>
      </c>
      <c r="C9888" t="str">
        <v>-</v>
      </c>
      <c r="D9888" t="str">
        <v>-</v>
      </c>
      <c r="E9888" t="str">
        <v/>
      </c>
      <c r="F9888" t="str">
        <v>-</v>
      </c>
      <c r="G9888" t="str">
        <v>-</v>
      </c>
    </row>
    <row r="9889">
      <c r="A9889">
        <v>9888</v>
      </c>
      <c r="B9889" t="str">
        <v>UBND Ủy ban nhân dân xã Chân Lý  tỉnh Hà Nam</v>
      </c>
      <c r="C9889" t="str">
        <v>-</v>
      </c>
      <c r="D9889" t="str">
        <v>-</v>
      </c>
      <c r="E9889" t="str">
        <v>-</v>
      </c>
      <c r="F9889" t="str">
        <v>-</v>
      </c>
      <c r="G9889" t="str">
        <v>-</v>
      </c>
    </row>
    <row r="9890">
      <c r="A9890">
        <v>9889</v>
      </c>
      <c r="B9890" t="str">
        <v>Công an xã Đạo Lý  tỉnh Hà Nam</v>
      </c>
      <c r="C9890" t="str">
        <v>-</v>
      </c>
      <c r="D9890" t="str">
        <v>-</v>
      </c>
      <c r="E9890" t="str">
        <v/>
      </c>
      <c r="F9890" t="str">
        <v>-</v>
      </c>
      <c r="G9890" t="str">
        <v>-</v>
      </c>
    </row>
    <row r="9891">
      <c r="A9891">
        <v>9890</v>
      </c>
      <c r="B9891" t="str">
        <v>UBND Ủy ban nhân dân xã Đạo Lý  tỉnh Hà Nam</v>
      </c>
      <c r="C9891" t="str">
        <v>-</v>
      </c>
      <c r="D9891" t="str">
        <v>-</v>
      </c>
      <c r="E9891" t="str">
        <v>-</v>
      </c>
      <c r="F9891" t="str">
        <v>-</v>
      </c>
      <c r="G9891" t="str">
        <v>-</v>
      </c>
    </row>
    <row r="9892">
      <c r="A9892">
        <v>9891</v>
      </c>
      <c r="B9892" t="str">
        <v>Công an xã Công Lý  tỉnh Hà Nam</v>
      </c>
      <c r="C9892" t="str">
        <v>-</v>
      </c>
      <c r="D9892" t="str">
        <v>-</v>
      </c>
      <c r="E9892" t="str">
        <v/>
      </c>
      <c r="F9892" t="str">
        <v>-</v>
      </c>
      <c r="G9892" t="str">
        <v>-</v>
      </c>
    </row>
    <row r="9893">
      <c r="A9893">
        <v>9892</v>
      </c>
      <c r="B9893" t="str">
        <v>UBND Ủy ban nhân dân xã Công Lý  tỉnh Hà Nam</v>
      </c>
      <c r="C9893" t="str">
        <v>-</v>
      </c>
      <c r="D9893" t="str">
        <v>-</v>
      </c>
      <c r="E9893" t="str">
        <v>-</v>
      </c>
      <c r="F9893" t="str">
        <v>-</v>
      </c>
      <c r="G9893" t="str">
        <v>-</v>
      </c>
    </row>
    <row r="9894">
      <c r="A9894">
        <v>9893</v>
      </c>
      <c r="B9894" t="str">
        <v>Công an xã Văn Lý  tỉnh Hà Nam</v>
      </c>
      <c r="C9894" t="str">
        <v>-</v>
      </c>
      <c r="D9894" t="str">
        <v>-</v>
      </c>
      <c r="E9894" t="str">
        <v/>
      </c>
      <c r="F9894" t="str">
        <v>-</v>
      </c>
      <c r="G9894" t="str">
        <v>-</v>
      </c>
    </row>
    <row r="9895">
      <c r="A9895">
        <v>9894</v>
      </c>
      <c r="B9895" t="str">
        <v>UBND Ủy ban nhân dân xã Văn Lý  tỉnh Hà Nam</v>
      </c>
      <c r="C9895" t="str">
        <v>-</v>
      </c>
      <c r="D9895" t="str">
        <v>-</v>
      </c>
      <c r="E9895" t="str">
        <v>-</v>
      </c>
      <c r="F9895" t="str">
        <v>-</v>
      </c>
      <c r="G9895" t="str">
        <v>-</v>
      </c>
    </row>
    <row r="9896">
      <c r="A9896">
        <v>9895</v>
      </c>
      <c r="B9896" t="str">
        <v>Công an xã Bắc Lý  tỉnh Hà Nam</v>
      </c>
      <c r="C9896" t="str">
        <v>-</v>
      </c>
      <c r="D9896" t="str">
        <v>-</v>
      </c>
      <c r="E9896" t="str">
        <v/>
      </c>
      <c r="F9896" t="str">
        <v>-</v>
      </c>
      <c r="G9896" t="str">
        <v>-</v>
      </c>
    </row>
    <row r="9897">
      <c r="A9897">
        <v>9896</v>
      </c>
      <c r="B9897" t="str">
        <v>UBND Ủy ban nhân dân xã Bắc Lý  tỉnh Hà Nam</v>
      </c>
      <c r="C9897" t="str">
        <v>-</v>
      </c>
      <c r="D9897" t="str">
        <v>-</v>
      </c>
      <c r="E9897" t="str">
        <v>-</v>
      </c>
      <c r="F9897" t="str">
        <v>-</v>
      </c>
      <c r="G9897" t="str">
        <v>-</v>
      </c>
    </row>
    <row r="9898">
      <c r="A9898">
        <v>9897</v>
      </c>
      <c r="B9898" t="str">
        <v>Công an xã Đức Lý  tỉnh Hà Nam</v>
      </c>
      <c r="C9898" t="str">
        <v>-</v>
      </c>
      <c r="D9898" t="str">
        <v>-</v>
      </c>
      <c r="E9898" t="str">
        <v/>
      </c>
      <c r="F9898" t="str">
        <v>-</v>
      </c>
      <c r="G9898" t="str">
        <v>-</v>
      </c>
    </row>
    <row r="9899">
      <c r="A9899">
        <v>9898</v>
      </c>
      <c r="B9899" t="str">
        <v>UBND Ủy ban nhân dân xã Đức Lý  tỉnh Hà Nam</v>
      </c>
      <c r="C9899" t="str">
        <v>-</v>
      </c>
      <c r="D9899" t="str">
        <v>-</v>
      </c>
      <c r="E9899" t="str">
        <v>-</v>
      </c>
      <c r="F9899" t="str">
        <v>-</v>
      </c>
      <c r="G9899" t="str">
        <v>-</v>
      </c>
    </row>
    <row r="9900">
      <c r="A9900">
        <v>9899</v>
      </c>
      <c r="B9900" t="str">
        <v>Công an xã Nhân Đạo  tỉnh Hà Nam</v>
      </c>
      <c r="C9900" t="str">
        <v>-</v>
      </c>
      <c r="D9900" t="str">
        <v>-</v>
      </c>
      <c r="E9900" t="str">
        <v/>
      </c>
      <c r="F9900" t="str">
        <v>-</v>
      </c>
      <c r="G9900" t="str">
        <v>-</v>
      </c>
    </row>
    <row r="9901">
      <c r="A9901">
        <v>9900</v>
      </c>
      <c r="B9901" t="str">
        <v>UBND Ủy ban nhân dân xã Nhân Đạo  tỉnh Hà Nam</v>
      </c>
      <c r="C9901" t="str">
        <v>-</v>
      </c>
      <c r="D9901" t="str">
        <v>-</v>
      </c>
      <c r="E9901" t="str">
        <v>-</v>
      </c>
      <c r="F9901" t="str">
        <v>-</v>
      </c>
      <c r="G9901" t="str">
        <v>-</v>
      </c>
    </row>
    <row r="9902">
      <c r="A9902">
        <v>9901</v>
      </c>
      <c r="B9902" t="str">
        <v>Công an xã Đồng Lý  tỉnh Hà Nam</v>
      </c>
      <c r="C9902" t="str">
        <v>-</v>
      </c>
      <c r="D9902" t="str">
        <v>-</v>
      </c>
      <c r="E9902" t="str">
        <v/>
      </c>
      <c r="F9902" t="str">
        <v>-</v>
      </c>
      <c r="G9902" t="str">
        <v>-</v>
      </c>
    </row>
    <row r="9903">
      <c r="A9903">
        <v>9902</v>
      </c>
      <c r="B9903" t="str">
        <v>UBND Ủy ban nhân dân xã Đồng Lý  tỉnh Hà Nam</v>
      </c>
      <c r="C9903" t="str">
        <v>-</v>
      </c>
      <c r="D9903" t="str">
        <v>-</v>
      </c>
      <c r="E9903" t="str">
        <v>-</v>
      </c>
      <c r="F9903" t="str">
        <v>-</v>
      </c>
      <c r="G9903" t="str">
        <v>-</v>
      </c>
    </row>
    <row r="9904">
      <c r="A9904">
        <v>9903</v>
      </c>
      <c r="B9904" t="str">
        <v>Công an xã Nhân Thịnh  tỉnh Hà Nam</v>
      </c>
      <c r="C9904" t="str">
        <v>-</v>
      </c>
      <c r="D9904" t="str">
        <v>-</v>
      </c>
      <c r="E9904" t="str">
        <v/>
      </c>
      <c r="F9904" t="str">
        <v>-</v>
      </c>
      <c r="G9904" t="str">
        <v>-</v>
      </c>
    </row>
    <row r="9905">
      <c r="A9905">
        <v>9904</v>
      </c>
      <c r="B9905" t="str">
        <v>UBND Ủy ban nhân dân xã Nhân Thịnh  tỉnh Hà Nam</v>
      </c>
      <c r="C9905" t="str">
        <v>-</v>
      </c>
      <c r="D9905" t="str">
        <v>-</v>
      </c>
      <c r="E9905" t="str">
        <v>-</v>
      </c>
      <c r="F9905" t="str">
        <v>-</v>
      </c>
      <c r="G9905" t="str">
        <v>-</v>
      </c>
    </row>
    <row r="9906">
      <c r="A9906">
        <v>9905</v>
      </c>
      <c r="B9906" t="str">
        <v>Công an xã Nhân Hưng  tỉnh Hà Nam</v>
      </c>
      <c r="C9906" t="str">
        <v>-</v>
      </c>
      <c r="D9906" t="str">
        <v>-</v>
      </c>
      <c r="E9906" t="str">
        <v/>
      </c>
      <c r="F9906" t="str">
        <v>-</v>
      </c>
      <c r="G9906" t="str">
        <v>-</v>
      </c>
    </row>
    <row r="9907">
      <c r="A9907">
        <v>9906</v>
      </c>
      <c r="B9907" t="str">
        <v>UBND Ủy ban nhân dân xã Nhân Hưng  tỉnh Hà Nam</v>
      </c>
      <c r="C9907" t="str">
        <v>-</v>
      </c>
      <c r="D9907" t="str">
        <v>-</v>
      </c>
      <c r="E9907" t="str">
        <v>-</v>
      </c>
      <c r="F9907" t="str">
        <v>-</v>
      </c>
      <c r="G9907" t="str">
        <v>-</v>
      </c>
    </row>
    <row r="9908">
      <c r="A9908">
        <v>9907</v>
      </c>
      <c r="B9908" t="str">
        <v>Công an xã Nhân Khang  tỉnh Hà Nam</v>
      </c>
      <c r="C9908" t="str">
        <v>-</v>
      </c>
      <c r="D9908" t="str">
        <v>-</v>
      </c>
      <c r="E9908" t="str">
        <v/>
      </c>
      <c r="F9908" t="str">
        <v>-</v>
      </c>
      <c r="G9908" t="str">
        <v>-</v>
      </c>
    </row>
    <row r="9909">
      <c r="A9909">
        <v>9908</v>
      </c>
      <c r="B9909" t="str">
        <v>UBND Ủy ban nhân dân xã Nhân Khang  tỉnh Hà Nam</v>
      </c>
      <c r="C9909" t="str">
        <v>-</v>
      </c>
      <c r="D9909" t="str">
        <v>-</v>
      </c>
      <c r="E9909" t="str">
        <v>-</v>
      </c>
      <c r="F9909" t="str">
        <v>-</v>
      </c>
      <c r="G9909" t="str">
        <v>-</v>
      </c>
    </row>
    <row r="9910">
      <c r="A9910">
        <v>9909</v>
      </c>
      <c r="B9910" t="str">
        <v>Công an xã Nhân Mỹ  tỉnh Hà Nam</v>
      </c>
      <c r="C9910" t="str">
        <v>-</v>
      </c>
      <c r="D9910" t="str">
        <v>-</v>
      </c>
      <c r="E9910" t="str">
        <v/>
      </c>
      <c r="F9910" t="str">
        <v>-</v>
      </c>
      <c r="G9910" t="str">
        <v>-</v>
      </c>
    </row>
    <row r="9911">
      <c r="A9911">
        <v>9910</v>
      </c>
      <c r="B9911" t="str">
        <v>UBND Ủy ban nhân dân xã Nhân Mỹ  tỉnh Hà Nam</v>
      </c>
      <c r="C9911" t="str">
        <v>-</v>
      </c>
      <c r="D9911" t="str">
        <v>-</v>
      </c>
      <c r="E9911" t="str">
        <v>-</v>
      </c>
      <c r="F9911" t="str">
        <v>-</v>
      </c>
      <c r="G9911" t="str">
        <v>-</v>
      </c>
    </row>
    <row r="9912">
      <c r="A9912">
        <v>9911</v>
      </c>
      <c r="B9912" t="str">
        <v>Công an xã Nhân Nghĩa  tỉnh Hà Nam</v>
      </c>
      <c r="C9912" t="str">
        <v>-</v>
      </c>
      <c r="D9912" t="str">
        <v>-</v>
      </c>
      <c r="E9912" t="str">
        <v/>
      </c>
      <c r="F9912" t="str">
        <v>-</v>
      </c>
      <c r="G9912" t="str">
        <v>-</v>
      </c>
    </row>
    <row r="9913">
      <c r="A9913">
        <v>9912</v>
      </c>
      <c r="B9913" t="str">
        <v>UBND Ủy ban nhân dân xã Nhân Nghĩa  tỉnh Hà Nam</v>
      </c>
      <c r="C9913" t="str">
        <v>-</v>
      </c>
      <c r="D9913" t="str">
        <v>-</v>
      </c>
      <c r="E9913" t="str">
        <v>-</v>
      </c>
      <c r="F9913" t="str">
        <v>-</v>
      </c>
      <c r="G9913" t="str">
        <v>-</v>
      </c>
    </row>
    <row r="9914">
      <c r="A9914">
        <v>9913</v>
      </c>
      <c r="B9914" t="str">
        <v>Công an xã Nhân Chính  tỉnh Hà Nam</v>
      </c>
      <c r="C9914" t="str">
        <v>-</v>
      </c>
      <c r="D9914" t="str">
        <v>-</v>
      </c>
      <c r="E9914" t="str">
        <v/>
      </c>
      <c r="F9914" t="str">
        <v>-</v>
      </c>
      <c r="G9914" t="str">
        <v>-</v>
      </c>
    </row>
    <row r="9915">
      <c r="A9915">
        <v>9914</v>
      </c>
      <c r="B9915" t="str">
        <v>UBND Ủy ban nhân dân xã Nhân Chính  tỉnh Hà Nam</v>
      </c>
      <c r="C9915" t="str">
        <v>-</v>
      </c>
      <c r="D9915" t="str">
        <v>-</v>
      </c>
      <c r="E9915" t="str">
        <v>-</v>
      </c>
      <c r="F9915" t="str">
        <v>-</v>
      </c>
      <c r="G9915" t="str">
        <v>-</v>
      </c>
    </row>
    <row r="9916">
      <c r="A9916">
        <v>9915</v>
      </c>
      <c r="B9916" t="str">
        <v>Công an xã Nhân Bình  tỉnh Hà Nam</v>
      </c>
      <c r="C9916" t="str">
        <v>-</v>
      </c>
      <c r="D9916" t="str">
        <v>-</v>
      </c>
      <c r="E9916" t="str">
        <v/>
      </c>
      <c r="F9916" t="str">
        <v>-</v>
      </c>
      <c r="G9916" t="str">
        <v>-</v>
      </c>
    </row>
    <row r="9917">
      <c r="A9917">
        <v>9916</v>
      </c>
      <c r="B9917" t="str">
        <v>UBND Ủy ban nhân dân xã Nhân Bình  tỉnh Hà Nam</v>
      </c>
      <c r="C9917" t="str">
        <v>-</v>
      </c>
      <c r="D9917" t="str">
        <v>-</v>
      </c>
      <c r="E9917" t="str">
        <v>-</v>
      </c>
      <c r="F9917" t="str">
        <v>-</v>
      </c>
      <c r="G9917" t="str">
        <v>-</v>
      </c>
    </row>
    <row r="9918">
      <c r="A9918">
        <v>9917</v>
      </c>
      <c r="B9918" t="str">
        <v>Công an xã Phú Phúc  tỉnh Hà Nam</v>
      </c>
      <c r="C9918" t="str">
        <v>-</v>
      </c>
      <c r="D9918" t="str">
        <v>-</v>
      </c>
      <c r="E9918" t="str">
        <v/>
      </c>
      <c r="F9918" t="str">
        <v>-</v>
      </c>
      <c r="G9918" t="str">
        <v>-</v>
      </c>
    </row>
    <row r="9919">
      <c r="A9919">
        <v>9918</v>
      </c>
      <c r="B9919" t="str">
        <v>UBND Ủy ban nhân dân xã Phú Phúc  tỉnh Hà Nam</v>
      </c>
      <c r="C9919" t="str">
        <v>-</v>
      </c>
      <c r="D9919" t="str">
        <v>-</v>
      </c>
      <c r="E9919" t="str">
        <v>-</v>
      </c>
      <c r="F9919" t="str">
        <v>-</v>
      </c>
      <c r="G9919" t="str">
        <v>-</v>
      </c>
    </row>
    <row r="9920">
      <c r="A9920">
        <v>9919</v>
      </c>
      <c r="B9920" t="str">
        <v>Công an xã Xuân Khê  tỉnh Hà Nam</v>
      </c>
      <c r="C9920" t="str">
        <v>-</v>
      </c>
      <c r="D9920" t="str">
        <v>-</v>
      </c>
      <c r="E9920" t="str">
        <v/>
      </c>
      <c r="F9920" t="str">
        <v>-</v>
      </c>
      <c r="G9920" t="str">
        <v>-</v>
      </c>
    </row>
    <row r="9921">
      <c r="A9921">
        <v>9920</v>
      </c>
      <c r="B9921" t="str">
        <v>UBND Ủy ban nhân dân xã Xuân Khê  tỉnh Hà Nam</v>
      </c>
      <c r="C9921" t="str">
        <v>-</v>
      </c>
      <c r="D9921" t="str">
        <v>-</v>
      </c>
      <c r="E9921" t="str">
        <v>-</v>
      </c>
      <c r="F9921" t="str">
        <v>-</v>
      </c>
      <c r="G9921" t="str">
        <v>-</v>
      </c>
    </row>
    <row r="9922">
      <c r="A9922">
        <v>9921</v>
      </c>
      <c r="B9922" t="str">
        <v>Công an xã Tiến Thắng  tỉnh Hà Nam</v>
      </c>
      <c r="C9922" t="str">
        <v>-</v>
      </c>
      <c r="D9922" t="str">
        <v>-</v>
      </c>
      <c r="E9922" t="str">
        <v/>
      </c>
      <c r="F9922" t="str">
        <v>-</v>
      </c>
      <c r="G9922" t="str">
        <v>-</v>
      </c>
    </row>
    <row r="9923">
      <c r="A9923">
        <v>9922</v>
      </c>
      <c r="B9923" t="str">
        <v>UBND Ủy ban nhân dân xã Tiến Thắng  tỉnh Hà Nam</v>
      </c>
      <c r="C9923" t="str">
        <v>-</v>
      </c>
      <c r="D9923" t="str">
        <v>-</v>
      </c>
      <c r="E9923" t="str">
        <v>-</v>
      </c>
      <c r="F9923" t="str">
        <v>-</v>
      </c>
      <c r="G9923" t="str">
        <v>-</v>
      </c>
    </row>
    <row r="9924">
      <c r="A9924">
        <v>9923</v>
      </c>
      <c r="B9924" t="str">
        <v>Công an xã Hòa Hậu  tỉnh Hà Nam</v>
      </c>
      <c r="C9924" t="str">
        <v>-</v>
      </c>
      <c r="D9924" t="str">
        <v>-</v>
      </c>
      <c r="E9924" t="str">
        <v/>
      </c>
      <c r="F9924" t="str">
        <v>-</v>
      </c>
      <c r="G9924" t="str">
        <v>-</v>
      </c>
    </row>
    <row r="9925">
      <c r="A9925">
        <v>9924</v>
      </c>
      <c r="B9925" t="str">
        <v>UBND Ủy ban nhân dân xã Hòa Hậu  tỉnh Hà Nam</v>
      </c>
      <c r="C9925" t="str">
        <v>-</v>
      </c>
      <c r="D9925" t="str">
        <v>-</v>
      </c>
      <c r="E9925" t="str">
        <v>-</v>
      </c>
      <c r="F9925" t="str">
        <v>-</v>
      </c>
      <c r="G9925" t="str">
        <v>-</v>
      </c>
    </row>
    <row r="9926">
      <c r="A9926">
        <v>9925</v>
      </c>
      <c r="B9926" t="str">
        <v>Công an phường Hạ Long  tỉnh Nam Định</v>
      </c>
      <c r="C9926" t="str">
        <v>-</v>
      </c>
      <c r="D9926" t="str">
        <v>-</v>
      </c>
      <c r="E9926" t="str">
        <v/>
      </c>
      <c r="F9926" t="str">
        <v>-</v>
      </c>
      <c r="G9926" t="str">
        <v>-</v>
      </c>
    </row>
    <row r="9927">
      <c r="A9927">
        <v>9926</v>
      </c>
      <c r="B9927" t="str">
        <v>UBND Ủy ban nhân dân phường Hạ Long  tỉnh Nam Định</v>
      </c>
      <c r="C9927" t="str">
        <v>-</v>
      </c>
      <c r="D9927" t="str">
        <v>-</v>
      </c>
      <c r="E9927" t="str">
        <v>-</v>
      </c>
      <c r="F9927" t="str">
        <v>-</v>
      </c>
      <c r="G9927" t="str">
        <v>-</v>
      </c>
    </row>
    <row r="9928">
      <c r="A9928">
        <v>9927</v>
      </c>
      <c r="B9928" t="str">
        <v>Công an phường Trần Tế Xương  tỉnh Nam Định</v>
      </c>
      <c r="C9928" t="str">
        <v>-</v>
      </c>
      <c r="D9928" t="str">
        <v>-</v>
      </c>
      <c r="E9928" t="str">
        <v/>
      </c>
      <c r="F9928" t="str">
        <v>-</v>
      </c>
      <c r="G9928" t="str">
        <v>-</v>
      </c>
    </row>
    <row r="9929">
      <c r="A9929">
        <v>9928</v>
      </c>
      <c r="B9929" t="str">
        <v>UBND Ủy ban nhân dân phường Trần Tế Xương  tỉnh Nam Định</v>
      </c>
      <c r="C9929" t="str">
        <v>-</v>
      </c>
      <c r="D9929" t="str">
        <v>-</v>
      </c>
      <c r="E9929" t="str">
        <v>-</v>
      </c>
      <c r="F9929" t="str">
        <v>-</v>
      </c>
      <c r="G9929" t="str">
        <v>-</v>
      </c>
    </row>
    <row r="9930">
      <c r="A9930">
        <v>9929</v>
      </c>
      <c r="B9930" t="str">
        <v>Công an phường Vị Hoàng  tỉnh Nam Định</v>
      </c>
      <c r="C9930" t="str">
        <v>-</v>
      </c>
      <c r="D9930" t="str">
        <v>-</v>
      </c>
      <c r="E9930" t="str">
        <v/>
      </c>
      <c r="F9930" t="str">
        <v>-</v>
      </c>
      <c r="G9930" t="str">
        <v>-</v>
      </c>
    </row>
    <row r="9931">
      <c r="A9931">
        <v>9930</v>
      </c>
      <c r="B9931" t="str">
        <v>UBND Ủy ban nhân dân phường Vị Hoàng  tỉnh Nam Định</v>
      </c>
      <c r="C9931" t="str">
        <v>-</v>
      </c>
      <c r="D9931" t="str">
        <v>-</v>
      </c>
      <c r="E9931" t="str">
        <v>-</v>
      </c>
      <c r="F9931" t="str">
        <v>-</v>
      </c>
      <c r="G9931" t="str">
        <v>-</v>
      </c>
    </row>
    <row r="9932">
      <c r="A9932">
        <v>9931</v>
      </c>
      <c r="B9932" t="str">
        <v>Công an phường Vị Xuyên  tỉnh Nam Định</v>
      </c>
      <c r="C9932" t="str">
        <v>-</v>
      </c>
      <c r="D9932" t="str">
        <v>-</v>
      </c>
      <c r="E9932" t="str">
        <v/>
      </c>
      <c r="F9932" t="str">
        <v>-</v>
      </c>
      <c r="G9932" t="str">
        <v>-</v>
      </c>
    </row>
    <row r="9933">
      <c r="A9933">
        <v>9932</v>
      </c>
      <c r="B9933" t="str">
        <v>UBND Ủy ban nhân dân phường Vị Xuyên  tỉnh Nam Định</v>
      </c>
      <c r="C9933" t="str">
        <v>-</v>
      </c>
      <c r="D9933" t="str">
        <v>-</v>
      </c>
      <c r="E9933" t="str">
        <v>-</v>
      </c>
      <c r="F9933" t="str">
        <v>-</v>
      </c>
      <c r="G9933" t="str">
        <v>-</v>
      </c>
    </row>
    <row r="9934">
      <c r="A9934">
        <v>9933</v>
      </c>
      <c r="B9934" t="str">
        <v>Công an phường Quang Trung  tỉnh Nam Định</v>
      </c>
      <c r="C9934" t="str">
        <v>-</v>
      </c>
      <c r="D9934" t="str">
        <v>-</v>
      </c>
      <c r="E9934" t="str">
        <v/>
      </c>
      <c r="F9934" t="str">
        <v>-</v>
      </c>
      <c r="G9934" t="str">
        <v>-</v>
      </c>
    </row>
    <row r="9935">
      <c r="A9935">
        <v>9934</v>
      </c>
      <c r="B9935" t="str">
        <v>UBND Ủy ban nhân dân phường Quang Trung  tỉnh Nam Định</v>
      </c>
      <c r="C9935" t="str">
        <v>-</v>
      </c>
      <c r="D9935" t="str">
        <v>-</v>
      </c>
      <c r="E9935" t="str">
        <v>-</v>
      </c>
      <c r="F9935" t="str">
        <v>-</v>
      </c>
      <c r="G9935" t="str">
        <v>-</v>
      </c>
    </row>
    <row r="9936">
      <c r="A9936">
        <v>9935</v>
      </c>
      <c r="B9936" t="str">
        <v>Công an phường Cửa Bắc  tỉnh Nam Định</v>
      </c>
      <c r="C9936" t="str">
        <v>-</v>
      </c>
      <c r="D9936" t="str">
        <v>-</v>
      </c>
      <c r="E9936" t="str">
        <v/>
      </c>
      <c r="F9936" t="str">
        <v>-</v>
      </c>
      <c r="G9936" t="str">
        <v>-</v>
      </c>
    </row>
    <row r="9937">
      <c r="A9937">
        <v>9936</v>
      </c>
      <c r="B9937" t="str">
        <v>UBND Ủy ban nhân dân phường Cửa Bắc  tỉnh Nam Định</v>
      </c>
      <c r="C9937" t="str">
        <v>-</v>
      </c>
      <c r="D9937" t="str">
        <v>-</v>
      </c>
      <c r="E9937" t="str">
        <v>-</v>
      </c>
      <c r="F9937" t="str">
        <v>-</v>
      </c>
      <c r="G9937" t="str">
        <v>-</v>
      </c>
    </row>
    <row r="9938">
      <c r="A9938">
        <v>9937</v>
      </c>
      <c r="B9938" t="str">
        <v>Công an phường Nguyễn Du  tỉnh Nam Định</v>
      </c>
      <c r="C9938" t="str">
        <v>-</v>
      </c>
      <c r="D9938" t="str">
        <v>-</v>
      </c>
      <c r="E9938" t="str">
        <v/>
      </c>
      <c r="F9938" t="str">
        <v>-</v>
      </c>
      <c r="G9938" t="str">
        <v>-</v>
      </c>
    </row>
    <row r="9939">
      <c r="A9939">
        <v>9938</v>
      </c>
      <c r="B9939" t="str">
        <v>UBND Ủy ban nhân dân phường Nguyễn Du  tỉnh Nam Định</v>
      </c>
      <c r="C9939" t="str">
        <v>-</v>
      </c>
      <c r="D9939" t="str">
        <v>-</v>
      </c>
      <c r="E9939" t="str">
        <v>-</v>
      </c>
      <c r="F9939" t="str">
        <v>-</v>
      </c>
      <c r="G9939" t="str">
        <v>-</v>
      </c>
    </row>
    <row r="9940">
      <c r="A9940">
        <v>9939</v>
      </c>
      <c r="B9940" t="str">
        <v>Công an phường Bà Triệu  tỉnh Nam Định</v>
      </c>
      <c r="C9940" t="str">
        <v>-</v>
      </c>
      <c r="D9940" t="str">
        <v>-</v>
      </c>
      <c r="E9940" t="str">
        <v/>
      </c>
      <c r="F9940" t="str">
        <v>-</v>
      </c>
      <c r="G9940" t="str">
        <v>-</v>
      </c>
    </row>
    <row r="9941">
      <c r="A9941">
        <v>9940</v>
      </c>
      <c r="B9941" t="str">
        <v>UBND Ủy ban nhân dân phường Bà Triệu  tỉnh Nam Định</v>
      </c>
      <c r="C9941" t="str">
        <v>-</v>
      </c>
      <c r="D9941" t="str">
        <v>-</v>
      </c>
      <c r="E9941" t="str">
        <v>-</v>
      </c>
      <c r="F9941" t="str">
        <v>-</v>
      </c>
      <c r="G9941" t="str">
        <v>-</v>
      </c>
    </row>
    <row r="9942">
      <c r="A9942">
        <v>9941</v>
      </c>
      <c r="B9942" t="str">
        <v>Công an phường Trường Thi  tỉnh Nam Định</v>
      </c>
      <c r="C9942" t="str">
        <v>-</v>
      </c>
      <c r="D9942" t="str">
        <v>-</v>
      </c>
      <c r="E9942" t="str">
        <v/>
      </c>
      <c r="F9942" t="str">
        <v>-</v>
      </c>
      <c r="G9942" t="str">
        <v>-</v>
      </c>
    </row>
    <row r="9943">
      <c r="A9943">
        <v>9942</v>
      </c>
      <c r="B9943" t="str">
        <v>UBND Ủy ban nhân dân phường Trường Thi  tỉnh Nam Định</v>
      </c>
      <c r="C9943" t="str">
        <v>-</v>
      </c>
      <c r="D9943" t="str">
        <v>-</v>
      </c>
      <c r="E9943" t="str">
        <v>-</v>
      </c>
      <c r="F9943" t="str">
        <v>-</v>
      </c>
      <c r="G9943" t="str">
        <v>-</v>
      </c>
    </row>
    <row r="9944">
      <c r="A9944">
        <v>9943</v>
      </c>
      <c r="B9944" t="str">
        <v>Công an phường Phan Đình Phùng  tỉnh Nam Định</v>
      </c>
      <c r="C9944" t="str">
        <v>-</v>
      </c>
      <c r="D9944" t="str">
        <v>-</v>
      </c>
      <c r="E9944" t="str">
        <v/>
      </c>
      <c r="F9944" t="str">
        <v>-</v>
      </c>
      <c r="G9944" t="str">
        <v>-</v>
      </c>
    </row>
    <row r="9945">
      <c r="A9945">
        <v>9944</v>
      </c>
      <c r="B9945" t="str">
        <v>UBND Ủy ban nhân dân phường Phan Đình Phùng  tỉnh Nam Định</v>
      </c>
      <c r="C9945" t="str">
        <v>-</v>
      </c>
      <c r="D9945" t="str">
        <v>-</v>
      </c>
      <c r="E9945" t="str">
        <v>-</v>
      </c>
      <c r="F9945" t="str">
        <v>-</v>
      </c>
      <c r="G9945" t="str">
        <v>-</v>
      </c>
    </row>
    <row r="9946">
      <c r="A9946">
        <v>9945</v>
      </c>
      <c r="B9946" t="str">
        <v>Công an phường Ngô Quyền  tỉnh Nam Định</v>
      </c>
      <c r="C9946" t="str">
        <v>-</v>
      </c>
      <c r="D9946" t="str">
        <v>-</v>
      </c>
      <c r="E9946" t="str">
        <v/>
      </c>
      <c r="F9946" t="str">
        <v>-</v>
      </c>
      <c r="G9946" t="str">
        <v>-</v>
      </c>
    </row>
    <row r="9947">
      <c r="A9947">
        <v>9946</v>
      </c>
      <c r="B9947" t="str">
        <v>UBND Ủy ban nhân dân phường Ngô Quyền  tỉnh Nam Định</v>
      </c>
      <c r="C9947" t="str">
        <v>-</v>
      </c>
      <c r="D9947" t="str">
        <v>-</v>
      </c>
      <c r="E9947" t="str">
        <v>-</v>
      </c>
      <c r="F9947" t="str">
        <v>-</v>
      </c>
      <c r="G9947" t="str">
        <v>-</v>
      </c>
    </row>
    <row r="9948">
      <c r="A9948">
        <v>9947</v>
      </c>
      <c r="B9948" t="str">
        <v>Công an phường Trần Hưng Đạo  tỉnh Nam Định</v>
      </c>
      <c r="C9948" t="str">
        <v>-</v>
      </c>
      <c r="D9948" t="str">
        <v>-</v>
      </c>
      <c r="E9948" t="str">
        <v/>
      </c>
      <c r="F9948" t="str">
        <v>-</v>
      </c>
      <c r="G9948" t="str">
        <v>-</v>
      </c>
    </row>
    <row r="9949">
      <c r="A9949">
        <v>9948</v>
      </c>
      <c r="B9949" t="str">
        <v>UBND Ủy ban nhân dân phường Trần Hưng Đạo  tỉnh Nam Định</v>
      </c>
      <c r="C9949" t="str">
        <v>-</v>
      </c>
      <c r="D9949" t="str">
        <v>-</v>
      </c>
      <c r="E9949" t="str">
        <v>-</v>
      </c>
      <c r="F9949" t="str">
        <v>-</v>
      </c>
      <c r="G9949" t="str">
        <v>-</v>
      </c>
    </row>
    <row r="9950">
      <c r="A9950">
        <v>9949</v>
      </c>
      <c r="B9950" t="str">
        <v>Công an phường Trần Đăng Ninh  tỉnh Nam Định</v>
      </c>
      <c r="C9950" t="str">
        <v>-</v>
      </c>
      <c r="D9950" t="str">
        <v>-</v>
      </c>
      <c r="E9950" t="str">
        <v/>
      </c>
      <c r="F9950" t="str">
        <v>-</v>
      </c>
      <c r="G9950" t="str">
        <v>-</v>
      </c>
    </row>
    <row r="9951">
      <c r="A9951">
        <v>9950</v>
      </c>
      <c r="B9951" t="str">
        <v>UBND Ủy ban nhân dân phường Trần Đăng Ninh  tỉnh Nam Định</v>
      </c>
      <c r="C9951" t="str">
        <v>-</v>
      </c>
      <c r="D9951" t="str">
        <v>-</v>
      </c>
      <c r="E9951" t="str">
        <v>-</v>
      </c>
      <c r="F9951" t="str">
        <v>-</v>
      </c>
      <c r="G9951" t="str">
        <v>-</v>
      </c>
    </row>
    <row r="9952">
      <c r="A9952">
        <v>9951</v>
      </c>
      <c r="B9952" t="str">
        <v>Công an phường Năng Tĩnh  tỉnh Nam Định</v>
      </c>
      <c r="C9952" t="str">
        <v>-</v>
      </c>
      <c r="D9952" t="str">
        <v>-</v>
      </c>
      <c r="E9952" t="str">
        <v/>
      </c>
      <c r="F9952" t="str">
        <v>-</v>
      </c>
      <c r="G9952" t="str">
        <v>-</v>
      </c>
    </row>
    <row r="9953">
      <c r="A9953">
        <v>9952</v>
      </c>
      <c r="B9953" t="str">
        <v>UBND Ủy ban nhân dân phường Năng Tĩnh  tỉnh Nam Định</v>
      </c>
      <c r="C9953" t="str">
        <v>-</v>
      </c>
      <c r="D9953" t="str">
        <v>-</v>
      </c>
      <c r="E9953" t="str">
        <v>-</v>
      </c>
      <c r="F9953" t="str">
        <v>-</v>
      </c>
      <c r="G9953" t="str">
        <v>-</v>
      </c>
    </row>
    <row r="9954">
      <c r="A9954">
        <v>9953</v>
      </c>
      <c r="B9954" t="str">
        <v>Công an phường Văn Miếu  tỉnh Nam Định</v>
      </c>
      <c r="C9954" t="str">
        <v>-</v>
      </c>
      <c r="D9954" t="str">
        <v>-</v>
      </c>
      <c r="E9954" t="str">
        <v/>
      </c>
      <c r="F9954" t="str">
        <v>-</v>
      </c>
      <c r="G9954" t="str">
        <v>-</v>
      </c>
    </row>
    <row r="9955">
      <c r="A9955">
        <v>9954</v>
      </c>
      <c r="B9955" t="str">
        <v>UBND Ủy ban nhân dân phường Văn Miếu  tỉnh Nam Định</v>
      </c>
      <c r="C9955" t="str">
        <v>-</v>
      </c>
      <c r="D9955" t="str">
        <v>-</v>
      </c>
      <c r="E9955" t="str">
        <v>-</v>
      </c>
      <c r="F9955" t="str">
        <v>-</v>
      </c>
      <c r="G9955" t="str">
        <v>-</v>
      </c>
    </row>
    <row r="9956">
      <c r="A9956">
        <v>9955</v>
      </c>
      <c r="B9956" t="str">
        <v>Công an phường Trần Quang Khải  tỉnh Nam Định</v>
      </c>
      <c r="C9956" t="str">
        <v>-</v>
      </c>
      <c r="D9956" t="str">
        <v>-</v>
      </c>
      <c r="E9956" t="str">
        <v/>
      </c>
      <c r="F9956" t="str">
        <v>-</v>
      </c>
      <c r="G9956" t="str">
        <v>-</v>
      </c>
    </row>
    <row r="9957">
      <c r="A9957">
        <v>9956</v>
      </c>
      <c r="B9957" t="str">
        <v>UBND Ủy ban nhân dân phường Trần Quang Khải  tỉnh Nam Định</v>
      </c>
      <c r="C9957" t="str">
        <v>-</v>
      </c>
      <c r="D9957" t="str">
        <v>-</v>
      </c>
      <c r="E9957" t="str">
        <v>-</v>
      </c>
      <c r="F9957" t="str">
        <v>-</v>
      </c>
      <c r="G9957" t="str">
        <v>-</v>
      </c>
    </row>
    <row r="9958">
      <c r="A9958">
        <v>9957</v>
      </c>
      <c r="B9958" t="str">
        <v>Công an phường Thống Nhất  tỉnh Nam Định</v>
      </c>
      <c r="C9958" t="str">
        <v>-</v>
      </c>
      <c r="D9958" t="str">
        <v>-</v>
      </c>
      <c r="E9958" t="str">
        <v/>
      </c>
      <c r="F9958" t="str">
        <v>-</v>
      </c>
      <c r="G9958" t="str">
        <v>-</v>
      </c>
    </row>
    <row r="9959">
      <c r="A9959">
        <v>9958</v>
      </c>
      <c r="B9959" t="str">
        <v>UBND Ủy ban nhân dân phường Thống Nhất  tỉnh Nam Định</v>
      </c>
      <c r="C9959" t="str">
        <v>-</v>
      </c>
      <c r="D9959" t="str">
        <v>-</v>
      </c>
      <c r="E9959" t="str">
        <v>-</v>
      </c>
      <c r="F9959" t="str">
        <v>-</v>
      </c>
      <c r="G9959" t="str">
        <v>-</v>
      </c>
    </row>
    <row r="9960">
      <c r="A9960">
        <v>9959</v>
      </c>
      <c r="B9960" t="str">
        <v>Công an phường Lộc Hạ  tỉnh Nam Định</v>
      </c>
      <c r="C9960" t="str">
        <v>-</v>
      </c>
      <c r="D9960" t="str">
        <v>-</v>
      </c>
      <c r="E9960" t="str">
        <v/>
      </c>
      <c r="F9960" t="str">
        <v>-</v>
      </c>
      <c r="G9960" t="str">
        <v>-</v>
      </c>
    </row>
    <row r="9961">
      <c r="A9961">
        <v>9960</v>
      </c>
      <c r="B9961" t="str">
        <v>UBND Ủy ban nhân dân phường Lộc Hạ  tỉnh Nam Định</v>
      </c>
      <c r="C9961" t="str">
        <v>-</v>
      </c>
      <c r="D9961" t="str">
        <v>-</v>
      </c>
      <c r="E9961" t="str">
        <v>-</v>
      </c>
      <c r="F9961" t="str">
        <v>-</v>
      </c>
      <c r="G9961" t="str">
        <v>-</v>
      </c>
    </row>
    <row r="9962">
      <c r="A9962">
        <v>9961</v>
      </c>
      <c r="B9962" t="str">
        <v>Công an phường Lộc Vượng  tỉnh Nam Định</v>
      </c>
      <c r="C9962" t="str">
        <v>-</v>
      </c>
      <c r="D9962" t="str">
        <v>-</v>
      </c>
      <c r="E9962" t="str">
        <v/>
      </c>
      <c r="F9962" t="str">
        <v>-</v>
      </c>
      <c r="G9962" t="str">
        <v>-</v>
      </c>
    </row>
    <row r="9963">
      <c r="A9963">
        <v>9962</v>
      </c>
      <c r="B9963" t="str">
        <v>UBND Ủy ban nhân dân phường Lộc Vượng  tỉnh Nam Định</v>
      </c>
      <c r="C9963" t="str">
        <v>-</v>
      </c>
      <c r="D9963" t="str">
        <v>-</v>
      </c>
      <c r="E9963" t="str">
        <v>-</v>
      </c>
      <c r="F9963" t="str">
        <v>-</v>
      </c>
      <c r="G9963" t="str">
        <v>-</v>
      </c>
    </row>
    <row r="9964">
      <c r="A9964">
        <v>9963</v>
      </c>
      <c r="B9964" t="str">
        <v>Công an phường Cửa Nam  tỉnh Nam Định</v>
      </c>
      <c r="C9964" t="str">
        <v>-</v>
      </c>
      <c r="D9964" t="str">
        <v>-</v>
      </c>
      <c r="E9964" t="str">
        <v/>
      </c>
      <c r="F9964" t="str">
        <v>-</v>
      </c>
      <c r="G9964" t="str">
        <v>-</v>
      </c>
    </row>
    <row r="9965">
      <c r="A9965">
        <v>9964</v>
      </c>
      <c r="B9965" t="str">
        <v>UBND Ủy ban nhân dân phường Cửa Nam  tỉnh Nam Định</v>
      </c>
      <c r="C9965" t="str">
        <v>-</v>
      </c>
      <c r="D9965" t="str">
        <v>-</v>
      </c>
      <c r="E9965" t="str">
        <v>-</v>
      </c>
      <c r="F9965" t="str">
        <v>-</v>
      </c>
      <c r="G9965" t="str">
        <v>-</v>
      </c>
    </row>
    <row r="9966">
      <c r="A9966">
        <v>9965</v>
      </c>
      <c r="B9966" t="str">
        <v>Công an xã Lộc Hòa  tỉnh Nam Định</v>
      </c>
      <c r="C9966" t="str">
        <v>-</v>
      </c>
      <c r="D9966" t="str">
        <v>-</v>
      </c>
      <c r="E9966" t="str">
        <v/>
      </c>
      <c r="F9966" t="str">
        <v>-</v>
      </c>
      <c r="G9966" t="str">
        <v>-</v>
      </c>
    </row>
    <row r="9967">
      <c r="A9967">
        <v>9966</v>
      </c>
      <c r="B9967" t="str">
        <v>UBND Ủy ban nhân dân xã Lộc Hòa  tỉnh Nam Định</v>
      </c>
      <c r="C9967" t="str">
        <v>-</v>
      </c>
      <c r="D9967" t="str">
        <v>-</v>
      </c>
      <c r="E9967" t="str">
        <v>-</v>
      </c>
      <c r="F9967" t="str">
        <v>-</v>
      </c>
      <c r="G9967" t="str">
        <v>-</v>
      </c>
    </row>
    <row r="9968">
      <c r="A9968">
        <v>9967</v>
      </c>
      <c r="B9968" t="str">
        <v>Công an xã Nam Phong  tỉnh Nam Định</v>
      </c>
      <c r="C9968" t="str">
        <v>-</v>
      </c>
      <c r="D9968" t="str">
        <v>-</v>
      </c>
      <c r="E9968" t="str">
        <v/>
      </c>
      <c r="F9968" t="str">
        <v>-</v>
      </c>
      <c r="G9968" t="str">
        <v>-</v>
      </c>
    </row>
    <row r="9969">
      <c r="A9969">
        <v>9968</v>
      </c>
      <c r="B9969" t="str">
        <v>UBND Ủy ban nhân dân xã Nam Phong  tỉnh Nam Định</v>
      </c>
      <c r="C9969" t="str">
        <v>-</v>
      </c>
      <c r="D9969" t="str">
        <v>-</v>
      </c>
      <c r="E9969" t="str">
        <v>-</v>
      </c>
      <c r="F9969" t="str">
        <v>-</v>
      </c>
      <c r="G9969" t="str">
        <v>-</v>
      </c>
    </row>
    <row r="9970">
      <c r="A9970">
        <v>9969</v>
      </c>
      <c r="B9970" t="str">
        <v>Công an xã Mỹ Xá  tỉnh Nam Định</v>
      </c>
      <c r="C9970" t="str">
        <v>-</v>
      </c>
      <c r="D9970" t="str">
        <v>-</v>
      </c>
      <c r="E9970" t="str">
        <v/>
      </c>
      <c r="F9970" t="str">
        <v>-</v>
      </c>
      <c r="G9970" t="str">
        <v>-</v>
      </c>
    </row>
    <row r="9971">
      <c r="A9971">
        <v>9970</v>
      </c>
      <c r="B9971" t="str">
        <v>UBND Ủy ban nhân dân xã Mỹ Xá  tỉnh Nam Định</v>
      </c>
      <c r="C9971" t="str">
        <v>-</v>
      </c>
      <c r="D9971" t="str">
        <v>-</v>
      </c>
      <c r="E9971" t="str">
        <v>-</v>
      </c>
      <c r="F9971" t="str">
        <v>-</v>
      </c>
      <c r="G9971" t="str">
        <v>-</v>
      </c>
    </row>
    <row r="9972">
      <c r="A9972">
        <v>9971</v>
      </c>
      <c r="B9972" t="str">
        <v>Công an xã Lộc An  tỉnh Nam Định</v>
      </c>
      <c r="C9972" t="str">
        <v>-</v>
      </c>
      <c r="D9972" t="str">
        <v>-</v>
      </c>
      <c r="E9972" t="str">
        <v/>
      </c>
      <c r="F9972" t="str">
        <v>-</v>
      </c>
      <c r="G9972" t="str">
        <v>-</v>
      </c>
    </row>
    <row r="9973">
      <c r="A9973">
        <v>9972</v>
      </c>
      <c r="B9973" t="str">
        <v>UBND Ủy ban nhân dân xã Lộc An  tỉnh Nam Định</v>
      </c>
      <c r="C9973" t="str">
        <v>-</v>
      </c>
      <c r="D9973" t="str">
        <v>-</v>
      </c>
      <c r="E9973" t="str">
        <v>-</v>
      </c>
      <c r="F9973" t="str">
        <v>-</v>
      </c>
      <c r="G9973" t="str">
        <v>-</v>
      </c>
    </row>
    <row r="9974">
      <c r="A9974">
        <v>9973</v>
      </c>
      <c r="B9974" t="str">
        <v>Công an xã Nam Vân  tỉnh Nam Định</v>
      </c>
      <c r="C9974" t="str">
        <v>-</v>
      </c>
      <c r="D9974" t="str">
        <v>-</v>
      </c>
      <c r="E9974" t="str">
        <v/>
      </c>
      <c r="F9974" t="str">
        <v>-</v>
      </c>
      <c r="G9974" t="str">
        <v>-</v>
      </c>
    </row>
    <row r="9975">
      <c r="A9975">
        <v>9974</v>
      </c>
      <c r="B9975" t="str">
        <v>UBND Ủy ban nhân dân xã Nam Vân  tỉnh Nam Định</v>
      </c>
      <c r="C9975" t="str">
        <v>-</v>
      </c>
      <c r="D9975" t="str">
        <v>-</v>
      </c>
      <c r="E9975" t="str">
        <v>-</v>
      </c>
      <c r="F9975" t="str">
        <v>-</v>
      </c>
      <c r="G9975" t="str">
        <v>-</v>
      </c>
    </row>
    <row r="9976">
      <c r="A9976">
        <v>9975</v>
      </c>
      <c r="B9976" t="str">
        <v>Công an thị trấn Mỹ Lộc  tỉnh Nam Định</v>
      </c>
      <c r="C9976" t="str">
        <v>-</v>
      </c>
      <c r="D9976" t="str">
        <v>-</v>
      </c>
      <c r="E9976" t="str">
        <v/>
      </c>
      <c r="F9976" t="str">
        <v>-</v>
      </c>
      <c r="G9976" t="str">
        <v>-</v>
      </c>
    </row>
    <row r="9977">
      <c r="A9977">
        <v>9976</v>
      </c>
      <c r="B9977" t="str">
        <v>UBND Ủy ban nhân dân thị trấn Mỹ Lộc  tỉnh Nam Định</v>
      </c>
      <c r="C9977" t="str">
        <v>-</v>
      </c>
      <c r="D9977" t="str">
        <v>-</v>
      </c>
      <c r="E9977" t="str">
        <v>-</v>
      </c>
      <c r="F9977" t="str">
        <v>-</v>
      </c>
      <c r="G9977" t="str">
        <v>-</v>
      </c>
    </row>
    <row r="9978">
      <c r="A9978">
        <v>9977</v>
      </c>
      <c r="B9978" t="str">
        <v>Công an xã Mỹ Hà  tỉnh Nam Định</v>
      </c>
      <c r="C9978" t="str">
        <v>-</v>
      </c>
      <c r="D9978" t="str">
        <v>-</v>
      </c>
      <c r="E9978" t="str">
        <v/>
      </c>
      <c r="F9978" t="str">
        <v>-</v>
      </c>
      <c r="G9978" t="str">
        <v>-</v>
      </c>
    </row>
    <row r="9979">
      <c r="A9979">
        <v>9978</v>
      </c>
      <c r="B9979" t="str">
        <v>UBND Ủy ban nhân dân xã Mỹ Hà  tỉnh Nam Định</v>
      </c>
      <c r="C9979" t="str">
        <v>-</v>
      </c>
      <c r="D9979" t="str">
        <v>-</v>
      </c>
      <c r="E9979" t="str">
        <v>-</v>
      </c>
      <c r="F9979" t="str">
        <v>-</v>
      </c>
      <c r="G9979" t="str">
        <v>-</v>
      </c>
    </row>
    <row r="9980">
      <c r="A9980">
        <v>9979</v>
      </c>
      <c r="B9980" t="str">
        <v>Công an xã Mỹ Tiến  tỉnh Nam Định</v>
      </c>
      <c r="C9980" t="str">
        <v>-</v>
      </c>
      <c r="D9980" t="str">
        <v>-</v>
      </c>
      <c r="E9980" t="str">
        <v/>
      </c>
      <c r="F9980" t="str">
        <v>-</v>
      </c>
      <c r="G9980" t="str">
        <v>-</v>
      </c>
    </row>
    <row r="9981">
      <c r="A9981">
        <v>9980</v>
      </c>
      <c r="B9981" t="str">
        <v>UBND Ủy ban nhân dân xã Mỹ Tiến  tỉnh Nam Định</v>
      </c>
      <c r="C9981" t="str">
        <v>-</v>
      </c>
      <c r="D9981" t="str">
        <v>-</v>
      </c>
      <c r="E9981" t="str">
        <v>-</v>
      </c>
      <c r="F9981" t="str">
        <v>-</v>
      </c>
      <c r="G9981" t="str">
        <v>-</v>
      </c>
    </row>
    <row r="9982">
      <c r="A9982">
        <v>9981</v>
      </c>
      <c r="B9982" t="str">
        <v>Công an xã Mỹ Thắng  tỉnh Nam Định</v>
      </c>
      <c r="C9982" t="str">
        <v>-</v>
      </c>
      <c r="D9982" t="str">
        <v>-</v>
      </c>
      <c r="E9982" t="str">
        <v/>
      </c>
      <c r="F9982" t="str">
        <v>-</v>
      </c>
      <c r="G9982" t="str">
        <v>-</v>
      </c>
    </row>
    <row r="9983">
      <c r="A9983">
        <v>9982</v>
      </c>
      <c r="B9983" t="str">
        <v>UBND Ủy ban nhân dân xã Mỹ Thắng  tỉnh Nam Định</v>
      </c>
      <c r="C9983" t="str">
        <v>-</v>
      </c>
      <c r="D9983" t="str">
        <v>-</v>
      </c>
      <c r="E9983" t="str">
        <v>-</v>
      </c>
      <c r="F9983" t="str">
        <v>-</v>
      </c>
      <c r="G9983" t="str">
        <v>-</v>
      </c>
    </row>
    <row r="9984">
      <c r="A9984">
        <v>9983</v>
      </c>
      <c r="B9984" t="str">
        <v>Công an xã Mỹ Trung  tỉnh Nam Định</v>
      </c>
      <c r="C9984" t="str">
        <v>-</v>
      </c>
      <c r="D9984" t="str">
        <v>-</v>
      </c>
      <c r="E9984" t="str">
        <v/>
      </c>
      <c r="F9984" t="str">
        <v>-</v>
      </c>
      <c r="G9984" t="str">
        <v>-</v>
      </c>
    </row>
    <row r="9985">
      <c r="A9985">
        <v>9984</v>
      </c>
      <c r="B9985" t="str">
        <v>UBND Ủy ban nhân dân xã Mỹ Trung  tỉnh Nam Định</v>
      </c>
      <c r="C9985" t="str">
        <v>-</v>
      </c>
      <c r="D9985" t="str">
        <v>-</v>
      </c>
      <c r="E9985" t="str">
        <v>-</v>
      </c>
      <c r="F9985" t="str">
        <v>-</v>
      </c>
      <c r="G9985" t="str">
        <v>-</v>
      </c>
    </row>
    <row r="9986">
      <c r="A9986">
        <v>9985</v>
      </c>
      <c r="B9986" t="str">
        <v>Công an xã Mỹ Tân  tỉnh Nam Định</v>
      </c>
      <c r="C9986" t="str">
        <v>-</v>
      </c>
      <c r="D9986" t="str">
        <v>-</v>
      </c>
      <c r="E9986" t="str">
        <v/>
      </c>
      <c r="F9986" t="str">
        <v>-</v>
      </c>
      <c r="G9986" t="str">
        <v>-</v>
      </c>
    </row>
    <row r="9987">
      <c r="A9987">
        <v>9986</v>
      </c>
      <c r="B9987" t="str">
        <v>UBND Ủy ban nhân dân xã Mỹ Tân  tỉnh Nam Định</v>
      </c>
      <c r="C9987" t="str">
        <v>-</v>
      </c>
      <c r="D9987" t="str">
        <v>-</v>
      </c>
      <c r="E9987" t="str">
        <v>-</v>
      </c>
      <c r="F9987" t="str">
        <v>-</v>
      </c>
      <c r="G9987" t="str">
        <v>-</v>
      </c>
    </row>
    <row r="9988">
      <c r="A9988">
        <v>9987</v>
      </c>
      <c r="B9988" t="str">
        <v>Công an xã Mỹ Phúc  tỉnh Nam Định</v>
      </c>
      <c r="C9988" t="str">
        <v>-</v>
      </c>
      <c r="D9988" t="str">
        <v>-</v>
      </c>
      <c r="E9988" t="str">
        <v/>
      </c>
      <c r="F9988" t="str">
        <v>-</v>
      </c>
      <c r="G9988" t="str">
        <v>-</v>
      </c>
    </row>
    <row r="9989">
      <c r="A9989">
        <v>9988</v>
      </c>
      <c r="B9989" t="str">
        <v>UBND Ủy ban nhân dân xã Mỹ Phúc  tỉnh Nam Định</v>
      </c>
      <c r="C9989" t="str">
        <v>-</v>
      </c>
      <c r="D9989" t="str">
        <v>-</v>
      </c>
      <c r="E9989" t="str">
        <v>-</v>
      </c>
      <c r="F9989" t="str">
        <v>-</v>
      </c>
      <c r="G9989" t="str">
        <v>-</v>
      </c>
    </row>
    <row r="9990">
      <c r="A9990">
        <v>9989</v>
      </c>
      <c r="B9990" t="str">
        <v>Công an xã Mỹ Hưng  tỉnh Nam Định</v>
      </c>
      <c r="C9990" t="str">
        <v>-</v>
      </c>
      <c r="D9990" t="str">
        <v>-</v>
      </c>
      <c r="E9990" t="str">
        <v/>
      </c>
      <c r="F9990" t="str">
        <v>-</v>
      </c>
      <c r="G9990" t="str">
        <v>-</v>
      </c>
    </row>
    <row r="9991">
      <c r="A9991">
        <v>9990</v>
      </c>
      <c r="B9991" t="str">
        <v>UBND Ủy ban nhân dân xã Mỹ Hưng  tỉnh Nam Định</v>
      </c>
      <c r="C9991" t="str">
        <v>-</v>
      </c>
      <c r="D9991" t="str">
        <v>-</v>
      </c>
      <c r="E9991" t="str">
        <v>-</v>
      </c>
      <c r="F9991" t="str">
        <v>-</v>
      </c>
      <c r="G9991" t="str">
        <v>-</v>
      </c>
    </row>
    <row r="9992">
      <c r="A9992">
        <v>9991</v>
      </c>
      <c r="B9992" t="str">
        <v>Công an xã Mỹ Thuận  tỉnh Nam Định</v>
      </c>
      <c r="C9992" t="str">
        <v>-</v>
      </c>
      <c r="D9992" t="str">
        <v>-</v>
      </c>
      <c r="E9992" t="str">
        <v/>
      </c>
      <c r="F9992" t="str">
        <v>-</v>
      </c>
      <c r="G9992" t="str">
        <v>-</v>
      </c>
    </row>
    <row r="9993">
      <c r="A9993">
        <v>9992</v>
      </c>
      <c r="B9993" t="str">
        <v>UBND Ủy ban nhân dân xã Mỹ Thuận  tỉnh Nam Định</v>
      </c>
      <c r="C9993" t="str">
        <v>-</v>
      </c>
      <c r="D9993" t="str">
        <v>-</v>
      </c>
      <c r="E9993" t="str">
        <v>-</v>
      </c>
      <c r="F9993" t="str">
        <v>-</v>
      </c>
      <c r="G9993" t="str">
        <v>-</v>
      </c>
    </row>
    <row r="9994">
      <c r="A9994">
        <v>9993</v>
      </c>
      <c r="B9994" t="str">
        <v>Công an xã Mỹ Thịnh  tỉnh Nam Định</v>
      </c>
      <c r="C9994" t="str">
        <v>-</v>
      </c>
      <c r="D9994" t="str">
        <v>-</v>
      </c>
      <c r="E9994" t="str">
        <v/>
      </c>
      <c r="F9994" t="str">
        <v>-</v>
      </c>
      <c r="G9994" t="str">
        <v>-</v>
      </c>
    </row>
    <row r="9995">
      <c r="A9995">
        <v>9994</v>
      </c>
      <c r="B9995" t="str">
        <v>UBND Ủy ban nhân dân xã Mỹ Thịnh  tỉnh Nam Định</v>
      </c>
      <c r="C9995" t="str">
        <v>-</v>
      </c>
      <c r="D9995" t="str">
        <v>-</v>
      </c>
      <c r="E9995" t="str">
        <v>-</v>
      </c>
      <c r="F9995" t="str">
        <v>-</v>
      </c>
      <c r="G9995" t="str">
        <v>-</v>
      </c>
    </row>
    <row r="9996">
      <c r="A9996">
        <v>9995</v>
      </c>
      <c r="B9996" t="str">
        <v>Công an xã Mỹ Thành  tỉnh Nam Định</v>
      </c>
      <c r="C9996" t="str">
        <v>-</v>
      </c>
      <c r="D9996" t="str">
        <v>-</v>
      </c>
      <c r="E9996" t="str">
        <v/>
      </c>
      <c r="F9996" t="str">
        <v>-</v>
      </c>
      <c r="G9996" t="str">
        <v>-</v>
      </c>
    </row>
    <row r="9997">
      <c r="A9997">
        <v>9996</v>
      </c>
      <c r="B9997" t="str">
        <v>UBND Ủy ban nhân dân xã Mỹ Thành  tỉnh Nam Định</v>
      </c>
      <c r="C9997" t="str">
        <v>-</v>
      </c>
      <c r="D9997" t="str">
        <v>-</v>
      </c>
      <c r="E9997" t="str">
        <v>-</v>
      </c>
      <c r="F9997" t="str">
        <v>-</v>
      </c>
      <c r="G9997" t="str">
        <v>-</v>
      </c>
    </row>
    <row r="9998">
      <c r="A9998">
        <v>9997</v>
      </c>
      <c r="B9998" t="str">
        <v>Công an thị trấn Gôi  tỉnh Nam Định</v>
      </c>
      <c r="C9998" t="str">
        <v>-</v>
      </c>
      <c r="D9998" t="str">
        <v>-</v>
      </c>
      <c r="E9998" t="str">
        <v/>
      </c>
      <c r="F9998" t="str">
        <v>-</v>
      </c>
      <c r="G9998" t="str">
        <v>-</v>
      </c>
    </row>
    <row r="9999">
      <c r="A9999">
        <v>9998</v>
      </c>
      <c r="B9999" t="str">
        <v>UBND Ủy ban nhân dân thị trấn Gôi  tỉnh Nam Định</v>
      </c>
      <c r="C9999" t="str">
        <v>-</v>
      </c>
      <c r="D9999" t="str">
        <v>-</v>
      </c>
      <c r="E9999" t="str">
        <v>-</v>
      </c>
      <c r="F9999" t="str">
        <v>-</v>
      </c>
      <c r="G9999" t="str">
        <v>-</v>
      </c>
    </row>
    <row r="10000">
      <c r="A10000">
        <v>9999</v>
      </c>
      <c r="B10000" t="str">
        <v>Công an xã Minh Thuận  tỉnh Nam Định</v>
      </c>
      <c r="C10000" t="str">
        <v>-</v>
      </c>
      <c r="D10000" t="str">
        <v>-</v>
      </c>
      <c r="E10000" t="str">
        <v/>
      </c>
      <c r="F10000" t="str">
        <v>-</v>
      </c>
      <c r="G10000" t="str">
        <v>-</v>
      </c>
    </row>
    <row r="10001">
      <c r="A10001">
        <v>10000</v>
      </c>
      <c r="B10001" t="str">
        <v>UBND Ủy ban nhân dân xã Minh Thuận  tỉnh Nam Định</v>
      </c>
      <c r="C10001" t="str">
        <v>-</v>
      </c>
      <c r="D10001" t="str">
        <v>-</v>
      </c>
      <c r="E10001" t="str">
        <v>-</v>
      </c>
      <c r="F10001" t="str">
        <v>-</v>
      </c>
      <c r="G10001" t="str">
        <v>-</v>
      </c>
    </row>
    <row r="10002">
      <c r="A10002">
        <v>10001</v>
      </c>
      <c r="B10002" t="str">
        <v>Công an xã Hiển Khánh  tỉnh Nam Định</v>
      </c>
      <c r="C10002" t="str">
        <v>-</v>
      </c>
      <c r="D10002" t="str">
        <v>-</v>
      </c>
      <c r="E10002" t="str">
        <v/>
      </c>
      <c r="F10002" t="str">
        <v>-</v>
      </c>
      <c r="G10002" t="str">
        <v>-</v>
      </c>
    </row>
    <row r="10003">
      <c r="A10003">
        <v>10002</v>
      </c>
      <c r="B10003" t="str">
        <v>UBND Ủy ban nhân dân xã Hiển Khánh  tỉnh Nam Định</v>
      </c>
      <c r="C10003" t="str">
        <v>-</v>
      </c>
      <c r="D10003" t="str">
        <v>-</v>
      </c>
      <c r="E10003" t="str">
        <v>-</v>
      </c>
      <c r="F10003" t="str">
        <v>-</v>
      </c>
      <c r="G10003" t="str">
        <v>-</v>
      </c>
    </row>
    <row r="10004">
      <c r="A10004">
        <v>10003</v>
      </c>
      <c r="B10004" t="str">
        <v>Công an xã Quang Trung   tỉnh Nam Định</v>
      </c>
      <c r="C10004" t="str">
        <v>-</v>
      </c>
      <c r="D10004" t="str">
        <v>-</v>
      </c>
      <c r="E10004" t="str">
        <v/>
      </c>
      <c r="F10004" t="str">
        <v>-</v>
      </c>
      <c r="G10004" t="str">
        <v>-</v>
      </c>
    </row>
    <row r="10005">
      <c r="A10005">
        <v>10004</v>
      </c>
      <c r="B10005" t="str">
        <v>UBND Ủy ban nhân dân xã Quang Trung   tỉnh Nam Định</v>
      </c>
      <c r="C10005" t="str">
        <v>-</v>
      </c>
      <c r="D10005" t="str">
        <v>-</v>
      </c>
      <c r="E10005" t="str">
        <v>-</v>
      </c>
      <c r="F10005" t="str">
        <v>-</v>
      </c>
      <c r="G10005" t="str">
        <v>-</v>
      </c>
    </row>
    <row r="10006">
      <c r="A10006">
        <v>10005</v>
      </c>
      <c r="B10006" t="str">
        <v>Công an xã Hợp Hưng  tỉnh Nam Định</v>
      </c>
      <c r="C10006" t="str">
        <v>-</v>
      </c>
      <c r="D10006" t="str">
        <v>-</v>
      </c>
      <c r="E10006" t="str">
        <v/>
      </c>
      <c r="F10006" t="str">
        <v>-</v>
      </c>
      <c r="G10006" t="str">
        <v>-</v>
      </c>
    </row>
    <row r="10007">
      <c r="A10007">
        <v>10006</v>
      </c>
      <c r="B10007" t="str">
        <v>UBND Ủy ban nhân dân xã Hợp Hưng  tỉnh Nam Định</v>
      </c>
      <c r="C10007" t="str">
        <v>-</v>
      </c>
      <c r="D10007" t="str">
        <v>-</v>
      </c>
      <c r="E10007" t="str">
        <v>-</v>
      </c>
      <c r="F10007" t="str">
        <v>-</v>
      </c>
      <c r="G10007" t="str">
        <v>-</v>
      </c>
    </row>
    <row r="10008">
      <c r="A10008">
        <v>10007</v>
      </c>
      <c r="B10008" t="str">
        <v>Công an xã Đại An  tỉnh Nam Định</v>
      </c>
      <c r="C10008" t="str">
        <v>-</v>
      </c>
      <c r="D10008" t="str">
        <v>-</v>
      </c>
      <c r="E10008" t="str">
        <v/>
      </c>
      <c r="F10008" t="str">
        <v>-</v>
      </c>
      <c r="G10008" t="str">
        <v>-</v>
      </c>
    </row>
    <row r="10009">
      <c r="A10009">
        <v>10008</v>
      </c>
      <c r="B10009" t="str">
        <v>UBND Ủy ban nhân dân xã Đại An  tỉnh Nam Định</v>
      </c>
      <c r="C10009" t="str">
        <v>-</v>
      </c>
      <c r="D10009" t="str">
        <v>-</v>
      </c>
      <c r="E10009" t="str">
        <v>-</v>
      </c>
      <c r="F10009" t="str">
        <v>-</v>
      </c>
      <c r="G10009" t="str">
        <v>-</v>
      </c>
    </row>
    <row r="10010">
      <c r="A10010">
        <v>10009</v>
      </c>
      <c r="B10010" t="str">
        <v>Công an xã Tân Thành  tỉnh Nam Định</v>
      </c>
      <c r="C10010" t="str">
        <v>-</v>
      </c>
      <c r="D10010" t="str">
        <v>-</v>
      </c>
      <c r="E10010" t="str">
        <v/>
      </c>
      <c r="F10010" t="str">
        <v>-</v>
      </c>
      <c r="G10010" t="str">
        <v>-</v>
      </c>
    </row>
    <row r="10011">
      <c r="A10011">
        <v>10010</v>
      </c>
      <c r="B10011" t="str">
        <v>UBND Ủy ban nhân dân xã Tân Thành  tỉnh Nam Định</v>
      </c>
      <c r="C10011" t="str">
        <v>-</v>
      </c>
      <c r="D10011" t="str">
        <v>-</v>
      </c>
      <c r="E10011" t="str">
        <v>-</v>
      </c>
      <c r="F10011" t="str">
        <v>-</v>
      </c>
      <c r="G10011" t="str">
        <v>-</v>
      </c>
    </row>
    <row r="10012">
      <c r="A10012">
        <v>10011</v>
      </c>
      <c r="B10012" t="str">
        <v>Công an xã Cộng Hòa  tỉnh Nam Định</v>
      </c>
      <c r="C10012" t="str">
        <v>-</v>
      </c>
      <c r="D10012" t="str">
        <v>-</v>
      </c>
      <c r="E10012" t="str">
        <v/>
      </c>
      <c r="F10012" t="str">
        <v>-</v>
      </c>
      <c r="G10012" t="str">
        <v>-</v>
      </c>
    </row>
    <row r="10013">
      <c r="A10013">
        <v>10012</v>
      </c>
      <c r="B10013" t="str">
        <v>UBND Ủy ban nhân dân xã Cộng Hòa  tỉnh Nam Định</v>
      </c>
      <c r="C10013" t="str">
        <v>-</v>
      </c>
      <c r="D10013" t="str">
        <v>-</v>
      </c>
      <c r="E10013" t="str">
        <v>-</v>
      </c>
      <c r="F10013" t="str">
        <v>-</v>
      </c>
      <c r="G10013" t="str">
        <v>-</v>
      </c>
    </row>
    <row r="10014">
      <c r="A10014">
        <v>10013</v>
      </c>
      <c r="B10014" t="str">
        <v>Công an xã Quang Trung   tỉnh Nam Định</v>
      </c>
      <c r="C10014" t="str">
        <v>-</v>
      </c>
      <c r="D10014" t="str">
        <v>-</v>
      </c>
      <c r="E10014" t="str">
        <v/>
      </c>
      <c r="F10014" t="str">
        <v>-</v>
      </c>
      <c r="G10014" t="str">
        <v>-</v>
      </c>
    </row>
    <row r="10015">
      <c r="A10015">
        <v>10014</v>
      </c>
      <c r="B10015" t="str">
        <v>UBND Ủy ban nhân dân xã Quang Trung   tỉnh Nam Định</v>
      </c>
      <c r="C10015" t="str">
        <v>-</v>
      </c>
      <c r="D10015" t="str">
        <v>-</v>
      </c>
      <c r="E10015" t="str">
        <v>-</v>
      </c>
      <c r="F10015" t="str">
        <v>-</v>
      </c>
      <c r="G10015" t="str">
        <v>-</v>
      </c>
    </row>
    <row r="10016">
      <c r="A10016">
        <v>10015</v>
      </c>
      <c r="B10016" t="str">
        <v>Công an xã Quang Trung  tỉnh Nam Định</v>
      </c>
      <c r="C10016" t="str">
        <v>-</v>
      </c>
      <c r="D10016" t="str">
        <v>-</v>
      </c>
      <c r="E10016" t="str">
        <v/>
      </c>
      <c r="F10016" t="str">
        <v>-</v>
      </c>
      <c r="G10016" t="str">
        <v>-</v>
      </c>
    </row>
    <row r="10017">
      <c r="A10017">
        <v>10016</v>
      </c>
      <c r="B10017" t="str">
        <v>UBND Ủy ban nhân dân xã Quang Trung  tỉnh Nam Định</v>
      </c>
      <c r="C10017" t="str">
        <v>-</v>
      </c>
      <c r="D10017" t="str">
        <v>-</v>
      </c>
      <c r="E10017" t="str">
        <v>-</v>
      </c>
      <c r="F10017" t="str">
        <v>-</v>
      </c>
      <c r="G10017" t="str">
        <v>-</v>
      </c>
    </row>
    <row r="10018">
      <c r="A10018">
        <v>10017</v>
      </c>
      <c r="B10018" t="str">
        <v>Công an xã Minh Tân  tỉnh Nam Định</v>
      </c>
      <c r="C10018" t="str">
        <v>-</v>
      </c>
      <c r="D10018" t="str">
        <v>-</v>
      </c>
      <c r="E10018" t="str">
        <v/>
      </c>
      <c r="F10018" t="str">
        <v>-</v>
      </c>
      <c r="G10018" t="str">
        <v>-</v>
      </c>
    </row>
    <row r="10019">
      <c r="A10019">
        <v>10018</v>
      </c>
      <c r="B10019" t="str">
        <v>UBND Ủy ban nhân dân xã Minh Tân  tỉnh Nam Định</v>
      </c>
      <c r="C10019" t="str">
        <v>-</v>
      </c>
      <c r="D10019" t="str">
        <v>-</v>
      </c>
      <c r="E10019" t="str">
        <v>-</v>
      </c>
      <c r="F10019" t="str">
        <v>-</v>
      </c>
      <c r="G10019" t="str">
        <v>-</v>
      </c>
    </row>
    <row r="10020">
      <c r="A10020">
        <v>10019</v>
      </c>
      <c r="B10020" t="str">
        <v>Công an xã Thành Lợi  tỉnh Nam Định</v>
      </c>
      <c r="C10020" t="str">
        <v>-</v>
      </c>
      <c r="D10020" t="str">
        <v>-</v>
      </c>
      <c r="E10020" t="str">
        <v/>
      </c>
      <c r="F10020" t="str">
        <v>-</v>
      </c>
      <c r="G10020" t="str">
        <v>-</v>
      </c>
    </row>
    <row r="10021">
      <c r="A10021">
        <v>10020</v>
      </c>
      <c r="B10021" t="str">
        <v>UBND Ủy ban nhân dân xã Thành Lợi  tỉnh Nam Định</v>
      </c>
      <c r="C10021" t="str">
        <v>-</v>
      </c>
      <c r="D10021" t="str">
        <v>-</v>
      </c>
      <c r="E10021" t="str">
        <v>-</v>
      </c>
      <c r="F10021" t="str">
        <v>-</v>
      </c>
      <c r="G10021" t="str">
        <v>-</v>
      </c>
    </row>
    <row r="10022">
      <c r="A10022">
        <v>10021</v>
      </c>
      <c r="B10022" t="str">
        <v>Công an xã Kim Thái  tỉnh Nam Định</v>
      </c>
      <c r="C10022" t="str">
        <v>-</v>
      </c>
      <c r="D10022" t="str">
        <v>-</v>
      </c>
      <c r="E10022" t="str">
        <v/>
      </c>
      <c r="F10022" t="str">
        <v>-</v>
      </c>
      <c r="G10022" t="str">
        <v>-</v>
      </c>
    </row>
    <row r="10023">
      <c r="A10023">
        <v>10022</v>
      </c>
      <c r="B10023" t="str">
        <v>UBND Ủy ban nhân dân xã Kim Thái  tỉnh Nam Định</v>
      </c>
      <c r="C10023" t="str">
        <v>-</v>
      </c>
      <c r="D10023" t="str">
        <v>-</v>
      </c>
      <c r="E10023" t="str">
        <v>-</v>
      </c>
      <c r="F10023" t="str">
        <v>-</v>
      </c>
      <c r="G10023" t="str">
        <v>-</v>
      </c>
    </row>
    <row r="10024">
      <c r="A10024">
        <v>10023</v>
      </c>
      <c r="B10024" t="str">
        <v>Công an xã Liên Minh  tỉnh Nam Định</v>
      </c>
      <c r="C10024" t="str">
        <v>-</v>
      </c>
      <c r="D10024" t="str">
        <v>-</v>
      </c>
      <c r="E10024" t="str">
        <v/>
      </c>
      <c r="F10024" t="str">
        <v>-</v>
      </c>
      <c r="G10024" t="str">
        <v>-</v>
      </c>
    </row>
    <row r="10025">
      <c r="A10025">
        <v>10024</v>
      </c>
      <c r="B10025" t="str">
        <v>UBND Ủy ban nhân dân xã Liên Minh  tỉnh Nam Định</v>
      </c>
      <c r="C10025" t="str">
        <v>-</v>
      </c>
      <c r="D10025" t="str">
        <v>-</v>
      </c>
      <c r="E10025" t="str">
        <v>-</v>
      </c>
      <c r="F10025" t="str">
        <v>-</v>
      </c>
      <c r="G10025" t="str">
        <v>-</v>
      </c>
    </row>
    <row r="10026">
      <c r="A10026">
        <v>10025</v>
      </c>
      <c r="B10026" t="str">
        <v>Công an xã Đại Thắng  tỉnh Nam Định</v>
      </c>
      <c r="C10026" t="str">
        <v>-</v>
      </c>
      <c r="D10026" t="str">
        <v>-</v>
      </c>
      <c r="E10026" t="str">
        <v/>
      </c>
      <c r="F10026" t="str">
        <v>-</v>
      </c>
      <c r="G10026" t="str">
        <v>-</v>
      </c>
    </row>
    <row r="10027">
      <c r="A10027">
        <v>10026</v>
      </c>
      <c r="B10027" t="str">
        <v>UBND Ủy ban nhân dân xã Đại Thắng  tỉnh Nam Định</v>
      </c>
      <c r="C10027" t="str">
        <v>-</v>
      </c>
      <c r="D10027" t="str">
        <v>-</v>
      </c>
      <c r="E10027" t="str">
        <v>-</v>
      </c>
      <c r="F10027" t="str">
        <v>-</v>
      </c>
      <c r="G10027" t="str">
        <v>-</v>
      </c>
    </row>
    <row r="10028">
      <c r="A10028">
        <v>10027</v>
      </c>
      <c r="B10028" t="str">
        <v>Công an xã Tam Thanh  tỉnh Nam Định</v>
      </c>
      <c r="C10028" t="str">
        <v>-</v>
      </c>
      <c r="D10028" t="str">
        <v>-</v>
      </c>
      <c r="E10028" t="str">
        <v/>
      </c>
      <c r="F10028" t="str">
        <v>-</v>
      </c>
      <c r="G10028" t="str">
        <v>-</v>
      </c>
    </row>
    <row r="10029">
      <c r="A10029">
        <v>10028</v>
      </c>
      <c r="B10029" t="str">
        <v>UBND Ủy ban nhân dân xã Tam Thanh  tỉnh Nam Định</v>
      </c>
      <c r="C10029" t="str">
        <v>-</v>
      </c>
      <c r="D10029" t="str">
        <v>-</v>
      </c>
      <c r="E10029" t="str">
        <v>-</v>
      </c>
      <c r="F10029" t="str">
        <v>-</v>
      </c>
      <c r="G10029" t="str">
        <v>-</v>
      </c>
    </row>
    <row r="10030">
      <c r="A10030">
        <v>10029</v>
      </c>
      <c r="B10030" t="str">
        <v>Công an xã Vĩnh Hào  tỉnh Nam Định</v>
      </c>
      <c r="C10030" t="str">
        <v>-</v>
      </c>
      <c r="D10030" t="str">
        <v>-</v>
      </c>
      <c r="E10030" t="str">
        <v/>
      </c>
      <c r="F10030" t="str">
        <v>-</v>
      </c>
      <c r="G10030" t="str">
        <v>-</v>
      </c>
    </row>
    <row r="10031">
      <c r="A10031">
        <v>10030</v>
      </c>
      <c r="B10031" t="str">
        <v>UBND Ủy ban nhân dân xã Vĩnh Hào  tỉnh Nam Định</v>
      </c>
      <c r="C10031" t="str">
        <v>-</v>
      </c>
      <c r="D10031" t="str">
        <v>-</v>
      </c>
      <c r="E10031" t="str">
        <v>-</v>
      </c>
      <c r="F10031" t="str">
        <v>-</v>
      </c>
      <c r="G10031" t="str">
        <v>-</v>
      </c>
    </row>
    <row r="10032">
      <c r="A10032">
        <v>10031</v>
      </c>
      <c r="B10032" t="str">
        <v>Công an thị trấn Lâm  tỉnh Nam Định</v>
      </c>
      <c r="C10032" t="str">
        <v>-</v>
      </c>
      <c r="D10032" t="str">
        <v>-</v>
      </c>
      <c r="E10032" t="str">
        <v/>
      </c>
      <c r="F10032" t="str">
        <v>-</v>
      </c>
      <c r="G10032" t="str">
        <v>-</v>
      </c>
    </row>
    <row r="10033">
      <c r="A10033">
        <v>10032</v>
      </c>
      <c r="B10033" t="str">
        <v>UBND Ủy ban nhân dân thị trấn Lâm  tỉnh Nam Định</v>
      </c>
      <c r="C10033" t="str">
        <v>-</v>
      </c>
      <c r="D10033" t="str">
        <v>-</v>
      </c>
      <c r="E10033" t="str">
        <v>-</v>
      </c>
      <c r="F10033" t="str">
        <v>-</v>
      </c>
      <c r="G10033" t="str">
        <v>-</v>
      </c>
    </row>
    <row r="10034">
      <c r="A10034">
        <v>10033</v>
      </c>
      <c r="B10034" t="str">
        <v>Công an xã Yên Trung  tỉnh Nam Định</v>
      </c>
      <c r="C10034" t="str">
        <v>-</v>
      </c>
      <c r="D10034" t="str">
        <v>-</v>
      </c>
      <c r="E10034" t="str">
        <v/>
      </c>
      <c r="F10034" t="str">
        <v>-</v>
      </c>
      <c r="G10034" t="str">
        <v>-</v>
      </c>
    </row>
    <row r="10035">
      <c r="A10035">
        <v>10034</v>
      </c>
      <c r="B10035" t="str">
        <v>UBND Ủy ban nhân dân xã Yên Trung  tỉnh Nam Định</v>
      </c>
      <c r="C10035" t="str">
        <v>-</v>
      </c>
      <c r="D10035" t="str">
        <v>-</v>
      </c>
      <c r="E10035" t="str">
        <v>-</v>
      </c>
      <c r="F10035" t="str">
        <v>-</v>
      </c>
      <c r="G10035" t="str">
        <v>-</v>
      </c>
    </row>
    <row r="10036">
      <c r="A10036">
        <v>10035</v>
      </c>
      <c r="B10036" t="str">
        <v>Công an xã Yên Thành  tỉnh Nam Định</v>
      </c>
      <c r="C10036" t="str">
        <v>-</v>
      </c>
      <c r="D10036" t="str">
        <v>-</v>
      </c>
      <c r="E10036" t="str">
        <v/>
      </c>
      <c r="F10036" t="str">
        <v>-</v>
      </c>
      <c r="G10036" t="str">
        <v>-</v>
      </c>
    </row>
    <row r="10037">
      <c r="A10037">
        <v>10036</v>
      </c>
      <c r="B10037" t="str">
        <v>UBND Ủy ban nhân dân xã Yên Thành  tỉnh Nam Định</v>
      </c>
      <c r="C10037" t="str">
        <v>-</v>
      </c>
      <c r="D10037" t="str">
        <v>-</v>
      </c>
      <c r="E10037" t="str">
        <v>-</v>
      </c>
      <c r="F10037" t="str">
        <v>-</v>
      </c>
      <c r="G10037" t="str">
        <v>-</v>
      </c>
    </row>
    <row r="10038">
      <c r="A10038">
        <v>10037</v>
      </c>
      <c r="B10038" t="str">
        <v>Công an xã Yên Tân  tỉnh Nam Định</v>
      </c>
      <c r="C10038" t="str">
        <v>-</v>
      </c>
      <c r="D10038" t="str">
        <v>-</v>
      </c>
      <c r="E10038" t="str">
        <v/>
      </c>
      <c r="F10038" t="str">
        <v>-</v>
      </c>
      <c r="G10038" t="str">
        <v>-</v>
      </c>
    </row>
    <row r="10039">
      <c r="A10039">
        <v>10038</v>
      </c>
      <c r="B10039" t="str">
        <v>UBND Ủy ban nhân dân xã Yên Tân  tỉnh Nam Định</v>
      </c>
      <c r="C10039" t="str">
        <v>-</v>
      </c>
      <c r="D10039" t="str">
        <v>-</v>
      </c>
      <c r="E10039" t="str">
        <v>-</v>
      </c>
      <c r="F10039" t="str">
        <v>-</v>
      </c>
      <c r="G10039" t="str">
        <v>-</v>
      </c>
    </row>
    <row r="10040">
      <c r="A10040">
        <v>10039</v>
      </c>
      <c r="B10040" t="str">
        <v>Công an xã Yên Lợi  tỉnh Nam Định</v>
      </c>
      <c r="C10040" t="str">
        <v>-</v>
      </c>
      <c r="D10040" t="str">
        <v>-</v>
      </c>
      <c r="E10040" t="str">
        <v/>
      </c>
      <c r="F10040" t="str">
        <v>-</v>
      </c>
      <c r="G10040" t="str">
        <v>-</v>
      </c>
    </row>
    <row r="10041">
      <c r="A10041">
        <v>10040</v>
      </c>
      <c r="B10041" t="str">
        <v>UBND Ủy ban nhân dân xã Yên Lợi  tỉnh Nam Định</v>
      </c>
      <c r="C10041" t="str">
        <v>-</v>
      </c>
      <c r="D10041" t="str">
        <v>-</v>
      </c>
      <c r="E10041" t="str">
        <v>-</v>
      </c>
      <c r="F10041" t="str">
        <v>-</v>
      </c>
      <c r="G10041" t="str">
        <v>-</v>
      </c>
    </row>
    <row r="10042">
      <c r="A10042">
        <v>10041</v>
      </c>
      <c r="B10042" t="str">
        <v>Công an xã Yên Thọ  tỉnh Nam Định</v>
      </c>
      <c r="C10042" t="str">
        <v>-</v>
      </c>
      <c r="D10042" t="str">
        <v>-</v>
      </c>
      <c r="E10042" t="str">
        <v/>
      </c>
      <c r="F10042" t="str">
        <v>-</v>
      </c>
      <c r="G10042" t="str">
        <v>-</v>
      </c>
    </row>
    <row r="10043">
      <c r="A10043">
        <v>10042</v>
      </c>
      <c r="B10043" t="str">
        <v>UBND Ủy ban nhân dân xã Yên Thọ  tỉnh Nam Định</v>
      </c>
      <c r="C10043" t="str">
        <v>-</v>
      </c>
      <c r="D10043" t="str">
        <v>-</v>
      </c>
      <c r="E10043" t="str">
        <v>-</v>
      </c>
      <c r="F10043" t="str">
        <v>-</v>
      </c>
      <c r="G10043" t="str">
        <v>-</v>
      </c>
    </row>
    <row r="10044">
      <c r="A10044">
        <v>10043</v>
      </c>
      <c r="B10044" t="str">
        <v>Công an xã Yên Nghĩa  tỉnh Nam Định</v>
      </c>
      <c r="C10044" t="str">
        <v>-</v>
      </c>
      <c r="D10044" t="str">
        <v>-</v>
      </c>
      <c r="E10044" t="str">
        <v/>
      </c>
      <c r="F10044" t="str">
        <v>-</v>
      </c>
      <c r="G10044" t="str">
        <v>-</v>
      </c>
    </row>
    <row r="10045">
      <c r="A10045">
        <v>10044</v>
      </c>
      <c r="B10045" t="str">
        <v>UBND Ủy ban nhân dân xã Yên Nghĩa  tỉnh Nam Định</v>
      </c>
      <c r="C10045" t="str">
        <v>-</v>
      </c>
      <c r="D10045" t="str">
        <v>-</v>
      </c>
      <c r="E10045" t="str">
        <v>-</v>
      </c>
      <c r="F10045" t="str">
        <v>-</v>
      </c>
      <c r="G10045" t="str">
        <v>-</v>
      </c>
    </row>
    <row r="10046">
      <c r="A10046">
        <v>10045</v>
      </c>
      <c r="B10046" t="str">
        <v>Công an xã Yên Minh  tỉnh Nam Định</v>
      </c>
      <c r="C10046" t="str">
        <v>-</v>
      </c>
      <c r="D10046" t="str">
        <v>-</v>
      </c>
      <c r="E10046" t="str">
        <v/>
      </c>
      <c r="F10046" t="str">
        <v>-</v>
      </c>
      <c r="G10046" t="str">
        <v>-</v>
      </c>
    </row>
    <row r="10047">
      <c r="A10047">
        <v>10046</v>
      </c>
      <c r="B10047" t="str">
        <v>UBND Ủy ban nhân dân xã Yên Minh  tỉnh Nam Định</v>
      </c>
      <c r="C10047" t="str">
        <v>-</v>
      </c>
      <c r="D10047" t="str">
        <v>-</v>
      </c>
      <c r="E10047" t="str">
        <v>-</v>
      </c>
      <c r="F10047" t="str">
        <v>-</v>
      </c>
      <c r="G10047" t="str">
        <v>-</v>
      </c>
    </row>
    <row r="10048">
      <c r="A10048">
        <v>10047</v>
      </c>
      <c r="B10048" t="str">
        <v>Công an xã Yên Phương  tỉnh Nam Định</v>
      </c>
      <c r="C10048" t="str">
        <v>-</v>
      </c>
      <c r="D10048" t="str">
        <v>-</v>
      </c>
      <c r="E10048" t="str">
        <v/>
      </c>
      <c r="F10048" t="str">
        <v>-</v>
      </c>
      <c r="G10048" t="str">
        <v>-</v>
      </c>
    </row>
    <row r="10049">
      <c r="A10049">
        <v>10048</v>
      </c>
      <c r="B10049" t="str">
        <v>UBND Ủy ban nhân dân xã Yên Phương  tỉnh Nam Định</v>
      </c>
      <c r="C10049" t="str">
        <v>-</v>
      </c>
      <c r="D10049" t="str">
        <v>-</v>
      </c>
      <c r="E10049" t="str">
        <v>-</v>
      </c>
      <c r="F10049" t="str">
        <v>-</v>
      </c>
      <c r="G10049" t="str">
        <v>-</v>
      </c>
    </row>
    <row r="10050">
      <c r="A10050">
        <v>10049</v>
      </c>
      <c r="B10050" t="str">
        <v>Công an xã Yên Chính  tỉnh Nam Định</v>
      </c>
      <c r="C10050" t="str">
        <v>-</v>
      </c>
      <c r="D10050" t="str">
        <v>-</v>
      </c>
      <c r="E10050" t="str">
        <v/>
      </c>
      <c r="F10050" t="str">
        <v>-</v>
      </c>
      <c r="G10050" t="str">
        <v>-</v>
      </c>
    </row>
    <row r="10051">
      <c r="A10051">
        <v>10050</v>
      </c>
      <c r="B10051" t="str">
        <v>UBND Ủy ban nhân dân xã Yên Chính  tỉnh Nam Định</v>
      </c>
      <c r="C10051" t="str">
        <v>-</v>
      </c>
      <c r="D10051" t="str">
        <v>-</v>
      </c>
      <c r="E10051" t="str">
        <v>-</v>
      </c>
      <c r="F10051" t="str">
        <v>-</v>
      </c>
      <c r="G10051" t="str">
        <v>-</v>
      </c>
    </row>
    <row r="10052">
      <c r="A10052">
        <v>10051</v>
      </c>
      <c r="B10052" t="str">
        <v>Công an xã Yên Bình  tỉnh Nam Định</v>
      </c>
      <c r="C10052" t="str">
        <v>-</v>
      </c>
      <c r="D10052" t="str">
        <v>-</v>
      </c>
      <c r="E10052" t="str">
        <v/>
      </c>
      <c r="F10052" t="str">
        <v>-</v>
      </c>
      <c r="G10052" t="str">
        <v>-</v>
      </c>
    </row>
    <row r="10053">
      <c r="A10053">
        <v>10052</v>
      </c>
      <c r="B10053" t="str">
        <v>UBND Ủy ban nhân dân xã Yên Bình  tỉnh Nam Định</v>
      </c>
      <c r="C10053" t="str">
        <v>-</v>
      </c>
      <c r="D10053" t="str">
        <v>-</v>
      </c>
      <c r="E10053" t="str">
        <v>-</v>
      </c>
      <c r="F10053" t="str">
        <v>-</v>
      </c>
      <c r="G10053" t="str">
        <v>-</v>
      </c>
    </row>
    <row r="10054">
      <c r="A10054">
        <v>10053</v>
      </c>
      <c r="B10054" t="str">
        <v>Công an xã Yên Phú  tỉnh Nam Định</v>
      </c>
      <c r="C10054" t="str">
        <v>-</v>
      </c>
      <c r="D10054" t="str">
        <v>-</v>
      </c>
      <c r="E10054" t="str">
        <v/>
      </c>
      <c r="F10054" t="str">
        <v>-</v>
      </c>
      <c r="G10054" t="str">
        <v>-</v>
      </c>
    </row>
    <row r="10055">
      <c r="A10055">
        <v>10054</v>
      </c>
      <c r="B10055" t="str">
        <v>UBND Ủy ban nhân dân xã Yên Phú  tỉnh Nam Định</v>
      </c>
      <c r="C10055" t="str">
        <v>-</v>
      </c>
      <c r="D10055" t="str">
        <v>-</v>
      </c>
      <c r="E10055" t="str">
        <v>-</v>
      </c>
      <c r="F10055" t="str">
        <v>-</v>
      </c>
      <c r="G10055" t="str">
        <v>-</v>
      </c>
    </row>
    <row r="10056">
      <c r="A10056">
        <v>10055</v>
      </c>
      <c r="B10056" t="str">
        <v>Công an xã Yên Mỹ  tỉnh Nam Định</v>
      </c>
      <c r="C10056" t="str">
        <v>-</v>
      </c>
      <c r="D10056" t="str">
        <v>-</v>
      </c>
      <c r="E10056" t="str">
        <v/>
      </c>
      <c r="F10056" t="str">
        <v>-</v>
      </c>
      <c r="G10056" t="str">
        <v>-</v>
      </c>
    </row>
    <row r="10057">
      <c r="A10057">
        <v>10056</v>
      </c>
      <c r="B10057" t="str">
        <v>UBND Ủy ban nhân dân xã Yên Mỹ  tỉnh Nam Định</v>
      </c>
      <c r="C10057" t="str">
        <v>-</v>
      </c>
      <c r="D10057" t="str">
        <v>-</v>
      </c>
      <c r="E10057" t="str">
        <v>-</v>
      </c>
      <c r="F10057" t="str">
        <v>-</v>
      </c>
      <c r="G10057" t="str">
        <v>-</v>
      </c>
    </row>
    <row r="10058">
      <c r="A10058">
        <v>10057</v>
      </c>
      <c r="B10058" t="str">
        <v>Công an xã Yên Dương  tỉnh Nam Định</v>
      </c>
      <c r="C10058" t="str">
        <v>-</v>
      </c>
      <c r="D10058" t="str">
        <v>-</v>
      </c>
      <c r="E10058" t="str">
        <v/>
      </c>
      <c r="F10058" t="str">
        <v>-</v>
      </c>
      <c r="G10058" t="str">
        <v>-</v>
      </c>
    </row>
    <row r="10059">
      <c r="A10059">
        <v>10058</v>
      </c>
      <c r="B10059" t="str">
        <v>UBND Ủy ban nhân dân xã Yên Dương  tỉnh Nam Định</v>
      </c>
      <c r="C10059" t="str">
        <v>-</v>
      </c>
      <c r="D10059" t="str">
        <v>-</v>
      </c>
      <c r="E10059" t="str">
        <v>-</v>
      </c>
      <c r="F10059" t="str">
        <v>-</v>
      </c>
      <c r="G10059" t="str">
        <v>-</v>
      </c>
    </row>
    <row r="10060">
      <c r="A10060">
        <v>10059</v>
      </c>
      <c r="B10060" t="str">
        <v>Công an xã Yên Xá  tỉnh Nam Định</v>
      </c>
      <c r="C10060" t="str">
        <v>-</v>
      </c>
      <c r="D10060" t="str">
        <v>-</v>
      </c>
      <c r="E10060" t="str">
        <v/>
      </c>
      <c r="F10060" t="str">
        <v>-</v>
      </c>
      <c r="G10060" t="str">
        <v>-</v>
      </c>
    </row>
    <row r="10061">
      <c r="A10061">
        <v>10060</v>
      </c>
      <c r="B10061" t="str">
        <v>UBND Ủy ban nhân dân xã Yên Xá  tỉnh Nam Định</v>
      </c>
      <c r="C10061" t="str">
        <v>-</v>
      </c>
      <c r="D10061" t="str">
        <v>-</v>
      </c>
      <c r="E10061" t="str">
        <v>-</v>
      </c>
      <c r="F10061" t="str">
        <v>-</v>
      </c>
      <c r="G10061" t="str">
        <v>-</v>
      </c>
    </row>
    <row r="10062">
      <c r="A10062">
        <v>10061</v>
      </c>
      <c r="B10062" t="str">
        <v>Công an xã Yên Hưng  tỉnh Nam Định</v>
      </c>
      <c r="C10062" t="str">
        <v>-</v>
      </c>
      <c r="D10062" t="str">
        <v>-</v>
      </c>
      <c r="E10062" t="str">
        <v/>
      </c>
      <c r="F10062" t="str">
        <v>-</v>
      </c>
      <c r="G10062" t="str">
        <v>-</v>
      </c>
    </row>
    <row r="10063">
      <c r="A10063">
        <v>10062</v>
      </c>
      <c r="B10063" t="str">
        <v>UBND Ủy ban nhân dân xã Yên Hưng  tỉnh Nam Định</v>
      </c>
      <c r="C10063" t="str">
        <v>-</v>
      </c>
      <c r="D10063" t="str">
        <v>-</v>
      </c>
      <c r="E10063" t="str">
        <v>-</v>
      </c>
      <c r="F10063" t="str">
        <v>-</v>
      </c>
      <c r="G10063" t="str">
        <v>-</v>
      </c>
    </row>
    <row r="10064">
      <c r="A10064">
        <v>10063</v>
      </c>
      <c r="B10064" t="str">
        <v>Công an xã Yên Khánh  tỉnh Nam Định</v>
      </c>
      <c r="C10064" t="str">
        <v>-</v>
      </c>
      <c r="D10064" t="str">
        <v>-</v>
      </c>
      <c r="E10064" t="str">
        <v/>
      </c>
      <c r="F10064" t="str">
        <v>-</v>
      </c>
      <c r="G10064" t="str">
        <v>-</v>
      </c>
    </row>
    <row r="10065">
      <c r="A10065">
        <v>10064</v>
      </c>
      <c r="B10065" t="str">
        <v>UBND Ủy ban nhân dân xã Yên Khánh  tỉnh Nam Định</v>
      </c>
      <c r="C10065" t="str">
        <v>-</v>
      </c>
      <c r="D10065" t="str">
        <v>-</v>
      </c>
      <c r="E10065" t="str">
        <v>-</v>
      </c>
      <c r="F10065" t="str">
        <v>-</v>
      </c>
      <c r="G10065" t="str">
        <v>-</v>
      </c>
    </row>
    <row r="10066">
      <c r="A10066">
        <v>10065</v>
      </c>
      <c r="B10066" t="str">
        <v>Công an xã Yên Phong  tỉnh Nam Định</v>
      </c>
      <c r="C10066" t="str">
        <v>-</v>
      </c>
      <c r="D10066" t="str">
        <v>-</v>
      </c>
      <c r="E10066" t="str">
        <v/>
      </c>
      <c r="F10066" t="str">
        <v>-</v>
      </c>
      <c r="G10066" t="str">
        <v>-</v>
      </c>
    </row>
    <row r="10067">
      <c r="A10067">
        <v>10066</v>
      </c>
      <c r="B10067" t="str">
        <v>UBND Ủy ban nhân dân xã Yên Phong  tỉnh Nam Định</v>
      </c>
      <c r="C10067" t="str">
        <v>-</v>
      </c>
      <c r="D10067" t="str">
        <v>-</v>
      </c>
      <c r="E10067" t="str">
        <v>-</v>
      </c>
      <c r="F10067" t="str">
        <v>-</v>
      </c>
      <c r="G10067" t="str">
        <v>-</v>
      </c>
    </row>
    <row r="10068">
      <c r="A10068">
        <v>10067</v>
      </c>
      <c r="B10068" t="str">
        <v>Công an xã Yên Ninh  tỉnh Nam Định</v>
      </c>
      <c r="C10068" t="str">
        <v>-</v>
      </c>
      <c r="D10068" t="str">
        <v>-</v>
      </c>
      <c r="E10068" t="str">
        <v/>
      </c>
      <c r="F10068" t="str">
        <v>-</v>
      </c>
      <c r="G10068" t="str">
        <v>-</v>
      </c>
    </row>
    <row r="10069">
      <c r="A10069">
        <v>10068</v>
      </c>
      <c r="B10069" t="str">
        <v>UBND Ủy ban nhân dân xã Yên Ninh  tỉnh Nam Định</v>
      </c>
      <c r="C10069" t="str">
        <v>-</v>
      </c>
      <c r="D10069" t="str">
        <v>-</v>
      </c>
      <c r="E10069" t="str">
        <v>-</v>
      </c>
      <c r="F10069" t="str">
        <v>-</v>
      </c>
      <c r="G10069" t="str">
        <v>-</v>
      </c>
    </row>
    <row r="10070">
      <c r="A10070">
        <v>10069</v>
      </c>
      <c r="B10070" t="str">
        <v>Công an xã Yên Lương  tỉnh Nam Định</v>
      </c>
      <c r="C10070" t="str">
        <v>-</v>
      </c>
      <c r="D10070" t="str">
        <v>-</v>
      </c>
      <c r="E10070" t="str">
        <v/>
      </c>
      <c r="F10070" t="str">
        <v>-</v>
      </c>
      <c r="G10070" t="str">
        <v>-</v>
      </c>
    </row>
    <row r="10071">
      <c r="A10071">
        <v>10070</v>
      </c>
      <c r="B10071" t="str">
        <v>UBND Ủy ban nhân dân xã Yên Lương  tỉnh Nam Định</v>
      </c>
      <c r="C10071" t="str">
        <v>-</v>
      </c>
      <c r="D10071" t="str">
        <v>-</v>
      </c>
      <c r="E10071" t="str">
        <v>-</v>
      </c>
      <c r="F10071" t="str">
        <v>-</v>
      </c>
      <c r="G10071" t="str">
        <v>-</v>
      </c>
    </row>
    <row r="10072">
      <c r="A10072">
        <v>10071</v>
      </c>
      <c r="B10072" t="str">
        <v>Công an xã Yên Hồng  tỉnh Nam Định</v>
      </c>
      <c r="C10072" t="str">
        <v>-</v>
      </c>
      <c r="D10072" t="str">
        <v>-</v>
      </c>
      <c r="E10072" t="str">
        <v/>
      </c>
      <c r="F10072" t="str">
        <v>-</v>
      </c>
      <c r="G10072" t="str">
        <v>-</v>
      </c>
    </row>
    <row r="10073">
      <c r="A10073">
        <v>10072</v>
      </c>
      <c r="B10073" t="str">
        <v>UBND Ủy ban nhân dân xã Yên Hồng  tỉnh Nam Định</v>
      </c>
      <c r="C10073" t="str">
        <v>-</v>
      </c>
      <c r="D10073" t="str">
        <v>-</v>
      </c>
      <c r="E10073" t="str">
        <v>-</v>
      </c>
      <c r="F10073" t="str">
        <v>-</v>
      </c>
      <c r="G10073" t="str">
        <v>-</v>
      </c>
    </row>
    <row r="10074">
      <c r="A10074">
        <v>10073</v>
      </c>
      <c r="B10074" t="str">
        <v>Công an xã Yên Quang  tỉnh Nam Định</v>
      </c>
      <c r="C10074" t="str">
        <v>-</v>
      </c>
      <c r="D10074" t="str">
        <v>-</v>
      </c>
      <c r="E10074" t="str">
        <v/>
      </c>
      <c r="F10074" t="str">
        <v>-</v>
      </c>
      <c r="G10074" t="str">
        <v>-</v>
      </c>
    </row>
    <row r="10075">
      <c r="A10075">
        <v>10074</v>
      </c>
      <c r="B10075" t="str">
        <v>UBND Ủy ban nhân dân xã Yên Quang  tỉnh Nam Định</v>
      </c>
      <c r="C10075" t="str">
        <v>-</v>
      </c>
      <c r="D10075" t="str">
        <v>-</v>
      </c>
      <c r="E10075" t="str">
        <v>-</v>
      </c>
      <c r="F10075" t="str">
        <v>-</v>
      </c>
      <c r="G10075" t="str">
        <v>-</v>
      </c>
    </row>
    <row r="10076">
      <c r="A10076">
        <v>10075</v>
      </c>
      <c r="B10076" t="str">
        <v>Công an xã Yên Tiến  tỉnh Nam Định</v>
      </c>
      <c r="C10076" t="str">
        <v>-</v>
      </c>
      <c r="D10076" t="str">
        <v>-</v>
      </c>
      <c r="E10076" t="str">
        <v/>
      </c>
      <c r="F10076" t="str">
        <v>-</v>
      </c>
      <c r="G10076" t="str">
        <v>-</v>
      </c>
    </row>
    <row r="10077">
      <c r="A10077">
        <v>10076</v>
      </c>
      <c r="B10077" t="str">
        <v>UBND Ủy ban nhân dân xã Yên Tiến  tỉnh Nam Định</v>
      </c>
      <c r="C10077" t="str">
        <v>-</v>
      </c>
      <c r="D10077" t="str">
        <v>-</v>
      </c>
      <c r="E10077" t="str">
        <v>-</v>
      </c>
      <c r="F10077" t="str">
        <v>-</v>
      </c>
      <c r="G10077" t="str">
        <v>-</v>
      </c>
    </row>
    <row r="10078">
      <c r="A10078">
        <v>10077</v>
      </c>
      <c r="B10078" t="str">
        <v>Công an xã Yên Thắng  tỉnh Nam Định</v>
      </c>
      <c r="C10078" t="str">
        <v>-</v>
      </c>
      <c r="D10078" t="str">
        <v>-</v>
      </c>
      <c r="E10078" t="str">
        <v/>
      </c>
      <c r="F10078" t="str">
        <v>-</v>
      </c>
      <c r="G10078" t="str">
        <v>-</v>
      </c>
    </row>
    <row r="10079">
      <c r="A10079">
        <v>10078</v>
      </c>
      <c r="B10079" t="str">
        <v>UBND Ủy ban nhân dân xã Yên Thắng  tỉnh Nam Định</v>
      </c>
      <c r="C10079" t="str">
        <v>-</v>
      </c>
      <c r="D10079" t="str">
        <v>-</v>
      </c>
      <c r="E10079" t="str">
        <v>-</v>
      </c>
      <c r="F10079" t="str">
        <v>-</v>
      </c>
      <c r="G10079" t="str">
        <v>-</v>
      </c>
    </row>
    <row r="10080">
      <c r="A10080">
        <v>10079</v>
      </c>
      <c r="B10080" t="str">
        <v>Công an xã Yên Phúc  tỉnh Nam Định</v>
      </c>
      <c r="C10080" t="str">
        <v>-</v>
      </c>
      <c r="D10080" t="str">
        <v>-</v>
      </c>
      <c r="E10080" t="str">
        <v/>
      </c>
      <c r="F10080" t="str">
        <v>-</v>
      </c>
      <c r="G10080" t="str">
        <v>-</v>
      </c>
    </row>
    <row r="10081">
      <c r="A10081">
        <v>10080</v>
      </c>
      <c r="B10081" t="str">
        <v>UBND Ủy ban nhân dân xã Yên Phúc  tỉnh Nam Định</v>
      </c>
      <c r="C10081" t="str">
        <v>-</v>
      </c>
      <c r="D10081" t="str">
        <v>-</v>
      </c>
      <c r="E10081" t="str">
        <v>-</v>
      </c>
      <c r="F10081" t="str">
        <v>-</v>
      </c>
      <c r="G10081" t="str">
        <v>-</v>
      </c>
    </row>
    <row r="10082">
      <c r="A10082">
        <v>10081</v>
      </c>
      <c r="B10082" t="str">
        <v>Công an xã Yên Cường  tỉnh Nam Định</v>
      </c>
      <c r="C10082" t="str">
        <v>-</v>
      </c>
      <c r="D10082" t="str">
        <v>-</v>
      </c>
      <c r="E10082" t="str">
        <v/>
      </c>
      <c r="F10082" t="str">
        <v>-</v>
      </c>
      <c r="G10082" t="str">
        <v>-</v>
      </c>
    </row>
    <row r="10083">
      <c r="A10083">
        <v>10082</v>
      </c>
      <c r="B10083" t="str">
        <v>UBND Ủy ban nhân dân xã Yên Cường  tỉnh Nam Định</v>
      </c>
      <c r="C10083" t="str">
        <v>-</v>
      </c>
      <c r="D10083" t="str">
        <v>-</v>
      </c>
      <c r="E10083" t="str">
        <v>-</v>
      </c>
      <c r="F10083" t="str">
        <v>-</v>
      </c>
      <c r="G10083" t="str">
        <v>-</v>
      </c>
    </row>
    <row r="10084">
      <c r="A10084">
        <v>10083</v>
      </c>
      <c r="B10084" t="str">
        <v>Công an xã Yên Lộc  tỉnh Nam Định</v>
      </c>
      <c r="C10084" t="str">
        <v>-</v>
      </c>
      <c r="D10084" t="str">
        <v>-</v>
      </c>
      <c r="E10084" t="str">
        <v/>
      </c>
      <c r="F10084" t="str">
        <v>-</v>
      </c>
      <c r="G10084" t="str">
        <v>-</v>
      </c>
    </row>
    <row r="10085">
      <c r="A10085">
        <v>10084</v>
      </c>
      <c r="B10085" t="str">
        <v>UBND Ủy ban nhân dân xã Yên Lộc  tỉnh Nam Định</v>
      </c>
      <c r="C10085" t="str">
        <v>-</v>
      </c>
      <c r="D10085" t="str">
        <v>-</v>
      </c>
      <c r="E10085" t="str">
        <v>-</v>
      </c>
      <c r="F10085" t="str">
        <v>-</v>
      </c>
      <c r="G10085" t="str">
        <v>-</v>
      </c>
    </row>
    <row r="10086">
      <c r="A10086">
        <v>10085</v>
      </c>
      <c r="B10086" t="str">
        <v>Công an xã Yên Bằng  tỉnh Nam Định</v>
      </c>
      <c r="C10086" t="str">
        <v>-</v>
      </c>
      <c r="D10086" t="str">
        <v>-</v>
      </c>
      <c r="E10086" t="str">
        <v/>
      </c>
      <c r="F10086" t="str">
        <v>-</v>
      </c>
      <c r="G10086" t="str">
        <v>-</v>
      </c>
    </row>
    <row r="10087">
      <c r="A10087">
        <v>10086</v>
      </c>
      <c r="B10087" t="str">
        <v>UBND Ủy ban nhân dân xã Yên Bằng  tỉnh Nam Định</v>
      </c>
      <c r="C10087" t="str">
        <v>-</v>
      </c>
      <c r="D10087" t="str">
        <v>-</v>
      </c>
      <c r="E10087" t="str">
        <v>-</v>
      </c>
      <c r="F10087" t="str">
        <v>-</v>
      </c>
      <c r="G10087" t="str">
        <v>-</v>
      </c>
    </row>
    <row r="10088">
      <c r="A10088">
        <v>10087</v>
      </c>
      <c r="B10088" t="str">
        <v>Công an xã Yên Đồng  tỉnh Nam Định</v>
      </c>
      <c r="C10088" t="str">
        <v>-</v>
      </c>
      <c r="D10088" t="str">
        <v>-</v>
      </c>
      <c r="E10088" t="str">
        <v/>
      </c>
      <c r="F10088" t="str">
        <v>-</v>
      </c>
      <c r="G10088" t="str">
        <v>-</v>
      </c>
    </row>
    <row r="10089">
      <c r="A10089">
        <v>10088</v>
      </c>
      <c r="B10089" t="str">
        <v>UBND Ủy ban nhân dân xã Yên Đồng  tỉnh Nam Định</v>
      </c>
      <c r="C10089" t="str">
        <v>-</v>
      </c>
      <c r="D10089" t="str">
        <v>-</v>
      </c>
      <c r="E10089" t="str">
        <v>-</v>
      </c>
      <c r="F10089" t="str">
        <v>-</v>
      </c>
      <c r="G10089" t="str">
        <v>-</v>
      </c>
    </row>
    <row r="10090">
      <c r="A10090">
        <v>10089</v>
      </c>
      <c r="B10090" t="str">
        <v>Công an xã Yên Khang  tỉnh Nam Định</v>
      </c>
      <c r="C10090" t="str">
        <v>-</v>
      </c>
      <c r="D10090" t="str">
        <v>-</v>
      </c>
      <c r="E10090" t="str">
        <v/>
      </c>
      <c r="F10090" t="str">
        <v>-</v>
      </c>
      <c r="G10090" t="str">
        <v>-</v>
      </c>
    </row>
    <row r="10091">
      <c r="A10091">
        <v>10090</v>
      </c>
      <c r="B10091" t="str">
        <v>UBND Ủy ban nhân dân xã Yên Khang  tỉnh Nam Định</v>
      </c>
      <c r="C10091" t="str">
        <v>-</v>
      </c>
      <c r="D10091" t="str">
        <v>-</v>
      </c>
      <c r="E10091" t="str">
        <v>-</v>
      </c>
      <c r="F10091" t="str">
        <v>-</v>
      </c>
      <c r="G10091" t="str">
        <v>-</v>
      </c>
    </row>
    <row r="10092">
      <c r="A10092">
        <v>10091</v>
      </c>
      <c r="B10092" t="str">
        <v>Công an xã Yên Nhân  tỉnh Nam Định</v>
      </c>
      <c r="C10092" t="str">
        <v>-</v>
      </c>
      <c r="D10092" t="str">
        <v>-</v>
      </c>
      <c r="E10092" t="str">
        <v/>
      </c>
      <c r="F10092" t="str">
        <v>-</v>
      </c>
      <c r="G10092" t="str">
        <v>-</v>
      </c>
    </row>
    <row r="10093">
      <c r="A10093">
        <v>10092</v>
      </c>
      <c r="B10093" t="str">
        <v>UBND Ủy ban nhân dân xã Yên Nhân  tỉnh Nam Định</v>
      </c>
      <c r="C10093" t="str">
        <v>-</v>
      </c>
      <c r="D10093" t="str">
        <v>-</v>
      </c>
      <c r="E10093" t="str">
        <v>-</v>
      </c>
      <c r="F10093" t="str">
        <v>-</v>
      </c>
      <c r="G10093" t="str">
        <v>-</v>
      </c>
    </row>
    <row r="10094">
      <c r="A10094">
        <v>10093</v>
      </c>
      <c r="B10094" t="str">
        <v>Công an xã Yên Trị  tỉnh Nam Định</v>
      </c>
      <c r="C10094" t="str">
        <v>-</v>
      </c>
      <c r="D10094" t="str">
        <v>-</v>
      </c>
      <c r="E10094" t="str">
        <v/>
      </c>
      <c r="F10094" t="str">
        <v>-</v>
      </c>
      <c r="G10094" t="str">
        <v>-</v>
      </c>
    </row>
    <row r="10095">
      <c r="A10095">
        <v>10094</v>
      </c>
      <c r="B10095" t="str">
        <v>UBND Ủy ban nhân dân xã Yên Trị  tỉnh Nam Định</v>
      </c>
      <c r="C10095" t="str">
        <v>-</v>
      </c>
      <c r="D10095" t="str">
        <v>-</v>
      </c>
      <c r="E10095" t="str">
        <v>-</v>
      </c>
      <c r="F10095" t="str">
        <v>-</v>
      </c>
      <c r="G10095" t="str">
        <v>-</v>
      </c>
    </row>
    <row r="10096">
      <c r="A10096">
        <v>10095</v>
      </c>
      <c r="B10096" t="str">
        <v>Công an thị trấn Liễu Đề  tỉnh Nam Định</v>
      </c>
      <c r="C10096" t="str">
        <v>-</v>
      </c>
      <c r="D10096" t="str">
        <v>-</v>
      </c>
      <c r="E10096" t="str">
        <v/>
      </c>
      <c r="F10096" t="str">
        <v>-</v>
      </c>
      <c r="G10096" t="str">
        <v>-</v>
      </c>
    </row>
    <row r="10097">
      <c r="A10097">
        <v>10096</v>
      </c>
      <c r="B10097" t="str">
        <v>UBND Ủy ban nhân dân thị trấn Liễu Đề  tỉnh Nam Định</v>
      </c>
      <c r="C10097" t="str">
        <v>-</v>
      </c>
      <c r="D10097" t="str">
        <v>-</v>
      </c>
      <c r="E10097" t="str">
        <v>-</v>
      </c>
      <c r="F10097" t="str">
        <v>-</v>
      </c>
      <c r="G10097" t="str">
        <v>-</v>
      </c>
    </row>
    <row r="10098">
      <c r="A10098">
        <v>10097</v>
      </c>
      <c r="B10098" t="str">
        <v>Công an thị trấn Rạng Đông  tỉnh Nam Định</v>
      </c>
      <c r="C10098" t="str">
        <v>-</v>
      </c>
      <c r="D10098" t="str">
        <v>-</v>
      </c>
      <c r="E10098" t="str">
        <v/>
      </c>
      <c r="F10098" t="str">
        <v>-</v>
      </c>
      <c r="G10098" t="str">
        <v>-</v>
      </c>
    </row>
    <row r="10099">
      <c r="A10099">
        <v>10098</v>
      </c>
      <c r="B10099" t="str">
        <v>UBND Ủy ban nhân dân thị trấn Rạng Đông  tỉnh Nam Định</v>
      </c>
      <c r="C10099" t="str">
        <v>-</v>
      </c>
      <c r="D10099" t="str">
        <v>-</v>
      </c>
      <c r="E10099" t="str">
        <v>-</v>
      </c>
      <c r="F10099" t="str">
        <v>-</v>
      </c>
      <c r="G10099" t="str">
        <v>-</v>
      </c>
    </row>
    <row r="10100">
      <c r="A10100">
        <v>10099</v>
      </c>
      <c r="B10100" t="str">
        <v>Công an xã Nghĩa Đồng  tỉnh Nam Định</v>
      </c>
      <c r="C10100" t="str">
        <v>-</v>
      </c>
      <c r="D10100" t="str">
        <v>-</v>
      </c>
      <c r="E10100" t="str">
        <v/>
      </c>
      <c r="F10100" t="str">
        <v>-</v>
      </c>
      <c r="G10100" t="str">
        <v>-</v>
      </c>
    </row>
    <row r="10101">
      <c r="A10101">
        <v>10100</v>
      </c>
      <c r="B10101" t="str">
        <v>UBND Ủy ban nhân dân xã Nghĩa Đồng  tỉnh Nam Định</v>
      </c>
      <c r="C10101" t="str">
        <v>-</v>
      </c>
      <c r="D10101" t="str">
        <v>-</v>
      </c>
      <c r="E10101" t="str">
        <v>-</v>
      </c>
      <c r="F10101" t="str">
        <v>-</v>
      </c>
      <c r="G10101" t="str">
        <v>-</v>
      </c>
    </row>
    <row r="10102">
      <c r="A10102">
        <v>10101</v>
      </c>
      <c r="B10102" t="str">
        <v>Công an xã Nghĩa Thịnh  tỉnh Nam Định</v>
      </c>
      <c r="C10102" t="str">
        <v>-</v>
      </c>
      <c r="D10102" t="str">
        <v>-</v>
      </c>
      <c r="E10102" t="str">
        <v/>
      </c>
      <c r="F10102" t="str">
        <v>-</v>
      </c>
      <c r="G10102" t="str">
        <v>-</v>
      </c>
    </row>
    <row r="10103">
      <c r="A10103">
        <v>10102</v>
      </c>
      <c r="B10103" t="str">
        <v>UBND Ủy ban nhân dân xã Nghĩa Thịnh  tỉnh Nam Định</v>
      </c>
      <c r="C10103" t="str">
        <v>-</v>
      </c>
      <c r="D10103" t="str">
        <v>-</v>
      </c>
      <c r="E10103" t="str">
        <v>-</v>
      </c>
      <c r="F10103" t="str">
        <v>-</v>
      </c>
      <c r="G10103" t="str">
        <v>-</v>
      </c>
    </row>
    <row r="10104">
      <c r="A10104">
        <v>10103</v>
      </c>
      <c r="B10104" t="str">
        <v>Công an xã Nghĩa Minh  tỉnh Nam Định</v>
      </c>
      <c r="C10104" t="str">
        <v>-</v>
      </c>
      <c r="D10104" t="str">
        <v>-</v>
      </c>
      <c r="E10104" t="str">
        <v/>
      </c>
      <c r="F10104" t="str">
        <v>-</v>
      </c>
      <c r="G10104" t="str">
        <v>-</v>
      </c>
    </row>
    <row r="10105">
      <c r="A10105">
        <v>10104</v>
      </c>
      <c r="B10105" t="str">
        <v>UBND Ủy ban nhân dân xã Nghĩa Minh  tỉnh Nam Định</v>
      </c>
      <c r="C10105" t="str">
        <v>-</v>
      </c>
      <c r="D10105" t="str">
        <v>-</v>
      </c>
      <c r="E10105" t="str">
        <v>-</v>
      </c>
      <c r="F10105" t="str">
        <v>-</v>
      </c>
      <c r="G10105" t="str">
        <v>-</v>
      </c>
    </row>
    <row r="10106">
      <c r="A10106">
        <v>10105</v>
      </c>
      <c r="B10106" t="str">
        <v>Công an xã Nghĩa Thái  tỉnh Nam Định</v>
      </c>
      <c r="C10106" t="str">
        <v>-</v>
      </c>
      <c r="D10106" t="str">
        <v>-</v>
      </c>
      <c r="E10106" t="str">
        <v/>
      </c>
      <c r="F10106" t="str">
        <v>-</v>
      </c>
      <c r="G10106" t="str">
        <v>-</v>
      </c>
    </row>
    <row r="10107">
      <c r="A10107">
        <v>10106</v>
      </c>
      <c r="B10107" t="str">
        <v>UBND Ủy ban nhân dân xã Nghĩa Thái  tỉnh Nam Định</v>
      </c>
      <c r="C10107" t="str">
        <v>-</v>
      </c>
      <c r="D10107" t="str">
        <v>-</v>
      </c>
      <c r="E10107" t="str">
        <v>-</v>
      </c>
      <c r="F10107" t="str">
        <v>-</v>
      </c>
      <c r="G10107" t="str">
        <v>-</v>
      </c>
    </row>
    <row r="10108">
      <c r="A10108">
        <v>10107</v>
      </c>
      <c r="B10108" t="str">
        <v>Công an xã Hoàng Nam  tỉnh Nam Định</v>
      </c>
      <c r="C10108" t="str">
        <v>-</v>
      </c>
      <c r="D10108" t="str">
        <v>-</v>
      </c>
      <c r="E10108" t="str">
        <v/>
      </c>
      <c r="F10108" t="str">
        <v>-</v>
      </c>
      <c r="G10108" t="str">
        <v>-</v>
      </c>
    </row>
    <row r="10109">
      <c r="A10109">
        <v>10108</v>
      </c>
      <c r="B10109" t="str">
        <v>UBND Ủy ban nhân dân xã Hoàng Nam  tỉnh Nam Định</v>
      </c>
      <c r="C10109" t="str">
        <v>-</v>
      </c>
      <c r="D10109" t="str">
        <v>-</v>
      </c>
      <c r="E10109" t="str">
        <v>-</v>
      </c>
      <c r="F10109" t="str">
        <v>-</v>
      </c>
      <c r="G10109" t="str">
        <v>-</v>
      </c>
    </row>
    <row r="10110">
      <c r="A10110">
        <v>10109</v>
      </c>
      <c r="B10110" t="str">
        <v>Công an xã Nghĩa Châu  tỉnh Nam Định</v>
      </c>
      <c r="C10110" t="str">
        <v>-</v>
      </c>
      <c r="D10110" t="str">
        <v>-</v>
      </c>
      <c r="E10110" t="str">
        <v/>
      </c>
      <c r="F10110" t="str">
        <v>-</v>
      </c>
      <c r="G10110" t="str">
        <v>-</v>
      </c>
    </row>
    <row r="10111">
      <c r="A10111">
        <v>10110</v>
      </c>
      <c r="B10111" t="str">
        <v>UBND Ủy ban nhân dân xã Nghĩa Châu  tỉnh Nam Định</v>
      </c>
      <c r="C10111" t="str">
        <v>-</v>
      </c>
      <c r="D10111" t="str">
        <v>-</v>
      </c>
      <c r="E10111" t="str">
        <v>-</v>
      </c>
      <c r="F10111" t="str">
        <v>-</v>
      </c>
      <c r="G10111" t="str">
        <v>-</v>
      </c>
    </row>
    <row r="10112">
      <c r="A10112">
        <v>10111</v>
      </c>
      <c r="B10112" t="str">
        <v>Công an xã Nghĩa Trung  tỉnh Nam Định</v>
      </c>
      <c r="C10112" t="str">
        <v>-</v>
      </c>
      <c r="D10112" t="str">
        <v>-</v>
      </c>
      <c r="E10112" t="str">
        <v/>
      </c>
      <c r="F10112" t="str">
        <v>-</v>
      </c>
      <c r="G10112" t="str">
        <v>-</v>
      </c>
    </row>
    <row r="10113">
      <c r="A10113">
        <v>10112</v>
      </c>
      <c r="B10113" t="str">
        <v>UBND Ủy ban nhân dân xã Nghĩa Trung  tỉnh Nam Định</v>
      </c>
      <c r="C10113" t="str">
        <v>-</v>
      </c>
      <c r="D10113" t="str">
        <v>-</v>
      </c>
      <c r="E10113" t="str">
        <v>-</v>
      </c>
      <c r="F10113" t="str">
        <v>-</v>
      </c>
      <c r="G10113" t="str">
        <v>-</v>
      </c>
    </row>
    <row r="10114">
      <c r="A10114">
        <v>10113</v>
      </c>
      <c r="B10114" t="str">
        <v>Công an xã Nghĩa Sơn  tỉnh Nam Định</v>
      </c>
      <c r="C10114" t="str">
        <v>-</v>
      </c>
      <c r="D10114" t="str">
        <v>-</v>
      </c>
      <c r="E10114" t="str">
        <v/>
      </c>
      <c r="F10114" t="str">
        <v>-</v>
      </c>
      <c r="G10114" t="str">
        <v>-</v>
      </c>
    </row>
    <row r="10115">
      <c r="A10115">
        <v>10114</v>
      </c>
      <c r="B10115" t="str">
        <v>UBND Ủy ban nhân dân xã Nghĩa Sơn  tỉnh Nam Định</v>
      </c>
      <c r="C10115" t="str">
        <v>-</v>
      </c>
      <c r="D10115" t="str">
        <v>-</v>
      </c>
      <c r="E10115" t="str">
        <v>-</v>
      </c>
      <c r="F10115" t="str">
        <v>-</v>
      </c>
      <c r="G10115" t="str">
        <v>-</v>
      </c>
    </row>
    <row r="10116">
      <c r="A10116">
        <v>10115</v>
      </c>
      <c r="B10116" t="str">
        <v>Công an xã Nghĩa Lạc  tỉnh Nam Định</v>
      </c>
      <c r="C10116" t="str">
        <v>-</v>
      </c>
      <c r="D10116" t="str">
        <v>-</v>
      </c>
      <c r="E10116" t="str">
        <v/>
      </c>
      <c r="F10116" t="str">
        <v>-</v>
      </c>
      <c r="G10116" t="str">
        <v>-</v>
      </c>
    </row>
    <row r="10117">
      <c r="A10117">
        <v>10116</v>
      </c>
      <c r="B10117" t="str">
        <v>UBND Ủy ban nhân dân xã Nghĩa Lạc  tỉnh Nam Định</v>
      </c>
      <c r="C10117" t="str">
        <v>-</v>
      </c>
      <c r="D10117" t="str">
        <v>-</v>
      </c>
      <c r="E10117" t="str">
        <v>-</v>
      </c>
      <c r="F10117" t="str">
        <v>-</v>
      </c>
      <c r="G10117" t="str">
        <v>-</v>
      </c>
    </row>
    <row r="10118">
      <c r="A10118">
        <v>10117</v>
      </c>
      <c r="B10118" t="str">
        <v>Công an xã Nghĩa Hồng  tỉnh Nam Định</v>
      </c>
      <c r="C10118" t="str">
        <v>-</v>
      </c>
      <c r="D10118" t="str">
        <v>-</v>
      </c>
      <c r="E10118" t="str">
        <v/>
      </c>
      <c r="F10118" t="str">
        <v>-</v>
      </c>
      <c r="G10118" t="str">
        <v>-</v>
      </c>
    </row>
    <row r="10119">
      <c r="A10119">
        <v>10118</v>
      </c>
      <c r="B10119" t="str">
        <v>UBND Ủy ban nhân dân xã Nghĩa Hồng  tỉnh Nam Định</v>
      </c>
      <c r="C10119" t="str">
        <v>-</v>
      </c>
      <c r="D10119" t="str">
        <v>-</v>
      </c>
      <c r="E10119" t="str">
        <v>-</v>
      </c>
      <c r="F10119" t="str">
        <v>-</v>
      </c>
      <c r="G10119" t="str">
        <v>-</v>
      </c>
    </row>
    <row r="10120">
      <c r="A10120">
        <v>10119</v>
      </c>
      <c r="B10120" t="str">
        <v>Công an xã Nghĩa Phong  tỉnh Nam Định</v>
      </c>
      <c r="C10120" t="str">
        <v>-</v>
      </c>
      <c r="D10120" t="str">
        <v>-</v>
      </c>
      <c r="E10120" t="str">
        <v/>
      </c>
      <c r="F10120" t="str">
        <v>-</v>
      </c>
      <c r="G10120" t="str">
        <v>-</v>
      </c>
    </row>
    <row r="10121">
      <c r="A10121">
        <v>10120</v>
      </c>
      <c r="B10121" t="str">
        <v>UBND Ủy ban nhân dân xã Nghĩa Phong  tỉnh Nam Định</v>
      </c>
      <c r="C10121" t="str">
        <v>-</v>
      </c>
      <c r="D10121" t="str">
        <v>-</v>
      </c>
      <c r="E10121" t="str">
        <v>-</v>
      </c>
      <c r="F10121" t="str">
        <v>-</v>
      </c>
      <c r="G10121" t="str">
        <v>-</v>
      </c>
    </row>
    <row r="10122">
      <c r="A10122">
        <v>10121</v>
      </c>
      <c r="B10122" t="str">
        <v>Công an xã Nghĩa Phú  tỉnh Nam Định</v>
      </c>
      <c r="C10122" t="str">
        <v>-</v>
      </c>
      <c r="D10122" t="str">
        <v>-</v>
      </c>
      <c r="E10122" t="str">
        <v/>
      </c>
      <c r="F10122" t="str">
        <v>-</v>
      </c>
      <c r="G10122" t="str">
        <v>-</v>
      </c>
    </row>
    <row r="10123">
      <c r="A10123">
        <v>10122</v>
      </c>
      <c r="B10123" t="str">
        <v>UBND Ủy ban nhân dân xã Nghĩa Phú  tỉnh Nam Định</v>
      </c>
      <c r="C10123" t="str">
        <v>-</v>
      </c>
      <c r="D10123" t="str">
        <v>-</v>
      </c>
      <c r="E10123" t="str">
        <v>-</v>
      </c>
      <c r="F10123" t="str">
        <v>-</v>
      </c>
      <c r="G10123" t="str">
        <v>-</v>
      </c>
    </row>
    <row r="10124">
      <c r="A10124">
        <v>10123</v>
      </c>
      <c r="B10124" t="str">
        <v>Công an xã Nghĩa Bình  tỉnh Nam Định</v>
      </c>
      <c r="C10124" t="str">
        <v>-</v>
      </c>
      <c r="D10124" t="str">
        <v>-</v>
      </c>
      <c r="E10124" t="str">
        <v/>
      </c>
      <c r="F10124" t="str">
        <v>-</v>
      </c>
      <c r="G10124" t="str">
        <v>-</v>
      </c>
    </row>
    <row r="10125">
      <c r="A10125">
        <v>10124</v>
      </c>
      <c r="B10125" t="str">
        <v>UBND Ủy ban nhân dân xã Nghĩa Bình  tỉnh Nam Định</v>
      </c>
      <c r="C10125" t="str">
        <v>-</v>
      </c>
      <c r="D10125" t="str">
        <v>-</v>
      </c>
      <c r="E10125" t="str">
        <v>-</v>
      </c>
      <c r="F10125" t="str">
        <v>-</v>
      </c>
      <c r="G10125" t="str">
        <v>-</v>
      </c>
    </row>
    <row r="10126">
      <c r="A10126">
        <v>10125</v>
      </c>
      <c r="B10126" t="str">
        <v>Công an thị trấn Quỹ Nhất  tỉnh Nam Định</v>
      </c>
      <c r="C10126" t="str">
        <v>-</v>
      </c>
      <c r="D10126" t="str">
        <v>-</v>
      </c>
      <c r="E10126" t="str">
        <v/>
      </c>
      <c r="F10126" t="str">
        <v>-</v>
      </c>
      <c r="G10126" t="str">
        <v>-</v>
      </c>
    </row>
    <row r="10127">
      <c r="A10127">
        <v>10126</v>
      </c>
      <c r="B10127" t="str">
        <v>UBND Ủy ban nhân dân thị trấn Quỹ Nhất  tỉnh Nam Định</v>
      </c>
      <c r="C10127" t="str">
        <v>-</v>
      </c>
      <c r="D10127" t="str">
        <v>-</v>
      </c>
      <c r="E10127" t="str">
        <v>-</v>
      </c>
      <c r="F10127" t="str">
        <v>-</v>
      </c>
      <c r="G10127" t="str">
        <v>-</v>
      </c>
    </row>
    <row r="10128">
      <c r="A10128">
        <v>10127</v>
      </c>
      <c r="B10128" t="str">
        <v>Công an xã Nghĩa Tân  tỉnh Nam Định</v>
      </c>
      <c r="C10128" t="str">
        <v>-</v>
      </c>
      <c r="D10128" t="str">
        <v>-</v>
      </c>
      <c r="E10128" t="str">
        <v/>
      </c>
      <c r="F10128" t="str">
        <v>-</v>
      </c>
      <c r="G10128" t="str">
        <v>-</v>
      </c>
    </row>
    <row r="10129">
      <c r="A10129">
        <v>10128</v>
      </c>
      <c r="B10129" t="str">
        <v>UBND Ủy ban nhân dân xã Nghĩa Tân  tỉnh Nam Định</v>
      </c>
      <c r="C10129" t="str">
        <v>-</v>
      </c>
      <c r="D10129" t="str">
        <v>-</v>
      </c>
      <c r="E10129" t="str">
        <v>-</v>
      </c>
      <c r="F10129" t="str">
        <v>-</v>
      </c>
      <c r="G10129" t="str">
        <v>-</v>
      </c>
    </row>
    <row r="10130">
      <c r="A10130">
        <v>10129</v>
      </c>
      <c r="B10130" t="str">
        <v>Công an xã Nghĩa Hùng  tỉnh Nam Định</v>
      </c>
      <c r="C10130" t="str">
        <v>-</v>
      </c>
      <c r="D10130" t="str">
        <v>-</v>
      </c>
      <c r="E10130" t="str">
        <v/>
      </c>
      <c r="F10130" t="str">
        <v>-</v>
      </c>
      <c r="G10130" t="str">
        <v>-</v>
      </c>
    </row>
    <row r="10131">
      <c r="A10131">
        <v>10130</v>
      </c>
      <c r="B10131" t="str">
        <v>UBND Ủy ban nhân dân xã Nghĩa Hùng  tỉnh Nam Định</v>
      </c>
      <c r="C10131" t="str">
        <v>-</v>
      </c>
      <c r="D10131" t="str">
        <v>-</v>
      </c>
      <c r="E10131" t="str">
        <v>-</v>
      </c>
      <c r="F10131" t="str">
        <v>-</v>
      </c>
      <c r="G10131" t="str">
        <v>-</v>
      </c>
    </row>
    <row r="10132">
      <c r="A10132">
        <v>10131</v>
      </c>
      <c r="B10132" t="str">
        <v>Công an xã Nghĩa Lâm  tỉnh Nam Định</v>
      </c>
      <c r="C10132" t="str">
        <v>-</v>
      </c>
      <c r="D10132" t="str">
        <v>-</v>
      </c>
      <c r="E10132" t="str">
        <v/>
      </c>
      <c r="F10132" t="str">
        <v>-</v>
      </c>
      <c r="G10132" t="str">
        <v>-</v>
      </c>
    </row>
    <row r="10133">
      <c r="A10133">
        <v>10132</v>
      </c>
      <c r="B10133" t="str">
        <v>UBND Ủy ban nhân dân xã Nghĩa Lâm  tỉnh Nam Định</v>
      </c>
      <c r="C10133" t="str">
        <v>-</v>
      </c>
      <c r="D10133" t="str">
        <v>-</v>
      </c>
      <c r="E10133" t="str">
        <v>-</v>
      </c>
      <c r="F10133" t="str">
        <v>-</v>
      </c>
      <c r="G10133" t="str">
        <v>-</v>
      </c>
    </row>
    <row r="10134">
      <c r="A10134">
        <v>10133</v>
      </c>
      <c r="B10134" t="str">
        <v>Công an xã Nghĩa Thành  tỉnh Nam Định</v>
      </c>
      <c r="C10134" t="str">
        <v>-</v>
      </c>
      <c r="D10134" t="str">
        <v>-</v>
      </c>
      <c r="E10134" t="str">
        <v/>
      </c>
      <c r="F10134" t="str">
        <v>-</v>
      </c>
      <c r="G10134" t="str">
        <v>-</v>
      </c>
    </row>
    <row r="10135">
      <c r="A10135">
        <v>10134</v>
      </c>
      <c r="B10135" t="str">
        <v>UBND Ủy ban nhân dân xã Nghĩa Thành  tỉnh Nam Định</v>
      </c>
      <c r="C10135" t="str">
        <v>-</v>
      </c>
      <c r="D10135" t="str">
        <v>-</v>
      </c>
      <c r="E10135" t="str">
        <v>-</v>
      </c>
      <c r="F10135" t="str">
        <v>-</v>
      </c>
      <c r="G10135" t="str">
        <v>-</v>
      </c>
    </row>
    <row r="10136">
      <c r="A10136">
        <v>10135</v>
      </c>
      <c r="B10136" t="str">
        <v>Công an xã Nghĩa Thắng  tỉnh Nam Định</v>
      </c>
      <c r="C10136" t="str">
        <v>-</v>
      </c>
      <c r="D10136" t="str">
        <v>-</v>
      </c>
      <c r="E10136" t="str">
        <v/>
      </c>
      <c r="F10136" t="str">
        <v>-</v>
      </c>
      <c r="G10136" t="str">
        <v>-</v>
      </c>
    </row>
    <row r="10137">
      <c r="A10137">
        <v>10136</v>
      </c>
      <c r="B10137" t="str">
        <v>UBND Ủy ban nhân dân xã Nghĩa Thắng  tỉnh Nam Định</v>
      </c>
      <c r="C10137" t="str">
        <v>-</v>
      </c>
      <c r="D10137" t="str">
        <v>-</v>
      </c>
      <c r="E10137" t="str">
        <v>-</v>
      </c>
      <c r="F10137" t="str">
        <v>-</v>
      </c>
      <c r="G10137" t="str">
        <v>-</v>
      </c>
    </row>
    <row r="10138">
      <c r="A10138">
        <v>10137</v>
      </c>
      <c r="B10138" t="str">
        <v>Công an xã Nghĩa Lợi  tỉnh Nam Định</v>
      </c>
      <c r="C10138" t="str">
        <v>-</v>
      </c>
      <c r="D10138" t="str">
        <v>-</v>
      </c>
      <c r="E10138" t="str">
        <v/>
      </c>
      <c r="F10138" t="str">
        <v>-</v>
      </c>
      <c r="G10138" t="str">
        <v>-</v>
      </c>
    </row>
    <row r="10139">
      <c r="A10139">
        <v>10138</v>
      </c>
      <c r="B10139" t="str">
        <v>UBND Ủy ban nhân dân xã Nghĩa Lợi  tỉnh Nam Định</v>
      </c>
      <c r="C10139" t="str">
        <v>-</v>
      </c>
      <c r="D10139" t="str">
        <v>-</v>
      </c>
      <c r="E10139" t="str">
        <v>-</v>
      </c>
      <c r="F10139" t="str">
        <v>-</v>
      </c>
      <c r="G10139" t="str">
        <v>-</v>
      </c>
    </row>
    <row r="10140">
      <c r="A10140">
        <v>10139</v>
      </c>
      <c r="B10140" t="str">
        <v>Công an xã Nghĩa Hải  tỉnh Nam Định</v>
      </c>
      <c r="C10140" t="str">
        <v>-</v>
      </c>
      <c r="D10140" t="str">
        <v>-</v>
      </c>
      <c r="E10140" t="str">
        <v/>
      </c>
      <c r="F10140" t="str">
        <v>-</v>
      </c>
      <c r="G10140" t="str">
        <v>-</v>
      </c>
    </row>
    <row r="10141">
      <c r="A10141">
        <v>10140</v>
      </c>
      <c r="B10141" t="str">
        <v>UBND Ủy ban nhân dân xã Nghĩa Hải  tỉnh Nam Định</v>
      </c>
      <c r="C10141" t="str">
        <v>-</v>
      </c>
      <c r="D10141" t="str">
        <v>-</v>
      </c>
      <c r="E10141" t="str">
        <v>-</v>
      </c>
      <c r="F10141" t="str">
        <v>-</v>
      </c>
      <c r="G10141" t="str">
        <v>-</v>
      </c>
    </row>
    <row r="10142">
      <c r="A10142">
        <v>10141</v>
      </c>
      <c r="B10142" t="str">
        <v>Công an xã Nghĩa Phúc  tỉnh Nam Định</v>
      </c>
      <c r="C10142" t="str">
        <v>-</v>
      </c>
      <c r="D10142" t="str">
        <v>-</v>
      </c>
      <c r="E10142" t="str">
        <v/>
      </c>
      <c r="F10142" t="str">
        <v>-</v>
      </c>
      <c r="G10142" t="str">
        <v>-</v>
      </c>
    </row>
    <row r="10143">
      <c r="A10143">
        <v>10142</v>
      </c>
      <c r="B10143" t="str">
        <v>UBND Ủy ban nhân dân xã Nghĩa Phúc  tỉnh Nam Định</v>
      </c>
      <c r="C10143" t="str">
        <v>-</v>
      </c>
      <c r="D10143" t="str">
        <v>-</v>
      </c>
      <c r="E10143" t="str">
        <v>-</v>
      </c>
      <c r="F10143" t="str">
        <v>-</v>
      </c>
      <c r="G10143" t="str">
        <v>-</v>
      </c>
    </row>
    <row r="10144">
      <c r="A10144">
        <v>10143</v>
      </c>
      <c r="B10144" t="str">
        <v>Công an xã Nam Điền  tỉnh Nam Định</v>
      </c>
      <c r="C10144" t="str">
        <v>-</v>
      </c>
      <c r="D10144" t="str">
        <v>-</v>
      </c>
      <c r="E10144" t="str">
        <v/>
      </c>
      <c r="F10144" t="str">
        <v>-</v>
      </c>
      <c r="G10144" t="str">
        <v>-</v>
      </c>
    </row>
    <row r="10145">
      <c r="A10145">
        <v>10144</v>
      </c>
      <c r="B10145" t="str">
        <v>UBND Ủy ban nhân dân xã Nam Điền  tỉnh Nam Định</v>
      </c>
      <c r="C10145" t="str">
        <v>-</v>
      </c>
      <c r="D10145" t="str">
        <v>-</v>
      </c>
      <c r="E10145" t="str">
        <v>-</v>
      </c>
      <c r="F10145" t="str">
        <v>-</v>
      </c>
      <c r="G10145" t="str">
        <v>-</v>
      </c>
    </row>
    <row r="10146">
      <c r="A10146">
        <v>10145</v>
      </c>
      <c r="B10146" t="str">
        <v>Công an thị trấn Nam Giang  tỉnh Nam Định</v>
      </c>
      <c r="C10146" t="str">
        <v>-</v>
      </c>
      <c r="D10146" t="str">
        <v>-</v>
      </c>
      <c r="E10146" t="str">
        <v/>
      </c>
      <c r="F10146" t="str">
        <v>-</v>
      </c>
      <c r="G10146" t="str">
        <v>-</v>
      </c>
    </row>
    <row r="10147">
      <c r="A10147">
        <v>10146</v>
      </c>
      <c r="B10147" t="str">
        <v>UBND Ủy ban nhân dân thị trấn Nam Giang  tỉnh Nam Định</v>
      </c>
      <c r="C10147" t="str">
        <v>-</v>
      </c>
      <c r="D10147" t="str">
        <v>-</v>
      </c>
      <c r="E10147" t="str">
        <v>-</v>
      </c>
      <c r="F10147" t="str">
        <v>-</v>
      </c>
      <c r="G10147" t="str">
        <v>-</v>
      </c>
    </row>
    <row r="10148">
      <c r="A10148">
        <v>10147</v>
      </c>
      <c r="B10148" t="str">
        <v>Công an xã Nam Mỹ  tỉnh Nam Định</v>
      </c>
      <c r="C10148" t="str">
        <v>-</v>
      </c>
      <c r="D10148" t="str">
        <v>-</v>
      </c>
      <c r="E10148" t="str">
        <v/>
      </c>
      <c r="F10148" t="str">
        <v>-</v>
      </c>
      <c r="G10148" t="str">
        <v>-</v>
      </c>
    </row>
    <row r="10149">
      <c r="A10149">
        <v>10148</v>
      </c>
      <c r="B10149" t="str">
        <v>UBND Ủy ban nhân dân xã Nam Mỹ  tỉnh Nam Định</v>
      </c>
      <c r="C10149" t="str">
        <v>-</v>
      </c>
      <c r="D10149" t="str">
        <v>-</v>
      </c>
      <c r="E10149" t="str">
        <v>-</v>
      </c>
      <c r="F10149" t="str">
        <v>-</v>
      </c>
      <c r="G10149" t="str">
        <v>-</v>
      </c>
    </row>
    <row r="10150">
      <c r="A10150">
        <v>10149</v>
      </c>
      <c r="B10150" t="str">
        <v>Công an xã Điền Xá  tỉnh Nam Định</v>
      </c>
      <c r="C10150" t="str">
        <v>-</v>
      </c>
      <c r="D10150" t="str">
        <v>-</v>
      </c>
      <c r="E10150" t="str">
        <v/>
      </c>
      <c r="F10150" t="str">
        <v>-</v>
      </c>
      <c r="G10150" t="str">
        <v>-</v>
      </c>
    </row>
    <row r="10151">
      <c r="A10151">
        <v>10150</v>
      </c>
      <c r="B10151" t="str">
        <v>UBND Ủy ban nhân dân xã Điền Xá  tỉnh Nam Định</v>
      </c>
      <c r="C10151" t="str">
        <v>-</v>
      </c>
      <c r="D10151" t="str">
        <v>-</v>
      </c>
      <c r="E10151" t="str">
        <v>-</v>
      </c>
      <c r="F10151" t="str">
        <v>-</v>
      </c>
      <c r="G10151" t="str">
        <v>-</v>
      </c>
    </row>
    <row r="10152">
      <c r="A10152">
        <v>10151</v>
      </c>
      <c r="B10152" t="str">
        <v>Công an xã Nghĩa An  tỉnh Nam Định</v>
      </c>
      <c r="C10152" t="str">
        <v>-</v>
      </c>
      <c r="D10152" t="str">
        <v>-</v>
      </c>
      <c r="E10152" t="str">
        <v/>
      </c>
      <c r="F10152" t="str">
        <v>-</v>
      </c>
      <c r="G10152" t="str">
        <v>-</v>
      </c>
    </row>
    <row r="10153">
      <c r="A10153">
        <v>10152</v>
      </c>
      <c r="B10153" t="str">
        <v>UBND Ủy ban nhân dân xã Nghĩa An  tỉnh Nam Định</v>
      </c>
      <c r="C10153" t="str">
        <v>-</v>
      </c>
      <c r="D10153" t="str">
        <v>-</v>
      </c>
      <c r="E10153" t="str">
        <v>-</v>
      </c>
      <c r="F10153" t="str">
        <v>-</v>
      </c>
      <c r="G10153" t="str">
        <v>-</v>
      </c>
    </row>
    <row r="10154">
      <c r="A10154">
        <v>10153</v>
      </c>
      <c r="B10154" t="str">
        <v>Công an xã Nam Thắng  tỉnh Nam Định</v>
      </c>
      <c r="C10154" t="str">
        <v>-</v>
      </c>
      <c r="D10154" t="str">
        <v>-</v>
      </c>
      <c r="E10154" t="str">
        <v/>
      </c>
      <c r="F10154" t="str">
        <v>-</v>
      </c>
      <c r="G10154" t="str">
        <v>-</v>
      </c>
    </row>
    <row r="10155">
      <c r="A10155">
        <v>10154</v>
      </c>
      <c r="B10155" t="str">
        <v>UBND Ủy ban nhân dân xã Nam Thắng  tỉnh Nam Định</v>
      </c>
      <c r="C10155" t="str">
        <v>-</v>
      </c>
      <c r="D10155" t="str">
        <v>-</v>
      </c>
      <c r="E10155" t="str">
        <v>-</v>
      </c>
      <c r="F10155" t="str">
        <v>-</v>
      </c>
      <c r="G10155" t="str">
        <v>-</v>
      </c>
    </row>
    <row r="10156">
      <c r="A10156">
        <v>10155</v>
      </c>
      <c r="B10156" t="str">
        <v>Công an xã Nam Toàn  tỉnh Nam Định</v>
      </c>
      <c r="C10156" t="str">
        <v>-</v>
      </c>
      <c r="D10156" t="str">
        <v>-</v>
      </c>
      <c r="E10156" t="str">
        <v/>
      </c>
      <c r="F10156" t="str">
        <v>-</v>
      </c>
      <c r="G10156" t="str">
        <v>-</v>
      </c>
    </row>
    <row r="10157">
      <c r="A10157">
        <v>10156</v>
      </c>
      <c r="B10157" t="str">
        <v>UBND Ủy ban nhân dân xã Nam Toàn  tỉnh Nam Định</v>
      </c>
      <c r="C10157" t="str">
        <v>-</v>
      </c>
      <c r="D10157" t="str">
        <v>-</v>
      </c>
      <c r="E10157" t="str">
        <v>-</v>
      </c>
      <c r="F10157" t="str">
        <v>-</v>
      </c>
      <c r="G10157" t="str">
        <v>-</v>
      </c>
    </row>
    <row r="10158">
      <c r="A10158">
        <v>10157</v>
      </c>
      <c r="B10158" t="str">
        <v>Công an xã Hồng Quang  tỉnh Nam Định</v>
      </c>
      <c r="C10158" t="str">
        <v>-</v>
      </c>
      <c r="D10158" t="str">
        <v>-</v>
      </c>
      <c r="E10158" t="str">
        <v/>
      </c>
      <c r="F10158" t="str">
        <v>-</v>
      </c>
      <c r="G10158" t="str">
        <v>-</v>
      </c>
    </row>
    <row r="10159">
      <c r="A10159">
        <v>10158</v>
      </c>
      <c r="B10159" t="str">
        <v>UBND Ủy ban nhân dân xã Hồng Quang  tỉnh Nam Định</v>
      </c>
      <c r="C10159" t="str">
        <v>-</v>
      </c>
      <c r="D10159" t="str">
        <v>-</v>
      </c>
      <c r="E10159" t="str">
        <v>-</v>
      </c>
      <c r="F10159" t="str">
        <v>-</v>
      </c>
      <c r="G10159" t="str">
        <v>-</v>
      </c>
    </row>
    <row r="10160">
      <c r="A10160">
        <v>10159</v>
      </c>
      <c r="B10160" t="str">
        <v>Công an xã Tân Thịnh  tỉnh Nam Định</v>
      </c>
      <c r="C10160" t="str">
        <v>-</v>
      </c>
      <c r="D10160" t="str">
        <v>-</v>
      </c>
      <c r="E10160" t="str">
        <v/>
      </c>
      <c r="F10160" t="str">
        <v>-</v>
      </c>
      <c r="G10160" t="str">
        <v>-</v>
      </c>
    </row>
    <row r="10161">
      <c r="A10161">
        <v>10160</v>
      </c>
      <c r="B10161" t="str">
        <v>UBND Ủy ban nhân dân xã Tân Thịnh  tỉnh Nam Định</v>
      </c>
      <c r="C10161" t="str">
        <v>-</v>
      </c>
      <c r="D10161" t="str">
        <v>-</v>
      </c>
      <c r="E10161" t="str">
        <v>-</v>
      </c>
      <c r="F10161" t="str">
        <v>-</v>
      </c>
      <c r="G10161" t="str">
        <v>-</v>
      </c>
    </row>
    <row r="10162">
      <c r="A10162">
        <v>10161</v>
      </c>
      <c r="B10162" t="str">
        <v>Công an xã Nam Cường  tỉnh Nam Định</v>
      </c>
      <c r="C10162" t="str">
        <v>-</v>
      </c>
      <c r="D10162" t="str">
        <v>-</v>
      </c>
      <c r="E10162" t="str">
        <v/>
      </c>
      <c r="F10162" t="str">
        <v>-</v>
      </c>
      <c r="G10162" t="str">
        <v>-</v>
      </c>
    </row>
    <row r="10163">
      <c r="A10163">
        <v>10162</v>
      </c>
      <c r="B10163" t="str">
        <v>UBND Ủy ban nhân dân xã Nam Cường  tỉnh Nam Định</v>
      </c>
      <c r="C10163" t="str">
        <v>-</v>
      </c>
      <c r="D10163" t="str">
        <v>-</v>
      </c>
      <c r="E10163" t="str">
        <v>-</v>
      </c>
      <c r="F10163" t="str">
        <v>-</v>
      </c>
      <c r="G10163" t="str">
        <v>-</v>
      </c>
    </row>
    <row r="10164">
      <c r="A10164">
        <v>10163</v>
      </c>
      <c r="B10164" t="str">
        <v>Công an xã Nam Hồng  tỉnh Nam Định</v>
      </c>
      <c r="C10164" t="str">
        <v>-</v>
      </c>
      <c r="D10164" t="str">
        <v>-</v>
      </c>
      <c r="E10164" t="str">
        <v/>
      </c>
      <c r="F10164" t="str">
        <v>-</v>
      </c>
      <c r="G10164" t="str">
        <v>-</v>
      </c>
    </row>
    <row r="10165">
      <c r="A10165">
        <v>10164</v>
      </c>
      <c r="B10165" t="str">
        <v>UBND Ủy ban nhân dân xã Nam Hồng  tỉnh Nam Định</v>
      </c>
      <c r="C10165" t="str">
        <v>-</v>
      </c>
      <c r="D10165" t="str">
        <v>-</v>
      </c>
      <c r="E10165" t="str">
        <v>-</v>
      </c>
      <c r="F10165" t="str">
        <v>-</v>
      </c>
      <c r="G10165" t="str">
        <v>-</v>
      </c>
    </row>
    <row r="10166">
      <c r="A10166">
        <v>10165</v>
      </c>
      <c r="B10166" t="str">
        <v>Công an xã Nam Hùng  tỉnh Nam Định</v>
      </c>
      <c r="C10166" t="str">
        <v>-</v>
      </c>
      <c r="D10166" t="str">
        <v>-</v>
      </c>
      <c r="E10166" t="str">
        <v/>
      </c>
      <c r="F10166" t="str">
        <v>-</v>
      </c>
      <c r="G10166" t="str">
        <v>-</v>
      </c>
    </row>
    <row r="10167">
      <c r="A10167">
        <v>10166</v>
      </c>
      <c r="B10167" t="str">
        <v>UBND Ủy ban nhân dân xã Nam Hùng  tỉnh Nam Định</v>
      </c>
      <c r="C10167" t="str">
        <v>-</v>
      </c>
      <c r="D10167" t="str">
        <v>-</v>
      </c>
      <c r="E10167" t="str">
        <v>-</v>
      </c>
      <c r="F10167" t="str">
        <v>-</v>
      </c>
      <c r="G10167" t="str">
        <v>-</v>
      </c>
    </row>
    <row r="10168">
      <c r="A10168">
        <v>10167</v>
      </c>
      <c r="B10168" t="str">
        <v>Công an xã Nam Hoa  tỉnh Nam Định</v>
      </c>
      <c r="C10168" t="str">
        <v>-</v>
      </c>
      <c r="D10168" t="str">
        <v>-</v>
      </c>
      <c r="E10168" t="str">
        <v/>
      </c>
      <c r="F10168" t="str">
        <v>-</v>
      </c>
      <c r="G10168" t="str">
        <v>-</v>
      </c>
    </row>
    <row r="10169">
      <c r="A10169">
        <v>10168</v>
      </c>
      <c r="B10169" t="str">
        <v>UBND Ủy ban nhân dân xã Nam Hoa  tỉnh Nam Định</v>
      </c>
      <c r="C10169" t="str">
        <v>-</v>
      </c>
      <c r="D10169" t="str">
        <v>-</v>
      </c>
      <c r="E10169" t="str">
        <v>-</v>
      </c>
      <c r="F10169" t="str">
        <v>-</v>
      </c>
      <c r="G10169" t="str">
        <v>-</v>
      </c>
    </row>
    <row r="10170">
      <c r="A10170">
        <v>10169</v>
      </c>
      <c r="B10170" t="str">
        <v>Công an xã Nam Dương  tỉnh Nam Định</v>
      </c>
      <c r="C10170" t="str">
        <v>-</v>
      </c>
      <c r="D10170" t="str">
        <v>-</v>
      </c>
      <c r="E10170" t="str">
        <v/>
      </c>
      <c r="F10170" t="str">
        <v>-</v>
      </c>
      <c r="G10170" t="str">
        <v>-</v>
      </c>
    </row>
    <row r="10171">
      <c r="A10171">
        <v>10170</v>
      </c>
      <c r="B10171" t="str">
        <v>UBND Ủy ban nhân dân xã Nam Dương  tỉnh Nam Định</v>
      </c>
      <c r="C10171" t="str">
        <v>-</v>
      </c>
      <c r="D10171" t="str">
        <v>-</v>
      </c>
      <c r="E10171" t="str">
        <v>-</v>
      </c>
      <c r="F10171" t="str">
        <v>-</v>
      </c>
      <c r="G10171" t="str">
        <v>-</v>
      </c>
    </row>
    <row r="10172">
      <c r="A10172">
        <v>10171</v>
      </c>
      <c r="B10172" t="str">
        <v>Công an xã Nam Thanh  tỉnh Nam Định</v>
      </c>
      <c r="C10172" t="str">
        <v>-</v>
      </c>
      <c r="D10172" t="str">
        <v>-</v>
      </c>
      <c r="E10172" t="str">
        <v/>
      </c>
      <c r="F10172" t="str">
        <v>-</v>
      </c>
      <c r="G10172" t="str">
        <v>-</v>
      </c>
    </row>
    <row r="10173">
      <c r="A10173">
        <v>10172</v>
      </c>
      <c r="B10173" t="str">
        <v>UBND Ủy ban nhân dân xã Nam Thanh  tỉnh Nam Định</v>
      </c>
      <c r="C10173" t="str">
        <v>-</v>
      </c>
      <c r="D10173" t="str">
        <v>-</v>
      </c>
      <c r="E10173" t="str">
        <v>-</v>
      </c>
      <c r="F10173" t="str">
        <v>-</v>
      </c>
      <c r="G10173" t="str">
        <v>-</v>
      </c>
    </row>
    <row r="10174">
      <c r="A10174">
        <v>10173</v>
      </c>
      <c r="B10174" t="str">
        <v>Công an xã Nam Lợi  tỉnh Nam Định</v>
      </c>
      <c r="C10174" t="str">
        <v>-</v>
      </c>
      <c r="D10174" t="str">
        <v>-</v>
      </c>
      <c r="E10174" t="str">
        <v/>
      </c>
      <c r="F10174" t="str">
        <v>-</v>
      </c>
      <c r="G10174" t="str">
        <v>-</v>
      </c>
    </row>
    <row r="10175">
      <c r="A10175">
        <v>10174</v>
      </c>
      <c r="B10175" t="str">
        <v>UBND Ủy ban nhân dân xã Nam Lợi  tỉnh Nam Định</v>
      </c>
      <c r="C10175" t="str">
        <v>-</v>
      </c>
      <c r="D10175" t="str">
        <v>-</v>
      </c>
      <c r="E10175" t="str">
        <v>-</v>
      </c>
      <c r="F10175" t="str">
        <v>-</v>
      </c>
      <c r="G10175" t="str">
        <v>-</v>
      </c>
    </row>
    <row r="10176">
      <c r="A10176">
        <v>10175</v>
      </c>
      <c r="B10176" t="str">
        <v>Công an xã Bình Minh  tỉnh Nam Định</v>
      </c>
      <c r="C10176" t="str">
        <v>-</v>
      </c>
      <c r="D10176" t="str">
        <v>-</v>
      </c>
      <c r="E10176" t="str">
        <v/>
      </c>
      <c r="F10176" t="str">
        <v>-</v>
      </c>
      <c r="G10176" t="str">
        <v>-</v>
      </c>
    </row>
    <row r="10177">
      <c r="A10177">
        <v>10176</v>
      </c>
      <c r="B10177" t="str">
        <v>UBND Ủy ban nhân dân xã Bình Minh  tỉnh Nam Định</v>
      </c>
      <c r="C10177" t="str">
        <v>-</v>
      </c>
      <c r="D10177" t="str">
        <v>-</v>
      </c>
      <c r="E10177" t="str">
        <v>-</v>
      </c>
      <c r="F10177" t="str">
        <v>-</v>
      </c>
      <c r="G10177" t="str">
        <v>-</v>
      </c>
    </row>
    <row r="10178">
      <c r="A10178">
        <v>10177</v>
      </c>
      <c r="B10178" t="str">
        <v>Công an xã Đồng Sơn  tỉnh Nam Định</v>
      </c>
      <c r="C10178" t="str">
        <v>-</v>
      </c>
      <c r="D10178" t="str">
        <v>-</v>
      </c>
      <c r="E10178" t="str">
        <v/>
      </c>
      <c r="F10178" t="str">
        <v>-</v>
      </c>
      <c r="G10178" t="str">
        <v>-</v>
      </c>
    </row>
    <row r="10179">
      <c r="A10179">
        <v>10178</v>
      </c>
      <c r="B10179" t="str">
        <v>UBND Ủy ban nhân dân xã Đồng Sơn  tỉnh Nam Định</v>
      </c>
      <c r="C10179" t="str">
        <v>-</v>
      </c>
      <c r="D10179" t="str">
        <v>-</v>
      </c>
      <c r="E10179" t="str">
        <v>-</v>
      </c>
      <c r="F10179" t="str">
        <v>-</v>
      </c>
      <c r="G10179" t="str">
        <v>-</v>
      </c>
    </row>
    <row r="10180">
      <c r="A10180">
        <v>10179</v>
      </c>
      <c r="B10180" t="str">
        <v>Công an xã Nam Tiến  tỉnh Nam Định</v>
      </c>
      <c r="C10180" t="str">
        <v>-</v>
      </c>
      <c r="D10180" t="str">
        <v>-</v>
      </c>
      <c r="E10180" t="str">
        <v/>
      </c>
      <c r="F10180" t="str">
        <v>-</v>
      </c>
      <c r="G10180" t="str">
        <v>-</v>
      </c>
    </row>
    <row r="10181">
      <c r="A10181">
        <v>10180</v>
      </c>
      <c r="B10181" t="str">
        <v>UBND Ủy ban nhân dân xã Nam Tiến  tỉnh Nam Định</v>
      </c>
      <c r="C10181" t="str">
        <v>-</v>
      </c>
      <c r="D10181" t="str">
        <v>-</v>
      </c>
      <c r="E10181" t="str">
        <v>-</v>
      </c>
      <c r="F10181" t="str">
        <v>-</v>
      </c>
      <c r="G10181" t="str">
        <v>-</v>
      </c>
    </row>
    <row r="10182">
      <c r="A10182">
        <v>10181</v>
      </c>
      <c r="B10182" t="str">
        <v>Công an xã Nam Hải  tỉnh Nam Định</v>
      </c>
      <c r="C10182" t="str">
        <v>-</v>
      </c>
      <c r="D10182" t="str">
        <v>-</v>
      </c>
      <c r="E10182" t="str">
        <v/>
      </c>
      <c r="F10182" t="str">
        <v>-</v>
      </c>
      <c r="G10182" t="str">
        <v>-</v>
      </c>
    </row>
    <row r="10183">
      <c r="A10183">
        <v>10182</v>
      </c>
      <c r="B10183" t="str">
        <v>UBND Ủy ban nhân dân xã Nam Hải  tỉnh Nam Định</v>
      </c>
      <c r="C10183" t="str">
        <v>-</v>
      </c>
      <c r="D10183" t="str">
        <v>-</v>
      </c>
      <c r="E10183" t="str">
        <v>-</v>
      </c>
      <c r="F10183" t="str">
        <v>-</v>
      </c>
      <c r="G10183" t="str">
        <v>-</v>
      </c>
    </row>
    <row r="10184">
      <c r="A10184">
        <v>10183</v>
      </c>
      <c r="B10184" t="str">
        <v>Công an xã Nam Thái  tỉnh Nam Định</v>
      </c>
      <c r="C10184" t="str">
        <v>-</v>
      </c>
      <c r="D10184" t="str">
        <v>-</v>
      </c>
      <c r="E10184" t="str">
        <v/>
      </c>
      <c r="F10184" t="str">
        <v>-</v>
      </c>
      <c r="G10184" t="str">
        <v>-</v>
      </c>
    </row>
    <row r="10185">
      <c r="A10185">
        <v>10184</v>
      </c>
      <c r="B10185" t="str">
        <v>UBND Ủy ban nhân dân xã Nam Thái  tỉnh Nam Định</v>
      </c>
      <c r="C10185" t="str">
        <v>-</v>
      </c>
      <c r="D10185" t="str">
        <v>-</v>
      </c>
      <c r="E10185" t="str">
        <v>-</v>
      </c>
      <c r="F10185" t="str">
        <v>-</v>
      </c>
      <c r="G10185" t="str">
        <v>-</v>
      </c>
    </row>
    <row r="10186">
      <c r="A10186">
        <v>10185</v>
      </c>
      <c r="B10186" t="str">
        <v>Công an thị trấn Cổ Lễ  tỉnh Nam Định</v>
      </c>
      <c r="C10186" t="str">
        <v>-</v>
      </c>
      <c r="D10186" t="str">
        <v>-</v>
      </c>
      <c r="E10186" t="str">
        <v/>
      </c>
      <c r="F10186" t="str">
        <v>-</v>
      </c>
      <c r="G10186" t="str">
        <v>-</v>
      </c>
    </row>
    <row r="10187">
      <c r="A10187">
        <v>10186</v>
      </c>
      <c r="B10187" t="str">
        <v>UBND Ủy ban nhân dân thị trấn Cổ Lễ  tỉnh Nam Định</v>
      </c>
      <c r="C10187" t="str">
        <v>-</v>
      </c>
      <c r="D10187" t="str">
        <v>-</v>
      </c>
      <c r="E10187" t="str">
        <v>-</v>
      </c>
      <c r="F10187" t="str">
        <v>-</v>
      </c>
      <c r="G10187" t="str">
        <v>-</v>
      </c>
    </row>
    <row r="10188">
      <c r="A10188">
        <v>10187</v>
      </c>
      <c r="B10188" t="str">
        <v>Công an xã Phương Định  tỉnh Nam Định</v>
      </c>
      <c r="C10188" t="str">
        <v>-</v>
      </c>
      <c r="D10188" t="str">
        <v>-</v>
      </c>
      <c r="E10188" t="str">
        <v/>
      </c>
      <c r="F10188" t="str">
        <v>-</v>
      </c>
      <c r="G10188" t="str">
        <v>-</v>
      </c>
    </row>
    <row r="10189">
      <c r="A10189">
        <v>10188</v>
      </c>
      <c r="B10189" t="str">
        <v>UBND Ủy ban nhân dân xã Phương Định  tỉnh Nam Định</v>
      </c>
      <c r="C10189" t="str">
        <v>-</v>
      </c>
      <c r="D10189" t="str">
        <v>-</v>
      </c>
      <c r="E10189" t="str">
        <v>-</v>
      </c>
      <c r="F10189" t="str">
        <v>-</v>
      </c>
      <c r="G10189" t="str">
        <v>-</v>
      </c>
    </row>
    <row r="10190">
      <c r="A10190">
        <v>10189</v>
      </c>
      <c r="B10190" t="str">
        <v>Công an xã Trực Chính  tỉnh Nam Định</v>
      </c>
      <c r="C10190" t="str">
        <v>-</v>
      </c>
      <c r="D10190" t="str">
        <v>-</v>
      </c>
      <c r="E10190" t="str">
        <v/>
      </c>
      <c r="F10190" t="str">
        <v>-</v>
      </c>
      <c r="G10190" t="str">
        <v>-</v>
      </c>
    </row>
    <row r="10191">
      <c r="A10191">
        <v>10190</v>
      </c>
      <c r="B10191" t="str">
        <v>UBND Ủy ban nhân dân xã Trực Chính  tỉnh Nam Định</v>
      </c>
      <c r="C10191" t="str">
        <v>-</v>
      </c>
      <c r="D10191" t="str">
        <v>-</v>
      </c>
      <c r="E10191" t="str">
        <v>-</v>
      </c>
      <c r="F10191" t="str">
        <v>-</v>
      </c>
      <c r="G10191" t="str">
        <v>-</v>
      </c>
    </row>
    <row r="10192">
      <c r="A10192">
        <v>10191</v>
      </c>
      <c r="B10192" t="str">
        <v>Công an xã Trung Đông  tỉnh Nam Định</v>
      </c>
      <c r="C10192" t="str">
        <v>-</v>
      </c>
      <c r="D10192" t="str">
        <v>-</v>
      </c>
      <c r="E10192" t="str">
        <v/>
      </c>
      <c r="F10192" t="str">
        <v>-</v>
      </c>
      <c r="G10192" t="str">
        <v>-</v>
      </c>
    </row>
    <row r="10193">
      <c r="A10193">
        <v>10192</v>
      </c>
      <c r="B10193" t="str">
        <v>UBND Ủy ban nhân dân xã Trung Đông  tỉnh Nam Định</v>
      </c>
      <c r="C10193" t="str">
        <v>-</v>
      </c>
      <c r="D10193" t="str">
        <v>-</v>
      </c>
      <c r="E10193" t="str">
        <v>-</v>
      </c>
      <c r="F10193" t="str">
        <v>-</v>
      </c>
      <c r="G10193" t="str">
        <v>-</v>
      </c>
    </row>
    <row r="10194">
      <c r="A10194">
        <v>10193</v>
      </c>
      <c r="B10194" t="str">
        <v>Công an xã Liêm Hải  tỉnh Nam Định</v>
      </c>
      <c r="C10194" t="str">
        <v>-</v>
      </c>
      <c r="D10194" t="str">
        <v>-</v>
      </c>
      <c r="E10194" t="str">
        <v/>
      </c>
      <c r="F10194" t="str">
        <v>-</v>
      </c>
      <c r="G10194" t="str">
        <v>-</v>
      </c>
    </row>
    <row r="10195">
      <c r="A10195">
        <v>10194</v>
      </c>
      <c r="B10195" t="str">
        <v>UBND Ủy ban nhân dân xã Liêm Hải  tỉnh Nam Định</v>
      </c>
      <c r="C10195" t="str">
        <v>-</v>
      </c>
      <c r="D10195" t="str">
        <v>-</v>
      </c>
      <c r="E10195" t="str">
        <v>-</v>
      </c>
      <c r="F10195" t="str">
        <v>-</v>
      </c>
      <c r="G10195" t="str">
        <v>-</v>
      </c>
    </row>
    <row r="10196">
      <c r="A10196">
        <v>10195</v>
      </c>
      <c r="B10196" t="str">
        <v>Công an xã Trực Tuấn  tỉnh Nam Định</v>
      </c>
      <c r="C10196" t="str">
        <v>-</v>
      </c>
      <c r="D10196" t="str">
        <v>-</v>
      </c>
      <c r="E10196" t="str">
        <v/>
      </c>
      <c r="F10196" t="str">
        <v>-</v>
      </c>
      <c r="G10196" t="str">
        <v>-</v>
      </c>
    </row>
    <row r="10197">
      <c r="A10197">
        <v>10196</v>
      </c>
      <c r="B10197" t="str">
        <v>UBND Ủy ban nhân dân xã Trực Tuấn  tỉnh Nam Định</v>
      </c>
      <c r="C10197" t="str">
        <v>-</v>
      </c>
      <c r="D10197" t="str">
        <v>-</v>
      </c>
      <c r="E10197" t="str">
        <v>-</v>
      </c>
      <c r="F10197" t="str">
        <v>-</v>
      </c>
      <c r="G10197" t="str">
        <v>-</v>
      </c>
    </row>
    <row r="10198">
      <c r="A10198">
        <v>10197</v>
      </c>
      <c r="B10198" t="str">
        <v>Công an xã Việt Hùng  tỉnh Nam Định</v>
      </c>
      <c r="C10198" t="str">
        <v>-</v>
      </c>
      <c r="D10198" t="str">
        <v>-</v>
      </c>
      <c r="E10198" t="str">
        <v/>
      </c>
      <c r="F10198" t="str">
        <v>-</v>
      </c>
      <c r="G10198" t="str">
        <v>-</v>
      </c>
    </row>
    <row r="10199">
      <c r="A10199">
        <v>10198</v>
      </c>
      <c r="B10199" t="str">
        <v>UBND Ủy ban nhân dân xã Việt Hùng  tỉnh Nam Định</v>
      </c>
      <c r="C10199" t="str">
        <v>-</v>
      </c>
      <c r="D10199" t="str">
        <v>-</v>
      </c>
      <c r="E10199" t="str">
        <v>-</v>
      </c>
      <c r="F10199" t="str">
        <v>-</v>
      </c>
      <c r="G10199" t="str">
        <v>-</v>
      </c>
    </row>
    <row r="10200">
      <c r="A10200">
        <v>10199</v>
      </c>
      <c r="B10200" t="str">
        <v>Công an xã Trực Đạo  tỉnh Nam Định</v>
      </c>
      <c r="C10200" t="str">
        <v>-</v>
      </c>
      <c r="D10200" t="str">
        <v>-</v>
      </c>
      <c r="E10200" t="str">
        <v/>
      </c>
      <c r="F10200" t="str">
        <v>-</v>
      </c>
      <c r="G10200" t="str">
        <v>-</v>
      </c>
    </row>
    <row r="10201">
      <c r="A10201">
        <v>10200</v>
      </c>
      <c r="B10201" t="str">
        <v>UBND Ủy ban nhân dân xã Trực Đạo  tỉnh Nam Định</v>
      </c>
      <c r="C10201" t="str">
        <v>-</v>
      </c>
      <c r="D10201" t="str">
        <v>-</v>
      </c>
      <c r="E10201" t="str">
        <v>-</v>
      </c>
      <c r="F10201" t="str">
        <v>-</v>
      </c>
      <c r="G10201" t="str">
        <v>-</v>
      </c>
    </row>
    <row r="10202">
      <c r="A10202">
        <v>10201</v>
      </c>
      <c r="B10202" t="str">
        <v>Công an xã Trực Hưng  tỉnh Nam Định</v>
      </c>
      <c r="C10202" t="str">
        <v>-</v>
      </c>
      <c r="D10202" t="str">
        <v>-</v>
      </c>
      <c r="E10202" t="str">
        <v/>
      </c>
      <c r="F10202" t="str">
        <v>-</v>
      </c>
      <c r="G10202" t="str">
        <v>-</v>
      </c>
    </row>
    <row r="10203">
      <c r="A10203">
        <v>10202</v>
      </c>
      <c r="B10203" t="str">
        <v>UBND Ủy ban nhân dân xã Trực Hưng  tỉnh Nam Định</v>
      </c>
      <c r="C10203" t="str">
        <v>-</v>
      </c>
      <c r="D10203" t="str">
        <v>-</v>
      </c>
      <c r="E10203" t="str">
        <v>-</v>
      </c>
      <c r="F10203" t="str">
        <v>-</v>
      </c>
      <c r="G10203" t="str">
        <v>-</v>
      </c>
    </row>
    <row r="10204">
      <c r="A10204">
        <v>10203</v>
      </c>
      <c r="B10204" t="str">
        <v>Công an xã Trực Nội  tỉnh Nam Định</v>
      </c>
      <c r="C10204" t="str">
        <v>-</v>
      </c>
      <c r="D10204" t="str">
        <v>-</v>
      </c>
      <c r="E10204" t="str">
        <v/>
      </c>
      <c r="F10204" t="str">
        <v>-</v>
      </c>
      <c r="G10204" t="str">
        <v>-</v>
      </c>
    </row>
    <row r="10205">
      <c r="A10205">
        <v>10204</v>
      </c>
      <c r="B10205" t="str">
        <v>UBND Ủy ban nhân dân xã Trực Nội  tỉnh Nam Định</v>
      </c>
      <c r="C10205" t="str">
        <v>-</v>
      </c>
      <c r="D10205" t="str">
        <v>-</v>
      </c>
      <c r="E10205" t="str">
        <v>-</v>
      </c>
      <c r="F10205" t="str">
        <v>-</v>
      </c>
      <c r="G10205" t="str">
        <v>-</v>
      </c>
    </row>
    <row r="10206">
      <c r="A10206">
        <v>10205</v>
      </c>
      <c r="B10206" t="str">
        <v>Công an thị trấn Cát Thành  tỉnh Nam Định</v>
      </c>
      <c r="C10206" t="str">
        <v>-</v>
      </c>
      <c r="D10206" t="str">
        <v>-</v>
      </c>
      <c r="E10206" t="str">
        <v/>
      </c>
      <c r="F10206" t="str">
        <v>-</v>
      </c>
      <c r="G10206" t="str">
        <v>-</v>
      </c>
    </row>
    <row r="10207">
      <c r="A10207">
        <v>10206</v>
      </c>
      <c r="B10207" t="str">
        <v>UBND Ủy ban nhân dân thị trấn Cát Thành  tỉnh Nam Định</v>
      </c>
      <c r="C10207" t="str">
        <v>-</v>
      </c>
      <c r="D10207" t="str">
        <v>-</v>
      </c>
      <c r="E10207" t="str">
        <v>-</v>
      </c>
      <c r="F10207" t="str">
        <v>-</v>
      </c>
      <c r="G10207" t="str">
        <v>-</v>
      </c>
    </row>
    <row r="10208">
      <c r="A10208">
        <v>10207</v>
      </c>
      <c r="B10208" t="str">
        <v>Công an xã Trực Thanh  tỉnh Nam Định</v>
      </c>
      <c r="C10208" t="str">
        <v>-</v>
      </c>
      <c r="D10208" t="str">
        <v>-</v>
      </c>
      <c r="E10208" t="str">
        <v/>
      </c>
      <c r="F10208" t="str">
        <v>-</v>
      </c>
      <c r="G10208" t="str">
        <v>-</v>
      </c>
    </row>
    <row r="10209">
      <c r="A10209">
        <v>10208</v>
      </c>
      <c r="B10209" t="str">
        <v>UBND Ủy ban nhân dân xã Trực Thanh  tỉnh Nam Định</v>
      </c>
      <c r="C10209" t="str">
        <v>-</v>
      </c>
      <c r="D10209" t="str">
        <v>-</v>
      </c>
      <c r="E10209" t="str">
        <v>-</v>
      </c>
      <c r="F10209" t="str">
        <v>-</v>
      </c>
      <c r="G10209" t="str">
        <v>-</v>
      </c>
    </row>
    <row r="10210">
      <c r="A10210">
        <v>10209</v>
      </c>
      <c r="B10210" t="str">
        <v>Công an xã Trực Khang  tỉnh Nam Định</v>
      </c>
      <c r="C10210" t="str">
        <v>-</v>
      </c>
      <c r="D10210" t="str">
        <v>-</v>
      </c>
      <c r="E10210" t="str">
        <v/>
      </c>
      <c r="F10210" t="str">
        <v>-</v>
      </c>
      <c r="G10210" t="str">
        <v>-</v>
      </c>
    </row>
    <row r="10211">
      <c r="A10211">
        <v>10210</v>
      </c>
      <c r="B10211" t="str">
        <v>UBND Ủy ban nhân dân xã Trực Khang  tỉnh Nam Định</v>
      </c>
      <c r="C10211" t="str">
        <v>-</v>
      </c>
      <c r="D10211" t="str">
        <v>-</v>
      </c>
      <c r="E10211" t="str">
        <v>-</v>
      </c>
      <c r="F10211" t="str">
        <v>-</v>
      </c>
      <c r="G10211" t="str">
        <v>-</v>
      </c>
    </row>
    <row r="10212">
      <c r="A10212">
        <v>10211</v>
      </c>
      <c r="B10212" t="str">
        <v>Công an xã Trực Thuận  tỉnh Nam Định</v>
      </c>
      <c r="C10212" t="str">
        <v>-</v>
      </c>
      <c r="D10212" t="str">
        <v>-</v>
      </c>
      <c r="E10212" t="str">
        <v/>
      </c>
      <c r="F10212" t="str">
        <v>-</v>
      </c>
      <c r="G10212" t="str">
        <v>-</v>
      </c>
    </row>
    <row r="10213">
      <c r="A10213">
        <v>10212</v>
      </c>
      <c r="B10213" t="str">
        <v>UBND Ủy ban nhân dân xã Trực Thuận  tỉnh Nam Định</v>
      </c>
      <c r="C10213" t="str">
        <v>-</v>
      </c>
      <c r="D10213" t="str">
        <v>-</v>
      </c>
      <c r="E10213" t="str">
        <v>-</v>
      </c>
      <c r="F10213" t="str">
        <v>-</v>
      </c>
      <c r="G10213" t="str">
        <v>-</v>
      </c>
    </row>
    <row r="10214">
      <c r="A10214">
        <v>10213</v>
      </c>
      <c r="B10214" t="str">
        <v>Công an xã Trực Mỹ  tỉnh Nam Định</v>
      </c>
      <c r="C10214" t="str">
        <v>-</v>
      </c>
      <c r="D10214" t="str">
        <v>-</v>
      </c>
      <c r="E10214" t="str">
        <v/>
      </c>
      <c r="F10214" t="str">
        <v>-</v>
      </c>
      <c r="G10214" t="str">
        <v>-</v>
      </c>
    </row>
    <row r="10215">
      <c r="A10215">
        <v>10214</v>
      </c>
      <c r="B10215" t="str">
        <v>UBND Ủy ban nhân dân xã Trực Mỹ  tỉnh Nam Định</v>
      </c>
      <c r="C10215" t="str">
        <v>-</v>
      </c>
      <c r="D10215" t="str">
        <v>-</v>
      </c>
      <c r="E10215" t="str">
        <v>-</v>
      </c>
      <c r="F10215" t="str">
        <v>-</v>
      </c>
      <c r="G10215" t="str">
        <v>-</v>
      </c>
    </row>
    <row r="10216">
      <c r="A10216">
        <v>10215</v>
      </c>
      <c r="B10216" t="str">
        <v>Công an xã Trực Đại  tỉnh Nam Định</v>
      </c>
      <c r="C10216" t="str">
        <v>-</v>
      </c>
      <c r="D10216" t="str">
        <v>-</v>
      </c>
      <c r="E10216" t="str">
        <v/>
      </c>
      <c r="F10216" t="str">
        <v>-</v>
      </c>
      <c r="G10216" t="str">
        <v>-</v>
      </c>
    </row>
    <row r="10217">
      <c r="A10217">
        <v>10216</v>
      </c>
      <c r="B10217" t="str">
        <v>UBND Ủy ban nhân dân xã Trực Đại  tỉnh Nam Định</v>
      </c>
      <c r="C10217" t="str">
        <v>-</v>
      </c>
      <c r="D10217" t="str">
        <v>-</v>
      </c>
      <c r="E10217" t="str">
        <v>-</v>
      </c>
      <c r="F10217" t="str">
        <v>-</v>
      </c>
      <c r="G10217" t="str">
        <v>-</v>
      </c>
    </row>
    <row r="10218">
      <c r="A10218">
        <v>10217</v>
      </c>
      <c r="B10218" t="str">
        <v>Công an xã Trực Cường  tỉnh Nam Định</v>
      </c>
      <c r="C10218" t="str">
        <v>-</v>
      </c>
      <c r="D10218" t="str">
        <v>-</v>
      </c>
      <c r="E10218" t="str">
        <v/>
      </c>
      <c r="F10218" t="str">
        <v>-</v>
      </c>
      <c r="G10218" t="str">
        <v>-</v>
      </c>
    </row>
    <row r="10219">
      <c r="A10219">
        <v>10218</v>
      </c>
      <c r="B10219" t="str">
        <v>UBND Ủy ban nhân dân xã Trực Cường  tỉnh Nam Định</v>
      </c>
      <c r="C10219" t="str">
        <v>-</v>
      </c>
      <c r="D10219" t="str">
        <v>-</v>
      </c>
      <c r="E10219" t="str">
        <v>-</v>
      </c>
      <c r="F10219" t="str">
        <v>-</v>
      </c>
      <c r="G10219" t="str">
        <v>-</v>
      </c>
    </row>
    <row r="10220">
      <c r="A10220">
        <v>10219</v>
      </c>
      <c r="B10220" t="str">
        <v>Công an xã Trực Phú  tỉnh Nam Định</v>
      </c>
      <c r="C10220" t="str">
        <v>-</v>
      </c>
      <c r="D10220" t="str">
        <v>-</v>
      </c>
      <c r="E10220" t="str">
        <v/>
      </c>
      <c r="F10220" t="str">
        <v>-</v>
      </c>
      <c r="G10220" t="str">
        <v>-</v>
      </c>
    </row>
    <row r="10221">
      <c r="A10221">
        <v>10220</v>
      </c>
      <c r="B10221" t="str">
        <v>UBND Ủy ban nhân dân xã Trực Phú  tỉnh Nam Định</v>
      </c>
      <c r="C10221" t="str">
        <v>-</v>
      </c>
      <c r="D10221" t="str">
        <v>-</v>
      </c>
      <c r="E10221" t="str">
        <v>-</v>
      </c>
      <c r="F10221" t="str">
        <v>-</v>
      </c>
      <c r="G10221" t="str">
        <v>-</v>
      </c>
    </row>
    <row r="10222">
      <c r="A10222">
        <v>10221</v>
      </c>
      <c r="B10222" t="str">
        <v>Công an xã Trực Thái  tỉnh Nam Định</v>
      </c>
      <c r="C10222" t="str">
        <v>-</v>
      </c>
      <c r="D10222" t="str">
        <v>-</v>
      </c>
      <c r="E10222" t="str">
        <v/>
      </c>
      <c r="F10222" t="str">
        <v>-</v>
      </c>
      <c r="G10222" t="str">
        <v>-</v>
      </c>
    </row>
    <row r="10223">
      <c r="A10223">
        <v>10222</v>
      </c>
      <c r="B10223" t="str">
        <v>UBND Ủy ban nhân dân xã Trực Thái  tỉnh Nam Định</v>
      </c>
      <c r="C10223" t="str">
        <v>-</v>
      </c>
      <c r="D10223" t="str">
        <v>-</v>
      </c>
      <c r="E10223" t="str">
        <v>-</v>
      </c>
      <c r="F10223" t="str">
        <v>-</v>
      </c>
      <c r="G10223" t="str">
        <v>-</v>
      </c>
    </row>
    <row r="10224">
      <c r="A10224">
        <v>10223</v>
      </c>
      <c r="B10224" t="str">
        <v>Công an xã Trực Hùng  tỉnh Nam Định</v>
      </c>
      <c r="C10224" t="str">
        <v>-</v>
      </c>
      <c r="D10224" t="str">
        <v>-</v>
      </c>
      <c r="E10224" t="str">
        <v/>
      </c>
      <c r="F10224" t="str">
        <v>-</v>
      </c>
      <c r="G10224" t="str">
        <v>-</v>
      </c>
    </row>
    <row r="10225">
      <c r="A10225">
        <v>10224</v>
      </c>
      <c r="B10225" t="str">
        <v>UBND Ủy ban nhân dân xã Trực Hùng  tỉnh Nam Định</v>
      </c>
      <c r="C10225" t="str">
        <v>-</v>
      </c>
      <c r="D10225" t="str">
        <v>-</v>
      </c>
      <c r="E10225" t="str">
        <v>-</v>
      </c>
      <c r="F10225" t="str">
        <v>-</v>
      </c>
      <c r="G10225" t="str">
        <v>-</v>
      </c>
    </row>
    <row r="10226">
      <c r="A10226">
        <v>10225</v>
      </c>
      <c r="B10226" t="str">
        <v>Công an xã Trực Thắng  tỉnh Nam Định</v>
      </c>
      <c r="C10226" t="str">
        <v>-</v>
      </c>
      <c r="D10226" t="str">
        <v>-</v>
      </c>
      <c r="E10226" t="str">
        <v/>
      </c>
      <c r="F10226" t="str">
        <v>-</v>
      </c>
      <c r="G10226" t="str">
        <v>-</v>
      </c>
    </row>
    <row r="10227">
      <c r="A10227">
        <v>10226</v>
      </c>
      <c r="B10227" t="str">
        <v>UBND Ủy ban nhân dân xã Trực Thắng  tỉnh Nam Định</v>
      </c>
      <c r="C10227" t="str">
        <v>-</v>
      </c>
      <c r="D10227" t="str">
        <v>-</v>
      </c>
      <c r="E10227" t="str">
        <v>-</v>
      </c>
      <c r="F10227" t="str">
        <v>-</v>
      </c>
      <c r="G10227" t="str">
        <v>-</v>
      </c>
    </row>
    <row r="10228">
      <c r="A10228">
        <v>10227</v>
      </c>
      <c r="B10228" t="str">
        <v>Công an thị trấn Xuân Trường  tỉnh Nam Định</v>
      </c>
      <c r="C10228" t="str">
        <v>-</v>
      </c>
      <c r="D10228" t="str">
        <v>-</v>
      </c>
      <c r="E10228" t="str">
        <v/>
      </c>
      <c r="F10228" t="str">
        <v>-</v>
      </c>
      <c r="G10228" t="str">
        <v>-</v>
      </c>
    </row>
    <row r="10229">
      <c r="A10229">
        <v>10228</v>
      </c>
      <c r="B10229" t="str">
        <v>UBND Ủy ban nhân dân thị trấn Xuân Trường  tỉnh Nam Định</v>
      </c>
      <c r="C10229" t="str">
        <v>-</v>
      </c>
      <c r="D10229" t="str">
        <v>-</v>
      </c>
      <c r="E10229" t="str">
        <v>-</v>
      </c>
      <c r="F10229" t="str">
        <v>-</v>
      </c>
      <c r="G10229" t="str">
        <v>-</v>
      </c>
    </row>
    <row r="10230">
      <c r="A10230">
        <v>10229</v>
      </c>
      <c r="B10230" t="str">
        <v>Công an xã Xuân Châu  tỉnh Nam Định</v>
      </c>
      <c r="C10230" t="str">
        <v>-</v>
      </c>
      <c r="D10230" t="str">
        <v>-</v>
      </c>
      <c r="E10230" t="str">
        <v/>
      </c>
      <c r="F10230" t="str">
        <v>-</v>
      </c>
      <c r="G10230" t="str">
        <v>-</v>
      </c>
    </row>
    <row r="10231">
      <c r="A10231">
        <v>10230</v>
      </c>
      <c r="B10231" t="str">
        <v>UBND Ủy ban nhân dân xã Xuân Châu  tỉnh Nam Định</v>
      </c>
      <c r="C10231" t="str">
        <v>-</v>
      </c>
      <c r="D10231" t="str">
        <v>-</v>
      </c>
      <c r="E10231" t="str">
        <v>-</v>
      </c>
      <c r="F10231" t="str">
        <v>-</v>
      </c>
      <c r="G10231" t="str">
        <v>-</v>
      </c>
    </row>
    <row r="10232">
      <c r="A10232">
        <v>10231</v>
      </c>
      <c r="B10232" t="str">
        <v>Công an xã Xuân Hồng  tỉnh Nam Định</v>
      </c>
      <c r="C10232" t="str">
        <v>-</v>
      </c>
      <c r="D10232" t="str">
        <v>-</v>
      </c>
      <c r="E10232" t="str">
        <v/>
      </c>
      <c r="F10232" t="str">
        <v>-</v>
      </c>
      <c r="G10232" t="str">
        <v>-</v>
      </c>
    </row>
    <row r="10233">
      <c r="A10233">
        <v>10232</v>
      </c>
      <c r="B10233" t="str">
        <v>UBND Ủy ban nhân dân xã Xuân Hồng  tỉnh Nam Định</v>
      </c>
      <c r="C10233" t="str">
        <v>-</v>
      </c>
      <c r="D10233" t="str">
        <v>-</v>
      </c>
      <c r="E10233" t="str">
        <v>-</v>
      </c>
      <c r="F10233" t="str">
        <v>-</v>
      </c>
      <c r="G10233" t="str">
        <v>-</v>
      </c>
    </row>
    <row r="10234">
      <c r="A10234">
        <v>10233</v>
      </c>
      <c r="B10234" t="str">
        <v>Công an xã Xuân Thành  tỉnh Nam Định</v>
      </c>
      <c r="C10234" t="str">
        <v>-</v>
      </c>
      <c r="D10234" t="str">
        <v>-</v>
      </c>
      <c r="E10234" t="str">
        <v/>
      </c>
      <c r="F10234" t="str">
        <v>-</v>
      </c>
      <c r="G10234" t="str">
        <v>-</v>
      </c>
    </row>
    <row r="10235">
      <c r="A10235">
        <v>10234</v>
      </c>
      <c r="B10235" t="str">
        <v>UBND Ủy ban nhân dân xã Xuân Thành  tỉnh Nam Định</v>
      </c>
      <c r="C10235" t="str">
        <v>-</v>
      </c>
      <c r="D10235" t="str">
        <v>-</v>
      </c>
      <c r="E10235" t="str">
        <v>-</v>
      </c>
      <c r="F10235" t="str">
        <v>-</v>
      </c>
      <c r="G10235" t="str">
        <v>-</v>
      </c>
    </row>
    <row r="10236">
      <c r="A10236">
        <v>10235</v>
      </c>
      <c r="B10236" t="str">
        <v>Công an xã Xuân Thượng  tỉnh Nam Định</v>
      </c>
      <c r="C10236" t="str">
        <v>-</v>
      </c>
      <c r="D10236" t="str">
        <v>-</v>
      </c>
      <c r="E10236" t="str">
        <v/>
      </c>
      <c r="F10236" t="str">
        <v>-</v>
      </c>
      <c r="G10236" t="str">
        <v>-</v>
      </c>
    </row>
    <row r="10237">
      <c r="A10237">
        <v>10236</v>
      </c>
      <c r="B10237" t="str">
        <v>UBND Ủy ban nhân dân xã Xuân Thượng  tỉnh Nam Định</v>
      </c>
      <c r="C10237" t="str">
        <v>-</v>
      </c>
      <c r="D10237" t="str">
        <v>-</v>
      </c>
      <c r="E10237" t="str">
        <v>-</v>
      </c>
      <c r="F10237" t="str">
        <v>-</v>
      </c>
      <c r="G10237" t="str">
        <v>-</v>
      </c>
    </row>
    <row r="10238">
      <c r="A10238">
        <v>10237</v>
      </c>
      <c r="B10238" t="str">
        <v>Công an xã Xuân Phong  tỉnh Nam Định</v>
      </c>
      <c r="C10238" t="str">
        <v>-</v>
      </c>
      <c r="D10238" t="str">
        <v>-</v>
      </c>
      <c r="E10238" t="str">
        <v/>
      </c>
      <c r="F10238" t="str">
        <v>-</v>
      </c>
      <c r="G10238" t="str">
        <v>-</v>
      </c>
    </row>
    <row r="10239">
      <c r="A10239">
        <v>10238</v>
      </c>
      <c r="B10239" t="str">
        <v>UBND Ủy ban nhân dân xã Xuân Phong  tỉnh Nam Định</v>
      </c>
      <c r="C10239" t="str">
        <v>-</v>
      </c>
      <c r="D10239" t="str">
        <v>-</v>
      </c>
      <c r="E10239" t="str">
        <v>-</v>
      </c>
      <c r="F10239" t="str">
        <v>-</v>
      </c>
      <c r="G10239" t="str">
        <v>-</v>
      </c>
    </row>
    <row r="10240">
      <c r="A10240">
        <v>10239</v>
      </c>
      <c r="B10240" t="str">
        <v>Công an xã Xuân Đài  tỉnh Nam Định</v>
      </c>
      <c r="C10240" t="str">
        <v>-</v>
      </c>
      <c r="D10240" t="str">
        <v>-</v>
      </c>
      <c r="E10240" t="str">
        <v/>
      </c>
      <c r="F10240" t="str">
        <v>-</v>
      </c>
      <c r="G10240" t="str">
        <v>-</v>
      </c>
    </row>
    <row r="10241">
      <c r="A10241">
        <v>10240</v>
      </c>
      <c r="B10241" t="str">
        <v>UBND Ủy ban nhân dân xã Xuân Đài  tỉnh Nam Định</v>
      </c>
      <c r="C10241" t="str">
        <v>-</v>
      </c>
      <c r="D10241" t="str">
        <v>-</v>
      </c>
      <c r="E10241" t="str">
        <v>-</v>
      </c>
      <c r="F10241" t="str">
        <v>-</v>
      </c>
      <c r="G10241" t="str">
        <v>-</v>
      </c>
    </row>
    <row r="10242">
      <c r="A10242">
        <v>10241</v>
      </c>
      <c r="B10242" t="str">
        <v>Công an xã Xuân Tân  tỉnh Nam Định</v>
      </c>
      <c r="C10242" t="str">
        <v>-</v>
      </c>
      <c r="D10242" t="str">
        <v>-</v>
      </c>
      <c r="E10242" t="str">
        <v/>
      </c>
      <c r="F10242" t="str">
        <v>-</v>
      </c>
      <c r="G10242" t="str">
        <v>-</v>
      </c>
    </row>
    <row r="10243">
      <c r="A10243">
        <v>10242</v>
      </c>
      <c r="B10243" t="str">
        <v>UBND Ủy ban nhân dân xã Xuân Tân  tỉnh Nam Định</v>
      </c>
      <c r="C10243" t="str">
        <v>-</v>
      </c>
      <c r="D10243" t="str">
        <v>-</v>
      </c>
      <c r="E10243" t="str">
        <v>-</v>
      </c>
      <c r="F10243" t="str">
        <v>-</v>
      </c>
      <c r="G10243" t="str">
        <v>-</v>
      </c>
    </row>
    <row r="10244">
      <c r="A10244">
        <v>10243</v>
      </c>
      <c r="B10244" t="str">
        <v>Công an xã Xuân Thủy  tỉnh Nam Định</v>
      </c>
      <c r="C10244" t="str">
        <v>-</v>
      </c>
      <c r="D10244" t="str">
        <v>-</v>
      </c>
      <c r="E10244" t="str">
        <v/>
      </c>
      <c r="F10244" t="str">
        <v>-</v>
      </c>
      <c r="G10244" t="str">
        <v>-</v>
      </c>
    </row>
    <row r="10245">
      <c r="A10245">
        <v>10244</v>
      </c>
      <c r="B10245" t="str">
        <v>UBND Ủy ban nhân dân xã Xuân Thủy  tỉnh Nam Định</v>
      </c>
      <c r="C10245" t="str">
        <v>-</v>
      </c>
      <c r="D10245" t="str">
        <v>-</v>
      </c>
      <c r="E10245" t="str">
        <v>-</v>
      </c>
      <c r="F10245" t="str">
        <v>-</v>
      </c>
      <c r="G10245" t="str">
        <v>-</v>
      </c>
    </row>
    <row r="10246">
      <c r="A10246">
        <v>10245</v>
      </c>
      <c r="B10246" t="str">
        <v>Công an xã Xuân Ngọc  tỉnh Nam Định</v>
      </c>
      <c r="C10246" t="str">
        <v>-</v>
      </c>
      <c r="D10246" t="str">
        <v>-</v>
      </c>
      <c r="E10246" t="str">
        <v/>
      </c>
      <c r="F10246" t="str">
        <v>-</v>
      </c>
      <c r="G10246" t="str">
        <v>-</v>
      </c>
    </row>
    <row r="10247">
      <c r="A10247">
        <v>10246</v>
      </c>
      <c r="B10247" t="str">
        <v>UBND Ủy ban nhân dân xã Xuân Ngọc  tỉnh Nam Định</v>
      </c>
      <c r="C10247" t="str">
        <v>-</v>
      </c>
      <c r="D10247" t="str">
        <v>-</v>
      </c>
      <c r="E10247" t="str">
        <v>-</v>
      </c>
      <c r="F10247" t="str">
        <v>-</v>
      </c>
      <c r="G10247" t="str">
        <v>-</v>
      </c>
    </row>
    <row r="10248">
      <c r="A10248">
        <v>10247</v>
      </c>
      <c r="B10248" t="str">
        <v>Công an xã Xuân Bắc  tỉnh Nam Định</v>
      </c>
      <c r="C10248" t="str">
        <v>-</v>
      </c>
      <c r="D10248" t="str">
        <v>-</v>
      </c>
      <c r="E10248" t="str">
        <v/>
      </c>
      <c r="F10248" t="str">
        <v>-</v>
      </c>
      <c r="G10248" t="str">
        <v>-</v>
      </c>
    </row>
    <row r="10249">
      <c r="A10249">
        <v>10248</v>
      </c>
      <c r="B10249" t="str">
        <v>UBND Ủy ban nhân dân xã Xuân Bắc  tỉnh Nam Định</v>
      </c>
      <c r="C10249" t="str">
        <v>-</v>
      </c>
      <c r="D10249" t="str">
        <v>-</v>
      </c>
      <c r="E10249" t="str">
        <v>-</v>
      </c>
      <c r="F10249" t="str">
        <v>-</v>
      </c>
      <c r="G10249" t="str">
        <v>-</v>
      </c>
    </row>
    <row r="10250">
      <c r="A10250">
        <v>10249</v>
      </c>
      <c r="B10250" t="str">
        <v>Công an xã Xuân Phương  tỉnh Nam Định</v>
      </c>
      <c r="C10250" t="str">
        <v>-</v>
      </c>
      <c r="D10250" t="str">
        <v>-</v>
      </c>
      <c r="E10250" t="str">
        <v/>
      </c>
      <c r="F10250" t="str">
        <v>-</v>
      </c>
      <c r="G10250" t="str">
        <v>-</v>
      </c>
    </row>
    <row r="10251">
      <c r="A10251">
        <v>10250</v>
      </c>
      <c r="B10251" t="str">
        <v>UBND Ủy ban nhân dân xã Xuân Phương  tỉnh Nam Định</v>
      </c>
      <c r="C10251" t="str">
        <v>-</v>
      </c>
      <c r="D10251" t="str">
        <v>-</v>
      </c>
      <c r="E10251" t="str">
        <v>-</v>
      </c>
      <c r="F10251" t="str">
        <v>-</v>
      </c>
      <c r="G10251" t="str">
        <v>-</v>
      </c>
    </row>
    <row r="10252">
      <c r="A10252">
        <v>10251</v>
      </c>
      <c r="B10252" t="str">
        <v>Công an xã Thọ Nghiệp  tỉnh Nam Định</v>
      </c>
      <c r="C10252" t="str">
        <v>-</v>
      </c>
      <c r="D10252" t="str">
        <v>-</v>
      </c>
      <c r="E10252" t="str">
        <v/>
      </c>
      <c r="F10252" t="str">
        <v>-</v>
      </c>
      <c r="G10252" t="str">
        <v>-</v>
      </c>
    </row>
    <row r="10253">
      <c r="A10253">
        <v>10252</v>
      </c>
      <c r="B10253" t="str">
        <v>UBND Ủy ban nhân dân xã Thọ Nghiệp  tỉnh Nam Định</v>
      </c>
      <c r="C10253" t="str">
        <v>-</v>
      </c>
      <c r="D10253" t="str">
        <v>-</v>
      </c>
      <c r="E10253" t="str">
        <v>-</v>
      </c>
      <c r="F10253" t="str">
        <v>-</v>
      </c>
      <c r="G10253" t="str">
        <v>-</v>
      </c>
    </row>
    <row r="10254">
      <c r="A10254">
        <v>10253</v>
      </c>
      <c r="B10254" t="str">
        <v>Công an xã Xuân Phú  tỉnh Nam Định</v>
      </c>
      <c r="C10254" t="str">
        <v>-</v>
      </c>
      <c r="D10254" t="str">
        <v>-</v>
      </c>
      <c r="E10254" t="str">
        <v/>
      </c>
      <c r="F10254" t="str">
        <v>-</v>
      </c>
      <c r="G10254" t="str">
        <v>-</v>
      </c>
    </row>
    <row r="10255">
      <c r="A10255">
        <v>10254</v>
      </c>
      <c r="B10255" t="str">
        <v>UBND Ủy ban nhân dân xã Xuân Phú  tỉnh Nam Định</v>
      </c>
      <c r="C10255" t="str">
        <v>-</v>
      </c>
      <c r="D10255" t="str">
        <v>-</v>
      </c>
      <c r="E10255" t="str">
        <v>-</v>
      </c>
      <c r="F10255" t="str">
        <v>-</v>
      </c>
      <c r="G10255" t="str">
        <v>-</v>
      </c>
    </row>
    <row r="10256">
      <c r="A10256">
        <v>10255</v>
      </c>
      <c r="B10256" t="str">
        <v>Công an xã Xuân Trung  tỉnh Nam Định</v>
      </c>
      <c r="C10256" t="str">
        <v>-</v>
      </c>
      <c r="D10256" t="str">
        <v>-</v>
      </c>
      <c r="E10256" t="str">
        <v/>
      </c>
      <c r="F10256" t="str">
        <v>-</v>
      </c>
      <c r="G10256" t="str">
        <v>-</v>
      </c>
    </row>
    <row r="10257">
      <c r="A10257">
        <v>10256</v>
      </c>
      <c r="B10257" t="str">
        <v>UBND Ủy ban nhân dân xã Xuân Trung  tỉnh Nam Định</v>
      </c>
      <c r="C10257" t="str">
        <v>-</v>
      </c>
      <c r="D10257" t="str">
        <v>-</v>
      </c>
      <c r="E10257" t="str">
        <v>-</v>
      </c>
      <c r="F10257" t="str">
        <v>-</v>
      </c>
      <c r="G10257" t="str">
        <v>-</v>
      </c>
    </row>
    <row r="10258">
      <c r="A10258">
        <v>10257</v>
      </c>
      <c r="B10258" t="str">
        <v>Công an xã Xuân Vinh  tỉnh Nam Định</v>
      </c>
      <c r="C10258" t="str">
        <v>-</v>
      </c>
      <c r="D10258" t="str">
        <v>-</v>
      </c>
      <c r="E10258" t="str">
        <v/>
      </c>
      <c r="F10258" t="str">
        <v>-</v>
      </c>
      <c r="G10258" t="str">
        <v>-</v>
      </c>
    </row>
    <row r="10259">
      <c r="A10259">
        <v>10258</v>
      </c>
      <c r="B10259" t="str">
        <v>UBND Ủy ban nhân dân xã Xuân Vinh  tỉnh Nam Định</v>
      </c>
      <c r="C10259" t="str">
        <v>-</v>
      </c>
      <c r="D10259" t="str">
        <v>-</v>
      </c>
      <c r="E10259" t="str">
        <v>-</v>
      </c>
      <c r="F10259" t="str">
        <v>-</v>
      </c>
      <c r="G10259" t="str">
        <v>-</v>
      </c>
    </row>
    <row r="10260">
      <c r="A10260">
        <v>10259</v>
      </c>
      <c r="B10260" t="str">
        <v>Công an xã Xuân Kiên  tỉnh Nam Định</v>
      </c>
      <c r="C10260" t="str">
        <v>-</v>
      </c>
      <c r="D10260" t="str">
        <v>-</v>
      </c>
      <c r="E10260" t="str">
        <v/>
      </c>
      <c r="F10260" t="str">
        <v>-</v>
      </c>
      <c r="G10260" t="str">
        <v>-</v>
      </c>
    </row>
    <row r="10261">
      <c r="A10261">
        <v>10260</v>
      </c>
      <c r="B10261" t="str">
        <v>UBND Ủy ban nhân dân xã Xuân Kiên  tỉnh Nam Định</v>
      </c>
      <c r="C10261" t="str">
        <v>-</v>
      </c>
      <c r="D10261" t="str">
        <v>-</v>
      </c>
      <c r="E10261" t="str">
        <v>-</v>
      </c>
      <c r="F10261" t="str">
        <v>-</v>
      </c>
      <c r="G10261" t="str">
        <v>-</v>
      </c>
    </row>
    <row r="10262">
      <c r="A10262">
        <v>10261</v>
      </c>
      <c r="B10262" t="str">
        <v>Công an xã Xuân Tiến  tỉnh Nam Định</v>
      </c>
      <c r="C10262" t="str">
        <v>-</v>
      </c>
      <c r="D10262" t="str">
        <v>-</v>
      </c>
      <c r="E10262" t="str">
        <v/>
      </c>
      <c r="F10262" t="str">
        <v>-</v>
      </c>
      <c r="G10262" t="str">
        <v>-</v>
      </c>
    </row>
    <row r="10263">
      <c r="A10263">
        <v>10262</v>
      </c>
      <c r="B10263" t="str">
        <v>UBND Ủy ban nhân dân xã Xuân Tiến  tỉnh Nam Định</v>
      </c>
      <c r="C10263" t="str">
        <v>-</v>
      </c>
      <c r="D10263" t="str">
        <v>-</v>
      </c>
      <c r="E10263" t="str">
        <v>-</v>
      </c>
      <c r="F10263" t="str">
        <v>-</v>
      </c>
      <c r="G10263" t="str">
        <v>-</v>
      </c>
    </row>
    <row r="10264">
      <c r="A10264">
        <v>10263</v>
      </c>
      <c r="B10264" t="str">
        <v>Công an xã Xuân Ninh  tỉnh Nam Định</v>
      </c>
      <c r="C10264" t="str">
        <v>-</v>
      </c>
      <c r="D10264" t="str">
        <v>-</v>
      </c>
      <c r="E10264" t="str">
        <v/>
      </c>
      <c r="F10264" t="str">
        <v>-</v>
      </c>
      <c r="G10264" t="str">
        <v>-</v>
      </c>
    </row>
    <row r="10265">
      <c r="A10265">
        <v>10264</v>
      </c>
      <c r="B10265" t="str">
        <v>UBND Ủy ban nhân dân xã Xuân Ninh  tỉnh Nam Định</v>
      </c>
      <c r="C10265" t="str">
        <v>-</v>
      </c>
      <c r="D10265" t="str">
        <v>-</v>
      </c>
      <c r="E10265" t="str">
        <v>-</v>
      </c>
      <c r="F10265" t="str">
        <v>-</v>
      </c>
      <c r="G10265" t="str">
        <v>-</v>
      </c>
    </row>
    <row r="10266">
      <c r="A10266">
        <v>10265</v>
      </c>
      <c r="B10266" t="str">
        <v>Công an xã Xuân Hòa  tỉnh Nam Định</v>
      </c>
      <c r="C10266" t="str">
        <v>-</v>
      </c>
      <c r="D10266" t="str">
        <v>-</v>
      </c>
      <c r="E10266" t="str">
        <v/>
      </c>
      <c r="F10266" t="str">
        <v>-</v>
      </c>
      <c r="G10266" t="str">
        <v>-</v>
      </c>
    </row>
    <row r="10267">
      <c r="A10267">
        <v>10266</v>
      </c>
      <c r="B10267" t="str">
        <v>UBND Ủy ban nhân dân xã Xuân Hòa  tỉnh Nam Định</v>
      </c>
      <c r="C10267" t="str">
        <v>-</v>
      </c>
      <c r="D10267" t="str">
        <v>-</v>
      </c>
      <c r="E10267" t="str">
        <v>-</v>
      </c>
      <c r="F10267" t="str">
        <v>-</v>
      </c>
      <c r="G10267" t="str">
        <v>-</v>
      </c>
    </row>
    <row r="10268">
      <c r="A10268">
        <v>10267</v>
      </c>
      <c r="B10268" t="str">
        <v>Công an thị trấn Ngô Đồng  tỉnh Nam Định</v>
      </c>
      <c r="C10268" t="str">
        <v>-</v>
      </c>
      <c r="D10268" t="str">
        <v>-</v>
      </c>
      <c r="E10268" t="str">
        <v/>
      </c>
      <c r="F10268" t="str">
        <v>-</v>
      </c>
      <c r="G10268" t="str">
        <v>-</v>
      </c>
    </row>
    <row r="10269">
      <c r="A10269">
        <v>10268</v>
      </c>
      <c r="B10269" t="str">
        <v>UBND Ủy ban nhân dân thị trấn Ngô Đồng  tỉnh Nam Định</v>
      </c>
      <c r="C10269" t="str">
        <v>-</v>
      </c>
      <c r="D10269" t="str">
        <v>-</v>
      </c>
      <c r="E10269" t="str">
        <v>-</v>
      </c>
      <c r="F10269" t="str">
        <v>-</v>
      </c>
      <c r="G10269" t="str">
        <v>-</v>
      </c>
    </row>
    <row r="10270">
      <c r="A10270">
        <v>10269</v>
      </c>
      <c r="B10270" t="str">
        <v>Công an thị trấn Quất Lâm  tỉnh Nam Định</v>
      </c>
      <c r="C10270" t="str">
        <v>-</v>
      </c>
      <c r="D10270" t="str">
        <v>-</v>
      </c>
      <c r="E10270" t="str">
        <v/>
      </c>
      <c r="F10270" t="str">
        <v>-</v>
      </c>
      <c r="G10270" t="str">
        <v>-</v>
      </c>
    </row>
    <row r="10271">
      <c r="A10271">
        <v>10270</v>
      </c>
      <c r="B10271" t="str">
        <v>UBND Ủy ban nhân dân thị trấn Quất Lâm  tỉnh Nam Định</v>
      </c>
      <c r="C10271" t="str">
        <v>-</v>
      </c>
      <c r="D10271" t="str">
        <v>-</v>
      </c>
      <c r="E10271" t="str">
        <v>-</v>
      </c>
      <c r="F10271" t="str">
        <v>-</v>
      </c>
      <c r="G10271" t="str">
        <v>-</v>
      </c>
    </row>
    <row r="10272">
      <c r="A10272">
        <v>10271</v>
      </c>
      <c r="B10272" t="str">
        <v>Công an xã Giao Hương  tỉnh Nam Định</v>
      </c>
      <c r="C10272" t="str">
        <v>-</v>
      </c>
      <c r="D10272" t="str">
        <v>-</v>
      </c>
      <c r="E10272" t="str">
        <v/>
      </c>
      <c r="F10272" t="str">
        <v>-</v>
      </c>
      <c r="G10272" t="str">
        <v>-</v>
      </c>
    </row>
    <row r="10273">
      <c r="A10273">
        <v>10272</v>
      </c>
      <c r="B10273" t="str">
        <v>UBND Ủy ban nhân dân xã Giao Hương  tỉnh Nam Định</v>
      </c>
      <c r="C10273" t="str">
        <v>-</v>
      </c>
      <c r="D10273" t="str">
        <v>-</v>
      </c>
      <c r="E10273" t="str">
        <v>-</v>
      </c>
      <c r="F10273" t="str">
        <v>-</v>
      </c>
      <c r="G10273" t="str">
        <v>-</v>
      </c>
    </row>
    <row r="10274">
      <c r="A10274">
        <v>10273</v>
      </c>
      <c r="B10274" t="str">
        <v>Công an xã Hồng Thuận  tỉnh Nam Định</v>
      </c>
      <c r="C10274" t="str">
        <v>-</v>
      </c>
      <c r="D10274" t="str">
        <v>-</v>
      </c>
      <c r="E10274" t="str">
        <v/>
      </c>
      <c r="F10274" t="str">
        <v>-</v>
      </c>
      <c r="G10274" t="str">
        <v>-</v>
      </c>
    </row>
    <row r="10275">
      <c r="A10275">
        <v>10274</v>
      </c>
      <c r="B10275" t="str">
        <v>UBND Ủy ban nhân dân xã Hồng Thuận  tỉnh Nam Định</v>
      </c>
      <c r="C10275" t="str">
        <v>-</v>
      </c>
      <c r="D10275" t="str">
        <v>-</v>
      </c>
      <c r="E10275" t="str">
        <v>-</v>
      </c>
      <c r="F10275" t="str">
        <v>-</v>
      </c>
      <c r="G10275" t="str">
        <v>-</v>
      </c>
    </row>
    <row r="10276">
      <c r="A10276">
        <v>10275</v>
      </c>
      <c r="B10276" t="str">
        <v>Công an xã Giao Thiện  tỉnh Nam Định</v>
      </c>
      <c r="C10276" t="str">
        <v>-</v>
      </c>
      <c r="D10276" t="str">
        <v>-</v>
      </c>
      <c r="E10276" t="str">
        <v/>
      </c>
      <c r="F10276" t="str">
        <v>-</v>
      </c>
      <c r="G10276" t="str">
        <v>-</v>
      </c>
    </row>
    <row r="10277">
      <c r="A10277">
        <v>10276</v>
      </c>
      <c r="B10277" t="str">
        <v>UBND Ủy ban nhân dân xã Giao Thiện  tỉnh Nam Định</v>
      </c>
      <c r="C10277" t="str">
        <v>-</v>
      </c>
      <c r="D10277" t="str">
        <v>-</v>
      </c>
      <c r="E10277" t="str">
        <v>-</v>
      </c>
      <c r="F10277" t="str">
        <v>-</v>
      </c>
      <c r="G10277" t="str">
        <v>-</v>
      </c>
    </row>
    <row r="10278">
      <c r="A10278">
        <v>10277</v>
      </c>
      <c r="B10278" t="str">
        <v>Công an xã Giao Thanh  tỉnh Nam Định</v>
      </c>
      <c r="C10278" t="str">
        <v>-</v>
      </c>
      <c r="D10278" t="str">
        <v>-</v>
      </c>
      <c r="E10278" t="str">
        <v/>
      </c>
      <c r="F10278" t="str">
        <v>-</v>
      </c>
      <c r="G10278" t="str">
        <v>-</v>
      </c>
    </row>
    <row r="10279">
      <c r="A10279">
        <v>10278</v>
      </c>
      <c r="B10279" t="str">
        <v>UBND Ủy ban nhân dân xã Giao Thanh  tỉnh Nam Định</v>
      </c>
      <c r="C10279" t="str">
        <v>-</v>
      </c>
      <c r="D10279" t="str">
        <v>-</v>
      </c>
      <c r="E10279" t="str">
        <v>-</v>
      </c>
      <c r="F10279" t="str">
        <v>-</v>
      </c>
      <c r="G10279" t="str">
        <v>-</v>
      </c>
    </row>
    <row r="10280">
      <c r="A10280">
        <v>10279</v>
      </c>
      <c r="B10280" t="str">
        <v>Công an xã Hoành Sơn  tỉnh Nam Định</v>
      </c>
      <c r="C10280" t="str">
        <v>-</v>
      </c>
      <c r="D10280" t="str">
        <v>-</v>
      </c>
      <c r="E10280" t="str">
        <v/>
      </c>
      <c r="F10280" t="str">
        <v>-</v>
      </c>
      <c r="G10280" t="str">
        <v>-</v>
      </c>
    </row>
    <row r="10281">
      <c r="A10281">
        <v>10280</v>
      </c>
      <c r="B10281" t="str">
        <v>UBND Ủy ban nhân dân xã Hoành Sơn  tỉnh Nam Định</v>
      </c>
      <c r="C10281" t="str">
        <v>-</v>
      </c>
      <c r="D10281" t="str">
        <v>-</v>
      </c>
      <c r="E10281" t="str">
        <v>-</v>
      </c>
      <c r="F10281" t="str">
        <v>-</v>
      </c>
      <c r="G10281" t="str">
        <v>-</v>
      </c>
    </row>
    <row r="10282">
      <c r="A10282">
        <v>10281</v>
      </c>
      <c r="B10282" t="str">
        <v>Công an xã Bình Hòa  tỉnh Nam Định</v>
      </c>
      <c r="C10282" t="str">
        <v>-</v>
      </c>
      <c r="D10282" t="str">
        <v>-</v>
      </c>
      <c r="E10282" t="str">
        <v/>
      </c>
      <c r="F10282" t="str">
        <v>-</v>
      </c>
      <c r="G10282" t="str">
        <v>-</v>
      </c>
    </row>
    <row r="10283">
      <c r="A10283">
        <v>10282</v>
      </c>
      <c r="B10283" t="str">
        <v>UBND Ủy ban nhân dân xã Bình Hòa  tỉnh Nam Định</v>
      </c>
      <c r="C10283" t="str">
        <v>-</v>
      </c>
      <c r="D10283" t="str">
        <v>-</v>
      </c>
      <c r="E10283" t="str">
        <v>-</v>
      </c>
      <c r="F10283" t="str">
        <v>-</v>
      </c>
      <c r="G10283" t="str">
        <v>-</v>
      </c>
    </row>
    <row r="10284">
      <c r="A10284">
        <v>10283</v>
      </c>
      <c r="B10284" t="str">
        <v>Công an xã Giao Tiến  tỉnh Nam Định</v>
      </c>
      <c r="C10284" t="str">
        <v>-</v>
      </c>
      <c r="D10284" t="str">
        <v>-</v>
      </c>
      <c r="E10284" t="str">
        <v/>
      </c>
      <c r="F10284" t="str">
        <v>-</v>
      </c>
      <c r="G10284" t="str">
        <v>-</v>
      </c>
    </row>
    <row r="10285">
      <c r="A10285">
        <v>10284</v>
      </c>
      <c r="B10285" t="str">
        <v>UBND Ủy ban nhân dân xã Giao Tiến  tỉnh Nam Định</v>
      </c>
      <c r="C10285" t="str">
        <v>-</v>
      </c>
      <c r="D10285" t="str">
        <v>-</v>
      </c>
      <c r="E10285" t="str">
        <v>-</v>
      </c>
      <c r="F10285" t="str">
        <v>-</v>
      </c>
      <c r="G10285" t="str">
        <v>-</v>
      </c>
    </row>
    <row r="10286">
      <c r="A10286">
        <v>10285</v>
      </c>
      <c r="B10286" t="str">
        <v>Công an xã Giao Hà  tỉnh Nam Định</v>
      </c>
      <c r="C10286" t="str">
        <v>-</v>
      </c>
      <c r="D10286" t="str">
        <v>-</v>
      </c>
      <c r="E10286" t="str">
        <v/>
      </c>
      <c r="F10286" t="str">
        <v>-</v>
      </c>
      <c r="G10286" t="str">
        <v>-</v>
      </c>
    </row>
    <row r="10287">
      <c r="A10287">
        <v>10286</v>
      </c>
      <c r="B10287" t="str">
        <v>UBND Ủy ban nhân dân xã Giao Hà  tỉnh Nam Định</v>
      </c>
      <c r="C10287" t="str">
        <v>-</v>
      </c>
      <c r="D10287" t="str">
        <v>-</v>
      </c>
      <c r="E10287" t="str">
        <v>-</v>
      </c>
      <c r="F10287" t="str">
        <v>-</v>
      </c>
      <c r="G10287" t="str">
        <v>-</v>
      </c>
    </row>
    <row r="10288">
      <c r="A10288">
        <v>10287</v>
      </c>
      <c r="B10288" t="str">
        <v>Công an xã Giao Nhân  tỉnh Nam Định</v>
      </c>
      <c r="C10288" t="str">
        <v>-</v>
      </c>
      <c r="D10288" t="str">
        <v>-</v>
      </c>
      <c r="E10288" t="str">
        <v/>
      </c>
      <c r="F10288" t="str">
        <v>-</v>
      </c>
      <c r="G10288" t="str">
        <v>-</v>
      </c>
    </row>
    <row r="10289">
      <c r="A10289">
        <v>10288</v>
      </c>
      <c r="B10289" t="str">
        <v>UBND Ủy ban nhân dân xã Giao Nhân  tỉnh Nam Định</v>
      </c>
      <c r="C10289" t="str">
        <v>-</v>
      </c>
      <c r="D10289" t="str">
        <v>-</v>
      </c>
      <c r="E10289" t="str">
        <v>-</v>
      </c>
      <c r="F10289" t="str">
        <v>-</v>
      </c>
      <c r="G10289" t="str">
        <v>-</v>
      </c>
    </row>
    <row r="10290">
      <c r="A10290">
        <v>10289</v>
      </c>
      <c r="B10290" t="str">
        <v>Công an xã Giao An  tỉnh Nam Định</v>
      </c>
      <c r="C10290" t="str">
        <v>-</v>
      </c>
      <c r="D10290" t="str">
        <v>-</v>
      </c>
      <c r="E10290" t="str">
        <v/>
      </c>
      <c r="F10290" t="str">
        <v>-</v>
      </c>
      <c r="G10290" t="str">
        <v>-</v>
      </c>
    </row>
    <row r="10291">
      <c r="A10291">
        <v>10290</v>
      </c>
      <c r="B10291" t="str">
        <v>UBND Ủy ban nhân dân xã Giao An  tỉnh Nam Định</v>
      </c>
      <c r="C10291" t="str">
        <v>-</v>
      </c>
      <c r="D10291" t="str">
        <v>-</v>
      </c>
      <c r="E10291" t="str">
        <v>-</v>
      </c>
      <c r="F10291" t="str">
        <v>-</v>
      </c>
      <c r="G10291" t="str">
        <v>-</v>
      </c>
    </row>
    <row r="10292">
      <c r="A10292">
        <v>10291</v>
      </c>
      <c r="B10292" t="str">
        <v>Công an xã Giao Lạc  tỉnh Nam Định</v>
      </c>
      <c r="C10292" t="str">
        <v>-</v>
      </c>
      <c r="D10292" t="str">
        <v>-</v>
      </c>
      <c r="E10292" t="str">
        <v/>
      </c>
      <c r="F10292" t="str">
        <v>-</v>
      </c>
      <c r="G10292" t="str">
        <v>-</v>
      </c>
    </row>
    <row r="10293">
      <c r="A10293">
        <v>10292</v>
      </c>
      <c r="B10293" t="str">
        <v>UBND Ủy ban nhân dân xã Giao Lạc  tỉnh Nam Định</v>
      </c>
      <c r="C10293" t="str">
        <v>-</v>
      </c>
      <c r="D10293" t="str">
        <v>-</v>
      </c>
      <c r="E10293" t="str">
        <v>-</v>
      </c>
      <c r="F10293" t="str">
        <v>-</v>
      </c>
      <c r="G10293" t="str">
        <v>-</v>
      </c>
    </row>
    <row r="10294">
      <c r="A10294">
        <v>10293</v>
      </c>
      <c r="B10294" t="str">
        <v>Công an xã Giao Châu  tỉnh Nam Định</v>
      </c>
      <c r="C10294" t="str">
        <v>-</v>
      </c>
      <c r="D10294" t="str">
        <v>-</v>
      </c>
      <c r="E10294" t="str">
        <v/>
      </c>
      <c r="F10294" t="str">
        <v>-</v>
      </c>
      <c r="G10294" t="str">
        <v>-</v>
      </c>
    </row>
    <row r="10295">
      <c r="A10295">
        <v>10294</v>
      </c>
      <c r="B10295" t="str">
        <v>UBND Ủy ban nhân dân xã Giao Châu  tỉnh Nam Định</v>
      </c>
      <c r="C10295" t="str">
        <v>-</v>
      </c>
      <c r="D10295" t="str">
        <v>-</v>
      </c>
      <c r="E10295" t="str">
        <v>-</v>
      </c>
      <c r="F10295" t="str">
        <v>-</v>
      </c>
      <c r="G10295" t="str">
        <v>-</v>
      </c>
    </row>
    <row r="10296">
      <c r="A10296">
        <v>10295</v>
      </c>
      <c r="B10296" t="str">
        <v>Công an xã Giao Tân  tỉnh Nam Định</v>
      </c>
      <c r="C10296" t="str">
        <v>-</v>
      </c>
      <c r="D10296" t="str">
        <v>-</v>
      </c>
      <c r="E10296" t="str">
        <v/>
      </c>
      <c r="F10296" t="str">
        <v>-</v>
      </c>
      <c r="G10296" t="str">
        <v>-</v>
      </c>
    </row>
    <row r="10297">
      <c r="A10297">
        <v>10296</v>
      </c>
      <c r="B10297" t="str">
        <v>UBND Ủy ban nhân dân xã Giao Tân  tỉnh Nam Định</v>
      </c>
      <c r="C10297" t="str">
        <v>-</v>
      </c>
      <c r="D10297" t="str">
        <v>-</v>
      </c>
      <c r="E10297" t="str">
        <v>-</v>
      </c>
      <c r="F10297" t="str">
        <v>-</v>
      </c>
      <c r="G10297" t="str">
        <v>-</v>
      </c>
    </row>
    <row r="10298">
      <c r="A10298">
        <v>10297</v>
      </c>
      <c r="B10298" t="str">
        <v>Công an xã Giao Yến  tỉnh Nam Định</v>
      </c>
      <c r="C10298" t="str">
        <v>-</v>
      </c>
      <c r="D10298" t="str">
        <v>-</v>
      </c>
      <c r="E10298" t="str">
        <v/>
      </c>
      <c r="F10298" t="str">
        <v>-</v>
      </c>
      <c r="G10298" t="str">
        <v>-</v>
      </c>
    </row>
    <row r="10299">
      <c r="A10299">
        <v>10298</v>
      </c>
      <c r="B10299" t="str">
        <v>UBND Ủy ban nhân dân xã Giao Yến  tỉnh Nam Định</v>
      </c>
      <c r="C10299" t="str">
        <v>-</v>
      </c>
      <c r="D10299" t="str">
        <v>-</v>
      </c>
      <c r="E10299" t="str">
        <v>-</v>
      </c>
      <c r="F10299" t="str">
        <v>-</v>
      </c>
      <c r="G10299" t="str">
        <v>-</v>
      </c>
    </row>
    <row r="10300">
      <c r="A10300">
        <v>10299</v>
      </c>
      <c r="B10300" t="str">
        <v>Công an xã Giao Xuân  tỉnh Nam Định</v>
      </c>
      <c r="C10300" t="str">
        <v>-</v>
      </c>
      <c r="D10300" t="str">
        <v>-</v>
      </c>
      <c r="E10300" t="str">
        <v/>
      </c>
      <c r="F10300" t="str">
        <v>-</v>
      </c>
      <c r="G10300" t="str">
        <v>-</v>
      </c>
    </row>
    <row r="10301">
      <c r="A10301">
        <v>10300</v>
      </c>
      <c r="B10301" t="str">
        <v>UBND Ủy ban nhân dân xã Giao Xuân  tỉnh Nam Định</v>
      </c>
      <c r="C10301" t="str">
        <v>-</v>
      </c>
      <c r="D10301" t="str">
        <v>-</v>
      </c>
      <c r="E10301" t="str">
        <v>-</v>
      </c>
      <c r="F10301" t="str">
        <v>-</v>
      </c>
      <c r="G10301" t="str">
        <v>-</v>
      </c>
    </row>
    <row r="10302">
      <c r="A10302">
        <v>10301</v>
      </c>
      <c r="B10302" t="str">
        <v>Công an xã Giao Thịnh  tỉnh Nam Định</v>
      </c>
      <c r="C10302" t="str">
        <v>-</v>
      </c>
      <c r="D10302" t="str">
        <v>-</v>
      </c>
      <c r="E10302" t="str">
        <v/>
      </c>
      <c r="F10302" t="str">
        <v>-</v>
      </c>
      <c r="G10302" t="str">
        <v>-</v>
      </c>
    </row>
    <row r="10303">
      <c r="A10303">
        <v>10302</v>
      </c>
      <c r="B10303" t="str">
        <v>UBND Ủy ban nhân dân xã Giao Thịnh  tỉnh Nam Định</v>
      </c>
      <c r="C10303" t="str">
        <v>-</v>
      </c>
      <c r="D10303" t="str">
        <v>-</v>
      </c>
      <c r="E10303" t="str">
        <v>-</v>
      </c>
      <c r="F10303" t="str">
        <v>-</v>
      </c>
      <c r="G10303" t="str">
        <v>-</v>
      </c>
    </row>
    <row r="10304">
      <c r="A10304">
        <v>10303</v>
      </c>
      <c r="B10304" t="str">
        <v>Công an xã Giao Hải  tỉnh Nam Định</v>
      </c>
      <c r="C10304" t="str">
        <v>-</v>
      </c>
      <c r="D10304" t="str">
        <v>-</v>
      </c>
      <c r="E10304" t="str">
        <v/>
      </c>
      <c r="F10304" t="str">
        <v>-</v>
      </c>
      <c r="G10304" t="str">
        <v>-</v>
      </c>
    </row>
    <row r="10305">
      <c r="A10305">
        <v>10304</v>
      </c>
      <c r="B10305" t="str">
        <v>UBND Ủy ban nhân dân xã Giao Hải  tỉnh Nam Định</v>
      </c>
      <c r="C10305" t="str">
        <v>-</v>
      </c>
      <c r="D10305" t="str">
        <v>-</v>
      </c>
      <c r="E10305" t="str">
        <v>-</v>
      </c>
      <c r="F10305" t="str">
        <v>-</v>
      </c>
      <c r="G10305" t="str">
        <v>-</v>
      </c>
    </row>
    <row r="10306">
      <c r="A10306">
        <v>10305</v>
      </c>
      <c r="B10306" t="str">
        <v>Công an xã Bạch Long  tỉnh Nam Định</v>
      </c>
      <c r="C10306" t="str">
        <v>-</v>
      </c>
      <c r="D10306" t="str">
        <v>-</v>
      </c>
      <c r="E10306" t="str">
        <v/>
      </c>
      <c r="F10306" t="str">
        <v>-</v>
      </c>
      <c r="G10306" t="str">
        <v>-</v>
      </c>
    </row>
    <row r="10307">
      <c r="A10307">
        <v>10306</v>
      </c>
      <c r="B10307" t="str">
        <v>UBND Ủy ban nhân dân xã Bạch Long  tỉnh Nam Định</v>
      </c>
      <c r="C10307" t="str">
        <v>-</v>
      </c>
      <c r="D10307" t="str">
        <v>-</v>
      </c>
      <c r="E10307" t="str">
        <v>-</v>
      </c>
      <c r="F10307" t="str">
        <v>-</v>
      </c>
      <c r="G10307" t="str">
        <v>-</v>
      </c>
    </row>
    <row r="10308">
      <c r="A10308">
        <v>10307</v>
      </c>
      <c r="B10308" t="str">
        <v>Công an xã Giao Long  tỉnh Nam Định</v>
      </c>
      <c r="C10308" t="str">
        <v>-</v>
      </c>
      <c r="D10308" t="str">
        <v>-</v>
      </c>
      <c r="E10308" t="str">
        <v/>
      </c>
      <c r="F10308" t="str">
        <v>-</v>
      </c>
      <c r="G10308" t="str">
        <v>-</v>
      </c>
    </row>
    <row r="10309">
      <c r="A10309">
        <v>10308</v>
      </c>
      <c r="B10309" t="str">
        <v>UBND Ủy ban nhân dân xã Giao Long  tỉnh Nam Định</v>
      </c>
      <c r="C10309" t="str">
        <v>-</v>
      </c>
      <c r="D10309" t="str">
        <v>-</v>
      </c>
      <c r="E10309" t="str">
        <v>-</v>
      </c>
      <c r="F10309" t="str">
        <v>-</v>
      </c>
      <c r="G10309" t="str">
        <v>-</v>
      </c>
    </row>
    <row r="10310">
      <c r="A10310">
        <v>10309</v>
      </c>
      <c r="B10310" t="str">
        <v>Công an xã Giao Phong  tỉnh Nam Định</v>
      </c>
      <c r="C10310" t="str">
        <v>-</v>
      </c>
      <c r="D10310" t="str">
        <v>-</v>
      </c>
      <c r="E10310" t="str">
        <v/>
      </c>
      <c r="F10310" t="str">
        <v>-</v>
      </c>
      <c r="G10310" t="str">
        <v>-</v>
      </c>
    </row>
    <row r="10311">
      <c r="A10311">
        <v>10310</v>
      </c>
      <c r="B10311" t="str">
        <v>UBND Ủy ban nhân dân xã Giao Phong  tỉnh Nam Định</v>
      </c>
      <c r="C10311" t="str">
        <v>-</v>
      </c>
      <c r="D10311" t="str">
        <v>-</v>
      </c>
      <c r="E10311" t="str">
        <v>-</v>
      </c>
      <c r="F10311" t="str">
        <v>-</v>
      </c>
      <c r="G10311" t="str">
        <v>-</v>
      </c>
    </row>
    <row r="10312">
      <c r="A10312">
        <v>10311</v>
      </c>
      <c r="B10312" t="str">
        <v>Công an thị trấn Yên Định  tỉnh Nam Định</v>
      </c>
      <c r="C10312" t="str">
        <v>-</v>
      </c>
      <c r="D10312" t="str">
        <v>-</v>
      </c>
      <c r="E10312" t="str">
        <v/>
      </c>
      <c r="F10312" t="str">
        <v>-</v>
      </c>
      <c r="G10312" t="str">
        <v>-</v>
      </c>
    </row>
    <row r="10313">
      <c r="A10313">
        <v>10312</v>
      </c>
      <c r="B10313" t="str">
        <v>UBND Ủy ban nhân dân thị trấn Yên Định  tỉnh Nam Định</v>
      </c>
      <c r="C10313" t="str">
        <v>-</v>
      </c>
      <c r="D10313" t="str">
        <v>-</v>
      </c>
      <c r="E10313" t="str">
        <v>-</v>
      </c>
      <c r="F10313" t="str">
        <v>-</v>
      </c>
      <c r="G10313" t="str">
        <v>-</v>
      </c>
    </row>
    <row r="10314">
      <c r="A10314">
        <v>10313</v>
      </c>
      <c r="B10314" t="str">
        <v>Công an thị trấn Cồn  tỉnh Nam Định</v>
      </c>
      <c r="C10314" t="str">
        <v>-</v>
      </c>
      <c r="D10314" t="str">
        <v>-</v>
      </c>
      <c r="E10314" t="str">
        <v/>
      </c>
      <c r="F10314" t="str">
        <v>-</v>
      </c>
      <c r="G10314" t="str">
        <v>-</v>
      </c>
    </row>
    <row r="10315">
      <c r="A10315">
        <v>10314</v>
      </c>
      <c r="B10315" t="str">
        <v>UBND Ủy ban nhân dân thị trấn Cồn  tỉnh Nam Định</v>
      </c>
      <c r="C10315" t="str">
        <v>-</v>
      </c>
      <c r="D10315" t="str">
        <v>-</v>
      </c>
      <c r="E10315" t="str">
        <v>-</v>
      </c>
      <c r="F10315" t="str">
        <v>-</v>
      </c>
      <c r="G10315" t="str">
        <v>-</v>
      </c>
    </row>
    <row r="10316">
      <c r="A10316">
        <v>10315</v>
      </c>
      <c r="B10316" t="str">
        <v>Công an thị trấn Thịnh Long  tỉnh Nam Định</v>
      </c>
      <c r="C10316" t="str">
        <v>-</v>
      </c>
      <c r="D10316" t="str">
        <v>-</v>
      </c>
      <c r="E10316" t="str">
        <v/>
      </c>
      <c r="F10316" t="str">
        <v>-</v>
      </c>
      <c r="G10316" t="str">
        <v>-</v>
      </c>
    </row>
    <row r="10317">
      <c r="A10317">
        <v>10316</v>
      </c>
      <c r="B10317" t="str">
        <v>UBND Ủy ban nhân dân thị trấn Thịnh Long  tỉnh Nam Định</v>
      </c>
      <c r="C10317" t="str">
        <v>-</v>
      </c>
      <c r="D10317" t="str">
        <v>-</v>
      </c>
      <c r="E10317" t="str">
        <v>-</v>
      </c>
      <c r="F10317" t="str">
        <v>-</v>
      </c>
      <c r="G10317" t="str">
        <v>-</v>
      </c>
    </row>
    <row r="10318">
      <c r="A10318">
        <v>10317</v>
      </c>
      <c r="B10318" t="str">
        <v>Công an xã Hải Nam  tỉnh Nam Định</v>
      </c>
      <c r="C10318" t="str">
        <v>-</v>
      </c>
      <c r="D10318" t="str">
        <v>-</v>
      </c>
      <c r="E10318" t="str">
        <v/>
      </c>
      <c r="F10318" t="str">
        <v>-</v>
      </c>
      <c r="G10318" t="str">
        <v>-</v>
      </c>
    </row>
    <row r="10319">
      <c r="A10319">
        <v>10318</v>
      </c>
      <c r="B10319" t="str">
        <v>UBND Ủy ban nhân dân xã Hải Nam  tỉnh Nam Định</v>
      </c>
      <c r="C10319" t="str">
        <v>-</v>
      </c>
      <c r="D10319" t="str">
        <v>-</v>
      </c>
      <c r="E10319" t="str">
        <v>-</v>
      </c>
      <c r="F10319" t="str">
        <v>-</v>
      </c>
      <c r="G10319" t="str">
        <v>-</v>
      </c>
    </row>
    <row r="10320">
      <c r="A10320">
        <v>10319</v>
      </c>
      <c r="B10320" t="str">
        <v>Công an xã Hải Trung  tỉnh Nam Định</v>
      </c>
      <c r="C10320" t="str">
        <v>-</v>
      </c>
      <c r="D10320" t="str">
        <v>-</v>
      </c>
      <c r="E10320" t="str">
        <v/>
      </c>
      <c r="F10320" t="str">
        <v>-</v>
      </c>
      <c r="G10320" t="str">
        <v>-</v>
      </c>
    </row>
    <row r="10321">
      <c r="A10321">
        <v>10320</v>
      </c>
      <c r="B10321" t="str">
        <v>UBND Ủy ban nhân dân xã Hải Trung  tỉnh Nam Định</v>
      </c>
      <c r="C10321" t="str">
        <v>-</v>
      </c>
      <c r="D10321" t="str">
        <v>-</v>
      </c>
      <c r="E10321" t="str">
        <v>-</v>
      </c>
      <c r="F10321" t="str">
        <v>-</v>
      </c>
      <c r="G10321" t="str">
        <v>-</v>
      </c>
    </row>
    <row r="10322">
      <c r="A10322">
        <v>10321</v>
      </c>
      <c r="B10322" t="str">
        <v>Công an xã Hải Vân  tỉnh Nam Định</v>
      </c>
      <c r="C10322" t="str">
        <v>-</v>
      </c>
      <c r="D10322" t="str">
        <v>-</v>
      </c>
      <c r="E10322" t="str">
        <v/>
      </c>
      <c r="F10322" t="str">
        <v>-</v>
      </c>
      <c r="G10322" t="str">
        <v>-</v>
      </c>
    </row>
    <row r="10323">
      <c r="A10323">
        <v>10322</v>
      </c>
      <c r="B10323" t="str">
        <v>UBND Ủy ban nhân dân xã Hải Vân  tỉnh Nam Định</v>
      </c>
      <c r="C10323" t="str">
        <v>-</v>
      </c>
      <c r="D10323" t="str">
        <v>-</v>
      </c>
      <c r="E10323" t="str">
        <v>-</v>
      </c>
      <c r="F10323" t="str">
        <v>-</v>
      </c>
      <c r="G10323" t="str">
        <v>-</v>
      </c>
    </row>
    <row r="10324">
      <c r="A10324">
        <v>10323</v>
      </c>
      <c r="B10324" t="str">
        <v>Công an xã Hải Minh  tỉnh Nam Định</v>
      </c>
      <c r="C10324" t="str">
        <v>-</v>
      </c>
      <c r="D10324" t="str">
        <v>-</v>
      </c>
      <c r="E10324" t="str">
        <v/>
      </c>
      <c r="F10324" t="str">
        <v>-</v>
      </c>
      <c r="G10324" t="str">
        <v>-</v>
      </c>
    </row>
    <row r="10325">
      <c r="A10325">
        <v>10324</v>
      </c>
      <c r="B10325" t="str">
        <v>UBND Ủy ban nhân dân xã Hải Minh  tỉnh Nam Định</v>
      </c>
      <c r="C10325" t="str">
        <v>-</v>
      </c>
      <c r="D10325" t="str">
        <v>-</v>
      </c>
      <c r="E10325" t="str">
        <v>-</v>
      </c>
      <c r="F10325" t="str">
        <v>-</v>
      </c>
      <c r="G10325" t="str">
        <v>-</v>
      </c>
    </row>
    <row r="10326">
      <c r="A10326">
        <v>10325</v>
      </c>
      <c r="B10326" t="str">
        <v>Công an xã Hải Anh  tỉnh Nam Định</v>
      </c>
      <c r="C10326" t="str">
        <v>-</v>
      </c>
      <c r="D10326" t="str">
        <v>-</v>
      </c>
      <c r="E10326" t="str">
        <v/>
      </c>
      <c r="F10326" t="str">
        <v>-</v>
      </c>
      <c r="G10326" t="str">
        <v>-</v>
      </c>
    </row>
    <row r="10327">
      <c r="A10327">
        <v>10326</v>
      </c>
      <c r="B10327" t="str">
        <v>UBND Ủy ban nhân dân xã Hải Anh  tỉnh Nam Định</v>
      </c>
      <c r="C10327" t="str">
        <v>-</v>
      </c>
      <c r="D10327" t="str">
        <v>-</v>
      </c>
      <c r="E10327" t="str">
        <v>-</v>
      </c>
      <c r="F10327" t="str">
        <v>-</v>
      </c>
      <c r="G10327" t="str">
        <v>-</v>
      </c>
    </row>
    <row r="10328">
      <c r="A10328">
        <v>10327</v>
      </c>
      <c r="B10328" t="str">
        <v>Công an xã Hải Hưng  tỉnh Nam Định</v>
      </c>
      <c r="C10328" t="str">
        <v>-</v>
      </c>
      <c r="D10328" t="str">
        <v>-</v>
      </c>
      <c r="E10328" t="str">
        <v/>
      </c>
      <c r="F10328" t="str">
        <v>-</v>
      </c>
      <c r="G10328" t="str">
        <v>-</v>
      </c>
    </row>
    <row r="10329">
      <c r="A10329">
        <v>10328</v>
      </c>
      <c r="B10329" t="str">
        <v>UBND Ủy ban nhân dân xã Hải Hưng  tỉnh Nam Định</v>
      </c>
      <c r="C10329" t="str">
        <v>-</v>
      </c>
      <c r="D10329" t="str">
        <v>-</v>
      </c>
      <c r="E10329" t="str">
        <v>-</v>
      </c>
      <c r="F10329" t="str">
        <v>-</v>
      </c>
      <c r="G10329" t="str">
        <v>-</v>
      </c>
    </row>
    <row r="10330">
      <c r="A10330">
        <v>10329</v>
      </c>
      <c r="B10330" t="str">
        <v>Công an xã Hải Bắc  tỉnh Nam Định</v>
      </c>
      <c r="C10330" t="str">
        <v>-</v>
      </c>
      <c r="D10330" t="str">
        <v>-</v>
      </c>
      <c r="E10330" t="str">
        <v/>
      </c>
      <c r="F10330" t="str">
        <v>-</v>
      </c>
      <c r="G10330" t="str">
        <v>-</v>
      </c>
    </row>
    <row r="10331">
      <c r="A10331">
        <v>10330</v>
      </c>
      <c r="B10331" t="str">
        <v>UBND Ủy ban nhân dân xã Hải Bắc  tỉnh Nam Định</v>
      </c>
      <c r="C10331" t="str">
        <v>-</v>
      </c>
      <c r="D10331" t="str">
        <v>-</v>
      </c>
      <c r="E10331" t="str">
        <v>-</v>
      </c>
      <c r="F10331" t="str">
        <v>-</v>
      </c>
      <c r="G10331" t="str">
        <v>-</v>
      </c>
    </row>
    <row r="10332">
      <c r="A10332">
        <v>10331</v>
      </c>
      <c r="B10332" t="str">
        <v>Công an xã Hải Phúc  tỉnh Nam Định</v>
      </c>
      <c r="C10332" t="str">
        <v>-</v>
      </c>
      <c r="D10332" t="str">
        <v>-</v>
      </c>
      <c r="E10332" t="str">
        <v/>
      </c>
      <c r="F10332" t="str">
        <v>-</v>
      </c>
      <c r="G10332" t="str">
        <v>-</v>
      </c>
    </row>
    <row r="10333">
      <c r="A10333">
        <v>10332</v>
      </c>
      <c r="B10333" t="str">
        <v>UBND Ủy ban nhân dân xã Hải Phúc  tỉnh Nam Định</v>
      </c>
      <c r="C10333" t="str">
        <v>-</v>
      </c>
      <c r="D10333" t="str">
        <v>-</v>
      </c>
      <c r="E10333" t="str">
        <v>-</v>
      </c>
      <c r="F10333" t="str">
        <v>-</v>
      </c>
      <c r="G10333" t="str">
        <v>-</v>
      </c>
    </row>
    <row r="10334">
      <c r="A10334">
        <v>10333</v>
      </c>
      <c r="B10334" t="str">
        <v>Công an xã Hải Thanh  tỉnh Nam Định</v>
      </c>
      <c r="C10334" t="str">
        <v>-</v>
      </c>
      <c r="D10334" t="str">
        <v>-</v>
      </c>
      <c r="E10334" t="str">
        <v/>
      </c>
      <c r="F10334" t="str">
        <v>-</v>
      </c>
      <c r="G10334" t="str">
        <v>-</v>
      </c>
    </row>
    <row r="10335">
      <c r="A10335">
        <v>10334</v>
      </c>
      <c r="B10335" t="str">
        <v>UBND Ủy ban nhân dân xã Hải Thanh  tỉnh Nam Định</v>
      </c>
      <c r="C10335" t="str">
        <v>-</v>
      </c>
      <c r="D10335" t="str">
        <v>-</v>
      </c>
      <c r="E10335" t="str">
        <v>-</v>
      </c>
      <c r="F10335" t="str">
        <v>-</v>
      </c>
      <c r="G10335" t="str">
        <v>-</v>
      </c>
    </row>
    <row r="10336">
      <c r="A10336">
        <v>10335</v>
      </c>
      <c r="B10336" t="str">
        <v>Công an xã Hải Hà  tỉnh Nam Định</v>
      </c>
      <c r="C10336" t="str">
        <v>-</v>
      </c>
      <c r="D10336" t="str">
        <v>-</v>
      </c>
      <c r="E10336" t="str">
        <v/>
      </c>
      <c r="F10336" t="str">
        <v>-</v>
      </c>
      <c r="G10336" t="str">
        <v>-</v>
      </c>
    </row>
    <row r="10337">
      <c r="A10337">
        <v>10336</v>
      </c>
      <c r="B10337" t="str">
        <v>UBND Ủy ban nhân dân xã Hải Hà  tỉnh Nam Định</v>
      </c>
      <c r="C10337" t="str">
        <v>-</v>
      </c>
      <c r="D10337" t="str">
        <v>-</v>
      </c>
      <c r="E10337" t="str">
        <v>-</v>
      </c>
      <c r="F10337" t="str">
        <v>-</v>
      </c>
      <c r="G10337" t="str">
        <v>-</v>
      </c>
    </row>
    <row r="10338">
      <c r="A10338">
        <v>10337</v>
      </c>
      <c r="B10338" t="str">
        <v>Công an xã Hải Long  tỉnh Nam Định</v>
      </c>
      <c r="C10338" t="str">
        <v>-</v>
      </c>
      <c r="D10338" t="str">
        <v>-</v>
      </c>
      <c r="E10338" t="str">
        <v/>
      </c>
      <c r="F10338" t="str">
        <v>-</v>
      </c>
      <c r="G10338" t="str">
        <v>-</v>
      </c>
    </row>
    <row r="10339">
      <c r="A10339">
        <v>10338</v>
      </c>
      <c r="B10339" t="str">
        <v>UBND Ủy ban nhân dân xã Hải Long  tỉnh Nam Định</v>
      </c>
      <c r="C10339" t="str">
        <v>-</v>
      </c>
      <c r="D10339" t="str">
        <v>-</v>
      </c>
      <c r="E10339" t="str">
        <v>-</v>
      </c>
      <c r="F10339" t="str">
        <v>-</v>
      </c>
      <c r="G10339" t="str">
        <v>-</v>
      </c>
    </row>
    <row r="10340">
      <c r="A10340">
        <v>10339</v>
      </c>
      <c r="B10340" t="str">
        <v>Công an xã Hải Phương  tỉnh Nam Định</v>
      </c>
      <c r="C10340" t="str">
        <v>-</v>
      </c>
      <c r="D10340" t="str">
        <v>-</v>
      </c>
      <c r="E10340" t="str">
        <v/>
      </c>
      <c r="F10340" t="str">
        <v>-</v>
      </c>
      <c r="G10340" t="str">
        <v>-</v>
      </c>
    </row>
    <row r="10341">
      <c r="A10341">
        <v>10340</v>
      </c>
      <c r="B10341" t="str">
        <v>UBND Ủy ban nhân dân xã Hải Phương  tỉnh Nam Định</v>
      </c>
      <c r="C10341" t="str">
        <v>-</v>
      </c>
      <c r="D10341" t="str">
        <v>-</v>
      </c>
      <c r="E10341" t="str">
        <v>-</v>
      </c>
      <c r="F10341" t="str">
        <v>-</v>
      </c>
      <c r="G10341" t="str">
        <v>-</v>
      </c>
    </row>
    <row r="10342">
      <c r="A10342">
        <v>10341</v>
      </c>
      <c r="B10342" t="str">
        <v>Công an xã Hải Đường  tỉnh Nam Định</v>
      </c>
      <c r="C10342" t="str">
        <v>-</v>
      </c>
      <c r="D10342" t="str">
        <v>-</v>
      </c>
      <c r="E10342" t="str">
        <v/>
      </c>
      <c r="F10342" t="str">
        <v>-</v>
      </c>
      <c r="G10342" t="str">
        <v>-</v>
      </c>
    </row>
    <row r="10343">
      <c r="A10343">
        <v>10342</v>
      </c>
      <c r="B10343" t="str">
        <v>UBND Ủy ban nhân dân xã Hải Đường  tỉnh Nam Định</v>
      </c>
      <c r="C10343" t="str">
        <v>-</v>
      </c>
      <c r="D10343" t="str">
        <v>-</v>
      </c>
      <c r="E10343" t="str">
        <v>-</v>
      </c>
      <c r="F10343" t="str">
        <v>-</v>
      </c>
      <c r="G10343" t="str">
        <v>-</v>
      </c>
    </row>
    <row r="10344">
      <c r="A10344">
        <v>10343</v>
      </c>
      <c r="B10344" t="str">
        <v>Công an xã Hải Lộc  tỉnh Nam Định</v>
      </c>
      <c r="C10344" t="str">
        <v>-</v>
      </c>
      <c r="D10344" t="str">
        <v>-</v>
      </c>
      <c r="E10344" t="str">
        <v/>
      </c>
      <c r="F10344" t="str">
        <v>-</v>
      </c>
      <c r="G10344" t="str">
        <v>-</v>
      </c>
    </row>
    <row r="10345">
      <c r="A10345">
        <v>10344</v>
      </c>
      <c r="B10345" t="str">
        <v>UBND Ủy ban nhân dân xã Hải Lộc  tỉnh Nam Định</v>
      </c>
      <c r="C10345" t="str">
        <v>-</v>
      </c>
      <c r="D10345" t="str">
        <v>-</v>
      </c>
      <c r="E10345" t="str">
        <v>-</v>
      </c>
      <c r="F10345" t="str">
        <v>-</v>
      </c>
      <c r="G10345" t="str">
        <v>-</v>
      </c>
    </row>
    <row r="10346">
      <c r="A10346">
        <v>10345</v>
      </c>
      <c r="B10346" t="str">
        <v>Công an xã Hải Quang  tỉnh Nam Định</v>
      </c>
      <c r="C10346" t="str">
        <v>-</v>
      </c>
      <c r="D10346" t="str">
        <v>-</v>
      </c>
      <c r="E10346" t="str">
        <v/>
      </c>
      <c r="F10346" t="str">
        <v>-</v>
      </c>
      <c r="G10346" t="str">
        <v>-</v>
      </c>
    </row>
    <row r="10347">
      <c r="A10347">
        <v>10346</v>
      </c>
      <c r="B10347" t="str">
        <v>UBND Ủy ban nhân dân xã Hải Quang  tỉnh Nam Định</v>
      </c>
      <c r="C10347" t="str">
        <v>-</v>
      </c>
      <c r="D10347" t="str">
        <v>-</v>
      </c>
      <c r="E10347" t="str">
        <v>-</v>
      </c>
      <c r="F10347" t="str">
        <v>-</v>
      </c>
      <c r="G10347" t="str">
        <v>-</v>
      </c>
    </row>
    <row r="10348">
      <c r="A10348">
        <v>10347</v>
      </c>
      <c r="B10348" t="str">
        <v>Công an xã Hải Đông  tỉnh Nam Định</v>
      </c>
      <c r="C10348" t="str">
        <v>-</v>
      </c>
      <c r="D10348" t="str">
        <v>-</v>
      </c>
      <c r="E10348" t="str">
        <v/>
      </c>
      <c r="F10348" t="str">
        <v>-</v>
      </c>
      <c r="G10348" t="str">
        <v>-</v>
      </c>
    </row>
    <row r="10349">
      <c r="A10349">
        <v>10348</v>
      </c>
      <c r="B10349" t="str">
        <v>UBND Ủy ban nhân dân xã Hải Đông  tỉnh Nam Định</v>
      </c>
      <c r="C10349" t="str">
        <v>-</v>
      </c>
      <c r="D10349" t="str">
        <v>-</v>
      </c>
      <c r="E10349" t="str">
        <v>-</v>
      </c>
      <c r="F10349" t="str">
        <v>-</v>
      </c>
      <c r="G10349" t="str">
        <v>-</v>
      </c>
    </row>
    <row r="10350">
      <c r="A10350">
        <v>10349</v>
      </c>
      <c r="B10350" t="str">
        <v>Công an xã Hải Sơn  tỉnh Nam Định</v>
      </c>
      <c r="C10350" t="str">
        <v>-</v>
      </c>
      <c r="D10350" t="str">
        <v>-</v>
      </c>
      <c r="E10350" t="str">
        <v/>
      </c>
      <c r="F10350" t="str">
        <v>-</v>
      </c>
      <c r="G10350" t="str">
        <v>-</v>
      </c>
    </row>
    <row r="10351">
      <c r="A10351">
        <v>10350</v>
      </c>
      <c r="B10351" t="str">
        <v>UBND Ủy ban nhân dân xã Hải Sơn  tỉnh Nam Định</v>
      </c>
      <c r="C10351" t="str">
        <v>-</v>
      </c>
      <c r="D10351" t="str">
        <v>-</v>
      </c>
      <c r="E10351" t="str">
        <v>-</v>
      </c>
      <c r="F10351" t="str">
        <v>-</v>
      </c>
      <c r="G10351" t="str">
        <v>-</v>
      </c>
    </row>
    <row r="10352">
      <c r="A10352">
        <v>10351</v>
      </c>
      <c r="B10352" t="str">
        <v>Công an xã Hải Tân  tỉnh Nam Định</v>
      </c>
      <c r="C10352" t="str">
        <v>-</v>
      </c>
      <c r="D10352" t="str">
        <v>-</v>
      </c>
      <c r="E10352" t="str">
        <v/>
      </c>
      <c r="F10352" t="str">
        <v>-</v>
      </c>
      <c r="G10352" t="str">
        <v>-</v>
      </c>
    </row>
    <row r="10353">
      <c r="A10353">
        <v>10352</v>
      </c>
      <c r="B10353" t="str">
        <v>UBND Ủy ban nhân dân xã Hải Tân  tỉnh Nam Định</v>
      </c>
      <c r="C10353" t="str">
        <v>-</v>
      </c>
      <c r="D10353" t="str">
        <v>-</v>
      </c>
      <c r="E10353" t="str">
        <v>-</v>
      </c>
      <c r="F10353" t="str">
        <v>-</v>
      </c>
      <c r="G10353" t="str">
        <v>-</v>
      </c>
    </row>
    <row r="10354">
      <c r="A10354">
        <v>10353</v>
      </c>
      <c r="B10354" t="str">
        <v>Công an xã Hải Toàn  tỉnh Nam Định</v>
      </c>
      <c r="C10354" t="str">
        <v>-</v>
      </c>
      <c r="D10354" t="str">
        <v>-</v>
      </c>
      <c r="E10354" t="str">
        <v/>
      </c>
      <c r="F10354" t="str">
        <v>-</v>
      </c>
      <c r="G10354" t="str">
        <v>-</v>
      </c>
    </row>
    <row r="10355">
      <c r="A10355">
        <v>10354</v>
      </c>
      <c r="B10355" t="str">
        <v>UBND Ủy ban nhân dân xã Hải Toàn  tỉnh Nam Định</v>
      </c>
      <c r="C10355" t="str">
        <v>-</v>
      </c>
      <c r="D10355" t="str">
        <v>-</v>
      </c>
      <c r="E10355" t="str">
        <v>-</v>
      </c>
      <c r="F10355" t="str">
        <v>-</v>
      </c>
      <c r="G10355" t="str">
        <v>-</v>
      </c>
    </row>
    <row r="10356">
      <c r="A10356">
        <v>10355</v>
      </c>
      <c r="B10356" t="str">
        <v>Công an xã Hải Phong  tỉnh Nam Định</v>
      </c>
      <c r="C10356" t="str">
        <v>-</v>
      </c>
      <c r="D10356" t="str">
        <v>-</v>
      </c>
      <c r="E10356" t="str">
        <v/>
      </c>
      <c r="F10356" t="str">
        <v>-</v>
      </c>
      <c r="G10356" t="str">
        <v>-</v>
      </c>
    </row>
    <row r="10357">
      <c r="A10357">
        <v>10356</v>
      </c>
      <c r="B10357" t="str">
        <v>UBND Ủy ban nhân dân xã Hải Phong  tỉnh Nam Định</v>
      </c>
      <c r="C10357" t="str">
        <v>-</v>
      </c>
      <c r="D10357" t="str">
        <v>-</v>
      </c>
      <c r="E10357" t="str">
        <v>-</v>
      </c>
      <c r="F10357" t="str">
        <v>-</v>
      </c>
      <c r="G10357" t="str">
        <v>-</v>
      </c>
    </row>
    <row r="10358">
      <c r="A10358">
        <v>10357</v>
      </c>
      <c r="B10358" t="str">
        <v>Công an xã Hải An  tỉnh Nam Định</v>
      </c>
      <c r="C10358" t="str">
        <v>-</v>
      </c>
      <c r="D10358" t="str">
        <v>-</v>
      </c>
      <c r="E10358" t="str">
        <v/>
      </c>
      <c r="F10358" t="str">
        <v>-</v>
      </c>
      <c r="G10358" t="str">
        <v>-</v>
      </c>
    </row>
    <row r="10359">
      <c r="A10359">
        <v>10358</v>
      </c>
      <c r="B10359" t="str">
        <v>UBND Ủy ban nhân dân xã Hải An  tỉnh Nam Định</v>
      </c>
      <c r="C10359" t="str">
        <v>-</v>
      </c>
      <c r="D10359" t="str">
        <v>-</v>
      </c>
      <c r="E10359" t="str">
        <v>-</v>
      </c>
      <c r="F10359" t="str">
        <v>-</v>
      </c>
      <c r="G10359" t="str">
        <v>-</v>
      </c>
    </row>
    <row r="10360">
      <c r="A10360">
        <v>10359</v>
      </c>
      <c r="B10360" t="str">
        <v>Công an xã Hải Tây  tỉnh Nam Định</v>
      </c>
      <c r="C10360" t="str">
        <v>-</v>
      </c>
      <c r="D10360" t="str">
        <v>-</v>
      </c>
      <c r="E10360" t="str">
        <v/>
      </c>
      <c r="F10360" t="str">
        <v>-</v>
      </c>
      <c r="G10360" t="str">
        <v>-</v>
      </c>
    </row>
    <row r="10361">
      <c r="A10361">
        <v>10360</v>
      </c>
      <c r="B10361" t="str">
        <v>UBND Ủy ban nhân dân xã Hải Tây  tỉnh Nam Định</v>
      </c>
      <c r="C10361" t="str">
        <v>-</v>
      </c>
      <c r="D10361" t="str">
        <v>-</v>
      </c>
      <c r="E10361" t="str">
        <v>-</v>
      </c>
      <c r="F10361" t="str">
        <v>-</v>
      </c>
      <c r="G10361" t="str">
        <v>-</v>
      </c>
    </row>
    <row r="10362">
      <c r="A10362">
        <v>10361</v>
      </c>
      <c r="B10362" t="str">
        <v>Công an xã Hải Lý  tỉnh Nam Định</v>
      </c>
      <c r="C10362" t="str">
        <v>-</v>
      </c>
      <c r="D10362" t="str">
        <v>-</v>
      </c>
      <c r="E10362" t="str">
        <v/>
      </c>
      <c r="F10362" t="str">
        <v>-</v>
      </c>
      <c r="G10362" t="str">
        <v>-</v>
      </c>
    </row>
    <row r="10363">
      <c r="A10363">
        <v>10362</v>
      </c>
      <c r="B10363" t="str">
        <v>UBND Ủy ban nhân dân xã Hải Lý  tỉnh Nam Định</v>
      </c>
      <c r="C10363" t="str">
        <v>-</v>
      </c>
      <c r="D10363" t="str">
        <v>-</v>
      </c>
      <c r="E10363" t="str">
        <v>-</v>
      </c>
      <c r="F10363" t="str">
        <v>-</v>
      </c>
      <c r="G10363" t="str">
        <v>-</v>
      </c>
    </row>
    <row r="10364">
      <c r="A10364">
        <v>10363</v>
      </c>
      <c r="B10364" t="str">
        <v>Công an xã Hải Phú  tỉnh Nam Định</v>
      </c>
      <c r="C10364" t="str">
        <v>-</v>
      </c>
      <c r="D10364" t="str">
        <v>-</v>
      </c>
      <c r="E10364" t="str">
        <v/>
      </c>
      <c r="F10364" t="str">
        <v>-</v>
      </c>
      <c r="G10364" t="str">
        <v>-</v>
      </c>
    </row>
    <row r="10365">
      <c r="A10365">
        <v>10364</v>
      </c>
      <c r="B10365" t="str">
        <v>UBND Ủy ban nhân dân xã Hải Phú  tỉnh Nam Định</v>
      </c>
      <c r="C10365" t="str">
        <v>-</v>
      </c>
      <c r="D10365" t="str">
        <v>-</v>
      </c>
      <c r="E10365" t="str">
        <v>-</v>
      </c>
      <c r="F10365" t="str">
        <v>-</v>
      </c>
      <c r="G10365" t="str">
        <v>-</v>
      </c>
    </row>
    <row r="10366">
      <c r="A10366">
        <v>10365</v>
      </c>
      <c r="B10366" t="str">
        <v>Công an xã Hải Giang  tỉnh Nam Định</v>
      </c>
      <c r="C10366" t="str">
        <v>-</v>
      </c>
      <c r="D10366" t="str">
        <v>-</v>
      </c>
      <c r="E10366" t="str">
        <v/>
      </c>
      <c r="F10366" t="str">
        <v>-</v>
      </c>
      <c r="G10366" t="str">
        <v>-</v>
      </c>
    </row>
    <row r="10367">
      <c r="A10367">
        <v>10366</v>
      </c>
      <c r="B10367" t="str">
        <v>UBND Ủy ban nhân dân xã Hải Giang  tỉnh Nam Định</v>
      </c>
      <c r="C10367" t="str">
        <v>-</v>
      </c>
      <c r="D10367" t="str">
        <v>-</v>
      </c>
      <c r="E10367" t="str">
        <v>-</v>
      </c>
      <c r="F10367" t="str">
        <v>-</v>
      </c>
      <c r="G10367" t="str">
        <v>-</v>
      </c>
    </row>
    <row r="10368">
      <c r="A10368">
        <v>10367</v>
      </c>
      <c r="B10368" t="str">
        <v>Công an xã Hải Cường  tỉnh Nam Định</v>
      </c>
      <c r="C10368" t="str">
        <v>-</v>
      </c>
      <c r="D10368" t="str">
        <v>-</v>
      </c>
      <c r="E10368" t="str">
        <v/>
      </c>
      <c r="F10368" t="str">
        <v>-</v>
      </c>
      <c r="G10368" t="str">
        <v>-</v>
      </c>
    </row>
    <row r="10369">
      <c r="A10369">
        <v>10368</v>
      </c>
      <c r="B10369" t="str">
        <v>UBND Ủy ban nhân dân xã Hải Cường  tỉnh Nam Định</v>
      </c>
      <c r="C10369" t="str">
        <v>-</v>
      </c>
      <c r="D10369" t="str">
        <v>-</v>
      </c>
      <c r="E10369" t="str">
        <v>-</v>
      </c>
      <c r="F10369" t="str">
        <v>-</v>
      </c>
      <c r="G10369" t="str">
        <v>-</v>
      </c>
    </row>
    <row r="10370">
      <c r="A10370">
        <v>10369</v>
      </c>
      <c r="B10370" t="str">
        <v>Công an xã Hải Ninh  tỉnh Nam Định</v>
      </c>
      <c r="C10370" t="str">
        <v>-</v>
      </c>
      <c r="D10370" t="str">
        <v>-</v>
      </c>
      <c r="E10370" t="str">
        <v/>
      </c>
      <c r="F10370" t="str">
        <v>-</v>
      </c>
      <c r="G10370" t="str">
        <v>-</v>
      </c>
    </row>
    <row r="10371">
      <c r="A10371">
        <v>10370</v>
      </c>
      <c r="B10371" t="str">
        <v>UBND Ủy ban nhân dân xã Hải Ninh  tỉnh Nam Định</v>
      </c>
      <c r="C10371" t="str">
        <v>-</v>
      </c>
      <c r="D10371" t="str">
        <v>-</v>
      </c>
      <c r="E10371" t="str">
        <v>-</v>
      </c>
      <c r="F10371" t="str">
        <v>-</v>
      </c>
      <c r="G10371" t="str">
        <v>-</v>
      </c>
    </row>
    <row r="10372">
      <c r="A10372">
        <v>10371</v>
      </c>
      <c r="B10372" t="str">
        <v>Công an xã Hải Chính  tỉnh Nam Định</v>
      </c>
      <c r="C10372" t="str">
        <v>-</v>
      </c>
      <c r="D10372" t="str">
        <v>-</v>
      </c>
      <c r="E10372" t="str">
        <v/>
      </c>
      <c r="F10372" t="str">
        <v>-</v>
      </c>
      <c r="G10372" t="str">
        <v>-</v>
      </c>
    </row>
    <row r="10373">
      <c r="A10373">
        <v>10372</v>
      </c>
      <c r="B10373" t="str">
        <v>UBND Ủy ban nhân dân xã Hải Chính  tỉnh Nam Định</v>
      </c>
      <c r="C10373" t="str">
        <v>-</v>
      </c>
      <c r="D10373" t="str">
        <v>-</v>
      </c>
      <c r="E10373" t="str">
        <v>-</v>
      </c>
      <c r="F10373" t="str">
        <v>-</v>
      </c>
      <c r="G10373" t="str">
        <v>-</v>
      </c>
    </row>
    <row r="10374">
      <c r="A10374">
        <v>10373</v>
      </c>
      <c r="B10374" t="str">
        <v>Công an xã Hải Xuân  tỉnh Nam Định</v>
      </c>
      <c r="C10374" t="str">
        <v>-</v>
      </c>
      <c r="D10374" t="str">
        <v>-</v>
      </c>
      <c r="E10374" t="str">
        <v/>
      </c>
      <c r="F10374" t="str">
        <v>-</v>
      </c>
      <c r="G10374" t="str">
        <v>-</v>
      </c>
    </row>
    <row r="10375">
      <c r="A10375">
        <v>10374</v>
      </c>
      <c r="B10375" t="str">
        <v>UBND Ủy ban nhân dân xã Hải Xuân  tỉnh Nam Định</v>
      </c>
      <c r="C10375" t="str">
        <v>-</v>
      </c>
      <c r="D10375" t="str">
        <v>-</v>
      </c>
      <c r="E10375" t="str">
        <v>-</v>
      </c>
      <c r="F10375" t="str">
        <v>-</v>
      </c>
      <c r="G10375" t="str">
        <v>-</v>
      </c>
    </row>
    <row r="10376">
      <c r="A10376">
        <v>10375</v>
      </c>
      <c r="B10376" t="str">
        <v>Công an xã Hải Châu  tỉnh Nam Định</v>
      </c>
      <c r="C10376" t="str">
        <v>-</v>
      </c>
      <c r="D10376" t="str">
        <v>-</v>
      </c>
      <c r="E10376" t="str">
        <v/>
      </c>
      <c r="F10376" t="str">
        <v>-</v>
      </c>
      <c r="G10376" t="str">
        <v>-</v>
      </c>
    </row>
    <row r="10377">
      <c r="A10377">
        <v>10376</v>
      </c>
      <c r="B10377" t="str">
        <v>UBND Ủy ban nhân dân xã Hải Châu  tỉnh Nam Định</v>
      </c>
      <c r="C10377" t="str">
        <v>-</v>
      </c>
      <c r="D10377" t="str">
        <v>-</v>
      </c>
      <c r="E10377" t="str">
        <v>-</v>
      </c>
      <c r="F10377" t="str">
        <v>-</v>
      </c>
      <c r="G10377" t="str">
        <v>-</v>
      </c>
    </row>
    <row r="10378">
      <c r="A10378">
        <v>10377</v>
      </c>
      <c r="B10378" t="str">
        <v>Công an xã Hải Triều  tỉnh Nam Định</v>
      </c>
      <c r="C10378" t="str">
        <v>-</v>
      </c>
      <c r="D10378" t="str">
        <v>-</v>
      </c>
      <c r="E10378" t="str">
        <v/>
      </c>
      <c r="F10378" t="str">
        <v>-</v>
      </c>
      <c r="G10378" t="str">
        <v>-</v>
      </c>
    </row>
    <row r="10379">
      <c r="A10379">
        <v>10378</v>
      </c>
      <c r="B10379" t="str">
        <v>UBND Ủy ban nhân dân xã Hải Triều  tỉnh Nam Định</v>
      </c>
      <c r="C10379" t="str">
        <v>-</v>
      </c>
      <c r="D10379" t="str">
        <v>-</v>
      </c>
      <c r="E10379" t="str">
        <v>-</v>
      </c>
      <c r="F10379" t="str">
        <v>-</v>
      </c>
      <c r="G10379" t="str">
        <v>-</v>
      </c>
    </row>
    <row r="10380">
      <c r="A10380">
        <v>10379</v>
      </c>
      <c r="B10380" t="str">
        <v>Công an xã Hải Hòa  tỉnh Nam Định</v>
      </c>
      <c r="C10380" t="str">
        <v>-</v>
      </c>
      <c r="D10380" t="str">
        <v>-</v>
      </c>
      <c r="E10380" t="str">
        <v/>
      </c>
      <c r="F10380" t="str">
        <v>-</v>
      </c>
      <c r="G10380" t="str">
        <v>-</v>
      </c>
    </row>
    <row r="10381">
      <c r="A10381">
        <v>10380</v>
      </c>
      <c r="B10381" t="str">
        <v>UBND Ủy ban nhân dân xã Hải Hòa  tỉnh Nam Định</v>
      </c>
      <c r="C10381" t="str">
        <v>-</v>
      </c>
      <c r="D10381" t="str">
        <v>-</v>
      </c>
      <c r="E10381" t="str">
        <v>-</v>
      </c>
      <c r="F10381" t="str">
        <v>-</v>
      </c>
      <c r="G10381" t="str">
        <v>-</v>
      </c>
    </row>
    <row r="10382">
      <c r="A10382">
        <v>10381</v>
      </c>
      <c r="B10382" t="str">
        <v>Công an phường Đông Thành  tỉnh Ninh Bình</v>
      </c>
      <c r="C10382" t="str">
        <v>-</v>
      </c>
      <c r="D10382" t="str">
        <v>-</v>
      </c>
      <c r="E10382" t="str">
        <v/>
      </c>
      <c r="F10382" t="str">
        <v>-</v>
      </c>
      <c r="G10382" t="str">
        <v>-</v>
      </c>
    </row>
    <row r="10383">
      <c r="A10383">
        <v>10382</v>
      </c>
      <c r="B10383" t="str">
        <v>UBND Ủy ban nhân dân phường Đông Thành  tỉnh Ninh Bình</v>
      </c>
      <c r="C10383" t="str">
        <v>-</v>
      </c>
      <c r="D10383" t="str">
        <v>-</v>
      </c>
      <c r="E10383" t="str">
        <v>-</v>
      </c>
      <c r="F10383" t="str">
        <v>-</v>
      </c>
      <c r="G10383" t="str">
        <v>-</v>
      </c>
    </row>
    <row r="10384">
      <c r="A10384">
        <v>10383</v>
      </c>
      <c r="B10384" t="str">
        <v>Công an phường Tân Thành  tỉnh Ninh Bình</v>
      </c>
      <c r="C10384" t="str">
        <v>-</v>
      </c>
      <c r="D10384" t="str">
        <v>-</v>
      </c>
      <c r="E10384" t="str">
        <v/>
      </c>
      <c r="F10384" t="str">
        <v>-</v>
      </c>
      <c r="G10384" t="str">
        <v>-</v>
      </c>
    </row>
    <row r="10385">
      <c r="A10385">
        <v>10384</v>
      </c>
      <c r="B10385" t="str">
        <v>UBND Ủy ban nhân dân phường Tân Thành  tỉnh Ninh Bình</v>
      </c>
      <c r="C10385" t="str">
        <v>-</v>
      </c>
      <c r="D10385" t="str">
        <v>-</v>
      </c>
      <c r="E10385" t="str">
        <v>-</v>
      </c>
      <c r="F10385" t="str">
        <v>-</v>
      </c>
      <c r="G10385" t="str">
        <v>-</v>
      </c>
    </row>
    <row r="10386">
      <c r="A10386">
        <v>10385</v>
      </c>
      <c r="B10386" t="str">
        <v>Công an phường Thanh Bình  tỉnh Ninh Bình</v>
      </c>
      <c r="C10386" t="str">
        <v>-</v>
      </c>
      <c r="D10386" t="str">
        <v>-</v>
      </c>
      <c r="E10386" t="str">
        <v/>
      </c>
      <c r="F10386" t="str">
        <v>-</v>
      </c>
      <c r="G10386" t="str">
        <v>-</v>
      </c>
    </row>
    <row r="10387">
      <c r="A10387">
        <v>10386</v>
      </c>
      <c r="B10387" t="str">
        <v>UBND Ủy ban nhân dân phường Thanh Bình  tỉnh Ninh Bình</v>
      </c>
      <c r="C10387" t="str">
        <v>-</v>
      </c>
      <c r="D10387" t="str">
        <v>-</v>
      </c>
      <c r="E10387" t="str">
        <v>-</v>
      </c>
      <c r="F10387" t="str">
        <v>-</v>
      </c>
      <c r="G10387" t="str">
        <v>-</v>
      </c>
    </row>
    <row r="10388">
      <c r="A10388">
        <v>10387</v>
      </c>
      <c r="B10388" t="str">
        <v>Công an phường Vân Giang  tỉnh Ninh Bình</v>
      </c>
      <c r="C10388" t="str">
        <v>-</v>
      </c>
      <c r="D10388" t="str">
        <v>-</v>
      </c>
      <c r="E10388" t="str">
        <v/>
      </c>
      <c r="F10388" t="str">
        <v>-</v>
      </c>
      <c r="G10388" t="str">
        <v>-</v>
      </c>
    </row>
    <row r="10389">
      <c r="A10389">
        <v>10388</v>
      </c>
      <c r="B10389" t="str">
        <v>UBND Ủy ban nhân dân phường Vân Giang  tỉnh Ninh Bình</v>
      </c>
      <c r="C10389" t="str">
        <v>-</v>
      </c>
      <c r="D10389" t="str">
        <v>-</v>
      </c>
      <c r="E10389" t="str">
        <v>-</v>
      </c>
      <c r="F10389" t="str">
        <v>-</v>
      </c>
      <c r="G10389" t="str">
        <v>-</v>
      </c>
    </row>
    <row r="10390">
      <c r="A10390">
        <v>10389</v>
      </c>
      <c r="B10390" t="str">
        <v>Công an phường Bích Đào  tỉnh Ninh Bình</v>
      </c>
      <c r="C10390" t="str">
        <v>-</v>
      </c>
      <c r="D10390" t="str">
        <v>-</v>
      </c>
      <c r="E10390" t="str">
        <v/>
      </c>
      <c r="F10390" t="str">
        <v>-</v>
      </c>
      <c r="G10390" t="str">
        <v>-</v>
      </c>
    </row>
    <row r="10391">
      <c r="A10391">
        <v>10390</v>
      </c>
      <c r="B10391" t="str">
        <v>UBND Ủy ban nhân dân phường Bích Đào  tỉnh Ninh Bình</v>
      </c>
      <c r="C10391" t="str">
        <v>-</v>
      </c>
      <c r="D10391" t="str">
        <v>-</v>
      </c>
      <c r="E10391" t="str">
        <v>-</v>
      </c>
      <c r="F10391" t="str">
        <v>-</v>
      </c>
      <c r="G10391" t="str">
        <v>-</v>
      </c>
    </row>
    <row r="10392">
      <c r="A10392">
        <v>10391</v>
      </c>
      <c r="B10392" t="str">
        <v>Công an phường Phúc Thành  tỉnh Ninh Bình</v>
      </c>
      <c r="C10392" t="str">
        <v>-</v>
      </c>
      <c r="D10392" t="str">
        <v>-</v>
      </c>
      <c r="E10392" t="str">
        <v/>
      </c>
      <c r="F10392" t="str">
        <v>-</v>
      </c>
      <c r="G10392" t="str">
        <v>-</v>
      </c>
    </row>
    <row r="10393">
      <c r="A10393">
        <v>10392</v>
      </c>
      <c r="B10393" t="str">
        <v>UBND Ủy ban nhân dân phường Phúc Thành  tỉnh Ninh Bình</v>
      </c>
      <c r="C10393" t="str">
        <v>-</v>
      </c>
      <c r="D10393" t="str">
        <v>-</v>
      </c>
      <c r="E10393" t="str">
        <v>-</v>
      </c>
      <c r="F10393" t="str">
        <v>-</v>
      </c>
      <c r="G10393" t="str">
        <v>-</v>
      </c>
    </row>
    <row r="10394">
      <c r="A10394">
        <v>10393</v>
      </c>
      <c r="B10394" t="str">
        <v>Công an phường Nam Bình  tỉnh Ninh Bình</v>
      </c>
      <c r="C10394" t="str">
        <v>-</v>
      </c>
      <c r="D10394" t="str">
        <v>-</v>
      </c>
      <c r="E10394" t="str">
        <v/>
      </c>
      <c r="F10394" t="str">
        <v>-</v>
      </c>
      <c r="G10394" t="str">
        <v>-</v>
      </c>
    </row>
    <row r="10395">
      <c r="A10395">
        <v>10394</v>
      </c>
      <c r="B10395" t="str">
        <v>UBND Ủy ban nhân dân phường Nam Bình  tỉnh Ninh Bình</v>
      </c>
      <c r="C10395" t="str">
        <v>-</v>
      </c>
      <c r="D10395" t="str">
        <v>-</v>
      </c>
      <c r="E10395" t="str">
        <v>-</v>
      </c>
      <c r="F10395" t="str">
        <v>-</v>
      </c>
      <c r="G10395" t="str">
        <v>-</v>
      </c>
    </row>
    <row r="10396">
      <c r="A10396">
        <v>10395</v>
      </c>
      <c r="B10396" t="str">
        <v>Công an phường Nam Thành  tỉnh Ninh Bình</v>
      </c>
      <c r="C10396" t="str">
        <v>-</v>
      </c>
      <c r="D10396" t="str">
        <v>-</v>
      </c>
      <c r="E10396" t="str">
        <v/>
      </c>
      <c r="F10396" t="str">
        <v>-</v>
      </c>
      <c r="G10396" t="str">
        <v>-</v>
      </c>
    </row>
    <row r="10397">
      <c r="A10397">
        <v>10396</v>
      </c>
      <c r="B10397" t="str">
        <v>UBND Ủy ban nhân dân phường Nam Thành  tỉnh Ninh Bình</v>
      </c>
      <c r="C10397" t="str">
        <v>-</v>
      </c>
      <c r="D10397" t="str">
        <v>-</v>
      </c>
      <c r="E10397" t="str">
        <v>-</v>
      </c>
      <c r="F10397" t="str">
        <v>-</v>
      </c>
      <c r="G10397" t="str">
        <v>-</v>
      </c>
    </row>
    <row r="10398">
      <c r="A10398">
        <v>10397</v>
      </c>
      <c r="B10398" t="str">
        <v>Công an phường Ninh Khánh  tỉnh Ninh Bình</v>
      </c>
      <c r="C10398" t="str">
        <v>-</v>
      </c>
      <c r="D10398" t="str">
        <v>-</v>
      </c>
      <c r="E10398" t="str">
        <v/>
      </c>
      <c r="F10398" t="str">
        <v>-</v>
      </c>
      <c r="G10398" t="str">
        <v>-</v>
      </c>
    </row>
    <row r="10399">
      <c r="A10399">
        <v>10398</v>
      </c>
      <c r="B10399" t="str">
        <v>UBND Ủy ban nhân dân phường Ninh Khánh  tỉnh Ninh Bình</v>
      </c>
      <c r="C10399" t="str">
        <v>-</v>
      </c>
      <c r="D10399" t="str">
        <v>-</v>
      </c>
      <c r="E10399" t="str">
        <v>-</v>
      </c>
      <c r="F10399" t="str">
        <v>-</v>
      </c>
      <c r="G10399" t="str">
        <v>-</v>
      </c>
    </row>
    <row r="10400">
      <c r="A10400">
        <v>10399</v>
      </c>
      <c r="B10400" t="str">
        <v>Công an xã Ninh Nhất  tỉnh Ninh Bình</v>
      </c>
      <c r="C10400" t="str">
        <v>-</v>
      </c>
      <c r="D10400" t="str">
        <v>-</v>
      </c>
      <c r="E10400" t="str">
        <v/>
      </c>
      <c r="F10400" t="str">
        <v>-</v>
      </c>
      <c r="G10400" t="str">
        <v>-</v>
      </c>
    </row>
    <row r="10401">
      <c r="A10401">
        <v>10400</v>
      </c>
      <c r="B10401" t="str">
        <v>UBND Ủy ban nhân dân xã Ninh Nhất  tỉnh Ninh Bình</v>
      </c>
      <c r="C10401" t="str">
        <v>-</v>
      </c>
      <c r="D10401" t="str">
        <v>-</v>
      </c>
      <c r="E10401" t="str">
        <v>-</v>
      </c>
      <c r="F10401" t="str">
        <v>-</v>
      </c>
      <c r="G10401" t="str">
        <v>-</v>
      </c>
    </row>
    <row r="10402">
      <c r="A10402">
        <v>10401</v>
      </c>
      <c r="B10402" t="str">
        <v>Công an xã Ninh Tiến  tỉnh Ninh Bình</v>
      </c>
      <c r="C10402" t="str">
        <v>-</v>
      </c>
      <c r="D10402" t="str">
        <v>-</v>
      </c>
      <c r="E10402" t="str">
        <v/>
      </c>
      <c r="F10402" t="str">
        <v>-</v>
      </c>
      <c r="G10402" t="str">
        <v>-</v>
      </c>
    </row>
    <row r="10403">
      <c r="A10403">
        <v>10402</v>
      </c>
      <c r="B10403" t="str">
        <v>UBND Ủy ban nhân dân xã Ninh Tiến  tỉnh Ninh Bình</v>
      </c>
      <c r="C10403" t="str">
        <v>-</v>
      </c>
      <c r="D10403" t="str">
        <v>-</v>
      </c>
      <c r="E10403" t="str">
        <v>-</v>
      </c>
      <c r="F10403" t="str">
        <v>-</v>
      </c>
      <c r="G10403" t="str">
        <v>-</v>
      </c>
    </row>
    <row r="10404">
      <c r="A10404">
        <v>10403</v>
      </c>
      <c r="B10404" t="str">
        <v>Công an xã Ninh Phúc  tỉnh Ninh Bình</v>
      </c>
      <c r="C10404" t="str">
        <v>-</v>
      </c>
      <c r="D10404" t="str">
        <v>-</v>
      </c>
      <c r="E10404" t="str">
        <v/>
      </c>
      <c r="F10404" t="str">
        <v>-</v>
      </c>
      <c r="G10404" t="str">
        <v>-</v>
      </c>
    </row>
    <row r="10405">
      <c r="A10405">
        <v>10404</v>
      </c>
      <c r="B10405" t="str">
        <v>UBND Ủy ban nhân dân xã Ninh Phúc  tỉnh Ninh Bình</v>
      </c>
      <c r="C10405" t="str">
        <v>-</v>
      </c>
      <c r="D10405" t="str">
        <v>-</v>
      </c>
      <c r="E10405" t="str">
        <v>-</v>
      </c>
      <c r="F10405" t="str">
        <v>-</v>
      </c>
      <c r="G10405" t="str">
        <v>-</v>
      </c>
    </row>
    <row r="10406">
      <c r="A10406">
        <v>10405</v>
      </c>
      <c r="B10406" t="str">
        <v>Công an phường Ninh Sơn  tỉnh Ninh Bình</v>
      </c>
      <c r="C10406" t="str">
        <v>-</v>
      </c>
      <c r="D10406" t="str">
        <v>-</v>
      </c>
      <c r="E10406" t="str">
        <v/>
      </c>
      <c r="F10406" t="str">
        <v>-</v>
      </c>
      <c r="G10406" t="str">
        <v>-</v>
      </c>
    </row>
    <row r="10407">
      <c r="A10407">
        <v>10406</v>
      </c>
      <c r="B10407" t="str">
        <v>UBND Ủy ban nhân dân phường Ninh Sơn  tỉnh Ninh Bình</v>
      </c>
      <c r="C10407" t="str">
        <v>-</v>
      </c>
      <c r="D10407" t="str">
        <v>-</v>
      </c>
      <c r="E10407" t="str">
        <v>-</v>
      </c>
      <c r="F10407" t="str">
        <v>-</v>
      </c>
      <c r="G10407" t="str">
        <v>-</v>
      </c>
    </row>
    <row r="10408">
      <c r="A10408">
        <v>10407</v>
      </c>
      <c r="B10408" t="str">
        <v>Công an phường Ninh Phong  tỉnh Ninh Bình</v>
      </c>
      <c r="C10408" t="str">
        <v>-</v>
      </c>
      <c r="D10408" t="str">
        <v>-</v>
      </c>
      <c r="E10408" t="str">
        <v/>
      </c>
      <c r="F10408" t="str">
        <v>-</v>
      </c>
      <c r="G10408" t="str">
        <v>-</v>
      </c>
    </row>
    <row r="10409">
      <c r="A10409">
        <v>10408</v>
      </c>
      <c r="B10409" t="str">
        <v>UBND Ủy ban nhân dân phường Ninh Phong  tỉnh Ninh Bình</v>
      </c>
      <c r="C10409" t="str">
        <v>-</v>
      </c>
      <c r="D10409" t="str">
        <v>-</v>
      </c>
      <c r="E10409" t="str">
        <v>-</v>
      </c>
      <c r="F10409" t="str">
        <v>-</v>
      </c>
      <c r="G10409" t="str">
        <v>-</v>
      </c>
    </row>
    <row r="10410">
      <c r="A10410">
        <v>10409</v>
      </c>
      <c r="B10410" t="str">
        <v>Công an phường Bắc Sơn  tỉnh Ninh Bình</v>
      </c>
      <c r="C10410" t="str">
        <v>-</v>
      </c>
      <c r="D10410" t="str">
        <v>-</v>
      </c>
      <c r="E10410" t="str">
        <v/>
      </c>
      <c r="F10410" t="str">
        <v>-</v>
      </c>
      <c r="G10410" t="str">
        <v>-</v>
      </c>
    </row>
    <row r="10411">
      <c r="A10411">
        <v>10410</v>
      </c>
      <c r="B10411" t="str">
        <v>UBND Ủy ban nhân dân phường Bắc Sơn  tỉnh Ninh Bình</v>
      </c>
      <c r="C10411" t="str">
        <v>-</v>
      </c>
      <c r="D10411" t="str">
        <v>-</v>
      </c>
      <c r="E10411" t="str">
        <v>-</v>
      </c>
      <c r="F10411" t="str">
        <v>-</v>
      </c>
      <c r="G10411" t="str">
        <v>-</v>
      </c>
    </row>
    <row r="10412">
      <c r="A10412">
        <v>10411</v>
      </c>
      <c r="B10412" t="str">
        <v>Công an phường Trung Sơn  tỉnh Ninh Bình</v>
      </c>
      <c r="C10412" t="str">
        <v>-</v>
      </c>
      <c r="D10412" t="str">
        <v>-</v>
      </c>
      <c r="E10412" t="str">
        <v/>
      </c>
      <c r="F10412" t="str">
        <v>-</v>
      </c>
      <c r="G10412" t="str">
        <v>-</v>
      </c>
    </row>
    <row r="10413">
      <c r="A10413">
        <v>10412</v>
      </c>
      <c r="B10413" t="str">
        <v>UBND Ủy ban nhân dân phường Trung Sơn  tỉnh Ninh Bình</v>
      </c>
      <c r="C10413" t="str">
        <v>-</v>
      </c>
      <c r="D10413" t="str">
        <v>-</v>
      </c>
      <c r="E10413" t="str">
        <v>-</v>
      </c>
      <c r="F10413" t="str">
        <v>-</v>
      </c>
      <c r="G10413" t="str">
        <v>-</v>
      </c>
    </row>
    <row r="10414">
      <c r="A10414">
        <v>10413</v>
      </c>
      <c r="B10414" t="str">
        <v>Công an phường Nam Sơn  tỉnh Ninh Bình</v>
      </c>
      <c r="C10414" t="str">
        <v>-</v>
      </c>
      <c r="D10414" t="str">
        <v>-</v>
      </c>
      <c r="E10414" t="str">
        <v/>
      </c>
      <c r="F10414" t="str">
        <v>-</v>
      </c>
      <c r="G10414" t="str">
        <v>-</v>
      </c>
    </row>
    <row r="10415">
      <c r="A10415">
        <v>10414</v>
      </c>
      <c r="B10415" t="str">
        <v>UBND Ủy ban nhân dân phường Nam Sơn  tỉnh Ninh Bình</v>
      </c>
      <c r="C10415" t="str">
        <v>-</v>
      </c>
      <c r="D10415" t="str">
        <v>-</v>
      </c>
      <c r="E10415" t="str">
        <v>-</v>
      </c>
      <c r="F10415" t="str">
        <v>-</v>
      </c>
      <c r="G10415" t="str">
        <v>-</v>
      </c>
    </row>
    <row r="10416">
      <c r="A10416">
        <v>10415</v>
      </c>
      <c r="B10416" t="str">
        <v>Công an phường Tây Sơn  tỉnh Ninh Bình</v>
      </c>
      <c r="C10416" t="str">
        <v>-</v>
      </c>
      <c r="D10416" t="str">
        <v>-</v>
      </c>
      <c r="E10416" t="str">
        <v/>
      </c>
      <c r="F10416" t="str">
        <v>-</v>
      </c>
      <c r="G10416" t="str">
        <v>-</v>
      </c>
    </row>
    <row r="10417">
      <c r="A10417">
        <v>10416</v>
      </c>
      <c r="B10417" t="str">
        <v>UBND Ủy ban nhân dân phường Tây Sơn  tỉnh Ninh Bình</v>
      </c>
      <c r="C10417" t="str">
        <v>-</v>
      </c>
      <c r="D10417" t="str">
        <v>-</v>
      </c>
      <c r="E10417" t="str">
        <v>-</v>
      </c>
      <c r="F10417" t="str">
        <v>-</v>
      </c>
      <c r="G10417" t="str">
        <v>-</v>
      </c>
    </row>
    <row r="10418">
      <c r="A10418">
        <v>10417</v>
      </c>
      <c r="B10418" t="str">
        <v>Công an xã Yên Sơn  tỉnh Ninh Bình</v>
      </c>
      <c r="C10418" t="str">
        <v>-</v>
      </c>
      <c r="D10418" t="str">
        <v>-</v>
      </c>
      <c r="E10418" t="str">
        <v/>
      </c>
      <c r="F10418" t="str">
        <v>-</v>
      </c>
      <c r="G10418" t="str">
        <v>-</v>
      </c>
    </row>
    <row r="10419">
      <c r="A10419">
        <v>10418</v>
      </c>
      <c r="B10419" t="str">
        <v>UBND Ủy ban nhân dân xã Yên Sơn  tỉnh Ninh Bình</v>
      </c>
      <c r="C10419" t="str">
        <v>-</v>
      </c>
      <c r="D10419" t="str">
        <v>-</v>
      </c>
      <c r="E10419" t="str">
        <v>-</v>
      </c>
      <c r="F10419" t="str">
        <v>-</v>
      </c>
      <c r="G10419" t="str">
        <v>-</v>
      </c>
    </row>
    <row r="10420">
      <c r="A10420">
        <v>10419</v>
      </c>
      <c r="B10420" t="str">
        <v>Công an phường Yên Bình  tỉnh Ninh Bình</v>
      </c>
      <c r="C10420" t="str">
        <v>-</v>
      </c>
      <c r="D10420" t="str">
        <v>-</v>
      </c>
      <c r="E10420" t="str">
        <v/>
      </c>
      <c r="F10420" t="str">
        <v>-</v>
      </c>
      <c r="G10420" t="str">
        <v>-</v>
      </c>
    </row>
    <row r="10421">
      <c r="A10421">
        <v>10420</v>
      </c>
      <c r="B10421" t="str">
        <v>UBND Ủy ban nhân dân phường Yên Bình  tỉnh Ninh Bình</v>
      </c>
      <c r="C10421" t="str">
        <v>-</v>
      </c>
      <c r="D10421" t="str">
        <v>-</v>
      </c>
      <c r="E10421" t="str">
        <v>-</v>
      </c>
      <c r="F10421" t="str">
        <v>-</v>
      </c>
      <c r="G10421" t="str">
        <v>-</v>
      </c>
    </row>
    <row r="10422">
      <c r="A10422">
        <v>10421</v>
      </c>
      <c r="B10422" t="str">
        <v>Công an phường Tân Bình  tỉnh Ninh Bình</v>
      </c>
      <c r="C10422" t="str">
        <v>-</v>
      </c>
      <c r="D10422" t="str">
        <v>-</v>
      </c>
      <c r="E10422" t="str">
        <v/>
      </c>
      <c r="F10422" t="str">
        <v>-</v>
      </c>
      <c r="G10422" t="str">
        <v>-</v>
      </c>
    </row>
    <row r="10423">
      <c r="A10423">
        <v>10422</v>
      </c>
      <c r="B10423" t="str">
        <v>UBND Ủy ban nhân dân phường Tân Bình  tỉnh Ninh Bình</v>
      </c>
      <c r="C10423" t="str">
        <v>-</v>
      </c>
      <c r="D10423" t="str">
        <v>-</v>
      </c>
      <c r="E10423" t="str">
        <v>-</v>
      </c>
      <c r="F10423" t="str">
        <v>-</v>
      </c>
      <c r="G10423" t="str">
        <v>-</v>
      </c>
    </row>
    <row r="10424">
      <c r="A10424">
        <v>10423</v>
      </c>
      <c r="B10424" t="str">
        <v>Công an xã Quang Sơn  tỉnh Ninh Bình</v>
      </c>
      <c r="C10424" t="str">
        <v>-</v>
      </c>
      <c r="D10424" t="str">
        <v>-</v>
      </c>
      <c r="E10424" t="str">
        <v/>
      </c>
      <c r="F10424" t="str">
        <v>-</v>
      </c>
      <c r="G10424" t="str">
        <v>-</v>
      </c>
    </row>
    <row r="10425">
      <c r="A10425">
        <v>10424</v>
      </c>
      <c r="B10425" t="str">
        <v>UBND Ủy ban nhân dân xã Quang Sơn  tỉnh Ninh Bình</v>
      </c>
      <c r="C10425" t="str">
        <v>-</v>
      </c>
      <c r="D10425" t="str">
        <v>-</v>
      </c>
      <c r="E10425" t="str">
        <v>-</v>
      </c>
      <c r="F10425" t="str">
        <v>-</v>
      </c>
      <c r="G10425" t="str">
        <v>-</v>
      </c>
    </row>
    <row r="10426">
      <c r="A10426">
        <v>10425</v>
      </c>
      <c r="B10426" t="str">
        <v>Công an xã Đông Sơn  tỉnh Ninh Bình</v>
      </c>
      <c r="C10426" t="str">
        <v>-</v>
      </c>
      <c r="D10426" t="str">
        <v>-</v>
      </c>
      <c r="E10426" t="str">
        <v/>
      </c>
      <c r="F10426" t="str">
        <v>-</v>
      </c>
      <c r="G10426" t="str">
        <v>-</v>
      </c>
    </row>
    <row r="10427">
      <c r="A10427">
        <v>10426</v>
      </c>
      <c r="B10427" t="str">
        <v>UBND Ủy ban nhân dân xã Đông Sơn  tỉnh Ninh Bình</v>
      </c>
      <c r="C10427" t="str">
        <v>-</v>
      </c>
      <c r="D10427" t="str">
        <v>-</v>
      </c>
      <c r="E10427" t="str">
        <v>-</v>
      </c>
      <c r="F10427" t="str">
        <v>-</v>
      </c>
      <c r="G10427" t="str">
        <v>-</v>
      </c>
    </row>
    <row r="10428">
      <c r="A10428">
        <v>10427</v>
      </c>
      <c r="B10428" t="str">
        <v>Công an thị trấn Nho Quan  tỉnh Ninh Bình</v>
      </c>
      <c r="C10428" t="str">
        <v>-</v>
      </c>
      <c r="D10428" t="str">
        <v>-</v>
      </c>
      <c r="E10428" t="str">
        <v/>
      </c>
      <c r="F10428" t="str">
        <v>-</v>
      </c>
      <c r="G10428" t="str">
        <v>-</v>
      </c>
    </row>
    <row r="10429">
      <c r="A10429">
        <v>10428</v>
      </c>
      <c r="B10429" t="str">
        <v>UBND Ủy ban nhân dân thị trấn Nho Quan  tỉnh Ninh Bình</v>
      </c>
      <c r="C10429" t="str">
        <v>-</v>
      </c>
      <c r="D10429" t="str">
        <v>-</v>
      </c>
      <c r="E10429" t="str">
        <v>-</v>
      </c>
      <c r="F10429" t="str">
        <v>-</v>
      </c>
      <c r="G10429" t="str">
        <v>-</v>
      </c>
    </row>
    <row r="10430">
      <c r="A10430">
        <v>10429</v>
      </c>
      <c r="B10430" t="str">
        <v>Công an xã Xích Thổ  tỉnh Ninh Bình</v>
      </c>
      <c r="C10430" t="str">
        <v>-</v>
      </c>
      <c r="D10430" t="str">
        <v>-</v>
      </c>
      <c r="E10430" t="str">
        <v/>
      </c>
      <c r="F10430" t="str">
        <v>-</v>
      </c>
      <c r="G10430" t="str">
        <v>-</v>
      </c>
    </row>
    <row r="10431">
      <c r="A10431">
        <v>10430</v>
      </c>
      <c r="B10431" t="str">
        <v>UBND Ủy ban nhân dân xã Xích Thổ  tỉnh Ninh Bình</v>
      </c>
      <c r="C10431" t="str">
        <v>-</v>
      </c>
      <c r="D10431" t="str">
        <v>-</v>
      </c>
      <c r="E10431" t="str">
        <v>-</v>
      </c>
      <c r="F10431" t="str">
        <v>-</v>
      </c>
      <c r="G10431" t="str">
        <v>-</v>
      </c>
    </row>
    <row r="10432">
      <c r="A10432">
        <v>10431</v>
      </c>
      <c r="B10432" t="str">
        <v>Công an xã Gia Lâm  tỉnh Ninh Bình</v>
      </c>
      <c r="C10432" t="str">
        <v>-</v>
      </c>
      <c r="D10432" t="str">
        <v>-</v>
      </c>
      <c r="E10432" t="str">
        <v/>
      </c>
      <c r="F10432" t="str">
        <v>-</v>
      </c>
      <c r="G10432" t="str">
        <v>-</v>
      </c>
    </row>
    <row r="10433">
      <c r="A10433">
        <v>10432</v>
      </c>
      <c r="B10433" t="str">
        <v>UBND Ủy ban nhân dân xã Gia Lâm  tỉnh Ninh Bình</v>
      </c>
      <c r="C10433" t="str">
        <v>-</v>
      </c>
      <c r="D10433" t="str">
        <v>-</v>
      </c>
      <c r="E10433" t="str">
        <v>-</v>
      </c>
      <c r="F10433" t="str">
        <v>-</v>
      </c>
      <c r="G10433" t="str">
        <v>-</v>
      </c>
    </row>
    <row r="10434">
      <c r="A10434">
        <v>10433</v>
      </c>
      <c r="B10434" t="str">
        <v>Công an xã Gia Sơn  tỉnh Ninh Bình</v>
      </c>
      <c r="C10434" t="str">
        <v>-</v>
      </c>
      <c r="D10434" t="str">
        <v>-</v>
      </c>
      <c r="E10434" t="str">
        <v/>
      </c>
      <c r="F10434" t="str">
        <v>-</v>
      </c>
      <c r="G10434" t="str">
        <v>-</v>
      </c>
    </row>
    <row r="10435">
      <c r="A10435">
        <v>10434</v>
      </c>
      <c r="B10435" t="str">
        <v>UBND Ủy ban nhân dân xã Gia Sơn  tỉnh Ninh Bình</v>
      </c>
      <c r="C10435" t="str">
        <v>-</v>
      </c>
      <c r="D10435" t="str">
        <v>-</v>
      </c>
      <c r="E10435" t="str">
        <v>-</v>
      </c>
      <c r="F10435" t="str">
        <v>-</v>
      </c>
      <c r="G10435" t="str">
        <v>-</v>
      </c>
    </row>
    <row r="10436">
      <c r="A10436">
        <v>10435</v>
      </c>
      <c r="B10436" t="str">
        <v>Công an xã Thạch Bình  tỉnh Ninh Bình</v>
      </c>
      <c r="C10436" t="str">
        <v>-</v>
      </c>
      <c r="D10436" t="str">
        <v>-</v>
      </c>
      <c r="E10436" t="str">
        <v/>
      </c>
      <c r="F10436" t="str">
        <v>-</v>
      </c>
      <c r="G10436" t="str">
        <v>-</v>
      </c>
    </row>
    <row r="10437">
      <c r="A10437">
        <v>10436</v>
      </c>
      <c r="B10437" t="str">
        <v>UBND Ủy ban nhân dân xã Thạch Bình  tỉnh Ninh Bình</v>
      </c>
      <c r="C10437" t="str">
        <v>-</v>
      </c>
      <c r="D10437" t="str">
        <v>-</v>
      </c>
      <c r="E10437" t="str">
        <v>-</v>
      </c>
      <c r="F10437" t="str">
        <v>-</v>
      </c>
      <c r="G10437" t="str">
        <v>-</v>
      </c>
    </row>
    <row r="10438">
      <c r="A10438">
        <v>10437</v>
      </c>
      <c r="B10438" t="str">
        <v>Công an xã Gia Thủy  tỉnh Ninh Bình</v>
      </c>
      <c r="C10438" t="str">
        <v>-</v>
      </c>
      <c r="D10438" t="str">
        <v>-</v>
      </c>
      <c r="E10438" t="str">
        <v/>
      </c>
      <c r="F10438" t="str">
        <v>-</v>
      </c>
      <c r="G10438" t="str">
        <v>-</v>
      </c>
    </row>
    <row r="10439">
      <c r="A10439">
        <v>10438</v>
      </c>
      <c r="B10439" t="str">
        <v>UBND Ủy ban nhân dân xã Gia Thủy  tỉnh Ninh Bình</v>
      </c>
      <c r="C10439" t="str">
        <v>-</v>
      </c>
      <c r="D10439" t="str">
        <v>-</v>
      </c>
      <c r="E10439" t="str">
        <v>-</v>
      </c>
      <c r="F10439" t="str">
        <v>-</v>
      </c>
      <c r="G10439" t="str">
        <v>-</v>
      </c>
    </row>
    <row r="10440">
      <c r="A10440">
        <v>10439</v>
      </c>
      <c r="B10440" t="str">
        <v>Công an xã Gia Tường  tỉnh Ninh Bình</v>
      </c>
      <c r="C10440" t="str">
        <v>-</v>
      </c>
      <c r="D10440" t="str">
        <v>-</v>
      </c>
      <c r="E10440" t="str">
        <v/>
      </c>
      <c r="F10440" t="str">
        <v>-</v>
      </c>
      <c r="G10440" t="str">
        <v>-</v>
      </c>
    </row>
    <row r="10441">
      <c r="A10441">
        <v>10440</v>
      </c>
      <c r="B10441" t="str">
        <v>UBND Ủy ban nhân dân xã Gia Tường  tỉnh Ninh Bình</v>
      </c>
      <c r="C10441" t="str">
        <v>-</v>
      </c>
      <c r="D10441" t="str">
        <v>-</v>
      </c>
      <c r="E10441" t="str">
        <v>-</v>
      </c>
      <c r="F10441" t="str">
        <v>-</v>
      </c>
      <c r="G10441" t="str">
        <v>-</v>
      </c>
    </row>
    <row r="10442">
      <c r="A10442">
        <v>10441</v>
      </c>
      <c r="B10442" t="str">
        <v>Công an xã Cúc Phương  tỉnh Ninh Bình</v>
      </c>
      <c r="C10442" t="str">
        <v>-</v>
      </c>
      <c r="D10442" t="str">
        <v>-</v>
      </c>
      <c r="E10442" t="str">
        <v/>
      </c>
      <c r="F10442" t="str">
        <v>-</v>
      </c>
      <c r="G10442" t="str">
        <v>-</v>
      </c>
    </row>
    <row r="10443">
      <c r="A10443">
        <v>10442</v>
      </c>
      <c r="B10443" t="str">
        <v>UBND Ủy ban nhân dân xã Cúc Phương  tỉnh Ninh Bình</v>
      </c>
      <c r="C10443" t="str">
        <v>-</v>
      </c>
      <c r="D10443" t="str">
        <v>-</v>
      </c>
      <c r="E10443" t="str">
        <v>-</v>
      </c>
      <c r="F10443" t="str">
        <v>-</v>
      </c>
      <c r="G10443" t="str">
        <v>-</v>
      </c>
    </row>
    <row r="10444">
      <c r="A10444">
        <v>10443</v>
      </c>
      <c r="B10444" t="str">
        <v>Công an xã Phú Sơn  tỉnh Ninh Bình</v>
      </c>
      <c r="C10444" t="str">
        <v>-</v>
      </c>
      <c r="D10444" t="str">
        <v>-</v>
      </c>
      <c r="E10444" t="str">
        <v/>
      </c>
      <c r="F10444" t="str">
        <v>-</v>
      </c>
      <c r="G10444" t="str">
        <v>-</v>
      </c>
    </row>
    <row r="10445">
      <c r="A10445">
        <v>10444</v>
      </c>
      <c r="B10445" t="str">
        <v>UBND Ủy ban nhân dân xã Phú Sơn  tỉnh Ninh Bình</v>
      </c>
      <c r="C10445" t="str">
        <v>-</v>
      </c>
      <c r="D10445" t="str">
        <v>-</v>
      </c>
      <c r="E10445" t="str">
        <v>-</v>
      </c>
      <c r="F10445" t="str">
        <v>-</v>
      </c>
      <c r="G10445" t="str">
        <v>-</v>
      </c>
    </row>
    <row r="10446">
      <c r="A10446">
        <v>10445</v>
      </c>
      <c r="B10446" t="str">
        <v>Công an xã Đức Long  tỉnh Ninh Bình</v>
      </c>
      <c r="C10446" t="str">
        <v>-</v>
      </c>
      <c r="D10446" t="str">
        <v>-</v>
      </c>
      <c r="E10446" t="str">
        <v/>
      </c>
      <c r="F10446" t="str">
        <v>-</v>
      </c>
      <c r="G10446" t="str">
        <v>-</v>
      </c>
    </row>
    <row r="10447">
      <c r="A10447">
        <v>10446</v>
      </c>
      <c r="B10447" t="str">
        <v>UBND Ủy ban nhân dân xã Đức Long  tỉnh Ninh Bình</v>
      </c>
      <c r="C10447" t="str">
        <v>-</v>
      </c>
      <c r="D10447" t="str">
        <v>-</v>
      </c>
      <c r="E10447" t="str">
        <v>-</v>
      </c>
      <c r="F10447" t="str">
        <v>-</v>
      </c>
      <c r="G10447" t="str">
        <v>-</v>
      </c>
    </row>
    <row r="10448">
      <c r="A10448">
        <v>10447</v>
      </c>
      <c r="B10448" t="str">
        <v>Công an xã Lạc Vân  tỉnh Ninh Bình</v>
      </c>
      <c r="C10448" t="str">
        <v>-</v>
      </c>
      <c r="D10448" t="str">
        <v>-</v>
      </c>
      <c r="E10448" t="str">
        <v/>
      </c>
      <c r="F10448" t="str">
        <v>-</v>
      </c>
      <c r="G10448" t="str">
        <v>-</v>
      </c>
    </row>
    <row r="10449">
      <c r="A10449">
        <v>10448</v>
      </c>
      <c r="B10449" t="str">
        <v>UBND Ủy ban nhân dân xã Lạc Vân  tỉnh Ninh Bình</v>
      </c>
      <c r="C10449" t="str">
        <v>-</v>
      </c>
      <c r="D10449" t="str">
        <v>-</v>
      </c>
      <c r="E10449" t="str">
        <v>-</v>
      </c>
      <c r="F10449" t="str">
        <v>-</v>
      </c>
      <c r="G10449" t="str">
        <v>-</v>
      </c>
    </row>
    <row r="10450">
      <c r="A10450">
        <v>10449</v>
      </c>
      <c r="B10450" t="str">
        <v>Công an xã Đồng Phong  tỉnh Ninh Bình</v>
      </c>
      <c r="C10450" t="str">
        <v>-</v>
      </c>
      <c r="D10450" t="str">
        <v>-</v>
      </c>
      <c r="E10450" t="str">
        <v/>
      </c>
      <c r="F10450" t="str">
        <v>-</v>
      </c>
      <c r="G10450" t="str">
        <v>-</v>
      </c>
    </row>
    <row r="10451">
      <c r="A10451">
        <v>10450</v>
      </c>
      <c r="B10451" t="str">
        <v>UBND Ủy ban nhân dân xã Đồng Phong  tỉnh Ninh Bình</v>
      </c>
      <c r="C10451" t="str">
        <v>-</v>
      </c>
      <c r="D10451" t="str">
        <v>-</v>
      </c>
      <c r="E10451" t="str">
        <v>-</v>
      </c>
      <c r="F10451" t="str">
        <v>-</v>
      </c>
      <c r="G10451" t="str">
        <v>-</v>
      </c>
    </row>
    <row r="10452">
      <c r="A10452">
        <v>10451</v>
      </c>
      <c r="B10452" t="str">
        <v>Công an xã Yên Quang  tỉnh Ninh Bình</v>
      </c>
      <c r="C10452" t="str">
        <v>-</v>
      </c>
      <c r="D10452" t="str">
        <v>-</v>
      </c>
      <c r="E10452" t="str">
        <v/>
      </c>
      <c r="F10452" t="str">
        <v>-</v>
      </c>
      <c r="G10452" t="str">
        <v>-</v>
      </c>
    </row>
    <row r="10453">
      <c r="A10453">
        <v>10452</v>
      </c>
      <c r="B10453" t="str">
        <v>UBND Ủy ban nhân dân xã Yên Quang  tỉnh Ninh Bình</v>
      </c>
      <c r="C10453" t="str">
        <v>-</v>
      </c>
      <c r="D10453" t="str">
        <v>-</v>
      </c>
      <c r="E10453" t="str">
        <v>-</v>
      </c>
      <c r="F10453" t="str">
        <v>-</v>
      </c>
      <c r="G10453" t="str">
        <v>-</v>
      </c>
    </row>
    <row r="10454">
      <c r="A10454">
        <v>10453</v>
      </c>
      <c r="B10454" t="str">
        <v>Công an xã Lạng Phong  tỉnh Ninh Bình</v>
      </c>
      <c r="C10454" t="str">
        <v>-</v>
      </c>
      <c r="D10454" t="str">
        <v>-</v>
      </c>
      <c r="E10454" t="str">
        <v/>
      </c>
      <c r="F10454" t="str">
        <v>-</v>
      </c>
      <c r="G10454" t="str">
        <v>-</v>
      </c>
    </row>
    <row r="10455">
      <c r="A10455">
        <v>10454</v>
      </c>
      <c r="B10455" t="str">
        <v>UBND Ủy ban nhân dân xã Lạng Phong  tỉnh Ninh Bình</v>
      </c>
      <c r="C10455" t="str">
        <v>-</v>
      </c>
      <c r="D10455" t="str">
        <v>-</v>
      </c>
      <c r="E10455" t="str">
        <v>-</v>
      </c>
      <c r="F10455" t="str">
        <v>-</v>
      </c>
      <c r="G10455" t="str">
        <v>-</v>
      </c>
    </row>
    <row r="10456">
      <c r="A10456">
        <v>10455</v>
      </c>
      <c r="B10456" t="str">
        <v>Công an xã Thượng Hòa  tỉnh Ninh Bình</v>
      </c>
      <c r="C10456" t="str">
        <v>-</v>
      </c>
      <c r="D10456" t="str">
        <v>-</v>
      </c>
      <c r="E10456" t="str">
        <v/>
      </c>
      <c r="F10456" t="str">
        <v>-</v>
      </c>
      <c r="G10456" t="str">
        <v>-</v>
      </c>
    </row>
    <row r="10457">
      <c r="A10457">
        <v>10456</v>
      </c>
      <c r="B10457" t="str">
        <v>UBND Ủy ban nhân dân xã Thượng Hòa  tỉnh Ninh Bình</v>
      </c>
      <c r="C10457" t="str">
        <v>-</v>
      </c>
      <c r="D10457" t="str">
        <v>-</v>
      </c>
      <c r="E10457" t="str">
        <v>-</v>
      </c>
      <c r="F10457" t="str">
        <v>-</v>
      </c>
      <c r="G10457" t="str">
        <v>-</v>
      </c>
    </row>
    <row r="10458">
      <c r="A10458">
        <v>10457</v>
      </c>
      <c r="B10458" t="str">
        <v>Công an xã Văn Phong  tỉnh Ninh Bình</v>
      </c>
      <c r="C10458" t="str">
        <v>-</v>
      </c>
      <c r="D10458" t="str">
        <v>-</v>
      </c>
      <c r="E10458" t="str">
        <v/>
      </c>
      <c r="F10458" t="str">
        <v>-</v>
      </c>
      <c r="G10458" t="str">
        <v>-</v>
      </c>
    </row>
    <row r="10459">
      <c r="A10459">
        <v>10458</v>
      </c>
      <c r="B10459" t="str">
        <v>UBND Ủy ban nhân dân xã Văn Phong  tỉnh Ninh Bình</v>
      </c>
      <c r="C10459" t="str">
        <v>-</v>
      </c>
      <c r="D10459" t="str">
        <v>-</v>
      </c>
      <c r="E10459" t="str">
        <v>-</v>
      </c>
      <c r="F10459" t="str">
        <v>-</v>
      </c>
      <c r="G10459" t="str">
        <v>-</v>
      </c>
    </row>
    <row r="10460">
      <c r="A10460">
        <v>10459</v>
      </c>
      <c r="B10460" t="str">
        <v>Công an xã Văn Phương  tỉnh Ninh Bình</v>
      </c>
      <c r="C10460" t="str">
        <v>-</v>
      </c>
      <c r="D10460" t="str">
        <v>-</v>
      </c>
      <c r="E10460" t="str">
        <v/>
      </c>
      <c r="F10460" t="str">
        <v>-</v>
      </c>
      <c r="G10460" t="str">
        <v>-</v>
      </c>
    </row>
    <row r="10461">
      <c r="A10461">
        <v>10460</v>
      </c>
      <c r="B10461" t="str">
        <v>UBND Ủy ban nhân dân xã Văn Phương  tỉnh Ninh Bình</v>
      </c>
      <c r="C10461" t="str">
        <v>-</v>
      </c>
      <c r="D10461" t="str">
        <v>-</v>
      </c>
      <c r="E10461" t="str">
        <v>-</v>
      </c>
      <c r="F10461" t="str">
        <v>-</v>
      </c>
      <c r="G10461" t="str">
        <v>-</v>
      </c>
    </row>
    <row r="10462">
      <c r="A10462">
        <v>10461</v>
      </c>
      <c r="B10462" t="str">
        <v>Công an xã Thanh Lạc  tỉnh Ninh Bình</v>
      </c>
      <c r="C10462" t="str">
        <v>-</v>
      </c>
      <c r="D10462" t="str">
        <v>-</v>
      </c>
      <c r="E10462" t="str">
        <v/>
      </c>
      <c r="F10462" t="str">
        <v>-</v>
      </c>
      <c r="G10462" t="str">
        <v>-</v>
      </c>
    </row>
    <row r="10463">
      <c r="A10463">
        <v>10462</v>
      </c>
      <c r="B10463" t="str">
        <v>UBND Ủy ban nhân dân xã Thanh Lạc  tỉnh Ninh Bình</v>
      </c>
      <c r="C10463" t="str">
        <v>-</v>
      </c>
      <c r="D10463" t="str">
        <v>-</v>
      </c>
      <c r="E10463" t="str">
        <v>-</v>
      </c>
      <c r="F10463" t="str">
        <v>-</v>
      </c>
      <c r="G10463" t="str">
        <v>-</v>
      </c>
    </row>
    <row r="10464">
      <c r="A10464">
        <v>10463</v>
      </c>
      <c r="B10464" t="str">
        <v>Công an xã Sơn Lai  tỉnh Ninh Bình</v>
      </c>
      <c r="C10464" t="str">
        <v>-</v>
      </c>
      <c r="D10464" t="str">
        <v>-</v>
      </c>
      <c r="E10464" t="str">
        <v/>
      </c>
      <c r="F10464" t="str">
        <v>-</v>
      </c>
      <c r="G10464" t="str">
        <v>-</v>
      </c>
    </row>
    <row r="10465">
      <c r="A10465">
        <v>10464</v>
      </c>
      <c r="B10465" t="str">
        <v>UBND Ủy ban nhân dân xã Sơn Lai  tỉnh Ninh Bình</v>
      </c>
      <c r="C10465" t="str">
        <v>-</v>
      </c>
      <c r="D10465" t="str">
        <v>-</v>
      </c>
      <c r="E10465" t="str">
        <v>-</v>
      </c>
      <c r="F10465" t="str">
        <v>-</v>
      </c>
      <c r="G10465" t="str">
        <v>-</v>
      </c>
    </row>
    <row r="10466">
      <c r="A10466">
        <v>10465</v>
      </c>
      <c r="B10466" t="str">
        <v>Công an xã Sơn Thành  tỉnh Ninh Bình</v>
      </c>
      <c r="C10466" t="str">
        <v>-</v>
      </c>
      <c r="D10466" t="str">
        <v>-</v>
      </c>
      <c r="E10466" t="str">
        <v/>
      </c>
      <c r="F10466" t="str">
        <v>-</v>
      </c>
      <c r="G10466" t="str">
        <v>-</v>
      </c>
    </row>
    <row r="10467">
      <c r="A10467">
        <v>10466</v>
      </c>
      <c r="B10467" t="str">
        <v>UBND Ủy ban nhân dân xã Sơn Thành  tỉnh Ninh Bình</v>
      </c>
      <c r="C10467" t="str">
        <v>-</v>
      </c>
      <c r="D10467" t="str">
        <v>-</v>
      </c>
      <c r="E10467" t="str">
        <v>-</v>
      </c>
      <c r="F10467" t="str">
        <v>-</v>
      </c>
      <c r="G10467" t="str">
        <v>-</v>
      </c>
    </row>
    <row r="10468">
      <c r="A10468">
        <v>10467</v>
      </c>
      <c r="B10468" t="str">
        <v>Công an xã Văn Phú  tỉnh Ninh Bình</v>
      </c>
      <c r="C10468" t="str">
        <v>-</v>
      </c>
      <c r="D10468" t="str">
        <v>-</v>
      </c>
      <c r="E10468" t="str">
        <v/>
      </c>
      <c r="F10468" t="str">
        <v>-</v>
      </c>
      <c r="G10468" t="str">
        <v>-</v>
      </c>
    </row>
    <row r="10469">
      <c r="A10469">
        <v>10468</v>
      </c>
      <c r="B10469" t="str">
        <v>UBND Ủy ban nhân dân xã Văn Phú  tỉnh Ninh Bình</v>
      </c>
      <c r="C10469" t="str">
        <v>-</v>
      </c>
      <c r="D10469" t="str">
        <v>-</v>
      </c>
      <c r="E10469" t="str">
        <v>-</v>
      </c>
      <c r="F10469" t="str">
        <v>-</v>
      </c>
      <c r="G10469" t="str">
        <v>-</v>
      </c>
    </row>
    <row r="10470">
      <c r="A10470">
        <v>10469</v>
      </c>
      <c r="B10470" t="str">
        <v>Công an xã Phú Lộc  tỉnh Ninh Bình</v>
      </c>
      <c r="C10470" t="str">
        <v>-</v>
      </c>
      <c r="D10470" t="str">
        <v>-</v>
      </c>
      <c r="E10470" t="str">
        <v/>
      </c>
      <c r="F10470" t="str">
        <v>-</v>
      </c>
      <c r="G10470" t="str">
        <v>-</v>
      </c>
    </row>
    <row r="10471">
      <c r="A10471">
        <v>10470</v>
      </c>
      <c r="B10471" t="str">
        <v>UBND Ủy ban nhân dân xã Phú Lộc  tỉnh Ninh Bình</v>
      </c>
      <c r="C10471" t="str">
        <v>-</v>
      </c>
      <c r="D10471" t="str">
        <v>-</v>
      </c>
      <c r="E10471" t="str">
        <v>-</v>
      </c>
      <c r="F10471" t="str">
        <v>-</v>
      </c>
      <c r="G10471" t="str">
        <v>-</v>
      </c>
    </row>
    <row r="10472">
      <c r="A10472">
        <v>10471</v>
      </c>
      <c r="B10472" t="str">
        <v>Công an xã Kỳ Phú  tỉnh Ninh Bình</v>
      </c>
      <c r="C10472" t="str">
        <v>-</v>
      </c>
      <c r="D10472" t="str">
        <v>-</v>
      </c>
      <c r="E10472" t="str">
        <v/>
      </c>
      <c r="F10472" t="str">
        <v>-</v>
      </c>
      <c r="G10472" t="str">
        <v>-</v>
      </c>
    </row>
    <row r="10473">
      <c r="A10473">
        <v>10472</v>
      </c>
      <c r="B10473" t="str">
        <v>UBND Ủy ban nhân dân xã Kỳ Phú  tỉnh Ninh Bình</v>
      </c>
      <c r="C10473" t="str">
        <v>-</v>
      </c>
      <c r="D10473" t="str">
        <v>-</v>
      </c>
      <c r="E10473" t="str">
        <v>-</v>
      </c>
      <c r="F10473" t="str">
        <v>-</v>
      </c>
      <c r="G10473" t="str">
        <v>-</v>
      </c>
    </row>
    <row r="10474">
      <c r="A10474">
        <v>10473</v>
      </c>
      <c r="B10474" t="str">
        <v>Công an xã Quỳnh Lưu  tỉnh Ninh Bình</v>
      </c>
      <c r="C10474" t="str">
        <v>-</v>
      </c>
      <c r="D10474" t="str">
        <v>-</v>
      </c>
      <c r="E10474" t="str">
        <v/>
      </c>
      <c r="F10474" t="str">
        <v>-</v>
      </c>
      <c r="G10474" t="str">
        <v>-</v>
      </c>
    </row>
    <row r="10475">
      <c r="A10475">
        <v>10474</v>
      </c>
      <c r="B10475" t="str">
        <v>UBND Ủy ban nhân dân xã Quỳnh Lưu  tỉnh Ninh Bình</v>
      </c>
      <c r="C10475" t="str">
        <v>-</v>
      </c>
      <c r="D10475" t="str">
        <v>-</v>
      </c>
      <c r="E10475" t="str">
        <v>-</v>
      </c>
      <c r="F10475" t="str">
        <v>-</v>
      </c>
      <c r="G10475" t="str">
        <v>-</v>
      </c>
    </row>
    <row r="10476">
      <c r="A10476">
        <v>10475</v>
      </c>
      <c r="B10476" t="str">
        <v>Công an xã Sơn Hà  tỉnh Ninh Bình</v>
      </c>
      <c r="C10476" t="str">
        <v>-</v>
      </c>
      <c r="D10476" t="str">
        <v>-</v>
      </c>
      <c r="E10476" t="str">
        <v/>
      </c>
      <c r="F10476" t="str">
        <v>-</v>
      </c>
      <c r="G10476" t="str">
        <v>-</v>
      </c>
    </row>
    <row r="10477">
      <c r="A10477">
        <v>10476</v>
      </c>
      <c r="B10477" t="str">
        <v>UBND Ủy ban nhân dân xã Sơn Hà  tỉnh Ninh Bình</v>
      </c>
      <c r="C10477" t="str">
        <v>-</v>
      </c>
      <c r="D10477" t="str">
        <v>-</v>
      </c>
      <c r="E10477" t="str">
        <v>-</v>
      </c>
      <c r="F10477" t="str">
        <v>-</v>
      </c>
      <c r="G10477" t="str">
        <v>-</v>
      </c>
    </row>
    <row r="10478">
      <c r="A10478">
        <v>10477</v>
      </c>
      <c r="B10478" t="str">
        <v>Công an xã Phú Long  tỉnh Ninh Bình</v>
      </c>
      <c r="C10478" t="str">
        <v>-</v>
      </c>
      <c r="D10478" t="str">
        <v>-</v>
      </c>
      <c r="E10478" t="str">
        <v/>
      </c>
      <c r="F10478" t="str">
        <v>-</v>
      </c>
      <c r="G10478" t="str">
        <v>-</v>
      </c>
    </row>
    <row r="10479">
      <c r="A10479">
        <v>10478</v>
      </c>
      <c r="B10479" t="str">
        <v>UBND Ủy ban nhân dân xã Phú Long  tỉnh Ninh Bình</v>
      </c>
      <c r="C10479" t="str">
        <v>-</v>
      </c>
      <c r="D10479" t="str">
        <v>-</v>
      </c>
      <c r="E10479" t="str">
        <v>-</v>
      </c>
      <c r="F10479" t="str">
        <v>-</v>
      </c>
      <c r="G10479" t="str">
        <v>-</v>
      </c>
    </row>
    <row r="10480">
      <c r="A10480">
        <v>10479</v>
      </c>
      <c r="B10480" t="str">
        <v>Công an xã Quảng Lạc  tỉnh Ninh Bình</v>
      </c>
      <c r="C10480" t="str">
        <v>-</v>
      </c>
      <c r="D10480" t="str">
        <v>-</v>
      </c>
      <c r="E10480" t="str">
        <v/>
      </c>
      <c r="F10480" t="str">
        <v>-</v>
      </c>
      <c r="G10480" t="str">
        <v>-</v>
      </c>
    </row>
    <row r="10481">
      <c r="A10481">
        <v>10480</v>
      </c>
      <c r="B10481" t="str">
        <v>UBND Ủy ban nhân dân xã Quảng Lạc  tỉnh Ninh Bình</v>
      </c>
      <c r="C10481" t="str">
        <v>-</v>
      </c>
      <c r="D10481" t="str">
        <v>-</v>
      </c>
      <c r="E10481" t="str">
        <v>-</v>
      </c>
      <c r="F10481" t="str">
        <v>-</v>
      </c>
      <c r="G10481" t="str">
        <v>-</v>
      </c>
    </row>
    <row r="10482">
      <c r="A10482">
        <v>10481</v>
      </c>
      <c r="B10482" t="str">
        <v>Công an thị trấn Me  tỉnh Ninh Bình</v>
      </c>
      <c r="C10482" t="str">
        <v>-</v>
      </c>
      <c r="D10482" t="str">
        <v>-</v>
      </c>
      <c r="E10482" t="str">
        <v/>
      </c>
      <c r="F10482" t="str">
        <v>-</v>
      </c>
      <c r="G10482" t="str">
        <v>-</v>
      </c>
    </row>
    <row r="10483">
      <c r="A10483">
        <v>10482</v>
      </c>
      <c r="B10483" t="str">
        <v>UBND Ủy ban nhân dân thị trấn Me  tỉnh Ninh Bình</v>
      </c>
      <c r="C10483" t="str">
        <v>-</v>
      </c>
      <c r="D10483" t="str">
        <v>-</v>
      </c>
      <c r="E10483" t="str">
        <v>-</v>
      </c>
      <c r="F10483" t="str">
        <v>-</v>
      </c>
      <c r="G10483" t="str">
        <v>-</v>
      </c>
    </row>
    <row r="10484">
      <c r="A10484">
        <v>10483</v>
      </c>
      <c r="B10484" t="str">
        <v>Công an xã Gia Hòa  tỉnh Ninh Bình</v>
      </c>
      <c r="C10484" t="str">
        <v>-</v>
      </c>
      <c r="D10484" t="str">
        <v>-</v>
      </c>
      <c r="E10484" t="str">
        <v/>
      </c>
      <c r="F10484" t="str">
        <v>-</v>
      </c>
      <c r="G10484" t="str">
        <v>-</v>
      </c>
    </row>
    <row r="10485">
      <c r="A10485">
        <v>10484</v>
      </c>
      <c r="B10485" t="str">
        <v>UBND Ủy ban nhân dân xã Gia Hòa  tỉnh Ninh Bình</v>
      </c>
      <c r="C10485" t="str">
        <v>-</v>
      </c>
      <c r="D10485" t="str">
        <v>-</v>
      </c>
      <c r="E10485" t="str">
        <v>-</v>
      </c>
      <c r="F10485" t="str">
        <v>-</v>
      </c>
      <c r="G10485" t="str">
        <v>-</v>
      </c>
    </row>
    <row r="10486">
      <c r="A10486">
        <v>10485</v>
      </c>
      <c r="B10486" t="str">
        <v>Công an xã Gia Hưng  tỉnh Ninh Bình</v>
      </c>
      <c r="C10486" t="str">
        <v>-</v>
      </c>
      <c r="D10486" t="str">
        <v>-</v>
      </c>
      <c r="E10486" t="str">
        <v/>
      </c>
      <c r="F10486" t="str">
        <v>-</v>
      </c>
      <c r="G10486" t="str">
        <v>-</v>
      </c>
    </row>
    <row r="10487">
      <c r="A10487">
        <v>10486</v>
      </c>
      <c r="B10487" t="str">
        <v>UBND Ủy ban nhân dân xã Gia Hưng  tỉnh Ninh Bình</v>
      </c>
      <c r="C10487" t="str">
        <v>-</v>
      </c>
      <c r="D10487" t="str">
        <v>-</v>
      </c>
      <c r="E10487" t="str">
        <v>-</v>
      </c>
      <c r="F10487" t="str">
        <v>-</v>
      </c>
      <c r="G10487" t="str">
        <v>-</v>
      </c>
    </row>
    <row r="10488">
      <c r="A10488">
        <v>10487</v>
      </c>
      <c r="B10488" t="str">
        <v>Công an xã Liên Sơn  tỉnh Ninh Bình</v>
      </c>
      <c r="C10488" t="str">
        <v>-</v>
      </c>
      <c r="D10488" t="str">
        <v>-</v>
      </c>
      <c r="E10488" t="str">
        <v/>
      </c>
      <c r="F10488" t="str">
        <v>-</v>
      </c>
      <c r="G10488" t="str">
        <v>-</v>
      </c>
    </row>
    <row r="10489">
      <c r="A10489">
        <v>10488</v>
      </c>
      <c r="B10489" t="str">
        <v>UBND Ủy ban nhân dân xã Liên Sơn  tỉnh Ninh Bình</v>
      </c>
      <c r="C10489" t="str">
        <v>-</v>
      </c>
      <c r="D10489" t="str">
        <v>-</v>
      </c>
      <c r="E10489" t="str">
        <v>-</v>
      </c>
      <c r="F10489" t="str">
        <v>-</v>
      </c>
      <c r="G10489" t="str">
        <v>-</v>
      </c>
    </row>
    <row r="10490">
      <c r="A10490">
        <v>10489</v>
      </c>
      <c r="B10490" t="str">
        <v>Công an xã Gia Thanh  tỉnh Ninh Bình</v>
      </c>
      <c r="C10490" t="str">
        <v>-</v>
      </c>
      <c r="D10490" t="str">
        <v>-</v>
      </c>
      <c r="E10490" t="str">
        <v/>
      </c>
      <c r="F10490" t="str">
        <v>-</v>
      </c>
      <c r="G10490" t="str">
        <v>-</v>
      </c>
    </row>
    <row r="10491">
      <c r="A10491">
        <v>10490</v>
      </c>
      <c r="B10491" t="str">
        <v>UBND Ủy ban nhân dân xã Gia Thanh  tỉnh Ninh Bình</v>
      </c>
      <c r="C10491" t="str">
        <v>-</v>
      </c>
      <c r="D10491" t="str">
        <v>-</v>
      </c>
      <c r="E10491" t="str">
        <v>-</v>
      </c>
      <c r="F10491" t="str">
        <v>-</v>
      </c>
      <c r="G10491" t="str">
        <v>-</v>
      </c>
    </row>
    <row r="10492">
      <c r="A10492">
        <v>10491</v>
      </c>
      <c r="B10492" t="str">
        <v>Công an xã Gia Vân  tỉnh Ninh Bình</v>
      </c>
      <c r="C10492" t="str">
        <v>-</v>
      </c>
      <c r="D10492" t="str">
        <v>-</v>
      </c>
      <c r="E10492" t="str">
        <v/>
      </c>
      <c r="F10492" t="str">
        <v>-</v>
      </c>
      <c r="G10492" t="str">
        <v>-</v>
      </c>
    </row>
    <row r="10493">
      <c r="A10493">
        <v>10492</v>
      </c>
      <c r="B10493" t="str">
        <v>UBND Ủy ban nhân dân xã Gia Vân  tỉnh Ninh Bình</v>
      </c>
      <c r="C10493" t="str">
        <v>-</v>
      </c>
      <c r="D10493" t="str">
        <v>-</v>
      </c>
      <c r="E10493" t="str">
        <v>-</v>
      </c>
      <c r="F10493" t="str">
        <v>-</v>
      </c>
      <c r="G10493" t="str">
        <v>-</v>
      </c>
    </row>
    <row r="10494">
      <c r="A10494">
        <v>10493</v>
      </c>
      <c r="B10494" t="str">
        <v>Công an xã Gia Phú  tỉnh Ninh Bình</v>
      </c>
      <c r="C10494" t="str">
        <v>-</v>
      </c>
      <c r="D10494" t="str">
        <v>-</v>
      </c>
      <c r="E10494" t="str">
        <v/>
      </c>
      <c r="F10494" t="str">
        <v>-</v>
      </c>
      <c r="G10494" t="str">
        <v>-</v>
      </c>
    </row>
    <row r="10495">
      <c r="A10495">
        <v>10494</v>
      </c>
      <c r="B10495" t="str">
        <v>UBND Ủy ban nhân dân xã Gia Phú  tỉnh Ninh Bình</v>
      </c>
      <c r="C10495" t="str">
        <v>-</v>
      </c>
      <c r="D10495" t="str">
        <v>-</v>
      </c>
      <c r="E10495" t="str">
        <v>-</v>
      </c>
      <c r="F10495" t="str">
        <v>-</v>
      </c>
      <c r="G10495" t="str">
        <v>-</v>
      </c>
    </row>
    <row r="10496">
      <c r="A10496">
        <v>10495</v>
      </c>
      <c r="B10496" t="str">
        <v>Công an xã Gia Xuân  tỉnh Ninh Bình</v>
      </c>
      <c r="C10496" t="str">
        <v>-</v>
      </c>
      <c r="D10496" t="str">
        <v>-</v>
      </c>
      <c r="E10496" t="str">
        <v/>
      </c>
      <c r="F10496" t="str">
        <v>-</v>
      </c>
      <c r="G10496" t="str">
        <v>-</v>
      </c>
    </row>
    <row r="10497">
      <c r="A10497">
        <v>10496</v>
      </c>
      <c r="B10497" t="str">
        <v>UBND Ủy ban nhân dân xã Gia Xuân  tỉnh Ninh Bình</v>
      </c>
      <c r="C10497" t="str">
        <v>-</v>
      </c>
      <c r="D10497" t="str">
        <v>-</v>
      </c>
      <c r="E10497" t="str">
        <v>-</v>
      </c>
      <c r="F10497" t="str">
        <v>-</v>
      </c>
      <c r="G10497" t="str">
        <v>-</v>
      </c>
    </row>
    <row r="10498">
      <c r="A10498">
        <v>10497</v>
      </c>
      <c r="B10498" t="str">
        <v>Công an xã Gia Lập  tỉnh Ninh Bình</v>
      </c>
      <c r="C10498" t="str">
        <v>-</v>
      </c>
      <c r="D10498" t="str">
        <v>-</v>
      </c>
      <c r="E10498" t="str">
        <v/>
      </c>
      <c r="F10498" t="str">
        <v>-</v>
      </c>
      <c r="G10498" t="str">
        <v>-</v>
      </c>
    </row>
    <row r="10499">
      <c r="A10499">
        <v>10498</v>
      </c>
      <c r="B10499" t="str">
        <v>UBND Ủy ban nhân dân xã Gia Lập  tỉnh Ninh Bình</v>
      </c>
      <c r="C10499" t="str">
        <v>-</v>
      </c>
      <c r="D10499" t="str">
        <v>-</v>
      </c>
      <c r="E10499" t="str">
        <v>-</v>
      </c>
      <c r="F10499" t="str">
        <v>-</v>
      </c>
      <c r="G10499" t="str">
        <v>-</v>
      </c>
    </row>
    <row r="10500">
      <c r="A10500">
        <v>10499</v>
      </c>
      <c r="B10500" t="str">
        <v>Công an xã Gia Vượng  tỉnh Ninh Bình</v>
      </c>
      <c r="C10500" t="str">
        <v>-</v>
      </c>
      <c r="D10500" t="str">
        <v>-</v>
      </c>
      <c r="E10500" t="str">
        <v/>
      </c>
      <c r="F10500" t="str">
        <v>-</v>
      </c>
      <c r="G10500" t="str">
        <v>-</v>
      </c>
    </row>
    <row r="10501">
      <c r="A10501">
        <v>10500</v>
      </c>
      <c r="B10501" t="str">
        <v>UBND Ủy ban nhân dân xã Gia Vượng  tỉnh Ninh Bình</v>
      </c>
      <c r="C10501" t="str">
        <v>-</v>
      </c>
      <c r="D10501" t="str">
        <v>-</v>
      </c>
      <c r="E10501" t="str">
        <v>-</v>
      </c>
      <c r="F10501" t="str">
        <v>-</v>
      </c>
      <c r="G10501" t="str">
        <v>-</v>
      </c>
    </row>
    <row r="10502">
      <c r="A10502">
        <v>10501</v>
      </c>
      <c r="B10502" t="str">
        <v>Công an xã Gia Trấn  tỉnh Ninh Bình</v>
      </c>
      <c r="C10502" t="str">
        <v>-</v>
      </c>
      <c r="D10502" t="str">
        <v>-</v>
      </c>
      <c r="E10502" t="str">
        <v/>
      </c>
      <c r="F10502" t="str">
        <v>-</v>
      </c>
      <c r="G10502" t="str">
        <v>-</v>
      </c>
    </row>
    <row r="10503">
      <c r="A10503">
        <v>10502</v>
      </c>
      <c r="B10503" t="str">
        <v>UBND Ủy ban nhân dân xã Gia Trấn  tỉnh Ninh Bình</v>
      </c>
      <c r="C10503" t="str">
        <v>-</v>
      </c>
      <c r="D10503" t="str">
        <v>-</v>
      </c>
      <c r="E10503" t="str">
        <v>-</v>
      </c>
      <c r="F10503" t="str">
        <v>-</v>
      </c>
      <c r="G10503" t="str">
        <v>-</v>
      </c>
    </row>
    <row r="10504">
      <c r="A10504">
        <v>10503</v>
      </c>
      <c r="B10504" t="str">
        <v>Công an xã Gia Thịnh  tỉnh Ninh Bình</v>
      </c>
      <c r="C10504" t="str">
        <v>-</v>
      </c>
      <c r="D10504" t="str">
        <v>-</v>
      </c>
      <c r="E10504" t="str">
        <v/>
      </c>
      <c r="F10504" t="str">
        <v>-</v>
      </c>
      <c r="G10504" t="str">
        <v>-</v>
      </c>
    </row>
    <row r="10505">
      <c r="A10505">
        <v>10504</v>
      </c>
      <c r="B10505" t="str">
        <v>UBND Ủy ban nhân dân xã Gia Thịnh  tỉnh Ninh Bình</v>
      </c>
      <c r="C10505" t="str">
        <v>-</v>
      </c>
      <c r="D10505" t="str">
        <v>-</v>
      </c>
      <c r="E10505" t="str">
        <v>-</v>
      </c>
      <c r="F10505" t="str">
        <v>-</v>
      </c>
      <c r="G10505" t="str">
        <v>-</v>
      </c>
    </row>
    <row r="10506">
      <c r="A10506">
        <v>10505</v>
      </c>
      <c r="B10506" t="str">
        <v>Công an xã Gia Phương  tỉnh Ninh Bình</v>
      </c>
      <c r="C10506" t="str">
        <v>-</v>
      </c>
      <c r="D10506" t="str">
        <v>-</v>
      </c>
      <c r="E10506" t="str">
        <v/>
      </c>
      <c r="F10506" t="str">
        <v>-</v>
      </c>
      <c r="G10506" t="str">
        <v>-</v>
      </c>
    </row>
    <row r="10507">
      <c r="A10507">
        <v>10506</v>
      </c>
      <c r="B10507" t="str">
        <v>UBND Ủy ban nhân dân xã Gia Phương  tỉnh Ninh Bình</v>
      </c>
      <c r="C10507" t="str">
        <v>-</v>
      </c>
      <c r="D10507" t="str">
        <v>-</v>
      </c>
      <c r="E10507" t="str">
        <v>-</v>
      </c>
      <c r="F10507" t="str">
        <v>-</v>
      </c>
      <c r="G10507" t="str">
        <v>-</v>
      </c>
    </row>
    <row r="10508">
      <c r="A10508">
        <v>10507</v>
      </c>
      <c r="B10508" t="str">
        <v>Công an xã Gia Tân  tỉnh Ninh Bình</v>
      </c>
      <c r="C10508" t="str">
        <v>-</v>
      </c>
      <c r="D10508" t="str">
        <v>-</v>
      </c>
      <c r="E10508" t="str">
        <v/>
      </c>
      <c r="F10508" t="str">
        <v>-</v>
      </c>
      <c r="G10508" t="str">
        <v>-</v>
      </c>
    </row>
    <row r="10509">
      <c r="A10509">
        <v>10508</v>
      </c>
      <c r="B10509" t="str">
        <v>UBND Ủy ban nhân dân xã Gia Tân  tỉnh Ninh Bình</v>
      </c>
      <c r="C10509" t="str">
        <v>-</v>
      </c>
      <c r="D10509" t="str">
        <v>-</v>
      </c>
      <c r="E10509" t="str">
        <v>-</v>
      </c>
      <c r="F10509" t="str">
        <v>-</v>
      </c>
      <c r="G10509" t="str">
        <v>-</v>
      </c>
    </row>
    <row r="10510">
      <c r="A10510">
        <v>10509</v>
      </c>
      <c r="B10510" t="str">
        <v>Công an xã Gia Thắng  tỉnh Ninh Bình</v>
      </c>
      <c r="C10510" t="str">
        <v>-</v>
      </c>
      <c r="D10510" t="str">
        <v>-</v>
      </c>
      <c r="E10510" t="str">
        <v/>
      </c>
      <c r="F10510" t="str">
        <v>-</v>
      </c>
      <c r="G10510" t="str">
        <v>-</v>
      </c>
    </row>
    <row r="10511">
      <c r="A10511">
        <v>10510</v>
      </c>
      <c r="B10511" t="str">
        <v>UBND Ủy ban nhân dân xã Gia Thắng  tỉnh Ninh Bình</v>
      </c>
      <c r="C10511" t="str">
        <v>-</v>
      </c>
      <c r="D10511" t="str">
        <v>-</v>
      </c>
      <c r="E10511" t="str">
        <v>-</v>
      </c>
      <c r="F10511" t="str">
        <v>-</v>
      </c>
      <c r="G10511" t="str">
        <v>-</v>
      </c>
    </row>
    <row r="10512">
      <c r="A10512">
        <v>10511</v>
      </c>
      <c r="B10512" t="str">
        <v>Công an xã Gia Trung  tỉnh Ninh Bình</v>
      </c>
      <c r="C10512" t="str">
        <v>-</v>
      </c>
      <c r="D10512" t="str">
        <v>-</v>
      </c>
      <c r="E10512" t="str">
        <v/>
      </c>
      <c r="F10512" t="str">
        <v>-</v>
      </c>
      <c r="G10512" t="str">
        <v>-</v>
      </c>
    </row>
    <row r="10513">
      <c r="A10513">
        <v>10512</v>
      </c>
      <c r="B10513" t="str">
        <v>UBND Ủy ban nhân dân xã Gia Trung  tỉnh Ninh Bình</v>
      </c>
      <c r="C10513" t="str">
        <v>-</v>
      </c>
      <c r="D10513" t="str">
        <v>-</v>
      </c>
      <c r="E10513" t="str">
        <v>-</v>
      </c>
      <c r="F10513" t="str">
        <v>-</v>
      </c>
      <c r="G10513" t="str">
        <v>-</v>
      </c>
    </row>
    <row r="10514">
      <c r="A10514">
        <v>10513</v>
      </c>
      <c r="B10514" t="str">
        <v>Công an xã Gia Minh  tỉnh Ninh Bình</v>
      </c>
      <c r="C10514" t="str">
        <v>-</v>
      </c>
      <c r="D10514" t="str">
        <v>-</v>
      </c>
      <c r="E10514" t="str">
        <v/>
      </c>
      <c r="F10514" t="str">
        <v>-</v>
      </c>
      <c r="G10514" t="str">
        <v>-</v>
      </c>
    </row>
    <row r="10515">
      <c r="A10515">
        <v>10514</v>
      </c>
      <c r="B10515" t="str">
        <v>UBND Ủy ban nhân dân xã Gia Minh  tỉnh Ninh Bình</v>
      </c>
      <c r="C10515" t="str">
        <v>-</v>
      </c>
      <c r="D10515" t="str">
        <v>-</v>
      </c>
      <c r="E10515" t="str">
        <v>-</v>
      </c>
      <c r="F10515" t="str">
        <v>-</v>
      </c>
      <c r="G10515" t="str">
        <v>-</v>
      </c>
    </row>
    <row r="10516">
      <c r="A10516">
        <v>10515</v>
      </c>
      <c r="B10516" t="str">
        <v>Công an xã Gia Lạc  tỉnh Ninh Bình</v>
      </c>
      <c r="C10516" t="str">
        <v>-</v>
      </c>
      <c r="D10516" t="str">
        <v>-</v>
      </c>
      <c r="E10516" t="str">
        <v/>
      </c>
      <c r="F10516" t="str">
        <v>-</v>
      </c>
      <c r="G10516" t="str">
        <v>-</v>
      </c>
    </row>
    <row r="10517">
      <c r="A10517">
        <v>10516</v>
      </c>
      <c r="B10517" t="str">
        <v>UBND Ủy ban nhân dân xã Gia Lạc  tỉnh Ninh Bình</v>
      </c>
      <c r="C10517" t="str">
        <v>-</v>
      </c>
      <c r="D10517" t="str">
        <v>-</v>
      </c>
      <c r="E10517" t="str">
        <v>-</v>
      </c>
      <c r="F10517" t="str">
        <v>-</v>
      </c>
      <c r="G10517" t="str">
        <v>-</v>
      </c>
    </row>
    <row r="10518">
      <c r="A10518">
        <v>10517</v>
      </c>
      <c r="B10518" t="str">
        <v>Công an xã Gia Tiến  tỉnh Ninh Bình</v>
      </c>
      <c r="C10518" t="str">
        <v>-</v>
      </c>
      <c r="D10518" t="str">
        <v>-</v>
      </c>
      <c r="E10518" t="str">
        <v/>
      </c>
      <c r="F10518" t="str">
        <v>-</v>
      </c>
      <c r="G10518" t="str">
        <v>-</v>
      </c>
    </row>
    <row r="10519">
      <c r="A10519">
        <v>10518</v>
      </c>
      <c r="B10519" t="str">
        <v>UBND Ủy ban nhân dân xã Gia Tiến  tỉnh Ninh Bình</v>
      </c>
      <c r="C10519" t="str">
        <v>-</v>
      </c>
      <c r="D10519" t="str">
        <v>-</v>
      </c>
      <c r="E10519" t="str">
        <v>-</v>
      </c>
      <c r="F10519" t="str">
        <v>-</v>
      </c>
      <c r="G10519" t="str">
        <v>-</v>
      </c>
    </row>
    <row r="10520">
      <c r="A10520">
        <v>10519</v>
      </c>
      <c r="B10520" t="str">
        <v>Công an xã Gia Sinh  tỉnh Ninh Bình</v>
      </c>
      <c r="C10520" t="str">
        <v>-</v>
      </c>
      <c r="D10520" t="str">
        <v>-</v>
      </c>
      <c r="E10520" t="str">
        <v/>
      </c>
      <c r="F10520" t="str">
        <v>-</v>
      </c>
      <c r="G10520" t="str">
        <v>-</v>
      </c>
    </row>
    <row r="10521">
      <c r="A10521">
        <v>10520</v>
      </c>
      <c r="B10521" t="str">
        <v>UBND Ủy ban nhân dân xã Gia Sinh  tỉnh Ninh Bình</v>
      </c>
      <c r="C10521" t="str">
        <v>-</v>
      </c>
      <c r="D10521" t="str">
        <v>-</v>
      </c>
      <c r="E10521" t="str">
        <v>-</v>
      </c>
      <c r="F10521" t="str">
        <v>-</v>
      </c>
      <c r="G10521" t="str">
        <v>-</v>
      </c>
    </row>
    <row r="10522">
      <c r="A10522">
        <v>10521</v>
      </c>
      <c r="B10522" t="str">
        <v>Công an xã Gia Phong  tỉnh Ninh Bình</v>
      </c>
      <c r="C10522" t="str">
        <v>-</v>
      </c>
      <c r="D10522" t="str">
        <v>-</v>
      </c>
      <c r="E10522" t="str">
        <v/>
      </c>
      <c r="F10522" t="str">
        <v>-</v>
      </c>
      <c r="G10522" t="str">
        <v>-</v>
      </c>
    </row>
    <row r="10523">
      <c r="A10523">
        <v>10522</v>
      </c>
      <c r="B10523" t="str">
        <v>UBND Ủy ban nhân dân xã Gia Phong  tỉnh Ninh Bình</v>
      </c>
      <c r="C10523" t="str">
        <v>-</v>
      </c>
      <c r="D10523" t="str">
        <v>-</v>
      </c>
      <c r="E10523" t="str">
        <v>-</v>
      </c>
      <c r="F10523" t="str">
        <v>-</v>
      </c>
      <c r="G10523" t="str">
        <v>-</v>
      </c>
    </row>
    <row r="10524">
      <c r="A10524">
        <v>10523</v>
      </c>
      <c r="B10524" t="str">
        <v>Công an thị trấn Thiên Tôn  tỉnh Ninh Bình</v>
      </c>
      <c r="C10524" t="str">
        <v>-</v>
      </c>
      <c r="D10524" t="str">
        <v>-</v>
      </c>
      <c r="E10524" t="str">
        <v/>
      </c>
      <c r="F10524" t="str">
        <v>-</v>
      </c>
      <c r="G10524" t="str">
        <v>-</v>
      </c>
    </row>
    <row r="10525">
      <c r="A10525">
        <v>10524</v>
      </c>
      <c r="B10525" t="str">
        <v>UBND Ủy ban nhân dân thị trấn Thiên Tôn  tỉnh Ninh Bình</v>
      </c>
      <c r="C10525" t="str">
        <v>-</v>
      </c>
      <c r="D10525" t="str">
        <v>-</v>
      </c>
      <c r="E10525" t="str">
        <v>-</v>
      </c>
      <c r="F10525" t="str">
        <v>-</v>
      </c>
      <c r="G10525" t="str">
        <v>-</v>
      </c>
    </row>
    <row r="10526">
      <c r="A10526">
        <v>10525</v>
      </c>
      <c r="B10526" t="str">
        <v>Công an xã Ninh Giang  tỉnh Ninh Bình</v>
      </c>
      <c r="C10526" t="str">
        <v>-</v>
      </c>
      <c r="D10526" t="str">
        <v>-</v>
      </c>
      <c r="E10526" t="str">
        <v/>
      </c>
      <c r="F10526" t="str">
        <v>-</v>
      </c>
      <c r="G10526" t="str">
        <v>-</v>
      </c>
    </row>
    <row r="10527">
      <c r="A10527">
        <v>10526</v>
      </c>
      <c r="B10527" t="str">
        <v>UBND Ủy ban nhân dân xã Ninh Giang  tỉnh Ninh Bình</v>
      </c>
      <c r="C10527" t="str">
        <v>-</v>
      </c>
      <c r="D10527" t="str">
        <v>-</v>
      </c>
      <c r="E10527" t="str">
        <v>-</v>
      </c>
      <c r="F10527" t="str">
        <v>-</v>
      </c>
      <c r="G10527" t="str">
        <v>-</v>
      </c>
    </row>
    <row r="10528">
      <c r="A10528">
        <v>10527</v>
      </c>
      <c r="B10528" t="str">
        <v>Công an xã Trường Yên  tỉnh Ninh Bình</v>
      </c>
      <c r="C10528" t="str">
        <v>-</v>
      </c>
      <c r="D10528" t="str">
        <v>-</v>
      </c>
      <c r="E10528" t="str">
        <v/>
      </c>
      <c r="F10528" t="str">
        <v>-</v>
      </c>
      <c r="G10528" t="str">
        <v>-</v>
      </c>
    </row>
    <row r="10529">
      <c r="A10529">
        <v>10528</v>
      </c>
      <c r="B10529" t="str">
        <v>UBND Ủy ban nhân dân xã Trường Yên  tỉnh Ninh Bình</v>
      </c>
      <c r="C10529" t="str">
        <v>-</v>
      </c>
      <c r="D10529" t="str">
        <v>-</v>
      </c>
      <c r="E10529" t="str">
        <v>-</v>
      </c>
      <c r="F10529" t="str">
        <v>-</v>
      </c>
      <c r="G10529" t="str">
        <v>-</v>
      </c>
    </row>
    <row r="10530">
      <c r="A10530">
        <v>10529</v>
      </c>
      <c r="B10530" t="str">
        <v>Công an xã Ninh Khang  tỉnh Ninh Bình</v>
      </c>
      <c r="C10530" t="str">
        <v>-</v>
      </c>
      <c r="D10530" t="str">
        <v>-</v>
      </c>
      <c r="E10530" t="str">
        <v/>
      </c>
      <c r="F10530" t="str">
        <v>-</v>
      </c>
      <c r="G10530" t="str">
        <v>-</v>
      </c>
    </row>
    <row r="10531">
      <c r="A10531">
        <v>10530</v>
      </c>
      <c r="B10531" t="str">
        <v>UBND Ủy ban nhân dân xã Ninh Khang  tỉnh Ninh Bình</v>
      </c>
      <c r="C10531" t="str">
        <v>-</v>
      </c>
      <c r="D10531" t="str">
        <v>-</v>
      </c>
      <c r="E10531" t="str">
        <v>-</v>
      </c>
      <c r="F10531" t="str">
        <v>-</v>
      </c>
      <c r="G10531" t="str">
        <v>-</v>
      </c>
    </row>
    <row r="10532">
      <c r="A10532">
        <v>10531</v>
      </c>
      <c r="B10532" t="str">
        <v>Công an xã Ninh Mỹ  tỉnh Ninh Bình</v>
      </c>
      <c r="C10532" t="str">
        <v>-</v>
      </c>
      <c r="D10532" t="str">
        <v>-</v>
      </c>
      <c r="E10532" t="str">
        <v/>
      </c>
      <c r="F10532" t="str">
        <v>-</v>
      </c>
      <c r="G10532" t="str">
        <v>-</v>
      </c>
    </row>
    <row r="10533">
      <c r="A10533">
        <v>10532</v>
      </c>
      <c r="B10533" t="str">
        <v>UBND Ủy ban nhân dân xã Ninh Mỹ  tỉnh Ninh Bình</v>
      </c>
      <c r="C10533" t="str">
        <v>-</v>
      </c>
      <c r="D10533" t="str">
        <v>-</v>
      </c>
      <c r="E10533" t="str">
        <v>-</v>
      </c>
      <c r="F10533" t="str">
        <v>-</v>
      </c>
      <c r="G10533" t="str">
        <v>-</v>
      </c>
    </row>
    <row r="10534">
      <c r="A10534">
        <v>10533</v>
      </c>
      <c r="B10534" t="str">
        <v>Công an xã Ninh Hòa  tỉnh Ninh Bình</v>
      </c>
      <c r="C10534" t="str">
        <v>-</v>
      </c>
      <c r="D10534" t="str">
        <v>-</v>
      </c>
      <c r="E10534" t="str">
        <v/>
      </c>
      <c r="F10534" t="str">
        <v>-</v>
      </c>
      <c r="G10534" t="str">
        <v>-</v>
      </c>
    </row>
    <row r="10535">
      <c r="A10535">
        <v>10534</v>
      </c>
      <c r="B10535" t="str">
        <v>UBND Ủy ban nhân dân xã Ninh Hòa  tỉnh Ninh Bình</v>
      </c>
      <c r="C10535" t="str">
        <v>-</v>
      </c>
      <c r="D10535" t="str">
        <v>-</v>
      </c>
      <c r="E10535" t="str">
        <v>-</v>
      </c>
      <c r="F10535" t="str">
        <v>-</v>
      </c>
      <c r="G10535" t="str">
        <v>-</v>
      </c>
    </row>
    <row r="10536">
      <c r="A10536">
        <v>10535</v>
      </c>
      <c r="B10536" t="str">
        <v>Công an xã Ninh Xuân  tỉnh Ninh Bình</v>
      </c>
      <c r="C10536" t="str">
        <v>-</v>
      </c>
      <c r="D10536" t="str">
        <v>-</v>
      </c>
      <c r="E10536" t="str">
        <v/>
      </c>
      <c r="F10536" t="str">
        <v>-</v>
      </c>
      <c r="G10536" t="str">
        <v>-</v>
      </c>
    </row>
    <row r="10537">
      <c r="A10537">
        <v>10536</v>
      </c>
      <c r="B10537" t="str">
        <v>UBND Ủy ban nhân dân xã Ninh Xuân  tỉnh Ninh Bình</v>
      </c>
      <c r="C10537" t="str">
        <v>-</v>
      </c>
      <c r="D10537" t="str">
        <v>-</v>
      </c>
      <c r="E10537" t="str">
        <v>-</v>
      </c>
      <c r="F10537" t="str">
        <v>-</v>
      </c>
      <c r="G10537" t="str">
        <v>-</v>
      </c>
    </row>
    <row r="10538">
      <c r="A10538">
        <v>10537</v>
      </c>
      <c r="B10538" t="str">
        <v>Công an xã Ninh Hải  tỉnh Ninh Bình</v>
      </c>
      <c r="C10538" t="str">
        <v>-</v>
      </c>
      <c r="D10538" t="str">
        <v>-</v>
      </c>
      <c r="E10538" t="str">
        <v/>
      </c>
      <c r="F10538" t="str">
        <v>-</v>
      </c>
      <c r="G10538" t="str">
        <v>-</v>
      </c>
    </row>
    <row r="10539">
      <c r="A10539">
        <v>10538</v>
      </c>
      <c r="B10539" t="str">
        <v>UBND Ủy ban nhân dân xã Ninh Hải  tỉnh Ninh Bình</v>
      </c>
      <c r="C10539" t="str">
        <v>-</v>
      </c>
      <c r="D10539" t="str">
        <v>-</v>
      </c>
      <c r="E10539" t="str">
        <v>-</v>
      </c>
      <c r="F10539" t="str">
        <v>-</v>
      </c>
      <c r="G10539" t="str">
        <v>-</v>
      </c>
    </row>
    <row r="10540">
      <c r="A10540">
        <v>10539</v>
      </c>
      <c r="B10540" t="str">
        <v>Công an xã Ninh Thắng  tỉnh Ninh Bình</v>
      </c>
      <c r="C10540" t="str">
        <v>-</v>
      </c>
      <c r="D10540" t="str">
        <v>-</v>
      </c>
      <c r="E10540" t="str">
        <v/>
      </c>
      <c r="F10540" t="str">
        <v>-</v>
      </c>
      <c r="G10540" t="str">
        <v>-</v>
      </c>
    </row>
    <row r="10541">
      <c r="A10541">
        <v>10540</v>
      </c>
      <c r="B10541" t="str">
        <v>UBND Ủy ban nhân dân xã Ninh Thắng  tỉnh Ninh Bình</v>
      </c>
      <c r="C10541" t="str">
        <v>-</v>
      </c>
      <c r="D10541" t="str">
        <v>-</v>
      </c>
      <c r="E10541" t="str">
        <v>-</v>
      </c>
      <c r="F10541" t="str">
        <v>-</v>
      </c>
      <c r="G10541" t="str">
        <v>-</v>
      </c>
    </row>
    <row r="10542">
      <c r="A10542">
        <v>10541</v>
      </c>
      <c r="B10542" t="str">
        <v>Công an xã Ninh Vân  tỉnh Ninh Bình</v>
      </c>
      <c r="C10542" t="str">
        <v>-</v>
      </c>
      <c r="D10542" t="str">
        <v>-</v>
      </c>
      <c r="E10542" t="str">
        <v/>
      </c>
      <c r="F10542" t="str">
        <v>-</v>
      </c>
      <c r="G10542" t="str">
        <v>-</v>
      </c>
    </row>
    <row r="10543">
      <c r="A10543">
        <v>10542</v>
      </c>
      <c r="B10543" t="str">
        <v>UBND Ủy ban nhân dân xã Ninh Vân  tỉnh Ninh Bình</v>
      </c>
      <c r="C10543" t="str">
        <v>-</v>
      </c>
      <c r="D10543" t="str">
        <v>-</v>
      </c>
      <c r="E10543" t="str">
        <v>-</v>
      </c>
      <c r="F10543" t="str">
        <v>-</v>
      </c>
      <c r="G10543" t="str">
        <v>-</v>
      </c>
    </row>
    <row r="10544">
      <c r="A10544">
        <v>10543</v>
      </c>
      <c r="B10544" t="str">
        <v>Công an xã Ninh An  tỉnh Ninh Bình</v>
      </c>
      <c r="C10544" t="str">
        <v>-</v>
      </c>
      <c r="D10544" t="str">
        <v>-</v>
      </c>
      <c r="E10544" t="str">
        <v/>
      </c>
      <c r="F10544" t="str">
        <v>-</v>
      </c>
      <c r="G10544" t="str">
        <v>-</v>
      </c>
    </row>
    <row r="10545">
      <c r="A10545">
        <v>10544</v>
      </c>
      <c r="B10545" t="str">
        <v>UBND Ủy ban nhân dân xã Ninh An  tỉnh Ninh Bình</v>
      </c>
      <c r="C10545" t="str">
        <v>-</v>
      </c>
      <c r="D10545" t="str">
        <v>-</v>
      </c>
      <c r="E10545" t="str">
        <v>-</v>
      </c>
      <c r="F10545" t="str">
        <v>-</v>
      </c>
      <c r="G10545" t="str">
        <v>-</v>
      </c>
    </row>
    <row r="10546">
      <c r="A10546">
        <v>10545</v>
      </c>
      <c r="B10546" t="str">
        <v>Công an thị trấn Yên Ninh  tỉnh Ninh Bình</v>
      </c>
      <c r="C10546" t="str">
        <v>-</v>
      </c>
      <c r="D10546" t="str">
        <v>-</v>
      </c>
      <c r="E10546" t="str">
        <v/>
      </c>
      <c r="F10546" t="str">
        <v>-</v>
      </c>
      <c r="G10546" t="str">
        <v>-</v>
      </c>
    </row>
    <row r="10547">
      <c r="A10547">
        <v>10546</v>
      </c>
      <c r="B10547" t="str">
        <v>UBND Ủy ban nhân dân thị trấn Yên Ninh  tỉnh Ninh Bình</v>
      </c>
      <c r="C10547" t="str">
        <v>-</v>
      </c>
      <c r="D10547" t="str">
        <v>-</v>
      </c>
      <c r="E10547" t="str">
        <v>-</v>
      </c>
      <c r="F10547" t="str">
        <v>-</v>
      </c>
      <c r="G10547" t="str">
        <v>-</v>
      </c>
    </row>
    <row r="10548">
      <c r="A10548">
        <v>10547</v>
      </c>
      <c r="B10548" t="str">
        <v>Công an xã Khánh Tiên  tỉnh Ninh Bình</v>
      </c>
      <c r="C10548" t="str">
        <v>-</v>
      </c>
      <c r="D10548" t="str">
        <v>-</v>
      </c>
      <c r="E10548" t="str">
        <v/>
      </c>
      <c r="F10548" t="str">
        <v>-</v>
      </c>
      <c r="G10548" t="str">
        <v>-</v>
      </c>
    </row>
    <row r="10549">
      <c r="A10549">
        <v>10548</v>
      </c>
      <c r="B10549" t="str">
        <v>UBND Ủy ban nhân dân xã Khánh Tiên  tỉnh Ninh Bình</v>
      </c>
      <c r="C10549" t="str">
        <v>-</v>
      </c>
      <c r="D10549" t="str">
        <v>-</v>
      </c>
      <c r="E10549" t="str">
        <v>-</v>
      </c>
      <c r="F10549" t="str">
        <v>-</v>
      </c>
      <c r="G10549" t="str">
        <v>-</v>
      </c>
    </row>
    <row r="10550">
      <c r="A10550">
        <v>10549</v>
      </c>
      <c r="B10550" t="str">
        <v>Công an xã Khánh Phú  tỉnh Ninh Bình</v>
      </c>
      <c r="C10550" t="str">
        <v>-</v>
      </c>
      <c r="D10550" t="str">
        <v>-</v>
      </c>
      <c r="E10550" t="str">
        <v/>
      </c>
      <c r="F10550" t="str">
        <v>-</v>
      </c>
      <c r="G10550" t="str">
        <v>-</v>
      </c>
    </row>
    <row r="10551">
      <c r="A10551">
        <v>10550</v>
      </c>
      <c r="B10551" t="str">
        <v>UBND Ủy ban nhân dân xã Khánh Phú  tỉnh Ninh Bình</v>
      </c>
      <c r="C10551" t="str">
        <v>-</v>
      </c>
      <c r="D10551" t="str">
        <v>-</v>
      </c>
      <c r="E10551" t="str">
        <v>-</v>
      </c>
      <c r="F10551" t="str">
        <v>-</v>
      </c>
      <c r="G10551" t="str">
        <v>-</v>
      </c>
    </row>
    <row r="10552">
      <c r="A10552">
        <v>10551</v>
      </c>
      <c r="B10552" t="str">
        <v>Công an xã Khánh Hòa  tỉnh Ninh Bình</v>
      </c>
      <c r="C10552" t="str">
        <v>-</v>
      </c>
      <c r="D10552" t="str">
        <v>-</v>
      </c>
      <c r="E10552" t="str">
        <v/>
      </c>
      <c r="F10552" t="str">
        <v>-</v>
      </c>
      <c r="G10552" t="str">
        <v>-</v>
      </c>
    </row>
    <row r="10553">
      <c r="A10553">
        <v>10552</v>
      </c>
      <c r="B10553" t="str">
        <v>UBND Ủy ban nhân dân xã Khánh Hòa  tỉnh Ninh Bình</v>
      </c>
      <c r="C10553" t="str">
        <v>-</v>
      </c>
      <c r="D10553" t="str">
        <v>-</v>
      </c>
      <c r="E10553" t="str">
        <v>-</v>
      </c>
      <c r="F10553" t="str">
        <v>-</v>
      </c>
      <c r="G10553" t="str">
        <v>-</v>
      </c>
    </row>
    <row r="10554">
      <c r="A10554">
        <v>10553</v>
      </c>
      <c r="B10554" t="str">
        <v>Công an xã Khánh Lợi  tỉnh Ninh Bình</v>
      </c>
      <c r="C10554" t="str">
        <v>-</v>
      </c>
      <c r="D10554" t="str">
        <v>-</v>
      </c>
      <c r="E10554" t="str">
        <v/>
      </c>
      <c r="F10554" t="str">
        <v>-</v>
      </c>
      <c r="G10554" t="str">
        <v>-</v>
      </c>
    </row>
    <row r="10555">
      <c r="A10555">
        <v>10554</v>
      </c>
      <c r="B10555" t="str">
        <v>UBND Ủy ban nhân dân xã Khánh Lợi  tỉnh Ninh Bình</v>
      </c>
      <c r="C10555" t="str">
        <v>-</v>
      </c>
      <c r="D10555" t="str">
        <v>-</v>
      </c>
      <c r="E10555" t="str">
        <v>-</v>
      </c>
      <c r="F10555" t="str">
        <v>-</v>
      </c>
      <c r="G10555" t="str">
        <v>-</v>
      </c>
    </row>
    <row r="10556">
      <c r="A10556">
        <v>10555</v>
      </c>
      <c r="B10556" t="str">
        <v>Công an xã Khánh An  tỉnh Ninh Bình</v>
      </c>
      <c r="C10556" t="str">
        <v>-</v>
      </c>
      <c r="D10556" t="str">
        <v>-</v>
      </c>
      <c r="E10556" t="str">
        <v/>
      </c>
      <c r="F10556" t="str">
        <v>-</v>
      </c>
      <c r="G10556" t="str">
        <v>-</v>
      </c>
    </row>
    <row r="10557">
      <c r="A10557">
        <v>10556</v>
      </c>
      <c r="B10557" t="str">
        <v>UBND Ủy ban nhân dân xã Khánh An  tỉnh Ninh Bình</v>
      </c>
      <c r="C10557" t="str">
        <v>-</v>
      </c>
      <c r="D10557" t="str">
        <v>-</v>
      </c>
      <c r="E10557" t="str">
        <v>-</v>
      </c>
      <c r="F10557" t="str">
        <v>-</v>
      </c>
      <c r="G10557" t="str">
        <v>-</v>
      </c>
    </row>
    <row r="10558">
      <c r="A10558">
        <v>10557</v>
      </c>
      <c r="B10558" t="str">
        <v>Công an xã Khánh Cường  tỉnh Ninh Bình</v>
      </c>
      <c r="C10558" t="str">
        <v>-</v>
      </c>
      <c r="D10558" t="str">
        <v>-</v>
      </c>
      <c r="E10558" t="str">
        <v/>
      </c>
      <c r="F10558" t="str">
        <v>-</v>
      </c>
      <c r="G10558" t="str">
        <v>-</v>
      </c>
    </row>
    <row r="10559">
      <c r="A10559">
        <v>10558</v>
      </c>
      <c r="B10559" t="str">
        <v>UBND Ủy ban nhân dân xã Khánh Cường  tỉnh Ninh Bình</v>
      </c>
      <c r="C10559" t="str">
        <v>-</v>
      </c>
      <c r="D10559" t="str">
        <v>-</v>
      </c>
      <c r="E10559" t="str">
        <v>-</v>
      </c>
      <c r="F10559" t="str">
        <v>-</v>
      </c>
      <c r="G10559" t="str">
        <v>-</v>
      </c>
    </row>
    <row r="10560">
      <c r="A10560">
        <v>10559</v>
      </c>
      <c r="B10560" t="str">
        <v>Công an xã Khánh Cư  tỉnh Ninh Bình</v>
      </c>
      <c r="C10560" t="str">
        <v>-</v>
      </c>
      <c r="D10560" t="str">
        <v>-</v>
      </c>
      <c r="E10560" t="str">
        <v/>
      </c>
      <c r="F10560" t="str">
        <v>-</v>
      </c>
      <c r="G10560" t="str">
        <v>-</v>
      </c>
    </row>
    <row r="10561">
      <c r="A10561">
        <v>10560</v>
      </c>
      <c r="B10561" t="str">
        <v>UBND Ủy ban nhân dân xã Khánh Cư  tỉnh Ninh Bình</v>
      </c>
      <c r="C10561" t="str">
        <v>-</v>
      </c>
      <c r="D10561" t="str">
        <v>-</v>
      </c>
      <c r="E10561" t="str">
        <v>-</v>
      </c>
      <c r="F10561" t="str">
        <v>-</v>
      </c>
      <c r="G10561" t="str">
        <v>-</v>
      </c>
    </row>
    <row r="10562">
      <c r="A10562">
        <v>10561</v>
      </c>
      <c r="B10562" t="str">
        <v>Công an xã Khánh Thiện  tỉnh Ninh Bình</v>
      </c>
      <c r="C10562" t="str">
        <v>-</v>
      </c>
      <c r="D10562" t="str">
        <v>-</v>
      </c>
      <c r="E10562" t="str">
        <v/>
      </c>
      <c r="F10562" t="str">
        <v>-</v>
      </c>
      <c r="G10562" t="str">
        <v>-</v>
      </c>
    </row>
    <row r="10563">
      <c r="A10563">
        <v>10562</v>
      </c>
      <c r="B10563" t="str">
        <v>UBND Ủy ban nhân dân xã Khánh Thiện  tỉnh Ninh Bình</v>
      </c>
      <c r="C10563" t="str">
        <v>-</v>
      </c>
      <c r="D10563" t="str">
        <v>-</v>
      </c>
      <c r="E10563" t="str">
        <v>-</v>
      </c>
      <c r="F10563" t="str">
        <v>-</v>
      </c>
      <c r="G10563" t="str">
        <v>-</v>
      </c>
    </row>
    <row r="10564">
      <c r="A10564">
        <v>10563</v>
      </c>
      <c r="B10564" t="str">
        <v>Công an xã Khánh Hải  tỉnh Ninh Bình</v>
      </c>
      <c r="C10564" t="str">
        <v>-</v>
      </c>
      <c r="D10564" t="str">
        <v>-</v>
      </c>
      <c r="E10564" t="str">
        <v/>
      </c>
      <c r="F10564" t="str">
        <v>-</v>
      </c>
      <c r="G10564" t="str">
        <v>-</v>
      </c>
    </row>
    <row r="10565">
      <c r="A10565">
        <v>10564</v>
      </c>
      <c r="B10565" t="str">
        <v>UBND Ủy ban nhân dân xã Khánh Hải  tỉnh Ninh Bình</v>
      </c>
      <c r="C10565" t="str">
        <v>-</v>
      </c>
      <c r="D10565" t="str">
        <v>-</v>
      </c>
      <c r="E10565" t="str">
        <v>-</v>
      </c>
      <c r="F10565" t="str">
        <v>-</v>
      </c>
      <c r="G10565" t="str">
        <v>-</v>
      </c>
    </row>
    <row r="10566">
      <c r="A10566">
        <v>10565</v>
      </c>
      <c r="B10566" t="str">
        <v>Công an xã Khánh Trung  tỉnh Ninh Bình</v>
      </c>
      <c r="C10566" t="str">
        <v>-</v>
      </c>
      <c r="D10566" t="str">
        <v>-</v>
      </c>
      <c r="E10566" t="str">
        <v/>
      </c>
      <c r="F10566" t="str">
        <v>-</v>
      </c>
      <c r="G10566" t="str">
        <v>-</v>
      </c>
    </row>
    <row r="10567">
      <c r="A10567">
        <v>10566</v>
      </c>
      <c r="B10567" t="str">
        <v>UBND Ủy ban nhân dân xã Khánh Trung  tỉnh Ninh Bình</v>
      </c>
      <c r="C10567" t="str">
        <v>-</v>
      </c>
      <c r="D10567" t="str">
        <v>-</v>
      </c>
      <c r="E10567" t="str">
        <v>-</v>
      </c>
      <c r="F10567" t="str">
        <v>-</v>
      </c>
      <c r="G10567" t="str">
        <v>-</v>
      </c>
    </row>
    <row r="10568">
      <c r="A10568">
        <v>10567</v>
      </c>
      <c r="B10568" t="str">
        <v>Công an xã Khánh Mậu  tỉnh Ninh Bình</v>
      </c>
      <c r="C10568" t="str">
        <v>-</v>
      </c>
      <c r="D10568" t="str">
        <v>-</v>
      </c>
      <c r="E10568" t="str">
        <v/>
      </c>
      <c r="F10568" t="str">
        <v>-</v>
      </c>
      <c r="G10568" t="str">
        <v>-</v>
      </c>
    </row>
    <row r="10569">
      <c r="A10569">
        <v>10568</v>
      </c>
      <c r="B10569" t="str">
        <v>UBND Ủy ban nhân dân xã Khánh Mậu  tỉnh Ninh Bình</v>
      </c>
      <c r="C10569" t="str">
        <v>-</v>
      </c>
      <c r="D10569" t="str">
        <v>-</v>
      </c>
      <c r="E10569" t="str">
        <v>-</v>
      </c>
      <c r="F10569" t="str">
        <v>-</v>
      </c>
      <c r="G10569" t="str">
        <v>-</v>
      </c>
    </row>
    <row r="10570">
      <c r="A10570">
        <v>10569</v>
      </c>
      <c r="B10570" t="str">
        <v>Công an xã Khánh Vân  tỉnh Ninh Bình</v>
      </c>
      <c r="C10570" t="str">
        <v>-</v>
      </c>
      <c r="D10570" t="str">
        <v>-</v>
      </c>
      <c r="E10570" t="str">
        <v/>
      </c>
      <c r="F10570" t="str">
        <v>-</v>
      </c>
      <c r="G10570" t="str">
        <v>-</v>
      </c>
    </row>
    <row r="10571">
      <c r="A10571">
        <v>10570</v>
      </c>
      <c r="B10571" t="str">
        <v>UBND Ủy ban nhân dân xã Khánh Vân  tỉnh Ninh Bình</v>
      </c>
      <c r="C10571" t="str">
        <v>-</v>
      </c>
      <c r="D10571" t="str">
        <v>-</v>
      </c>
      <c r="E10571" t="str">
        <v>-</v>
      </c>
      <c r="F10571" t="str">
        <v>-</v>
      </c>
      <c r="G10571" t="str">
        <v>-</v>
      </c>
    </row>
    <row r="10572">
      <c r="A10572">
        <v>10571</v>
      </c>
      <c r="B10572" t="str">
        <v>Công an xã Khánh Hội  tỉnh Ninh Bình</v>
      </c>
      <c r="C10572" t="str">
        <v>-</v>
      </c>
      <c r="D10572" t="str">
        <v>-</v>
      </c>
      <c r="E10572" t="str">
        <v/>
      </c>
      <c r="F10572" t="str">
        <v>-</v>
      </c>
      <c r="G10572" t="str">
        <v>-</v>
      </c>
    </row>
    <row r="10573">
      <c r="A10573">
        <v>10572</v>
      </c>
      <c r="B10573" t="str">
        <v>UBND Ủy ban nhân dân xã Khánh Hội  tỉnh Ninh Bình</v>
      </c>
      <c r="C10573" t="str">
        <v>-</v>
      </c>
      <c r="D10573" t="str">
        <v>-</v>
      </c>
      <c r="E10573" t="str">
        <v>-</v>
      </c>
      <c r="F10573" t="str">
        <v>-</v>
      </c>
      <c r="G10573" t="str">
        <v>-</v>
      </c>
    </row>
    <row r="10574">
      <c r="A10574">
        <v>10573</v>
      </c>
      <c r="B10574" t="str">
        <v>Công an xã Khánh Công  tỉnh Ninh Bình</v>
      </c>
      <c r="C10574" t="str">
        <v>-</v>
      </c>
      <c r="D10574" t="str">
        <v>-</v>
      </c>
      <c r="E10574" t="str">
        <v/>
      </c>
      <c r="F10574" t="str">
        <v>-</v>
      </c>
      <c r="G10574" t="str">
        <v>-</v>
      </c>
    </row>
    <row r="10575">
      <c r="A10575">
        <v>10574</v>
      </c>
      <c r="B10575" t="str">
        <v>UBND Ủy ban nhân dân xã Khánh Công  tỉnh Ninh Bình</v>
      </c>
      <c r="C10575" t="str">
        <v>-</v>
      </c>
      <c r="D10575" t="str">
        <v>-</v>
      </c>
      <c r="E10575" t="str">
        <v>-</v>
      </c>
      <c r="F10575" t="str">
        <v>-</v>
      </c>
      <c r="G10575" t="str">
        <v>-</v>
      </c>
    </row>
    <row r="10576">
      <c r="A10576">
        <v>10575</v>
      </c>
      <c r="B10576" t="str">
        <v>Công an xã Khánh Thành  tỉnh Ninh Bình</v>
      </c>
      <c r="C10576" t="str">
        <v>-</v>
      </c>
      <c r="D10576" t="str">
        <v>-</v>
      </c>
      <c r="E10576" t="str">
        <v/>
      </c>
      <c r="F10576" t="str">
        <v>-</v>
      </c>
      <c r="G10576" t="str">
        <v>-</v>
      </c>
    </row>
    <row r="10577">
      <c r="A10577">
        <v>10576</v>
      </c>
      <c r="B10577" t="str">
        <v>UBND Ủy ban nhân dân xã Khánh Thành  tỉnh Ninh Bình</v>
      </c>
      <c r="C10577" t="str">
        <v>-</v>
      </c>
      <c r="D10577" t="str">
        <v>-</v>
      </c>
      <c r="E10577" t="str">
        <v>-</v>
      </c>
      <c r="F10577" t="str">
        <v>-</v>
      </c>
      <c r="G10577" t="str">
        <v>-</v>
      </c>
    </row>
    <row r="10578">
      <c r="A10578">
        <v>10577</v>
      </c>
      <c r="B10578" t="str">
        <v>Công an xã Khánh Nhạc  tỉnh Ninh Bình</v>
      </c>
      <c r="C10578" t="str">
        <v>-</v>
      </c>
      <c r="D10578" t="str">
        <v>-</v>
      </c>
      <c r="E10578" t="str">
        <v/>
      </c>
      <c r="F10578" t="str">
        <v>-</v>
      </c>
      <c r="G10578" t="str">
        <v>-</v>
      </c>
    </row>
    <row r="10579">
      <c r="A10579">
        <v>10578</v>
      </c>
      <c r="B10579" t="str">
        <v>UBND Ủy ban nhân dân xã Khánh Nhạc  tỉnh Ninh Bình</v>
      </c>
      <c r="C10579" t="str">
        <v>-</v>
      </c>
      <c r="D10579" t="str">
        <v>-</v>
      </c>
      <c r="E10579" t="str">
        <v>-</v>
      </c>
      <c r="F10579" t="str">
        <v>-</v>
      </c>
      <c r="G10579" t="str">
        <v>-</v>
      </c>
    </row>
    <row r="10580">
      <c r="A10580">
        <v>10579</v>
      </c>
      <c r="B10580" t="str">
        <v>Công an xã Khánh Thủy  tỉnh Ninh Bình</v>
      </c>
      <c r="C10580" t="str">
        <v>-</v>
      </c>
      <c r="D10580" t="str">
        <v>-</v>
      </c>
      <c r="E10580" t="str">
        <v/>
      </c>
      <c r="F10580" t="str">
        <v>-</v>
      </c>
      <c r="G10580" t="str">
        <v>-</v>
      </c>
    </row>
    <row r="10581">
      <c r="A10581">
        <v>10580</v>
      </c>
      <c r="B10581" t="str">
        <v>UBND Ủy ban nhân dân xã Khánh Thủy  tỉnh Ninh Bình</v>
      </c>
      <c r="C10581" t="str">
        <v>-</v>
      </c>
      <c r="D10581" t="str">
        <v>-</v>
      </c>
      <c r="E10581" t="str">
        <v>-</v>
      </c>
      <c r="F10581" t="str">
        <v>-</v>
      </c>
      <c r="G10581" t="str">
        <v>-</v>
      </c>
    </row>
    <row r="10582">
      <c r="A10582">
        <v>10581</v>
      </c>
      <c r="B10582" t="str">
        <v>Công an xã Khánh Hồng  tỉnh Ninh Bình</v>
      </c>
      <c r="C10582" t="str">
        <v>-</v>
      </c>
      <c r="D10582" t="str">
        <v>-</v>
      </c>
      <c r="E10582" t="str">
        <v/>
      </c>
      <c r="F10582" t="str">
        <v>-</v>
      </c>
      <c r="G10582" t="str">
        <v>-</v>
      </c>
    </row>
    <row r="10583">
      <c r="A10583">
        <v>10582</v>
      </c>
      <c r="B10583" t="str">
        <v>UBND Ủy ban nhân dân xã Khánh Hồng  tỉnh Ninh Bình</v>
      </c>
      <c r="C10583" t="str">
        <v>-</v>
      </c>
      <c r="D10583" t="str">
        <v>-</v>
      </c>
      <c r="E10583" t="str">
        <v>-</v>
      </c>
      <c r="F10583" t="str">
        <v>-</v>
      </c>
      <c r="G10583" t="str">
        <v>-</v>
      </c>
    </row>
    <row r="10584">
      <c r="A10584">
        <v>10583</v>
      </c>
      <c r="B10584" t="str">
        <v>Công an thị trấn Phát Diệm  tỉnh Ninh Bình</v>
      </c>
      <c r="C10584" t="str">
        <v>-</v>
      </c>
      <c r="D10584" t="str">
        <v>-</v>
      </c>
      <c r="E10584" t="str">
        <v/>
      </c>
      <c r="F10584" t="str">
        <v>-</v>
      </c>
      <c r="G10584" t="str">
        <v>-</v>
      </c>
    </row>
    <row r="10585">
      <c r="A10585">
        <v>10584</v>
      </c>
      <c r="B10585" t="str">
        <v>UBND Ủy ban nhân dân thị trấn Phát Diệm  tỉnh Ninh Bình</v>
      </c>
      <c r="C10585" t="str">
        <v>-</v>
      </c>
      <c r="D10585" t="str">
        <v>-</v>
      </c>
      <c r="E10585" t="str">
        <v>-</v>
      </c>
      <c r="F10585" t="str">
        <v>-</v>
      </c>
      <c r="G10585" t="str">
        <v>-</v>
      </c>
    </row>
    <row r="10586">
      <c r="A10586">
        <v>10585</v>
      </c>
      <c r="B10586" t="str">
        <v>Công an thị trấn Bình Minh  tỉnh Ninh Bình</v>
      </c>
      <c r="C10586" t="str">
        <v>-</v>
      </c>
      <c r="D10586" t="str">
        <v>-</v>
      </c>
      <c r="E10586" t="str">
        <v/>
      </c>
      <c r="F10586" t="str">
        <v>-</v>
      </c>
      <c r="G10586" t="str">
        <v>-</v>
      </c>
    </row>
    <row r="10587">
      <c r="A10587">
        <v>10586</v>
      </c>
      <c r="B10587" t="str">
        <v>UBND Ủy ban nhân dân thị trấn Bình Minh  tỉnh Ninh Bình</v>
      </c>
      <c r="C10587" t="str">
        <v>-</v>
      </c>
      <c r="D10587" t="str">
        <v>-</v>
      </c>
      <c r="E10587" t="str">
        <v>-</v>
      </c>
      <c r="F10587" t="str">
        <v>-</v>
      </c>
      <c r="G10587" t="str">
        <v>-</v>
      </c>
    </row>
    <row r="10588">
      <c r="A10588">
        <v>10587</v>
      </c>
      <c r="B10588" t="str">
        <v>Công an xã Xuân Thiện  tỉnh Ninh Bình</v>
      </c>
      <c r="C10588" t="str">
        <v>-</v>
      </c>
      <c r="D10588" t="str">
        <v>-</v>
      </c>
      <c r="E10588" t="str">
        <v/>
      </c>
      <c r="F10588" t="str">
        <v>-</v>
      </c>
      <c r="G10588" t="str">
        <v>-</v>
      </c>
    </row>
    <row r="10589">
      <c r="A10589">
        <v>10588</v>
      </c>
      <c r="B10589" t="str">
        <v>UBND Ủy ban nhân dân xã Xuân Thiện  tỉnh Ninh Bình</v>
      </c>
      <c r="C10589" t="str">
        <v>-</v>
      </c>
      <c r="D10589" t="str">
        <v>-</v>
      </c>
      <c r="E10589" t="str">
        <v>-</v>
      </c>
      <c r="F10589" t="str">
        <v>-</v>
      </c>
      <c r="G10589" t="str">
        <v>-</v>
      </c>
    </row>
    <row r="10590">
      <c r="A10590">
        <v>10589</v>
      </c>
      <c r="B10590" t="str">
        <v>Công an xã Hồi Ninh  tỉnh Ninh Bình</v>
      </c>
      <c r="C10590" t="str">
        <v>-</v>
      </c>
      <c r="D10590" t="str">
        <v>-</v>
      </c>
      <c r="E10590" t="str">
        <v/>
      </c>
      <c r="F10590" t="str">
        <v>-</v>
      </c>
      <c r="G10590" t="str">
        <v>-</v>
      </c>
    </row>
    <row r="10591">
      <c r="A10591">
        <v>10590</v>
      </c>
      <c r="B10591" t="str">
        <v>UBND Ủy ban nhân dân xã Hồi Ninh  tỉnh Ninh Bình</v>
      </c>
      <c r="C10591" t="str">
        <v>-</v>
      </c>
      <c r="D10591" t="str">
        <v>-</v>
      </c>
      <c r="E10591" t="str">
        <v>-</v>
      </c>
      <c r="F10591" t="str">
        <v>-</v>
      </c>
      <c r="G10591" t="str">
        <v>-</v>
      </c>
    </row>
    <row r="10592">
      <c r="A10592">
        <v>10591</v>
      </c>
      <c r="B10592" t="str">
        <v>Công an xã Chính Tâm  tỉnh Ninh Bình</v>
      </c>
      <c r="C10592" t="str">
        <v>-</v>
      </c>
      <c r="D10592" t="str">
        <v>-</v>
      </c>
      <c r="E10592" t="str">
        <v/>
      </c>
      <c r="F10592" t="str">
        <v>-</v>
      </c>
      <c r="G10592" t="str">
        <v>-</v>
      </c>
    </row>
    <row r="10593">
      <c r="A10593">
        <v>10592</v>
      </c>
      <c r="B10593" t="str">
        <v>UBND Ủy ban nhân dân xã Chính Tâm  tỉnh Ninh Bình</v>
      </c>
      <c r="C10593" t="str">
        <v>-</v>
      </c>
      <c r="D10593" t="str">
        <v>-</v>
      </c>
      <c r="E10593" t="str">
        <v>-</v>
      </c>
      <c r="F10593" t="str">
        <v>-</v>
      </c>
      <c r="G10593" t="str">
        <v>-</v>
      </c>
    </row>
    <row r="10594">
      <c r="A10594">
        <v>10593</v>
      </c>
      <c r="B10594" t="str">
        <v>Công an xã Kim Định  tỉnh Ninh Bình</v>
      </c>
      <c r="C10594" t="str">
        <v>-</v>
      </c>
      <c r="D10594" t="str">
        <v>-</v>
      </c>
      <c r="E10594" t="str">
        <v/>
      </c>
      <c r="F10594" t="str">
        <v>-</v>
      </c>
      <c r="G10594" t="str">
        <v>-</v>
      </c>
    </row>
    <row r="10595">
      <c r="A10595">
        <v>10594</v>
      </c>
      <c r="B10595" t="str">
        <v>UBND Ủy ban nhân dân xã Kim Định  tỉnh Ninh Bình</v>
      </c>
      <c r="C10595" t="str">
        <v>-</v>
      </c>
      <c r="D10595" t="str">
        <v>-</v>
      </c>
      <c r="E10595" t="str">
        <v>-</v>
      </c>
      <c r="F10595" t="str">
        <v>-</v>
      </c>
      <c r="G10595" t="str">
        <v>-</v>
      </c>
    </row>
    <row r="10596">
      <c r="A10596">
        <v>10595</v>
      </c>
      <c r="B10596" t="str">
        <v>Công an xã Ân Hòa  tỉnh Ninh Bình</v>
      </c>
      <c r="C10596" t="str">
        <v>-</v>
      </c>
      <c r="D10596" t="str">
        <v>-</v>
      </c>
      <c r="E10596" t="str">
        <v/>
      </c>
      <c r="F10596" t="str">
        <v>-</v>
      </c>
      <c r="G10596" t="str">
        <v>-</v>
      </c>
    </row>
    <row r="10597">
      <c r="A10597">
        <v>10596</v>
      </c>
      <c r="B10597" t="str">
        <v>UBND Ủy ban nhân dân xã Ân Hòa  tỉnh Ninh Bình</v>
      </c>
      <c r="C10597" t="str">
        <v>-</v>
      </c>
      <c r="D10597" t="str">
        <v>-</v>
      </c>
      <c r="E10597" t="str">
        <v>-</v>
      </c>
      <c r="F10597" t="str">
        <v>-</v>
      </c>
      <c r="G10597" t="str">
        <v>-</v>
      </c>
    </row>
    <row r="10598">
      <c r="A10598">
        <v>10597</v>
      </c>
      <c r="B10598" t="str">
        <v>Công an xã Hùng Tiến  tỉnh Ninh Bình</v>
      </c>
      <c r="C10598" t="str">
        <v>-</v>
      </c>
      <c r="D10598" t="str">
        <v>-</v>
      </c>
      <c r="E10598" t="str">
        <v/>
      </c>
      <c r="F10598" t="str">
        <v>-</v>
      </c>
      <c r="G10598" t="str">
        <v>-</v>
      </c>
    </row>
    <row r="10599">
      <c r="A10599">
        <v>10598</v>
      </c>
      <c r="B10599" t="str">
        <v>UBND Ủy ban nhân dân xã Hùng Tiến  tỉnh Ninh Bình</v>
      </c>
      <c r="C10599" t="str">
        <v>-</v>
      </c>
      <c r="D10599" t="str">
        <v>-</v>
      </c>
      <c r="E10599" t="str">
        <v>-</v>
      </c>
      <c r="F10599" t="str">
        <v>-</v>
      </c>
      <c r="G10599" t="str">
        <v>-</v>
      </c>
    </row>
    <row r="10600">
      <c r="A10600">
        <v>10599</v>
      </c>
      <c r="B10600" t="str">
        <v>Công an xã Yên Mật  tỉnh Ninh Bình</v>
      </c>
      <c r="C10600" t="str">
        <v>-</v>
      </c>
      <c r="D10600" t="str">
        <v>-</v>
      </c>
      <c r="E10600" t="str">
        <v/>
      </c>
      <c r="F10600" t="str">
        <v>-</v>
      </c>
      <c r="G10600" t="str">
        <v>-</v>
      </c>
    </row>
    <row r="10601">
      <c r="A10601">
        <v>10600</v>
      </c>
      <c r="B10601" t="str">
        <v>UBND Ủy ban nhân dân xã Yên Mật  tỉnh Ninh Bình</v>
      </c>
      <c r="C10601" t="str">
        <v>-</v>
      </c>
      <c r="D10601" t="str">
        <v>-</v>
      </c>
      <c r="E10601" t="str">
        <v>-</v>
      </c>
      <c r="F10601" t="str">
        <v>-</v>
      </c>
      <c r="G10601" t="str">
        <v>-</v>
      </c>
    </row>
    <row r="10602">
      <c r="A10602">
        <v>10601</v>
      </c>
      <c r="B10602" t="str">
        <v>Công an xã Quang Thiện  tỉnh Ninh Bình</v>
      </c>
      <c r="C10602" t="str">
        <v>-</v>
      </c>
      <c r="D10602" t="str">
        <v>-</v>
      </c>
      <c r="E10602" t="str">
        <v/>
      </c>
      <c r="F10602" t="str">
        <v>-</v>
      </c>
      <c r="G10602" t="str">
        <v>-</v>
      </c>
    </row>
    <row r="10603">
      <c r="A10603">
        <v>10602</v>
      </c>
      <c r="B10603" t="str">
        <v>UBND Ủy ban nhân dân xã Quang Thiện  tỉnh Ninh Bình</v>
      </c>
      <c r="C10603" t="str">
        <v>-</v>
      </c>
      <c r="D10603" t="str">
        <v>-</v>
      </c>
      <c r="E10603" t="str">
        <v>-</v>
      </c>
      <c r="F10603" t="str">
        <v>-</v>
      </c>
      <c r="G10603" t="str">
        <v>-</v>
      </c>
    </row>
    <row r="10604">
      <c r="A10604">
        <v>10603</v>
      </c>
      <c r="B10604" t="str">
        <v>Công an xã Như Hòa  tỉnh Ninh Bình</v>
      </c>
      <c r="C10604" t="str">
        <v>-</v>
      </c>
      <c r="D10604" t="str">
        <v>-</v>
      </c>
      <c r="E10604" t="str">
        <v/>
      </c>
      <c r="F10604" t="str">
        <v>-</v>
      </c>
      <c r="G10604" t="str">
        <v>-</v>
      </c>
    </row>
    <row r="10605">
      <c r="A10605">
        <v>10604</v>
      </c>
      <c r="B10605" t="str">
        <v>UBND Ủy ban nhân dân xã Như Hòa  tỉnh Ninh Bình</v>
      </c>
      <c r="C10605" t="str">
        <v>-</v>
      </c>
      <c r="D10605" t="str">
        <v>-</v>
      </c>
      <c r="E10605" t="str">
        <v>-</v>
      </c>
      <c r="F10605" t="str">
        <v>-</v>
      </c>
      <c r="G10605" t="str">
        <v>-</v>
      </c>
    </row>
    <row r="10606">
      <c r="A10606">
        <v>10605</v>
      </c>
      <c r="B10606" t="str">
        <v>Công an xã Chất Bình  tỉnh Ninh Bình</v>
      </c>
      <c r="C10606" t="str">
        <v>-</v>
      </c>
      <c r="D10606" t="str">
        <v>-</v>
      </c>
      <c r="E10606" t="str">
        <v/>
      </c>
      <c r="F10606" t="str">
        <v>-</v>
      </c>
      <c r="G10606" t="str">
        <v>-</v>
      </c>
    </row>
    <row r="10607">
      <c r="A10607">
        <v>10606</v>
      </c>
      <c r="B10607" t="str">
        <v>UBND Ủy ban nhân dân xã Chất Bình  tỉnh Ninh Bình</v>
      </c>
      <c r="C10607" t="str">
        <v>-</v>
      </c>
      <c r="D10607" t="str">
        <v>-</v>
      </c>
      <c r="E10607" t="str">
        <v>-</v>
      </c>
      <c r="F10607" t="str">
        <v>-</v>
      </c>
      <c r="G10607" t="str">
        <v>-</v>
      </c>
    </row>
    <row r="10608">
      <c r="A10608">
        <v>10607</v>
      </c>
      <c r="B10608" t="str">
        <v>Công an xã Đồng Hướng  tỉnh Ninh Bình</v>
      </c>
      <c r="C10608" t="str">
        <v>-</v>
      </c>
      <c r="D10608" t="str">
        <v>-</v>
      </c>
      <c r="E10608" t="str">
        <v/>
      </c>
      <c r="F10608" t="str">
        <v>-</v>
      </c>
      <c r="G10608" t="str">
        <v>-</v>
      </c>
    </row>
    <row r="10609">
      <c r="A10609">
        <v>10608</v>
      </c>
      <c r="B10609" t="str">
        <v>UBND Ủy ban nhân dân xã Đồng Hướng  tỉnh Ninh Bình</v>
      </c>
      <c r="C10609" t="str">
        <v>-</v>
      </c>
      <c r="D10609" t="str">
        <v>-</v>
      </c>
      <c r="E10609" t="str">
        <v>-</v>
      </c>
      <c r="F10609" t="str">
        <v>-</v>
      </c>
      <c r="G10609" t="str">
        <v>-</v>
      </c>
    </row>
    <row r="10610">
      <c r="A10610">
        <v>10609</v>
      </c>
      <c r="B10610" t="str">
        <v>Công an xã Kim Chính  tỉnh Ninh Bình</v>
      </c>
      <c r="C10610" t="str">
        <v>-</v>
      </c>
      <c r="D10610" t="str">
        <v>-</v>
      </c>
      <c r="E10610" t="str">
        <v/>
      </c>
      <c r="F10610" t="str">
        <v>-</v>
      </c>
      <c r="G10610" t="str">
        <v>-</v>
      </c>
    </row>
    <row r="10611">
      <c r="A10611">
        <v>10610</v>
      </c>
      <c r="B10611" t="str">
        <v>UBND Ủy ban nhân dân xã Kim Chính  tỉnh Ninh Bình</v>
      </c>
      <c r="C10611" t="str">
        <v>-</v>
      </c>
      <c r="D10611" t="str">
        <v>-</v>
      </c>
      <c r="E10611" t="str">
        <v>-</v>
      </c>
      <c r="F10611" t="str">
        <v>-</v>
      </c>
      <c r="G10611" t="str">
        <v>-</v>
      </c>
    </row>
    <row r="10612">
      <c r="A10612">
        <v>10611</v>
      </c>
      <c r="B10612" t="str">
        <v>Công an xã Thượng Kiệm  tỉnh Ninh Bình</v>
      </c>
      <c r="C10612" t="str">
        <v>-</v>
      </c>
      <c r="D10612" t="str">
        <v>-</v>
      </c>
      <c r="E10612" t="str">
        <v/>
      </c>
      <c r="F10612" t="str">
        <v>-</v>
      </c>
      <c r="G10612" t="str">
        <v>-</v>
      </c>
    </row>
    <row r="10613">
      <c r="A10613">
        <v>10612</v>
      </c>
      <c r="B10613" t="str">
        <v>UBND Ủy ban nhân dân xã Thượng Kiệm  tỉnh Ninh Bình</v>
      </c>
      <c r="C10613" t="str">
        <v>-</v>
      </c>
      <c r="D10613" t="str">
        <v>-</v>
      </c>
      <c r="E10613" t="str">
        <v>-</v>
      </c>
      <c r="F10613" t="str">
        <v>-</v>
      </c>
      <c r="G10613" t="str">
        <v>-</v>
      </c>
    </row>
    <row r="10614">
      <c r="A10614">
        <v>10613</v>
      </c>
      <c r="B10614" t="str">
        <v>Công an xã Lưu Phương  tỉnh Ninh Bình</v>
      </c>
      <c r="C10614" t="str">
        <v>-</v>
      </c>
      <c r="D10614" t="str">
        <v>-</v>
      </c>
      <c r="E10614" t="str">
        <v/>
      </c>
      <c r="F10614" t="str">
        <v>-</v>
      </c>
      <c r="G10614" t="str">
        <v>-</v>
      </c>
    </row>
    <row r="10615">
      <c r="A10615">
        <v>10614</v>
      </c>
      <c r="B10615" t="str">
        <v>UBND Ủy ban nhân dân xã Lưu Phương  tỉnh Ninh Bình</v>
      </c>
      <c r="C10615" t="str">
        <v>-</v>
      </c>
      <c r="D10615" t="str">
        <v>-</v>
      </c>
      <c r="E10615" t="str">
        <v>-</v>
      </c>
      <c r="F10615" t="str">
        <v>-</v>
      </c>
      <c r="G10615" t="str">
        <v>-</v>
      </c>
    </row>
    <row r="10616">
      <c r="A10616">
        <v>10615</v>
      </c>
      <c r="B10616" t="str">
        <v>Công an xã Tân Thành  tỉnh Ninh Bình</v>
      </c>
      <c r="C10616" t="str">
        <v>-</v>
      </c>
      <c r="D10616" t="str">
        <v>-</v>
      </c>
      <c r="E10616" t="str">
        <v/>
      </c>
      <c r="F10616" t="str">
        <v>-</v>
      </c>
      <c r="G10616" t="str">
        <v>-</v>
      </c>
    </row>
    <row r="10617">
      <c r="A10617">
        <v>10616</v>
      </c>
      <c r="B10617" t="str">
        <v>UBND Ủy ban nhân dân xã Tân Thành  tỉnh Ninh Bình</v>
      </c>
      <c r="C10617" t="str">
        <v>-</v>
      </c>
      <c r="D10617" t="str">
        <v>-</v>
      </c>
      <c r="E10617" t="str">
        <v>-</v>
      </c>
      <c r="F10617" t="str">
        <v>-</v>
      </c>
      <c r="G10617" t="str">
        <v>-</v>
      </c>
    </row>
    <row r="10618">
      <c r="A10618">
        <v>10617</v>
      </c>
      <c r="B10618" t="str">
        <v>Công an xã Yên Lộc  tỉnh Ninh Bình</v>
      </c>
      <c r="C10618" t="str">
        <v>-</v>
      </c>
      <c r="D10618" t="str">
        <v>-</v>
      </c>
      <c r="E10618" t="str">
        <v/>
      </c>
      <c r="F10618" t="str">
        <v>-</v>
      </c>
      <c r="G10618" t="str">
        <v>-</v>
      </c>
    </row>
    <row r="10619">
      <c r="A10619">
        <v>10618</v>
      </c>
      <c r="B10619" t="str">
        <v>UBND Ủy ban nhân dân xã Yên Lộc  tỉnh Ninh Bình</v>
      </c>
      <c r="C10619" t="str">
        <v>-</v>
      </c>
      <c r="D10619" t="str">
        <v>-</v>
      </c>
      <c r="E10619" t="str">
        <v>-</v>
      </c>
      <c r="F10619" t="str">
        <v>-</v>
      </c>
      <c r="G10619" t="str">
        <v>-</v>
      </c>
    </row>
    <row r="10620">
      <c r="A10620">
        <v>10619</v>
      </c>
      <c r="B10620" t="str">
        <v>Công an xã Lai Thành  tỉnh Ninh Bình</v>
      </c>
      <c r="C10620" t="str">
        <v>-</v>
      </c>
      <c r="D10620" t="str">
        <v>-</v>
      </c>
      <c r="E10620" t="str">
        <v/>
      </c>
      <c r="F10620" t="str">
        <v>-</v>
      </c>
      <c r="G10620" t="str">
        <v>-</v>
      </c>
    </row>
    <row r="10621">
      <c r="A10621">
        <v>10620</v>
      </c>
      <c r="B10621" t="str">
        <v>UBND Ủy ban nhân dân xã Lai Thành  tỉnh Ninh Bình</v>
      </c>
      <c r="C10621" t="str">
        <v>-</v>
      </c>
      <c r="D10621" t="str">
        <v>-</v>
      </c>
      <c r="E10621" t="str">
        <v>-</v>
      </c>
      <c r="F10621" t="str">
        <v>-</v>
      </c>
      <c r="G10621" t="str">
        <v>-</v>
      </c>
    </row>
    <row r="10622">
      <c r="A10622">
        <v>10621</v>
      </c>
      <c r="B10622" t="str">
        <v>Công an xã Định Hóa  tỉnh Ninh Bình</v>
      </c>
      <c r="C10622" t="str">
        <v>-</v>
      </c>
      <c r="D10622" t="str">
        <v>-</v>
      </c>
      <c r="E10622" t="str">
        <v/>
      </c>
      <c r="F10622" t="str">
        <v>-</v>
      </c>
      <c r="G10622" t="str">
        <v>-</v>
      </c>
    </row>
    <row r="10623">
      <c r="A10623">
        <v>10622</v>
      </c>
      <c r="B10623" t="str">
        <v>UBND Ủy ban nhân dân xã Định Hóa  tỉnh Ninh Bình</v>
      </c>
      <c r="C10623" t="str">
        <v>-</v>
      </c>
      <c r="D10623" t="str">
        <v>-</v>
      </c>
      <c r="E10623" t="str">
        <v>-</v>
      </c>
      <c r="F10623" t="str">
        <v>-</v>
      </c>
      <c r="G10623" t="str">
        <v>-</v>
      </c>
    </row>
    <row r="10624">
      <c r="A10624">
        <v>10623</v>
      </c>
      <c r="B10624" t="str">
        <v>Công an xã Văn Hải  tỉnh Ninh Bình</v>
      </c>
      <c r="C10624" t="str">
        <v>-</v>
      </c>
      <c r="D10624" t="str">
        <v>-</v>
      </c>
      <c r="E10624" t="str">
        <v/>
      </c>
      <c r="F10624" t="str">
        <v>-</v>
      </c>
      <c r="G10624" t="str">
        <v>-</v>
      </c>
    </row>
    <row r="10625">
      <c r="A10625">
        <v>10624</v>
      </c>
      <c r="B10625" t="str">
        <v>UBND Ủy ban nhân dân xã Văn Hải  tỉnh Ninh Bình</v>
      </c>
      <c r="C10625" t="str">
        <v>-</v>
      </c>
      <c r="D10625" t="str">
        <v>-</v>
      </c>
      <c r="E10625" t="str">
        <v>-</v>
      </c>
      <c r="F10625" t="str">
        <v>-</v>
      </c>
      <c r="G10625" t="str">
        <v>-</v>
      </c>
    </row>
    <row r="10626">
      <c r="A10626">
        <v>10625</v>
      </c>
      <c r="B10626" t="str">
        <v>Công an xã Kim Tân  tỉnh Ninh Bình</v>
      </c>
      <c r="C10626" t="str">
        <v>-</v>
      </c>
      <c r="D10626" t="str">
        <v>-</v>
      </c>
      <c r="E10626" t="str">
        <v/>
      </c>
      <c r="F10626" t="str">
        <v>-</v>
      </c>
      <c r="G10626" t="str">
        <v>-</v>
      </c>
    </row>
    <row r="10627">
      <c r="A10627">
        <v>10626</v>
      </c>
      <c r="B10627" t="str">
        <v>UBND Ủy ban nhân dân xã Kim Tân  tỉnh Ninh Bình</v>
      </c>
      <c r="C10627" t="str">
        <v>-</v>
      </c>
      <c r="D10627" t="str">
        <v>-</v>
      </c>
      <c r="E10627" t="str">
        <v>-</v>
      </c>
      <c r="F10627" t="str">
        <v>-</v>
      </c>
      <c r="G10627" t="str">
        <v>-</v>
      </c>
    </row>
    <row r="10628">
      <c r="A10628">
        <v>10627</v>
      </c>
      <c r="B10628" t="str">
        <v>Công an xã Kim Mỹ  tỉnh Ninh Bình</v>
      </c>
      <c r="C10628" t="str">
        <v>-</v>
      </c>
      <c r="D10628" t="str">
        <v>-</v>
      </c>
      <c r="E10628" t="str">
        <v/>
      </c>
      <c r="F10628" t="str">
        <v>-</v>
      </c>
      <c r="G10628" t="str">
        <v>-</v>
      </c>
    </row>
    <row r="10629">
      <c r="A10629">
        <v>10628</v>
      </c>
      <c r="B10629" t="str">
        <v>UBND Ủy ban nhân dân xã Kim Mỹ  tỉnh Ninh Bình</v>
      </c>
      <c r="C10629" t="str">
        <v>-</v>
      </c>
      <c r="D10629" t="str">
        <v>-</v>
      </c>
      <c r="E10629" t="str">
        <v>-</v>
      </c>
      <c r="F10629" t="str">
        <v>-</v>
      </c>
      <c r="G10629" t="str">
        <v>-</v>
      </c>
    </row>
    <row r="10630">
      <c r="A10630">
        <v>10629</v>
      </c>
      <c r="B10630" t="str">
        <v>Công an xã Cồn Thoi  tỉnh Ninh Bình</v>
      </c>
      <c r="C10630" t="str">
        <v>-</v>
      </c>
      <c r="D10630" t="str">
        <v>-</v>
      </c>
      <c r="E10630" t="str">
        <v/>
      </c>
      <c r="F10630" t="str">
        <v>-</v>
      </c>
      <c r="G10630" t="str">
        <v>-</v>
      </c>
    </row>
    <row r="10631">
      <c r="A10631">
        <v>10630</v>
      </c>
      <c r="B10631" t="str">
        <v>UBND Ủy ban nhân dân xã Cồn Thoi  tỉnh Ninh Bình</v>
      </c>
      <c r="C10631" t="str">
        <v>-</v>
      </c>
      <c r="D10631" t="str">
        <v>-</v>
      </c>
      <c r="E10631" t="str">
        <v>-</v>
      </c>
      <c r="F10631" t="str">
        <v>-</v>
      </c>
      <c r="G10631" t="str">
        <v>-</v>
      </c>
    </row>
    <row r="10632">
      <c r="A10632">
        <v>10631</v>
      </c>
      <c r="B10632" t="str">
        <v>Công an xã Kim Hải  tỉnh Ninh Bình</v>
      </c>
      <c r="C10632" t="str">
        <v>-</v>
      </c>
      <c r="D10632" t="str">
        <v>-</v>
      </c>
      <c r="E10632" t="str">
        <v/>
      </c>
      <c r="F10632" t="str">
        <v>-</v>
      </c>
      <c r="G10632" t="str">
        <v>-</v>
      </c>
    </row>
    <row r="10633">
      <c r="A10633">
        <v>10632</v>
      </c>
      <c r="B10633" t="str">
        <v>UBND Ủy ban nhân dân xã Kim Hải  tỉnh Ninh Bình</v>
      </c>
      <c r="C10633" t="str">
        <v>-</v>
      </c>
      <c r="D10633" t="str">
        <v>-</v>
      </c>
      <c r="E10633" t="str">
        <v>-</v>
      </c>
      <c r="F10633" t="str">
        <v>-</v>
      </c>
      <c r="G10633" t="str">
        <v>-</v>
      </c>
    </row>
    <row r="10634">
      <c r="A10634">
        <v>10633</v>
      </c>
      <c r="B10634" t="str">
        <v>Công an xã Kim Trung  tỉnh Ninh Bình</v>
      </c>
      <c r="C10634" t="str">
        <v>-</v>
      </c>
      <c r="D10634" t="str">
        <v>-</v>
      </c>
      <c r="E10634" t="str">
        <v/>
      </c>
      <c r="F10634" t="str">
        <v>-</v>
      </c>
      <c r="G10634" t="str">
        <v>-</v>
      </c>
    </row>
    <row r="10635">
      <c r="A10635">
        <v>10634</v>
      </c>
      <c r="B10635" t="str">
        <v>UBND Ủy ban nhân dân xã Kim Trung  tỉnh Ninh Bình</v>
      </c>
      <c r="C10635" t="str">
        <v>-</v>
      </c>
      <c r="D10635" t="str">
        <v>-</v>
      </c>
      <c r="E10635" t="str">
        <v>-</v>
      </c>
      <c r="F10635" t="str">
        <v>-</v>
      </c>
      <c r="G10635" t="str">
        <v>-</v>
      </c>
    </row>
    <row r="10636">
      <c r="A10636">
        <v>10635</v>
      </c>
      <c r="B10636" t="str">
        <v>Công an xã Kim Đông  tỉnh Ninh Bình</v>
      </c>
      <c r="C10636" t="str">
        <v>-</v>
      </c>
      <c r="D10636" t="str">
        <v>-</v>
      </c>
      <c r="E10636" t="str">
        <v/>
      </c>
      <c r="F10636" t="str">
        <v>-</v>
      </c>
      <c r="G10636" t="str">
        <v>-</v>
      </c>
    </row>
    <row r="10637">
      <c r="A10637">
        <v>10636</v>
      </c>
      <c r="B10637" t="str">
        <v>UBND Ủy ban nhân dân xã Kim Đông  tỉnh Ninh Bình</v>
      </c>
      <c r="C10637" t="str">
        <v>-</v>
      </c>
      <c r="D10637" t="str">
        <v>-</v>
      </c>
      <c r="E10637" t="str">
        <v>-</v>
      </c>
      <c r="F10637" t="str">
        <v>-</v>
      </c>
      <c r="G10637" t="str">
        <v>-</v>
      </c>
    </row>
    <row r="10638">
      <c r="A10638">
        <v>10637</v>
      </c>
      <c r="B10638" t="str">
        <v>Công an thị trấn Yên Thịnh  tỉnh Ninh Bình</v>
      </c>
      <c r="C10638" t="str">
        <v>-</v>
      </c>
      <c r="D10638" t="str">
        <v>-</v>
      </c>
      <c r="E10638" t="str">
        <v/>
      </c>
      <c r="F10638" t="str">
        <v>-</v>
      </c>
      <c r="G10638" t="str">
        <v>-</v>
      </c>
    </row>
    <row r="10639">
      <c r="A10639">
        <v>10638</v>
      </c>
      <c r="B10639" t="str">
        <v>UBND Ủy ban nhân dân thị trấn Yên Thịnh  tỉnh Ninh Bình</v>
      </c>
      <c r="C10639" t="str">
        <v>-</v>
      </c>
      <c r="D10639" t="str">
        <v>-</v>
      </c>
      <c r="E10639" t="str">
        <v>-</v>
      </c>
      <c r="F10639" t="str">
        <v>-</v>
      </c>
      <c r="G10639" t="str">
        <v>-</v>
      </c>
    </row>
    <row r="10640">
      <c r="A10640">
        <v>10639</v>
      </c>
      <c r="B10640" t="str">
        <v>Công an xã Khánh Thượng  tỉnh Ninh Bình</v>
      </c>
      <c r="C10640" t="str">
        <v>-</v>
      </c>
      <c r="D10640" t="str">
        <v>-</v>
      </c>
      <c r="E10640" t="str">
        <v/>
      </c>
      <c r="F10640" t="str">
        <v>-</v>
      </c>
      <c r="G10640" t="str">
        <v>-</v>
      </c>
    </row>
    <row r="10641">
      <c r="A10641">
        <v>10640</v>
      </c>
      <c r="B10641" t="str">
        <v>UBND Ủy ban nhân dân xã Khánh Thượng  tỉnh Ninh Bình</v>
      </c>
      <c r="C10641" t="str">
        <v>-</v>
      </c>
      <c r="D10641" t="str">
        <v>-</v>
      </c>
      <c r="E10641" t="str">
        <v>-</v>
      </c>
      <c r="F10641" t="str">
        <v>-</v>
      </c>
      <c r="G10641" t="str">
        <v>-</v>
      </c>
    </row>
    <row r="10642">
      <c r="A10642">
        <v>10641</v>
      </c>
      <c r="B10642" t="str">
        <v>Công an xã Khánh Dương  tỉnh Ninh Bình</v>
      </c>
      <c r="C10642" t="str">
        <v>-</v>
      </c>
      <c r="D10642" t="str">
        <v>-</v>
      </c>
      <c r="E10642" t="str">
        <v/>
      </c>
      <c r="F10642" t="str">
        <v>-</v>
      </c>
      <c r="G10642" t="str">
        <v>-</v>
      </c>
    </row>
    <row r="10643">
      <c r="A10643">
        <v>10642</v>
      </c>
      <c r="B10643" t="str">
        <v>UBND Ủy ban nhân dân xã Khánh Dương  tỉnh Ninh Bình</v>
      </c>
      <c r="C10643" t="str">
        <v>-</v>
      </c>
      <c r="D10643" t="str">
        <v>-</v>
      </c>
      <c r="E10643" t="str">
        <v>-</v>
      </c>
      <c r="F10643" t="str">
        <v>-</v>
      </c>
      <c r="G10643" t="str">
        <v>-</v>
      </c>
    </row>
    <row r="10644">
      <c r="A10644">
        <v>10643</v>
      </c>
      <c r="B10644" t="str">
        <v>Công an xã Mai Sơn  tỉnh Ninh Bình</v>
      </c>
      <c r="C10644" t="str">
        <v>-</v>
      </c>
      <c r="D10644" t="str">
        <v>-</v>
      </c>
      <c r="E10644" t="str">
        <v/>
      </c>
      <c r="F10644" t="str">
        <v>-</v>
      </c>
      <c r="G10644" t="str">
        <v>-</v>
      </c>
    </row>
    <row r="10645">
      <c r="A10645">
        <v>10644</v>
      </c>
      <c r="B10645" t="str">
        <v>UBND Ủy ban nhân dân xã Mai Sơn  tỉnh Ninh Bình</v>
      </c>
      <c r="C10645" t="str">
        <v>-</v>
      </c>
      <c r="D10645" t="str">
        <v>-</v>
      </c>
      <c r="E10645" t="str">
        <v>-</v>
      </c>
      <c r="F10645" t="str">
        <v>-</v>
      </c>
      <c r="G10645" t="str">
        <v>-</v>
      </c>
    </row>
    <row r="10646">
      <c r="A10646">
        <v>10645</v>
      </c>
      <c r="B10646" t="str">
        <v>Công an xã Khánh Thịnh  tỉnh Ninh Bình</v>
      </c>
      <c r="C10646" t="str">
        <v>-</v>
      </c>
      <c r="D10646" t="str">
        <v>-</v>
      </c>
      <c r="E10646" t="str">
        <v/>
      </c>
      <c r="F10646" t="str">
        <v>-</v>
      </c>
      <c r="G10646" t="str">
        <v>-</v>
      </c>
    </row>
    <row r="10647">
      <c r="A10647">
        <v>10646</v>
      </c>
      <c r="B10647" t="str">
        <v>UBND Ủy ban nhân dân xã Khánh Thịnh  tỉnh Ninh Bình</v>
      </c>
      <c r="C10647" t="str">
        <v>-</v>
      </c>
      <c r="D10647" t="str">
        <v>-</v>
      </c>
      <c r="E10647" t="str">
        <v>-</v>
      </c>
      <c r="F10647" t="str">
        <v>-</v>
      </c>
      <c r="G10647" t="str">
        <v>-</v>
      </c>
    </row>
    <row r="10648">
      <c r="A10648">
        <v>10647</v>
      </c>
      <c r="B10648" t="str">
        <v>Công an xã Yên Phong  tỉnh Ninh Bình</v>
      </c>
      <c r="C10648" t="str">
        <v>-</v>
      </c>
      <c r="D10648" t="str">
        <v>-</v>
      </c>
      <c r="E10648" t="str">
        <v/>
      </c>
      <c r="F10648" t="str">
        <v>-</v>
      </c>
      <c r="G10648" t="str">
        <v>-</v>
      </c>
    </row>
    <row r="10649">
      <c r="A10649">
        <v>10648</v>
      </c>
      <c r="B10649" t="str">
        <v>UBND Ủy ban nhân dân xã Yên Phong  tỉnh Ninh Bình</v>
      </c>
      <c r="C10649" t="str">
        <v>-</v>
      </c>
      <c r="D10649" t="str">
        <v>-</v>
      </c>
      <c r="E10649" t="str">
        <v>-</v>
      </c>
      <c r="F10649" t="str">
        <v>-</v>
      </c>
      <c r="G10649" t="str">
        <v>-</v>
      </c>
    </row>
    <row r="10650">
      <c r="A10650">
        <v>10649</v>
      </c>
      <c r="B10650" t="str">
        <v>Công an xã Yên Hòa  tỉnh Ninh Bình</v>
      </c>
      <c r="C10650" t="str">
        <v>-</v>
      </c>
      <c r="D10650" t="str">
        <v>-</v>
      </c>
      <c r="E10650" t="str">
        <v/>
      </c>
      <c r="F10650" t="str">
        <v>-</v>
      </c>
      <c r="G10650" t="str">
        <v>-</v>
      </c>
    </row>
    <row r="10651">
      <c r="A10651">
        <v>10650</v>
      </c>
      <c r="B10651" t="str">
        <v>UBND Ủy ban nhân dân xã Yên Hòa  tỉnh Ninh Bình</v>
      </c>
      <c r="C10651" t="str">
        <v>-</v>
      </c>
      <c r="D10651" t="str">
        <v>-</v>
      </c>
      <c r="E10651" t="str">
        <v>-</v>
      </c>
      <c r="F10651" t="str">
        <v>-</v>
      </c>
      <c r="G10651" t="str">
        <v>-</v>
      </c>
    </row>
    <row r="10652">
      <c r="A10652">
        <v>10651</v>
      </c>
      <c r="B10652" t="str">
        <v>Công an xã Yên Thắng  tỉnh Ninh Bình</v>
      </c>
      <c r="C10652" t="str">
        <v>-</v>
      </c>
      <c r="D10652" t="str">
        <v>-</v>
      </c>
      <c r="E10652" t="str">
        <v/>
      </c>
      <c r="F10652" t="str">
        <v>-</v>
      </c>
      <c r="G10652" t="str">
        <v>-</v>
      </c>
    </row>
    <row r="10653">
      <c r="A10653">
        <v>10652</v>
      </c>
      <c r="B10653" t="str">
        <v>UBND Ủy ban nhân dân xã Yên Thắng  tỉnh Ninh Bình</v>
      </c>
      <c r="C10653" t="str">
        <v>-</v>
      </c>
      <c r="D10653" t="str">
        <v>-</v>
      </c>
      <c r="E10653" t="str">
        <v>-</v>
      </c>
      <c r="F10653" t="str">
        <v>-</v>
      </c>
      <c r="G10653" t="str">
        <v>-</v>
      </c>
    </row>
    <row r="10654">
      <c r="A10654">
        <v>10653</v>
      </c>
      <c r="B10654" t="str">
        <v>Công an xã Yên Từ  tỉnh Ninh Bình</v>
      </c>
      <c r="C10654" t="str">
        <v>-</v>
      </c>
      <c r="D10654" t="str">
        <v>-</v>
      </c>
      <c r="E10654" t="str">
        <v/>
      </c>
      <c r="F10654" t="str">
        <v>-</v>
      </c>
      <c r="G10654" t="str">
        <v>-</v>
      </c>
    </row>
    <row r="10655">
      <c r="A10655">
        <v>10654</v>
      </c>
      <c r="B10655" t="str">
        <v>UBND Ủy ban nhân dân xã Yên Từ  tỉnh Ninh Bình</v>
      </c>
      <c r="C10655" t="str">
        <v>-</v>
      </c>
      <c r="D10655" t="str">
        <v>-</v>
      </c>
      <c r="E10655" t="str">
        <v>-</v>
      </c>
      <c r="F10655" t="str">
        <v>-</v>
      </c>
      <c r="G10655" t="str">
        <v>-</v>
      </c>
    </row>
    <row r="10656">
      <c r="A10656">
        <v>10655</v>
      </c>
      <c r="B10656" t="str">
        <v>Công an xã Yên Hưng  tỉnh Ninh Bình</v>
      </c>
      <c r="C10656" t="str">
        <v>-</v>
      </c>
      <c r="D10656" t="str">
        <v>-</v>
      </c>
      <c r="E10656" t="str">
        <v/>
      </c>
      <c r="F10656" t="str">
        <v>-</v>
      </c>
      <c r="G10656" t="str">
        <v>-</v>
      </c>
    </row>
    <row r="10657">
      <c r="A10657">
        <v>10656</v>
      </c>
      <c r="B10657" t="str">
        <v>UBND Ủy ban nhân dân xã Yên Hưng  tỉnh Ninh Bình</v>
      </c>
      <c r="C10657" t="str">
        <v>-</v>
      </c>
      <c r="D10657" t="str">
        <v>-</v>
      </c>
      <c r="E10657" t="str">
        <v>-</v>
      </c>
      <c r="F10657" t="str">
        <v>-</v>
      </c>
      <c r="G10657" t="str">
        <v>-</v>
      </c>
    </row>
    <row r="10658">
      <c r="A10658">
        <v>10657</v>
      </c>
      <c r="B10658" t="str">
        <v>Công an xã Yên Thành  tỉnh Ninh Bình</v>
      </c>
      <c r="C10658" t="str">
        <v>-</v>
      </c>
      <c r="D10658" t="str">
        <v>-</v>
      </c>
      <c r="E10658" t="str">
        <v/>
      </c>
      <c r="F10658" t="str">
        <v>-</v>
      </c>
      <c r="G10658" t="str">
        <v>-</v>
      </c>
    </row>
    <row r="10659">
      <c r="A10659">
        <v>10658</v>
      </c>
      <c r="B10659" t="str">
        <v>UBND Ủy ban nhân dân xã Yên Thành  tỉnh Ninh Bình</v>
      </c>
      <c r="C10659" t="str">
        <v>-</v>
      </c>
      <c r="D10659" t="str">
        <v>-</v>
      </c>
      <c r="E10659" t="str">
        <v>-</v>
      </c>
      <c r="F10659" t="str">
        <v>-</v>
      </c>
      <c r="G10659" t="str">
        <v>-</v>
      </c>
    </row>
    <row r="10660">
      <c r="A10660">
        <v>10659</v>
      </c>
      <c r="B10660" t="str">
        <v>Công an xã Yên Nhân  tỉnh Ninh Bình</v>
      </c>
      <c r="C10660" t="str">
        <v>-</v>
      </c>
      <c r="D10660" t="str">
        <v>-</v>
      </c>
      <c r="E10660" t="str">
        <v/>
      </c>
      <c r="F10660" t="str">
        <v>-</v>
      </c>
      <c r="G10660" t="str">
        <v>-</v>
      </c>
    </row>
    <row r="10661">
      <c r="A10661">
        <v>10660</v>
      </c>
      <c r="B10661" t="str">
        <v>UBND Ủy ban nhân dân xã Yên Nhân  tỉnh Ninh Bình</v>
      </c>
      <c r="C10661" t="str">
        <v>-</v>
      </c>
      <c r="D10661" t="str">
        <v>-</v>
      </c>
      <c r="E10661" t="str">
        <v>-</v>
      </c>
      <c r="F10661" t="str">
        <v>-</v>
      </c>
      <c r="G10661" t="str">
        <v>-</v>
      </c>
    </row>
    <row r="10662">
      <c r="A10662">
        <v>10661</v>
      </c>
      <c r="B10662" t="str">
        <v>Công an xã Yên Mỹ  tỉnh Ninh Bình</v>
      </c>
      <c r="C10662" t="str">
        <v>-</v>
      </c>
      <c r="D10662" t="str">
        <v>-</v>
      </c>
      <c r="E10662" t="str">
        <v/>
      </c>
      <c r="F10662" t="str">
        <v>-</v>
      </c>
      <c r="G10662" t="str">
        <v>-</v>
      </c>
    </row>
    <row r="10663">
      <c r="A10663">
        <v>10662</v>
      </c>
      <c r="B10663" t="str">
        <v>UBND Ủy ban nhân dân xã Yên Mỹ  tỉnh Ninh Bình</v>
      </c>
      <c r="C10663" t="str">
        <v>-</v>
      </c>
      <c r="D10663" t="str">
        <v>-</v>
      </c>
      <c r="E10663" t="str">
        <v>-</v>
      </c>
      <c r="F10663" t="str">
        <v>-</v>
      </c>
      <c r="G10663" t="str">
        <v>-</v>
      </c>
    </row>
    <row r="10664">
      <c r="A10664">
        <v>10663</v>
      </c>
      <c r="B10664" t="str">
        <v>Công an xã Yên Mạc  tỉnh Ninh Bình</v>
      </c>
      <c r="C10664" t="str">
        <v>-</v>
      </c>
      <c r="D10664" t="str">
        <v>-</v>
      </c>
      <c r="E10664" t="str">
        <v/>
      </c>
      <c r="F10664" t="str">
        <v>-</v>
      </c>
      <c r="G10664" t="str">
        <v>-</v>
      </c>
    </row>
    <row r="10665">
      <c r="A10665">
        <v>10664</v>
      </c>
      <c r="B10665" t="str">
        <v>UBND Ủy ban nhân dân xã Yên Mạc  tỉnh Ninh Bình</v>
      </c>
      <c r="C10665" t="str">
        <v>-</v>
      </c>
      <c r="D10665" t="str">
        <v>-</v>
      </c>
      <c r="E10665" t="str">
        <v>-</v>
      </c>
      <c r="F10665" t="str">
        <v>-</v>
      </c>
      <c r="G10665" t="str">
        <v>-</v>
      </c>
    </row>
    <row r="10666">
      <c r="A10666">
        <v>10665</v>
      </c>
      <c r="B10666" t="str">
        <v>Công an xã Yên Đồng  tỉnh Ninh Bình</v>
      </c>
      <c r="C10666" t="str">
        <v>-</v>
      </c>
      <c r="D10666" t="str">
        <v>-</v>
      </c>
      <c r="E10666" t="str">
        <v/>
      </c>
      <c r="F10666" t="str">
        <v>-</v>
      </c>
      <c r="G10666" t="str">
        <v>-</v>
      </c>
    </row>
    <row r="10667">
      <c r="A10667">
        <v>10666</v>
      </c>
      <c r="B10667" t="str">
        <v>UBND Ủy ban nhân dân xã Yên Đồng  tỉnh Ninh Bình</v>
      </c>
      <c r="C10667" t="str">
        <v>-</v>
      </c>
      <c r="D10667" t="str">
        <v>-</v>
      </c>
      <c r="E10667" t="str">
        <v>-</v>
      </c>
      <c r="F10667" t="str">
        <v>-</v>
      </c>
      <c r="G10667" t="str">
        <v>-</v>
      </c>
    </row>
    <row r="10668">
      <c r="A10668">
        <v>10667</v>
      </c>
      <c r="B10668" t="str">
        <v>Công an xã Yên Thái  tỉnh Ninh Bình</v>
      </c>
      <c r="C10668" t="str">
        <v>-</v>
      </c>
      <c r="D10668" t="str">
        <v>-</v>
      </c>
      <c r="E10668" t="str">
        <v/>
      </c>
      <c r="F10668" t="str">
        <v>-</v>
      </c>
      <c r="G10668" t="str">
        <v>-</v>
      </c>
    </row>
    <row r="10669">
      <c r="A10669">
        <v>10668</v>
      </c>
      <c r="B10669" t="str">
        <v>UBND Ủy ban nhân dân xã Yên Thái  tỉnh Ninh Bình</v>
      </c>
      <c r="C10669" t="str">
        <v>-</v>
      </c>
      <c r="D10669" t="str">
        <v>-</v>
      </c>
      <c r="E10669" t="str">
        <v>-</v>
      </c>
      <c r="F10669" t="str">
        <v>-</v>
      </c>
      <c r="G10669" t="str">
        <v>-</v>
      </c>
    </row>
    <row r="10670">
      <c r="A10670">
        <v>10669</v>
      </c>
      <c r="B10670" t="str">
        <v>Công an xã Yên Lâm  tỉnh Ninh Bình</v>
      </c>
      <c r="C10670" t="str">
        <v>-</v>
      </c>
      <c r="D10670" t="str">
        <v>-</v>
      </c>
      <c r="E10670" t="str">
        <v/>
      </c>
      <c r="F10670" t="str">
        <v>-</v>
      </c>
      <c r="G10670" t="str">
        <v>-</v>
      </c>
    </row>
    <row r="10671">
      <c r="A10671">
        <v>10670</v>
      </c>
      <c r="B10671" t="str">
        <v>UBND Ủy ban nhân dân xã Yên Lâm  tỉnh Ninh Bình</v>
      </c>
      <c r="C10671" t="str">
        <v>-</v>
      </c>
      <c r="D10671" t="str">
        <v>-</v>
      </c>
      <c r="E10671" t="str">
        <v>-</v>
      </c>
      <c r="F10671" t="str">
        <v>-</v>
      </c>
      <c r="G10671" t="str">
        <v>-</v>
      </c>
    </row>
    <row r="10672">
      <c r="A10672">
        <v>10671</v>
      </c>
      <c r="B10672" t="str">
        <v>Công an phường Hàm Rồng  tỉnh Thanh Hóa</v>
      </c>
      <c r="C10672" t="str">
        <v>-</v>
      </c>
      <c r="D10672" t="str">
        <v>-</v>
      </c>
      <c r="E10672" t="str">
        <v/>
      </c>
      <c r="F10672" t="str">
        <v>-</v>
      </c>
      <c r="G10672" t="str">
        <v>-</v>
      </c>
    </row>
    <row r="10673">
      <c r="A10673">
        <v>10672</v>
      </c>
      <c r="B10673" t="str">
        <v>UBND Ủy ban nhân dân phường Hàm Rồng  tỉnh Thanh Hóa</v>
      </c>
      <c r="C10673" t="str">
        <v>-</v>
      </c>
      <c r="D10673" t="str">
        <v>-</v>
      </c>
      <c r="E10673" t="str">
        <v>-</v>
      </c>
      <c r="F10673" t="str">
        <v>-</v>
      </c>
      <c r="G10673" t="str">
        <v>-</v>
      </c>
    </row>
    <row r="10674">
      <c r="A10674">
        <v>10673</v>
      </c>
      <c r="B10674" t="str">
        <v>Công an phường Đông Thọ  tỉnh Thanh Hóa</v>
      </c>
      <c r="C10674" t="str">
        <v>-</v>
      </c>
      <c r="D10674" t="str">
        <v>-</v>
      </c>
      <c r="E10674" t="str">
        <v/>
      </c>
      <c r="F10674" t="str">
        <v>-</v>
      </c>
      <c r="G10674" t="str">
        <v>-</v>
      </c>
    </row>
    <row r="10675">
      <c r="A10675">
        <v>10674</v>
      </c>
      <c r="B10675" t="str">
        <v>UBND Ủy ban nhân dân phường Đông Thọ  tỉnh Thanh Hóa</v>
      </c>
      <c r="C10675" t="str">
        <v>-</v>
      </c>
      <c r="D10675" t="str">
        <v>-</v>
      </c>
      <c r="E10675" t="str">
        <v>-</v>
      </c>
      <c r="F10675" t="str">
        <v>-</v>
      </c>
      <c r="G10675" t="str">
        <v>-</v>
      </c>
    </row>
    <row r="10676">
      <c r="A10676">
        <v>10675</v>
      </c>
      <c r="B10676" t="str">
        <v>Công an phường Nam Ngạn  tỉnh Thanh Hóa</v>
      </c>
      <c r="C10676" t="str">
        <v>-</v>
      </c>
      <c r="D10676" t="str">
        <v>-</v>
      </c>
      <c r="E10676" t="str">
        <v/>
      </c>
      <c r="F10676" t="str">
        <v>-</v>
      </c>
      <c r="G10676" t="str">
        <v>-</v>
      </c>
    </row>
    <row r="10677">
      <c r="A10677">
        <v>10676</v>
      </c>
      <c r="B10677" t="str">
        <v>UBND Ủy ban nhân dân phường Nam Ngạn  tỉnh Thanh Hóa</v>
      </c>
      <c r="C10677" t="str">
        <v>-</v>
      </c>
      <c r="D10677" t="str">
        <v>-</v>
      </c>
      <c r="E10677" t="str">
        <v>-</v>
      </c>
      <c r="F10677" t="str">
        <v>-</v>
      </c>
      <c r="G10677" t="str">
        <v>-</v>
      </c>
    </row>
    <row r="10678">
      <c r="A10678">
        <v>10677</v>
      </c>
      <c r="B10678" t="str">
        <v>Công an phường Trường Thi  tỉnh Thanh Hóa</v>
      </c>
      <c r="C10678" t="str">
        <v>-</v>
      </c>
      <c r="D10678" t="str">
        <v>-</v>
      </c>
      <c r="E10678" t="str">
        <v/>
      </c>
      <c r="F10678" t="str">
        <v>-</v>
      </c>
      <c r="G10678" t="str">
        <v>-</v>
      </c>
    </row>
    <row r="10679">
      <c r="A10679">
        <v>10678</v>
      </c>
      <c r="B10679" t="str">
        <v>UBND Ủy ban nhân dân phường Trường Thi  tỉnh Thanh Hóa</v>
      </c>
      <c r="C10679" t="str">
        <v>-</v>
      </c>
      <c r="D10679" t="str">
        <v>-</v>
      </c>
      <c r="E10679" t="str">
        <v>-</v>
      </c>
      <c r="F10679" t="str">
        <v>-</v>
      </c>
      <c r="G10679" t="str">
        <v>-</v>
      </c>
    </row>
    <row r="10680">
      <c r="A10680">
        <v>10679</v>
      </c>
      <c r="B10680" t="str">
        <v>Công an phường Điện Biên  tỉnh Thanh Hóa</v>
      </c>
      <c r="C10680" t="str">
        <v>-</v>
      </c>
      <c r="D10680" t="str">
        <v>-</v>
      </c>
      <c r="E10680" t="str">
        <v/>
      </c>
      <c r="F10680" t="str">
        <v>-</v>
      </c>
      <c r="G10680" t="str">
        <v>-</v>
      </c>
    </row>
    <row r="10681">
      <c r="A10681">
        <v>10680</v>
      </c>
      <c r="B10681" t="str">
        <v>UBND Ủy ban nhân dân phường Điện Biên  tỉnh Thanh Hóa</v>
      </c>
      <c r="C10681" t="str">
        <v>-</v>
      </c>
      <c r="D10681" t="str">
        <v>-</v>
      </c>
      <c r="E10681" t="str">
        <v>-</v>
      </c>
      <c r="F10681" t="str">
        <v>-</v>
      </c>
      <c r="G10681" t="str">
        <v>-</v>
      </c>
    </row>
    <row r="10682">
      <c r="A10682">
        <v>10681</v>
      </c>
      <c r="B10682" t="str">
        <v>Công an phường Phú Sơn  tỉnh Thanh Hóa</v>
      </c>
      <c r="C10682" t="str">
        <v>-</v>
      </c>
      <c r="D10682" t="str">
        <v>-</v>
      </c>
      <c r="E10682" t="str">
        <v/>
      </c>
      <c r="F10682" t="str">
        <v>-</v>
      </c>
      <c r="G10682" t="str">
        <v>-</v>
      </c>
    </row>
    <row r="10683">
      <c r="A10683">
        <v>10682</v>
      </c>
      <c r="B10683" t="str">
        <v>UBND Ủy ban nhân dân phường Phú Sơn  tỉnh Thanh Hóa</v>
      </c>
      <c r="C10683" t="str">
        <v>-</v>
      </c>
      <c r="D10683" t="str">
        <v>-</v>
      </c>
      <c r="E10683" t="str">
        <v>-</v>
      </c>
      <c r="F10683" t="str">
        <v>-</v>
      </c>
      <c r="G10683" t="str">
        <v>-</v>
      </c>
    </row>
    <row r="10684">
      <c r="A10684">
        <v>10683</v>
      </c>
      <c r="B10684" t="str">
        <v>Công an phường Lam Sơn  tỉnh Thanh Hóa</v>
      </c>
      <c r="C10684" t="str">
        <v>-</v>
      </c>
      <c r="D10684" t="str">
        <v>-</v>
      </c>
      <c r="E10684" t="str">
        <v/>
      </c>
      <c r="F10684" t="str">
        <v>-</v>
      </c>
      <c r="G10684" t="str">
        <v>-</v>
      </c>
    </row>
    <row r="10685">
      <c r="A10685">
        <v>10684</v>
      </c>
      <c r="B10685" t="str">
        <v>UBND Ủy ban nhân dân phường Lam Sơn  tỉnh Thanh Hóa</v>
      </c>
      <c r="C10685" t="str">
        <v>-</v>
      </c>
      <c r="D10685" t="str">
        <v>-</v>
      </c>
      <c r="E10685" t="str">
        <v>-</v>
      </c>
      <c r="F10685" t="str">
        <v>-</v>
      </c>
      <c r="G10685" t="str">
        <v>-</v>
      </c>
    </row>
    <row r="10686">
      <c r="A10686">
        <v>10685</v>
      </c>
      <c r="B10686" t="str">
        <v>Công an phường Ba Đình  tỉnh Thanh Hóa</v>
      </c>
      <c r="C10686" t="str">
        <v>-</v>
      </c>
      <c r="D10686" t="str">
        <v>-</v>
      </c>
      <c r="E10686" t="str">
        <v/>
      </c>
      <c r="F10686" t="str">
        <v>-</v>
      </c>
      <c r="G10686" t="str">
        <v>-</v>
      </c>
    </row>
    <row r="10687">
      <c r="A10687">
        <v>10686</v>
      </c>
      <c r="B10687" t="str">
        <v>UBND Ủy ban nhân dân phường Ba Đình  tỉnh Thanh Hóa</v>
      </c>
      <c r="C10687" t="str">
        <v>-</v>
      </c>
      <c r="D10687" t="str">
        <v>-</v>
      </c>
      <c r="E10687" t="str">
        <v>-</v>
      </c>
      <c r="F10687" t="str">
        <v>-</v>
      </c>
      <c r="G10687" t="str">
        <v>-</v>
      </c>
    </row>
    <row r="10688">
      <c r="A10688">
        <v>10687</v>
      </c>
      <c r="B10688" t="str">
        <v>Công an phường Ngọc Trạo  tỉnh Thanh Hóa</v>
      </c>
      <c r="C10688" t="str">
        <v>-</v>
      </c>
      <c r="D10688" t="str">
        <v>-</v>
      </c>
      <c r="E10688" t="str">
        <v/>
      </c>
      <c r="F10688" t="str">
        <v>-</v>
      </c>
      <c r="G10688" t="str">
        <v>-</v>
      </c>
    </row>
    <row r="10689">
      <c r="A10689">
        <v>10688</v>
      </c>
      <c r="B10689" t="str">
        <v>UBND Ủy ban nhân dân phường Ngọc Trạo  tỉnh Thanh Hóa</v>
      </c>
      <c r="C10689" t="str">
        <v>-</v>
      </c>
      <c r="D10689" t="str">
        <v>-</v>
      </c>
      <c r="E10689" t="str">
        <v>-</v>
      </c>
      <c r="F10689" t="str">
        <v>-</v>
      </c>
      <c r="G10689" t="str">
        <v>-</v>
      </c>
    </row>
    <row r="10690">
      <c r="A10690">
        <v>10689</v>
      </c>
      <c r="B10690" t="str">
        <v>Công an phường Đông Vệ  tỉnh Thanh Hóa</v>
      </c>
      <c r="C10690" t="str">
        <v>-</v>
      </c>
      <c r="D10690" t="str">
        <v>-</v>
      </c>
      <c r="E10690" t="str">
        <v/>
      </c>
      <c r="F10690" t="str">
        <v>-</v>
      </c>
      <c r="G10690" t="str">
        <v>-</v>
      </c>
    </row>
    <row r="10691">
      <c r="A10691">
        <v>10690</v>
      </c>
      <c r="B10691" t="str">
        <v>UBND Ủy ban nhân dân phường Đông Vệ  tỉnh Thanh Hóa</v>
      </c>
      <c r="C10691" t="str">
        <v>-</v>
      </c>
      <c r="D10691" t="str">
        <v>-</v>
      </c>
      <c r="E10691" t="str">
        <v>-</v>
      </c>
      <c r="F10691" t="str">
        <v>-</v>
      </c>
      <c r="G10691" t="str">
        <v>-</v>
      </c>
    </row>
    <row r="10692">
      <c r="A10692">
        <v>10691</v>
      </c>
      <c r="B10692" t="str">
        <v>Công an phường Đông Sơn  tỉnh Thanh Hóa</v>
      </c>
      <c r="C10692" t="str">
        <v>-</v>
      </c>
      <c r="D10692" t="str">
        <v>-</v>
      </c>
      <c r="E10692" t="str">
        <v/>
      </c>
      <c r="F10692" t="str">
        <v>-</v>
      </c>
      <c r="G10692" t="str">
        <v>-</v>
      </c>
    </row>
    <row r="10693">
      <c r="A10693">
        <v>10692</v>
      </c>
      <c r="B10693" t="str">
        <v>UBND Ủy ban nhân dân phường Đông Sơn  tỉnh Thanh Hóa</v>
      </c>
      <c r="C10693" t="str">
        <v>-</v>
      </c>
      <c r="D10693" t="str">
        <v>-</v>
      </c>
      <c r="E10693" t="str">
        <v>-</v>
      </c>
      <c r="F10693" t="str">
        <v>-</v>
      </c>
      <c r="G10693" t="str">
        <v>-</v>
      </c>
    </row>
    <row r="10694">
      <c r="A10694">
        <v>10693</v>
      </c>
      <c r="B10694" t="str">
        <v>Công an phường Tân Sơn  tỉnh Thanh Hóa</v>
      </c>
      <c r="C10694" t="str">
        <v>-</v>
      </c>
      <c r="D10694" t="str">
        <v>-</v>
      </c>
      <c r="E10694" t="str">
        <v/>
      </c>
      <c r="F10694" t="str">
        <v>-</v>
      </c>
      <c r="G10694" t="str">
        <v>-</v>
      </c>
    </row>
    <row r="10695">
      <c r="A10695">
        <v>10694</v>
      </c>
      <c r="B10695" t="str">
        <v>UBND Ủy ban nhân dân phường Tân Sơn  tỉnh Thanh Hóa</v>
      </c>
      <c r="C10695" t="str">
        <v>-</v>
      </c>
      <c r="D10695" t="str">
        <v>-</v>
      </c>
      <c r="E10695" t="str">
        <v>-</v>
      </c>
      <c r="F10695" t="str">
        <v>-</v>
      </c>
      <c r="G10695" t="str">
        <v>-</v>
      </c>
    </row>
    <row r="10696">
      <c r="A10696">
        <v>10695</v>
      </c>
      <c r="B10696" t="str">
        <v>Công an phường Đông Cương  tỉnh Thanh Hóa</v>
      </c>
      <c r="C10696" t="str">
        <v>-</v>
      </c>
      <c r="D10696" t="str">
        <v>-</v>
      </c>
      <c r="E10696" t="str">
        <v/>
      </c>
      <c r="F10696" t="str">
        <v>-</v>
      </c>
      <c r="G10696" t="str">
        <v>-</v>
      </c>
    </row>
    <row r="10697">
      <c r="A10697">
        <v>10696</v>
      </c>
      <c r="B10697" t="str">
        <v>UBND Ủy ban nhân dân phường Đông Cương  tỉnh Thanh Hóa</v>
      </c>
      <c r="C10697" t="str">
        <v>-</v>
      </c>
      <c r="D10697" t="str">
        <v>-</v>
      </c>
      <c r="E10697" t="str">
        <v>-</v>
      </c>
      <c r="F10697" t="str">
        <v>-</v>
      </c>
      <c r="G10697" t="str">
        <v>-</v>
      </c>
    </row>
    <row r="10698">
      <c r="A10698">
        <v>10697</v>
      </c>
      <c r="B10698" t="str">
        <v>Công an phường Đông Hương  tỉnh Thanh Hóa</v>
      </c>
      <c r="C10698" t="str">
        <v>-</v>
      </c>
      <c r="D10698" t="str">
        <v>-</v>
      </c>
      <c r="E10698" t="str">
        <v/>
      </c>
      <c r="F10698" t="str">
        <v>-</v>
      </c>
      <c r="G10698" t="str">
        <v>-</v>
      </c>
    </row>
    <row r="10699">
      <c r="A10699">
        <v>10698</v>
      </c>
      <c r="B10699" t="str">
        <v>UBND Ủy ban nhân dân phường Đông Hương  tỉnh Thanh Hóa</v>
      </c>
      <c r="C10699" t="str">
        <v>-</v>
      </c>
      <c r="D10699" t="str">
        <v>-</v>
      </c>
      <c r="E10699" t="str">
        <v>-</v>
      </c>
      <c r="F10699" t="str">
        <v>-</v>
      </c>
      <c r="G10699" t="str">
        <v>-</v>
      </c>
    </row>
    <row r="10700">
      <c r="A10700">
        <v>10699</v>
      </c>
      <c r="B10700" t="str">
        <v>Công an phường Đông Hải  tỉnh Thanh Hóa</v>
      </c>
      <c r="C10700" t="str">
        <v>-</v>
      </c>
      <c r="D10700" t="str">
        <v>-</v>
      </c>
      <c r="E10700" t="str">
        <v/>
      </c>
      <c r="F10700" t="str">
        <v>-</v>
      </c>
      <c r="G10700" t="str">
        <v>-</v>
      </c>
    </row>
    <row r="10701">
      <c r="A10701">
        <v>10700</v>
      </c>
      <c r="B10701" t="str">
        <v>UBND Ủy ban nhân dân phường Đông Hải  tỉnh Thanh Hóa</v>
      </c>
      <c r="C10701" t="str">
        <v>-</v>
      </c>
      <c r="D10701" t="str">
        <v>-</v>
      </c>
      <c r="E10701" t="str">
        <v>-</v>
      </c>
      <c r="F10701" t="str">
        <v>-</v>
      </c>
      <c r="G10701" t="str">
        <v>-</v>
      </c>
    </row>
    <row r="10702">
      <c r="A10702">
        <v>10701</v>
      </c>
      <c r="B10702" t="str">
        <v>Công an phường Quảng Hưng  tỉnh Thanh Hóa</v>
      </c>
      <c r="C10702" t="str">
        <v>-</v>
      </c>
      <c r="D10702" t="str">
        <v>-</v>
      </c>
      <c r="E10702" t="str">
        <v/>
      </c>
      <c r="F10702" t="str">
        <v>-</v>
      </c>
      <c r="G10702" t="str">
        <v>-</v>
      </c>
    </row>
    <row r="10703">
      <c r="A10703">
        <v>10702</v>
      </c>
      <c r="B10703" t="str">
        <v>UBND Ủy ban nhân dân phường Quảng Hưng  tỉnh Thanh Hóa</v>
      </c>
      <c r="C10703" t="str">
        <v>-</v>
      </c>
      <c r="D10703" t="str">
        <v>-</v>
      </c>
      <c r="E10703" t="str">
        <v>-</v>
      </c>
      <c r="F10703" t="str">
        <v>-</v>
      </c>
      <c r="G10703" t="str">
        <v>-</v>
      </c>
    </row>
    <row r="10704">
      <c r="A10704">
        <v>10703</v>
      </c>
      <c r="B10704" t="str">
        <v>Công an phường Quảng Thắng  tỉnh Thanh Hóa</v>
      </c>
      <c r="C10704" t="str">
        <v>-</v>
      </c>
      <c r="D10704" t="str">
        <v>-</v>
      </c>
      <c r="E10704" t="str">
        <v/>
      </c>
      <c r="F10704" t="str">
        <v>-</v>
      </c>
      <c r="G10704" t="str">
        <v>-</v>
      </c>
    </row>
    <row r="10705">
      <c r="A10705">
        <v>10704</v>
      </c>
      <c r="B10705" t="str">
        <v>UBND Ủy ban nhân dân phường Quảng Thắng  tỉnh Thanh Hóa</v>
      </c>
      <c r="C10705" t="str">
        <v>-</v>
      </c>
      <c r="D10705" t="str">
        <v>-</v>
      </c>
      <c r="E10705" t="str">
        <v>-</v>
      </c>
      <c r="F10705" t="str">
        <v>-</v>
      </c>
      <c r="G10705" t="str">
        <v>-</v>
      </c>
    </row>
    <row r="10706">
      <c r="A10706">
        <v>10705</v>
      </c>
      <c r="B10706" t="str">
        <v>Công an phường Quảng Thành  tỉnh Thanh Hóa</v>
      </c>
      <c r="C10706" t="str">
        <v>-</v>
      </c>
      <c r="D10706" t="str">
        <v>-</v>
      </c>
      <c r="E10706" t="str">
        <v/>
      </c>
      <c r="F10706" t="str">
        <v>-</v>
      </c>
      <c r="G10706" t="str">
        <v>-</v>
      </c>
    </row>
    <row r="10707">
      <c r="A10707">
        <v>10706</v>
      </c>
      <c r="B10707" t="str">
        <v>UBND Ủy ban nhân dân phường Quảng Thành  tỉnh Thanh Hóa</v>
      </c>
      <c r="C10707" t="str">
        <v>-</v>
      </c>
      <c r="D10707" t="str">
        <v>-</v>
      </c>
      <c r="E10707" t="str">
        <v>-</v>
      </c>
      <c r="F10707" t="str">
        <v>-</v>
      </c>
      <c r="G10707" t="str">
        <v>-</v>
      </c>
    </row>
    <row r="10708">
      <c r="A10708">
        <v>10707</v>
      </c>
      <c r="B10708" t="str">
        <v>Công an xã Thiệu Vân  tỉnh Thanh Hóa</v>
      </c>
      <c r="C10708" t="str">
        <v>-</v>
      </c>
      <c r="D10708" t="str">
        <v>-</v>
      </c>
      <c r="E10708" t="str">
        <v/>
      </c>
      <c r="F10708" t="str">
        <v>-</v>
      </c>
      <c r="G10708" t="str">
        <v>-</v>
      </c>
    </row>
    <row r="10709">
      <c r="A10709">
        <v>10708</v>
      </c>
      <c r="B10709" t="str">
        <v>UBND Ủy ban nhân dân xã Thiệu Vân  tỉnh Thanh Hóa</v>
      </c>
      <c r="C10709" t="str">
        <v>-</v>
      </c>
      <c r="D10709" t="str">
        <v>-</v>
      </c>
      <c r="E10709" t="str">
        <v>-</v>
      </c>
      <c r="F10709" t="str">
        <v>-</v>
      </c>
      <c r="G10709" t="str">
        <v>-</v>
      </c>
    </row>
    <row r="10710">
      <c r="A10710">
        <v>10709</v>
      </c>
      <c r="B10710" t="str">
        <v>Công an xã Thiệu Khánh  tỉnh Thanh Hóa</v>
      </c>
      <c r="C10710" t="str">
        <v>-</v>
      </c>
      <c r="D10710" t="str">
        <v>-</v>
      </c>
      <c r="E10710" t="str">
        <v/>
      </c>
      <c r="F10710" t="str">
        <v>-</v>
      </c>
      <c r="G10710" t="str">
        <v>-</v>
      </c>
    </row>
    <row r="10711">
      <c r="A10711">
        <v>10710</v>
      </c>
      <c r="B10711" t="str">
        <v>UBND Ủy ban nhân dân xã Thiệu Khánh  tỉnh Thanh Hóa</v>
      </c>
      <c r="C10711" t="str">
        <v>-</v>
      </c>
      <c r="D10711" t="str">
        <v>-</v>
      </c>
      <c r="E10711" t="str">
        <v>-</v>
      </c>
      <c r="F10711" t="str">
        <v>-</v>
      </c>
      <c r="G10711" t="str">
        <v>-</v>
      </c>
    </row>
    <row r="10712">
      <c r="A10712">
        <v>10711</v>
      </c>
      <c r="B10712" t="str">
        <v>Công an xã Thiệu Dương  tỉnh Thanh Hóa</v>
      </c>
      <c r="C10712" t="str">
        <v>-</v>
      </c>
      <c r="D10712" t="str">
        <v>-</v>
      </c>
      <c r="E10712" t="str">
        <v/>
      </c>
      <c r="F10712" t="str">
        <v>-</v>
      </c>
      <c r="G10712" t="str">
        <v>-</v>
      </c>
    </row>
    <row r="10713">
      <c r="A10713">
        <v>10712</v>
      </c>
      <c r="B10713" t="str">
        <v>UBND Ủy ban nhân dân xã Thiệu Dương  tỉnh Thanh Hóa</v>
      </c>
      <c r="C10713" t="str">
        <v>-</v>
      </c>
      <c r="D10713" t="str">
        <v>-</v>
      </c>
      <c r="E10713" t="str">
        <v>-</v>
      </c>
      <c r="F10713" t="str">
        <v>-</v>
      </c>
      <c r="G10713" t="str">
        <v>-</v>
      </c>
    </row>
    <row r="10714">
      <c r="A10714">
        <v>10713</v>
      </c>
      <c r="B10714" t="str">
        <v>Công an phường Tào Xuyên  tỉnh Thanh Hóa</v>
      </c>
      <c r="C10714" t="str">
        <v>-</v>
      </c>
      <c r="D10714" t="str">
        <v>-</v>
      </c>
      <c r="E10714" t="str">
        <v/>
      </c>
      <c r="F10714" t="str">
        <v>-</v>
      </c>
      <c r="G10714" t="str">
        <v>-</v>
      </c>
    </row>
    <row r="10715">
      <c r="A10715">
        <v>10714</v>
      </c>
      <c r="B10715" t="str">
        <v>UBND Ủy ban nhân dân phường Tào Xuyên  tỉnh Thanh Hóa</v>
      </c>
      <c r="C10715" t="str">
        <v>-</v>
      </c>
      <c r="D10715" t="str">
        <v>-</v>
      </c>
      <c r="E10715" t="str">
        <v>-</v>
      </c>
      <c r="F10715" t="str">
        <v>-</v>
      </c>
      <c r="G10715" t="str">
        <v>-</v>
      </c>
    </row>
    <row r="10716">
      <c r="A10716">
        <v>10715</v>
      </c>
      <c r="B10716" t="str">
        <v>Công an xã Hoằng Lý  tỉnh Thanh Hóa</v>
      </c>
      <c r="C10716" t="str">
        <v>-</v>
      </c>
      <c r="D10716" t="str">
        <v>-</v>
      </c>
      <c r="E10716" t="str">
        <v/>
      </c>
      <c r="F10716" t="str">
        <v>-</v>
      </c>
      <c r="G10716" t="str">
        <v>-</v>
      </c>
    </row>
    <row r="10717">
      <c r="A10717">
        <v>10716</v>
      </c>
      <c r="B10717" t="str">
        <v>UBND Ủy ban nhân dân xã Hoằng Lý  tỉnh Thanh Hóa</v>
      </c>
      <c r="C10717" t="str">
        <v>-</v>
      </c>
      <c r="D10717" t="str">
        <v>-</v>
      </c>
      <c r="E10717" t="str">
        <v>-</v>
      </c>
      <c r="F10717" t="str">
        <v>-</v>
      </c>
      <c r="G10717" t="str">
        <v>-</v>
      </c>
    </row>
    <row r="10718">
      <c r="A10718">
        <v>10717</v>
      </c>
      <c r="B10718" t="str">
        <v>Công an xã Hoằng Long  tỉnh Thanh Hóa</v>
      </c>
      <c r="C10718" t="str">
        <v>-</v>
      </c>
      <c r="D10718" t="str">
        <v>-</v>
      </c>
      <c r="E10718" t="str">
        <v/>
      </c>
      <c r="F10718" t="str">
        <v>-</v>
      </c>
      <c r="G10718" t="str">
        <v>-</v>
      </c>
    </row>
    <row r="10719">
      <c r="A10719">
        <v>10718</v>
      </c>
      <c r="B10719" t="str">
        <v>UBND Ủy ban nhân dân xã Hoằng Long  tỉnh Thanh Hóa</v>
      </c>
      <c r="C10719" t="str">
        <v>-</v>
      </c>
      <c r="D10719" t="str">
        <v>-</v>
      </c>
      <c r="E10719" t="str">
        <v>-</v>
      </c>
      <c r="F10719" t="str">
        <v>-</v>
      </c>
      <c r="G10719" t="str">
        <v>-</v>
      </c>
    </row>
    <row r="10720">
      <c r="A10720">
        <v>10719</v>
      </c>
      <c r="B10720" t="str">
        <v>Công an xã Hoằng Quang  tỉnh Thanh Hóa</v>
      </c>
      <c r="C10720" t="str">
        <v>-</v>
      </c>
      <c r="D10720" t="str">
        <v>-</v>
      </c>
      <c r="E10720" t="str">
        <v/>
      </c>
      <c r="F10720" t="str">
        <v>-</v>
      </c>
      <c r="G10720" t="str">
        <v>-</v>
      </c>
    </row>
    <row r="10721">
      <c r="A10721">
        <v>10720</v>
      </c>
      <c r="B10721" t="str">
        <v>UBND Ủy ban nhân dân xã Hoằng Quang  tỉnh Thanh Hóa</v>
      </c>
      <c r="C10721" t="str">
        <v>-</v>
      </c>
      <c r="D10721" t="str">
        <v>-</v>
      </c>
      <c r="E10721" t="str">
        <v>-</v>
      </c>
      <c r="F10721" t="str">
        <v>-</v>
      </c>
      <c r="G10721" t="str">
        <v>-</v>
      </c>
    </row>
    <row r="10722">
      <c r="A10722">
        <v>10721</v>
      </c>
      <c r="B10722" t="str">
        <v>Công an xã Hoằng Đại  tỉnh Thanh Hóa</v>
      </c>
      <c r="C10722" t="str">
        <v>-</v>
      </c>
      <c r="D10722" t="str">
        <v>-</v>
      </c>
      <c r="E10722" t="str">
        <v/>
      </c>
      <c r="F10722" t="str">
        <v>-</v>
      </c>
      <c r="G10722" t="str">
        <v>-</v>
      </c>
    </row>
    <row r="10723">
      <c r="A10723">
        <v>10722</v>
      </c>
      <c r="B10723" t="str">
        <v>UBND Ủy ban nhân dân xã Hoằng Đại  tỉnh Thanh Hóa</v>
      </c>
      <c r="C10723" t="str">
        <v>-</v>
      </c>
      <c r="D10723" t="str">
        <v>-</v>
      </c>
      <c r="E10723" t="str">
        <v>-</v>
      </c>
      <c r="F10723" t="str">
        <v>-</v>
      </c>
      <c r="G10723" t="str">
        <v>-</v>
      </c>
    </row>
    <row r="10724">
      <c r="A10724">
        <v>10723</v>
      </c>
      <c r="B10724" t="str">
        <v>Công an xã Hoằng Anh  tỉnh Thanh Hóa</v>
      </c>
      <c r="C10724" t="str">
        <v>-</v>
      </c>
      <c r="D10724" t="str">
        <v>-</v>
      </c>
      <c r="E10724" t="str">
        <v/>
      </c>
      <c r="F10724" t="str">
        <v>-</v>
      </c>
      <c r="G10724" t="str">
        <v>-</v>
      </c>
    </row>
    <row r="10725">
      <c r="A10725">
        <v>10724</v>
      </c>
      <c r="B10725" t="str">
        <v>UBND Ủy ban nhân dân xã Hoằng Anh  tỉnh Thanh Hóa</v>
      </c>
      <c r="C10725" t="str">
        <v>-</v>
      </c>
      <c r="D10725" t="str">
        <v>-</v>
      </c>
      <c r="E10725" t="str">
        <v>-</v>
      </c>
      <c r="F10725" t="str">
        <v>-</v>
      </c>
      <c r="G10725" t="str">
        <v>-</v>
      </c>
    </row>
    <row r="10726">
      <c r="A10726">
        <v>10725</v>
      </c>
      <c r="B10726" t="str">
        <v>Công an phường An Hoạch  tỉnh Thanh Hóa</v>
      </c>
      <c r="C10726" t="str">
        <v>-</v>
      </c>
      <c r="D10726" t="str">
        <v>-</v>
      </c>
      <c r="E10726" t="str">
        <v/>
      </c>
      <c r="F10726" t="str">
        <v>-</v>
      </c>
      <c r="G10726" t="str">
        <v>-</v>
      </c>
    </row>
    <row r="10727">
      <c r="A10727">
        <v>10726</v>
      </c>
      <c r="B10727" t="str">
        <v>UBND Ủy ban nhân dân phường An Hoạch  tỉnh Thanh Hóa</v>
      </c>
      <c r="C10727" t="str">
        <v>-</v>
      </c>
      <c r="D10727" t="str">
        <v>-</v>
      </c>
      <c r="E10727" t="str">
        <v>-</v>
      </c>
      <c r="F10727" t="str">
        <v>-</v>
      </c>
      <c r="G10727" t="str">
        <v>-</v>
      </c>
    </row>
    <row r="10728">
      <c r="A10728">
        <v>10727</v>
      </c>
      <c r="B10728" t="str">
        <v>Công an xã Đông Lĩnh  tỉnh Thanh Hóa</v>
      </c>
      <c r="C10728" t="str">
        <v>-</v>
      </c>
      <c r="D10728" t="str">
        <v>-</v>
      </c>
      <c r="E10728" t="str">
        <v/>
      </c>
      <c r="F10728" t="str">
        <v>-</v>
      </c>
      <c r="G10728" t="str">
        <v>-</v>
      </c>
    </row>
    <row r="10729">
      <c r="A10729">
        <v>10728</v>
      </c>
      <c r="B10729" t="str">
        <v>UBND Ủy ban nhân dân xã Đông Lĩnh  tỉnh Thanh Hóa</v>
      </c>
      <c r="C10729" t="str">
        <v>-</v>
      </c>
      <c r="D10729" t="str">
        <v>-</v>
      </c>
      <c r="E10729" t="str">
        <v>-</v>
      </c>
      <c r="F10729" t="str">
        <v>-</v>
      </c>
      <c r="G10729" t="str">
        <v>-</v>
      </c>
    </row>
    <row r="10730">
      <c r="A10730">
        <v>10729</v>
      </c>
      <c r="B10730" t="str">
        <v>Công an xã Đông Vinh  tỉnh Thanh Hóa</v>
      </c>
      <c r="C10730" t="str">
        <v>-</v>
      </c>
      <c r="D10730" t="str">
        <v>-</v>
      </c>
      <c r="E10730" t="str">
        <v/>
      </c>
      <c r="F10730" t="str">
        <v>-</v>
      </c>
      <c r="G10730" t="str">
        <v>-</v>
      </c>
    </row>
    <row r="10731">
      <c r="A10731">
        <v>10730</v>
      </c>
      <c r="B10731" t="str">
        <v>UBND Ủy ban nhân dân xã Đông Vinh  tỉnh Thanh Hóa</v>
      </c>
      <c r="C10731" t="str">
        <v>-</v>
      </c>
      <c r="D10731" t="str">
        <v>-</v>
      </c>
      <c r="E10731" t="str">
        <v>-</v>
      </c>
      <c r="F10731" t="str">
        <v>-</v>
      </c>
      <c r="G10731" t="str">
        <v>-</v>
      </c>
    </row>
    <row r="10732">
      <c r="A10732">
        <v>10731</v>
      </c>
      <c r="B10732" t="str">
        <v>Công an xã Đông Tân  tỉnh Thanh Hóa</v>
      </c>
      <c r="C10732" t="str">
        <v>-</v>
      </c>
      <c r="D10732" t="str">
        <v>-</v>
      </c>
      <c r="E10732" t="str">
        <v/>
      </c>
      <c r="F10732" t="str">
        <v>-</v>
      </c>
      <c r="G10732" t="str">
        <v>-</v>
      </c>
    </row>
    <row r="10733">
      <c r="A10733">
        <v>10732</v>
      </c>
      <c r="B10733" t="str">
        <v>UBND Ủy ban nhân dân xã Đông Tân  tỉnh Thanh Hóa</v>
      </c>
      <c r="C10733" t="str">
        <v>-</v>
      </c>
      <c r="D10733" t="str">
        <v>-</v>
      </c>
      <c r="E10733" t="str">
        <v>-</v>
      </c>
      <c r="F10733" t="str">
        <v>-</v>
      </c>
      <c r="G10733" t="str">
        <v>-</v>
      </c>
    </row>
    <row r="10734">
      <c r="A10734">
        <v>10733</v>
      </c>
      <c r="B10734" t="str">
        <v>Công an xã Đông Hưng  tỉnh Thanh Hóa</v>
      </c>
      <c r="C10734" t="str">
        <v>-</v>
      </c>
      <c r="D10734" t="str">
        <v>-</v>
      </c>
      <c r="E10734" t="str">
        <v/>
      </c>
      <c r="F10734" t="str">
        <v>-</v>
      </c>
      <c r="G10734" t="str">
        <v>-</v>
      </c>
    </row>
    <row r="10735">
      <c r="A10735">
        <v>10734</v>
      </c>
      <c r="B10735" t="str">
        <v>UBND Ủy ban nhân dân xã Đông Hưng  tỉnh Thanh Hóa</v>
      </c>
      <c r="C10735" t="str">
        <v>-</v>
      </c>
      <c r="D10735" t="str">
        <v>-</v>
      </c>
      <c r="E10735" t="str">
        <v>-</v>
      </c>
      <c r="F10735" t="str">
        <v>-</v>
      </c>
      <c r="G10735" t="str">
        <v>-</v>
      </c>
    </row>
    <row r="10736">
      <c r="A10736">
        <v>10735</v>
      </c>
      <c r="B10736" t="str">
        <v>Công an xã Quảng Thịnh  tỉnh Thanh Hóa</v>
      </c>
      <c r="C10736" t="str">
        <v>-</v>
      </c>
      <c r="D10736" t="str">
        <v>-</v>
      </c>
      <c r="E10736" t="str">
        <v/>
      </c>
      <c r="F10736" t="str">
        <v>-</v>
      </c>
      <c r="G10736" t="str">
        <v>-</v>
      </c>
    </row>
    <row r="10737">
      <c r="A10737">
        <v>10736</v>
      </c>
      <c r="B10737" t="str">
        <v>UBND Ủy ban nhân dân xã Quảng Thịnh  tỉnh Thanh Hóa</v>
      </c>
      <c r="C10737" t="str">
        <v>-</v>
      </c>
      <c r="D10737" t="str">
        <v>-</v>
      </c>
      <c r="E10737" t="str">
        <v>-</v>
      </c>
      <c r="F10737" t="str">
        <v>-</v>
      </c>
      <c r="G10737" t="str">
        <v>-</v>
      </c>
    </row>
    <row r="10738">
      <c r="A10738">
        <v>10737</v>
      </c>
      <c r="B10738" t="str">
        <v>Công an xã Quảng Đông  tỉnh Thanh Hóa</v>
      </c>
      <c r="C10738" t="str">
        <v>-</v>
      </c>
      <c r="D10738" t="str">
        <v>-</v>
      </c>
      <c r="E10738" t="str">
        <v/>
      </c>
      <c r="F10738" t="str">
        <v>-</v>
      </c>
      <c r="G10738" t="str">
        <v>-</v>
      </c>
    </row>
    <row r="10739">
      <c r="A10739">
        <v>10738</v>
      </c>
      <c r="B10739" t="str">
        <v>UBND Ủy ban nhân dân xã Quảng Đông  tỉnh Thanh Hóa</v>
      </c>
      <c r="C10739" t="str">
        <v>-</v>
      </c>
      <c r="D10739" t="str">
        <v>-</v>
      </c>
      <c r="E10739" t="str">
        <v>-</v>
      </c>
      <c r="F10739" t="str">
        <v>-</v>
      </c>
      <c r="G10739" t="str">
        <v>-</v>
      </c>
    </row>
    <row r="10740">
      <c r="A10740">
        <v>10739</v>
      </c>
      <c r="B10740" t="str">
        <v>Công an xã Quảng Cát  tỉnh Thanh Hóa</v>
      </c>
      <c r="C10740" t="str">
        <v>-</v>
      </c>
      <c r="D10740" t="str">
        <v>-</v>
      </c>
      <c r="E10740" t="str">
        <v/>
      </c>
      <c r="F10740" t="str">
        <v>-</v>
      </c>
      <c r="G10740" t="str">
        <v>-</v>
      </c>
    </row>
    <row r="10741">
      <c r="A10741">
        <v>10740</v>
      </c>
      <c r="B10741" t="str">
        <v>UBND Ủy ban nhân dân xã Quảng Cát  tỉnh Thanh Hóa</v>
      </c>
      <c r="C10741" t="str">
        <v>-</v>
      </c>
      <c r="D10741" t="str">
        <v>-</v>
      </c>
      <c r="E10741" t="str">
        <v>-</v>
      </c>
      <c r="F10741" t="str">
        <v>-</v>
      </c>
      <c r="G10741" t="str">
        <v>-</v>
      </c>
    </row>
    <row r="10742">
      <c r="A10742">
        <v>10741</v>
      </c>
      <c r="B10742" t="str">
        <v>Công an xã Quảng Phú  tỉnh Thanh Hóa</v>
      </c>
      <c r="C10742" t="str">
        <v>-</v>
      </c>
      <c r="D10742" t="str">
        <v>-</v>
      </c>
      <c r="E10742" t="str">
        <v/>
      </c>
      <c r="F10742" t="str">
        <v>-</v>
      </c>
      <c r="G10742" t="str">
        <v>-</v>
      </c>
    </row>
    <row r="10743">
      <c r="A10743">
        <v>10742</v>
      </c>
      <c r="B10743" t="str">
        <v>UBND Ủy ban nhân dân xã Quảng Phú  tỉnh Thanh Hóa</v>
      </c>
      <c r="C10743" t="str">
        <v>-</v>
      </c>
      <c r="D10743" t="str">
        <v>-</v>
      </c>
      <c r="E10743" t="str">
        <v>-</v>
      </c>
      <c r="F10743" t="str">
        <v>-</v>
      </c>
      <c r="G10743" t="str">
        <v>-</v>
      </c>
    </row>
    <row r="10744">
      <c r="A10744">
        <v>10743</v>
      </c>
      <c r="B10744" t="str">
        <v>Công an xã Quảng Tâm  tỉnh Thanh Hóa</v>
      </c>
      <c r="C10744" t="str">
        <v>-</v>
      </c>
      <c r="D10744" t="str">
        <v>-</v>
      </c>
      <c r="E10744" t="str">
        <v/>
      </c>
      <c r="F10744" t="str">
        <v>-</v>
      </c>
      <c r="G10744" t="str">
        <v>-</v>
      </c>
    </row>
    <row r="10745">
      <c r="A10745">
        <v>10744</v>
      </c>
      <c r="B10745" t="str">
        <v>UBND Ủy ban nhân dân xã Quảng Tâm  tỉnh Thanh Hóa</v>
      </c>
      <c r="C10745" t="str">
        <v>-</v>
      </c>
      <c r="D10745" t="str">
        <v>-</v>
      </c>
      <c r="E10745" t="str">
        <v>-</v>
      </c>
      <c r="F10745" t="str">
        <v>-</v>
      </c>
      <c r="G10745" t="str">
        <v>-</v>
      </c>
    </row>
    <row r="10746">
      <c r="A10746">
        <v>10745</v>
      </c>
      <c r="B10746" t="str">
        <v>Công an phường Bắc Sơn  tỉnh Thanh Hóa</v>
      </c>
      <c r="C10746" t="str">
        <v>-</v>
      </c>
      <c r="D10746" t="str">
        <v>-</v>
      </c>
      <c r="E10746" t="str">
        <v/>
      </c>
      <c r="F10746" t="str">
        <v>-</v>
      </c>
      <c r="G10746" t="str">
        <v>-</v>
      </c>
    </row>
    <row r="10747">
      <c r="A10747">
        <v>10746</v>
      </c>
      <c r="B10747" t="str">
        <v>UBND Ủy ban nhân dân phường Bắc Sơn  tỉnh Thanh Hóa</v>
      </c>
      <c r="C10747" t="str">
        <v>-</v>
      </c>
      <c r="D10747" t="str">
        <v>-</v>
      </c>
      <c r="E10747" t="str">
        <v>-</v>
      </c>
      <c r="F10747" t="str">
        <v>-</v>
      </c>
      <c r="G10747" t="str">
        <v>-</v>
      </c>
    </row>
    <row r="10748">
      <c r="A10748">
        <v>10747</v>
      </c>
      <c r="B10748" t="str">
        <v>Công an phường Ba Đình tỉnh Thanh Hóa</v>
      </c>
      <c r="C10748" t="str">
        <v>-</v>
      </c>
      <c r="D10748" t="str">
        <v>-</v>
      </c>
      <c r="E10748" t="str">
        <v/>
      </c>
      <c r="F10748" t="str">
        <v>-</v>
      </c>
      <c r="G10748" t="str">
        <v>-</v>
      </c>
    </row>
    <row r="10749">
      <c r="A10749">
        <v>10748</v>
      </c>
      <c r="B10749" t="str">
        <v>UBND Ủy ban nhân dân phường Ba Đình tỉnh Thanh Hóa</v>
      </c>
      <c r="C10749" t="str">
        <v>-</v>
      </c>
      <c r="D10749" t="str">
        <v>-</v>
      </c>
      <c r="E10749" t="str">
        <v>-</v>
      </c>
      <c r="F10749" t="str">
        <v>-</v>
      </c>
      <c r="G10749" t="str">
        <v>-</v>
      </c>
    </row>
    <row r="10750">
      <c r="A10750">
        <v>10749</v>
      </c>
      <c r="B10750" t="str">
        <v>Công an phường Lam Sơn  tỉnh Thanh Hóa</v>
      </c>
      <c r="C10750" t="str">
        <v>-</v>
      </c>
      <c r="D10750" t="str">
        <v>-</v>
      </c>
      <c r="E10750" t="str">
        <v/>
      </c>
      <c r="F10750" t="str">
        <v>-</v>
      </c>
      <c r="G10750" t="str">
        <v>-</v>
      </c>
    </row>
    <row r="10751">
      <c r="A10751">
        <v>10750</v>
      </c>
      <c r="B10751" t="str">
        <v>UBND Ủy ban nhân dân phường Lam Sơn  tỉnh Thanh Hóa</v>
      </c>
      <c r="C10751" t="str">
        <v>-</v>
      </c>
      <c r="D10751" t="str">
        <v>-</v>
      </c>
      <c r="E10751" t="str">
        <v>-</v>
      </c>
      <c r="F10751" t="str">
        <v>-</v>
      </c>
      <c r="G10751" t="str">
        <v>-</v>
      </c>
    </row>
    <row r="10752">
      <c r="A10752">
        <v>10751</v>
      </c>
      <c r="B10752" t="str">
        <v>Công an phường Ngọc Trạo  tỉnh Thanh Hóa</v>
      </c>
      <c r="C10752" t="str">
        <v>-</v>
      </c>
      <c r="D10752" t="str">
        <v>-</v>
      </c>
      <c r="E10752" t="str">
        <v/>
      </c>
      <c r="F10752" t="str">
        <v>-</v>
      </c>
      <c r="G10752" t="str">
        <v>-</v>
      </c>
    </row>
    <row r="10753">
      <c r="A10753">
        <v>10752</v>
      </c>
      <c r="B10753" t="str">
        <v>UBND Ủy ban nhân dân phường Ngọc Trạo  tỉnh Thanh Hóa</v>
      </c>
      <c r="C10753" t="str">
        <v>-</v>
      </c>
      <c r="D10753" t="str">
        <v>-</v>
      </c>
      <c r="E10753" t="str">
        <v>-</v>
      </c>
      <c r="F10753" t="str">
        <v>-</v>
      </c>
      <c r="G10753" t="str">
        <v>-</v>
      </c>
    </row>
    <row r="10754">
      <c r="A10754">
        <v>10753</v>
      </c>
      <c r="B10754" t="str">
        <v>Công an phường Đông Sơn  tỉnh Thanh Hóa</v>
      </c>
      <c r="C10754" t="str">
        <v>-</v>
      </c>
      <c r="D10754" t="str">
        <v>-</v>
      </c>
      <c r="E10754" t="str">
        <v/>
      </c>
      <c r="F10754" t="str">
        <v>-</v>
      </c>
      <c r="G10754" t="str">
        <v>-</v>
      </c>
    </row>
    <row r="10755">
      <c r="A10755">
        <v>10754</v>
      </c>
      <c r="B10755" t="str">
        <v>UBND Ủy ban nhân dân phường Đông Sơn  tỉnh Thanh Hóa</v>
      </c>
      <c r="C10755" t="str">
        <v>-</v>
      </c>
      <c r="D10755" t="str">
        <v>-</v>
      </c>
      <c r="E10755" t="str">
        <v>-</v>
      </c>
      <c r="F10755" t="str">
        <v>-</v>
      </c>
      <c r="G10755" t="str">
        <v>-</v>
      </c>
    </row>
    <row r="10756">
      <c r="A10756">
        <v>10755</v>
      </c>
      <c r="B10756" t="str">
        <v>Công an phường Phú Sơn  tỉnh Thanh Hóa</v>
      </c>
      <c r="C10756" t="str">
        <v>-</v>
      </c>
      <c r="D10756" t="str">
        <v>-</v>
      </c>
      <c r="E10756" t="str">
        <v/>
      </c>
      <c r="F10756" t="str">
        <v>-</v>
      </c>
      <c r="G10756" t="str">
        <v>-</v>
      </c>
    </row>
    <row r="10757">
      <c r="A10757">
        <v>10756</v>
      </c>
      <c r="B10757" t="str">
        <v>UBND Ủy ban nhân dân phường Phú Sơn  tỉnh Thanh Hóa</v>
      </c>
      <c r="C10757" t="str">
        <v>-</v>
      </c>
      <c r="D10757" t="str">
        <v>-</v>
      </c>
      <c r="E10757" t="str">
        <v>-</v>
      </c>
      <c r="F10757" t="str">
        <v>-</v>
      </c>
      <c r="G10757" t="str">
        <v>-</v>
      </c>
    </row>
    <row r="10758">
      <c r="A10758">
        <v>10757</v>
      </c>
      <c r="B10758" t="str">
        <v>Công an xã Quang Trung  tỉnh Thanh Hóa</v>
      </c>
      <c r="C10758" t="str">
        <v>-</v>
      </c>
      <c r="D10758" t="str">
        <v>-</v>
      </c>
      <c r="E10758" t="str">
        <v/>
      </c>
      <c r="F10758" t="str">
        <v>-</v>
      </c>
      <c r="G10758" t="str">
        <v>-</v>
      </c>
    </row>
    <row r="10759">
      <c r="A10759">
        <v>10758</v>
      </c>
      <c r="B10759" t="str">
        <v>UBND Ủy ban nhân dân xã Quang Trung  tỉnh Thanh Hóa</v>
      </c>
      <c r="C10759" t="str">
        <v>-</v>
      </c>
      <c r="D10759" t="str">
        <v>-</v>
      </c>
      <c r="E10759" t="str">
        <v>-</v>
      </c>
      <c r="F10759" t="str">
        <v>-</v>
      </c>
      <c r="G10759" t="str">
        <v>-</v>
      </c>
    </row>
    <row r="10760">
      <c r="A10760">
        <v>10759</v>
      </c>
      <c r="B10760" t="str">
        <v>Công an xã Hà Lan  tỉnh Thanh Hóa</v>
      </c>
      <c r="C10760" t="str">
        <v>-</v>
      </c>
      <c r="D10760" t="str">
        <v>-</v>
      </c>
      <c r="E10760" t="str">
        <v/>
      </c>
      <c r="F10760" t="str">
        <v>-</v>
      </c>
      <c r="G10760" t="str">
        <v>-</v>
      </c>
    </row>
    <row r="10761">
      <c r="A10761">
        <v>10760</v>
      </c>
      <c r="B10761" t="str">
        <v>UBND Ủy ban nhân dân xã Hà Lan  tỉnh Thanh Hóa</v>
      </c>
      <c r="C10761" t="str">
        <v>-</v>
      </c>
      <c r="D10761" t="str">
        <v>-</v>
      </c>
      <c r="E10761" t="str">
        <v>-</v>
      </c>
      <c r="F10761" t="str">
        <v>-</v>
      </c>
      <c r="G10761" t="str">
        <v>-</v>
      </c>
    </row>
    <row r="10762">
      <c r="A10762">
        <v>10761</v>
      </c>
      <c r="B10762" t="str">
        <v>Công an phường Trung Sơn  tỉnh Thanh Hóa</v>
      </c>
      <c r="C10762" t="str">
        <v>-</v>
      </c>
      <c r="D10762" t="str">
        <v>-</v>
      </c>
      <c r="E10762" t="str">
        <v/>
      </c>
      <c r="F10762" t="str">
        <v>-</v>
      </c>
      <c r="G10762" t="str">
        <v>-</v>
      </c>
    </row>
    <row r="10763">
      <c r="A10763">
        <v>10762</v>
      </c>
      <c r="B10763" t="str">
        <v>UBND Ủy ban nhân dân phường Trung Sơn  tỉnh Thanh Hóa</v>
      </c>
      <c r="C10763" t="str">
        <v>-</v>
      </c>
      <c r="D10763" t="str">
        <v>-</v>
      </c>
      <c r="E10763" t="str">
        <v>-</v>
      </c>
      <c r="F10763" t="str">
        <v>-</v>
      </c>
      <c r="G10763" t="str">
        <v>-</v>
      </c>
    </row>
    <row r="10764">
      <c r="A10764">
        <v>10763</v>
      </c>
      <c r="B10764" t="str">
        <v>Công an phường Bắc Sơn  tỉnh Thanh Hóa</v>
      </c>
      <c r="C10764" t="str">
        <v>-</v>
      </c>
      <c r="D10764" t="str">
        <v>-</v>
      </c>
      <c r="E10764" t="str">
        <v/>
      </c>
      <c r="F10764" t="str">
        <v>-</v>
      </c>
      <c r="G10764" t="str">
        <v>-</v>
      </c>
    </row>
    <row r="10765">
      <c r="A10765">
        <v>10764</v>
      </c>
      <c r="B10765" t="str">
        <v>UBND Ủy ban nhân dân phường Bắc Sơn  tỉnh Thanh Hóa</v>
      </c>
      <c r="C10765" t="str">
        <v>-</v>
      </c>
      <c r="D10765" t="str">
        <v>-</v>
      </c>
      <c r="E10765" t="str">
        <v>-</v>
      </c>
      <c r="F10765" t="str">
        <v>-</v>
      </c>
      <c r="G10765" t="str">
        <v>-</v>
      </c>
    </row>
    <row r="10766">
      <c r="A10766">
        <v>10765</v>
      </c>
      <c r="B10766" t="str">
        <v>Công an phường Trường Sơn  tỉnh Thanh Hóa</v>
      </c>
      <c r="C10766" t="str">
        <v>-</v>
      </c>
      <c r="D10766" t="str">
        <v>-</v>
      </c>
      <c r="E10766" t="str">
        <v/>
      </c>
      <c r="F10766" t="str">
        <v>-</v>
      </c>
      <c r="G10766" t="str">
        <v>-</v>
      </c>
    </row>
    <row r="10767">
      <c r="A10767">
        <v>10766</v>
      </c>
      <c r="B10767" t="str">
        <v>UBND Ủy ban nhân dân phường Trường Sơn  tỉnh Thanh Hóa</v>
      </c>
      <c r="C10767" t="str">
        <v>-</v>
      </c>
      <c r="D10767" t="str">
        <v>-</v>
      </c>
      <c r="E10767" t="str">
        <v>-</v>
      </c>
      <c r="F10767" t="str">
        <v>-</v>
      </c>
      <c r="G10767" t="str">
        <v>-</v>
      </c>
    </row>
    <row r="10768">
      <c r="A10768">
        <v>10767</v>
      </c>
      <c r="B10768" t="str">
        <v>Công an phường Quảng Cư  tỉnh Thanh Hóa</v>
      </c>
      <c r="C10768" t="str">
        <v>-</v>
      </c>
      <c r="D10768" t="str">
        <v>-</v>
      </c>
      <c r="E10768" t="str">
        <v/>
      </c>
      <c r="F10768" t="str">
        <v>-</v>
      </c>
      <c r="G10768" t="str">
        <v>-</v>
      </c>
    </row>
    <row r="10769">
      <c r="A10769">
        <v>10768</v>
      </c>
      <c r="B10769" t="str">
        <v>UBND Ủy ban nhân dân phường Quảng Cư  tỉnh Thanh Hóa</v>
      </c>
      <c r="C10769" t="str">
        <v>-</v>
      </c>
      <c r="D10769" t="str">
        <v>-</v>
      </c>
      <c r="E10769" t="str">
        <v>-</v>
      </c>
      <c r="F10769" t="str">
        <v>-</v>
      </c>
      <c r="G10769" t="str">
        <v>-</v>
      </c>
    </row>
    <row r="10770">
      <c r="A10770">
        <v>10769</v>
      </c>
      <c r="B10770" t="str">
        <v>Công an phường Quảng Tiến  tỉnh Thanh Hóa</v>
      </c>
      <c r="C10770" t="str">
        <v>-</v>
      </c>
      <c r="D10770" t="str">
        <v>-</v>
      </c>
      <c r="E10770" t="str">
        <v/>
      </c>
      <c r="F10770" t="str">
        <v>-</v>
      </c>
      <c r="G10770" t="str">
        <v>-</v>
      </c>
    </row>
    <row r="10771">
      <c r="A10771">
        <v>10770</v>
      </c>
      <c r="B10771" t="str">
        <v>UBND Ủy ban nhân dân phường Quảng Tiến  tỉnh Thanh Hóa</v>
      </c>
      <c r="C10771" t="str">
        <v>-</v>
      </c>
      <c r="D10771" t="str">
        <v>-</v>
      </c>
      <c r="E10771" t="str">
        <v>-</v>
      </c>
      <c r="F10771" t="str">
        <v>-</v>
      </c>
      <c r="G10771" t="str">
        <v>-</v>
      </c>
    </row>
    <row r="10772">
      <c r="A10772">
        <v>10771</v>
      </c>
      <c r="B10772" t="str">
        <v>Công an xã Quảng Minh  tỉnh Thanh Hóa</v>
      </c>
      <c r="C10772" t="str">
        <v>-</v>
      </c>
      <c r="D10772" t="str">
        <v>-</v>
      </c>
      <c r="E10772" t="str">
        <v/>
      </c>
      <c r="F10772" t="str">
        <v>-</v>
      </c>
      <c r="G10772" t="str">
        <v>-</v>
      </c>
    </row>
    <row r="10773">
      <c r="A10773">
        <v>10772</v>
      </c>
      <c r="B10773" t="str">
        <v>UBND Ủy ban nhân dân xã Quảng Minh  tỉnh Thanh Hóa</v>
      </c>
      <c r="C10773" t="str">
        <v>-</v>
      </c>
      <c r="D10773" t="str">
        <v>-</v>
      </c>
      <c r="E10773" t="str">
        <v>-</v>
      </c>
      <c r="F10773" t="str">
        <v>-</v>
      </c>
      <c r="G10773" t="str">
        <v>-</v>
      </c>
    </row>
    <row r="10774">
      <c r="A10774">
        <v>10773</v>
      </c>
      <c r="B10774" t="str">
        <v>Công an xã Quảng Hùng  tỉnh Thanh Hóa</v>
      </c>
      <c r="C10774" t="str">
        <v>-</v>
      </c>
      <c r="D10774" t="str">
        <v>-</v>
      </c>
      <c r="E10774" t="str">
        <v/>
      </c>
      <c r="F10774" t="str">
        <v>-</v>
      </c>
      <c r="G10774" t="str">
        <v>-</v>
      </c>
    </row>
    <row r="10775">
      <c r="A10775">
        <v>10774</v>
      </c>
      <c r="B10775" t="str">
        <v>UBND Ủy ban nhân dân xã Quảng Hùng  tỉnh Thanh Hóa</v>
      </c>
      <c r="C10775" t="str">
        <v>-</v>
      </c>
      <c r="D10775" t="str">
        <v>-</v>
      </c>
      <c r="E10775" t="str">
        <v>-</v>
      </c>
      <c r="F10775" t="str">
        <v>-</v>
      </c>
      <c r="G10775" t="str">
        <v>-</v>
      </c>
    </row>
    <row r="10776">
      <c r="A10776">
        <v>10775</v>
      </c>
      <c r="B10776" t="str">
        <v>Công an phường Quảng Thọ  tỉnh Thanh Hóa</v>
      </c>
      <c r="C10776" t="str">
        <v>-</v>
      </c>
      <c r="D10776" t="str">
        <v>-</v>
      </c>
      <c r="E10776" t="str">
        <v/>
      </c>
      <c r="F10776" t="str">
        <v>-</v>
      </c>
      <c r="G10776" t="str">
        <v>-</v>
      </c>
    </row>
    <row r="10777">
      <c r="A10777">
        <v>10776</v>
      </c>
      <c r="B10777" t="str">
        <v>UBND Ủy ban nhân dân phường Quảng Thọ  tỉnh Thanh Hóa</v>
      </c>
      <c r="C10777" t="str">
        <v>-</v>
      </c>
      <c r="D10777" t="str">
        <v>-</v>
      </c>
      <c r="E10777" t="str">
        <v>-</v>
      </c>
      <c r="F10777" t="str">
        <v>-</v>
      </c>
      <c r="G10777" t="str">
        <v>-</v>
      </c>
    </row>
    <row r="10778">
      <c r="A10778">
        <v>10777</v>
      </c>
      <c r="B10778" t="str">
        <v>Công an phường Quảng Châu  tỉnh Thanh Hóa</v>
      </c>
      <c r="C10778" t="str">
        <v>-</v>
      </c>
      <c r="D10778" t="str">
        <v>-</v>
      </c>
      <c r="E10778" t="str">
        <v/>
      </c>
      <c r="F10778" t="str">
        <v>-</v>
      </c>
      <c r="G10778" t="str">
        <v>-</v>
      </c>
    </row>
    <row r="10779">
      <c r="A10779">
        <v>10778</v>
      </c>
      <c r="B10779" t="str">
        <v>UBND Ủy ban nhân dân phường Quảng Châu  tỉnh Thanh Hóa</v>
      </c>
      <c r="C10779" t="str">
        <v>-</v>
      </c>
      <c r="D10779" t="str">
        <v>-</v>
      </c>
      <c r="E10779" t="str">
        <v>-</v>
      </c>
      <c r="F10779" t="str">
        <v>-</v>
      </c>
      <c r="G10779" t="str">
        <v>-</v>
      </c>
    </row>
    <row r="10780">
      <c r="A10780">
        <v>10779</v>
      </c>
      <c r="B10780" t="str">
        <v>Công an phường Quảng Vinh  tỉnh Thanh Hóa</v>
      </c>
      <c r="C10780" t="str">
        <v>-</v>
      </c>
      <c r="D10780" t="str">
        <v>-</v>
      </c>
      <c r="E10780" t="str">
        <v/>
      </c>
      <c r="F10780" t="str">
        <v>-</v>
      </c>
      <c r="G10780" t="str">
        <v>-</v>
      </c>
    </row>
    <row r="10781">
      <c r="A10781">
        <v>10780</v>
      </c>
      <c r="B10781" t="str">
        <v>UBND Ủy ban nhân dân phường Quảng Vinh  tỉnh Thanh Hóa</v>
      </c>
      <c r="C10781" t="str">
        <v>-</v>
      </c>
      <c r="D10781" t="str">
        <v>-</v>
      </c>
      <c r="E10781" t="str">
        <v>-</v>
      </c>
      <c r="F10781" t="str">
        <v>-</v>
      </c>
      <c r="G10781" t="str">
        <v>-</v>
      </c>
    </row>
    <row r="10782">
      <c r="A10782">
        <v>10781</v>
      </c>
      <c r="B10782" t="str">
        <v>Công an xã Quảng Đại  tỉnh Thanh Hóa</v>
      </c>
      <c r="C10782" t="str">
        <v>-</v>
      </c>
      <c r="D10782" t="str">
        <v>-</v>
      </c>
      <c r="E10782" t="str">
        <v/>
      </c>
      <c r="F10782" t="str">
        <v>-</v>
      </c>
      <c r="G10782" t="str">
        <v>-</v>
      </c>
    </row>
    <row r="10783">
      <c r="A10783">
        <v>10782</v>
      </c>
      <c r="B10783" t="str">
        <v>UBND Ủy ban nhân dân xã Quảng Đại  tỉnh Thanh Hóa</v>
      </c>
      <c r="C10783" t="str">
        <v>-</v>
      </c>
      <c r="D10783" t="str">
        <v>-</v>
      </c>
      <c r="E10783" t="str">
        <v>-</v>
      </c>
      <c r="F10783" t="str">
        <v>-</v>
      </c>
      <c r="G10783" t="str">
        <v>-</v>
      </c>
    </row>
    <row r="10784">
      <c r="A10784">
        <v>10783</v>
      </c>
      <c r="B10784" t="str">
        <v>Công an thị trấn Mường Lát  tỉnh Thanh Hóa</v>
      </c>
      <c r="C10784" t="str">
        <v>-</v>
      </c>
      <c r="D10784" t="str">
        <v>-</v>
      </c>
      <c r="E10784" t="str">
        <v/>
      </c>
      <c r="F10784" t="str">
        <v>-</v>
      </c>
      <c r="G10784" t="str">
        <v>-</v>
      </c>
    </row>
    <row r="10785">
      <c r="A10785">
        <v>10784</v>
      </c>
      <c r="B10785" t="str">
        <v>UBND Ủy ban nhân dân thị trấn Mường Lát  tỉnh Thanh Hóa</v>
      </c>
      <c r="C10785" t="str">
        <v>-</v>
      </c>
      <c r="D10785" t="str">
        <v>-</v>
      </c>
      <c r="E10785" t="str">
        <v>-</v>
      </c>
      <c r="F10785" t="str">
        <v>-</v>
      </c>
      <c r="G10785" t="str">
        <v>-</v>
      </c>
    </row>
    <row r="10786">
      <c r="A10786">
        <v>10785</v>
      </c>
      <c r="B10786" t="str">
        <v>Công an xã Tam Chung  tỉnh Thanh Hóa</v>
      </c>
      <c r="C10786" t="str">
        <v>-</v>
      </c>
      <c r="D10786" t="str">
        <v>-</v>
      </c>
      <c r="E10786" t="str">
        <v/>
      </c>
      <c r="F10786" t="str">
        <v>-</v>
      </c>
      <c r="G10786" t="str">
        <v>-</v>
      </c>
    </row>
    <row r="10787">
      <c r="A10787">
        <v>10786</v>
      </c>
      <c r="B10787" t="str">
        <v>UBND Ủy ban nhân dân xã Tam Chung  tỉnh Thanh Hóa</v>
      </c>
      <c r="C10787" t="str">
        <v>-</v>
      </c>
      <c r="D10787" t="str">
        <v>-</v>
      </c>
      <c r="E10787" t="str">
        <v>-</v>
      </c>
      <c r="F10787" t="str">
        <v>-</v>
      </c>
      <c r="G10787" t="str">
        <v>-</v>
      </c>
    </row>
    <row r="10788">
      <c r="A10788">
        <v>10787</v>
      </c>
      <c r="B10788" t="str">
        <v>Công an xã Tén Tằn  tỉnh Thanh Hóa</v>
      </c>
      <c r="C10788" t="str">
        <v>-</v>
      </c>
      <c r="D10788" t="str">
        <v>-</v>
      </c>
      <c r="E10788" t="str">
        <v/>
      </c>
      <c r="F10788" t="str">
        <v>-</v>
      </c>
      <c r="G10788" t="str">
        <v>-</v>
      </c>
    </row>
    <row r="10789">
      <c r="A10789">
        <v>10788</v>
      </c>
      <c r="B10789" t="str">
        <v>UBND Ủy ban nhân dân xã Tén Tằn  tỉnh Thanh Hóa</v>
      </c>
      <c r="C10789" t="str">
        <v>-</v>
      </c>
      <c r="D10789" t="str">
        <v>-</v>
      </c>
      <c r="E10789" t="str">
        <v>-</v>
      </c>
      <c r="F10789" t="str">
        <v>-</v>
      </c>
      <c r="G10789" t="str">
        <v>-</v>
      </c>
    </row>
    <row r="10790">
      <c r="A10790">
        <v>10789</v>
      </c>
      <c r="B10790" t="str">
        <v>Công an xã Mường Lý  tỉnh Thanh Hóa</v>
      </c>
      <c r="C10790" t="str">
        <v>-</v>
      </c>
      <c r="D10790" t="str">
        <v>-</v>
      </c>
      <c r="E10790" t="str">
        <v/>
      </c>
      <c r="F10790" t="str">
        <v>-</v>
      </c>
      <c r="G10790" t="str">
        <v>-</v>
      </c>
    </row>
    <row r="10791">
      <c r="A10791">
        <v>10790</v>
      </c>
      <c r="B10791" t="str">
        <v>UBND Ủy ban nhân dân xã Mường Lý  tỉnh Thanh Hóa</v>
      </c>
      <c r="C10791" t="str">
        <v>-</v>
      </c>
      <c r="D10791" t="str">
        <v>-</v>
      </c>
      <c r="E10791" t="str">
        <v>-</v>
      </c>
      <c r="F10791" t="str">
        <v>-</v>
      </c>
      <c r="G10791" t="str">
        <v>-</v>
      </c>
    </row>
    <row r="10792">
      <c r="A10792">
        <v>10791</v>
      </c>
      <c r="B10792" t="str">
        <v>Công an xã Trung Lý  tỉnh Thanh Hóa</v>
      </c>
      <c r="C10792" t="str">
        <v>-</v>
      </c>
      <c r="D10792" t="str">
        <v>-</v>
      </c>
      <c r="E10792" t="str">
        <v/>
      </c>
      <c r="F10792" t="str">
        <v>-</v>
      </c>
      <c r="G10792" t="str">
        <v>-</v>
      </c>
    </row>
    <row r="10793">
      <c r="A10793">
        <v>10792</v>
      </c>
      <c r="B10793" t="str">
        <v>UBND Ủy ban nhân dân xã Trung Lý  tỉnh Thanh Hóa</v>
      </c>
      <c r="C10793" t="str">
        <v>-</v>
      </c>
      <c r="D10793" t="str">
        <v>-</v>
      </c>
      <c r="E10793" t="str">
        <v>-</v>
      </c>
      <c r="F10793" t="str">
        <v>-</v>
      </c>
      <c r="G10793" t="str">
        <v>-</v>
      </c>
    </row>
    <row r="10794">
      <c r="A10794">
        <v>10793</v>
      </c>
      <c r="B10794" t="str">
        <v>Công an xã Quang Chiểu  tỉnh Thanh Hóa</v>
      </c>
      <c r="C10794" t="str">
        <v>-</v>
      </c>
      <c r="D10794" t="str">
        <v>-</v>
      </c>
      <c r="E10794" t="str">
        <v/>
      </c>
      <c r="F10794" t="str">
        <v>-</v>
      </c>
      <c r="G10794" t="str">
        <v>-</v>
      </c>
    </row>
    <row r="10795">
      <c r="A10795">
        <v>10794</v>
      </c>
      <c r="B10795" t="str">
        <v>UBND Ủy ban nhân dân xã Quang Chiểu  tỉnh Thanh Hóa</v>
      </c>
      <c r="C10795" t="str">
        <v>-</v>
      </c>
      <c r="D10795" t="str">
        <v>-</v>
      </c>
      <c r="E10795" t="str">
        <v>-</v>
      </c>
      <c r="F10795" t="str">
        <v>-</v>
      </c>
      <c r="G10795" t="str">
        <v>-</v>
      </c>
    </row>
    <row r="10796">
      <c r="A10796">
        <v>10795</v>
      </c>
      <c r="B10796" t="str">
        <v>Công an xã Pù Nhi  tỉnh Thanh Hóa</v>
      </c>
      <c r="C10796" t="str">
        <v>-</v>
      </c>
      <c r="D10796" t="str">
        <v>-</v>
      </c>
      <c r="E10796" t="str">
        <v/>
      </c>
      <c r="F10796" t="str">
        <v>-</v>
      </c>
      <c r="G10796" t="str">
        <v>-</v>
      </c>
    </row>
    <row r="10797">
      <c r="A10797">
        <v>10796</v>
      </c>
      <c r="B10797" t="str">
        <v>UBND Ủy ban nhân dân xã Pù Nhi  tỉnh Thanh Hóa</v>
      </c>
      <c r="C10797" t="str">
        <v>-</v>
      </c>
      <c r="D10797" t="str">
        <v>-</v>
      </c>
      <c r="E10797" t="str">
        <v>-</v>
      </c>
      <c r="F10797" t="str">
        <v>-</v>
      </c>
      <c r="G10797" t="str">
        <v>-</v>
      </c>
    </row>
    <row r="10798">
      <c r="A10798">
        <v>10797</v>
      </c>
      <c r="B10798" t="str">
        <v>Công an xã Nhi Sơn  tỉnh Thanh Hóa</v>
      </c>
      <c r="C10798" t="str">
        <v>-</v>
      </c>
      <c r="D10798" t="str">
        <v>-</v>
      </c>
      <c r="E10798" t="str">
        <v/>
      </c>
      <c r="F10798" t="str">
        <v>-</v>
      </c>
      <c r="G10798" t="str">
        <v>-</v>
      </c>
    </row>
    <row r="10799">
      <c r="A10799">
        <v>10798</v>
      </c>
      <c r="B10799" t="str">
        <v>UBND Ủy ban nhân dân xã Nhi Sơn  tỉnh Thanh Hóa</v>
      </c>
      <c r="C10799" t="str">
        <v>-</v>
      </c>
      <c r="D10799" t="str">
        <v>-</v>
      </c>
      <c r="E10799" t="str">
        <v>-</v>
      </c>
      <c r="F10799" t="str">
        <v>-</v>
      </c>
      <c r="G10799" t="str">
        <v>-</v>
      </c>
    </row>
    <row r="10800">
      <c r="A10800">
        <v>10799</v>
      </c>
      <c r="B10800" t="str">
        <v>Công an xã Mường Chanh  tỉnh Thanh Hóa</v>
      </c>
      <c r="C10800" t="str">
        <v>-</v>
      </c>
      <c r="D10800" t="str">
        <v>-</v>
      </c>
      <c r="E10800" t="str">
        <v/>
      </c>
      <c r="F10800" t="str">
        <v>-</v>
      </c>
      <c r="G10800" t="str">
        <v>-</v>
      </c>
    </row>
    <row r="10801">
      <c r="A10801">
        <v>10800</v>
      </c>
      <c r="B10801" t="str">
        <v>UBND Ủy ban nhân dân xã Mường Chanh  tỉnh Thanh Hóa</v>
      </c>
      <c r="C10801" t="str">
        <v>-</v>
      </c>
      <c r="D10801" t="str">
        <v>-</v>
      </c>
      <c r="E10801" t="str">
        <v>-</v>
      </c>
      <c r="F10801" t="str">
        <v>-</v>
      </c>
      <c r="G10801" t="str">
        <v>-</v>
      </c>
    </row>
    <row r="10802">
      <c r="A10802">
        <v>10801</v>
      </c>
      <c r="B10802" t="str">
        <v>Công an thị trấn Quan Hóa  tỉnh Thanh Hóa</v>
      </c>
      <c r="C10802" t="str">
        <v>-</v>
      </c>
      <c r="D10802" t="str">
        <v>-</v>
      </c>
      <c r="E10802" t="str">
        <v/>
      </c>
      <c r="F10802" t="str">
        <v>-</v>
      </c>
      <c r="G10802" t="str">
        <v>-</v>
      </c>
    </row>
    <row r="10803">
      <c r="A10803">
        <v>10802</v>
      </c>
      <c r="B10803" t="str">
        <v>UBND Ủy ban nhân dân thị trấn Quan Hóa  tỉnh Thanh Hóa</v>
      </c>
      <c r="C10803" t="str">
        <v>-</v>
      </c>
      <c r="D10803" t="str">
        <v>-</v>
      </c>
      <c r="E10803" t="str">
        <v>-</v>
      </c>
      <c r="F10803" t="str">
        <v>-</v>
      </c>
      <c r="G10803" t="str">
        <v>-</v>
      </c>
    </row>
    <row r="10804">
      <c r="A10804">
        <v>10803</v>
      </c>
      <c r="B10804" t="str">
        <v>Công an xã Thành Sơn  tỉnh Thanh Hóa</v>
      </c>
      <c r="C10804" t="str">
        <v>-</v>
      </c>
      <c r="D10804" t="str">
        <v>-</v>
      </c>
      <c r="E10804" t="str">
        <v/>
      </c>
      <c r="F10804" t="str">
        <v>-</v>
      </c>
      <c r="G10804" t="str">
        <v>-</v>
      </c>
    </row>
    <row r="10805">
      <c r="A10805">
        <v>10804</v>
      </c>
      <c r="B10805" t="str">
        <v>UBND Ủy ban nhân dân xã Thành Sơn  tỉnh Thanh Hóa</v>
      </c>
      <c r="C10805" t="str">
        <v>-</v>
      </c>
      <c r="D10805" t="str">
        <v>-</v>
      </c>
      <c r="E10805" t="str">
        <v>-</v>
      </c>
      <c r="F10805" t="str">
        <v>-</v>
      </c>
      <c r="G10805" t="str">
        <v>-</v>
      </c>
    </row>
    <row r="10806">
      <c r="A10806">
        <v>10805</v>
      </c>
      <c r="B10806" t="str">
        <v>Công an xã Trung Sơn  tỉnh Thanh Hóa</v>
      </c>
      <c r="C10806" t="str">
        <v>-</v>
      </c>
      <c r="D10806" t="str">
        <v>-</v>
      </c>
      <c r="E10806" t="str">
        <v/>
      </c>
      <c r="F10806" t="str">
        <v>-</v>
      </c>
      <c r="G10806" t="str">
        <v>-</v>
      </c>
    </row>
    <row r="10807">
      <c r="A10807">
        <v>10806</v>
      </c>
      <c r="B10807" t="str">
        <v>UBND Ủy ban nhân dân xã Trung Sơn  tỉnh Thanh Hóa</v>
      </c>
      <c r="C10807" t="str">
        <v>-</v>
      </c>
      <c r="D10807" t="str">
        <v>-</v>
      </c>
      <c r="E10807" t="str">
        <v>-</v>
      </c>
      <c r="F10807" t="str">
        <v>-</v>
      </c>
      <c r="G10807" t="str">
        <v>-</v>
      </c>
    </row>
    <row r="10808">
      <c r="A10808">
        <v>10807</v>
      </c>
      <c r="B10808" t="str">
        <v>Công an xã Phú Thanh  tỉnh Thanh Hóa</v>
      </c>
      <c r="C10808" t="str">
        <v>-</v>
      </c>
      <c r="D10808" t="str">
        <v>-</v>
      </c>
      <c r="E10808" t="str">
        <v/>
      </c>
      <c r="F10808" t="str">
        <v>-</v>
      </c>
      <c r="G10808" t="str">
        <v>-</v>
      </c>
    </row>
    <row r="10809">
      <c r="A10809">
        <v>10808</v>
      </c>
      <c r="B10809" t="str">
        <v>UBND Ủy ban nhân dân xã Phú Thanh  tỉnh Thanh Hóa</v>
      </c>
      <c r="C10809" t="str">
        <v>-</v>
      </c>
      <c r="D10809" t="str">
        <v>-</v>
      </c>
      <c r="E10809" t="str">
        <v>-</v>
      </c>
      <c r="F10809" t="str">
        <v>-</v>
      </c>
      <c r="G10809" t="str">
        <v>-</v>
      </c>
    </row>
    <row r="10810">
      <c r="A10810">
        <v>10809</v>
      </c>
      <c r="B10810" t="str">
        <v>Công an xã Trung Thành  tỉnh Thanh Hóa</v>
      </c>
      <c r="C10810" t="str">
        <v>-</v>
      </c>
      <c r="D10810" t="str">
        <v>-</v>
      </c>
      <c r="E10810" t="str">
        <v/>
      </c>
      <c r="F10810" t="str">
        <v>-</v>
      </c>
      <c r="G10810" t="str">
        <v>-</v>
      </c>
    </row>
    <row r="10811">
      <c r="A10811">
        <v>10810</v>
      </c>
      <c r="B10811" t="str">
        <v>UBND Ủy ban nhân dân xã Trung Thành  tỉnh Thanh Hóa</v>
      </c>
      <c r="C10811" t="str">
        <v>-</v>
      </c>
      <c r="D10811" t="str">
        <v>-</v>
      </c>
      <c r="E10811" t="str">
        <v>-</v>
      </c>
      <c r="F10811" t="str">
        <v>-</v>
      </c>
      <c r="G10811" t="str">
        <v>-</v>
      </c>
    </row>
    <row r="10812">
      <c r="A10812">
        <v>10811</v>
      </c>
      <c r="B10812" t="str">
        <v>Công an xã Phú Lệ  tỉnh Thanh Hóa</v>
      </c>
      <c r="C10812" t="str">
        <v>-</v>
      </c>
      <c r="D10812" t="str">
        <v>-</v>
      </c>
      <c r="E10812" t="str">
        <v/>
      </c>
      <c r="F10812" t="str">
        <v>-</v>
      </c>
      <c r="G10812" t="str">
        <v>-</v>
      </c>
    </row>
    <row r="10813">
      <c r="A10813">
        <v>10812</v>
      </c>
      <c r="B10813" t="str">
        <v>UBND Ủy ban nhân dân xã Phú Lệ  tỉnh Thanh Hóa</v>
      </c>
      <c r="C10813" t="str">
        <v>-</v>
      </c>
      <c r="D10813" t="str">
        <v>-</v>
      </c>
      <c r="E10813" t="str">
        <v>-</v>
      </c>
      <c r="F10813" t="str">
        <v>-</v>
      </c>
      <c r="G10813" t="str">
        <v>-</v>
      </c>
    </row>
    <row r="10814">
      <c r="A10814">
        <v>10813</v>
      </c>
      <c r="B10814" t="str">
        <v>Công an xã Phú Sơn  tỉnh Thanh Hóa</v>
      </c>
      <c r="C10814" t="str">
        <v>-</v>
      </c>
      <c r="D10814" t="str">
        <v>-</v>
      </c>
      <c r="E10814" t="str">
        <v/>
      </c>
      <c r="F10814" t="str">
        <v>-</v>
      </c>
      <c r="G10814" t="str">
        <v>-</v>
      </c>
    </row>
    <row r="10815">
      <c r="A10815">
        <v>10814</v>
      </c>
      <c r="B10815" t="str">
        <v>UBND Ủy ban nhân dân xã Phú Sơn  tỉnh Thanh Hóa</v>
      </c>
      <c r="C10815" t="str">
        <v>-</v>
      </c>
      <c r="D10815" t="str">
        <v>-</v>
      </c>
      <c r="E10815" t="str">
        <v>-</v>
      </c>
      <c r="F10815" t="str">
        <v>-</v>
      </c>
      <c r="G10815" t="str">
        <v>-</v>
      </c>
    </row>
    <row r="10816">
      <c r="A10816">
        <v>10815</v>
      </c>
      <c r="B10816" t="str">
        <v>Công an xã Phú Xuân  tỉnh Thanh Hóa</v>
      </c>
      <c r="C10816" t="str">
        <v>-</v>
      </c>
      <c r="D10816" t="str">
        <v>-</v>
      </c>
      <c r="E10816" t="str">
        <v/>
      </c>
      <c r="F10816" t="str">
        <v>-</v>
      </c>
      <c r="G10816" t="str">
        <v>-</v>
      </c>
    </row>
    <row r="10817">
      <c r="A10817">
        <v>10816</v>
      </c>
      <c r="B10817" t="str">
        <v>UBND Ủy ban nhân dân xã Phú Xuân  tỉnh Thanh Hóa</v>
      </c>
      <c r="C10817" t="str">
        <v>-</v>
      </c>
      <c r="D10817" t="str">
        <v>-</v>
      </c>
      <c r="E10817" t="str">
        <v>-</v>
      </c>
      <c r="F10817" t="str">
        <v>-</v>
      </c>
      <c r="G10817" t="str">
        <v>-</v>
      </c>
    </row>
    <row r="10818">
      <c r="A10818">
        <v>10817</v>
      </c>
      <c r="B10818" t="str">
        <v>Công an xã Thanh Xuân  tỉnh Thanh Hóa</v>
      </c>
      <c r="C10818" t="str">
        <v>-</v>
      </c>
      <c r="D10818" t="str">
        <v>-</v>
      </c>
      <c r="E10818" t="str">
        <v/>
      </c>
      <c r="F10818" t="str">
        <v>-</v>
      </c>
      <c r="G10818" t="str">
        <v>-</v>
      </c>
    </row>
    <row r="10819">
      <c r="A10819">
        <v>10818</v>
      </c>
      <c r="B10819" t="str">
        <v>UBND Ủy ban nhân dân xã Thanh Xuân  tỉnh Thanh Hóa</v>
      </c>
      <c r="C10819" t="str">
        <v>-</v>
      </c>
      <c r="D10819" t="str">
        <v>-</v>
      </c>
      <c r="E10819" t="str">
        <v>-</v>
      </c>
      <c r="F10819" t="str">
        <v>-</v>
      </c>
      <c r="G10819" t="str">
        <v>-</v>
      </c>
    </row>
    <row r="10820">
      <c r="A10820">
        <v>10819</v>
      </c>
      <c r="B10820" t="str">
        <v>Công an xã Hiền Chung  tỉnh Thanh Hóa</v>
      </c>
      <c r="C10820" t="str">
        <v>-</v>
      </c>
      <c r="D10820" t="str">
        <v>-</v>
      </c>
      <c r="E10820" t="str">
        <v/>
      </c>
      <c r="F10820" t="str">
        <v>-</v>
      </c>
      <c r="G10820" t="str">
        <v>-</v>
      </c>
    </row>
    <row r="10821">
      <c r="A10821">
        <v>10820</v>
      </c>
      <c r="B10821" t="str">
        <v>UBND Ủy ban nhân dân xã Hiền Chung  tỉnh Thanh Hóa</v>
      </c>
      <c r="C10821" t="str">
        <v>-</v>
      </c>
      <c r="D10821" t="str">
        <v>-</v>
      </c>
      <c r="E10821" t="str">
        <v>-</v>
      </c>
      <c r="F10821" t="str">
        <v>-</v>
      </c>
      <c r="G10821" t="str">
        <v>-</v>
      </c>
    </row>
    <row r="10822">
      <c r="A10822">
        <v>10821</v>
      </c>
      <c r="B10822" t="str">
        <v>Công an xã Hiền Kiệt  tỉnh Thanh Hóa</v>
      </c>
      <c r="C10822" t="str">
        <v>-</v>
      </c>
      <c r="D10822" t="str">
        <v>-</v>
      </c>
      <c r="E10822" t="str">
        <v/>
      </c>
      <c r="F10822" t="str">
        <v>-</v>
      </c>
      <c r="G10822" t="str">
        <v>-</v>
      </c>
    </row>
    <row r="10823">
      <c r="A10823">
        <v>10822</v>
      </c>
      <c r="B10823" t="str">
        <v>UBND Ủy ban nhân dân xã Hiền Kiệt  tỉnh Thanh Hóa</v>
      </c>
      <c r="C10823" t="str">
        <v>-</v>
      </c>
      <c r="D10823" t="str">
        <v>-</v>
      </c>
      <c r="E10823" t="str">
        <v>-</v>
      </c>
      <c r="F10823" t="str">
        <v>-</v>
      </c>
      <c r="G10823" t="str">
        <v>-</v>
      </c>
    </row>
    <row r="10824">
      <c r="A10824">
        <v>10823</v>
      </c>
      <c r="B10824" t="str">
        <v>Công an xã Nam Tiến  tỉnh Thanh Hóa</v>
      </c>
      <c r="C10824" t="str">
        <v>-</v>
      </c>
      <c r="D10824" t="str">
        <v>-</v>
      </c>
      <c r="E10824" t="str">
        <v/>
      </c>
      <c r="F10824" t="str">
        <v>-</v>
      </c>
      <c r="G10824" t="str">
        <v>-</v>
      </c>
    </row>
    <row r="10825">
      <c r="A10825">
        <v>10824</v>
      </c>
      <c r="B10825" t="str">
        <v>UBND Ủy ban nhân dân xã Nam Tiến  tỉnh Thanh Hóa</v>
      </c>
      <c r="C10825" t="str">
        <v>-</v>
      </c>
      <c r="D10825" t="str">
        <v>-</v>
      </c>
      <c r="E10825" t="str">
        <v>-</v>
      </c>
      <c r="F10825" t="str">
        <v>-</v>
      </c>
      <c r="G10825" t="str">
        <v>-</v>
      </c>
    </row>
    <row r="10826">
      <c r="A10826">
        <v>10825</v>
      </c>
      <c r="B10826" t="str">
        <v>Công an xã Hồi Xuân  tỉnh Thanh Hóa</v>
      </c>
      <c r="C10826" t="str">
        <v>-</v>
      </c>
      <c r="D10826" t="str">
        <v>-</v>
      </c>
      <c r="E10826" t="str">
        <v/>
      </c>
      <c r="F10826" t="str">
        <v>-</v>
      </c>
      <c r="G10826" t="str">
        <v>-</v>
      </c>
    </row>
    <row r="10827">
      <c r="A10827">
        <v>10826</v>
      </c>
      <c r="B10827" t="str">
        <v>UBND Ủy ban nhân dân xã Hồi Xuân  tỉnh Thanh Hóa</v>
      </c>
      <c r="C10827" t="str">
        <v>-</v>
      </c>
      <c r="D10827" t="str">
        <v>-</v>
      </c>
      <c r="E10827" t="str">
        <v>-</v>
      </c>
      <c r="F10827" t="str">
        <v>-</v>
      </c>
      <c r="G10827" t="str">
        <v>-</v>
      </c>
    </row>
    <row r="10828">
      <c r="A10828">
        <v>10827</v>
      </c>
      <c r="B10828" t="str">
        <v>Công an xã Thiên Phủ  tỉnh Thanh Hóa</v>
      </c>
      <c r="C10828" t="str">
        <v>-</v>
      </c>
      <c r="D10828" t="str">
        <v>-</v>
      </c>
      <c r="E10828" t="str">
        <v/>
      </c>
      <c r="F10828" t="str">
        <v>-</v>
      </c>
      <c r="G10828" t="str">
        <v>-</v>
      </c>
    </row>
    <row r="10829">
      <c r="A10829">
        <v>10828</v>
      </c>
      <c r="B10829" t="str">
        <v>UBND Ủy ban nhân dân xã Thiên Phủ  tỉnh Thanh Hóa</v>
      </c>
      <c r="C10829" t="str">
        <v>-</v>
      </c>
      <c r="D10829" t="str">
        <v>-</v>
      </c>
      <c r="E10829" t="str">
        <v>-</v>
      </c>
      <c r="F10829" t="str">
        <v>-</v>
      </c>
      <c r="G10829" t="str">
        <v>-</v>
      </c>
    </row>
    <row r="10830">
      <c r="A10830">
        <v>10829</v>
      </c>
      <c r="B10830" t="str">
        <v>Công an xã Phú Nghiêm  tỉnh Thanh Hóa</v>
      </c>
      <c r="C10830" t="str">
        <v>-</v>
      </c>
      <c r="D10830" t="str">
        <v>-</v>
      </c>
      <c r="E10830" t="str">
        <v/>
      </c>
      <c r="F10830" t="str">
        <v>-</v>
      </c>
      <c r="G10830" t="str">
        <v>-</v>
      </c>
    </row>
    <row r="10831">
      <c r="A10831">
        <v>10830</v>
      </c>
      <c r="B10831" t="str">
        <v>UBND Ủy ban nhân dân xã Phú Nghiêm  tỉnh Thanh Hóa</v>
      </c>
      <c r="C10831" t="str">
        <v>-</v>
      </c>
      <c r="D10831" t="str">
        <v>-</v>
      </c>
      <c r="E10831" t="str">
        <v>-</v>
      </c>
      <c r="F10831" t="str">
        <v>-</v>
      </c>
      <c r="G10831" t="str">
        <v>-</v>
      </c>
    </row>
    <row r="10832">
      <c r="A10832">
        <v>10831</v>
      </c>
      <c r="B10832" t="str">
        <v>Công an xã Nam Xuân  tỉnh Thanh Hóa</v>
      </c>
      <c r="C10832" t="str">
        <v>-</v>
      </c>
      <c r="D10832" t="str">
        <v>-</v>
      </c>
      <c r="E10832" t="str">
        <v/>
      </c>
      <c r="F10832" t="str">
        <v>-</v>
      </c>
      <c r="G10832" t="str">
        <v>-</v>
      </c>
    </row>
    <row r="10833">
      <c r="A10833">
        <v>10832</v>
      </c>
      <c r="B10833" t="str">
        <v>UBND Ủy ban nhân dân xã Nam Xuân  tỉnh Thanh Hóa</v>
      </c>
      <c r="C10833" t="str">
        <v>-</v>
      </c>
      <c r="D10833" t="str">
        <v>-</v>
      </c>
      <c r="E10833" t="str">
        <v>-</v>
      </c>
      <c r="F10833" t="str">
        <v>-</v>
      </c>
      <c r="G10833" t="str">
        <v>-</v>
      </c>
    </row>
    <row r="10834">
      <c r="A10834">
        <v>10833</v>
      </c>
      <c r="B10834" t="str">
        <v>Công an xã Nam Động  tỉnh Thanh Hóa</v>
      </c>
      <c r="C10834" t="str">
        <v>-</v>
      </c>
      <c r="D10834" t="str">
        <v>-</v>
      </c>
      <c r="E10834" t="str">
        <v/>
      </c>
      <c r="F10834" t="str">
        <v>-</v>
      </c>
      <c r="G10834" t="str">
        <v>-</v>
      </c>
    </row>
    <row r="10835">
      <c r="A10835">
        <v>10834</v>
      </c>
      <c r="B10835" t="str">
        <v>UBND Ủy ban nhân dân xã Nam Động  tỉnh Thanh Hóa</v>
      </c>
      <c r="C10835" t="str">
        <v>-</v>
      </c>
      <c r="D10835" t="str">
        <v>-</v>
      </c>
      <c r="E10835" t="str">
        <v>-</v>
      </c>
      <c r="F10835" t="str">
        <v>-</v>
      </c>
      <c r="G10835" t="str">
        <v>-</v>
      </c>
    </row>
    <row r="10836">
      <c r="A10836">
        <v>10835</v>
      </c>
      <c r="B10836" t="str">
        <v>Công an xã Xuân Phú  tỉnh Thanh Hóa</v>
      </c>
      <c r="C10836" t="str">
        <v>-</v>
      </c>
      <c r="D10836" t="str">
        <v>-</v>
      </c>
      <c r="E10836" t="str">
        <v/>
      </c>
      <c r="F10836" t="str">
        <v>-</v>
      </c>
      <c r="G10836" t="str">
        <v>-</v>
      </c>
    </row>
    <row r="10837">
      <c r="A10837">
        <v>10836</v>
      </c>
      <c r="B10837" t="str">
        <v>UBND Ủy ban nhân dân xã Xuân Phú  tỉnh Thanh Hóa</v>
      </c>
      <c r="C10837" t="str">
        <v>-</v>
      </c>
      <c r="D10837" t="str">
        <v>-</v>
      </c>
      <c r="E10837" t="str">
        <v>-</v>
      </c>
      <c r="F10837" t="str">
        <v>-</v>
      </c>
      <c r="G10837" t="str">
        <v>-</v>
      </c>
    </row>
    <row r="10838">
      <c r="A10838">
        <v>10837</v>
      </c>
      <c r="B10838" t="str">
        <v>Công an thị trấn Cành Nàng  tỉnh Thanh Hóa</v>
      </c>
      <c r="C10838" t="str">
        <v>-</v>
      </c>
      <c r="D10838" t="str">
        <v>-</v>
      </c>
      <c r="E10838" t="str">
        <v/>
      </c>
      <c r="F10838" t="str">
        <v>-</v>
      </c>
      <c r="G10838" t="str">
        <v>-</v>
      </c>
    </row>
    <row r="10839">
      <c r="A10839">
        <v>10838</v>
      </c>
      <c r="B10839" t="str">
        <v>UBND Ủy ban nhân dân thị trấn Cành Nàng  tỉnh Thanh Hóa</v>
      </c>
      <c r="C10839" t="str">
        <v>-</v>
      </c>
      <c r="D10839" t="str">
        <v>-</v>
      </c>
      <c r="E10839" t="str">
        <v>-</v>
      </c>
      <c r="F10839" t="str">
        <v>-</v>
      </c>
      <c r="G10839" t="str">
        <v>-</v>
      </c>
    </row>
    <row r="10840">
      <c r="A10840">
        <v>10839</v>
      </c>
      <c r="B10840" t="str">
        <v>Công an xã Điền Thượng  tỉnh Thanh Hóa</v>
      </c>
      <c r="C10840" t="str">
        <v>-</v>
      </c>
      <c r="D10840" t="str">
        <v>-</v>
      </c>
      <c r="E10840" t="str">
        <v/>
      </c>
      <c r="F10840" t="str">
        <v>-</v>
      </c>
      <c r="G10840" t="str">
        <v>-</v>
      </c>
    </row>
    <row r="10841">
      <c r="A10841">
        <v>10840</v>
      </c>
      <c r="B10841" t="str">
        <v>UBND Ủy ban nhân dân xã Điền Thượng  tỉnh Thanh Hóa</v>
      </c>
      <c r="C10841" t="str">
        <v>-</v>
      </c>
      <c r="D10841" t="str">
        <v>-</v>
      </c>
      <c r="E10841" t="str">
        <v>-</v>
      </c>
      <c r="F10841" t="str">
        <v>-</v>
      </c>
      <c r="G10841" t="str">
        <v>-</v>
      </c>
    </row>
    <row r="10842">
      <c r="A10842">
        <v>10841</v>
      </c>
      <c r="B10842" t="str">
        <v>Công an xã Điền Hạ  tỉnh Thanh Hóa</v>
      </c>
      <c r="C10842" t="str">
        <v>-</v>
      </c>
      <c r="D10842" t="str">
        <v>-</v>
      </c>
      <c r="E10842" t="str">
        <v/>
      </c>
      <c r="F10842" t="str">
        <v>-</v>
      </c>
      <c r="G10842" t="str">
        <v>-</v>
      </c>
    </row>
    <row r="10843">
      <c r="A10843">
        <v>10842</v>
      </c>
      <c r="B10843" t="str">
        <v>UBND Ủy ban nhân dân xã Điền Hạ  tỉnh Thanh Hóa</v>
      </c>
      <c r="C10843" t="str">
        <v>-</v>
      </c>
      <c r="D10843" t="str">
        <v>-</v>
      </c>
      <c r="E10843" t="str">
        <v>-</v>
      </c>
      <c r="F10843" t="str">
        <v>-</v>
      </c>
      <c r="G10843" t="str">
        <v>-</v>
      </c>
    </row>
    <row r="10844">
      <c r="A10844">
        <v>10843</v>
      </c>
      <c r="B10844" t="str">
        <v>Công an xã Điền Quang  tỉnh Thanh Hóa</v>
      </c>
      <c r="C10844" t="str">
        <v>-</v>
      </c>
      <c r="D10844" t="str">
        <v>-</v>
      </c>
      <c r="E10844" t="str">
        <v/>
      </c>
      <c r="F10844" t="str">
        <v>-</v>
      </c>
      <c r="G10844" t="str">
        <v>-</v>
      </c>
    </row>
    <row r="10845">
      <c r="A10845">
        <v>10844</v>
      </c>
      <c r="B10845" t="str">
        <v>UBND Ủy ban nhân dân xã Điền Quang  tỉnh Thanh Hóa</v>
      </c>
      <c r="C10845" t="str">
        <v>-</v>
      </c>
      <c r="D10845" t="str">
        <v>-</v>
      </c>
      <c r="E10845" t="str">
        <v>-</v>
      </c>
      <c r="F10845" t="str">
        <v>-</v>
      </c>
      <c r="G10845" t="str">
        <v>-</v>
      </c>
    </row>
    <row r="10846">
      <c r="A10846">
        <v>10845</v>
      </c>
      <c r="B10846" t="str">
        <v>Công an xã Điền Trung  tỉnh Thanh Hóa</v>
      </c>
      <c r="C10846" t="str">
        <v>-</v>
      </c>
      <c r="D10846" t="str">
        <v>-</v>
      </c>
      <c r="E10846" t="str">
        <v/>
      </c>
      <c r="F10846" t="str">
        <v>-</v>
      </c>
      <c r="G10846" t="str">
        <v>-</v>
      </c>
    </row>
    <row r="10847">
      <c r="A10847">
        <v>10846</v>
      </c>
      <c r="B10847" t="str">
        <v>UBND Ủy ban nhân dân xã Điền Trung  tỉnh Thanh Hóa</v>
      </c>
      <c r="C10847" t="str">
        <v>-</v>
      </c>
      <c r="D10847" t="str">
        <v>-</v>
      </c>
      <c r="E10847" t="str">
        <v>-</v>
      </c>
      <c r="F10847" t="str">
        <v>-</v>
      </c>
      <c r="G10847" t="str">
        <v>-</v>
      </c>
    </row>
    <row r="10848">
      <c r="A10848">
        <v>10847</v>
      </c>
      <c r="B10848" t="str">
        <v>Công an xã Thành Sơn  tỉnh Thanh Hóa</v>
      </c>
      <c r="C10848" t="str">
        <v>-</v>
      </c>
      <c r="D10848" t="str">
        <v>-</v>
      </c>
      <c r="E10848" t="str">
        <v/>
      </c>
      <c r="F10848" t="str">
        <v>-</v>
      </c>
      <c r="G10848" t="str">
        <v>-</v>
      </c>
    </row>
    <row r="10849">
      <c r="A10849">
        <v>10848</v>
      </c>
      <c r="B10849" t="str">
        <v>UBND Ủy ban nhân dân xã Thành Sơn  tỉnh Thanh Hóa</v>
      </c>
      <c r="C10849" t="str">
        <v>-</v>
      </c>
      <c r="D10849" t="str">
        <v>-</v>
      </c>
      <c r="E10849" t="str">
        <v>-</v>
      </c>
      <c r="F10849" t="str">
        <v>-</v>
      </c>
      <c r="G10849" t="str">
        <v>-</v>
      </c>
    </row>
    <row r="10850">
      <c r="A10850">
        <v>10849</v>
      </c>
      <c r="B10850" t="str">
        <v>Công an xã Lương Ngoại  tỉnh Thanh Hóa</v>
      </c>
      <c r="C10850" t="str">
        <v>-</v>
      </c>
      <c r="D10850" t="str">
        <v>-</v>
      </c>
      <c r="E10850" t="str">
        <v/>
      </c>
      <c r="F10850" t="str">
        <v>-</v>
      </c>
      <c r="G10850" t="str">
        <v>-</v>
      </c>
    </row>
    <row r="10851">
      <c r="A10851">
        <v>10850</v>
      </c>
      <c r="B10851" t="str">
        <v>UBND Ủy ban nhân dân xã Lương Ngoại  tỉnh Thanh Hóa</v>
      </c>
      <c r="C10851" t="str">
        <v>-</v>
      </c>
      <c r="D10851" t="str">
        <v>-</v>
      </c>
      <c r="E10851" t="str">
        <v>-</v>
      </c>
      <c r="F10851" t="str">
        <v>-</v>
      </c>
      <c r="G10851" t="str">
        <v>-</v>
      </c>
    </row>
    <row r="10852">
      <c r="A10852">
        <v>10851</v>
      </c>
      <c r="B10852" t="str">
        <v>Công an xã Ái Thượng  tỉnh Thanh Hóa</v>
      </c>
      <c r="C10852" t="str">
        <v>-</v>
      </c>
      <c r="D10852" t="str">
        <v>-</v>
      </c>
      <c r="E10852" t="str">
        <v/>
      </c>
      <c r="F10852" t="str">
        <v>-</v>
      </c>
      <c r="G10852" t="str">
        <v>-</v>
      </c>
    </row>
    <row r="10853">
      <c r="A10853">
        <v>10852</v>
      </c>
      <c r="B10853" t="str">
        <v>UBND Ủy ban nhân dân xã Ái Thượng  tỉnh Thanh Hóa</v>
      </c>
      <c r="C10853" t="str">
        <v>-</v>
      </c>
      <c r="D10853" t="str">
        <v>-</v>
      </c>
      <c r="E10853" t="str">
        <v>-</v>
      </c>
      <c r="F10853" t="str">
        <v>-</v>
      </c>
      <c r="G10853" t="str">
        <v>-</v>
      </c>
    </row>
    <row r="10854">
      <c r="A10854">
        <v>10853</v>
      </c>
      <c r="B10854" t="str">
        <v>Công an xã Lương Nội  tỉnh Thanh Hóa</v>
      </c>
      <c r="C10854" t="str">
        <v>-</v>
      </c>
      <c r="D10854" t="str">
        <v>-</v>
      </c>
      <c r="E10854" t="str">
        <v/>
      </c>
      <c r="F10854" t="str">
        <v>-</v>
      </c>
      <c r="G10854" t="str">
        <v>-</v>
      </c>
    </row>
    <row r="10855">
      <c r="A10855">
        <v>10854</v>
      </c>
      <c r="B10855" t="str">
        <v>UBND Ủy ban nhân dân xã Lương Nội  tỉnh Thanh Hóa</v>
      </c>
      <c r="C10855" t="str">
        <v>-</v>
      </c>
      <c r="D10855" t="str">
        <v>-</v>
      </c>
      <c r="E10855" t="str">
        <v>-</v>
      </c>
      <c r="F10855" t="str">
        <v>-</v>
      </c>
      <c r="G10855" t="str">
        <v>-</v>
      </c>
    </row>
    <row r="10856">
      <c r="A10856">
        <v>10855</v>
      </c>
      <c r="B10856" t="str">
        <v>Công an xã Điền Lư  tỉnh Thanh Hóa</v>
      </c>
      <c r="C10856" t="str">
        <v>-</v>
      </c>
      <c r="D10856" t="str">
        <v>-</v>
      </c>
      <c r="E10856" t="str">
        <v/>
      </c>
      <c r="F10856" t="str">
        <v>-</v>
      </c>
      <c r="G10856" t="str">
        <v>-</v>
      </c>
    </row>
    <row r="10857">
      <c r="A10857">
        <v>10856</v>
      </c>
      <c r="B10857" t="str">
        <v>UBND Ủy ban nhân dân xã Điền Lư  tỉnh Thanh Hóa</v>
      </c>
      <c r="C10857" t="str">
        <v>-</v>
      </c>
      <c r="D10857" t="str">
        <v>-</v>
      </c>
      <c r="E10857" t="str">
        <v>-</v>
      </c>
      <c r="F10857" t="str">
        <v>-</v>
      </c>
      <c r="G10857" t="str">
        <v>-</v>
      </c>
    </row>
    <row r="10858">
      <c r="A10858">
        <v>10857</v>
      </c>
      <c r="B10858" t="str">
        <v>Công an xã Lương Trung  tỉnh Thanh Hóa</v>
      </c>
      <c r="C10858" t="str">
        <v>-</v>
      </c>
      <c r="D10858" t="str">
        <v>-</v>
      </c>
      <c r="E10858" t="str">
        <v/>
      </c>
      <c r="F10858" t="str">
        <v>-</v>
      </c>
      <c r="G10858" t="str">
        <v>-</v>
      </c>
    </row>
    <row r="10859">
      <c r="A10859">
        <v>10858</v>
      </c>
      <c r="B10859" t="str">
        <v>UBND Ủy ban nhân dân xã Lương Trung  tỉnh Thanh Hóa</v>
      </c>
      <c r="C10859" t="str">
        <v>-</v>
      </c>
      <c r="D10859" t="str">
        <v>-</v>
      </c>
      <c r="E10859" t="str">
        <v>-</v>
      </c>
      <c r="F10859" t="str">
        <v>-</v>
      </c>
      <c r="G10859" t="str">
        <v>-</v>
      </c>
    </row>
    <row r="10860">
      <c r="A10860">
        <v>10859</v>
      </c>
      <c r="B10860" t="str">
        <v>Công an xã Lũng Niêm  tỉnh Thanh Hóa</v>
      </c>
      <c r="C10860" t="str">
        <v>-</v>
      </c>
      <c r="D10860" t="str">
        <v>-</v>
      </c>
      <c r="E10860" t="str">
        <v/>
      </c>
      <c r="F10860" t="str">
        <v>-</v>
      </c>
      <c r="G10860" t="str">
        <v>-</v>
      </c>
    </row>
    <row r="10861">
      <c r="A10861">
        <v>10860</v>
      </c>
      <c r="B10861" t="str">
        <v>UBND Ủy ban nhân dân xã Lũng Niêm  tỉnh Thanh Hóa</v>
      </c>
      <c r="C10861" t="str">
        <v>-</v>
      </c>
      <c r="D10861" t="str">
        <v>-</v>
      </c>
      <c r="E10861" t="str">
        <v>-</v>
      </c>
      <c r="F10861" t="str">
        <v>-</v>
      </c>
      <c r="G10861" t="str">
        <v>-</v>
      </c>
    </row>
    <row r="10862">
      <c r="A10862">
        <v>10861</v>
      </c>
      <c r="B10862" t="str">
        <v>Công an xã Lũng Cao  tỉnh Thanh Hóa</v>
      </c>
      <c r="C10862" t="str">
        <v>-</v>
      </c>
      <c r="D10862" t="str">
        <v>-</v>
      </c>
      <c r="E10862" t="str">
        <v/>
      </c>
      <c r="F10862" t="str">
        <v>-</v>
      </c>
      <c r="G10862" t="str">
        <v>-</v>
      </c>
    </row>
    <row r="10863">
      <c r="A10863">
        <v>10862</v>
      </c>
      <c r="B10863" t="str">
        <v>UBND Ủy ban nhân dân xã Lũng Cao  tỉnh Thanh Hóa</v>
      </c>
      <c r="C10863" t="str">
        <v>-</v>
      </c>
      <c r="D10863" t="str">
        <v>-</v>
      </c>
      <c r="E10863" t="str">
        <v>-</v>
      </c>
      <c r="F10863" t="str">
        <v>-</v>
      </c>
      <c r="G10863" t="str">
        <v>-</v>
      </c>
    </row>
    <row r="10864">
      <c r="A10864">
        <v>10863</v>
      </c>
      <c r="B10864" t="str">
        <v>Công an xã Hạ Trung  tỉnh Thanh Hóa</v>
      </c>
      <c r="C10864" t="str">
        <v>-</v>
      </c>
      <c r="D10864" t="str">
        <v>-</v>
      </c>
      <c r="E10864" t="str">
        <v/>
      </c>
      <c r="F10864" t="str">
        <v>-</v>
      </c>
      <c r="G10864" t="str">
        <v>-</v>
      </c>
    </row>
    <row r="10865">
      <c r="A10865">
        <v>10864</v>
      </c>
      <c r="B10865" t="str">
        <v>UBND Ủy ban nhân dân xã Hạ Trung  tỉnh Thanh Hóa</v>
      </c>
      <c r="C10865" t="str">
        <v>-</v>
      </c>
      <c r="D10865" t="str">
        <v>-</v>
      </c>
      <c r="E10865" t="str">
        <v>-</v>
      </c>
      <c r="F10865" t="str">
        <v>-</v>
      </c>
      <c r="G10865" t="str">
        <v>-</v>
      </c>
    </row>
    <row r="10866">
      <c r="A10866">
        <v>10865</v>
      </c>
      <c r="B10866" t="str">
        <v>Công an xã Cổ Lũng  tỉnh Thanh Hóa</v>
      </c>
      <c r="C10866" t="str">
        <v>-</v>
      </c>
      <c r="D10866" t="str">
        <v>-</v>
      </c>
      <c r="E10866" t="str">
        <v/>
      </c>
      <c r="F10866" t="str">
        <v>-</v>
      </c>
      <c r="G10866" t="str">
        <v>-</v>
      </c>
    </row>
    <row r="10867">
      <c r="A10867">
        <v>10866</v>
      </c>
      <c r="B10867" t="str">
        <v>UBND Ủy ban nhân dân xã Cổ Lũng  tỉnh Thanh Hóa</v>
      </c>
      <c r="C10867" t="str">
        <v>-</v>
      </c>
      <c r="D10867" t="str">
        <v>-</v>
      </c>
      <c r="E10867" t="str">
        <v>-</v>
      </c>
      <c r="F10867" t="str">
        <v>-</v>
      </c>
      <c r="G10867" t="str">
        <v>-</v>
      </c>
    </row>
    <row r="10868">
      <c r="A10868">
        <v>10867</v>
      </c>
      <c r="B10868" t="str">
        <v>Công an xã Thành Lâm  tỉnh Thanh Hóa</v>
      </c>
      <c r="C10868" t="str">
        <v>-</v>
      </c>
      <c r="D10868" t="str">
        <v>-</v>
      </c>
      <c r="E10868" t="str">
        <v/>
      </c>
      <c r="F10868" t="str">
        <v>-</v>
      </c>
      <c r="G10868" t="str">
        <v>-</v>
      </c>
    </row>
    <row r="10869">
      <c r="A10869">
        <v>10868</v>
      </c>
      <c r="B10869" t="str">
        <v>UBND Ủy ban nhân dân xã Thành Lâm  tỉnh Thanh Hóa</v>
      </c>
      <c r="C10869" t="str">
        <v>-</v>
      </c>
      <c r="D10869" t="str">
        <v>-</v>
      </c>
      <c r="E10869" t="str">
        <v>-</v>
      </c>
      <c r="F10869" t="str">
        <v>-</v>
      </c>
      <c r="G10869" t="str">
        <v>-</v>
      </c>
    </row>
    <row r="10870">
      <c r="A10870">
        <v>10869</v>
      </c>
      <c r="B10870" t="str">
        <v>Công an xã Ban Công  tỉnh Thanh Hóa</v>
      </c>
      <c r="C10870" t="str">
        <v>-</v>
      </c>
      <c r="D10870" t="str">
        <v>-</v>
      </c>
      <c r="E10870" t="str">
        <v/>
      </c>
      <c r="F10870" t="str">
        <v>-</v>
      </c>
      <c r="G10870" t="str">
        <v>-</v>
      </c>
    </row>
    <row r="10871">
      <c r="A10871">
        <v>10870</v>
      </c>
      <c r="B10871" t="str">
        <v>UBND Ủy ban nhân dân xã Ban Công  tỉnh Thanh Hóa</v>
      </c>
      <c r="C10871" t="str">
        <v>-</v>
      </c>
      <c r="D10871" t="str">
        <v>-</v>
      </c>
      <c r="E10871" t="str">
        <v>-</v>
      </c>
      <c r="F10871" t="str">
        <v>-</v>
      </c>
      <c r="G10871" t="str">
        <v>-</v>
      </c>
    </row>
    <row r="10872">
      <c r="A10872">
        <v>10871</v>
      </c>
      <c r="B10872" t="str">
        <v>Công an xã Kỳ Tân  tỉnh Thanh Hóa</v>
      </c>
      <c r="C10872" t="str">
        <v>-</v>
      </c>
      <c r="D10872" t="str">
        <v>-</v>
      </c>
      <c r="E10872" t="str">
        <v/>
      </c>
      <c r="F10872" t="str">
        <v>-</v>
      </c>
      <c r="G10872" t="str">
        <v>-</v>
      </c>
    </row>
    <row r="10873">
      <c r="A10873">
        <v>10872</v>
      </c>
      <c r="B10873" t="str">
        <v>UBND Ủy ban nhân dân xã Kỳ Tân  tỉnh Thanh Hóa</v>
      </c>
      <c r="C10873" t="str">
        <v>-</v>
      </c>
      <c r="D10873" t="str">
        <v>-</v>
      </c>
      <c r="E10873" t="str">
        <v>-</v>
      </c>
      <c r="F10873" t="str">
        <v>-</v>
      </c>
      <c r="G10873" t="str">
        <v>-</v>
      </c>
    </row>
    <row r="10874">
      <c r="A10874">
        <v>10873</v>
      </c>
      <c r="B10874" t="str">
        <v>Công an xã Văn Nho  tỉnh Thanh Hóa</v>
      </c>
      <c r="C10874" t="str">
        <v>-</v>
      </c>
      <c r="D10874" t="str">
        <v>-</v>
      </c>
      <c r="E10874" t="str">
        <v/>
      </c>
      <c r="F10874" t="str">
        <v>-</v>
      </c>
      <c r="G10874" t="str">
        <v>-</v>
      </c>
    </row>
    <row r="10875">
      <c r="A10875">
        <v>10874</v>
      </c>
      <c r="B10875" t="str">
        <v>UBND Ủy ban nhân dân xã Văn Nho  tỉnh Thanh Hóa</v>
      </c>
      <c r="C10875" t="str">
        <v>-</v>
      </c>
      <c r="D10875" t="str">
        <v>-</v>
      </c>
      <c r="E10875" t="str">
        <v>-</v>
      </c>
      <c r="F10875" t="str">
        <v>-</v>
      </c>
      <c r="G10875" t="str">
        <v>-</v>
      </c>
    </row>
    <row r="10876">
      <c r="A10876">
        <v>10875</v>
      </c>
      <c r="B10876" t="str">
        <v>Công an xã Thiết Ống  tỉnh Thanh Hóa</v>
      </c>
      <c r="C10876" t="str">
        <v>-</v>
      </c>
      <c r="D10876" t="str">
        <v>-</v>
      </c>
      <c r="E10876" t="str">
        <v/>
      </c>
      <c r="F10876" t="str">
        <v>-</v>
      </c>
      <c r="G10876" t="str">
        <v>-</v>
      </c>
    </row>
    <row r="10877">
      <c r="A10877">
        <v>10876</v>
      </c>
      <c r="B10877" t="str">
        <v>UBND Ủy ban nhân dân xã Thiết Ống  tỉnh Thanh Hóa</v>
      </c>
      <c r="C10877" t="str">
        <v>-</v>
      </c>
      <c r="D10877" t="str">
        <v>-</v>
      </c>
      <c r="E10877" t="str">
        <v>-</v>
      </c>
      <c r="F10877" t="str">
        <v>-</v>
      </c>
      <c r="G10877" t="str">
        <v>-</v>
      </c>
    </row>
    <row r="10878">
      <c r="A10878">
        <v>10877</v>
      </c>
      <c r="B10878" t="str">
        <v>Công an xã Lâm Xa  tỉnh Thanh Hóa</v>
      </c>
      <c r="C10878" t="str">
        <v>-</v>
      </c>
      <c r="D10878" t="str">
        <v>-</v>
      </c>
      <c r="E10878" t="str">
        <v/>
      </c>
      <c r="F10878" t="str">
        <v>-</v>
      </c>
      <c r="G10878" t="str">
        <v>-</v>
      </c>
    </row>
    <row r="10879">
      <c r="A10879">
        <v>10878</v>
      </c>
      <c r="B10879" t="str">
        <v>UBND Ủy ban nhân dân xã Lâm Xa  tỉnh Thanh Hóa</v>
      </c>
      <c r="C10879" t="str">
        <v>-</v>
      </c>
      <c r="D10879" t="str">
        <v>-</v>
      </c>
      <c r="E10879" t="str">
        <v>-</v>
      </c>
      <c r="F10879" t="str">
        <v>-</v>
      </c>
      <c r="G10879" t="str">
        <v>-</v>
      </c>
    </row>
    <row r="10880">
      <c r="A10880">
        <v>10879</v>
      </c>
      <c r="B10880" t="str">
        <v>Công an xã Thiết Kế  tỉnh Thanh Hóa</v>
      </c>
      <c r="C10880" t="str">
        <v>-</v>
      </c>
      <c r="D10880" t="str">
        <v>-</v>
      </c>
      <c r="E10880" t="str">
        <v/>
      </c>
      <c r="F10880" t="str">
        <v>-</v>
      </c>
      <c r="G10880" t="str">
        <v>-</v>
      </c>
    </row>
    <row r="10881">
      <c r="A10881">
        <v>10880</v>
      </c>
      <c r="B10881" t="str">
        <v>UBND Ủy ban nhân dân xã Thiết Kế  tỉnh Thanh Hóa</v>
      </c>
      <c r="C10881" t="str">
        <v>-</v>
      </c>
      <c r="D10881" t="str">
        <v>-</v>
      </c>
      <c r="E10881" t="str">
        <v>-</v>
      </c>
      <c r="F10881" t="str">
        <v>-</v>
      </c>
      <c r="G10881" t="str">
        <v>-</v>
      </c>
    </row>
    <row r="10882">
      <c r="A10882">
        <v>10881</v>
      </c>
      <c r="B10882" t="str">
        <v>Công an xã Tân Lập  tỉnh Thanh Hóa</v>
      </c>
      <c r="C10882" t="str">
        <v>-</v>
      </c>
      <c r="D10882" t="str">
        <v>-</v>
      </c>
      <c r="E10882" t="str">
        <v/>
      </c>
      <c r="F10882" t="str">
        <v>-</v>
      </c>
      <c r="G10882" t="str">
        <v>-</v>
      </c>
    </row>
    <row r="10883">
      <c r="A10883">
        <v>10882</v>
      </c>
      <c r="B10883" t="str">
        <v>UBND Ủy ban nhân dân xã Tân Lập  tỉnh Thanh Hóa</v>
      </c>
      <c r="C10883" t="str">
        <v>-</v>
      </c>
      <c r="D10883" t="str">
        <v>-</v>
      </c>
      <c r="E10883" t="str">
        <v>-</v>
      </c>
      <c r="F10883" t="str">
        <v>-</v>
      </c>
      <c r="G10883" t="str">
        <v>-</v>
      </c>
    </row>
    <row r="10884">
      <c r="A10884">
        <v>10883</v>
      </c>
      <c r="B10884" t="str">
        <v>Công an thị trấn Quan Sơn  tỉnh Thanh Hóa</v>
      </c>
      <c r="C10884" t="str">
        <v>-</v>
      </c>
      <c r="D10884" t="str">
        <v>-</v>
      </c>
      <c r="E10884" t="str">
        <v/>
      </c>
      <c r="F10884" t="str">
        <v>-</v>
      </c>
      <c r="G10884" t="str">
        <v>-</v>
      </c>
    </row>
    <row r="10885">
      <c r="A10885">
        <v>10884</v>
      </c>
      <c r="B10885" t="str">
        <v>UBND Ủy ban nhân dân thị trấn Quan Sơn  tỉnh Thanh Hóa</v>
      </c>
      <c r="C10885" t="str">
        <v>-</v>
      </c>
      <c r="D10885" t="str">
        <v>-</v>
      </c>
      <c r="E10885" t="str">
        <v>-</v>
      </c>
      <c r="F10885" t="str">
        <v>-</v>
      </c>
      <c r="G10885" t="str">
        <v>-</v>
      </c>
    </row>
    <row r="10886">
      <c r="A10886">
        <v>10885</v>
      </c>
      <c r="B10886" t="str">
        <v>Công an xã Trung Xuân  tỉnh Thanh Hóa</v>
      </c>
      <c r="C10886" t="str">
        <v>-</v>
      </c>
      <c r="D10886" t="str">
        <v>-</v>
      </c>
      <c r="E10886" t="str">
        <v/>
      </c>
      <c r="F10886" t="str">
        <v>-</v>
      </c>
      <c r="G10886" t="str">
        <v>-</v>
      </c>
    </row>
    <row r="10887">
      <c r="A10887">
        <v>10886</v>
      </c>
      <c r="B10887" t="str">
        <v>UBND Ủy ban nhân dân xã Trung Xuân  tỉnh Thanh Hóa</v>
      </c>
      <c r="C10887" t="str">
        <v>-</v>
      </c>
      <c r="D10887" t="str">
        <v>-</v>
      </c>
      <c r="E10887" t="str">
        <v>-</v>
      </c>
      <c r="F10887" t="str">
        <v>-</v>
      </c>
      <c r="G10887" t="str">
        <v>-</v>
      </c>
    </row>
    <row r="10888">
      <c r="A10888">
        <v>10887</v>
      </c>
      <c r="B10888" t="str">
        <v>Công an xã Trung Thượng  tỉnh Thanh Hóa</v>
      </c>
      <c r="C10888" t="str">
        <v>-</v>
      </c>
      <c r="D10888" t="str">
        <v>-</v>
      </c>
      <c r="E10888" t="str">
        <v/>
      </c>
      <c r="F10888" t="str">
        <v>-</v>
      </c>
      <c r="G10888" t="str">
        <v>-</v>
      </c>
    </row>
    <row r="10889">
      <c r="A10889">
        <v>10888</v>
      </c>
      <c r="B10889" t="str">
        <v>UBND Ủy ban nhân dân xã Trung Thượng  tỉnh Thanh Hóa</v>
      </c>
      <c r="C10889" t="str">
        <v>-</v>
      </c>
      <c r="D10889" t="str">
        <v>-</v>
      </c>
      <c r="E10889" t="str">
        <v>-</v>
      </c>
      <c r="F10889" t="str">
        <v>-</v>
      </c>
      <c r="G10889" t="str">
        <v>-</v>
      </c>
    </row>
    <row r="10890">
      <c r="A10890">
        <v>10889</v>
      </c>
      <c r="B10890" t="str">
        <v>Công an xã Trung Tiến  tỉnh Thanh Hóa</v>
      </c>
      <c r="C10890" t="str">
        <v>-</v>
      </c>
      <c r="D10890" t="str">
        <v>-</v>
      </c>
      <c r="E10890" t="str">
        <v/>
      </c>
      <c r="F10890" t="str">
        <v>-</v>
      </c>
      <c r="G10890" t="str">
        <v>-</v>
      </c>
    </row>
    <row r="10891">
      <c r="A10891">
        <v>10890</v>
      </c>
      <c r="B10891" t="str">
        <v>UBND Ủy ban nhân dân xã Trung Tiến  tỉnh Thanh Hóa</v>
      </c>
      <c r="C10891" t="str">
        <v>-</v>
      </c>
      <c r="D10891" t="str">
        <v>-</v>
      </c>
      <c r="E10891" t="str">
        <v>-</v>
      </c>
      <c r="F10891" t="str">
        <v>-</v>
      </c>
      <c r="G10891" t="str">
        <v>-</v>
      </c>
    </row>
    <row r="10892">
      <c r="A10892">
        <v>10891</v>
      </c>
      <c r="B10892" t="str">
        <v>Công an xã Trung Hạ  tỉnh Thanh Hóa</v>
      </c>
      <c r="C10892" t="str">
        <v>-</v>
      </c>
      <c r="D10892" t="str">
        <v>-</v>
      </c>
      <c r="E10892" t="str">
        <v/>
      </c>
      <c r="F10892" t="str">
        <v>-</v>
      </c>
      <c r="G10892" t="str">
        <v>-</v>
      </c>
    </row>
    <row r="10893">
      <c r="A10893">
        <v>10892</v>
      </c>
      <c r="B10893" t="str">
        <v>UBND Ủy ban nhân dân xã Trung Hạ  tỉnh Thanh Hóa</v>
      </c>
      <c r="C10893" t="str">
        <v>-</v>
      </c>
      <c r="D10893" t="str">
        <v>-</v>
      </c>
      <c r="E10893" t="str">
        <v>-</v>
      </c>
      <c r="F10893" t="str">
        <v>-</v>
      </c>
      <c r="G10893" t="str">
        <v>-</v>
      </c>
    </row>
    <row r="10894">
      <c r="A10894">
        <v>10893</v>
      </c>
      <c r="B10894" t="str">
        <v>Công an xã Sơn Hà  tỉnh Thanh Hóa</v>
      </c>
      <c r="C10894" t="str">
        <v>-</v>
      </c>
      <c r="D10894" t="str">
        <v>-</v>
      </c>
      <c r="E10894" t="str">
        <v/>
      </c>
      <c r="F10894" t="str">
        <v>-</v>
      </c>
      <c r="G10894" t="str">
        <v>-</v>
      </c>
    </row>
    <row r="10895">
      <c r="A10895">
        <v>10894</v>
      </c>
      <c r="B10895" t="str">
        <v>UBND Ủy ban nhân dân xã Sơn Hà  tỉnh Thanh Hóa</v>
      </c>
      <c r="C10895" t="str">
        <v>-</v>
      </c>
      <c r="D10895" t="str">
        <v>-</v>
      </c>
      <c r="E10895" t="str">
        <v>-</v>
      </c>
      <c r="F10895" t="str">
        <v>-</v>
      </c>
      <c r="G10895" t="str">
        <v>-</v>
      </c>
    </row>
    <row r="10896">
      <c r="A10896">
        <v>10895</v>
      </c>
      <c r="B10896" t="str">
        <v>Công an xã Tam Thanh  tỉnh Thanh Hóa</v>
      </c>
      <c r="C10896" t="str">
        <v>-</v>
      </c>
      <c r="D10896" t="str">
        <v>-</v>
      </c>
      <c r="E10896" t="str">
        <v/>
      </c>
      <c r="F10896" t="str">
        <v>-</v>
      </c>
      <c r="G10896" t="str">
        <v>-</v>
      </c>
    </row>
    <row r="10897">
      <c r="A10897">
        <v>10896</v>
      </c>
      <c r="B10897" t="str">
        <v>UBND Ủy ban nhân dân xã Tam Thanh  tỉnh Thanh Hóa</v>
      </c>
      <c r="C10897" t="str">
        <v>-</v>
      </c>
      <c r="D10897" t="str">
        <v>-</v>
      </c>
      <c r="E10897" t="str">
        <v>-</v>
      </c>
      <c r="F10897" t="str">
        <v>-</v>
      </c>
      <c r="G10897" t="str">
        <v>-</v>
      </c>
    </row>
    <row r="10898">
      <c r="A10898">
        <v>10897</v>
      </c>
      <c r="B10898" t="str">
        <v>Công an xã Sơn Thủy  tỉnh Thanh Hóa</v>
      </c>
      <c r="C10898" t="str">
        <v>-</v>
      </c>
      <c r="D10898" t="str">
        <v>-</v>
      </c>
      <c r="E10898" t="str">
        <v/>
      </c>
      <c r="F10898" t="str">
        <v>-</v>
      </c>
      <c r="G10898" t="str">
        <v>-</v>
      </c>
    </row>
    <row r="10899">
      <c r="A10899">
        <v>10898</v>
      </c>
      <c r="B10899" t="str">
        <v>UBND Ủy ban nhân dân xã Sơn Thủy  tỉnh Thanh Hóa</v>
      </c>
      <c r="C10899" t="str">
        <v>-</v>
      </c>
      <c r="D10899" t="str">
        <v>-</v>
      </c>
      <c r="E10899" t="str">
        <v>-</v>
      </c>
      <c r="F10899" t="str">
        <v>-</v>
      </c>
      <c r="G10899" t="str">
        <v>-</v>
      </c>
    </row>
    <row r="10900">
      <c r="A10900">
        <v>10899</v>
      </c>
      <c r="B10900" t="str">
        <v>Công an xã Na Mèo  tỉnh Thanh Hóa</v>
      </c>
      <c r="C10900" t="str">
        <v>-</v>
      </c>
      <c r="D10900" t="str">
        <v>-</v>
      </c>
      <c r="E10900" t="str">
        <v/>
      </c>
      <c r="F10900" t="str">
        <v>-</v>
      </c>
      <c r="G10900" t="str">
        <v>-</v>
      </c>
    </row>
    <row r="10901">
      <c r="A10901">
        <v>10900</v>
      </c>
      <c r="B10901" t="str">
        <v>UBND Ủy ban nhân dân xã Na Mèo  tỉnh Thanh Hóa</v>
      </c>
      <c r="C10901" t="str">
        <v>-</v>
      </c>
      <c r="D10901" t="str">
        <v>-</v>
      </c>
      <c r="E10901" t="str">
        <v>-</v>
      </c>
      <c r="F10901" t="str">
        <v>-</v>
      </c>
      <c r="G10901" t="str">
        <v>-</v>
      </c>
    </row>
    <row r="10902">
      <c r="A10902">
        <v>10901</v>
      </c>
      <c r="B10902" t="str">
        <v>Công an xã Sơn Lư  tỉnh Thanh Hóa</v>
      </c>
      <c r="C10902" t="str">
        <v>-</v>
      </c>
      <c r="D10902" t="str">
        <v>-</v>
      </c>
      <c r="E10902" t="str">
        <v/>
      </c>
      <c r="F10902" t="str">
        <v>-</v>
      </c>
      <c r="G10902" t="str">
        <v>-</v>
      </c>
    </row>
    <row r="10903">
      <c r="A10903">
        <v>10902</v>
      </c>
      <c r="B10903" t="str">
        <v>UBND Ủy ban nhân dân xã Sơn Lư  tỉnh Thanh Hóa</v>
      </c>
      <c r="C10903" t="str">
        <v>-</v>
      </c>
      <c r="D10903" t="str">
        <v>-</v>
      </c>
      <c r="E10903" t="str">
        <v>-</v>
      </c>
      <c r="F10903" t="str">
        <v>-</v>
      </c>
      <c r="G10903" t="str">
        <v>-</v>
      </c>
    </row>
    <row r="10904">
      <c r="A10904">
        <v>10903</v>
      </c>
      <c r="B10904" t="str">
        <v>Công an xã Tam Lư  tỉnh Thanh Hóa</v>
      </c>
      <c r="C10904" t="str">
        <v>-</v>
      </c>
      <c r="D10904" t="str">
        <v>-</v>
      </c>
      <c r="E10904" t="str">
        <v/>
      </c>
      <c r="F10904" t="str">
        <v>-</v>
      </c>
      <c r="G10904" t="str">
        <v>-</v>
      </c>
    </row>
    <row r="10905">
      <c r="A10905">
        <v>10904</v>
      </c>
      <c r="B10905" t="str">
        <v>UBND Ủy ban nhân dân xã Tam Lư  tỉnh Thanh Hóa</v>
      </c>
      <c r="C10905" t="str">
        <v>-</v>
      </c>
      <c r="D10905" t="str">
        <v>-</v>
      </c>
      <c r="E10905" t="str">
        <v>-</v>
      </c>
      <c r="F10905" t="str">
        <v>-</v>
      </c>
      <c r="G10905" t="str">
        <v>-</v>
      </c>
    </row>
    <row r="10906">
      <c r="A10906">
        <v>10905</v>
      </c>
      <c r="B10906" t="str">
        <v>Công an xã Sơn Điện  tỉnh Thanh Hóa</v>
      </c>
      <c r="C10906" t="str">
        <v>-</v>
      </c>
      <c r="D10906" t="str">
        <v>-</v>
      </c>
      <c r="E10906" t="str">
        <v/>
      </c>
      <c r="F10906" t="str">
        <v>-</v>
      </c>
      <c r="G10906" t="str">
        <v>-</v>
      </c>
    </row>
    <row r="10907">
      <c r="A10907">
        <v>10906</v>
      </c>
      <c r="B10907" t="str">
        <v>UBND Ủy ban nhân dân xã Sơn Điện  tỉnh Thanh Hóa</v>
      </c>
      <c r="C10907" t="str">
        <v>-</v>
      </c>
      <c r="D10907" t="str">
        <v>-</v>
      </c>
      <c r="E10907" t="str">
        <v>-</v>
      </c>
      <c r="F10907" t="str">
        <v>-</v>
      </c>
      <c r="G10907" t="str">
        <v>-</v>
      </c>
    </row>
    <row r="10908">
      <c r="A10908">
        <v>10907</v>
      </c>
      <c r="B10908" t="str">
        <v>Công an xã Mường Mìn  tỉnh Thanh Hóa</v>
      </c>
      <c r="C10908" t="str">
        <v>-</v>
      </c>
      <c r="D10908" t="str">
        <v>-</v>
      </c>
      <c r="E10908" t="str">
        <v/>
      </c>
      <c r="F10908" t="str">
        <v>-</v>
      </c>
      <c r="G10908" t="str">
        <v>-</v>
      </c>
    </row>
    <row r="10909">
      <c r="A10909">
        <v>10908</v>
      </c>
      <c r="B10909" t="str">
        <v>UBND Ủy ban nhân dân xã Mường Mìn  tỉnh Thanh Hóa</v>
      </c>
      <c r="C10909" t="str">
        <v>-</v>
      </c>
      <c r="D10909" t="str">
        <v>-</v>
      </c>
      <c r="E10909" t="str">
        <v>-</v>
      </c>
      <c r="F10909" t="str">
        <v>-</v>
      </c>
      <c r="G10909" t="str">
        <v>-</v>
      </c>
    </row>
    <row r="10910">
      <c r="A10910">
        <v>10909</v>
      </c>
      <c r="B10910" t="str">
        <v>Công an thị trấn Lang Chánh  tỉnh Thanh Hóa</v>
      </c>
      <c r="C10910" t="str">
        <v>-</v>
      </c>
      <c r="D10910" t="str">
        <v>-</v>
      </c>
      <c r="E10910" t="str">
        <v/>
      </c>
      <c r="F10910" t="str">
        <v>-</v>
      </c>
      <c r="G10910" t="str">
        <v>-</v>
      </c>
    </row>
    <row r="10911">
      <c r="A10911">
        <v>10910</v>
      </c>
      <c r="B10911" t="str">
        <v>UBND Ủy ban nhân dân thị trấn Lang Chánh  tỉnh Thanh Hóa</v>
      </c>
      <c r="C10911" t="str">
        <v>-</v>
      </c>
      <c r="D10911" t="str">
        <v>-</v>
      </c>
      <c r="E10911" t="str">
        <v>-</v>
      </c>
      <c r="F10911" t="str">
        <v>-</v>
      </c>
      <c r="G10911" t="str">
        <v>-</v>
      </c>
    </row>
    <row r="10912">
      <c r="A10912">
        <v>10911</v>
      </c>
      <c r="B10912" t="str">
        <v>Công an xã Yên Khương  tỉnh Thanh Hóa</v>
      </c>
      <c r="C10912" t="str">
        <v>-</v>
      </c>
      <c r="D10912" t="str">
        <v>-</v>
      </c>
      <c r="E10912" t="str">
        <v/>
      </c>
      <c r="F10912" t="str">
        <v>-</v>
      </c>
      <c r="G10912" t="str">
        <v>-</v>
      </c>
    </row>
    <row r="10913">
      <c r="A10913">
        <v>10912</v>
      </c>
      <c r="B10913" t="str">
        <v>UBND Ủy ban nhân dân xã Yên Khương  tỉnh Thanh Hóa</v>
      </c>
      <c r="C10913" t="str">
        <v>-</v>
      </c>
      <c r="D10913" t="str">
        <v>-</v>
      </c>
      <c r="E10913" t="str">
        <v>-</v>
      </c>
      <c r="F10913" t="str">
        <v>-</v>
      </c>
      <c r="G10913" t="str">
        <v>-</v>
      </c>
    </row>
    <row r="10914">
      <c r="A10914">
        <v>10913</v>
      </c>
      <c r="B10914" t="str">
        <v>Công an xã Yên Thắng  tỉnh Thanh Hóa</v>
      </c>
      <c r="C10914" t="str">
        <v>-</v>
      </c>
      <c r="D10914" t="str">
        <v>-</v>
      </c>
      <c r="E10914" t="str">
        <v/>
      </c>
      <c r="F10914" t="str">
        <v>-</v>
      </c>
      <c r="G10914" t="str">
        <v>-</v>
      </c>
    </row>
    <row r="10915">
      <c r="A10915">
        <v>10914</v>
      </c>
      <c r="B10915" t="str">
        <v>UBND Ủy ban nhân dân xã Yên Thắng  tỉnh Thanh Hóa</v>
      </c>
      <c r="C10915" t="str">
        <v>-</v>
      </c>
      <c r="D10915" t="str">
        <v>-</v>
      </c>
      <c r="E10915" t="str">
        <v>-</v>
      </c>
      <c r="F10915" t="str">
        <v>-</v>
      </c>
      <c r="G10915" t="str">
        <v>-</v>
      </c>
    </row>
    <row r="10916">
      <c r="A10916">
        <v>10915</v>
      </c>
      <c r="B10916" t="str">
        <v>Công an xã Trí Nang  tỉnh Thanh Hóa</v>
      </c>
      <c r="C10916" t="str">
        <v>-</v>
      </c>
      <c r="D10916" t="str">
        <v>-</v>
      </c>
      <c r="E10916" t="str">
        <v/>
      </c>
      <c r="F10916" t="str">
        <v>-</v>
      </c>
      <c r="G10916" t="str">
        <v>-</v>
      </c>
    </row>
    <row r="10917">
      <c r="A10917">
        <v>10916</v>
      </c>
      <c r="B10917" t="str">
        <v>UBND Ủy ban nhân dân xã Trí Nang  tỉnh Thanh Hóa</v>
      </c>
      <c r="C10917" t="str">
        <v>-</v>
      </c>
      <c r="D10917" t="str">
        <v>-</v>
      </c>
      <c r="E10917" t="str">
        <v>-</v>
      </c>
      <c r="F10917" t="str">
        <v>-</v>
      </c>
      <c r="G10917" t="str">
        <v>-</v>
      </c>
    </row>
    <row r="10918">
      <c r="A10918">
        <v>10917</v>
      </c>
      <c r="B10918" t="str">
        <v>Công an xã Giao An  tỉnh Thanh Hóa</v>
      </c>
      <c r="C10918" t="str">
        <v>-</v>
      </c>
      <c r="D10918" t="str">
        <v>-</v>
      </c>
      <c r="E10918" t="str">
        <v/>
      </c>
      <c r="F10918" t="str">
        <v>-</v>
      </c>
      <c r="G10918" t="str">
        <v>-</v>
      </c>
    </row>
    <row r="10919">
      <c r="A10919">
        <v>10918</v>
      </c>
      <c r="B10919" t="str">
        <v>UBND Ủy ban nhân dân xã Giao An  tỉnh Thanh Hóa</v>
      </c>
      <c r="C10919" t="str">
        <v>-</v>
      </c>
      <c r="D10919" t="str">
        <v>-</v>
      </c>
      <c r="E10919" t="str">
        <v>-</v>
      </c>
      <c r="F10919" t="str">
        <v>-</v>
      </c>
      <c r="G10919" t="str">
        <v>-</v>
      </c>
    </row>
    <row r="10920">
      <c r="A10920">
        <v>10919</v>
      </c>
      <c r="B10920" t="str">
        <v>Công an xã Giao Thiện  tỉnh Thanh Hóa</v>
      </c>
      <c r="C10920" t="str">
        <v>-</v>
      </c>
      <c r="D10920" t="str">
        <v>-</v>
      </c>
      <c r="E10920" t="str">
        <v/>
      </c>
      <c r="F10920" t="str">
        <v>-</v>
      </c>
      <c r="G10920" t="str">
        <v>-</v>
      </c>
    </row>
    <row r="10921">
      <c r="A10921">
        <v>10920</v>
      </c>
      <c r="B10921" t="str">
        <v>UBND Ủy ban nhân dân xã Giao Thiện  tỉnh Thanh Hóa</v>
      </c>
      <c r="C10921" t="str">
        <v>-</v>
      </c>
      <c r="D10921" t="str">
        <v>-</v>
      </c>
      <c r="E10921" t="str">
        <v>-</v>
      </c>
      <c r="F10921" t="str">
        <v>-</v>
      </c>
      <c r="G10921" t="str">
        <v>-</v>
      </c>
    </row>
    <row r="10922">
      <c r="A10922">
        <v>10921</v>
      </c>
      <c r="B10922" t="str">
        <v>Công an xã Tân Phúc  tỉnh Thanh Hóa</v>
      </c>
      <c r="C10922" t="str">
        <v>-</v>
      </c>
      <c r="D10922" t="str">
        <v>-</v>
      </c>
      <c r="E10922" t="str">
        <v/>
      </c>
      <c r="F10922" t="str">
        <v>-</v>
      </c>
      <c r="G10922" t="str">
        <v>-</v>
      </c>
    </row>
    <row r="10923">
      <c r="A10923">
        <v>10922</v>
      </c>
      <c r="B10923" t="str">
        <v>UBND Ủy ban nhân dân xã Tân Phúc  tỉnh Thanh Hóa</v>
      </c>
      <c r="C10923" t="str">
        <v>-</v>
      </c>
      <c r="D10923" t="str">
        <v>-</v>
      </c>
      <c r="E10923" t="str">
        <v>-</v>
      </c>
      <c r="F10923" t="str">
        <v>-</v>
      </c>
      <c r="G10923" t="str">
        <v>-</v>
      </c>
    </row>
    <row r="10924">
      <c r="A10924">
        <v>10923</v>
      </c>
      <c r="B10924" t="str">
        <v>Công an xã Tam Văn  tỉnh Thanh Hóa</v>
      </c>
      <c r="C10924" t="str">
        <v>-</v>
      </c>
      <c r="D10924" t="str">
        <v>-</v>
      </c>
      <c r="E10924" t="str">
        <v/>
      </c>
      <c r="F10924" t="str">
        <v>-</v>
      </c>
      <c r="G10924" t="str">
        <v>-</v>
      </c>
    </row>
    <row r="10925">
      <c r="A10925">
        <v>10924</v>
      </c>
      <c r="B10925" t="str">
        <v>UBND Ủy ban nhân dân xã Tam Văn  tỉnh Thanh Hóa</v>
      </c>
      <c r="C10925" t="str">
        <v>-</v>
      </c>
      <c r="D10925" t="str">
        <v>-</v>
      </c>
      <c r="E10925" t="str">
        <v>-</v>
      </c>
      <c r="F10925" t="str">
        <v>-</v>
      </c>
      <c r="G10925" t="str">
        <v>-</v>
      </c>
    </row>
    <row r="10926">
      <c r="A10926">
        <v>10925</v>
      </c>
      <c r="B10926" t="str">
        <v>Công an xã Lâm Phú  tỉnh Thanh Hóa</v>
      </c>
      <c r="C10926" t="str">
        <v>-</v>
      </c>
      <c r="D10926" t="str">
        <v>-</v>
      </c>
      <c r="E10926" t="str">
        <v/>
      </c>
      <c r="F10926" t="str">
        <v>-</v>
      </c>
      <c r="G10926" t="str">
        <v>-</v>
      </c>
    </row>
    <row r="10927">
      <c r="A10927">
        <v>10926</v>
      </c>
      <c r="B10927" t="str">
        <v>UBND Ủy ban nhân dân xã Lâm Phú  tỉnh Thanh Hóa</v>
      </c>
      <c r="C10927" t="str">
        <v>-</v>
      </c>
      <c r="D10927" t="str">
        <v>-</v>
      </c>
      <c r="E10927" t="str">
        <v>-</v>
      </c>
      <c r="F10927" t="str">
        <v>-</v>
      </c>
      <c r="G10927" t="str">
        <v>-</v>
      </c>
    </row>
    <row r="10928">
      <c r="A10928">
        <v>10927</v>
      </c>
      <c r="B10928" t="str">
        <v>Công an xã Quang Hiến  tỉnh Thanh Hóa</v>
      </c>
      <c r="C10928" t="str">
        <v>-</v>
      </c>
      <c r="D10928" t="str">
        <v>-</v>
      </c>
      <c r="E10928" t="str">
        <v/>
      </c>
      <c r="F10928" t="str">
        <v>-</v>
      </c>
      <c r="G10928" t="str">
        <v>-</v>
      </c>
    </row>
    <row r="10929">
      <c r="A10929">
        <v>10928</v>
      </c>
      <c r="B10929" t="str">
        <v>UBND Ủy ban nhân dân xã Quang Hiến  tỉnh Thanh Hóa</v>
      </c>
      <c r="C10929" t="str">
        <v>-</v>
      </c>
      <c r="D10929" t="str">
        <v>-</v>
      </c>
      <c r="E10929" t="str">
        <v>-</v>
      </c>
      <c r="F10929" t="str">
        <v>-</v>
      </c>
      <c r="G10929" t="str">
        <v>-</v>
      </c>
    </row>
    <row r="10930">
      <c r="A10930">
        <v>10929</v>
      </c>
      <c r="B10930" t="str">
        <v>Công an xã Đồng Lương  tỉnh Thanh Hóa</v>
      </c>
      <c r="C10930" t="str">
        <v>-</v>
      </c>
      <c r="D10930" t="str">
        <v>-</v>
      </c>
      <c r="E10930" t="str">
        <v/>
      </c>
      <c r="F10930" t="str">
        <v>-</v>
      </c>
      <c r="G10930" t="str">
        <v>-</v>
      </c>
    </row>
    <row r="10931">
      <c r="A10931">
        <v>10930</v>
      </c>
      <c r="B10931" t="str">
        <v>UBND Ủy ban nhân dân xã Đồng Lương  tỉnh Thanh Hóa</v>
      </c>
      <c r="C10931" t="str">
        <v>-</v>
      </c>
      <c r="D10931" t="str">
        <v>-</v>
      </c>
      <c r="E10931" t="str">
        <v>-</v>
      </c>
      <c r="F10931" t="str">
        <v>-</v>
      </c>
      <c r="G10931" t="str">
        <v>-</v>
      </c>
    </row>
    <row r="10932">
      <c r="A10932">
        <v>10931</v>
      </c>
      <c r="B10932" t="str">
        <v>Công an thị trấn Ngọc Lặc  tỉnh Thanh Hóa</v>
      </c>
      <c r="C10932" t="str">
        <v>-</v>
      </c>
      <c r="D10932" t="str">
        <v>-</v>
      </c>
      <c r="E10932" t="str">
        <v/>
      </c>
      <c r="F10932" t="str">
        <v>-</v>
      </c>
      <c r="G10932" t="str">
        <v>-</v>
      </c>
    </row>
    <row r="10933">
      <c r="A10933">
        <v>10932</v>
      </c>
      <c r="B10933" t="str">
        <v>UBND Ủy ban nhân dân thị trấn Ngọc Lặc  tỉnh Thanh Hóa</v>
      </c>
      <c r="C10933" t="str">
        <v>-</v>
      </c>
      <c r="D10933" t="str">
        <v>-</v>
      </c>
      <c r="E10933" t="str">
        <v>-</v>
      </c>
      <c r="F10933" t="str">
        <v>-</v>
      </c>
      <c r="G10933" t="str">
        <v>-</v>
      </c>
    </row>
    <row r="10934">
      <c r="A10934">
        <v>10933</v>
      </c>
      <c r="B10934" t="str">
        <v>Công an xã Lam Sơn  tỉnh Thanh Hóa</v>
      </c>
      <c r="C10934" t="str">
        <v>-</v>
      </c>
      <c r="D10934" t="str">
        <v>-</v>
      </c>
      <c r="E10934" t="str">
        <v/>
      </c>
      <c r="F10934" t="str">
        <v>-</v>
      </c>
      <c r="G10934" t="str">
        <v>-</v>
      </c>
    </row>
    <row r="10935">
      <c r="A10935">
        <v>10934</v>
      </c>
      <c r="B10935" t="str">
        <v>UBND Ủy ban nhân dân xã Lam Sơn  tỉnh Thanh Hóa</v>
      </c>
      <c r="C10935" t="str">
        <v>-</v>
      </c>
      <c r="D10935" t="str">
        <v>-</v>
      </c>
      <c r="E10935" t="str">
        <v>-</v>
      </c>
      <c r="F10935" t="str">
        <v>-</v>
      </c>
      <c r="G10935" t="str">
        <v>-</v>
      </c>
    </row>
    <row r="10936">
      <c r="A10936">
        <v>10935</v>
      </c>
      <c r="B10936" t="str">
        <v>Công an xã Mỹ Tân  tỉnh Thanh Hóa</v>
      </c>
      <c r="C10936" t="str">
        <v>-</v>
      </c>
      <c r="D10936" t="str">
        <v>-</v>
      </c>
      <c r="E10936" t="str">
        <v/>
      </c>
      <c r="F10936" t="str">
        <v>-</v>
      </c>
      <c r="G10936" t="str">
        <v>-</v>
      </c>
    </row>
    <row r="10937">
      <c r="A10937">
        <v>10936</v>
      </c>
      <c r="B10937" t="str">
        <v>UBND Ủy ban nhân dân xã Mỹ Tân  tỉnh Thanh Hóa</v>
      </c>
      <c r="C10937" t="str">
        <v>-</v>
      </c>
      <c r="D10937" t="str">
        <v>-</v>
      </c>
      <c r="E10937" t="str">
        <v>-</v>
      </c>
      <c r="F10937" t="str">
        <v>-</v>
      </c>
      <c r="G10937" t="str">
        <v>-</v>
      </c>
    </row>
    <row r="10938">
      <c r="A10938">
        <v>10937</v>
      </c>
      <c r="B10938" t="str">
        <v>Công an xã Thúy Sơn  tỉnh Thanh Hóa</v>
      </c>
      <c r="C10938" t="str">
        <v>-</v>
      </c>
      <c r="D10938" t="str">
        <v>-</v>
      </c>
      <c r="E10938" t="str">
        <v/>
      </c>
      <c r="F10938" t="str">
        <v>-</v>
      </c>
      <c r="G10938" t="str">
        <v>-</v>
      </c>
    </row>
    <row r="10939">
      <c r="A10939">
        <v>10938</v>
      </c>
      <c r="B10939" t="str">
        <v>UBND Ủy ban nhân dân xã Thúy Sơn  tỉnh Thanh Hóa</v>
      </c>
      <c r="C10939" t="str">
        <v>-</v>
      </c>
      <c r="D10939" t="str">
        <v>-</v>
      </c>
      <c r="E10939" t="str">
        <v>-</v>
      </c>
      <c r="F10939" t="str">
        <v>-</v>
      </c>
      <c r="G10939" t="str">
        <v>-</v>
      </c>
    </row>
    <row r="10940">
      <c r="A10940">
        <v>10939</v>
      </c>
      <c r="B10940" t="str">
        <v>Công an xã Thạch Lập  tỉnh Thanh Hóa</v>
      </c>
      <c r="C10940" t="str">
        <v>-</v>
      </c>
      <c r="D10940" t="str">
        <v>-</v>
      </c>
      <c r="E10940" t="str">
        <v/>
      </c>
      <c r="F10940" t="str">
        <v>-</v>
      </c>
      <c r="G10940" t="str">
        <v>-</v>
      </c>
    </row>
    <row r="10941">
      <c r="A10941">
        <v>10940</v>
      </c>
      <c r="B10941" t="str">
        <v>UBND Ủy ban nhân dân xã Thạch Lập  tỉnh Thanh Hóa</v>
      </c>
      <c r="C10941" t="str">
        <v>-</v>
      </c>
      <c r="D10941" t="str">
        <v>-</v>
      </c>
      <c r="E10941" t="str">
        <v>-</v>
      </c>
      <c r="F10941" t="str">
        <v>-</v>
      </c>
      <c r="G10941" t="str">
        <v>-</v>
      </c>
    </row>
    <row r="10942">
      <c r="A10942">
        <v>10941</v>
      </c>
      <c r="B10942" t="str">
        <v>Công an xã Vân Âm  tỉnh Thanh Hóa</v>
      </c>
      <c r="C10942" t="str">
        <v>-</v>
      </c>
      <c r="D10942" t="str">
        <v>-</v>
      </c>
      <c r="E10942" t="str">
        <v/>
      </c>
      <c r="F10942" t="str">
        <v>-</v>
      </c>
      <c r="G10942" t="str">
        <v>-</v>
      </c>
    </row>
    <row r="10943">
      <c r="A10943">
        <v>10942</v>
      </c>
      <c r="B10943" t="str">
        <v>UBND Ủy ban nhân dân xã Vân Âm  tỉnh Thanh Hóa</v>
      </c>
      <c r="C10943" t="str">
        <v>-</v>
      </c>
      <c r="D10943" t="str">
        <v>-</v>
      </c>
      <c r="E10943" t="str">
        <v>-</v>
      </c>
      <c r="F10943" t="str">
        <v>-</v>
      </c>
      <c r="G10943" t="str">
        <v>-</v>
      </c>
    </row>
    <row r="10944">
      <c r="A10944">
        <v>10943</v>
      </c>
      <c r="B10944" t="str">
        <v>Công an xã Cao Ngọc  tỉnh Thanh Hóa</v>
      </c>
      <c r="C10944" t="str">
        <v>-</v>
      </c>
      <c r="D10944" t="str">
        <v>-</v>
      </c>
      <c r="E10944" t="str">
        <v/>
      </c>
      <c r="F10944" t="str">
        <v>-</v>
      </c>
      <c r="G10944" t="str">
        <v>-</v>
      </c>
    </row>
    <row r="10945">
      <c r="A10945">
        <v>10944</v>
      </c>
      <c r="B10945" t="str">
        <v>UBND Ủy ban nhân dân xã Cao Ngọc  tỉnh Thanh Hóa</v>
      </c>
      <c r="C10945" t="str">
        <v>-</v>
      </c>
      <c r="D10945" t="str">
        <v>-</v>
      </c>
      <c r="E10945" t="str">
        <v>-</v>
      </c>
      <c r="F10945" t="str">
        <v>-</v>
      </c>
      <c r="G10945" t="str">
        <v>-</v>
      </c>
    </row>
    <row r="10946">
      <c r="A10946">
        <v>10945</v>
      </c>
      <c r="B10946" t="str">
        <v>Công an xã Ngọc Khê  tỉnh Thanh Hóa</v>
      </c>
      <c r="C10946" t="str">
        <v>-</v>
      </c>
      <c r="D10946" t="str">
        <v>-</v>
      </c>
      <c r="E10946" t="str">
        <v/>
      </c>
      <c r="F10946" t="str">
        <v>-</v>
      </c>
      <c r="G10946" t="str">
        <v>-</v>
      </c>
    </row>
    <row r="10947">
      <c r="A10947">
        <v>10946</v>
      </c>
      <c r="B10947" t="str">
        <v>UBND Ủy ban nhân dân xã Ngọc Khê  tỉnh Thanh Hóa</v>
      </c>
      <c r="C10947" t="str">
        <v>-</v>
      </c>
      <c r="D10947" t="str">
        <v>-</v>
      </c>
      <c r="E10947" t="str">
        <v>-</v>
      </c>
      <c r="F10947" t="str">
        <v>-</v>
      </c>
      <c r="G10947" t="str">
        <v>-</v>
      </c>
    </row>
    <row r="10948">
      <c r="A10948">
        <v>10947</v>
      </c>
      <c r="B10948" t="str">
        <v>Công an xã Quang Trung  tỉnh Thanh Hóa</v>
      </c>
      <c r="C10948" t="str">
        <v>-</v>
      </c>
      <c r="D10948" t="str">
        <v>-</v>
      </c>
      <c r="E10948" t="str">
        <v/>
      </c>
      <c r="F10948" t="str">
        <v>-</v>
      </c>
      <c r="G10948" t="str">
        <v>-</v>
      </c>
    </row>
    <row r="10949">
      <c r="A10949">
        <v>10948</v>
      </c>
      <c r="B10949" t="str">
        <v>UBND Ủy ban nhân dân xã Quang Trung  tỉnh Thanh Hóa</v>
      </c>
      <c r="C10949" t="str">
        <v>-</v>
      </c>
      <c r="D10949" t="str">
        <v>-</v>
      </c>
      <c r="E10949" t="str">
        <v>-</v>
      </c>
      <c r="F10949" t="str">
        <v>-</v>
      </c>
      <c r="G10949" t="str">
        <v>-</v>
      </c>
    </row>
    <row r="10950">
      <c r="A10950">
        <v>10949</v>
      </c>
      <c r="B10950" t="str">
        <v>Công an xã Đồng Thịnh  tỉnh Thanh Hóa</v>
      </c>
      <c r="C10950" t="str">
        <v>-</v>
      </c>
      <c r="D10950" t="str">
        <v>-</v>
      </c>
      <c r="E10950" t="str">
        <v/>
      </c>
      <c r="F10950" t="str">
        <v>-</v>
      </c>
      <c r="G10950" t="str">
        <v>-</v>
      </c>
    </row>
    <row r="10951">
      <c r="A10951">
        <v>10950</v>
      </c>
      <c r="B10951" t="str">
        <v>UBND Ủy ban nhân dân xã Đồng Thịnh  tỉnh Thanh Hóa</v>
      </c>
      <c r="C10951" t="str">
        <v>-</v>
      </c>
      <c r="D10951" t="str">
        <v>-</v>
      </c>
      <c r="E10951" t="str">
        <v>-</v>
      </c>
      <c r="F10951" t="str">
        <v>-</v>
      </c>
      <c r="G10951" t="str">
        <v>-</v>
      </c>
    </row>
    <row r="10952">
      <c r="A10952">
        <v>10951</v>
      </c>
      <c r="B10952" t="str">
        <v>Công an xã Ngọc Liên  tỉnh Thanh Hóa</v>
      </c>
      <c r="C10952" t="str">
        <v>-</v>
      </c>
      <c r="D10952" t="str">
        <v>-</v>
      </c>
      <c r="E10952" t="str">
        <v/>
      </c>
      <c r="F10952" t="str">
        <v>-</v>
      </c>
      <c r="G10952" t="str">
        <v>-</v>
      </c>
    </row>
    <row r="10953">
      <c r="A10953">
        <v>10952</v>
      </c>
      <c r="B10953" t="str">
        <v>UBND Ủy ban nhân dân xã Ngọc Liên  tỉnh Thanh Hóa</v>
      </c>
      <c r="C10953" t="str">
        <v>-</v>
      </c>
      <c r="D10953" t="str">
        <v>-</v>
      </c>
      <c r="E10953" t="str">
        <v>-</v>
      </c>
      <c r="F10953" t="str">
        <v>-</v>
      </c>
      <c r="G10953" t="str">
        <v>-</v>
      </c>
    </row>
    <row r="10954">
      <c r="A10954">
        <v>10953</v>
      </c>
      <c r="B10954" t="str">
        <v>Công an xã Ngọc Sơn  tỉnh Thanh Hóa</v>
      </c>
      <c r="C10954" t="str">
        <v>-</v>
      </c>
      <c r="D10954" t="str">
        <v>-</v>
      </c>
      <c r="E10954" t="str">
        <v/>
      </c>
      <c r="F10954" t="str">
        <v>-</v>
      </c>
      <c r="G10954" t="str">
        <v>-</v>
      </c>
    </row>
    <row r="10955">
      <c r="A10955">
        <v>10954</v>
      </c>
      <c r="B10955" t="str">
        <v>UBND Ủy ban nhân dân xã Ngọc Sơn  tỉnh Thanh Hóa</v>
      </c>
      <c r="C10955" t="str">
        <v>-</v>
      </c>
      <c r="D10955" t="str">
        <v>-</v>
      </c>
      <c r="E10955" t="str">
        <v>-</v>
      </c>
      <c r="F10955" t="str">
        <v>-</v>
      </c>
      <c r="G10955" t="str">
        <v>-</v>
      </c>
    </row>
    <row r="10956">
      <c r="A10956">
        <v>10955</v>
      </c>
      <c r="B10956" t="str">
        <v>Công an xã Lộc Thịnh  tỉnh Thanh Hóa</v>
      </c>
      <c r="C10956" t="str">
        <v>-</v>
      </c>
      <c r="D10956" t="str">
        <v>-</v>
      </c>
      <c r="E10956" t="str">
        <v/>
      </c>
      <c r="F10956" t="str">
        <v>-</v>
      </c>
      <c r="G10956" t="str">
        <v>-</v>
      </c>
    </row>
    <row r="10957">
      <c r="A10957">
        <v>10956</v>
      </c>
      <c r="B10957" t="str">
        <v>UBND Ủy ban nhân dân xã Lộc Thịnh  tỉnh Thanh Hóa</v>
      </c>
      <c r="C10957" t="str">
        <v>-</v>
      </c>
      <c r="D10957" t="str">
        <v>-</v>
      </c>
      <c r="E10957" t="str">
        <v>-</v>
      </c>
      <c r="F10957" t="str">
        <v>-</v>
      </c>
      <c r="G10957" t="str">
        <v>-</v>
      </c>
    </row>
    <row r="10958">
      <c r="A10958">
        <v>10957</v>
      </c>
      <c r="B10958" t="str">
        <v>Công an xã Cao Thịnh  tỉnh Thanh Hóa</v>
      </c>
      <c r="C10958" t="str">
        <v>-</v>
      </c>
      <c r="D10958" t="str">
        <v>-</v>
      </c>
      <c r="E10958" t="str">
        <v/>
      </c>
      <c r="F10958" t="str">
        <v>-</v>
      </c>
      <c r="G10958" t="str">
        <v>-</v>
      </c>
    </row>
    <row r="10959">
      <c r="A10959">
        <v>10958</v>
      </c>
      <c r="B10959" t="str">
        <v>UBND Ủy ban nhân dân xã Cao Thịnh  tỉnh Thanh Hóa</v>
      </c>
      <c r="C10959" t="str">
        <v>-</v>
      </c>
      <c r="D10959" t="str">
        <v>-</v>
      </c>
      <c r="E10959" t="str">
        <v>-</v>
      </c>
      <c r="F10959" t="str">
        <v>-</v>
      </c>
      <c r="G10959" t="str">
        <v>-</v>
      </c>
    </row>
    <row r="10960">
      <c r="A10960">
        <v>10959</v>
      </c>
      <c r="B10960" t="str">
        <v>Công an xã Ngọc Trung  tỉnh Thanh Hóa</v>
      </c>
      <c r="C10960" t="str">
        <v>-</v>
      </c>
      <c r="D10960" t="str">
        <v>-</v>
      </c>
      <c r="E10960" t="str">
        <v/>
      </c>
      <c r="F10960" t="str">
        <v>-</v>
      </c>
      <c r="G10960" t="str">
        <v>-</v>
      </c>
    </row>
    <row r="10961">
      <c r="A10961">
        <v>10960</v>
      </c>
      <c r="B10961" t="str">
        <v>UBND Ủy ban nhân dân xã Ngọc Trung  tỉnh Thanh Hóa</v>
      </c>
      <c r="C10961" t="str">
        <v>-</v>
      </c>
      <c r="D10961" t="str">
        <v>-</v>
      </c>
      <c r="E10961" t="str">
        <v>-</v>
      </c>
      <c r="F10961" t="str">
        <v>-</v>
      </c>
      <c r="G10961" t="str">
        <v>-</v>
      </c>
    </row>
    <row r="10962">
      <c r="A10962">
        <v>10961</v>
      </c>
      <c r="B10962" t="str">
        <v>Công an xã Phùng Giáo  tỉnh Thanh Hóa</v>
      </c>
      <c r="C10962" t="str">
        <v>-</v>
      </c>
      <c r="D10962" t="str">
        <v>-</v>
      </c>
      <c r="E10962" t="str">
        <v/>
      </c>
      <c r="F10962" t="str">
        <v>-</v>
      </c>
      <c r="G10962" t="str">
        <v>-</v>
      </c>
    </row>
    <row r="10963">
      <c r="A10963">
        <v>10962</v>
      </c>
      <c r="B10963" t="str">
        <v>UBND Ủy ban nhân dân xã Phùng Giáo  tỉnh Thanh Hóa</v>
      </c>
      <c r="C10963" t="str">
        <v>-</v>
      </c>
      <c r="D10963" t="str">
        <v>-</v>
      </c>
      <c r="E10963" t="str">
        <v>-</v>
      </c>
      <c r="F10963" t="str">
        <v>-</v>
      </c>
      <c r="G10963" t="str">
        <v>-</v>
      </c>
    </row>
    <row r="10964">
      <c r="A10964">
        <v>10963</v>
      </c>
      <c r="B10964" t="str">
        <v>Công an xã Phùng Minh  tỉnh Thanh Hóa</v>
      </c>
      <c r="C10964" t="str">
        <v>-</v>
      </c>
      <c r="D10964" t="str">
        <v>-</v>
      </c>
      <c r="E10964" t="str">
        <v/>
      </c>
      <c r="F10964" t="str">
        <v>-</v>
      </c>
      <c r="G10964" t="str">
        <v>-</v>
      </c>
    </row>
    <row r="10965">
      <c r="A10965">
        <v>10964</v>
      </c>
      <c r="B10965" t="str">
        <v>UBND Ủy ban nhân dân xã Phùng Minh  tỉnh Thanh Hóa</v>
      </c>
      <c r="C10965" t="str">
        <v>-</v>
      </c>
      <c r="D10965" t="str">
        <v>-</v>
      </c>
      <c r="E10965" t="str">
        <v>-</v>
      </c>
      <c r="F10965" t="str">
        <v>-</v>
      </c>
      <c r="G10965" t="str">
        <v>-</v>
      </c>
    </row>
    <row r="10966">
      <c r="A10966">
        <v>10965</v>
      </c>
      <c r="B10966" t="str">
        <v>Công an xã Phúc Thịnh  tỉnh Thanh Hóa</v>
      </c>
      <c r="C10966" t="str">
        <v>-</v>
      </c>
      <c r="D10966" t="str">
        <v>-</v>
      </c>
      <c r="E10966" t="str">
        <v/>
      </c>
      <c r="F10966" t="str">
        <v>-</v>
      </c>
      <c r="G10966" t="str">
        <v>-</v>
      </c>
    </row>
    <row r="10967">
      <c r="A10967">
        <v>10966</v>
      </c>
      <c r="B10967" t="str">
        <v>UBND Ủy ban nhân dân xã Phúc Thịnh  tỉnh Thanh Hóa</v>
      </c>
      <c r="C10967" t="str">
        <v>-</v>
      </c>
      <c r="D10967" t="str">
        <v>-</v>
      </c>
      <c r="E10967" t="str">
        <v>-</v>
      </c>
      <c r="F10967" t="str">
        <v>-</v>
      </c>
      <c r="G10967" t="str">
        <v>-</v>
      </c>
    </row>
    <row r="10968">
      <c r="A10968">
        <v>10967</v>
      </c>
      <c r="B10968" t="str">
        <v>Công an xã Nguyệt Ấn  tỉnh Thanh Hóa</v>
      </c>
      <c r="C10968" t="str">
        <v>-</v>
      </c>
      <c r="D10968" t="str">
        <v>-</v>
      </c>
      <c r="E10968" t="str">
        <v/>
      </c>
      <c r="F10968" t="str">
        <v>-</v>
      </c>
      <c r="G10968" t="str">
        <v>-</v>
      </c>
    </row>
    <row r="10969">
      <c r="A10969">
        <v>10968</v>
      </c>
      <c r="B10969" t="str">
        <v>UBND Ủy ban nhân dân xã Nguyệt Ấn  tỉnh Thanh Hóa</v>
      </c>
      <c r="C10969" t="str">
        <v>-</v>
      </c>
      <c r="D10969" t="str">
        <v>-</v>
      </c>
      <c r="E10969" t="str">
        <v>-</v>
      </c>
      <c r="F10969" t="str">
        <v>-</v>
      </c>
      <c r="G10969" t="str">
        <v>-</v>
      </c>
    </row>
    <row r="10970">
      <c r="A10970">
        <v>10969</v>
      </c>
      <c r="B10970" t="str">
        <v>Công an xã Kiên Thọ  tỉnh Thanh Hóa</v>
      </c>
      <c r="C10970" t="str">
        <v>-</v>
      </c>
      <c r="D10970" t="str">
        <v>-</v>
      </c>
      <c r="E10970" t="str">
        <v/>
      </c>
      <c r="F10970" t="str">
        <v>-</v>
      </c>
      <c r="G10970" t="str">
        <v>-</v>
      </c>
    </row>
    <row r="10971">
      <c r="A10971">
        <v>10970</v>
      </c>
      <c r="B10971" t="str">
        <v>UBND Ủy ban nhân dân xã Kiên Thọ  tỉnh Thanh Hóa</v>
      </c>
      <c r="C10971" t="str">
        <v>-</v>
      </c>
      <c r="D10971" t="str">
        <v>-</v>
      </c>
      <c r="E10971" t="str">
        <v>-</v>
      </c>
      <c r="F10971" t="str">
        <v>-</v>
      </c>
      <c r="G10971" t="str">
        <v>-</v>
      </c>
    </row>
    <row r="10972">
      <c r="A10972">
        <v>10971</v>
      </c>
      <c r="B10972" t="str">
        <v>Công an xã Minh Tiến  tỉnh Thanh Hóa</v>
      </c>
      <c r="C10972" t="str">
        <v>-</v>
      </c>
      <c r="D10972" t="str">
        <v>-</v>
      </c>
      <c r="E10972" t="str">
        <v/>
      </c>
      <c r="F10972" t="str">
        <v>-</v>
      </c>
      <c r="G10972" t="str">
        <v>-</v>
      </c>
    </row>
    <row r="10973">
      <c r="A10973">
        <v>10972</v>
      </c>
      <c r="B10973" t="str">
        <v>UBND Ủy ban nhân dân xã Minh Tiến  tỉnh Thanh Hóa</v>
      </c>
      <c r="C10973" t="str">
        <v>-</v>
      </c>
      <c r="D10973" t="str">
        <v>-</v>
      </c>
      <c r="E10973" t="str">
        <v>-</v>
      </c>
      <c r="F10973" t="str">
        <v>-</v>
      </c>
      <c r="G10973" t="str">
        <v>-</v>
      </c>
    </row>
    <row r="10974">
      <c r="A10974">
        <v>10973</v>
      </c>
      <c r="B10974" t="str">
        <v>Công an xã Minh Sơn  tỉnh Thanh Hóa</v>
      </c>
      <c r="C10974" t="str">
        <v>-</v>
      </c>
      <c r="D10974" t="str">
        <v>-</v>
      </c>
      <c r="E10974" t="str">
        <v/>
      </c>
      <c r="F10974" t="str">
        <v>-</v>
      </c>
      <c r="G10974" t="str">
        <v>-</v>
      </c>
    </row>
    <row r="10975">
      <c r="A10975">
        <v>10974</v>
      </c>
      <c r="B10975" t="str">
        <v>UBND Ủy ban nhân dân xã Minh Sơn  tỉnh Thanh Hóa</v>
      </c>
      <c r="C10975" t="str">
        <v>-</v>
      </c>
      <c r="D10975" t="str">
        <v>-</v>
      </c>
      <c r="E10975" t="str">
        <v>-</v>
      </c>
      <c r="F10975" t="str">
        <v>-</v>
      </c>
      <c r="G10975" t="str">
        <v>-</v>
      </c>
    </row>
    <row r="10976">
      <c r="A10976">
        <v>10975</v>
      </c>
      <c r="B10976" t="str">
        <v>Công an thị trấn Cẩm Thủy  tỉnh Thanh Hóa</v>
      </c>
      <c r="C10976" t="str">
        <v>-</v>
      </c>
      <c r="D10976" t="str">
        <v>-</v>
      </c>
      <c r="E10976" t="str">
        <v/>
      </c>
      <c r="F10976" t="str">
        <v>-</v>
      </c>
      <c r="G10976" t="str">
        <v>-</v>
      </c>
    </row>
    <row r="10977">
      <c r="A10977">
        <v>10976</v>
      </c>
      <c r="B10977" t="str">
        <v>UBND Ủy ban nhân dân thị trấn Cẩm Thủy  tỉnh Thanh Hóa</v>
      </c>
      <c r="C10977" t="str">
        <v>-</v>
      </c>
      <c r="D10977" t="str">
        <v>-</v>
      </c>
      <c r="E10977" t="str">
        <v>-</v>
      </c>
      <c r="F10977" t="str">
        <v>-</v>
      </c>
      <c r="G10977" t="str">
        <v>-</v>
      </c>
    </row>
    <row r="10978">
      <c r="A10978">
        <v>10977</v>
      </c>
      <c r="B10978" t="str">
        <v>Công an xã Phúc Do  tỉnh Thanh Hóa</v>
      </c>
      <c r="C10978" t="str">
        <v>-</v>
      </c>
      <c r="D10978" t="str">
        <v>-</v>
      </c>
      <c r="E10978" t="str">
        <v/>
      </c>
      <c r="F10978" t="str">
        <v>-</v>
      </c>
      <c r="G10978" t="str">
        <v>-</v>
      </c>
    </row>
    <row r="10979">
      <c r="A10979">
        <v>10978</v>
      </c>
      <c r="B10979" t="str">
        <v>UBND Ủy ban nhân dân xã Phúc Do  tỉnh Thanh Hóa</v>
      </c>
      <c r="C10979" t="str">
        <v>-</v>
      </c>
      <c r="D10979" t="str">
        <v>-</v>
      </c>
      <c r="E10979" t="str">
        <v>-</v>
      </c>
      <c r="F10979" t="str">
        <v>-</v>
      </c>
      <c r="G10979" t="str">
        <v>-</v>
      </c>
    </row>
    <row r="10980">
      <c r="A10980">
        <v>10979</v>
      </c>
      <c r="B10980" t="str">
        <v>Công an xã Cẩm Thành  tỉnh Thanh Hóa</v>
      </c>
      <c r="C10980" t="str">
        <v>-</v>
      </c>
      <c r="D10980" t="str">
        <v>-</v>
      </c>
      <c r="E10980" t="str">
        <v/>
      </c>
      <c r="F10980" t="str">
        <v>-</v>
      </c>
      <c r="G10980" t="str">
        <v>-</v>
      </c>
    </row>
    <row r="10981">
      <c r="A10981">
        <v>10980</v>
      </c>
      <c r="B10981" t="str">
        <v>UBND Ủy ban nhân dân xã Cẩm Thành  tỉnh Thanh Hóa</v>
      </c>
      <c r="C10981" t="str">
        <v>-</v>
      </c>
      <c r="D10981" t="str">
        <v>-</v>
      </c>
      <c r="E10981" t="str">
        <v>-</v>
      </c>
      <c r="F10981" t="str">
        <v>-</v>
      </c>
      <c r="G10981" t="str">
        <v>-</v>
      </c>
    </row>
    <row r="10982">
      <c r="A10982">
        <v>10981</v>
      </c>
      <c r="B10982" t="str">
        <v>Công an xã Cẩm Quý  tỉnh Thanh Hóa</v>
      </c>
      <c r="C10982" t="str">
        <v>-</v>
      </c>
      <c r="D10982" t="str">
        <v>-</v>
      </c>
      <c r="E10982" t="str">
        <v/>
      </c>
      <c r="F10982" t="str">
        <v>-</v>
      </c>
      <c r="G10982" t="str">
        <v>-</v>
      </c>
    </row>
    <row r="10983">
      <c r="A10983">
        <v>10982</v>
      </c>
      <c r="B10983" t="str">
        <v>UBND Ủy ban nhân dân xã Cẩm Quý  tỉnh Thanh Hóa</v>
      </c>
      <c r="C10983" t="str">
        <v>-</v>
      </c>
      <c r="D10983" t="str">
        <v>-</v>
      </c>
      <c r="E10983" t="str">
        <v>-</v>
      </c>
      <c r="F10983" t="str">
        <v>-</v>
      </c>
      <c r="G10983" t="str">
        <v>-</v>
      </c>
    </row>
    <row r="10984">
      <c r="A10984">
        <v>10983</v>
      </c>
      <c r="B10984" t="str">
        <v>Công an xã Cẩm Lương  tỉnh Thanh Hóa</v>
      </c>
      <c r="C10984" t="str">
        <v>-</v>
      </c>
      <c r="D10984" t="str">
        <v>-</v>
      </c>
      <c r="E10984" t="str">
        <v/>
      </c>
      <c r="F10984" t="str">
        <v>-</v>
      </c>
      <c r="G10984" t="str">
        <v>-</v>
      </c>
    </row>
    <row r="10985">
      <c r="A10985">
        <v>10984</v>
      </c>
      <c r="B10985" t="str">
        <v>UBND Ủy ban nhân dân xã Cẩm Lương  tỉnh Thanh Hóa</v>
      </c>
      <c r="C10985" t="str">
        <v>-</v>
      </c>
      <c r="D10985" t="str">
        <v>-</v>
      </c>
      <c r="E10985" t="str">
        <v>-</v>
      </c>
      <c r="F10985" t="str">
        <v>-</v>
      </c>
      <c r="G10985" t="str">
        <v>-</v>
      </c>
    </row>
    <row r="10986">
      <c r="A10986">
        <v>10985</v>
      </c>
      <c r="B10986" t="str">
        <v>Công an xã Cẩm Thạch  tỉnh Thanh Hóa</v>
      </c>
      <c r="C10986" t="str">
        <v>-</v>
      </c>
      <c r="D10986" t="str">
        <v>-</v>
      </c>
      <c r="E10986" t="str">
        <v/>
      </c>
      <c r="F10986" t="str">
        <v>-</v>
      </c>
      <c r="G10986" t="str">
        <v>-</v>
      </c>
    </row>
    <row r="10987">
      <c r="A10987">
        <v>10986</v>
      </c>
      <c r="B10987" t="str">
        <v>UBND Ủy ban nhân dân xã Cẩm Thạch  tỉnh Thanh Hóa</v>
      </c>
      <c r="C10987" t="str">
        <v>-</v>
      </c>
      <c r="D10987" t="str">
        <v>-</v>
      </c>
      <c r="E10987" t="str">
        <v>-</v>
      </c>
      <c r="F10987" t="str">
        <v>-</v>
      </c>
      <c r="G10987" t="str">
        <v>-</v>
      </c>
    </row>
    <row r="10988">
      <c r="A10988">
        <v>10987</v>
      </c>
      <c r="B10988" t="str">
        <v>Công an xã Cẩm Liên  tỉnh Thanh Hóa</v>
      </c>
      <c r="C10988" t="str">
        <v>-</v>
      </c>
      <c r="D10988" t="str">
        <v>-</v>
      </c>
      <c r="E10988" t="str">
        <v/>
      </c>
      <c r="F10988" t="str">
        <v>-</v>
      </c>
      <c r="G10988" t="str">
        <v>-</v>
      </c>
    </row>
    <row r="10989">
      <c r="A10989">
        <v>10988</v>
      </c>
      <c r="B10989" t="str">
        <v>UBND Ủy ban nhân dân xã Cẩm Liên  tỉnh Thanh Hóa</v>
      </c>
      <c r="C10989" t="str">
        <v>-</v>
      </c>
      <c r="D10989" t="str">
        <v>-</v>
      </c>
      <c r="E10989" t="str">
        <v>-</v>
      </c>
      <c r="F10989" t="str">
        <v>-</v>
      </c>
      <c r="G10989" t="str">
        <v>-</v>
      </c>
    </row>
    <row r="10990">
      <c r="A10990">
        <v>10989</v>
      </c>
      <c r="B10990" t="str">
        <v>Công an xã Cẩm Giang  tỉnh Thanh Hóa</v>
      </c>
      <c r="C10990" t="str">
        <v>-</v>
      </c>
      <c r="D10990" t="str">
        <v>-</v>
      </c>
      <c r="E10990" t="str">
        <v/>
      </c>
      <c r="F10990" t="str">
        <v>-</v>
      </c>
      <c r="G10990" t="str">
        <v>-</v>
      </c>
    </row>
    <row r="10991">
      <c r="A10991">
        <v>10990</v>
      </c>
      <c r="B10991" t="str">
        <v>UBND Ủy ban nhân dân xã Cẩm Giang  tỉnh Thanh Hóa</v>
      </c>
      <c r="C10991" t="str">
        <v>-</v>
      </c>
      <c r="D10991" t="str">
        <v>-</v>
      </c>
      <c r="E10991" t="str">
        <v>-</v>
      </c>
      <c r="F10991" t="str">
        <v>-</v>
      </c>
      <c r="G10991" t="str">
        <v>-</v>
      </c>
    </row>
    <row r="10992">
      <c r="A10992">
        <v>10991</v>
      </c>
      <c r="B10992" t="str">
        <v>Công an xã Cẩm Bình  tỉnh Thanh Hóa</v>
      </c>
      <c r="C10992" t="str">
        <v>-</v>
      </c>
      <c r="D10992" t="str">
        <v>-</v>
      </c>
      <c r="E10992" t="str">
        <v/>
      </c>
      <c r="F10992" t="str">
        <v>-</v>
      </c>
      <c r="G10992" t="str">
        <v>-</v>
      </c>
    </row>
    <row r="10993">
      <c r="A10993">
        <v>10992</v>
      </c>
      <c r="B10993" t="str">
        <v>UBND Ủy ban nhân dân xã Cẩm Bình  tỉnh Thanh Hóa</v>
      </c>
      <c r="C10993" t="str">
        <v>-</v>
      </c>
      <c r="D10993" t="str">
        <v>-</v>
      </c>
      <c r="E10993" t="str">
        <v>-</v>
      </c>
      <c r="F10993" t="str">
        <v>-</v>
      </c>
      <c r="G10993" t="str">
        <v>-</v>
      </c>
    </row>
    <row r="10994">
      <c r="A10994">
        <v>10993</v>
      </c>
      <c r="B10994" t="str">
        <v>Công an xã Cẩm Tú  tỉnh Thanh Hóa</v>
      </c>
      <c r="C10994" t="str">
        <v>-</v>
      </c>
      <c r="D10994" t="str">
        <v>-</v>
      </c>
      <c r="E10994" t="str">
        <v/>
      </c>
      <c r="F10994" t="str">
        <v>-</v>
      </c>
      <c r="G10994" t="str">
        <v>-</v>
      </c>
    </row>
    <row r="10995">
      <c r="A10995">
        <v>10994</v>
      </c>
      <c r="B10995" t="str">
        <v>UBND Ủy ban nhân dân xã Cẩm Tú  tỉnh Thanh Hóa</v>
      </c>
      <c r="C10995" t="str">
        <v>-</v>
      </c>
      <c r="D10995" t="str">
        <v>-</v>
      </c>
      <c r="E10995" t="str">
        <v>-</v>
      </c>
      <c r="F10995" t="str">
        <v>-</v>
      </c>
      <c r="G10995" t="str">
        <v>-</v>
      </c>
    </row>
    <row r="10996">
      <c r="A10996">
        <v>10995</v>
      </c>
      <c r="B10996" t="str">
        <v>Công an xã Cẩm Sơn  tỉnh Thanh Hóa</v>
      </c>
      <c r="C10996" t="str">
        <v>-</v>
      </c>
      <c r="D10996" t="str">
        <v>-</v>
      </c>
      <c r="E10996" t="str">
        <v/>
      </c>
      <c r="F10996" t="str">
        <v>-</v>
      </c>
      <c r="G10996" t="str">
        <v>-</v>
      </c>
    </row>
    <row r="10997">
      <c r="A10997">
        <v>10996</v>
      </c>
      <c r="B10997" t="str">
        <v>UBND Ủy ban nhân dân xã Cẩm Sơn  tỉnh Thanh Hóa</v>
      </c>
      <c r="C10997" t="str">
        <v>-</v>
      </c>
      <c r="D10997" t="str">
        <v>-</v>
      </c>
      <c r="E10997" t="str">
        <v>-</v>
      </c>
      <c r="F10997" t="str">
        <v>-</v>
      </c>
      <c r="G10997" t="str">
        <v>-</v>
      </c>
    </row>
    <row r="10998">
      <c r="A10998">
        <v>10997</v>
      </c>
      <c r="B10998" t="str">
        <v>Công an xã Cẩm Châu  tỉnh Thanh Hóa</v>
      </c>
      <c r="C10998" t="str">
        <v>-</v>
      </c>
      <c r="D10998" t="str">
        <v>-</v>
      </c>
      <c r="E10998" t="str">
        <v/>
      </c>
      <c r="F10998" t="str">
        <v>-</v>
      </c>
      <c r="G10998" t="str">
        <v>-</v>
      </c>
    </row>
    <row r="10999">
      <c r="A10999">
        <v>10998</v>
      </c>
      <c r="B10999" t="str">
        <v>UBND Ủy ban nhân dân xã Cẩm Châu  tỉnh Thanh Hóa</v>
      </c>
      <c r="C10999" t="str">
        <v>-</v>
      </c>
      <c r="D10999" t="str">
        <v>-</v>
      </c>
      <c r="E10999" t="str">
        <v>-</v>
      </c>
      <c r="F10999" t="str">
        <v>-</v>
      </c>
      <c r="G10999" t="str">
        <v>-</v>
      </c>
    </row>
    <row r="11000">
      <c r="A11000">
        <v>10999</v>
      </c>
      <c r="B11000" t="str">
        <v>Công an xã Cẩm Tâm  tỉnh Thanh Hóa</v>
      </c>
      <c r="C11000" t="str">
        <v>-</v>
      </c>
      <c r="D11000" t="str">
        <v>-</v>
      </c>
      <c r="E11000" t="str">
        <v/>
      </c>
      <c r="F11000" t="str">
        <v>-</v>
      </c>
      <c r="G11000" t="str">
        <v>-</v>
      </c>
    </row>
    <row r="11001">
      <c r="A11001">
        <v>11000</v>
      </c>
      <c r="B11001" t="str">
        <v>UBND Ủy ban nhân dân xã Cẩm Tâm  tỉnh Thanh Hóa</v>
      </c>
      <c r="C11001" t="str">
        <v>-</v>
      </c>
      <c r="D11001" t="str">
        <v>-</v>
      </c>
      <c r="E11001" t="str">
        <v>-</v>
      </c>
      <c r="F11001" t="str">
        <v>-</v>
      </c>
      <c r="G11001" t="str">
        <v>-</v>
      </c>
    </row>
    <row r="11002">
      <c r="A11002">
        <v>11001</v>
      </c>
      <c r="B11002" t="str">
        <v>Công an xã Cẩm Phong  tỉnh Thanh Hóa</v>
      </c>
      <c r="C11002" t="str">
        <v>-</v>
      </c>
      <c r="D11002" t="str">
        <v>-</v>
      </c>
      <c r="E11002" t="str">
        <v/>
      </c>
      <c r="F11002" t="str">
        <v>-</v>
      </c>
      <c r="G11002" t="str">
        <v>-</v>
      </c>
    </row>
    <row r="11003">
      <c r="A11003">
        <v>11002</v>
      </c>
      <c r="B11003" t="str">
        <v>UBND Ủy ban nhân dân xã Cẩm Phong  tỉnh Thanh Hóa</v>
      </c>
      <c r="C11003" t="str">
        <v>-</v>
      </c>
      <c r="D11003" t="str">
        <v>-</v>
      </c>
      <c r="E11003" t="str">
        <v>-</v>
      </c>
      <c r="F11003" t="str">
        <v>-</v>
      </c>
      <c r="G11003" t="str">
        <v>-</v>
      </c>
    </row>
    <row r="11004">
      <c r="A11004">
        <v>11003</v>
      </c>
      <c r="B11004" t="str">
        <v>Công an xã Cẩm Ngọc  tỉnh Thanh Hóa</v>
      </c>
      <c r="C11004" t="str">
        <v>-</v>
      </c>
      <c r="D11004" t="str">
        <v>-</v>
      </c>
      <c r="E11004" t="str">
        <v/>
      </c>
      <c r="F11004" t="str">
        <v>-</v>
      </c>
      <c r="G11004" t="str">
        <v>-</v>
      </c>
    </row>
    <row r="11005">
      <c r="A11005">
        <v>11004</v>
      </c>
      <c r="B11005" t="str">
        <v>UBND Ủy ban nhân dân xã Cẩm Ngọc  tỉnh Thanh Hóa</v>
      </c>
      <c r="C11005" t="str">
        <v>-</v>
      </c>
      <c r="D11005" t="str">
        <v>-</v>
      </c>
      <c r="E11005" t="str">
        <v>-</v>
      </c>
      <c r="F11005" t="str">
        <v>-</v>
      </c>
      <c r="G11005" t="str">
        <v>-</v>
      </c>
    </row>
    <row r="11006">
      <c r="A11006">
        <v>11005</v>
      </c>
      <c r="B11006" t="str">
        <v>Công an xã Cẩm Long  tỉnh Thanh Hóa</v>
      </c>
      <c r="C11006" t="str">
        <v>-</v>
      </c>
      <c r="D11006" t="str">
        <v>-</v>
      </c>
      <c r="E11006" t="str">
        <v/>
      </c>
      <c r="F11006" t="str">
        <v>-</v>
      </c>
      <c r="G11006" t="str">
        <v>-</v>
      </c>
    </row>
    <row r="11007">
      <c r="A11007">
        <v>11006</v>
      </c>
      <c r="B11007" t="str">
        <v>UBND Ủy ban nhân dân xã Cẩm Long  tỉnh Thanh Hóa</v>
      </c>
      <c r="C11007" t="str">
        <v>-</v>
      </c>
      <c r="D11007" t="str">
        <v>-</v>
      </c>
      <c r="E11007" t="str">
        <v>-</v>
      </c>
      <c r="F11007" t="str">
        <v>-</v>
      </c>
      <c r="G11007" t="str">
        <v>-</v>
      </c>
    </row>
    <row r="11008">
      <c r="A11008">
        <v>11007</v>
      </c>
      <c r="B11008" t="str">
        <v>Công an xã Cẩm Yên  tỉnh Thanh Hóa</v>
      </c>
      <c r="C11008" t="str">
        <v>-</v>
      </c>
      <c r="D11008" t="str">
        <v>-</v>
      </c>
      <c r="E11008" t="str">
        <v/>
      </c>
      <c r="F11008" t="str">
        <v>-</v>
      </c>
      <c r="G11008" t="str">
        <v>-</v>
      </c>
    </row>
    <row r="11009">
      <c r="A11009">
        <v>11008</v>
      </c>
      <c r="B11009" t="str">
        <v>UBND Ủy ban nhân dân xã Cẩm Yên  tỉnh Thanh Hóa</v>
      </c>
      <c r="C11009" t="str">
        <v>-</v>
      </c>
      <c r="D11009" t="str">
        <v>-</v>
      </c>
      <c r="E11009" t="str">
        <v>-</v>
      </c>
      <c r="F11009" t="str">
        <v>-</v>
      </c>
      <c r="G11009" t="str">
        <v>-</v>
      </c>
    </row>
    <row r="11010">
      <c r="A11010">
        <v>11009</v>
      </c>
      <c r="B11010" t="str">
        <v>Công an xã Cẩm Tân  tỉnh Thanh Hóa</v>
      </c>
      <c r="C11010" t="str">
        <v>-</v>
      </c>
      <c r="D11010" t="str">
        <v>-</v>
      </c>
      <c r="E11010" t="str">
        <v/>
      </c>
      <c r="F11010" t="str">
        <v>-</v>
      </c>
      <c r="G11010" t="str">
        <v>-</v>
      </c>
    </row>
    <row r="11011">
      <c r="A11011">
        <v>11010</v>
      </c>
      <c r="B11011" t="str">
        <v>UBND Ủy ban nhân dân xã Cẩm Tân  tỉnh Thanh Hóa</v>
      </c>
      <c r="C11011" t="str">
        <v>-</v>
      </c>
      <c r="D11011" t="str">
        <v>-</v>
      </c>
      <c r="E11011" t="str">
        <v>-</v>
      </c>
      <c r="F11011" t="str">
        <v>-</v>
      </c>
      <c r="G11011" t="str">
        <v>-</v>
      </c>
    </row>
    <row r="11012">
      <c r="A11012">
        <v>11011</v>
      </c>
      <c r="B11012" t="str">
        <v>Công an xã Cẩm Phú  tỉnh Thanh Hóa</v>
      </c>
      <c r="C11012" t="str">
        <v>-</v>
      </c>
      <c r="D11012" t="str">
        <v>-</v>
      </c>
      <c r="E11012" t="str">
        <v/>
      </c>
      <c r="F11012" t="str">
        <v>-</v>
      </c>
      <c r="G11012" t="str">
        <v>-</v>
      </c>
    </row>
    <row r="11013">
      <c r="A11013">
        <v>11012</v>
      </c>
      <c r="B11013" t="str">
        <v>UBND Ủy ban nhân dân xã Cẩm Phú  tỉnh Thanh Hóa</v>
      </c>
      <c r="C11013" t="str">
        <v>-</v>
      </c>
      <c r="D11013" t="str">
        <v>-</v>
      </c>
      <c r="E11013" t="str">
        <v>-</v>
      </c>
      <c r="F11013" t="str">
        <v>-</v>
      </c>
      <c r="G11013" t="str">
        <v>-</v>
      </c>
    </row>
    <row r="11014">
      <c r="A11014">
        <v>11013</v>
      </c>
      <c r="B11014" t="str">
        <v>Công an xã Cẩm Vân  tỉnh Thanh Hóa</v>
      </c>
      <c r="C11014" t="str">
        <v>-</v>
      </c>
      <c r="D11014" t="str">
        <v>-</v>
      </c>
      <c r="E11014" t="str">
        <v/>
      </c>
      <c r="F11014" t="str">
        <v>-</v>
      </c>
      <c r="G11014" t="str">
        <v>-</v>
      </c>
    </row>
    <row r="11015">
      <c r="A11015">
        <v>11014</v>
      </c>
      <c r="B11015" t="str">
        <v>UBND Ủy ban nhân dân xã Cẩm Vân  tỉnh Thanh Hóa</v>
      </c>
      <c r="C11015" t="str">
        <v>-</v>
      </c>
      <c r="D11015" t="str">
        <v>-</v>
      </c>
      <c r="E11015" t="str">
        <v>-</v>
      </c>
      <c r="F11015" t="str">
        <v>-</v>
      </c>
      <c r="G11015" t="str">
        <v>-</v>
      </c>
    </row>
    <row r="11016">
      <c r="A11016">
        <v>11015</v>
      </c>
      <c r="B11016" t="str">
        <v>Công an thị trấn Kim Tân  tỉnh Thanh Hóa</v>
      </c>
      <c r="C11016" t="str">
        <v>-</v>
      </c>
      <c r="D11016" t="str">
        <v>-</v>
      </c>
      <c r="E11016" t="str">
        <v/>
      </c>
      <c r="F11016" t="str">
        <v>-</v>
      </c>
      <c r="G11016" t="str">
        <v>-</v>
      </c>
    </row>
    <row r="11017">
      <c r="A11017">
        <v>11016</v>
      </c>
      <c r="B11017" t="str">
        <v>UBND Ủy ban nhân dân thị trấn Kim Tân  tỉnh Thanh Hóa</v>
      </c>
      <c r="C11017" t="str">
        <v>-</v>
      </c>
      <c r="D11017" t="str">
        <v>-</v>
      </c>
      <c r="E11017" t="str">
        <v>-</v>
      </c>
      <c r="F11017" t="str">
        <v>-</v>
      </c>
      <c r="G11017" t="str">
        <v>-</v>
      </c>
    </row>
    <row r="11018">
      <c r="A11018">
        <v>11017</v>
      </c>
      <c r="B11018" t="str">
        <v>Công an thị trấn Vân Du  tỉnh Thanh Hóa</v>
      </c>
      <c r="C11018" t="str">
        <v>-</v>
      </c>
      <c r="D11018" t="str">
        <v>-</v>
      </c>
      <c r="E11018" t="str">
        <v/>
      </c>
      <c r="F11018" t="str">
        <v>-</v>
      </c>
      <c r="G11018" t="str">
        <v>-</v>
      </c>
    </row>
    <row r="11019">
      <c r="A11019">
        <v>11018</v>
      </c>
      <c r="B11019" t="str">
        <v>UBND Ủy ban nhân dân thị trấn Vân Du  tỉnh Thanh Hóa</v>
      </c>
      <c r="C11019" t="str">
        <v>-</v>
      </c>
      <c r="D11019" t="str">
        <v>-</v>
      </c>
      <c r="E11019" t="str">
        <v>-</v>
      </c>
      <c r="F11019" t="str">
        <v>-</v>
      </c>
      <c r="G11019" t="str">
        <v>-</v>
      </c>
    </row>
    <row r="11020">
      <c r="A11020">
        <v>11019</v>
      </c>
      <c r="B11020" t="str">
        <v>Công an xã Thạch Tân  tỉnh Thanh Hóa</v>
      </c>
      <c r="C11020" t="str">
        <v>-</v>
      </c>
      <c r="D11020" t="str">
        <v>-</v>
      </c>
      <c r="E11020" t="str">
        <v/>
      </c>
      <c r="F11020" t="str">
        <v>-</v>
      </c>
      <c r="G11020" t="str">
        <v>-</v>
      </c>
    </row>
    <row r="11021">
      <c r="A11021">
        <v>11020</v>
      </c>
      <c r="B11021" t="str">
        <v>UBND Ủy ban nhân dân xã Thạch Tân  tỉnh Thanh Hóa</v>
      </c>
      <c r="C11021" t="str">
        <v>-</v>
      </c>
      <c r="D11021" t="str">
        <v>-</v>
      </c>
      <c r="E11021" t="str">
        <v>-</v>
      </c>
      <c r="F11021" t="str">
        <v>-</v>
      </c>
      <c r="G11021" t="str">
        <v>-</v>
      </c>
    </row>
    <row r="11022">
      <c r="A11022">
        <v>11021</v>
      </c>
      <c r="B11022" t="str">
        <v>Công an xã Thạch Lâm  tỉnh Thanh Hóa</v>
      </c>
      <c r="C11022" t="str">
        <v>-</v>
      </c>
      <c r="D11022" t="str">
        <v>-</v>
      </c>
      <c r="E11022" t="str">
        <v/>
      </c>
      <c r="F11022" t="str">
        <v>-</v>
      </c>
      <c r="G11022" t="str">
        <v>-</v>
      </c>
    </row>
    <row r="11023">
      <c r="A11023">
        <v>11022</v>
      </c>
      <c r="B11023" t="str">
        <v>UBND Ủy ban nhân dân xã Thạch Lâm  tỉnh Thanh Hóa</v>
      </c>
      <c r="C11023" t="str">
        <v>-</v>
      </c>
      <c r="D11023" t="str">
        <v>-</v>
      </c>
      <c r="E11023" t="str">
        <v>-</v>
      </c>
      <c r="F11023" t="str">
        <v>-</v>
      </c>
      <c r="G11023" t="str">
        <v>-</v>
      </c>
    </row>
    <row r="11024">
      <c r="A11024">
        <v>11023</v>
      </c>
      <c r="B11024" t="str">
        <v>Công an xã Thạch Quảng  tỉnh Thanh Hóa</v>
      </c>
      <c r="C11024" t="str">
        <v>-</v>
      </c>
      <c r="D11024" t="str">
        <v>-</v>
      </c>
      <c r="E11024" t="str">
        <v/>
      </c>
      <c r="F11024" t="str">
        <v>-</v>
      </c>
      <c r="G11024" t="str">
        <v>-</v>
      </c>
    </row>
    <row r="11025">
      <c r="A11025">
        <v>11024</v>
      </c>
      <c r="B11025" t="str">
        <v>UBND Ủy ban nhân dân xã Thạch Quảng  tỉnh Thanh Hóa</v>
      </c>
      <c r="C11025" t="str">
        <v>-</v>
      </c>
      <c r="D11025" t="str">
        <v>-</v>
      </c>
      <c r="E11025" t="str">
        <v>-</v>
      </c>
      <c r="F11025" t="str">
        <v>-</v>
      </c>
      <c r="G11025" t="str">
        <v>-</v>
      </c>
    </row>
    <row r="11026">
      <c r="A11026">
        <v>11025</v>
      </c>
      <c r="B11026" t="str">
        <v>Công an xã Thạch Tượng  tỉnh Thanh Hóa</v>
      </c>
      <c r="C11026" t="str">
        <v>-</v>
      </c>
      <c r="D11026" t="str">
        <v>-</v>
      </c>
      <c r="E11026" t="str">
        <v/>
      </c>
      <c r="F11026" t="str">
        <v>-</v>
      </c>
      <c r="G11026" t="str">
        <v>-</v>
      </c>
    </row>
    <row r="11027">
      <c r="A11027">
        <v>11026</v>
      </c>
      <c r="B11027" t="str">
        <v>UBND Ủy ban nhân dân xã Thạch Tượng  tỉnh Thanh Hóa</v>
      </c>
      <c r="C11027" t="str">
        <v>-</v>
      </c>
      <c r="D11027" t="str">
        <v>-</v>
      </c>
      <c r="E11027" t="str">
        <v>-</v>
      </c>
      <c r="F11027" t="str">
        <v>-</v>
      </c>
      <c r="G11027" t="str">
        <v>-</v>
      </c>
    </row>
    <row r="11028">
      <c r="A11028">
        <v>11027</v>
      </c>
      <c r="B11028" t="str">
        <v>Công an xã Thạch Cẩm  tỉnh Thanh Hóa</v>
      </c>
      <c r="C11028" t="str">
        <v>-</v>
      </c>
      <c r="D11028" t="str">
        <v>-</v>
      </c>
      <c r="E11028" t="str">
        <v/>
      </c>
      <c r="F11028" t="str">
        <v>-</v>
      </c>
      <c r="G11028" t="str">
        <v>-</v>
      </c>
    </row>
    <row r="11029">
      <c r="A11029">
        <v>11028</v>
      </c>
      <c r="B11029" t="str">
        <v>UBND Ủy ban nhân dân xã Thạch Cẩm  tỉnh Thanh Hóa</v>
      </c>
      <c r="C11029" t="str">
        <v>-</v>
      </c>
      <c r="D11029" t="str">
        <v>-</v>
      </c>
      <c r="E11029" t="str">
        <v>-</v>
      </c>
      <c r="F11029" t="str">
        <v>-</v>
      </c>
      <c r="G11029" t="str">
        <v>-</v>
      </c>
    </row>
    <row r="11030">
      <c r="A11030">
        <v>11029</v>
      </c>
      <c r="B11030" t="str">
        <v>Công an xã Thạch Sơn  tỉnh Thanh Hóa</v>
      </c>
      <c r="C11030" t="str">
        <v>-</v>
      </c>
      <c r="D11030" t="str">
        <v>-</v>
      </c>
      <c r="E11030" t="str">
        <v/>
      </c>
      <c r="F11030" t="str">
        <v>-</v>
      </c>
      <c r="G11030" t="str">
        <v>-</v>
      </c>
    </row>
    <row r="11031">
      <c r="A11031">
        <v>11030</v>
      </c>
      <c r="B11031" t="str">
        <v>UBND Ủy ban nhân dân xã Thạch Sơn  tỉnh Thanh Hóa</v>
      </c>
      <c r="C11031" t="str">
        <v>-</v>
      </c>
      <c r="D11031" t="str">
        <v>-</v>
      </c>
      <c r="E11031" t="str">
        <v>-</v>
      </c>
      <c r="F11031" t="str">
        <v>-</v>
      </c>
      <c r="G11031" t="str">
        <v>-</v>
      </c>
    </row>
    <row r="11032">
      <c r="A11032">
        <v>11031</v>
      </c>
      <c r="B11032" t="str">
        <v>Công an xã Thạch Bình  tỉnh Thanh Hóa</v>
      </c>
      <c r="C11032" t="str">
        <v>-</v>
      </c>
      <c r="D11032" t="str">
        <v>-</v>
      </c>
      <c r="E11032" t="str">
        <v/>
      </c>
      <c r="F11032" t="str">
        <v>-</v>
      </c>
      <c r="G11032" t="str">
        <v>-</v>
      </c>
    </row>
    <row r="11033">
      <c r="A11033">
        <v>11032</v>
      </c>
      <c r="B11033" t="str">
        <v>UBND Ủy ban nhân dân xã Thạch Bình  tỉnh Thanh Hóa</v>
      </c>
      <c r="C11033" t="str">
        <v>-</v>
      </c>
      <c r="D11033" t="str">
        <v>-</v>
      </c>
      <c r="E11033" t="str">
        <v>-</v>
      </c>
      <c r="F11033" t="str">
        <v>-</v>
      </c>
      <c r="G11033" t="str">
        <v>-</v>
      </c>
    </row>
    <row r="11034">
      <c r="A11034">
        <v>11033</v>
      </c>
      <c r="B11034" t="str">
        <v>Công an xã Thạch Định  tỉnh Thanh Hóa</v>
      </c>
      <c r="C11034" t="str">
        <v>-</v>
      </c>
      <c r="D11034" t="str">
        <v>-</v>
      </c>
      <c r="E11034" t="str">
        <v/>
      </c>
      <c r="F11034" t="str">
        <v>-</v>
      </c>
      <c r="G11034" t="str">
        <v>-</v>
      </c>
    </row>
    <row r="11035">
      <c r="A11035">
        <v>11034</v>
      </c>
      <c r="B11035" t="str">
        <v>UBND Ủy ban nhân dân xã Thạch Định  tỉnh Thanh Hóa</v>
      </c>
      <c r="C11035" t="str">
        <v>-</v>
      </c>
      <c r="D11035" t="str">
        <v>-</v>
      </c>
      <c r="E11035" t="str">
        <v>-</v>
      </c>
      <c r="F11035" t="str">
        <v>-</v>
      </c>
      <c r="G11035" t="str">
        <v>-</v>
      </c>
    </row>
    <row r="11036">
      <c r="A11036">
        <v>11035</v>
      </c>
      <c r="B11036" t="str">
        <v>Công an xã Thạch Đồng  tỉnh Thanh Hóa</v>
      </c>
      <c r="C11036" t="str">
        <v>-</v>
      </c>
      <c r="D11036" t="str">
        <v>-</v>
      </c>
      <c r="E11036" t="str">
        <v/>
      </c>
      <c r="F11036" t="str">
        <v>-</v>
      </c>
      <c r="G11036" t="str">
        <v>-</v>
      </c>
    </row>
    <row r="11037">
      <c r="A11037">
        <v>11036</v>
      </c>
      <c r="B11037" t="str">
        <v>UBND Ủy ban nhân dân xã Thạch Đồng  tỉnh Thanh Hóa</v>
      </c>
      <c r="C11037" t="str">
        <v>-</v>
      </c>
      <c r="D11037" t="str">
        <v>-</v>
      </c>
      <c r="E11037" t="str">
        <v>-</v>
      </c>
      <c r="F11037" t="str">
        <v>-</v>
      </c>
      <c r="G11037" t="str">
        <v>-</v>
      </c>
    </row>
    <row r="11038">
      <c r="A11038">
        <v>11037</v>
      </c>
      <c r="B11038" t="str">
        <v>Công an xã Thạch Long  tỉnh Thanh Hóa</v>
      </c>
      <c r="C11038" t="str">
        <v>-</v>
      </c>
      <c r="D11038" t="str">
        <v>-</v>
      </c>
      <c r="E11038" t="str">
        <v/>
      </c>
      <c r="F11038" t="str">
        <v>-</v>
      </c>
      <c r="G11038" t="str">
        <v>-</v>
      </c>
    </row>
    <row r="11039">
      <c r="A11039">
        <v>11038</v>
      </c>
      <c r="B11039" t="str">
        <v>UBND Ủy ban nhân dân xã Thạch Long  tỉnh Thanh Hóa</v>
      </c>
      <c r="C11039" t="str">
        <v>-</v>
      </c>
      <c r="D11039" t="str">
        <v>-</v>
      </c>
      <c r="E11039" t="str">
        <v>-</v>
      </c>
      <c r="F11039" t="str">
        <v>-</v>
      </c>
      <c r="G11039" t="str">
        <v>-</v>
      </c>
    </row>
    <row r="11040">
      <c r="A11040">
        <v>11039</v>
      </c>
      <c r="B11040" t="str">
        <v>Công an xã Thành Mỹ  tỉnh Thanh Hóa</v>
      </c>
      <c r="C11040" t="str">
        <v>-</v>
      </c>
      <c r="D11040" t="str">
        <v>-</v>
      </c>
      <c r="E11040" t="str">
        <v/>
      </c>
      <c r="F11040" t="str">
        <v>-</v>
      </c>
      <c r="G11040" t="str">
        <v>-</v>
      </c>
    </row>
    <row r="11041">
      <c r="A11041">
        <v>11040</v>
      </c>
      <c r="B11041" t="str">
        <v>UBND Ủy ban nhân dân xã Thành Mỹ  tỉnh Thanh Hóa</v>
      </c>
      <c r="C11041" t="str">
        <v>-</v>
      </c>
      <c r="D11041" t="str">
        <v>-</v>
      </c>
      <c r="E11041" t="str">
        <v>-</v>
      </c>
      <c r="F11041" t="str">
        <v>-</v>
      </c>
      <c r="G11041" t="str">
        <v>-</v>
      </c>
    </row>
    <row r="11042">
      <c r="A11042">
        <v>11041</v>
      </c>
      <c r="B11042" t="str">
        <v>Công an xã Thành Yên  tỉnh Thanh Hóa</v>
      </c>
      <c r="C11042" t="str">
        <v>-</v>
      </c>
      <c r="D11042" t="str">
        <v>-</v>
      </c>
      <c r="E11042" t="str">
        <v/>
      </c>
      <c r="F11042" t="str">
        <v>-</v>
      </c>
      <c r="G11042" t="str">
        <v>-</v>
      </c>
    </row>
    <row r="11043">
      <c r="A11043">
        <v>11042</v>
      </c>
      <c r="B11043" t="str">
        <v>UBND Ủy ban nhân dân xã Thành Yên  tỉnh Thanh Hóa</v>
      </c>
      <c r="C11043" t="str">
        <v>-</v>
      </c>
      <c r="D11043" t="str">
        <v>-</v>
      </c>
      <c r="E11043" t="str">
        <v>-</v>
      </c>
      <c r="F11043" t="str">
        <v>-</v>
      </c>
      <c r="G11043" t="str">
        <v>-</v>
      </c>
    </row>
    <row r="11044">
      <c r="A11044">
        <v>11043</v>
      </c>
      <c r="B11044" t="str">
        <v>Công an xã Thành Vinh  tỉnh Thanh Hóa</v>
      </c>
      <c r="C11044" t="str">
        <v>-</v>
      </c>
      <c r="D11044" t="str">
        <v>-</v>
      </c>
      <c r="E11044" t="str">
        <v/>
      </c>
      <c r="F11044" t="str">
        <v>-</v>
      </c>
      <c r="G11044" t="str">
        <v>-</v>
      </c>
    </row>
    <row r="11045">
      <c r="A11045">
        <v>11044</v>
      </c>
      <c r="B11045" t="str">
        <v>UBND Ủy ban nhân dân xã Thành Vinh  tỉnh Thanh Hóa</v>
      </c>
      <c r="C11045" t="str">
        <v>-</v>
      </c>
      <c r="D11045" t="str">
        <v>-</v>
      </c>
      <c r="E11045" t="str">
        <v>-</v>
      </c>
      <c r="F11045" t="str">
        <v>-</v>
      </c>
      <c r="G11045" t="str">
        <v>-</v>
      </c>
    </row>
    <row r="11046">
      <c r="A11046">
        <v>11045</v>
      </c>
      <c r="B11046" t="str">
        <v>Công an xã Thành Minh  tỉnh Thanh Hóa</v>
      </c>
      <c r="C11046" t="str">
        <v>-</v>
      </c>
      <c r="D11046" t="str">
        <v>-</v>
      </c>
      <c r="E11046" t="str">
        <v/>
      </c>
      <c r="F11046" t="str">
        <v>-</v>
      </c>
      <c r="G11046" t="str">
        <v>-</v>
      </c>
    </row>
    <row r="11047">
      <c r="A11047">
        <v>11046</v>
      </c>
      <c r="B11047" t="str">
        <v>UBND Ủy ban nhân dân xã Thành Minh  tỉnh Thanh Hóa</v>
      </c>
      <c r="C11047" t="str">
        <v>-</v>
      </c>
      <c r="D11047" t="str">
        <v>-</v>
      </c>
      <c r="E11047" t="str">
        <v>-</v>
      </c>
      <c r="F11047" t="str">
        <v>-</v>
      </c>
      <c r="G11047" t="str">
        <v>-</v>
      </c>
    </row>
    <row r="11048">
      <c r="A11048">
        <v>11047</v>
      </c>
      <c r="B11048" t="str">
        <v>Công an xã Thành Công  tỉnh Thanh Hóa</v>
      </c>
      <c r="C11048" t="str">
        <v>-</v>
      </c>
      <c r="D11048" t="str">
        <v>-</v>
      </c>
      <c r="E11048" t="str">
        <v/>
      </c>
      <c r="F11048" t="str">
        <v>-</v>
      </c>
      <c r="G11048" t="str">
        <v>-</v>
      </c>
    </row>
    <row r="11049">
      <c r="A11049">
        <v>11048</v>
      </c>
      <c r="B11049" t="str">
        <v>UBND Ủy ban nhân dân xã Thành Công  tỉnh Thanh Hóa</v>
      </c>
      <c r="C11049" t="str">
        <v>-</v>
      </c>
      <c r="D11049" t="str">
        <v>-</v>
      </c>
      <c r="E11049" t="str">
        <v>-</v>
      </c>
      <c r="F11049" t="str">
        <v>-</v>
      </c>
      <c r="G11049" t="str">
        <v>-</v>
      </c>
    </row>
    <row r="11050">
      <c r="A11050">
        <v>11049</v>
      </c>
      <c r="B11050" t="str">
        <v>Công an xã Thành Tân  tỉnh Thanh Hóa</v>
      </c>
      <c r="C11050" t="str">
        <v>-</v>
      </c>
      <c r="D11050" t="str">
        <v>-</v>
      </c>
      <c r="E11050" t="str">
        <v/>
      </c>
      <c r="F11050" t="str">
        <v>-</v>
      </c>
      <c r="G11050" t="str">
        <v>-</v>
      </c>
    </row>
    <row r="11051">
      <c r="A11051">
        <v>11050</v>
      </c>
      <c r="B11051" t="str">
        <v>UBND Ủy ban nhân dân xã Thành Tân  tỉnh Thanh Hóa</v>
      </c>
      <c r="C11051" t="str">
        <v>-</v>
      </c>
      <c r="D11051" t="str">
        <v>-</v>
      </c>
      <c r="E11051" t="str">
        <v>-</v>
      </c>
      <c r="F11051" t="str">
        <v>-</v>
      </c>
      <c r="G11051" t="str">
        <v>-</v>
      </c>
    </row>
    <row r="11052">
      <c r="A11052">
        <v>11051</v>
      </c>
      <c r="B11052" t="str">
        <v>Công an xã Thành Trực  tỉnh Thanh Hóa</v>
      </c>
      <c r="C11052" t="str">
        <v>-</v>
      </c>
      <c r="D11052" t="str">
        <v>-</v>
      </c>
      <c r="E11052" t="str">
        <v/>
      </c>
      <c r="F11052" t="str">
        <v>-</v>
      </c>
      <c r="G11052" t="str">
        <v>-</v>
      </c>
    </row>
    <row r="11053">
      <c r="A11053">
        <v>11052</v>
      </c>
      <c r="B11053" t="str">
        <v>UBND Ủy ban nhân dân xã Thành Trực  tỉnh Thanh Hóa</v>
      </c>
      <c r="C11053" t="str">
        <v>-</v>
      </c>
      <c r="D11053" t="str">
        <v>-</v>
      </c>
      <c r="E11053" t="str">
        <v>-</v>
      </c>
      <c r="F11053" t="str">
        <v>-</v>
      </c>
      <c r="G11053" t="str">
        <v>-</v>
      </c>
    </row>
    <row r="11054">
      <c r="A11054">
        <v>11053</v>
      </c>
      <c r="B11054" t="str">
        <v>Công an xã Thành Vân  tỉnh Thanh Hóa</v>
      </c>
      <c r="C11054" t="str">
        <v>-</v>
      </c>
      <c r="D11054" t="str">
        <v>-</v>
      </c>
      <c r="E11054" t="str">
        <v/>
      </c>
      <c r="F11054" t="str">
        <v>-</v>
      </c>
      <c r="G11054" t="str">
        <v>-</v>
      </c>
    </row>
    <row r="11055">
      <c r="A11055">
        <v>11054</v>
      </c>
      <c r="B11055" t="str">
        <v>UBND Ủy ban nhân dân xã Thành Vân  tỉnh Thanh Hóa</v>
      </c>
      <c r="C11055" t="str">
        <v>-</v>
      </c>
      <c r="D11055" t="str">
        <v>-</v>
      </c>
      <c r="E11055" t="str">
        <v>-</v>
      </c>
      <c r="F11055" t="str">
        <v>-</v>
      </c>
      <c r="G11055" t="str">
        <v>-</v>
      </c>
    </row>
    <row r="11056">
      <c r="A11056">
        <v>11055</v>
      </c>
      <c r="B11056" t="str">
        <v>Công an xã Thành Tâm  tỉnh Thanh Hóa</v>
      </c>
      <c r="C11056" t="str">
        <v>-</v>
      </c>
      <c r="D11056" t="str">
        <v>-</v>
      </c>
      <c r="E11056" t="str">
        <v/>
      </c>
      <c r="F11056" t="str">
        <v>-</v>
      </c>
      <c r="G11056" t="str">
        <v>-</v>
      </c>
    </row>
    <row r="11057">
      <c r="A11057">
        <v>11056</v>
      </c>
      <c r="B11057" t="str">
        <v>UBND Ủy ban nhân dân xã Thành Tâm  tỉnh Thanh Hóa</v>
      </c>
      <c r="C11057" t="str">
        <v>-</v>
      </c>
      <c r="D11057" t="str">
        <v>-</v>
      </c>
      <c r="E11057" t="str">
        <v>-</v>
      </c>
      <c r="F11057" t="str">
        <v>-</v>
      </c>
      <c r="G11057" t="str">
        <v>-</v>
      </c>
    </row>
    <row r="11058">
      <c r="A11058">
        <v>11057</v>
      </c>
      <c r="B11058" t="str">
        <v>Công an xã Thành An  tỉnh Thanh Hóa</v>
      </c>
      <c r="C11058" t="str">
        <v>-</v>
      </c>
      <c r="D11058" t="str">
        <v>-</v>
      </c>
      <c r="E11058" t="str">
        <v/>
      </c>
      <c r="F11058" t="str">
        <v>-</v>
      </c>
      <c r="G11058" t="str">
        <v>-</v>
      </c>
    </row>
    <row r="11059">
      <c r="A11059">
        <v>11058</v>
      </c>
      <c r="B11059" t="str">
        <v>UBND Ủy ban nhân dân xã Thành An  tỉnh Thanh Hóa</v>
      </c>
      <c r="C11059" t="str">
        <v>-</v>
      </c>
      <c r="D11059" t="str">
        <v>-</v>
      </c>
      <c r="E11059" t="str">
        <v>-</v>
      </c>
      <c r="F11059" t="str">
        <v>-</v>
      </c>
      <c r="G11059" t="str">
        <v>-</v>
      </c>
    </row>
    <row r="11060">
      <c r="A11060">
        <v>11059</v>
      </c>
      <c r="B11060" t="str">
        <v>Công an xã Thành Thọ  tỉnh Thanh Hóa</v>
      </c>
      <c r="C11060" t="str">
        <v>-</v>
      </c>
      <c r="D11060" t="str">
        <v>-</v>
      </c>
      <c r="E11060" t="str">
        <v/>
      </c>
      <c r="F11060" t="str">
        <v>-</v>
      </c>
      <c r="G11060" t="str">
        <v>-</v>
      </c>
    </row>
    <row r="11061">
      <c r="A11061">
        <v>11060</v>
      </c>
      <c r="B11061" t="str">
        <v>UBND Ủy ban nhân dân xã Thành Thọ  tỉnh Thanh Hóa</v>
      </c>
      <c r="C11061" t="str">
        <v>-</v>
      </c>
      <c r="D11061" t="str">
        <v>-</v>
      </c>
      <c r="E11061" t="str">
        <v>-</v>
      </c>
      <c r="F11061" t="str">
        <v>-</v>
      </c>
      <c r="G11061" t="str">
        <v>-</v>
      </c>
    </row>
    <row r="11062">
      <c r="A11062">
        <v>11061</v>
      </c>
      <c r="B11062" t="str">
        <v>Công an xã Thành Tiến  tỉnh Thanh Hóa</v>
      </c>
      <c r="C11062" t="str">
        <v>-</v>
      </c>
      <c r="D11062" t="str">
        <v>-</v>
      </c>
      <c r="E11062" t="str">
        <v/>
      </c>
      <c r="F11062" t="str">
        <v>-</v>
      </c>
      <c r="G11062" t="str">
        <v>-</v>
      </c>
    </row>
    <row r="11063">
      <c r="A11063">
        <v>11062</v>
      </c>
      <c r="B11063" t="str">
        <v>UBND Ủy ban nhân dân xã Thành Tiến  tỉnh Thanh Hóa</v>
      </c>
      <c r="C11063" t="str">
        <v>-</v>
      </c>
      <c r="D11063" t="str">
        <v>-</v>
      </c>
      <c r="E11063" t="str">
        <v>-</v>
      </c>
      <c r="F11063" t="str">
        <v>-</v>
      </c>
      <c r="G11063" t="str">
        <v>-</v>
      </c>
    </row>
    <row r="11064">
      <c r="A11064">
        <v>11063</v>
      </c>
      <c r="B11064" t="str">
        <v>Công an xã Thành Long  tỉnh Thanh Hóa</v>
      </c>
      <c r="C11064" t="str">
        <v>-</v>
      </c>
      <c r="D11064" t="str">
        <v>-</v>
      </c>
      <c r="E11064" t="str">
        <v/>
      </c>
      <c r="F11064" t="str">
        <v>-</v>
      </c>
      <c r="G11064" t="str">
        <v>-</v>
      </c>
    </row>
    <row r="11065">
      <c r="A11065">
        <v>11064</v>
      </c>
      <c r="B11065" t="str">
        <v>UBND Ủy ban nhân dân xã Thành Long  tỉnh Thanh Hóa</v>
      </c>
      <c r="C11065" t="str">
        <v>-</v>
      </c>
      <c r="D11065" t="str">
        <v>-</v>
      </c>
      <c r="E11065" t="str">
        <v>-</v>
      </c>
      <c r="F11065" t="str">
        <v>-</v>
      </c>
      <c r="G11065" t="str">
        <v>-</v>
      </c>
    </row>
    <row r="11066">
      <c r="A11066">
        <v>11065</v>
      </c>
      <c r="B11066" t="str">
        <v>Công an xã Thành Kim  tỉnh Thanh Hóa</v>
      </c>
      <c r="C11066" t="str">
        <v>-</v>
      </c>
      <c r="D11066" t="str">
        <v>-</v>
      </c>
      <c r="E11066" t="str">
        <v/>
      </c>
      <c r="F11066" t="str">
        <v>-</v>
      </c>
      <c r="G11066" t="str">
        <v>-</v>
      </c>
    </row>
    <row r="11067">
      <c r="A11067">
        <v>11066</v>
      </c>
      <c r="B11067" t="str">
        <v>UBND Ủy ban nhân dân xã Thành Kim  tỉnh Thanh Hóa</v>
      </c>
      <c r="C11067" t="str">
        <v>-</v>
      </c>
      <c r="D11067" t="str">
        <v>-</v>
      </c>
      <c r="E11067" t="str">
        <v>-</v>
      </c>
      <c r="F11067" t="str">
        <v>-</v>
      </c>
      <c r="G11067" t="str">
        <v>-</v>
      </c>
    </row>
    <row r="11068">
      <c r="A11068">
        <v>11067</v>
      </c>
      <c r="B11068" t="str">
        <v>Công an xã Thành Hưng  tỉnh Thanh Hóa</v>
      </c>
      <c r="C11068" t="str">
        <v>-</v>
      </c>
      <c r="D11068" t="str">
        <v>-</v>
      </c>
      <c r="E11068" t="str">
        <v/>
      </c>
      <c r="F11068" t="str">
        <v>-</v>
      </c>
      <c r="G11068" t="str">
        <v>-</v>
      </c>
    </row>
    <row r="11069">
      <c r="A11069">
        <v>11068</v>
      </c>
      <c r="B11069" t="str">
        <v>UBND Ủy ban nhân dân xã Thành Hưng  tỉnh Thanh Hóa</v>
      </c>
      <c r="C11069" t="str">
        <v>-</v>
      </c>
      <c r="D11069" t="str">
        <v>-</v>
      </c>
      <c r="E11069" t="str">
        <v>-</v>
      </c>
      <c r="F11069" t="str">
        <v>-</v>
      </c>
      <c r="G11069" t="str">
        <v>-</v>
      </c>
    </row>
    <row r="11070">
      <c r="A11070">
        <v>11069</v>
      </c>
      <c r="B11070" t="str">
        <v>Công an xã Ngọc Trạo  tỉnh Thanh Hóa</v>
      </c>
      <c r="C11070" t="str">
        <v>-</v>
      </c>
      <c r="D11070" t="str">
        <v>-</v>
      </c>
      <c r="E11070" t="str">
        <v/>
      </c>
      <c r="F11070" t="str">
        <v>-</v>
      </c>
      <c r="G11070" t="str">
        <v>-</v>
      </c>
    </row>
    <row r="11071">
      <c r="A11071">
        <v>11070</v>
      </c>
      <c r="B11071" t="str">
        <v>UBND Ủy ban nhân dân xã Ngọc Trạo  tỉnh Thanh Hóa</v>
      </c>
      <c r="C11071" t="str">
        <v>-</v>
      </c>
      <c r="D11071" t="str">
        <v>-</v>
      </c>
      <c r="E11071" t="str">
        <v>-</v>
      </c>
      <c r="F11071" t="str">
        <v>-</v>
      </c>
      <c r="G11071" t="str">
        <v>-</v>
      </c>
    </row>
    <row r="11072">
      <c r="A11072">
        <v>11071</v>
      </c>
      <c r="B11072" t="str">
        <v>Công an thị trấn Hà Trung  tỉnh Thanh Hóa</v>
      </c>
      <c r="C11072" t="str">
        <v>-</v>
      </c>
      <c r="D11072" t="str">
        <v>-</v>
      </c>
      <c r="E11072" t="str">
        <v/>
      </c>
      <c r="F11072" t="str">
        <v>-</v>
      </c>
      <c r="G11072" t="str">
        <v>-</v>
      </c>
    </row>
    <row r="11073">
      <c r="A11073">
        <v>11072</v>
      </c>
      <c r="B11073" t="str">
        <v>UBND Ủy ban nhân dân thị trấn Hà Trung  tỉnh Thanh Hóa</v>
      </c>
      <c r="C11073" t="str">
        <v>-</v>
      </c>
      <c r="D11073" t="str">
        <v>-</v>
      </c>
      <c r="E11073" t="str">
        <v>-</v>
      </c>
      <c r="F11073" t="str">
        <v>-</v>
      </c>
      <c r="G11073" t="str">
        <v>-</v>
      </c>
    </row>
    <row r="11074">
      <c r="A11074">
        <v>11073</v>
      </c>
      <c r="B11074" t="str">
        <v>Công an xã Hà Long  tỉnh Thanh Hóa</v>
      </c>
      <c r="C11074" t="str">
        <v>-</v>
      </c>
      <c r="D11074" t="str">
        <v>-</v>
      </c>
      <c r="E11074" t="str">
        <v/>
      </c>
      <c r="F11074" t="str">
        <v>-</v>
      </c>
      <c r="G11074" t="str">
        <v>-</v>
      </c>
    </row>
    <row r="11075">
      <c r="A11075">
        <v>11074</v>
      </c>
      <c r="B11075" t="str">
        <v>UBND Ủy ban nhân dân xã Hà Long  tỉnh Thanh Hóa</v>
      </c>
      <c r="C11075" t="str">
        <v>-</v>
      </c>
      <c r="D11075" t="str">
        <v>-</v>
      </c>
      <c r="E11075" t="str">
        <v>-</v>
      </c>
      <c r="F11075" t="str">
        <v>-</v>
      </c>
      <c r="G11075" t="str">
        <v>-</v>
      </c>
    </row>
    <row r="11076">
      <c r="A11076">
        <v>11075</v>
      </c>
      <c r="B11076" t="str">
        <v>Công an xã Hà Vinh  tỉnh Thanh Hóa</v>
      </c>
      <c r="C11076" t="str">
        <v>-</v>
      </c>
      <c r="D11076" t="str">
        <v>-</v>
      </c>
      <c r="E11076" t="str">
        <v/>
      </c>
      <c r="F11076" t="str">
        <v>-</v>
      </c>
      <c r="G11076" t="str">
        <v>-</v>
      </c>
    </row>
    <row r="11077">
      <c r="A11077">
        <v>11076</v>
      </c>
      <c r="B11077" t="str">
        <v>UBND Ủy ban nhân dân xã Hà Vinh  tỉnh Thanh Hóa</v>
      </c>
      <c r="C11077" t="str">
        <v>-</v>
      </c>
      <c r="D11077" t="str">
        <v>-</v>
      </c>
      <c r="E11077" t="str">
        <v>-</v>
      </c>
      <c r="F11077" t="str">
        <v>-</v>
      </c>
      <c r="G11077" t="str">
        <v>-</v>
      </c>
    </row>
    <row r="11078">
      <c r="A11078">
        <v>11077</v>
      </c>
      <c r="B11078" t="str">
        <v>Công an xã Hà Bắc  tỉnh Thanh Hóa</v>
      </c>
      <c r="C11078" t="str">
        <v>-</v>
      </c>
      <c r="D11078" t="str">
        <v>-</v>
      </c>
      <c r="E11078" t="str">
        <v/>
      </c>
      <c r="F11078" t="str">
        <v>-</v>
      </c>
      <c r="G11078" t="str">
        <v>-</v>
      </c>
    </row>
    <row r="11079">
      <c r="A11079">
        <v>11078</v>
      </c>
      <c r="B11079" t="str">
        <v>UBND Ủy ban nhân dân xã Hà Bắc  tỉnh Thanh Hóa</v>
      </c>
      <c r="C11079" t="str">
        <v>-</v>
      </c>
      <c r="D11079" t="str">
        <v>-</v>
      </c>
      <c r="E11079" t="str">
        <v>-</v>
      </c>
      <c r="F11079" t="str">
        <v>-</v>
      </c>
      <c r="G11079" t="str">
        <v>-</v>
      </c>
    </row>
    <row r="11080">
      <c r="A11080">
        <v>11079</v>
      </c>
      <c r="B11080" t="str">
        <v>Công an xã Hà Vân  tỉnh Thanh Hóa</v>
      </c>
      <c r="C11080" t="str">
        <v>-</v>
      </c>
      <c r="D11080" t="str">
        <v>-</v>
      </c>
      <c r="E11080" t="str">
        <v/>
      </c>
      <c r="F11080" t="str">
        <v>-</v>
      </c>
      <c r="G11080" t="str">
        <v>-</v>
      </c>
    </row>
    <row r="11081">
      <c r="A11081">
        <v>11080</v>
      </c>
      <c r="B11081" t="str">
        <v>UBND Ủy ban nhân dân xã Hà Vân  tỉnh Thanh Hóa</v>
      </c>
      <c r="C11081" t="str">
        <v>-</v>
      </c>
      <c r="D11081" t="str">
        <v>-</v>
      </c>
      <c r="E11081" t="str">
        <v>-</v>
      </c>
      <c r="F11081" t="str">
        <v>-</v>
      </c>
      <c r="G11081" t="str">
        <v>-</v>
      </c>
    </row>
    <row r="11082">
      <c r="A11082">
        <v>11081</v>
      </c>
      <c r="B11082" t="str">
        <v>Công an xã Hà Yên  tỉnh Thanh Hóa</v>
      </c>
      <c r="C11082" t="str">
        <v>-</v>
      </c>
      <c r="D11082" t="str">
        <v>-</v>
      </c>
      <c r="E11082" t="str">
        <v/>
      </c>
      <c r="F11082" t="str">
        <v>-</v>
      </c>
      <c r="G11082" t="str">
        <v>-</v>
      </c>
    </row>
    <row r="11083">
      <c r="A11083">
        <v>11082</v>
      </c>
      <c r="B11083" t="str">
        <v>UBND Ủy ban nhân dân xã Hà Yên  tỉnh Thanh Hóa</v>
      </c>
      <c r="C11083" t="str">
        <v>-</v>
      </c>
      <c r="D11083" t="str">
        <v>-</v>
      </c>
      <c r="E11083" t="str">
        <v>-</v>
      </c>
      <c r="F11083" t="str">
        <v>-</v>
      </c>
      <c r="G11083" t="str">
        <v>-</v>
      </c>
    </row>
    <row r="11084">
      <c r="A11084">
        <v>11083</v>
      </c>
      <c r="B11084" t="str">
        <v>Công an xã Hà Thanh  tỉnh Thanh Hóa</v>
      </c>
      <c r="C11084" t="str">
        <v>-</v>
      </c>
      <c r="D11084" t="str">
        <v>-</v>
      </c>
      <c r="E11084" t="str">
        <v/>
      </c>
      <c r="F11084" t="str">
        <v>-</v>
      </c>
      <c r="G11084" t="str">
        <v>-</v>
      </c>
    </row>
    <row r="11085">
      <c r="A11085">
        <v>11084</v>
      </c>
      <c r="B11085" t="str">
        <v>UBND Ủy ban nhân dân xã Hà Thanh  tỉnh Thanh Hóa</v>
      </c>
      <c r="C11085" t="str">
        <v>-</v>
      </c>
      <c r="D11085" t="str">
        <v>-</v>
      </c>
      <c r="E11085" t="str">
        <v>-</v>
      </c>
      <c r="F11085" t="str">
        <v>-</v>
      </c>
      <c r="G11085" t="str">
        <v>-</v>
      </c>
    </row>
    <row r="11086">
      <c r="A11086">
        <v>11085</v>
      </c>
      <c r="B11086" t="str">
        <v>Công an xã Hà Giang  tỉnh Thanh Hóa</v>
      </c>
      <c r="C11086" t="str">
        <v>-</v>
      </c>
      <c r="D11086" t="str">
        <v>-</v>
      </c>
      <c r="E11086" t="str">
        <v/>
      </c>
      <c r="F11086" t="str">
        <v>-</v>
      </c>
      <c r="G11086" t="str">
        <v>-</v>
      </c>
    </row>
    <row r="11087">
      <c r="A11087">
        <v>11086</v>
      </c>
      <c r="B11087" t="str">
        <v>UBND Ủy ban nhân dân xã Hà Giang  tỉnh Thanh Hóa</v>
      </c>
      <c r="C11087" t="str">
        <v>-</v>
      </c>
      <c r="D11087" t="str">
        <v>-</v>
      </c>
      <c r="E11087" t="str">
        <v>-</v>
      </c>
      <c r="F11087" t="str">
        <v>-</v>
      </c>
      <c r="G11087" t="str">
        <v>-</v>
      </c>
    </row>
    <row r="11088">
      <c r="A11088">
        <v>11087</v>
      </c>
      <c r="B11088" t="str">
        <v>Công an xã Hà Dương  tỉnh Thanh Hóa</v>
      </c>
      <c r="C11088" t="str">
        <v>-</v>
      </c>
      <c r="D11088" t="str">
        <v>-</v>
      </c>
      <c r="E11088" t="str">
        <v/>
      </c>
      <c r="F11088" t="str">
        <v>-</v>
      </c>
      <c r="G11088" t="str">
        <v>-</v>
      </c>
    </row>
    <row r="11089">
      <c r="A11089">
        <v>11088</v>
      </c>
      <c r="B11089" t="str">
        <v>UBND Ủy ban nhân dân xã Hà Dương  tỉnh Thanh Hóa</v>
      </c>
      <c r="C11089" t="str">
        <v>-</v>
      </c>
      <c r="D11089" t="str">
        <v>-</v>
      </c>
      <c r="E11089" t="str">
        <v>-</v>
      </c>
      <c r="F11089" t="str">
        <v>-</v>
      </c>
      <c r="G11089" t="str">
        <v>-</v>
      </c>
    </row>
    <row r="11090">
      <c r="A11090">
        <v>11089</v>
      </c>
      <c r="B11090" t="str">
        <v>Công an xã Hà Phú  tỉnh Thanh Hóa</v>
      </c>
      <c r="C11090" t="str">
        <v>-</v>
      </c>
      <c r="D11090" t="str">
        <v>-</v>
      </c>
      <c r="E11090" t="str">
        <v/>
      </c>
      <c r="F11090" t="str">
        <v>-</v>
      </c>
      <c r="G11090" t="str">
        <v>-</v>
      </c>
    </row>
    <row r="11091">
      <c r="A11091">
        <v>11090</v>
      </c>
      <c r="B11091" t="str">
        <v>UBND Ủy ban nhân dân xã Hà Phú  tỉnh Thanh Hóa</v>
      </c>
      <c r="C11091" t="str">
        <v>-</v>
      </c>
      <c r="D11091" t="str">
        <v>-</v>
      </c>
      <c r="E11091" t="str">
        <v>-</v>
      </c>
      <c r="F11091" t="str">
        <v>-</v>
      </c>
      <c r="G11091" t="str">
        <v>-</v>
      </c>
    </row>
    <row r="11092">
      <c r="A11092">
        <v>11091</v>
      </c>
      <c r="B11092" t="str">
        <v>Công an xã Hà Phong  tỉnh Thanh Hóa</v>
      </c>
      <c r="C11092" t="str">
        <v>-</v>
      </c>
      <c r="D11092" t="str">
        <v>-</v>
      </c>
      <c r="E11092" t="str">
        <v/>
      </c>
      <c r="F11092" t="str">
        <v>-</v>
      </c>
      <c r="G11092" t="str">
        <v>-</v>
      </c>
    </row>
    <row r="11093">
      <c r="A11093">
        <v>11092</v>
      </c>
      <c r="B11093" t="str">
        <v>UBND Ủy ban nhân dân xã Hà Phong  tỉnh Thanh Hóa</v>
      </c>
      <c r="C11093" t="str">
        <v>-</v>
      </c>
      <c r="D11093" t="str">
        <v>-</v>
      </c>
      <c r="E11093" t="str">
        <v>-</v>
      </c>
      <c r="F11093" t="str">
        <v>-</v>
      </c>
      <c r="G11093" t="str">
        <v>-</v>
      </c>
    </row>
    <row r="11094">
      <c r="A11094">
        <v>11093</v>
      </c>
      <c r="B11094" t="str">
        <v>Công an xã Hà Ngọc  tỉnh Thanh Hóa</v>
      </c>
      <c r="C11094" t="str">
        <v>-</v>
      </c>
      <c r="D11094" t="str">
        <v>-</v>
      </c>
      <c r="E11094" t="str">
        <v/>
      </c>
      <c r="F11094" t="str">
        <v>-</v>
      </c>
      <c r="G11094" t="str">
        <v>-</v>
      </c>
    </row>
    <row r="11095">
      <c r="A11095">
        <v>11094</v>
      </c>
      <c r="B11095" t="str">
        <v>UBND Ủy ban nhân dân xã Hà Ngọc  tỉnh Thanh Hóa</v>
      </c>
      <c r="C11095" t="str">
        <v>-</v>
      </c>
      <c r="D11095" t="str">
        <v>-</v>
      </c>
      <c r="E11095" t="str">
        <v>-</v>
      </c>
      <c r="F11095" t="str">
        <v>-</v>
      </c>
      <c r="G11095" t="str">
        <v>-</v>
      </c>
    </row>
    <row r="11096">
      <c r="A11096">
        <v>11095</v>
      </c>
      <c r="B11096" t="str">
        <v>Công an xã Hà Ninh  tỉnh Thanh Hóa</v>
      </c>
      <c r="C11096" t="str">
        <v>-</v>
      </c>
      <c r="D11096" t="str">
        <v>-</v>
      </c>
      <c r="E11096" t="str">
        <v/>
      </c>
      <c r="F11096" t="str">
        <v>-</v>
      </c>
      <c r="G11096" t="str">
        <v>-</v>
      </c>
    </row>
    <row r="11097">
      <c r="A11097">
        <v>11096</v>
      </c>
      <c r="B11097" t="str">
        <v>UBND Ủy ban nhân dân xã Hà Ninh  tỉnh Thanh Hóa</v>
      </c>
      <c r="C11097" t="str">
        <v>-</v>
      </c>
      <c r="D11097" t="str">
        <v>-</v>
      </c>
      <c r="E11097" t="str">
        <v>-</v>
      </c>
      <c r="F11097" t="str">
        <v>-</v>
      </c>
      <c r="G11097" t="str">
        <v>-</v>
      </c>
    </row>
    <row r="11098">
      <c r="A11098">
        <v>11097</v>
      </c>
      <c r="B11098" t="str">
        <v>Công an xã Hà Lâm  tỉnh Thanh Hóa</v>
      </c>
      <c r="C11098" t="str">
        <v>-</v>
      </c>
      <c r="D11098" t="str">
        <v>-</v>
      </c>
      <c r="E11098" t="str">
        <v/>
      </c>
      <c r="F11098" t="str">
        <v>-</v>
      </c>
      <c r="G11098" t="str">
        <v>-</v>
      </c>
    </row>
    <row r="11099">
      <c r="A11099">
        <v>11098</v>
      </c>
      <c r="B11099" t="str">
        <v>UBND Ủy ban nhân dân xã Hà Lâm  tỉnh Thanh Hóa</v>
      </c>
      <c r="C11099" t="str">
        <v>-</v>
      </c>
      <c r="D11099" t="str">
        <v>-</v>
      </c>
      <c r="E11099" t="str">
        <v>-</v>
      </c>
      <c r="F11099" t="str">
        <v>-</v>
      </c>
      <c r="G11099" t="str">
        <v>-</v>
      </c>
    </row>
    <row r="11100">
      <c r="A11100">
        <v>11099</v>
      </c>
      <c r="B11100" t="str">
        <v>Công an xã Hà Sơn  tỉnh Thanh Hóa</v>
      </c>
      <c r="C11100" t="str">
        <v>-</v>
      </c>
      <c r="D11100" t="str">
        <v>-</v>
      </c>
      <c r="E11100" t="str">
        <v/>
      </c>
      <c r="F11100" t="str">
        <v>-</v>
      </c>
      <c r="G11100" t="str">
        <v>-</v>
      </c>
    </row>
    <row r="11101">
      <c r="A11101">
        <v>11100</v>
      </c>
      <c r="B11101" t="str">
        <v>UBND Ủy ban nhân dân xã Hà Sơn  tỉnh Thanh Hóa</v>
      </c>
      <c r="C11101" t="str">
        <v>-</v>
      </c>
      <c r="D11101" t="str">
        <v>-</v>
      </c>
      <c r="E11101" t="str">
        <v>-</v>
      </c>
      <c r="F11101" t="str">
        <v>-</v>
      </c>
      <c r="G11101" t="str">
        <v>-</v>
      </c>
    </row>
    <row r="11102">
      <c r="A11102">
        <v>11101</v>
      </c>
      <c r="B11102" t="str">
        <v>Công an xã Hà Lĩnh  tỉnh Thanh Hóa</v>
      </c>
      <c r="C11102" t="str">
        <v>-</v>
      </c>
      <c r="D11102" t="str">
        <v>-</v>
      </c>
      <c r="E11102" t="str">
        <v/>
      </c>
      <c r="F11102" t="str">
        <v>-</v>
      </c>
      <c r="G11102" t="str">
        <v>-</v>
      </c>
    </row>
    <row r="11103">
      <c r="A11103">
        <v>11102</v>
      </c>
      <c r="B11103" t="str">
        <v>UBND Ủy ban nhân dân xã Hà Lĩnh  tỉnh Thanh Hóa</v>
      </c>
      <c r="C11103" t="str">
        <v>-</v>
      </c>
      <c r="D11103" t="str">
        <v>-</v>
      </c>
      <c r="E11103" t="str">
        <v>-</v>
      </c>
      <c r="F11103" t="str">
        <v>-</v>
      </c>
      <c r="G11103" t="str">
        <v>-</v>
      </c>
    </row>
    <row r="11104">
      <c r="A11104">
        <v>11103</v>
      </c>
      <c r="B11104" t="str">
        <v>Công an xã Hà Đông  tỉnh Thanh Hóa</v>
      </c>
      <c r="C11104" t="str">
        <v>-</v>
      </c>
      <c r="D11104" t="str">
        <v>-</v>
      </c>
      <c r="E11104" t="str">
        <v/>
      </c>
      <c r="F11104" t="str">
        <v>-</v>
      </c>
      <c r="G11104" t="str">
        <v>-</v>
      </c>
    </row>
    <row r="11105">
      <c r="A11105">
        <v>11104</v>
      </c>
      <c r="B11105" t="str">
        <v>UBND Ủy ban nhân dân xã Hà Đông  tỉnh Thanh Hóa</v>
      </c>
      <c r="C11105" t="str">
        <v>-</v>
      </c>
      <c r="D11105" t="str">
        <v>-</v>
      </c>
      <c r="E11105" t="str">
        <v>-</v>
      </c>
      <c r="F11105" t="str">
        <v>-</v>
      </c>
      <c r="G11105" t="str">
        <v>-</v>
      </c>
    </row>
    <row r="11106">
      <c r="A11106">
        <v>11105</v>
      </c>
      <c r="B11106" t="str">
        <v>Công an xã Hà Tân  tỉnh Thanh Hóa</v>
      </c>
      <c r="C11106" t="str">
        <v>-</v>
      </c>
      <c r="D11106" t="str">
        <v>-</v>
      </c>
      <c r="E11106" t="str">
        <v/>
      </c>
      <c r="F11106" t="str">
        <v>-</v>
      </c>
      <c r="G11106" t="str">
        <v>-</v>
      </c>
    </row>
    <row r="11107">
      <c r="A11107">
        <v>11106</v>
      </c>
      <c r="B11107" t="str">
        <v>UBND Ủy ban nhân dân xã Hà Tân  tỉnh Thanh Hóa</v>
      </c>
      <c r="C11107" t="str">
        <v>-</v>
      </c>
      <c r="D11107" t="str">
        <v>-</v>
      </c>
      <c r="E11107" t="str">
        <v>-</v>
      </c>
      <c r="F11107" t="str">
        <v>-</v>
      </c>
      <c r="G11107" t="str">
        <v>-</v>
      </c>
    </row>
    <row r="11108">
      <c r="A11108">
        <v>11107</v>
      </c>
      <c r="B11108" t="str">
        <v>Công an xã Hà Tiến  tỉnh Thanh Hóa</v>
      </c>
      <c r="C11108" t="str">
        <v>-</v>
      </c>
      <c r="D11108" t="str">
        <v>-</v>
      </c>
      <c r="E11108" t="str">
        <v/>
      </c>
      <c r="F11108" t="str">
        <v>-</v>
      </c>
      <c r="G11108" t="str">
        <v>-</v>
      </c>
    </row>
    <row r="11109">
      <c r="A11109">
        <v>11108</v>
      </c>
      <c r="B11109" t="str">
        <v>UBND Ủy ban nhân dân xã Hà Tiến  tỉnh Thanh Hóa</v>
      </c>
      <c r="C11109" t="str">
        <v>-</v>
      </c>
      <c r="D11109" t="str">
        <v>-</v>
      </c>
      <c r="E11109" t="str">
        <v>-</v>
      </c>
      <c r="F11109" t="str">
        <v>-</v>
      </c>
      <c r="G11109" t="str">
        <v>-</v>
      </c>
    </row>
    <row r="11110">
      <c r="A11110">
        <v>11109</v>
      </c>
      <c r="B11110" t="str">
        <v>Công an xã Hà Bình  tỉnh Thanh Hóa</v>
      </c>
      <c r="C11110" t="str">
        <v>-</v>
      </c>
      <c r="D11110" t="str">
        <v>-</v>
      </c>
      <c r="E11110" t="str">
        <v/>
      </c>
      <c r="F11110" t="str">
        <v>-</v>
      </c>
      <c r="G11110" t="str">
        <v>-</v>
      </c>
    </row>
    <row r="11111">
      <c r="A11111">
        <v>11110</v>
      </c>
      <c r="B11111" t="str">
        <v>UBND Ủy ban nhân dân xã Hà Bình  tỉnh Thanh Hóa</v>
      </c>
      <c r="C11111" t="str">
        <v>-</v>
      </c>
      <c r="D11111" t="str">
        <v>-</v>
      </c>
      <c r="E11111" t="str">
        <v>-</v>
      </c>
      <c r="F11111" t="str">
        <v>-</v>
      </c>
      <c r="G11111" t="str">
        <v>-</v>
      </c>
    </row>
    <row r="11112">
      <c r="A11112">
        <v>11111</v>
      </c>
      <c r="B11112" t="str">
        <v>Công an xã Hà Lai  tỉnh Thanh Hóa</v>
      </c>
      <c r="C11112" t="str">
        <v>-</v>
      </c>
      <c r="D11112" t="str">
        <v>-</v>
      </c>
      <c r="E11112" t="str">
        <v/>
      </c>
      <c r="F11112" t="str">
        <v>-</v>
      </c>
      <c r="G11112" t="str">
        <v>-</v>
      </c>
    </row>
    <row r="11113">
      <c r="A11113">
        <v>11112</v>
      </c>
      <c r="B11113" t="str">
        <v>UBND Ủy ban nhân dân xã Hà Lai  tỉnh Thanh Hóa</v>
      </c>
      <c r="C11113" t="str">
        <v>-</v>
      </c>
      <c r="D11113" t="str">
        <v>-</v>
      </c>
      <c r="E11113" t="str">
        <v>-</v>
      </c>
      <c r="F11113" t="str">
        <v>-</v>
      </c>
      <c r="G11113" t="str">
        <v>-</v>
      </c>
    </row>
    <row r="11114">
      <c r="A11114">
        <v>11113</v>
      </c>
      <c r="B11114" t="str">
        <v>Công an xã Hà Châu  tỉnh Thanh Hóa</v>
      </c>
      <c r="C11114" t="str">
        <v>-</v>
      </c>
      <c r="D11114" t="str">
        <v>-</v>
      </c>
      <c r="E11114" t="str">
        <v/>
      </c>
      <c r="F11114" t="str">
        <v>-</v>
      </c>
      <c r="G11114" t="str">
        <v>-</v>
      </c>
    </row>
    <row r="11115">
      <c r="A11115">
        <v>11114</v>
      </c>
      <c r="B11115" t="str">
        <v>UBND Ủy ban nhân dân xã Hà Châu  tỉnh Thanh Hóa</v>
      </c>
      <c r="C11115" t="str">
        <v>-</v>
      </c>
      <c r="D11115" t="str">
        <v>-</v>
      </c>
      <c r="E11115" t="str">
        <v>-</v>
      </c>
      <c r="F11115" t="str">
        <v>-</v>
      </c>
      <c r="G11115" t="str">
        <v>-</v>
      </c>
    </row>
    <row r="11116">
      <c r="A11116">
        <v>11115</v>
      </c>
      <c r="B11116" t="str">
        <v>Công an xã Hà Toại  tỉnh Thanh Hóa</v>
      </c>
      <c r="C11116" t="str">
        <v>-</v>
      </c>
      <c r="D11116" t="str">
        <v>-</v>
      </c>
      <c r="E11116" t="str">
        <v/>
      </c>
      <c r="F11116" t="str">
        <v>-</v>
      </c>
      <c r="G11116" t="str">
        <v>-</v>
      </c>
    </row>
    <row r="11117">
      <c r="A11117">
        <v>11116</v>
      </c>
      <c r="B11117" t="str">
        <v>UBND Ủy ban nhân dân xã Hà Toại  tỉnh Thanh Hóa</v>
      </c>
      <c r="C11117" t="str">
        <v>-</v>
      </c>
      <c r="D11117" t="str">
        <v>-</v>
      </c>
      <c r="E11117" t="str">
        <v>-</v>
      </c>
      <c r="F11117" t="str">
        <v>-</v>
      </c>
      <c r="G11117" t="str">
        <v>-</v>
      </c>
    </row>
    <row r="11118">
      <c r="A11118">
        <v>11117</v>
      </c>
      <c r="B11118" t="str">
        <v>Công an xã Hà Thái  tỉnh Thanh Hóa</v>
      </c>
      <c r="C11118" t="str">
        <v>-</v>
      </c>
      <c r="D11118" t="str">
        <v>-</v>
      </c>
      <c r="E11118" t="str">
        <v/>
      </c>
      <c r="F11118" t="str">
        <v>-</v>
      </c>
      <c r="G11118" t="str">
        <v>-</v>
      </c>
    </row>
    <row r="11119">
      <c r="A11119">
        <v>11118</v>
      </c>
      <c r="B11119" t="str">
        <v>UBND Ủy ban nhân dân xã Hà Thái  tỉnh Thanh Hóa</v>
      </c>
      <c r="C11119" t="str">
        <v>-</v>
      </c>
      <c r="D11119" t="str">
        <v>-</v>
      </c>
      <c r="E11119" t="str">
        <v>-</v>
      </c>
      <c r="F11119" t="str">
        <v>-</v>
      </c>
      <c r="G11119" t="str">
        <v>-</v>
      </c>
    </row>
    <row r="11120">
      <c r="A11120">
        <v>11119</v>
      </c>
      <c r="B11120" t="str">
        <v>Công an xã Hà Hải  tỉnh Thanh Hóa</v>
      </c>
      <c r="C11120" t="str">
        <v>-</v>
      </c>
      <c r="D11120" t="str">
        <v>-</v>
      </c>
      <c r="E11120" t="str">
        <v/>
      </c>
      <c r="F11120" t="str">
        <v>-</v>
      </c>
      <c r="G11120" t="str">
        <v>-</v>
      </c>
    </row>
    <row r="11121">
      <c r="A11121">
        <v>11120</v>
      </c>
      <c r="B11121" t="str">
        <v>UBND Ủy ban nhân dân xã Hà Hải  tỉnh Thanh Hóa</v>
      </c>
      <c r="C11121" t="str">
        <v>-</v>
      </c>
      <c r="D11121" t="str">
        <v>-</v>
      </c>
      <c r="E11121" t="str">
        <v>-</v>
      </c>
      <c r="F11121" t="str">
        <v>-</v>
      </c>
      <c r="G11121" t="str">
        <v>-</v>
      </c>
    </row>
    <row r="11122">
      <c r="A11122">
        <v>11121</v>
      </c>
      <c r="B11122" t="str">
        <v>Công an thị trấn Vĩnh Lộc  tỉnh Thanh Hóa</v>
      </c>
      <c r="C11122" t="str">
        <v>-</v>
      </c>
      <c r="D11122" t="str">
        <v>-</v>
      </c>
      <c r="E11122" t="str">
        <v/>
      </c>
      <c r="F11122" t="str">
        <v>-</v>
      </c>
      <c r="G11122" t="str">
        <v>-</v>
      </c>
    </row>
    <row r="11123">
      <c r="A11123">
        <v>11122</v>
      </c>
      <c r="B11123" t="str">
        <v>UBND Ủy ban nhân dân thị trấn Vĩnh Lộc  tỉnh Thanh Hóa</v>
      </c>
      <c r="C11123" t="str">
        <v>-</v>
      </c>
      <c r="D11123" t="str">
        <v>-</v>
      </c>
      <c r="E11123" t="str">
        <v>-</v>
      </c>
      <c r="F11123" t="str">
        <v>-</v>
      </c>
      <c r="G11123" t="str">
        <v>-</v>
      </c>
    </row>
    <row r="11124">
      <c r="A11124">
        <v>11123</v>
      </c>
      <c r="B11124" t="str">
        <v>Công an xã Vĩnh Thành  tỉnh Thanh Hóa</v>
      </c>
      <c r="C11124" t="str">
        <v>-</v>
      </c>
      <c r="D11124" t="str">
        <v>-</v>
      </c>
      <c r="E11124" t="str">
        <v/>
      </c>
      <c r="F11124" t="str">
        <v>-</v>
      </c>
      <c r="G11124" t="str">
        <v>-</v>
      </c>
    </row>
    <row r="11125">
      <c r="A11125">
        <v>11124</v>
      </c>
      <c r="B11125" t="str">
        <v>UBND Ủy ban nhân dân xã Vĩnh Thành  tỉnh Thanh Hóa</v>
      </c>
      <c r="C11125" t="str">
        <v>-</v>
      </c>
      <c r="D11125" t="str">
        <v>-</v>
      </c>
      <c r="E11125" t="str">
        <v>-</v>
      </c>
      <c r="F11125" t="str">
        <v>-</v>
      </c>
      <c r="G11125" t="str">
        <v>-</v>
      </c>
    </row>
    <row r="11126">
      <c r="A11126">
        <v>11125</v>
      </c>
      <c r="B11126" t="str">
        <v>Công an xã Vĩnh Quang  tỉnh Thanh Hóa</v>
      </c>
      <c r="C11126" t="str">
        <v>-</v>
      </c>
      <c r="D11126" t="str">
        <v>-</v>
      </c>
      <c r="E11126" t="str">
        <v/>
      </c>
      <c r="F11126" t="str">
        <v>-</v>
      </c>
      <c r="G11126" t="str">
        <v>-</v>
      </c>
    </row>
    <row r="11127">
      <c r="A11127">
        <v>11126</v>
      </c>
      <c r="B11127" t="str">
        <v>UBND Ủy ban nhân dân xã Vĩnh Quang  tỉnh Thanh Hóa</v>
      </c>
      <c r="C11127" t="str">
        <v>-</v>
      </c>
      <c r="D11127" t="str">
        <v>-</v>
      </c>
      <c r="E11127" t="str">
        <v>-</v>
      </c>
      <c r="F11127" t="str">
        <v>-</v>
      </c>
      <c r="G11127" t="str">
        <v>-</v>
      </c>
    </row>
    <row r="11128">
      <c r="A11128">
        <v>11127</v>
      </c>
      <c r="B11128" t="str">
        <v>Công an xã Vĩnh Yên  tỉnh Thanh Hóa</v>
      </c>
      <c r="C11128" t="str">
        <v>-</v>
      </c>
      <c r="D11128" t="str">
        <v>-</v>
      </c>
      <c r="E11128" t="str">
        <v/>
      </c>
      <c r="F11128" t="str">
        <v>-</v>
      </c>
      <c r="G11128" t="str">
        <v>-</v>
      </c>
    </row>
    <row r="11129">
      <c r="A11129">
        <v>11128</v>
      </c>
      <c r="B11129" t="str">
        <v>UBND Ủy ban nhân dân xã Vĩnh Yên  tỉnh Thanh Hóa</v>
      </c>
      <c r="C11129" t="str">
        <v>-</v>
      </c>
      <c r="D11129" t="str">
        <v>-</v>
      </c>
      <c r="E11129" t="str">
        <v>-</v>
      </c>
      <c r="F11129" t="str">
        <v>-</v>
      </c>
      <c r="G11129" t="str">
        <v>-</v>
      </c>
    </row>
    <row r="11130">
      <c r="A11130">
        <v>11129</v>
      </c>
      <c r="B11130" t="str">
        <v>Công an xã Vĩnh Tiến  tỉnh Thanh Hóa</v>
      </c>
      <c r="C11130" t="str">
        <v>-</v>
      </c>
      <c r="D11130" t="str">
        <v>-</v>
      </c>
      <c r="E11130" t="str">
        <v/>
      </c>
      <c r="F11130" t="str">
        <v>-</v>
      </c>
      <c r="G11130" t="str">
        <v>-</v>
      </c>
    </row>
    <row r="11131">
      <c r="A11131">
        <v>11130</v>
      </c>
      <c r="B11131" t="str">
        <v>UBND Ủy ban nhân dân xã Vĩnh Tiến  tỉnh Thanh Hóa</v>
      </c>
      <c r="C11131" t="str">
        <v>-</v>
      </c>
      <c r="D11131" t="str">
        <v>-</v>
      </c>
      <c r="E11131" t="str">
        <v>-</v>
      </c>
      <c r="F11131" t="str">
        <v>-</v>
      </c>
      <c r="G11131" t="str">
        <v>-</v>
      </c>
    </row>
    <row r="11132">
      <c r="A11132">
        <v>11131</v>
      </c>
      <c r="B11132" t="str">
        <v>Công an xã Vĩnh Long  tỉnh Thanh Hóa</v>
      </c>
      <c r="C11132" t="str">
        <v>-</v>
      </c>
      <c r="D11132" t="str">
        <v>-</v>
      </c>
      <c r="E11132" t="str">
        <v/>
      </c>
      <c r="F11132" t="str">
        <v>-</v>
      </c>
      <c r="G11132" t="str">
        <v>-</v>
      </c>
    </row>
    <row r="11133">
      <c r="A11133">
        <v>11132</v>
      </c>
      <c r="B11133" t="str">
        <v>UBND Ủy ban nhân dân xã Vĩnh Long  tỉnh Thanh Hóa</v>
      </c>
      <c r="C11133" t="str">
        <v>-</v>
      </c>
      <c r="D11133" t="str">
        <v>-</v>
      </c>
      <c r="E11133" t="str">
        <v>-</v>
      </c>
      <c r="F11133" t="str">
        <v>-</v>
      </c>
      <c r="G11133" t="str">
        <v>-</v>
      </c>
    </row>
    <row r="11134">
      <c r="A11134">
        <v>11133</v>
      </c>
      <c r="B11134" t="str">
        <v>Công an xã Vĩnh Phúc  tỉnh Thanh Hóa</v>
      </c>
      <c r="C11134" t="str">
        <v>-</v>
      </c>
      <c r="D11134" t="str">
        <v>-</v>
      </c>
      <c r="E11134" t="str">
        <v/>
      </c>
      <c r="F11134" t="str">
        <v>-</v>
      </c>
      <c r="G11134" t="str">
        <v>-</v>
      </c>
    </row>
    <row r="11135">
      <c r="A11135">
        <v>11134</v>
      </c>
      <c r="B11135" t="str">
        <v>UBND Ủy ban nhân dân xã Vĩnh Phúc  tỉnh Thanh Hóa</v>
      </c>
      <c r="C11135" t="str">
        <v>-</v>
      </c>
      <c r="D11135" t="str">
        <v>-</v>
      </c>
      <c r="E11135" t="str">
        <v>-</v>
      </c>
      <c r="F11135" t="str">
        <v>-</v>
      </c>
      <c r="G11135" t="str">
        <v>-</v>
      </c>
    </row>
    <row r="11136">
      <c r="A11136">
        <v>11135</v>
      </c>
      <c r="B11136" t="str">
        <v>Công an xã Vĩnh Hưng  tỉnh Thanh Hóa</v>
      </c>
      <c r="C11136" t="str">
        <v>-</v>
      </c>
      <c r="D11136" t="str">
        <v>-</v>
      </c>
      <c r="E11136" t="str">
        <v/>
      </c>
      <c r="F11136" t="str">
        <v>-</v>
      </c>
      <c r="G11136" t="str">
        <v>-</v>
      </c>
    </row>
    <row r="11137">
      <c r="A11137">
        <v>11136</v>
      </c>
      <c r="B11137" t="str">
        <v>UBND Ủy ban nhân dân xã Vĩnh Hưng  tỉnh Thanh Hóa</v>
      </c>
      <c r="C11137" t="str">
        <v>-</v>
      </c>
      <c r="D11137" t="str">
        <v>-</v>
      </c>
      <c r="E11137" t="str">
        <v>-</v>
      </c>
      <c r="F11137" t="str">
        <v>-</v>
      </c>
      <c r="G11137" t="str">
        <v>-</v>
      </c>
    </row>
    <row r="11138">
      <c r="A11138">
        <v>11137</v>
      </c>
      <c r="B11138" t="str">
        <v>Công an xã Vĩnh Minh  tỉnh Thanh Hóa</v>
      </c>
      <c r="C11138" t="str">
        <v>-</v>
      </c>
      <c r="D11138" t="str">
        <v>-</v>
      </c>
      <c r="E11138" t="str">
        <v/>
      </c>
      <c r="F11138" t="str">
        <v>-</v>
      </c>
      <c r="G11138" t="str">
        <v>-</v>
      </c>
    </row>
    <row r="11139">
      <c r="A11139">
        <v>11138</v>
      </c>
      <c r="B11139" t="str">
        <v>UBND Ủy ban nhân dân xã Vĩnh Minh  tỉnh Thanh Hóa</v>
      </c>
      <c r="C11139" t="str">
        <v>-</v>
      </c>
      <c r="D11139" t="str">
        <v>-</v>
      </c>
      <c r="E11139" t="str">
        <v>-</v>
      </c>
      <c r="F11139" t="str">
        <v>-</v>
      </c>
      <c r="G11139" t="str">
        <v>-</v>
      </c>
    </row>
    <row r="11140">
      <c r="A11140">
        <v>11139</v>
      </c>
      <c r="B11140" t="str">
        <v>Công an xã Vĩnh Khang  tỉnh Thanh Hóa</v>
      </c>
      <c r="C11140" t="str">
        <v>-</v>
      </c>
      <c r="D11140" t="str">
        <v>-</v>
      </c>
      <c r="E11140" t="str">
        <v/>
      </c>
      <c r="F11140" t="str">
        <v>-</v>
      </c>
      <c r="G11140" t="str">
        <v>-</v>
      </c>
    </row>
    <row r="11141">
      <c r="A11141">
        <v>11140</v>
      </c>
      <c r="B11141" t="str">
        <v>UBND Ủy ban nhân dân xã Vĩnh Khang  tỉnh Thanh Hóa</v>
      </c>
      <c r="C11141" t="str">
        <v>-</v>
      </c>
      <c r="D11141" t="str">
        <v>-</v>
      </c>
      <c r="E11141" t="str">
        <v>-</v>
      </c>
      <c r="F11141" t="str">
        <v>-</v>
      </c>
      <c r="G11141" t="str">
        <v>-</v>
      </c>
    </row>
    <row r="11142">
      <c r="A11142">
        <v>11141</v>
      </c>
      <c r="B11142" t="str">
        <v>Công an xã Vĩnh Hòa  tỉnh Thanh Hóa</v>
      </c>
      <c r="C11142" t="str">
        <v>-</v>
      </c>
      <c r="D11142" t="str">
        <v>-</v>
      </c>
      <c r="E11142" t="str">
        <v/>
      </c>
      <c r="F11142" t="str">
        <v>-</v>
      </c>
      <c r="G11142" t="str">
        <v>-</v>
      </c>
    </row>
    <row r="11143">
      <c r="A11143">
        <v>11142</v>
      </c>
      <c r="B11143" t="str">
        <v>UBND Ủy ban nhân dân xã Vĩnh Hòa  tỉnh Thanh Hóa</v>
      </c>
      <c r="C11143" t="str">
        <v>-</v>
      </c>
      <c r="D11143" t="str">
        <v>-</v>
      </c>
      <c r="E11143" t="str">
        <v>-</v>
      </c>
      <c r="F11143" t="str">
        <v>-</v>
      </c>
      <c r="G11143" t="str">
        <v>-</v>
      </c>
    </row>
    <row r="11144">
      <c r="A11144">
        <v>11143</v>
      </c>
      <c r="B11144" t="str">
        <v>Công an xã Vĩnh Hùng  tỉnh Thanh Hóa</v>
      </c>
      <c r="C11144" t="str">
        <v>-</v>
      </c>
      <c r="D11144" t="str">
        <v>-</v>
      </c>
      <c r="E11144" t="str">
        <v/>
      </c>
      <c r="F11144" t="str">
        <v>-</v>
      </c>
      <c r="G11144" t="str">
        <v>-</v>
      </c>
    </row>
    <row r="11145">
      <c r="A11145">
        <v>11144</v>
      </c>
      <c r="B11145" t="str">
        <v>UBND Ủy ban nhân dân xã Vĩnh Hùng  tỉnh Thanh Hóa</v>
      </c>
      <c r="C11145" t="str">
        <v>-</v>
      </c>
      <c r="D11145" t="str">
        <v>-</v>
      </c>
      <c r="E11145" t="str">
        <v>-</v>
      </c>
      <c r="F11145" t="str">
        <v>-</v>
      </c>
      <c r="G11145" t="str">
        <v>-</v>
      </c>
    </row>
    <row r="11146">
      <c r="A11146">
        <v>11145</v>
      </c>
      <c r="B11146" t="str">
        <v>Công an xã Vĩnh Tân  tỉnh Thanh Hóa</v>
      </c>
      <c r="C11146" t="str">
        <v>-</v>
      </c>
      <c r="D11146" t="str">
        <v>-</v>
      </c>
      <c r="E11146" t="str">
        <v/>
      </c>
      <c r="F11146" t="str">
        <v>-</v>
      </c>
      <c r="G11146" t="str">
        <v>-</v>
      </c>
    </row>
    <row r="11147">
      <c r="A11147">
        <v>11146</v>
      </c>
      <c r="B11147" t="str">
        <v>UBND Ủy ban nhân dân xã Vĩnh Tân  tỉnh Thanh Hóa</v>
      </c>
      <c r="C11147" t="str">
        <v>-</v>
      </c>
      <c r="D11147" t="str">
        <v>-</v>
      </c>
      <c r="E11147" t="str">
        <v>-</v>
      </c>
      <c r="F11147" t="str">
        <v>-</v>
      </c>
      <c r="G11147" t="str">
        <v>-</v>
      </c>
    </row>
    <row r="11148">
      <c r="A11148">
        <v>11147</v>
      </c>
      <c r="B11148" t="str">
        <v>Công an xã Vĩnh Ninh  tỉnh Thanh Hóa</v>
      </c>
      <c r="C11148" t="str">
        <v>-</v>
      </c>
      <c r="D11148" t="str">
        <v>-</v>
      </c>
      <c r="E11148" t="str">
        <v/>
      </c>
      <c r="F11148" t="str">
        <v>-</v>
      </c>
      <c r="G11148" t="str">
        <v>-</v>
      </c>
    </row>
    <row r="11149">
      <c r="A11149">
        <v>11148</v>
      </c>
      <c r="B11149" t="str">
        <v>UBND Ủy ban nhân dân xã Vĩnh Ninh  tỉnh Thanh Hóa</v>
      </c>
      <c r="C11149" t="str">
        <v>-</v>
      </c>
      <c r="D11149" t="str">
        <v>-</v>
      </c>
      <c r="E11149" t="str">
        <v>-</v>
      </c>
      <c r="F11149" t="str">
        <v>-</v>
      </c>
      <c r="G11149" t="str">
        <v>-</v>
      </c>
    </row>
    <row r="11150">
      <c r="A11150">
        <v>11149</v>
      </c>
      <c r="B11150" t="str">
        <v>Công an xã Vĩnh Thịnh  tỉnh Thanh Hóa</v>
      </c>
      <c r="C11150" t="str">
        <v>-</v>
      </c>
      <c r="D11150" t="str">
        <v>-</v>
      </c>
      <c r="E11150" t="str">
        <v/>
      </c>
      <c r="F11150" t="str">
        <v>-</v>
      </c>
      <c r="G11150" t="str">
        <v>-</v>
      </c>
    </row>
    <row r="11151">
      <c r="A11151">
        <v>11150</v>
      </c>
      <c r="B11151" t="str">
        <v>UBND Ủy ban nhân dân xã Vĩnh Thịnh  tỉnh Thanh Hóa</v>
      </c>
      <c r="C11151" t="str">
        <v>-</v>
      </c>
      <c r="D11151" t="str">
        <v>-</v>
      </c>
      <c r="E11151" t="str">
        <v>-</v>
      </c>
      <c r="F11151" t="str">
        <v>-</v>
      </c>
      <c r="G11151" t="str">
        <v>-</v>
      </c>
    </row>
    <row r="11152">
      <c r="A11152">
        <v>11151</v>
      </c>
      <c r="B11152" t="str">
        <v>Công an xã Vĩnh An  tỉnh Thanh Hóa</v>
      </c>
      <c r="C11152" t="str">
        <v>-</v>
      </c>
      <c r="D11152" t="str">
        <v>-</v>
      </c>
      <c r="E11152" t="str">
        <v/>
      </c>
      <c r="F11152" t="str">
        <v>-</v>
      </c>
      <c r="G11152" t="str">
        <v>-</v>
      </c>
    </row>
    <row r="11153">
      <c r="A11153">
        <v>11152</v>
      </c>
      <c r="B11153" t="str">
        <v>UBND Ủy ban nhân dân xã Vĩnh An  tỉnh Thanh Hóa</v>
      </c>
      <c r="C11153" t="str">
        <v>-</v>
      </c>
      <c r="D11153" t="str">
        <v>-</v>
      </c>
      <c r="E11153" t="str">
        <v>-</v>
      </c>
      <c r="F11153" t="str">
        <v>-</v>
      </c>
      <c r="G11153" t="str">
        <v>-</v>
      </c>
    </row>
    <row r="11154">
      <c r="A11154">
        <v>11153</v>
      </c>
      <c r="B11154" t="str">
        <v>Công an thị trấn Quán Lào  tỉnh Thanh Hóa</v>
      </c>
      <c r="C11154" t="str">
        <v>-</v>
      </c>
      <c r="D11154" t="str">
        <v>-</v>
      </c>
      <c r="E11154" t="str">
        <v/>
      </c>
      <c r="F11154" t="str">
        <v>-</v>
      </c>
      <c r="G11154" t="str">
        <v>-</v>
      </c>
    </row>
    <row r="11155">
      <c r="A11155">
        <v>11154</v>
      </c>
      <c r="B11155" t="str">
        <v>UBND Ủy ban nhân dân thị trấn Quán Lào  tỉnh Thanh Hóa</v>
      </c>
      <c r="C11155" t="str">
        <v>-</v>
      </c>
      <c r="D11155" t="str">
        <v>-</v>
      </c>
      <c r="E11155" t="str">
        <v>-</v>
      </c>
      <c r="F11155" t="str">
        <v>-</v>
      </c>
      <c r="G11155" t="str">
        <v>-</v>
      </c>
    </row>
    <row r="11156">
      <c r="A11156">
        <v>11155</v>
      </c>
      <c r="B11156" t="str">
        <v>Công an thị trấn Thống Nhất  tỉnh Thanh Hóa</v>
      </c>
      <c r="C11156" t="str">
        <v>-</v>
      </c>
      <c r="D11156" t="str">
        <v>-</v>
      </c>
      <c r="E11156" t="str">
        <v/>
      </c>
      <c r="F11156" t="str">
        <v>-</v>
      </c>
      <c r="G11156" t="str">
        <v>-</v>
      </c>
    </row>
    <row r="11157">
      <c r="A11157">
        <v>11156</v>
      </c>
      <c r="B11157" t="str">
        <v>UBND Ủy ban nhân dân thị trấn Thống Nhất  tỉnh Thanh Hóa</v>
      </c>
      <c r="C11157" t="str">
        <v>-</v>
      </c>
      <c r="D11157" t="str">
        <v>-</v>
      </c>
      <c r="E11157" t="str">
        <v>-</v>
      </c>
      <c r="F11157" t="str">
        <v>-</v>
      </c>
      <c r="G11157" t="str">
        <v>-</v>
      </c>
    </row>
    <row r="11158">
      <c r="A11158">
        <v>11157</v>
      </c>
      <c r="B11158" t="str">
        <v>Công an xã Yên Phú  tỉnh Thanh Hóa</v>
      </c>
      <c r="C11158" t="str">
        <v>-</v>
      </c>
      <c r="D11158" t="str">
        <v>-</v>
      </c>
      <c r="E11158" t="str">
        <v/>
      </c>
      <c r="F11158" t="str">
        <v>-</v>
      </c>
      <c r="G11158" t="str">
        <v>-</v>
      </c>
    </row>
    <row r="11159">
      <c r="A11159">
        <v>11158</v>
      </c>
      <c r="B11159" t="str">
        <v>UBND Ủy ban nhân dân xã Yên Phú  tỉnh Thanh Hóa</v>
      </c>
      <c r="C11159" t="str">
        <v>-</v>
      </c>
      <c r="D11159" t="str">
        <v>-</v>
      </c>
      <c r="E11159" t="str">
        <v>-</v>
      </c>
      <c r="F11159" t="str">
        <v>-</v>
      </c>
      <c r="G11159" t="str">
        <v>-</v>
      </c>
    </row>
    <row r="11160">
      <c r="A11160">
        <v>11159</v>
      </c>
      <c r="B11160" t="str">
        <v>Công an xã Yên Lâm  tỉnh Thanh Hóa</v>
      </c>
      <c r="C11160" t="str">
        <v>-</v>
      </c>
      <c r="D11160" t="str">
        <v>-</v>
      </c>
      <c r="E11160" t="str">
        <v/>
      </c>
      <c r="F11160" t="str">
        <v>-</v>
      </c>
      <c r="G11160" t="str">
        <v>-</v>
      </c>
    </row>
    <row r="11161">
      <c r="A11161">
        <v>11160</v>
      </c>
      <c r="B11161" t="str">
        <v>UBND Ủy ban nhân dân xã Yên Lâm  tỉnh Thanh Hóa</v>
      </c>
      <c r="C11161" t="str">
        <v>-</v>
      </c>
      <c r="D11161" t="str">
        <v>-</v>
      </c>
      <c r="E11161" t="str">
        <v>-</v>
      </c>
      <c r="F11161" t="str">
        <v>-</v>
      </c>
      <c r="G11161" t="str">
        <v>-</v>
      </c>
    </row>
    <row r="11162">
      <c r="A11162">
        <v>11161</v>
      </c>
      <c r="B11162" t="str">
        <v>Công an xã Yên Tâm  tỉnh Thanh Hóa</v>
      </c>
      <c r="C11162" t="str">
        <v>-</v>
      </c>
      <c r="D11162" t="str">
        <v>-</v>
      </c>
      <c r="E11162" t="str">
        <v/>
      </c>
      <c r="F11162" t="str">
        <v>-</v>
      </c>
      <c r="G11162" t="str">
        <v>-</v>
      </c>
    </row>
    <row r="11163">
      <c r="A11163">
        <v>11162</v>
      </c>
      <c r="B11163" t="str">
        <v>UBND Ủy ban nhân dân xã Yên Tâm  tỉnh Thanh Hóa</v>
      </c>
      <c r="C11163" t="str">
        <v>-</v>
      </c>
      <c r="D11163" t="str">
        <v>-</v>
      </c>
      <c r="E11163" t="str">
        <v>-</v>
      </c>
      <c r="F11163" t="str">
        <v>-</v>
      </c>
      <c r="G11163" t="str">
        <v>-</v>
      </c>
    </row>
    <row r="11164">
      <c r="A11164">
        <v>11163</v>
      </c>
      <c r="B11164" t="str">
        <v>Công an xã Yên Giang  tỉnh Thanh Hóa</v>
      </c>
      <c r="C11164" t="str">
        <v>-</v>
      </c>
      <c r="D11164" t="str">
        <v>-</v>
      </c>
      <c r="E11164" t="str">
        <v/>
      </c>
      <c r="F11164" t="str">
        <v>-</v>
      </c>
      <c r="G11164" t="str">
        <v>-</v>
      </c>
    </row>
    <row r="11165">
      <c r="A11165">
        <v>11164</v>
      </c>
      <c r="B11165" t="str">
        <v>UBND Ủy ban nhân dân xã Yên Giang  tỉnh Thanh Hóa</v>
      </c>
      <c r="C11165" t="str">
        <v>-</v>
      </c>
      <c r="D11165" t="str">
        <v>-</v>
      </c>
      <c r="E11165" t="str">
        <v>-</v>
      </c>
      <c r="F11165" t="str">
        <v>-</v>
      </c>
      <c r="G11165" t="str">
        <v>-</v>
      </c>
    </row>
    <row r="11166">
      <c r="A11166">
        <v>11165</v>
      </c>
      <c r="B11166" t="str">
        <v>Công an xã Quí Lộc  tỉnh Thanh Hóa</v>
      </c>
      <c r="C11166" t="str">
        <v>-</v>
      </c>
      <c r="D11166" t="str">
        <v>-</v>
      </c>
      <c r="E11166" t="str">
        <v/>
      </c>
      <c r="F11166" t="str">
        <v>-</v>
      </c>
      <c r="G11166" t="str">
        <v>-</v>
      </c>
    </row>
    <row r="11167">
      <c r="A11167">
        <v>11166</v>
      </c>
      <c r="B11167" t="str">
        <v>UBND Ủy ban nhân dân xã Quí Lộc  tỉnh Thanh Hóa</v>
      </c>
      <c r="C11167" t="str">
        <v>-</v>
      </c>
      <c r="D11167" t="str">
        <v>-</v>
      </c>
      <c r="E11167" t="str">
        <v>-</v>
      </c>
      <c r="F11167" t="str">
        <v>-</v>
      </c>
      <c r="G11167" t="str">
        <v>-</v>
      </c>
    </row>
    <row r="11168">
      <c r="A11168">
        <v>11167</v>
      </c>
      <c r="B11168" t="str">
        <v>Công an xã Yên Thọ  tỉnh Thanh Hóa</v>
      </c>
      <c r="C11168" t="str">
        <v>-</v>
      </c>
      <c r="D11168" t="str">
        <v>-</v>
      </c>
      <c r="E11168" t="str">
        <v/>
      </c>
      <c r="F11168" t="str">
        <v>-</v>
      </c>
      <c r="G11168" t="str">
        <v>-</v>
      </c>
    </row>
    <row r="11169">
      <c r="A11169">
        <v>11168</v>
      </c>
      <c r="B11169" t="str">
        <v>UBND Ủy ban nhân dân xã Yên Thọ  tỉnh Thanh Hóa</v>
      </c>
      <c r="C11169" t="str">
        <v>-</v>
      </c>
      <c r="D11169" t="str">
        <v>-</v>
      </c>
      <c r="E11169" t="str">
        <v>-</v>
      </c>
      <c r="F11169" t="str">
        <v>-</v>
      </c>
      <c r="G11169" t="str">
        <v>-</v>
      </c>
    </row>
    <row r="11170">
      <c r="A11170">
        <v>11169</v>
      </c>
      <c r="B11170" t="str">
        <v>Công an xã Yên Trung  tỉnh Thanh Hóa</v>
      </c>
      <c r="C11170" t="str">
        <v>-</v>
      </c>
      <c r="D11170" t="str">
        <v>-</v>
      </c>
      <c r="E11170" t="str">
        <v/>
      </c>
      <c r="F11170" t="str">
        <v>-</v>
      </c>
      <c r="G11170" t="str">
        <v>-</v>
      </c>
    </row>
    <row r="11171">
      <c r="A11171">
        <v>11170</v>
      </c>
      <c r="B11171" t="str">
        <v>UBND Ủy ban nhân dân xã Yên Trung  tỉnh Thanh Hóa</v>
      </c>
      <c r="C11171" t="str">
        <v>-</v>
      </c>
      <c r="D11171" t="str">
        <v>-</v>
      </c>
      <c r="E11171" t="str">
        <v>-</v>
      </c>
      <c r="F11171" t="str">
        <v>-</v>
      </c>
      <c r="G11171" t="str">
        <v>-</v>
      </c>
    </row>
    <row r="11172">
      <c r="A11172">
        <v>11171</v>
      </c>
      <c r="B11172" t="str">
        <v>Công an xã Yên Trường  tỉnh Thanh Hóa</v>
      </c>
      <c r="C11172" t="str">
        <v>-</v>
      </c>
      <c r="D11172" t="str">
        <v>-</v>
      </c>
      <c r="E11172" t="str">
        <v/>
      </c>
      <c r="F11172" t="str">
        <v>-</v>
      </c>
      <c r="G11172" t="str">
        <v>-</v>
      </c>
    </row>
    <row r="11173">
      <c r="A11173">
        <v>11172</v>
      </c>
      <c r="B11173" t="str">
        <v>UBND Ủy ban nhân dân xã Yên Trường  tỉnh Thanh Hóa</v>
      </c>
      <c r="C11173" t="str">
        <v>-</v>
      </c>
      <c r="D11173" t="str">
        <v>-</v>
      </c>
      <c r="E11173" t="str">
        <v>-</v>
      </c>
      <c r="F11173" t="str">
        <v>-</v>
      </c>
      <c r="G11173" t="str">
        <v>-</v>
      </c>
    </row>
    <row r="11174">
      <c r="A11174">
        <v>11173</v>
      </c>
      <c r="B11174" t="str">
        <v>Công an xã Yên Bái  tỉnh Thanh Hóa</v>
      </c>
      <c r="C11174" t="str">
        <v>-</v>
      </c>
      <c r="D11174" t="str">
        <v>-</v>
      </c>
      <c r="E11174" t="str">
        <v/>
      </c>
      <c r="F11174" t="str">
        <v>-</v>
      </c>
      <c r="G11174" t="str">
        <v>-</v>
      </c>
    </row>
    <row r="11175">
      <c r="A11175">
        <v>11174</v>
      </c>
      <c r="B11175" t="str">
        <v>UBND Ủy ban nhân dân xã Yên Bái  tỉnh Thanh Hóa</v>
      </c>
      <c r="C11175" t="str">
        <v>-</v>
      </c>
      <c r="D11175" t="str">
        <v>-</v>
      </c>
      <c r="E11175" t="str">
        <v>-</v>
      </c>
      <c r="F11175" t="str">
        <v>-</v>
      </c>
      <c r="G11175" t="str">
        <v>-</v>
      </c>
    </row>
    <row r="11176">
      <c r="A11176">
        <v>11175</v>
      </c>
      <c r="B11176" t="str">
        <v>Công an xã Yên Phong  tỉnh Thanh Hóa</v>
      </c>
      <c r="C11176" t="str">
        <v>-</v>
      </c>
      <c r="D11176" t="str">
        <v>-</v>
      </c>
      <c r="E11176" t="str">
        <v/>
      </c>
      <c r="F11176" t="str">
        <v>-</v>
      </c>
      <c r="G11176" t="str">
        <v>-</v>
      </c>
    </row>
    <row r="11177">
      <c r="A11177">
        <v>11176</v>
      </c>
      <c r="B11177" t="str">
        <v>UBND Ủy ban nhân dân xã Yên Phong  tỉnh Thanh Hóa</v>
      </c>
      <c r="C11177" t="str">
        <v>-</v>
      </c>
      <c r="D11177" t="str">
        <v>-</v>
      </c>
      <c r="E11177" t="str">
        <v>-</v>
      </c>
      <c r="F11177" t="str">
        <v>-</v>
      </c>
      <c r="G11177" t="str">
        <v>-</v>
      </c>
    </row>
    <row r="11178">
      <c r="A11178">
        <v>11177</v>
      </c>
      <c r="B11178" t="str">
        <v>Công an xã Yên Thái  tỉnh Thanh Hóa</v>
      </c>
      <c r="C11178" t="str">
        <v>-</v>
      </c>
      <c r="D11178" t="str">
        <v>-</v>
      </c>
      <c r="E11178" t="str">
        <v/>
      </c>
      <c r="F11178" t="str">
        <v>-</v>
      </c>
      <c r="G11178" t="str">
        <v>-</v>
      </c>
    </row>
    <row r="11179">
      <c r="A11179">
        <v>11178</v>
      </c>
      <c r="B11179" t="str">
        <v>UBND Ủy ban nhân dân xã Yên Thái  tỉnh Thanh Hóa</v>
      </c>
      <c r="C11179" t="str">
        <v>-</v>
      </c>
      <c r="D11179" t="str">
        <v>-</v>
      </c>
      <c r="E11179" t="str">
        <v>-</v>
      </c>
      <c r="F11179" t="str">
        <v>-</v>
      </c>
      <c r="G11179" t="str">
        <v>-</v>
      </c>
    </row>
    <row r="11180">
      <c r="A11180">
        <v>11179</v>
      </c>
      <c r="B11180" t="str">
        <v>Công an xã Yên Hùng  tỉnh Thanh Hóa</v>
      </c>
      <c r="C11180" t="str">
        <v>-</v>
      </c>
      <c r="D11180" t="str">
        <v>-</v>
      </c>
      <c r="E11180" t="str">
        <v/>
      </c>
      <c r="F11180" t="str">
        <v>-</v>
      </c>
      <c r="G11180" t="str">
        <v>-</v>
      </c>
    </row>
    <row r="11181">
      <c r="A11181">
        <v>11180</v>
      </c>
      <c r="B11181" t="str">
        <v>UBND Ủy ban nhân dân xã Yên Hùng  tỉnh Thanh Hóa</v>
      </c>
      <c r="C11181" t="str">
        <v>-</v>
      </c>
      <c r="D11181" t="str">
        <v>-</v>
      </c>
      <c r="E11181" t="str">
        <v>-</v>
      </c>
      <c r="F11181" t="str">
        <v>-</v>
      </c>
      <c r="G11181" t="str">
        <v>-</v>
      </c>
    </row>
    <row r="11182">
      <c r="A11182">
        <v>11181</v>
      </c>
      <c r="B11182" t="str">
        <v>Công an xã Yên Thịnh  tỉnh Thanh Hóa</v>
      </c>
      <c r="C11182" t="str">
        <v>-</v>
      </c>
      <c r="D11182" t="str">
        <v>-</v>
      </c>
      <c r="E11182" t="str">
        <v/>
      </c>
      <c r="F11182" t="str">
        <v>-</v>
      </c>
      <c r="G11182" t="str">
        <v>-</v>
      </c>
    </row>
    <row r="11183">
      <c r="A11183">
        <v>11182</v>
      </c>
      <c r="B11183" t="str">
        <v>UBND Ủy ban nhân dân xã Yên Thịnh  tỉnh Thanh Hóa</v>
      </c>
      <c r="C11183" t="str">
        <v>-</v>
      </c>
      <c r="D11183" t="str">
        <v>-</v>
      </c>
      <c r="E11183" t="str">
        <v>-</v>
      </c>
      <c r="F11183" t="str">
        <v>-</v>
      </c>
      <c r="G11183" t="str">
        <v>-</v>
      </c>
    </row>
    <row r="11184">
      <c r="A11184">
        <v>11183</v>
      </c>
      <c r="B11184" t="str">
        <v>Công an xã Yên Ninh  tỉnh Thanh Hóa</v>
      </c>
      <c r="C11184" t="str">
        <v>-</v>
      </c>
      <c r="D11184" t="str">
        <v>-</v>
      </c>
      <c r="E11184" t="str">
        <v/>
      </c>
      <c r="F11184" t="str">
        <v>-</v>
      </c>
      <c r="G11184" t="str">
        <v>-</v>
      </c>
    </row>
    <row r="11185">
      <c r="A11185">
        <v>11184</v>
      </c>
      <c r="B11185" t="str">
        <v>UBND Ủy ban nhân dân xã Yên Ninh  tỉnh Thanh Hóa</v>
      </c>
      <c r="C11185" t="str">
        <v>-</v>
      </c>
      <c r="D11185" t="str">
        <v>-</v>
      </c>
      <c r="E11185" t="str">
        <v>-</v>
      </c>
      <c r="F11185" t="str">
        <v>-</v>
      </c>
      <c r="G11185" t="str">
        <v>-</v>
      </c>
    </row>
    <row r="11186">
      <c r="A11186">
        <v>11185</v>
      </c>
      <c r="B11186" t="str">
        <v>Công an xã Yên Lạc  tỉnh Thanh Hóa</v>
      </c>
      <c r="C11186" t="str">
        <v>-</v>
      </c>
      <c r="D11186" t="str">
        <v>-</v>
      </c>
      <c r="E11186" t="str">
        <v/>
      </c>
      <c r="F11186" t="str">
        <v>-</v>
      </c>
      <c r="G11186" t="str">
        <v>-</v>
      </c>
    </row>
    <row r="11187">
      <c r="A11187">
        <v>11186</v>
      </c>
      <c r="B11187" t="str">
        <v>UBND Ủy ban nhân dân xã Yên Lạc  tỉnh Thanh Hóa</v>
      </c>
      <c r="C11187" t="str">
        <v>-</v>
      </c>
      <c r="D11187" t="str">
        <v>-</v>
      </c>
      <c r="E11187" t="str">
        <v>-</v>
      </c>
      <c r="F11187" t="str">
        <v>-</v>
      </c>
      <c r="G11187" t="str">
        <v>-</v>
      </c>
    </row>
    <row r="11188">
      <c r="A11188">
        <v>11187</v>
      </c>
      <c r="B11188" t="str">
        <v>Công an xã Định Tăng  tỉnh Thanh Hóa</v>
      </c>
      <c r="C11188" t="str">
        <v>-</v>
      </c>
      <c r="D11188" t="str">
        <v>-</v>
      </c>
      <c r="E11188" t="str">
        <v/>
      </c>
      <c r="F11188" t="str">
        <v>-</v>
      </c>
      <c r="G11188" t="str">
        <v>-</v>
      </c>
    </row>
    <row r="11189">
      <c r="A11189">
        <v>11188</v>
      </c>
      <c r="B11189" t="str">
        <v>UBND Ủy ban nhân dân xã Định Tăng  tỉnh Thanh Hóa</v>
      </c>
      <c r="C11189" t="str">
        <v>-</v>
      </c>
      <c r="D11189" t="str">
        <v>-</v>
      </c>
      <c r="E11189" t="str">
        <v>-</v>
      </c>
      <c r="F11189" t="str">
        <v>-</v>
      </c>
      <c r="G11189" t="str">
        <v>-</v>
      </c>
    </row>
    <row r="11190">
      <c r="A11190">
        <v>11189</v>
      </c>
      <c r="B11190" t="str">
        <v>Công an xã Định Hòa  tỉnh Thanh Hóa</v>
      </c>
      <c r="C11190" t="str">
        <v>-</v>
      </c>
      <c r="D11190" t="str">
        <v>-</v>
      </c>
      <c r="E11190" t="str">
        <v/>
      </c>
      <c r="F11190" t="str">
        <v>-</v>
      </c>
      <c r="G11190" t="str">
        <v>-</v>
      </c>
    </row>
    <row r="11191">
      <c r="A11191">
        <v>11190</v>
      </c>
      <c r="B11191" t="str">
        <v>UBND Ủy ban nhân dân xã Định Hòa  tỉnh Thanh Hóa</v>
      </c>
      <c r="C11191" t="str">
        <v>-</v>
      </c>
      <c r="D11191" t="str">
        <v>-</v>
      </c>
      <c r="E11191" t="str">
        <v>-</v>
      </c>
      <c r="F11191" t="str">
        <v>-</v>
      </c>
      <c r="G11191" t="str">
        <v>-</v>
      </c>
    </row>
    <row r="11192">
      <c r="A11192">
        <v>11191</v>
      </c>
      <c r="B11192" t="str">
        <v>Công an xã Định Thành  tỉnh Thanh Hóa</v>
      </c>
      <c r="C11192" t="str">
        <v>-</v>
      </c>
      <c r="D11192" t="str">
        <v>-</v>
      </c>
      <c r="E11192" t="str">
        <v/>
      </c>
      <c r="F11192" t="str">
        <v>-</v>
      </c>
      <c r="G11192" t="str">
        <v>-</v>
      </c>
    </row>
    <row r="11193">
      <c r="A11193">
        <v>11192</v>
      </c>
      <c r="B11193" t="str">
        <v>UBND Ủy ban nhân dân xã Định Thành  tỉnh Thanh Hóa</v>
      </c>
      <c r="C11193" t="str">
        <v>-</v>
      </c>
      <c r="D11193" t="str">
        <v>-</v>
      </c>
      <c r="E11193" t="str">
        <v>-</v>
      </c>
      <c r="F11193" t="str">
        <v>-</v>
      </c>
      <c r="G11193" t="str">
        <v>-</v>
      </c>
    </row>
    <row r="11194">
      <c r="A11194">
        <v>11193</v>
      </c>
      <c r="B11194" t="str">
        <v>Công an xã Định Công  tỉnh Thanh Hóa</v>
      </c>
      <c r="C11194" t="str">
        <v>-</v>
      </c>
      <c r="D11194" t="str">
        <v>-</v>
      </c>
      <c r="E11194" t="str">
        <v/>
      </c>
      <c r="F11194" t="str">
        <v>-</v>
      </c>
      <c r="G11194" t="str">
        <v>-</v>
      </c>
    </row>
    <row r="11195">
      <c r="A11195">
        <v>11194</v>
      </c>
      <c r="B11195" t="str">
        <v>UBND Ủy ban nhân dân xã Định Công  tỉnh Thanh Hóa</v>
      </c>
      <c r="C11195" t="str">
        <v>-</v>
      </c>
      <c r="D11195" t="str">
        <v>-</v>
      </c>
      <c r="E11195" t="str">
        <v>-</v>
      </c>
      <c r="F11195" t="str">
        <v>-</v>
      </c>
      <c r="G11195" t="str">
        <v>-</v>
      </c>
    </row>
    <row r="11196">
      <c r="A11196">
        <v>11195</v>
      </c>
      <c r="B11196" t="str">
        <v>Công an xã Định Tân  tỉnh Thanh Hóa</v>
      </c>
      <c r="C11196" t="str">
        <v>-</v>
      </c>
      <c r="D11196" t="str">
        <v>-</v>
      </c>
      <c r="E11196" t="str">
        <v/>
      </c>
      <c r="F11196" t="str">
        <v>-</v>
      </c>
      <c r="G11196" t="str">
        <v>-</v>
      </c>
    </row>
    <row r="11197">
      <c r="A11197">
        <v>11196</v>
      </c>
      <c r="B11197" t="str">
        <v>UBND Ủy ban nhân dân xã Định Tân  tỉnh Thanh Hóa</v>
      </c>
      <c r="C11197" t="str">
        <v>-</v>
      </c>
      <c r="D11197" t="str">
        <v>-</v>
      </c>
      <c r="E11197" t="str">
        <v>-</v>
      </c>
      <c r="F11197" t="str">
        <v>-</v>
      </c>
      <c r="G11197" t="str">
        <v>-</v>
      </c>
    </row>
    <row r="11198">
      <c r="A11198">
        <v>11197</v>
      </c>
      <c r="B11198" t="str">
        <v>Công an xã Định Tiến  tỉnh Thanh Hóa</v>
      </c>
      <c r="C11198" t="str">
        <v>-</v>
      </c>
      <c r="D11198" t="str">
        <v>-</v>
      </c>
      <c r="E11198" t="str">
        <v/>
      </c>
      <c r="F11198" t="str">
        <v>-</v>
      </c>
      <c r="G11198" t="str">
        <v>-</v>
      </c>
    </row>
    <row r="11199">
      <c r="A11199">
        <v>11198</v>
      </c>
      <c r="B11199" t="str">
        <v>UBND Ủy ban nhân dân xã Định Tiến  tỉnh Thanh Hóa</v>
      </c>
      <c r="C11199" t="str">
        <v>-</v>
      </c>
      <c r="D11199" t="str">
        <v>-</v>
      </c>
      <c r="E11199" t="str">
        <v>-</v>
      </c>
      <c r="F11199" t="str">
        <v>-</v>
      </c>
      <c r="G11199" t="str">
        <v>-</v>
      </c>
    </row>
    <row r="11200">
      <c r="A11200">
        <v>11199</v>
      </c>
      <c r="B11200" t="str">
        <v>Công an xã Định Long  tỉnh Thanh Hóa</v>
      </c>
      <c r="C11200" t="str">
        <v>-</v>
      </c>
      <c r="D11200" t="str">
        <v>-</v>
      </c>
      <c r="E11200" t="str">
        <v/>
      </c>
      <c r="F11200" t="str">
        <v>-</v>
      </c>
      <c r="G11200" t="str">
        <v>-</v>
      </c>
    </row>
    <row r="11201">
      <c r="A11201">
        <v>11200</v>
      </c>
      <c r="B11201" t="str">
        <v>UBND Ủy ban nhân dân xã Định Long  tỉnh Thanh Hóa</v>
      </c>
      <c r="C11201" t="str">
        <v>-</v>
      </c>
      <c r="D11201" t="str">
        <v>-</v>
      </c>
      <c r="E11201" t="str">
        <v>-</v>
      </c>
      <c r="F11201" t="str">
        <v>-</v>
      </c>
      <c r="G11201" t="str">
        <v>-</v>
      </c>
    </row>
    <row r="11202">
      <c r="A11202">
        <v>11201</v>
      </c>
      <c r="B11202" t="str">
        <v>Công an xã Định Liên  tỉnh Thanh Hóa</v>
      </c>
      <c r="C11202" t="str">
        <v>-</v>
      </c>
      <c r="D11202" t="str">
        <v>-</v>
      </c>
      <c r="E11202" t="str">
        <v/>
      </c>
      <c r="F11202" t="str">
        <v>-</v>
      </c>
      <c r="G11202" t="str">
        <v>-</v>
      </c>
    </row>
    <row r="11203">
      <c r="A11203">
        <v>11202</v>
      </c>
      <c r="B11203" t="str">
        <v>UBND Ủy ban nhân dân xã Định Liên  tỉnh Thanh Hóa</v>
      </c>
      <c r="C11203" t="str">
        <v>-</v>
      </c>
      <c r="D11203" t="str">
        <v>-</v>
      </c>
      <c r="E11203" t="str">
        <v>-</v>
      </c>
      <c r="F11203" t="str">
        <v>-</v>
      </c>
      <c r="G11203" t="str">
        <v>-</v>
      </c>
    </row>
    <row r="11204">
      <c r="A11204">
        <v>11203</v>
      </c>
      <c r="B11204" t="str">
        <v>Công an xã Định Tường  tỉnh Thanh Hóa</v>
      </c>
      <c r="C11204" t="str">
        <v>-</v>
      </c>
      <c r="D11204" t="str">
        <v>-</v>
      </c>
      <c r="E11204" t="str">
        <v/>
      </c>
      <c r="F11204" t="str">
        <v>-</v>
      </c>
      <c r="G11204" t="str">
        <v>-</v>
      </c>
    </row>
    <row r="11205">
      <c r="A11205">
        <v>11204</v>
      </c>
      <c r="B11205" t="str">
        <v>UBND Ủy ban nhân dân xã Định Tường  tỉnh Thanh Hóa</v>
      </c>
      <c r="C11205" t="str">
        <v>-</v>
      </c>
      <c r="D11205" t="str">
        <v>-</v>
      </c>
      <c r="E11205" t="str">
        <v>-</v>
      </c>
      <c r="F11205" t="str">
        <v>-</v>
      </c>
      <c r="G11205" t="str">
        <v>-</v>
      </c>
    </row>
    <row r="11206">
      <c r="A11206">
        <v>11205</v>
      </c>
      <c r="B11206" t="str">
        <v>Công an xã Định Hưng  tỉnh Thanh Hóa</v>
      </c>
      <c r="C11206" t="str">
        <v>-</v>
      </c>
      <c r="D11206" t="str">
        <v>-</v>
      </c>
      <c r="E11206" t="str">
        <v/>
      </c>
      <c r="F11206" t="str">
        <v>-</v>
      </c>
      <c r="G11206" t="str">
        <v>-</v>
      </c>
    </row>
    <row r="11207">
      <c r="A11207">
        <v>11206</v>
      </c>
      <c r="B11207" t="str">
        <v>UBND Ủy ban nhân dân xã Định Hưng  tỉnh Thanh Hóa</v>
      </c>
      <c r="C11207" t="str">
        <v>-</v>
      </c>
      <c r="D11207" t="str">
        <v>-</v>
      </c>
      <c r="E11207" t="str">
        <v>-</v>
      </c>
      <c r="F11207" t="str">
        <v>-</v>
      </c>
      <c r="G11207" t="str">
        <v>-</v>
      </c>
    </row>
    <row r="11208">
      <c r="A11208">
        <v>11207</v>
      </c>
      <c r="B11208" t="str">
        <v>Công an xã Định Hải  tỉnh Thanh Hóa</v>
      </c>
      <c r="C11208" t="str">
        <v>-</v>
      </c>
      <c r="D11208" t="str">
        <v>-</v>
      </c>
      <c r="E11208" t="str">
        <v/>
      </c>
      <c r="F11208" t="str">
        <v>-</v>
      </c>
      <c r="G11208" t="str">
        <v>-</v>
      </c>
    </row>
    <row r="11209">
      <c r="A11209">
        <v>11208</v>
      </c>
      <c r="B11209" t="str">
        <v>UBND Ủy ban nhân dân xã Định Hải  tỉnh Thanh Hóa</v>
      </c>
      <c r="C11209" t="str">
        <v>-</v>
      </c>
      <c r="D11209" t="str">
        <v>-</v>
      </c>
      <c r="E11209" t="str">
        <v>-</v>
      </c>
      <c r="F11209" t="str">
        <v>-</v>
      </c>
      <c r="G11209" t="str">
        <v>-</v>
      </c>
    </row>
    <row r="11210">
      <c r="A11210">
        <v>11209</v>
      </c>
      <c r="B11210" t="str">
        <v>Công an xã Định Bình  tỉnh Thanh Hóa</v>
      </c>
      <c r="C11210" t="str">
        <v>-</v>
      </c>
      <c r="D11210" t="str">
        <v>-</v>
      </c>
      <c r="E11210" t="str">
        <v/>
      </c>
      <c r="F11210" t="str">
        <v>-</v>
      </c>
      <c r="G11210" t="str">
        <v>-</v>
      </c>
    </row>
    <row r="11211">
      <c r="A11211">
        <v>11210</v>
      </c>
      <c r="B11211" t="str">
        <v>UBND Ủy ban nhân dân xã Định Bình  tỉnh Thanh Hóa</v>
      </c>
      <c r="C11211" t="str">
        <v>-</v>
      </c>
      <c r="D11211" t="str">
        <v>-</v>
      </c>
      <c r="E11211" t="str">
        <v>-</v>
      </c>
      <c r="F11211" t="str">
        <v>-</v>
      </c>
      <c r="G11211" t="str">
        <v>-</v>
      </c>
    </row>
    <row r="11212">
      <c r="A11212">
        <v>11211</v>
      </c>
      <c r="B11212" t="str">
        <v>Công an thị trấn Thọ Xuân  tỉnh Thanh Hóa</v>
      </c>
      <c r="C11212" t="str">
        <v>-</v>
      </c>
      <c r="D11212" t="str">
        <v>-</v>
      </c>
      <c r="E11212" t="str">
        <v/>
      </c>
      <c r="F11212" t="str">
        <v>-</v>
      </c>
      <c r="G11212" t="str">
        <v>-</v>
      </c>
    </row>
    <row r="11213">
      <c r="A11213">
        <v>11212</v>
      </c>
      <c r="B11213" t="str">
        <v>UBND Ủy ban nhân dân thị trấn Thọ Xuân  tỉnh Thanh Hóa</v>
      </c>
      <c r="C11213" t="str">
        <v>-</v>
      </c>
      <c r="D11213" t="str">
        <v>-</v>
      </c>
      <c r="E11213" t="str">
        <v>-</v>
      </c>
      <c r="F11213" t="str">
        <v>-</v>
      </c>
      <c r="G11213" t="str">
        <v>-</v>
      </c>
    </row>
    <row r="11214">
      <c r="A11214">
        <v>11213</v>
      </c>
      <c r="B11214" t="str">
        <v>Công an thị trấn Lam Sơn  tỉnh Thanh Hóa</v>
      </c>
      <c r="C11214" t="str">
        <v>-</v>
      </c>
      <c r="D11214" t="str">
        <v>-</v>
      </c>
      <c r="E11214" t="str">
        <v/>
      </c>
      <c r="F11214" t="str">
        <v>-</v>
      </c>
      <c r="G11214" t="str">
        <v>-</v>
      </c>
    </row>
    <row r="11215">
      <c r="A11215">
        <v>11214</v>
      </c>
      <c r="B11215" t="str">
        <v>UBND Ủy ban nhân dân thị trấn Lam Sơn  tỉnh Thanh Hóa</v>
      </c>
      <c r="C11215" t="str">
        <v>-</v>
      </c>
      <c r="D11215" t="str">
        <v>-</v>
      </c>
      <c r="E11215" t="str">
        <v>-</v>
      </c>
      <c r="F11215" t="str">
        <v>-</v>
      </c>
      <c r="G11215" t="str">
        <v>-</v>
      </c>
    </row>
    <row r="11216">
      <c r="A11216">
        <v>11215</v>
      </c>
      <c r="B11216" t="str">
        <v>Công an thị trấn Sao Vàng  tỉnh Thanh Hóa</v>
      </c>
      <c r="C11216" t="str">
        <v>-</v>
      </c>
      <c r="D11216" t="str">
        <v>-</v>
      </c>
      <c r="E11216" t="str">
        <v/>
      </c>
      <c r="F11216" t="str">
        <v>-</v>
      </c>
      <c r="G11216" t="str">
        <v>-</v>
      </c>
    </row>
    <row r="11217">
      <c r="A11217">
        <v>11216</v>
      </c>
      <c r="B11217" t="str">
        <v>UBND Ủy ban nhân dân thị trấn Sao Vàng  tỉnh Thanh Hóa</v>
      </c>
      <c r="C11217" t="str">
        <v>-</v>
      </c>
      <c r="D11217" t="str">
        <v>-</v>
      </c>
      <c r="E11217" t="str">
        <v>-</v>
      </c>
      <c r="F11217" t="str">
        <v>-</v>
      </c>
      <c r="G11217" t="str">
        <v>-</v>
      </c>
    </row>
    <row r="11218">
      <c r="A11218">
        <v>11217</v>
      </c>
      <c r="B11218" t="str">
        <v>Công an xã Xuân Khánh  tỉnh Thanh Hóa</v>
      </c>
      <c r="C11218" t="str">
        <v>-</v>
      </c>
      <c r="D11218" t="str">
        <v>-</v>
      </c>
      <c r="E11218" t="str">
        <v/>
      </c>
      <c r="F11218" t="str">
        <v>-</v>
      </c>
      <c r="G11218" t="str">
        <v>-</v>
      </c>
    </row>
    <row r="11219">
      <c r="A11219">
        <v>11218</v>
      </c>
      <c r="B11219" t="str">
        <v>UBND Ủy ban nhân dân xã Xuân Khánh  tỉnh Thanh Hóa</v>
      </c>
      <c r="C11219" t="str">
        <v>-</v>
      </c>
      <c r="D11219" t="str">
        <v>-</v>
      </c>
      <c r="E11219" t="str">
        <v>-</v>
      </c>
      <c r="F11219" t="str">
        <v>-</v>
      </c>
      <c r="G11219" t="str">
        <v>-</v>
      </c>
    </row>
    <row r="11220">
      <c r="A11220">
        <v>11219</v>
      </c>
      <c r="B11220" t="str">
        <v>Công an xã Thọ Nguyên  tỉnh Thanh Hóa</v>
      </c>
      <c r="C11220" t="str">
        <v>-</v>
      </c>
      <c r="D11220" t="str">
        <v>-</v>
      </c>
      <c r="E11220" t="str">
        <v/>
      </c>
      <c r="F11220" t="str">
        <v>-</v>
      </c>
      <c r="G11220" t="str">
        <v>-</v>
      </c>
    </row>
    <row r="11221">
      <c r="A11221">
        <v>11220</v>
      </c>
      <c r="B11221" t="str">
        <v>UBND Ủy ban nhân dân xã Thọ Nguyên  tỉnh Thanh Hóa</v>
      </c>
      <c r="C11221" t="str">
        <v>-</v>
      </c>
      <c r="D11221" t="str">
        <v>-</v>
      </c>
      <c r="E11221" t="str">
        <v>-</v>
      </c>
      <c r="F11221" t="str">
        <v>-</v>
      </c>
      <c r="G11221" t="str">
        <v>-</v>
      </c>
    </row>
    <row r="11222">
      <c r="A11222">
        <v>11221</v>
      </c>
      <c r="B11222" t="str">
        <v>Công an xã Xuân Thành  tỉnh Thanh Hóa</v>
      </c>
      <c r="C11222" t="str">
        <v>-</v>
      </c>
      <c r="D11222" t="str">
        <v>-</v>
      </c>
      <c r="E11222" t="str">
        <v/>
      </c>
      <c r="F11222" t="str">
        <v>-</v>
      </c>
      <c r="G11222" t="str">
        <v>-</v>
      </c>
    </row>
    <row r="11223">
      <c r="A11223">
        <v>11222</v>
      </c>
      <c r="B11223" t="str">
        <v>UBND Ủy ban nhân dân xã Xuân Thành  tỉnh Thanh Hóa</v>
      </c>
      <c r="C11223" t="str">
        <v>-</v>
      </c>
      <c r="D11223" t="str">
        <v>-</v>
      </c>
      <c r="E11223" t="str">
        <v>-</v>
      </c>
      <c r="F11223" t="str">
        <v>-</v>
      </c>
      <c r="G11223" t="str">
        <v>-</v>
      </c>
    </row>
    <row r="11224">
      <c r="A11224">
        <v>11223</v>
      </c>
      <c r="B11224" t="str">
        <v>Công an xã Hạnh Phúc  tỉnh Thanh Hóa</v>
      </c>
      <c r="C11224" t="str">
        <v>-</v>
      </c>
      <c r="D11224" t="str">
        <v>-</v>
      </c>
      <c r="E11224" t="str">
        <v/>
      </c>
      <c r="F11224" t="str">
        <v>-</v>
      </c>
      <c r="G11224" t="str">
        <v>-</v>
      </c>
    </row>
    <row r="11225">
      <c r="A11225">
        <v>11224</v>
      </c>
      <c r="B11225" t="str">
        <v>UBND Ủy ban nhân dân xã Hạnh Phúc  tỉnh Thanh Hóa</v>
      </c>
      <c r="C11225" t="str">
        <v>-</v>
      </c>
      <c r="D11225" t="str">
        <v>-</v>
      </c>
      <c r="E11225" t="str">
        <v>-</v>
      </c>
      <c r="F11225" t="str">
        <v>-</v>
      </c>
      <c r="G11225" t="str">
        <v>-</v>
      </c>
    </row>
    <row r="11226">
      <c r="A11226">
        <v>11225</v>
      </c>
      <c r="B11226" t="str">
        <v>Công an xã Bắc Lương  tỉnh Thanh Hóa</v>
      </c>
      <c r="C11226" t="str">
        <v>-</v>
      </c>
      <c r="D11226" t="str">
        <v>-</v>
      </c>
      <c r="E11226" t="str">
        <v/>
      </c>
      <c r="F11226" t="str">
        <v>-</v>
      </c>
      <c r="G11226" t="str">
        <v>-</v>
      </c>
    </row>
    <row r="11227">
      <c r="A11227">
        <v>11226</v>
      </c>
      <c r="B11227" t="str">
        <v>UBND Ủy ban nhân dân xã Bắc Lương  tỉnh Thanh Hóa</v>
      </c>
      <c r="C11227" t="str">
        <v>-</v>
      </c>
      <c r="D11227" t="str">
        <v>-</v>
      </c>
      <c r="E11227" t="str">
        <v>-</v>
      </c>
      <c r="F11227" t="str">
        <v>-</v>
      </c>
      <c r="G11227" t="str">
        <v>-</v>
      </c>
    </row>
    <row r="11228">
      <c r="A11228">
        <v>11227</v>
      </c>
      <c r="B11228" t="str">
        <v>Công an xã Nam Giang  tỉnh Thanh Hóa</v>
      </c>
      <c r="C11228" t="str">
        <v>-</v>
      </c>
      <c r="D11228" t="str">
        <v>-</v>
      </c>
      <c r="E11228" t="str">
        <v/>
      </c>
      <c r="F11228" t="str">
        <v>-</v>
      </c>
      <c r="G11228" t="str">
        <v>-</v>
      </c>
    </row>
    <row r="11229">
      <c r="A11229">
        <v>11228</v>
      </c>
      <c r="B11229" t="str">
        <v>UBND Ủy ban nhân dân xã Nam Giang  tỉnh Thanh Hóa</v>
      </c>
      <c r="C11229" t="str">
        <v>-</v>
      </c>
      <c r="D11229" t="str">
        <v>-</v>
      </c>
      <c r="E11229" t="str">
        <v>-</v>
      </c>
      <c r="F11229" t="str">
        <v>-</v>
      </c>
      <c r="G11229" t="str">
        <v>-</v>
      </c>
    </row>
    <row r="11230">
      <c r="A11230">
        <v>11229</v>
      </c>
      <c r="B11230" t="str">
        <v>Công an xã Xuân Phong  tỉnh Thanh Hóa</v>
      </c>
      <c r="C11230" t="str">
        <v>-</v>
      </c>
      <c r="D11230" t="str">
        <v>-</v>
      </c>
      <c r="E11230" t="str">
        <v/>
      </c>
      <c r="F11230" t="str">
        <v>-</v>
      </c>
      <c r="G11230" t="str">
        <v>-</v>
      </c>
    </row>
    <row r="11231">
      <c r="A11231">
        <v>11230</v>
      </c>
      <c r="B11231" t="str">
        <v>UBND Ủy ban nhân dân xã Xuân Phong  tỉnh Thanh Hóa</v>
      </c>
      <c r="C11231" t="str">
        <v>-</v>
      </c>
      <c r="D11231" t="str">
        <v>-</v>
      </c>
      <c r="E11231" t="str">
        <v>-</v>
      </c>
      <c r="F11231" t="str">
        <v>-</v>
      </c>
      <c r="G11231" t="str">
        <v>-</v>
      </c>
    </row>
    <row r="11232">
      <c r="A11232">
        <v>11231</v>
      </c>
      <c r="B11232" t="str">
        <v>Công an xã Thọ Lộc  tỉnh Thanh Hóa</v>
      </c>
      <c r="C11232" t="str">
        <v>-</v>
      </c>
      <c r="D11232" t="str">
        <v>-</v>
      </c>
      <c r="E11232" t="str">
        <v/>
      </c>
      <c r="F11232" t="str">
        <v>-</v>
      </c>
      <c r="G11232" t="str">
        <v>-</v>
      </c>
    </row>
    <row r="11233">
      <c r="A11233">
        <v>11232</v>
      </c>
      <c r="B11233" t="str">
        <v>UBND Ủy ban nhân dân xã Thọ Lộc  tỉnh Thanh Hóa</v>
      </c>
      <c r="C11233" t="str">
        <v>-</v>
      </c>
      <c r="D11233" t="str">
        <v>-</v>
      </c>
      <c r="E11233" t="str">
        <v>-</v>
      </c>
      <c r="F11233" t="str">
        <v>-</v>
      </c>
      <c r="G11233" t="str">
        <v>-</v>
      </c>
    </row>
    <row r="11234">
      <c r="A11234">
        <v>11233</v>
      </c>
      <c r="B11234" t="str">
        <v>Công an xã Xuân Trường  tỉnh Thanh Hóa</v>
      </c>
      <c r="C11234" t="str">
        <v>-</v>
      </c>
      <c r="D11234" t="str">
        <v>-</v>
      </c>
      <c r="E11234" t="str">
        <v/>
      </c>
      <c r="F11234" t="str">
        <v>-</v>
      </c>
      <c r="G11234" t="str">
        <v>-</v>
      </c>
    </row>
    <row r="11235">
      <c r="A11235">
        <v>11234</v>
      </c>
      <c r="B11235" t="str">
        <v>UBND Ủy ban nhân dân xã Xuân Trường  tỉnh Thanh Hóa</v>
      </c>
      <c r="C11235" t="str">
        <v>-</v>
      </c>
      <c r="D11235" t="str">
        <v>-</v>
      </c>
      <c r="E11235" t="str">
        <v>-</v>
      </c>
      <c r="F11235" t="str">
        <v>-</v>
      </c>
      <c r="G11235" t="str">
        <v>-</v>
      </c>
    </row>
    <row r="11236">
      <c r="A11236">
        <v>11235</v>
      </c>
      <c r="B11236" t="str">
        <v>Công an xã Xuân Hòa  tỉnh Thanh Hóa</v>
      </c>
      <c r="C11236" t="str">
        <v>-</v>
      </c>
      <c r="D11236" t="str">
        <v>-</v>
      </c>
      <c r="E11236" t="str">
        <v/>
      </c>
      <c r="F11236" t="str">
        <v>-</v>
      </c>
      <c r="G11236" t="str">
        <v>-</v>
      </c>
    </row>
    <row r="11237">
      <c r="A11237">
        <v>11236</v>
      </c>
      <c r="B11237" t="str">
        <v>UBND Ủy ban nhân dân xã Xuân Hòa  tỉnh Thanh Hóa</v>
      </c>
      <c r="C11237" t="str">
        <v>-</v>
      </c>
      <c r="D11237" t="str">
        <v>-</v>
      </c>
      <c r="E11237" t="str">
        <v>-</v>
      </c>
      <c r="F11237" t="str">
        <v>-</v>
      </c>
      <c r="G11237" t="str">
        <v>-</v>
      </c>
    </row>
    <row r="11238">
      <c r="A11238">
        <v>11237</v>
      </c>
      <c r="B11238" t="str">
        <v>Công an xã Thọ Hải  tỉnh Thanh Hóa</v>
      </c>
      <c r="C11238" t="str">
        <v>-</v>
      </c>
      <c r="D11238" t="str">
        <v>-</v>
      </c>
      <c r="E11238" t="str">
        <v/>
      </c>
      <c r="F11238" t="str">
        <v>-</v>
      </c>
      <c r="G11238" t="str">
        <v>-</v>
      </c>
    </row>
    <row r="11239">
      <c r="A11239">
        <v>11238</v>
      </c>
      <c r="B11239" t="str">
        <v>UBND Ủy ban nhân dân xã Thọ Hải  tỉnh Thanh Hóa</v>
      </c>
      <c r="C11239" t="str">
        <v>-</v>
      </c>
      <c r="D11239" t="str">
        <v>-</v>
      </c>
      <c r="E11239" t="str">
        <v>-</v>
      </c>
      <c r="F11239" t="str">
        <v>-</v>
      </c>
      <c r="G11239" t="str">
        <v>-</v>
      </c>
    </row>
    <row r="11240">
      <c r="A11240">
        <v>11239</v>
      </c>
      <c r="B11240" t="str">
        <v>Công an xã Tây Hồ  tỉnh Thanh Hóa</v>
      </c>
      <c r="C11240" t="str">
        <v>-</v>
      </c>
      <c r="D11240" t="str">
        <v>-</v>
      </c>
      <c r="E11240" t="str">
        <v/>
      </c>
      <c r="F11240" t="str">
        <v>-</v>
      </c>
      <c r="G11240" t="str">
        <v>-</v>
      </c>
    </row>
    <row r="11241">
      <c r="A11241">
        <v>11240</v>
      </c>
      <c r="B11241" t="str">
        <v>UBND Ủy ban nhân dân xã Tây Hồ  tỉnh Thanh Hóa</v>
      </c>
      <c r="C11241" t="str">
        <v>-</v>
      </c>
      <c r="D11241" t="str">
        <v>-</v>
      </c>
      <c r="E11241" t="str">
        <v>-</v>
      </c>
      <c r="F11241" t="str">
        <v>-</v>
      </c>
      <c r="G11241" t="str">
        <v>-</v>
      </c>
    </row>
    <row r="11242">
      <c r="A11242">
        <v>11241</v>
      </c>
      <c r="B11242" t="str">
        <v>Công an xã Xuân Giang  tỉnh Thanh Hóa</v>
      </c>
      <c r="C11242" t="str">
        <v>-</v>
      </c>
      <c r="D11242" t="str">
        <v>-</v>
      </c>
      <c r="E11242" t="str">
        <v/>
      </c>
      <c r="F11242" t="str">
        <v>-</v>
      </c>
      <c r="G11242" t="str">
        <v>-</v>
      </c>
    </row>
    <row r="11243">
      <c r="A11243">
        <v>11242</v>
      </c>
      <c r="B11243" t="str">
        <v>UBND Ủy ban nhân dân xã Xuân Giang  tỉnh Thanh Hóa</v>
      </c>
      <c r="C11243" t="str">
        <v>-</v>
      </c>
      <c r="D11243" t="str">
        <v>-</v>
      </c>
      <c r="E11243" t="str">
        <v>-</v>
      </c>
      <c r="F11243" t="str">
        <v>-</v>
      </c>
      <c r="G11243" t="str">
        <v>-</v>
      </c>
    </row>
    <row r="11244">
      <c r="A11244">
        <v>11243</v>
      </c>
      <c r="B11244" t="str">
        <v>Công an xã Xuân Quang  tỉnh Thanh Hóa</v>
      </c>
      <c r="C11244" t="str">
        <v>-</v>
      </c>
      <c r="D11244" t="str">
        <v>-</v>
      </c>
      <c r="E11244" t="str">
        <v/>
      </c>
      <c r="F11244" t="str">
        <v>-</v>
      </c>
      <c r="G11244" t="str">
        <v>-</v>
      </c>
    </row>
    <row r="11245">
      <c r="A11245">
        <v>11244</v>
      </c>
      <c r="B11245" t="str">
        <v>UBND Ủy ban nhân dân xã Xuân Quang  tỉnh Thanh Hóa</v>
      </c>
      <c r="C11245" t="str">
        <v>-</v>
      </c>
      <c r="D11245" t="str">
        <v>-</v>
      </c>
      <c r="E11245" t="str">
        <v>-</v>
      </c>
      <c r="F11245" t="str">
        <v>-</v>
      </c>
      <c r="G11245" t="str">
        <v>-</v>
      </c>
    </row>
    <row r="11246">
      <c r="A11246">
        <v>11245</v>
      </c>
      <c r="B11246" t="str">
        <v>Công an xã Xuân Sơn  tỉnh Thanh Hóa</v>
      </c>
      <c r="C11246" t="str">
        <v>-</v>
      </c>
      <c r="D11246" t="str">
        <v>-</v>
      </c>
      <c r="E11246" t="str">
        <v/>
      </c>
      <c r="F11246" t="str">
        <v>-</v>
      </c>
      <c r="G11246" t="str">
        <v>-</v>
      </c>
    </row>
    <row r="11247">
      <c r="A11247">
        <v>11246</v>
      </c>
      <c r="B11247" t="str">
        <v>UBND Ủy ban nhân dân xã Xuân Sơn  tỉnh Thanh Hóa</v>
      </c>
      <c r="C11247" t="str">
        <v>-</v>
      </c>
      <c r="D11247" t="str">
        <v>-</v>
      </c>
      <c r="E11247" t="str">
        <v>-</v>
      </c>
      <c r="F11247" t="str">
        <v>-</v>
      </c>
      <c r="G11247" t="str">
        <v>-</v>
      </c>
    </row>
    <row r="11248">
      <c r="A11248">
        <v>11247</v>
      </c>
      <c r="B11248" t="str">
        <v>Công an xã Xuân Hưng  tỉnh Thanh Hóa</v>
      </c>
      <c r="C11248" t="str">
        <v>-</v>
      </c>
      <c r="D11248" t="str">
        <v>-</v>
      </c>
      <c r="E11248" t="str">
        <v/>
      </c>
      <c r="F11248" t="str">
        <v>-</v>
      </c>
      <c r="G11248" t="str">
        <v>-</v>
      </c>
    </row>
    <row r="11249">
      <c r="A11249">
        <v>11248</v>
      </c>
      <c r="B11249" t="str">
        <v>UBND Ủy ban nhân dân xã Xuân Hưng  tỉnh Thanh Hóa</v>
      </c>
      <c r="C11249" t="str">
        <v>-</v>
      </c>
      <c r="D11249" t="str">
        <v>-</v>
      </c>
      <c r="E11249" t="str">
        <v>-</v>
      </c>
      <c r="F11249" t="str">
        <v>-</v>
      </c>
      <c r="G11249" t="str">
        <v>-</v>
      </c>
    </row>
    <row r="11250">
      <c r="A11250">
        <v>11249</v>
      </c>
      <c r="B11250" t="str">
        <v>Công an xã Thọ Diên  tỉnh Thanh Hóa</v>
      </c>
      <c r="C11250" t="str">
        <v>-</v>
      </c>
      <c r="D11250" t="str">
        <v>-</v>
      </c>
      <c r="E11250" t="str">
        <v/>
      </c>
      <c r="F11250" t="str">
        <v>-</v>
      </c>
      <c r="G11250" t="str">
        <v>-</v>
      </c>
    </row>
    <row r="11251">
      <c r="A11251">
        <v>11250</v>
      </c>
      <c r="B11251" t="str">
        <v>UBND Ủy ban nhân dân xã Thọ Diên  tỉnh Thanh Hóa</v>
      </c>
      <c r="C11251" t="str">
        <v>-</v>
      </c>
      <c r="D11251" t="str">
        <v>-</v>
      </c>
      <c r="E11251" t="str">
        <v>-</v>
      </c>
      <c r="F11251" t="str">
        <v>-</v>
      </c>
      <c r="G11251" t="str">
        <v>-</v>
      </c>
    </row>
    <row r="11252">
      <c r="A11252">
        <v>11251</v>
      </c>
      <c r="B11252" t="str">
        <v>Công an xã Thọ Lâm  tỉnh Thanh Hóa</v>
      </c>
      <c r="C11252" t="str">
        <v>-</v>
      </c>
      <c r="D11252" t="str">
        <v>-</v>
      </c>
      <c r="E11252" t="str">
        <v/>
      </c>
      <c r="F11252" t="str">
        <v>-</v>
      </c>
      <c r="G11252" t="str">
        <v>-</v>
      </c>
    </row>
    <row r="11253">
      <c r="A11253">
        <v>11252</v>
      </c>
      <c r="B11253" t="str">
        <v>UBND Ủy ban nhân dân xã Thọ Lâm  tỉnh Thanh Hóa</v>
      </c>
      <c r="C11253" t="str">
        <v>-</v>
      </c>
      <c r="D11253" t="str">
        <v>-</v>
      </c>
      <c r="E11253" t="str">
        <v>-</v>
      </c>
      <c r="F11253" t="str">
        <v>-</v>
      </c>
      <c r="G11253" t="str">
        <v>-</v>
      </c>
    </row>
    <row r="11254">
      <c r="A11254">
        <v>11253</v>
      </c>
      <c r="B11254" t="str">
        <v>Công an xã Thọ Xương  tỉnh Thanh Hóa</v>
      </c>
      <c r="C11254" t="str">
        <v>-</v>
      </c>
      <c r="D11254" t="str">
        <v>-</v>
      </c>
      <c r="E11254" t="str">
        <v/>
      </c>
      <c r="F11254" t="str">
        <v>-</v>
      </c>
      <c r="G11254" t="str">
        <v>-</v>
      </c>
    </row>
    <row r="11255">
      <c r="A11255">
        <v>11254</v>
      </c>
      <c r="B11255" t="str">
        <v>UBND Ủy ban nhân dân xã Thọ Xương  tỉnh Thanh Hóa</v>
      </c>
      <c r="C11255" t="str">
        <v>-</v>
      </c>
      <c r="D11255" t="str">
        <v>-</v>
      </c>
      <c r="E11255" t="str">
        <v>-</v>
      </c>
      <c r="F11255" t="str">
        <v>-</v>
      </c>
      <c r="G11255" t="str">
        <v>-</v>
      </c>
    </row>
    <row r="11256">
      <c r="A11256">
        <v>11255</v>
      </c>
      <c r="B11256" t="str">
        <v>Công an xã Xuân Bái  tỉnh Thanh Hóa</v>
      </c>
      <c r="C11256" t="str">
        <v>-</v>
      </c>
      <c r="D11256" t="str">
        <v>-</v>
      </c>
      <c r="E11256" t="str">
        <v/>
      </c>
      <c r="F11256" t="str">
        <v>-</v>
      </c>
      <c r="G11256" t="str">
        <v>-</v>
      </c>
    </row>
    <row r="11257">
      <c r="A11257">
        <v>11256</v>
      </c>
      <c r="B11257" t="str">
        <v>UBND Ủy ban nhân dân xã Xuân Bái  tỉnh Thanh Hóa</v>
      </c>
      <c r="C11257" t="str">
        <v>-</v>
      </c>
      <c r="D11257" t="str">
        <v>-</v>
      </c>
      <c r="E11257" t="str">
        <v>-</v>
      </c>
      <c r="F11257" t="str">
        <v>-</v>
      </c>
      <c r="G11257" t="str">
        <v>-</v>
      </c>
    </row>
    <row r="11258">
      <c r="A11258">
        <v>11257</v>
      </c>
      <c r="B11258" t="str">
        <v>Công an xã Xuân Phú  tỉnh Thanh Hóa</v>
      </c>
      <c r="C11258" t="str">
        <v>-</v>
      </c>
      <c r="D11258" t="str">
        <v>-</v>
      </c>
      <c r="E11258" t="str">
        <v/>
      </c>
      <c r="F11258" t="str">
        <v>-</v>
      </c>
      <c r="G11258" t="str">
        <v>-</v>
      </c>
    </row>
    <row r="11259">
      <c r="A11259">
        <v>11258</v>
      </c>
      <c r="B11259" t="str">
        <v>UBND Ủy ban nhân dân xã Xuân Phú  tỉnh Thanh Hóa</v>
      </c>
      <c r="C11259" t="str">
        <v>-</v>
      </c>
      <c r="D11259" t="str">
        <v>-</v>
      </c>
      <c r="E11259" t="str">
        <v>-</v>
      </c>
      <c r="F11259" t="str">
        <v>-</v>
      </c>
      <c r="G11259" t="str">
        <v>-</v>
      </c>
    </row>
    <row r="11260">
      <c r="A11260">
        <v>11259</v>
      </c>
      <c r="B11260" t="str">
        <v>Công an xã Xuân Thắng  tỉnh Thanh Hóa</v>
      </c>
      <c r="C11260" t="str">
        <v>-</v>
      </c>
      <c r="D11260" t="str">
        <v>-</v>
      </c>
      <c r="E11260" t="str">
        <v/>
      </c>
      <c r="F11260" t="str">
        <v>-</v>
      </c>
      <c r="G11260" t="str">
        <v>-</v>
      </c>
    </row>
    <row r="11261">
      <c r="A11261">
        <v>11260</v>
      </c>
      <c r="B11261" t="str">
        <v>UBND Ủy ban nhân dân xã Xuân Thắng  tỉnh Thanh Hóa</v>
      </c>
      <c r="C11261" t="str">
        <v>-</v>
      </c>
      <c r="D11261" t="str">
        <v>-</v>
      </c>
      <c r="E11261" t="str">
        <v>-</v>
      </c>
      <c r="F11261" t="str">
        <v>-</v>
      </c>
      <c r="G11261" t="str">
        <v>-</v>
      </c>
    </row>
    <row r="11262">
      <c r="A11262">
        <v>11261</v>
      </c>
      <c r="B11262" t="str">
        <v>Công an xã Xuân Lam  tỉnh Thanh Hóa</v>
      </c>
      <c r="C11262" t="str">
        <v>-</v>
      </c>
      <c r="D11262" t="str">
        <v>-</v>
      </c>
      <c r="E11262" t="str">
        <v/>
      </c>
      <c r="F11262" t="str">
        <v>-</v>
      </c>
      <c r="G11262" t="str">
        <v>-</v>
      </c>
    </row>
    <row r="11263">
      <c r="A11263">
        <v>11262</v>
      </c>
      <c r="B11263" t="str">
        <v>UBND Ủy ban nhân dân xã Xuân Lam  tỉnh Thanh Hóa</v>
      </c>
      <c r="C11263" t="str">
        <v>-</v>
      </c>
      <c r="D11263" t="str">
        <v>-</v>
      </c>
      <c r="E11263" t="str">
        <v>-</v>
      </c>
      <c r="F11263" t="str">
        <v>-</v>
      </c>
      <c r="G11263" t="str">
        <v>-</v>
      </c>
    </row>
    <row r="11264">
      <c r="A11264">
        <v>11263</v>
      </c>
      <c r="B11264" t="str">
        <v>Công an xã Xuân Thiên  tỉnh Thanh Hóa</v>
      </c>
      <c r="C11264" t="str">
        <v>-</v>
      </c>
      <c r="D11264" t="str">
        <v>-</v>
      </c>
      <c r="E11264" t="str">
        <v/>
      </c>
      <c r="F11264" t="str">
        <v>-</v>
      </c>
      <c r="G11264" t="str">
        <v>-</v>
      </c>
    </row>
    <row r="11265">
      <c r="A11265">
        <v>11264</v>
      </c>
      <c r="B11265" t="str">
        <v>UBND Ủy ban nhân dân xã Xuân Thiên  tỉnh Thanh Hóa</v>
      </c>
      <c r="C11265" t="str">
        <v>-</v>
      </c>
      <c r="D11265" t="str">
        <v>-</v>
      </c>
      <c r="E11265" t="str">
        <v>-</v>
      </c>
      <c r="F11265" t="str">
        <v>-</v>
      </c>
      <c r="G11265" t="str">
        <v>-</v>
      </c>
    </row>
    <row r="11266">
      <c r="A11266">
        <v>11265</v>
      </c>
      <c r="B11266" t="str">
        <v>Công an xã Thọ Minh  tỉnh Thanh Hóa</v>
      </c>
      <c r="C11266" t="str">
        <v>-</v>
      </c>
      <c r="D11266" t="str">
        <v>-</v>
      </c>
      <c r="E11266" t="str">
        <v/>
      </c>
      <c r="F11266" t="str">
        <v>-</v>
      </c>
      <c r="G11266" t="str">
        <v>-</v>
      </c>
    </row>
    <row r="11267">
      <c r="A11267">
        <v>11266</v>
      </c>
      <c r="B11267" t="str">
        <v>UBND Ủy ban nhân dân xã Thọ Minh  tỉnh Thanh Hóa</v>
      </c>
      <c r="C11267" t="str">
        <v>-</v>
      </c>
      <c r="D11267" t="str">
        <v>-</v>
      </c>
      <c r="E11267" t="str">
        <v>-</v>
      </c>
      <c r="F11267" t="str">
        <v>-</v>
      </c>
      <c r="G11267" t="str">
        <v>-</v>
      </c>
    </row>
    <row r="11268">
      <c r="A11268">
        <v>11267</v>
      </c>
      <c r="B11268" t="str">
        <v>Công an xã Xuân Châu  tỉnh Thanh Hóa</v>
      </c>
      <c r="C11268" t="str">
        <v>-</v>
      </c>
      <c r="D11268" t="str">
        <v>-</v>
      </c>
      <c r="E11268" t="str">
        <v/>
      </c>
      <c r="F11268" t="str">
        <v>-</v>
      </c>
      <c r="G11268" t="str">
        <v>-</v>
      </c>
    </row>
    <row r="11269">
      <c r="A11269">
        <v>11268</v>
      </c>
      <c r="B11269" t="str">
        <v>UBND Ủy ban nhân dân xã Xuân Châu  tỉnh Thanh Hóa</v>
      </c>
      <c r="C11269" t="str">
        <v>-</v>
      </c>
      <c r="D11269" t="str">
        <v>-</v>
      </c>
      <c r="E11269" t="str">
        <v>-</v>
      </c>
      <c r="F11269" t="str">
        <v>-</v>
      </c>
      <c r="G11269" t="str">
        <v>-</v>
      </c>
    </row>
    <row r="11270">
      <c r="A11270">
        <v>11269</v>
      </c>
      <c r="B11270" t="str">
        <v>Công an xã Thọ Lập  tỉnh Thanh Hóa</v>
      </c>
      <c r="C11270" t="str">
        <v>-</v>
      </c>
      <c r="D11270" t="str">
        <v>-</v>
      </c>
      <c r="E11270" t="str">
        <v/>
      </c>
      <c r="F11270" t="str">
        <v>-</v>
      </c>
      <c r="G11270" t="str">
        <v>-</v>
      </c>
    </row>
    <row r="11271">
      <c r="A11271">
        <v>11270</v>
      </c>
      <c r="B11271" t="str">
        <v>UBND Ủy ban nhân dân xã Thọ Lập  tỉnh Thanh Hóa</v>
      </c>
      <c r="C11271" t="str">
        <v>-</v>
      </c>
      <c r="D11271" t="str">
        <v>-</v>
      </c>
      <c r="E11271" t="str">
        <v>-</v>
      </c>
      <c r="F11271" t="str">
        <v>-</v>
      </c>
      <c r="G11271" t="str">
        <v>-</v>
      </c>
    </row>
    <row r="11272">
      <c r="A11272">
        <v>11271</v>
      </c>
      <c r="B11272" t="str">
        <v>Công an xã Quảng Phú  tỉnh Thanh Hóa</v>
      </c>
      <c r="C11272" t="str">
        <v>-</v>
      </c>
      <c r="D11272" t="str">
        <v>-</v>
      </c>
      <c r="E11272" t="str">
        <v/>
      </c>
      <c r="F11272" t="str">
        <v>-</v>
      </c>
      <c r="G11272" t="str">
        <v>-</v>
      </c>
    </row>
    <row r="11273">
      <c r="A11273">
        <v>11272</v>
      </c>
      <c r="B11273" t="str">
        <v>UBND Ủy ban nhân dân xã Quảng Phú  tỉnh Thanh Hóa</v>
      </c>
      <c r="C11273" t="str">
        <v>-</v>
      </c>
      <c r="D11273" t="str">
        <v>-</v>
      </c>
      <c r="E11273" t="str">
        <v>-</v>
      </c>
      <c r="F11273" t="str">
        <v>-</v>
      </c>
      <c r="G11273" t="str">
        <v>-</v>
      </c>
    </row>
    <row r="11274">
      <c r="A11274">
        <v>11273</v>
      </c>
      <c r="B11274" t="str">
        <v>Công an xã Xuân Tín  tỉnh Thanh Hóa</v>
      </c>
      <c r="C11274" t="str">
        <v>-</v>
      </c>
      <c r="D11274" t="str">
        <v>-</v>
      </c>
      <c r="E11274" t="str">
        <v/>
      </c>
      <c r="F11274" t="str">
        <v>-</v>
      </c>
      <c r="G11274" t="str">
        <v>-</v>
      </c>
    </row>
    <row r="11275">
      <c r="A11275">
        <v>11274</v>
      </c>
      <c r="B11275" t="str">
        <v>UBND Ủy ban nhân dân xã Xuân Tín  tỉnh Thanh Hóa</v>
      </c>
      <c r="C11275" t="str">
        <v>-</v>
      </c>
      <c r="D11275" t="str">
        <v>-</v>
      </c>
      <c r="E11275" t="str">
        <v>-</v>
      </c>
      <c r="F11275" t="str">
        <v>-</v>
      </c>
      <c r="G11275" t="str">
        <v>-</v>
      </c>
    </row>
    <row r="11276">
      <c r="A11276">
        <v>11275</v>
      </c>
      <c r="B11276" t="str">
        <v>Công an xã Phú Yên  tỉnh Thanh Hóa</v>
      </c>
      <c r="C11276" t="str">
        <v>-</v>
      </c>
      <c r="D11276" t="str">
        <v>-</v>
      </c>
      <c r="E11276" t="str">
        <v/>
      </c>
      <c r="F11276" t="str">
        <v>-</v>
      </c>
      <c r="G11276" t="str">
        <v>-</v>
      </c>
    </row>
    <row r="11277">
      <c r="A11277">
        <v>11276</v>
      </c>
      <c r="B11277" t="str">
        <v>UBND Ủy ban nhân dân xã Phú Yên  tỉnh Thanh Hóa</v>
      </c>
      <c r="C11277" t="str">
        <v>-</v>
      </c>
      <c r="D11277" t="str">
        <v>-</v>
      </c>
      <c r="E11277" t="str">
        <v>-</v>
      </c>
      <c r="F11277" t="str">
        <v>-</v>
      </c>
      <c r="G11277" t="str">
        <v>-</v>
      </c>
    </row>
    <row r="11278">
      <c r="A11278">
        <v>11277</v>
      </c>
      <c r="B11278" t="str">
        <v>Công an xã Xuân Yên  tỉnh Thanh Hóa</v>
      </c>
      <c r="C11278" t="str">
        <v>-</v>
      </c>
      <c r="D11278" t="str">
        <v>-</v>
      </c>
      <c r="E11278" t="str">
        <v/>
      </c>
      <c r="F11278" t="str">
        <v>-</v>
      </c>
      <c r="G11278" t="str">
        <v>-</v>
      </c>
    </row>
    <row r="11279">
      <c r="A11279">
        <v>11278</v>
      </c>
      <c r="B11279" t="str">
        <v>UBND Ủy ban nhân dân xã Xuân Yên  tỉnh Thanh Hóa</v>
      </c>
      <c r="C11279" t="str">
        <v>-</v>
      </c>
      <c r="D11279" t="str">
        <v>-</v>
      </c>
      <c r="E11279" t="str">
        <v>-</v>
      </c>
      <c r="F11279" t="str">
        <v>-</v>
      </c>
      <c r="G11279" t="str">
        <v>-</v>
      </c>
    </row>
    <row r="11280">
      <c r="A11280">
        <v>11279</v>
      </c>
      <c r="B11280" t="str">
        <v>Công an xã Xuân Lai  tỉnh Thanh Hóa</v>
      </c>
      <c r="C11280" t="str">
        <v>-</v>
      </c>
      <c r="D11280" t="str">
        <v>-</v>
      </c>
      <c r="E11280" t="str">
        <v/>
      </c>
      <c r="F11280" t="str">
        <v>-</v>
      </c>
      <c r="G11280" t="str">
        <v>-</v>
      </c>
    </row>
    <row r="11281">
      <c r="A11281">
        <v>11280</v>
      </c>
      <c r="B11281" t="str">
        <v>UBND Ủy ban nhân dân xã Xuân Lai  tỉnh Thanh Hóa</v>
      </c>
      <c r="C11281" t="str">
        <v>-</v>
      </c>
      <c r="D11281" t="str">
        <v>-</v>
      </c>
      <c r="E11281" t="str">
        <v>-</v>
      </c>
      <c r="F11281" t="str">
        <v>-</v>
      </c>
      <c r="G11281" t="str">
        <v>-</v>
      </c>
    </row>
    <row r="11282">
      <c r="A11282">
        <v>11281</v>
      </c>
      <c r="B11282" t="str">
        <v>Công an xã Xuân Lập  tỉnh Thanh Hóa</v>
      </c>
      <c r="C11282" t="str">
        <v>-</v>
      </c>
      <c r="D11282" t="str">
        <v>-</v>
      </c>
      <c r="E11282" t="str">
        <v/>
      </c>
      <c r="F11282" t="str">
        <v>-</v>
      </c>
      <c r="G11282" t="str">
        <v>-</v>
      </c>
    </row>
    <row r="11283">
      <c r="A11283">
        <v>11282</v>
      </c>
      <c r="B11283" t="str">
        <v>UBND Ủy ban nhân dân xã Xuân Lập  tỉnh Thanh Hóa</v>
      </c>
      <c r="C11283" t="str">
        <v>-</v>
      </c>
      <c r="D11283" t="str">
        <v>-</v>
      </c>
      <c r="E11283" t="str">
        <v>-</v>
      </c>
      <c r="F11283" t="str">
        <v>-</v>
      </c>
      <c r="G11283" t="str">
        <v>-</v>
      </c>
    </row>
    <row r="11284">
      <c r="A11284">
        <v>11283</v>
      </c>
      <c r="B11284" t="str">
        <v>Công an xã Thọ Thắng  tỉnh Thanh Hóa</v>
      </c>
      <c r="C11284" t="str">
        <v>-</v>
      </c>
      <c r="D11284" t="str">
        <v>-</v>
      </c>
      <c r="E11284" t="str">
        <v/>
      </c>
      <c r="F11284" t="str">
        <v>-</v>
      </c>
      <c r="G11284" t="str">
        <v>-</v>
      </c>
    </row>
    <row r="11285">
      <c r="A11285">
        <v>11284</v>
      </c>
      <c r="B11285" t="str">
        <v>UBND Ủy ban nhân dân xã Thọ Thắng  tỉnh Thanh Hóa</v>
      </c>
      <c r="C11285" t="str">
        <v>-</v>
      </c>
      <c r="D11285" t="str">
        <v>-</v>
      </c>
      <c r="E11285" t="str">
        <v>-</v>
      </c>
      <c r="F11285" t="str">
        <v>-</v>
      </c>
      <c r="G11285" t="str">
        <v>-</v>
      </c>
    </row>
    <row r="11286">
      <c r="A11286">
        <v>11285</v>
      </c>
      <c r="B11286" t="str">
        <v>Công an xã Xuân Minh  tỉnh Thanh Hóa</v>
      </c>
      <c r="C11286" t="str">
        <v>-</v>
      </c>
      <c r="D11286" t="str">
        <v>-</v>
      </c>
      <c r="E11286" t="str">
        <v/>
      </c>
      <c r="F11286" t="str">
        <v>-</v>
      </c>
      <c r="G11286" t="str">
        <v>-</v>
      </c>
    </row>
    <row r="11287">
      <c r="A11287">
        <v>11286</v>
      </c>
      <c r="B11287" t="str">
        <v>UBND Ủy ban nhân dân xã Xuân Minh  tỉnh Thanh Hóa</v>
      </c>
      <c r="C11287" t="str">
        <v>-</v>
      </c>
      <c r="D11287" t="str">
        <v>-</v>
      </c>
      <c r="E11287" t="str">
        <v>-</v>
      </c>
      <c r="F11287" t="str">
        <v>-</v>
      </c>
      <c r="G11287" t="str">
        <v>-</v>
      </c>
    </row>
    <row r="11288">
      <c r="A11288">
        <v>11287</v>
      </c>
      <c r="B11288" t="str">
        <v>Công an xã Xuân Tân  tỉnh Thanh Hóa</v>
      </c>
      <c r="C11288" t="str">
        <v>-</v>
      </c>
      <c r="D11288" t="str">
        <v>-</v>
      </c>
      <c r="E11288" t="str">
        <v/>
      </c>
      <c r="F11288" t="str">
        <v>-</v>
      </c>
      <c r="G11288" t="str">
        <v>-</v>
      </c>
    </row>
    <row r="11289">
      <c r="A11289">
        <v>11288</v>
      </c>
      <c r="B11289" t="str">
        <v>UBND Ủy ban nhân dân xã Xuân Tân  tỉnh Thanh Hóa</v>
      </c>
      <c r="C11289" t="str">
        <v>-</v>
      </c>
      <c r="D11289" t="str">
        <v>-</v>
      </c>
      <c r="E11289" t="str">
        <v>-</v>
      </c>
      <c r="F11289" t="str">
        <v>-</v>
      </c>
      <c r="G11289" t="str">
        <v>-</v>
      </c>
    </row>
    <row r="11290">
      <c r="A11290">
        <v>11289</v>
      </c>
      <c r="B11290" t="str">
        <v>Công an xã Xuân Vinh  tỉnh Thanh Hóa</v>
      </c>
      <c r="C11290" t="str">
        <v>-</v>
      </c>
      <c r="D11290" t="str">
        <v>-</v>
      </c>
      <c r="E11290" t="str">
        <v/>
      </c>
      <c r="F11290" t="str">
        <v>-</v>
      </c>
      <c r="G11290" t="str">
        <v>-</v>
      </c>
    </row>
    <row r="11291">
      <c r="A11291">
        <v>11290</v>
      </c>
      <c r="B11291" t="str">
        <v>UBND Ủy ban nhân dân xã Xuân Vinh  tỉnh Thanh Hóa</v>
      </c>
      <c r="C11291" t="str">
        <v>-</v>
      </c>
      <c r="D11291" t="str">
        <v>-</v>
      </c>
      <c r="E11291" t="str">
        <v>-</v>
      </c>
      <c r="F11291" t="str">
        <v>-</v>
      </c>
      <c r="G11291" t="str">
        <v>-</v>
      </c>
    </row>
    <row r="11292">
      <c r="A11292">
        <v>11291</v>
      </c>
      <c r="B11292" t="str">
        <v>Công an xã Thọ Trường  tỉnh Thanh Hóa</v>
      </c>
      <c r="C11292" t="str">
        <v>-</v>
      </c>
      <c r="D11292" t="str">
        <v>-</v>
      </c>
      <c r="E11292" t="str">
        <v/>
      </c>
      <c r="F11292" t="str">
        <v>-</v>
      </c>
      <c r="G11292" t="str">
        <v>-</v>
      </c>
    </row>
    <row r="11293">
      <c r="A11293">
        <v>11292</v>
      </c>
      <c r="B11293" t="str">
        <v>UBND Ủy ban nhân dân xã Thọ Trường  tỉnh Thanh Hóa</v>
      </c>
      <c r="C11293" t="str">
        <v>-</v>
      </c>
      <c r="D11293" t="str">
        <v>-</v>
      </c>
      <c r="E11293" t="str">
        <v>-</v>
      </c>
      <c r="F11293" t="str">
        <v>-</v>
      </c>
      <c r="G11293" t="str">
        <v>-</v>
      </c>
    </row>
    <row r="11294">
      <c r="A11294">
        <v>11293</v>
      </c>
      <c r="B11294" t="str">
        <v>Công an thị trấn Thường Xuân  tỉnh Thanh Hóa</v>
      </c>
      <c r="C11294" t="str">
        <v>-</v>
      </c>
      <c r="D11294" t="str">
        <v>-</v>
      </c>
      <c r="E11294" t="str">
        <v/>
      </c>
      <c r="F11294" t="str">
        <v>-</v>
      </c>
      <c r="G11294" t="str">
        <v>-</v>
      </c>
    </row>
    <row r="11295">
      <c r="A11295">
        <v>11294</v>
      </c>
      <c r="B11295" t="str">
        <v>UBND Ủy ban nhân dân thị trấn Thường Xuân  tỉnh Thanh Hóa</v>
      </c>
      <c r="C11295" t="str">
        <v>-</v>
      </c>
      <c r="D11295" t="str">
        <v>-</v>
      </c>
      <c r="E11295" t="str">
        <v>-</v>
      </c>
      <c r="F11295" t="str">
        <v>-</v>
      </c>
      <c r="G11295" t="str">
        <v>-</v>
      </c>
    </row>
    <row r="11296">
      <c r="A11296">
        <v>11295</v>
      </c>
      <c r="B11296" t="str">
        <v>Công an xã Bát Mọt  tỉnh Thanh Hóa</v>
      </c>
      <c r="C11296" t="str">
        <v>-</v>
      </c>
      <c r="D11296" t="str">
        <v>-</v>
      </c>
      <c r="E11296" t="str">
        <v/>
      </c>
      <c r="F11296" t="str">
        <v>-</v>
      </c>
      <c r="G11296" t="str">
        <v>-</v>
      </c>
    </row>
    <row r="11297">
      <c r="A11297">
        <v>11296</v>
      </c>
      <c r="B11297" t="str">
        <v>UBND Ủy ban nhân dân xã Bát Mọt  tỉnh Thanh Hóa</v>
      </c>
      <c r="C11297" t="str">
        <v>-</v>
      </c>
      <c r="D11297" t="str">
        <v>-</v>
      </c>
      <c r="E11297" t="str">
        <v>-</v>
      </c>
      <c r="F11297" t="str">
        <v>-</v>
      </c>
      <c r="G11297" t="str">
        <v>-</v>
      </c>
    </row>
    <row r="11298">
      <c r="A11298">
        <v>11297</v>
      </c>
      <c r="B11298" t="str">
        <v>Công an xã Yên Nhân  tỉnh Thanh Hóa</v>
      </c>
      <c r="C11298" t="str">
        <v>-</v>
      </c>
      <c r="D11298" t="str">
        <v>-</v>
      </c>
      <c r="E11298" t="str">
        <v/>
      </c>
      <c r="F11298" t="str">
        <v>-</v>
      </c>
      <c r="G11298" t="str">
        <v>-</v>
      </c>
    </row>
    <row r="11299">
      <c r="A11299">
        <v>11298</v>
      </c>
      <c r="B11299" t="str">
        <v>UBND Ủy ban nhân dân xã Yên Nhân  tỉnh Thanh Hóa</v>
      </c>
      <c r="C11299" t="str">
        <v>-</v>
      </c>
      <c r="D11299" t="str">
        <v>-</v>
      </c>
      <c r="E11299" t="str">
        <v>-</v>
      </c>
      <c r="F11299" t="str">
        <v>-</v>
      </c>
      <c r="G11299" t="str">
        <v>-</v>
      </c>
    </row>
    <row r="11300">
      <c r="A11300">
        <v>11299</v>
      </c>
      <c r="B11300" t="str">
        <v>Công an xã Xuân Lẹ  tỉnh Thanh Hóa</v>
      </c>
      <c r="C11300" t="str">
        <v>-</v>
      </c>
      <c r="D11300" t="str">
        <v>-</v>
      </c>
      <c r="E11300" t="str">
        <v/>
      </c>
      <c r="F11300" t="str">
        <v>-</v>
      </c>
      <c r="G11300" t="str">
        <v>-</v>
      </c>
    </row>
    <row r="11301">
      <c r="A11301">
        <v>11300</v>
      </c>
      <c r="B11301" t="str">
        <v>UBND Ủy ban nhân dân xã Xuân Lẹ  tỉnh Thanh Hóa</v>
      </c>
      <c r="C11301" t="str">
        <v>-</v>
      </c>
      <c r="D11301" t="str">
        <v>-</v>
      </c>
      <c r="E11301" t="str">
        <v>-</v>
      </c>
      <c r="F11301" t="str">
        <v>-</v>
      </c>
      <c r="G11301" t="str">
        <v>-</v>
      </c>
    </row>
    <row r="11302">
      <c r="A11302">
        <v>11301</v>
      </c>
      <c r="B11302" t="str">
        <v>Công an xã Vạn Xuân  tỉnh Thanh Hóa</v>
      </c>
      <c r="C11302" t="str">
        <v>-</v>
      </c>
      <c r="D11302" t="str">
        <v>-</v>
      </c>
      <c r="E11302" t="str">
        <v/>
      </c>
      <c r="F11302" t="str">
        <v>-</v>
      </c>
      <c r="G11302" t="str">
        <v>-</v>
      </c>
    </row>
    <row r="11303">
      <c r="A11303">
        <v>11302</v>
      </c>
      <c r="B11303" t="str">
        <v>UBND Ủy ban nhân dân xã Vạn Xuân  tỉnh Thanh Hóa</v>
      </c>
      <c r="C11303" t="str">
        <v>-</v>
      </c>
      <c r="D11303" t="str">
        <v>-</v>
      </c>
      <c r="E11303" t="str">
        <v>-</v>
      </c>
      <c r="F11303" t="str">
        <v>-</v>
      </c>
      <c r="G11303" t="str">
        <v>-</v>
      </c>
    </row>
    <row r="11304">
      <c r="A11304">
        <v>11303</v>
      </c>
      <c r="B11304" t="str">
        <v>Công an xã Lương Sơn  tỉnh Thanh Hóa</v>
      </c>
      <c r="C11304" t="str">
        <v>-</v>
      </c>
      <c r="D11304" t="str">
        <v>-</v>
      </c>
      <c r="E11304" t="str">
        <v/>
      </c>
      <c r="F11304" t="str">
        <v>-</v>
      </c>
      <c r="G11304" t="str">
        <v>-</v>
      </c>
    </row>
    <row r="11305">
      <c r="A11305">
        <v>11304</v>
      </c>
      <c r="B11305" t="str">
        <v>UBND Ủy ban nhân dân xã Lương Sơn  tỉnh Thanh Hóa</v>
      </c>
      <c r="C11305" t="str">
        <v>-</v>
      </c>
      <c r="D11305" t="str">
        <v>-</v>
      </c>
      <c r="E11305" t="str">
        <v>-</v>
      </c>
      <c r="F11305" t="str">
        <v>-</v>
      </c>
      <c r="G11305" t="str">
        <v>-</v>
      </c>
    </row>
    <row r="11306">
      <c r="A11306">
        <v>11305</v>
      </c>
      <c r="B11306" t="str">
        <v>Công an xã Xuân Cao  tỉnh Thanh Hóa</v>
      </c>
      <c r="C11306" t="str">
        <v>-</v>
      </c>
      <c r="D11306" t="str">
        <v>-</v>
      </c>
      <c r="E11306" t="str">
        <v/>
      </c>
      <c r="F11306" t="str">
        <v>-</v>
      </c>
      <c r="G11306" t="str">
        <v>-</v>
      </c>
    </row>
    <row r="11307">
      <c r="A11307">
        <v>11306</v>
      </c>
      <c r="B11307" t="str">
        <v>UBND Ủy ban nhân dân xã Xuân Cao  tỉnh Thanh Hóa</v>
      </c>
      <c r="C11307" t="str">
        <v>-</v>
      </c>
      <c r="D11307" t="str">
        <v>-</v>
      </c>
      <c r="E11307" t="str">
        <v>-</v>
      </c>
      <c r="F11307" t="str">
        <v>-</v>
      </c>
      <c r="G11307" t="str">
        <v>-</v>
      </c>
    </row>
    <row r="11308">
      <c r="A11308">
        <v>11307</v>
      </c>
      <c r="B11308" t="str">
        <v>Công an xã Luận Thành  tỉnh Thanh Hóa</v>
      </c>
      <c r="C11308" t="str">
        <v>-</v>
      </c>
      <c r="D11308" t="str">
        <v>-</v>
      </c>
      <c r="E11308" t="str">
        <v/>
      </c>
      <c r="F11308" t="str">
        <v>-</v>
      </c>
      <c r="G11308" t="str">
        <v>-</v>
      </c>
    </row>
    <row r="11309">
      <c r="A11309">
        <v>11308</v>
      </c>
      <c r="B11309" t="str">
        <v>UBND Ủy ban nhân dân xã Luận Thành  tỉnh Thanh Hóa</v>
      </c>
      <c r="C11309" t="str">
        <v>-</v>
      </c>
      <c r="D11309" t="str">
        <v>-</v>
      </c>
      <c r="E11309" t="str">
        <v>-</v>
      </c>
      <c r="F11309" t="str">
        <v>-</v>
      </c>
      <c r="G11309" t="str">
        <v>-</v>
      </c>
    </row>
    <row r="11310">
      <c r="A11310">
        <v>11309</v>
      </c>
      <c r="B11310" t="str">
        <v>Công an xã Luận Khê  tỉnh Thanh Hóa</v>
      </c>
      <c r="C11310" t="str">
        <v>-</v>
      </c>
      <c r="D11310" t="str">
        <v>-</v>
      </c>
      <c r="E11310" t="str">
        <v/>
      </c>
      <c r="F11310" t="str">
        <v>-</v>
      </c>
      <c r="G11310" t="str">
        <v>-</v>
      </c>
    </row>
    <row r="11311">
      <c r="A11311">
        <v>11310</v>
      </c>
      <c r="B11311" t="str">
        <v>UBND Ủy ban nhân dân xã Luận Khê  tỉnh Thanh Hóa</v>
      </c>
      <c r="C11311" t="str">
        <v>-</v>
      </c>
      <c r="D11311" t="str">
        <v>-</v>
      </c>
      <c r="E11311" t="str">
        <v>-</v>
      </c>
      <c r="F11311" t="str">
        <v>-</v>
      </c>
      <c r="G11311" t="str">
        <v>-</v>
      </c>
    </row>
    <row r="11312">
      <c r="A11312">
        <v>11311</v>
      </c>
      <c r="B11312" t="str">
        <v>Công an xã Xuân Thắng  tỉnh Thanh Hóa</v>
      </c>
      <c r="C11312" t="str">
        <v>-</v>
      </c>
      <c r="D11312" t="str">
        <v>-</v>
      </c>
      <c r="E11312" t="str">
        <v/>
      </c>
      <c r="F11312" t="str">
        <v>-</v>
      </c>
      <c r="G11312" t="str">
        <v>-</v>
      </c>
    </row>
    <row r="11313">
      <c r="A11313">
        <v>11312</v>
      </c>
      <c r="B11313" t="str">
        <v>UBND Ủy ban nhân dân xã Xuân Thắng  tỉnh Thanh Hóa</v>
      </c>
      <c r="C11313" t="str">
        <v>-</v>
      </c>
      <c r="D11313" t="str">
        <v>-</v>
      </c>
      <c r="E11313" t="str">
        <v>-</v>
      </c>
      <c r="F11313" t="str">
        <v>-</v>
      </c>
      <c r="G11313" t="str">
        <v>-</v>
      </c>
    </row>
    <row r="11314">
      <c r="A11314">
        <v>11313</v>
      </c>
      <c r="B11314" t="str">
        <v>Công an xã Xuân Lộc  tỉnh Thanh Hóa</v>
      </c>
      <c r="C11314" t="str">
        <v>-</v>
      </c>
      <c r="D11314" t="str">
        <v>-</v>
      </c>
      <c r="E11314" t="str">
        <v/>
      </c>
      <c r="F11314" t="str">
        <v>-</v>
      </c>
      <c r="G11314" t="str">
        <v>-</v>
      </c>
    </row>
    <row r="11315">
      <c r="A11315">
        <v>11314</v>
      </c>
      <c r="B11315" t="str">
        <v>UBND Ủy ban nhân dân xã Xuân Lộc  tỉnh Thanh Hóa</v>
      </c>
      <c r="C11315" t="str">
        <v>-</v>
      </c>
      <c r="D11315" t="str">
        <v>-</v>
      </c>
      <c r="E11315" t="str">
        <v>-</v>
      </c>
      <c r="F11315" t="str">
        <v>-</v>
      </c>
      <c r="G11315" t="str">
        <v>-</v>
      </c>
    </row>
    <row r="11316">
      <c r="A11316">
        <v>11315</v>
      </c>
      <c r="B11316" t="str">
        <v>Công an xã Xuân Cẩm  tỉnh Thanh Hóa</v>
      </c>
      <c r="C11316" t="str">
        <v>-</v>
      </c>
      <c r="D11316" t="str">
        <v>-</v>
      </c>
      <c r="E11316" t="str">
        <v/>
      </c>
      <c r="F11316" t="str">
        <v>-</v>
      </c>
      <c r="G11316" t="str">
        <v>-</v>
      </c>
    </row>
    <row r="11317">
      <c r="A11317">
        <v>11316</v>
      </c>
      <c r="B11317" t="str">
        <v>UBND Ủy ban nhân dân xã Xuân Cẩm  tỉnh Thanh Hóa</v>
      </c>
      <c r="C11317" t="str">
        <v>-</v>
      </c>
      <c r="D11317" t="str">
        <v>-</v>
      </c>
      <c r="E11317" t="str">
        <v>-</v>
      </c>
      <c r="F11317" t="str">
        <v>-</v>
      </c>
      <c r="G11317" t="str">
        <v>-</v>
      </c>
    </row>
    <row r="11318">
      <c r="A11318">
        <v>11317</v>
      </c>
      <c r="B11318" t="str">
        <v>Công an xã Xuân Dương  tỉnh Thanh Hóa</v>
      </c>
      <c r="C11318" t="str">
        <v>-</v>
      </c>
      <c r="D11318" t="str">
        <v>-</v>
      </c>
      <c r="E11318" t="str">
        <v/>
      </c>
      <c r="F11318" t="str">
        <v>-</v>
      </c>
      <c r="G11318" t="str">
        <v>-</v>
      </c>
    </row>
    <row r="11319">
      <c r="A11319">
        <v>11318</v>
      </c>
      <c r="B11319" t="str">
        <v>UBND Ủy ban nhân dân xã Xuân Dương  tỉnh Thanh Hóa</v>
      </c>
      <c r="C11319" t="str">
        <v>-</v>
      </c>
      <c r="D11319" t="str">
        <v>-</v>
      </c>
      <c r="E11319" t="str">
        <v>-</v>
      </c>
      <c r="F11319" t="str">
        <v>-</v>
      </c>
      <c r="G11319" t="str">
        <v>-</v>
      </c>
    </row>
    <row r="11320">
      <c r="A11320">
        <v>11319</v>
      </c>
      <c r="B11320" t="str">
        <v>Công an xã Thọ Thanh  tỉnh Thanh Hóa</v>
      </c>
      <c r="C11320" t="str">
        <v>-</v>
      </c>
      <c r="D11320" t="str">
        <v>-</v>
      </c>
      <c r="E11320" t="str">
        <v/>
      </c>
      <c r="F11320" t="str">
        <v>-</v>
      </c>
      <c r="G11320" t="str">
        <v>-</v>
      </c>
    </row>
    <row r="11321">
      <c r="A11321">
        <v>11320</v>
      </c>
      <c r="B11321" t="str">
        <v>UBND Ủy ban nhân dân xã Thọ Thanh  tỉnh Thanh Hóa</v>
      </c>
      <c r="C11321" t="str">
        <v>-</v>
      </c>
      <c r="D11321" t="str">
        <v>-</v>
      </c>
      <c r="E11321" t="str">
        <v>-</v>
      </c>
      <c r="F11321" t="str">
        <v>-</v>
      </c>
      <c r="G11321" t="str">
        <v>-</v>
      </c>
    </row>
    <row r="11322">
      <c r="A11322">
        <v>11321</v>
      </c>
      <c r="B11322" t="str">
        <v>Công an xã Ngọc Phụng  tỉnh Thanh Hóa</v>
      </c>
      <c r="C11322" t="str">
        <v>-</v>
      </c>
      <c r="D11322" t="str">
        <v>-</v>
      </c>
      <c r="E11322" t="str">
        <v/>
      </c>
      <c r="F11322" t="str">
        <v>-</v>
      </c>
      <c r="G11322" t="str">
        <v>-</v>
      </c>
    </row>
    <row r="11323">
      <c r="A11323">
        <v>11322</v>
      </c>
      <c r="B11323" t="str">
        <v>UBND Ủy ban nhân dân xã Ngọc Phụng  tỉnh Thanh Hóa</v>
      </c>
      <c r="C11323" t="str">
        <v>-</v>
      </c>
      <c r="D11323" t="str">
        <v>-</v>
      </c>
      <c r="E11323" t="str">
        <v>-</v>
      </c>
      <c r="F11323" t="str">
        <v>-</v>
      </c>
      <c r="G11323" t="str">
        <v>-</v>
      </c>
    </row>
    <row r="11324">
      <c r="A11324">
        <v>11323</v>
      </c>
      <c r="B11324" t="str">
        <v>Công an xã Xuân Chinh  tỉnh Thanh Hóa</v>
      </c>
      <c r="C11324" t="str">
        <v>-</v>
      </c>
      <c r="D11324" t="str">
        <v>-</v>
      </c>
      <c r="E11324" t="str">
        <v/>
      </c>
      <c r="F11324" t="str">
        <v>-</v>
      </c>
      <c r="G11324" t="str">
        <v>-</v>
      </c>
    </row>
    <row r="11325">
      <c r="A11325">
        <v>11324</v>
      </c>
      <c r="B11325" t="str">
        <v>UBND Ủy ban nhân dân xã Xuân Chinh  tỉnh Thanh Hóa</v>
      </c>
      <c r="C11325" t="str">
        <v>-</v>
      </c>
      <c r="D11325" t="str">
        <v>-</v>
      </c>
      <c r="E11325" t="str">
        <v>-</v>
      </c>
      <c r="F11325" t="str">
        <v>-</v>
      </c>
      <c r="G11325" t="str">
        <v>-</v>
      </c>
    </row>
    <row r="11326">
      <c r="A11326">
        <v>11325</v>
      </c>
      <c r="B11326" t="str">
        <v>Công an xã Tân Thành  tỉnh Thanh Hóa</v>
      </c>
      <c r="C11326" t="str">
        <v>-</v>
      </c>
      <c r="D11326" t="str">
        <v>-</v>
      </c>
      <c r="E11326" t="str">
        <v/>
      </c>
      <c r="F11326" t="str">
        <v>-</v>
      </c>
      <c r="G11326" t="str">
        <v>-</v>
      </c>
    </row>
    <row r="11327">
      <c r="A11327">
        <v>11326</v>
      </c>
      <c r="B11327" t="str">
        <v>UBND Ủy ban nhân dân xã Tân Thành  tỉnh Thanh Hóa</v>
      </c>
      <c r="C11327" t="str">
        <v>-</v>
      </c>
      <c r="D11327" t="str">
        <v>-</v>
      </c>
      <c r="E11327" t="str">
        <v>-</v>
      </c>
      <c r="F11327" t="str">
        <v>-</v>
      </c>
      <c r="G11327" t="str">
        <v>-</v>
      </c>
    </row>
    <row r="11328">
      <c r="A11328">
        <v>11327</v>
      </c>
      <c r="B11328" t="str">
        <v>Công an thị trấn Triệu Sơn  tỉnh Thanh Hóa</v>
      </c>
      <c r="C11328" t="str">
        <v>-</v>
      </c>
      <c r="D11328" t="str">
        <v>-</v>
      </c>
      <c r="E11328" t="str">
        <v/>
      </c>
      <c r="F11328" t="str">
        <v>-</v>
      </c>
      <c r="G11328" t="str">
        <v>-</v>
      </c>
    </row>
    <row r="11329">
      <c r="A11329">
        <v>11328</v>
      </c>
      <c r="B11329" t="str">
        <v>UBND Ủy ban nhân dân thị trấn Triệu Sơn  tỉnh Thanh Hóa</v>
      </c>
      <c r="C11329" t="str">
        <v>-</v>
      </c>
      <c r="D11329" t="str">
        <v>-</v>
      </c>
      <c r="E11329" t="str">
        <v>-</v>
      </c>
      <c r="F11329" t="str">
        <v>-</v>
      </c>
      <c r="G11329" t="str">
        <v>-</v>
      </c>
    </row>
    <row r="11330">
      <c r="A11330">
        <v>11329</v>
      </c>
      <c r="B11330" t="str">
        <v>Công an xã Thọ Sơn  tỉnh Thanh Hóa</v>
      </c>
      <c r="C11330" t="str">
        <v>-</v>
      </c>
      <c r="D11330" t="str">
        <v>-</v>
      </c>
      <c r="E11330" t="str">
        <v/>
      </c>
      <c r="F11330" t="str">
        <v>-</v>
      </c>
      <c r="G11330" t="str">
        <v>-</v>
      </c>
    </row>
    <row r="11331">
      <c r="A11331">
        <v>11330</v>
      </c>
      <c r="B11331" t="str">
        <v>UBND Ủy ban nhân dân xã Thọ Sơn  tỉnh Thanh Hóa</v>
      </c>
      <c r="C11331" t="str">
        <v>-</v>
      </c>
      <c r="D11331" t="str">
        <v>-</v>
      </c>
      <c r="E11331" t="str">
        <v>-</v>
      </c>
      <c r="F11331" t="str">
        <v>-</v>
      </c>
      <c r="G11331" t="str">
        <v>-</v>
      </c>
    </row>
    <row r="11332">
      <c r="A11332">
        <v>11331</v>
      </c>
      <c r="B11332" t="str">
        <v>Công an xã Thọ Bình  tỉnh Thanh Hóa</v>
      </c>
      <c r="C11332" t="str">
        <v>-</v>
      </c>
      <c r="D11332" t="str">
        <v>-</v>
      </c>
      <c r="E11332" t="str">
        <v/>
      </c>
      <c r="F11332" t="str">
        <v>-</v>
      </c>
      <c r="G11332" t="str">
        <v>-</v>
      </c>
    </row>
    <row r="11333">
      <c r="A11333">
        <v>11332</v>
      </c>
      <c r="B11333" t="str">
        <v>UBND Ủy ban nhân dân xã Thọ Bình  tỉnh Thanh Hóa</v>
      </c>
      <c r="C11333" t="str">
        <v>-</v>
      </c>
      <c r="D11333" t="str">
        <v>-</v>
      </c>
      <c r="E11333" t="str">
        <v>-</v>
      </c>
      <c r="F11333" t="str">
        <v>-</v>
      </c>
      <c r="G11333" t="str">
        <v>-</v>
      </c>
    </row>
    <row r="11334">
      <c r="A11334">
        <v>11333</v>
      </c>
      <c r="B11334" t="str">
        <v>Công an xã Thọ Tiến  tỉnh Thanh Hóa</v>
      </c>
      <c r="C11334" t="str">
        <v>-</v>
      </c>
      <c r="D11334" t="str">
        <v>-</v>
      </c>
      <c r="E11334" t="str">
        <v/>
      </c>
      <c r="F11334" t="str">
        <v>-</v>
      </c>
      <c r="G11334" t="str">
        <v>-</v>
      </c>
    </row>
    <row r="11335">
      <c r="A11335">
        <v>11334</v>
      </c>
      <c r="B11335" t="str">
        <v>UBND Ủy ban nhân dân xã Thọ Tiến  tỉnh Thanh Hóa</v>
      </c>
      <c r="C11335" t="str">
        <v>-</v>
      </c>
      <c r="D11335" t="str">
        <v>-</v>
      </c>
      <c r="E11335" t="str">
        <v>-</v>
      </c>
      <c r="F11335" t="str">
        <v>-</v>
      </c>
      <c r="G11335" t="str">
        <v>-</v>
      </c>
    </row>
    <row r="11336">
      <c r="A11336">
        <v>11335</v>
      </c>
      <c r="B11336" t="str">
        <v>Công an xã Hợp Lý  tỉnh Thanh Hóa</v>
      </c>
      <c r="C11336" t="str">
        <v>-</v>
      </c>
      <c r="D11336" t="str">
        <v>-</v>
      </c>
      <c r="E11336" t="str">
        <v/>
      </c>
      <c r="F11336" t="str">
        <v>-</v>
      </c>
      <c r="G11336" t="str">
        <v>-</v>
      </c>
    </row>
    <row r="11337">
      <c r="A11337">
        <v>11336</v>
      </c>
      <c r="B11337" t="str">
        <v>UBND Ủy ban nhân dân xã Hợp Lý  tỉnh Thanh Hóa</v>
      </c>
      <c r="C11337" t="str">
        <v>-</v>
      </c>
      <c r="D11337" t="str">
        <v>-</v>
      </c>
      <c r="E11337" t="str">
        <v>-</v>
      </c>
      <c r="F11337" t="str">
        <v>-</v>
      </c>
      <c r="G11337" t="str">
        <v>-</v>
      </c>
    </row>
    <row r="11338">
      <c r="A11338">
        <v>11337</v>
      </c>
      <c r="B11338" t="str">
        <v>Công an xã Hợp Tiến  tỉnh Thanh Hóa</v>
      </c>
      <c r="C11338" t="str">
        <v>-</v>
      </c>
      <c r="D11338" t="str">
        <v>-</v>
      </c>
      <c r="E11338" t="str">
        <v/>
      </c>
      <c r="F11338" t="str">
        <v>-</v>
      </c>
      <c r="G11338" t="str">
        <v>-</v>
      </c>
    </row>
    <row r="11339">
      <c r="A11339">
        <v>11338</v>
      </c>
      <c r="B11339" t="str">
        <v>UBND Ủy ban nhân dân xã Hợp Tiến  tỉnh Thanh Hóa</v>
      </c>
      <c r="C11339" t="str">
        <v>-</v>
      </c>
      <c r="D11339" t="str">
        <v>-</v>
      </c>
      <c r="E11339" t="str">
        <v>-</v>
      </c>
      <c r="F11339" t="str">
        <v>-</v>
      </c>
      <c r="G11339" t="str">
        <v>-</v>
      </c>
    </row>
    <row r="11340">
      <c r="A11340">
        <v>11339</v>
      </c>
      <c r="B11340" t="str">
        <v>Công an xã Hợp Thành  tỉnh Thanh Hóa</v>
      </c>
      <c r="C11340" t="str">
        <v>-</v>
      </c>
      <c r="D11340" t="str">
        <v>-</v>
      </c>
      <c r="E11340" t="str">
        <v/>
      </c>
      <c r="F11340" t="str">
        <v>-</v>
      </c>
      <c r="G11340" t="str">
        <v>-</v>
      </c>
    </row>
    <row r="11341">
      <c r="A11341">
        <v>11340</v>
      </c>
      <c r="B11341" t="str">
        <v>UBND Ủy ban nhân dân xã Hợp Thành  tỉnh Thanh Hóa</v>
      </c>
      <c r="C11341" t="str">
        <v>-</v>
      </c>
      <c r="D11341" t="str">
        <v>-</v>
      </c>
      <c r="E11341" t="str">
        <v>-</v>
      </c>
      <c r="F11341" t="str">
        <v>-</v>
      </c>
      <c r="G11341" t="str">
        <v>-</v>
      </c>
    </row>
    <row r="11342">
      <c r="A11342">
        <v>11341</v>
      </c>
      <c r="B11342" t="str">
        <v>Công an xã Triệu Thành  tỉnh Thanh Hóa</v>
      </c>
      <c r="C11342" t="str">
        <v>-</v>
      </c>
      <c r="D11342" t="str">
        <v>-</v>
      </c>
      <c r="E11342" t="str">
        <v/>
      </c>
      <c r="F11342" t="str">
        <v>-</v>
      </c>
      <c r="G11342" t="str">
        <v>-</v>
      </c>
    </row>
    <row r="11343">
      <c r="A11343">
        <v>11342</v>
      </c>
      <c r="B11343" t="str">
        <v>UBND Ủy ban nhân dân xã Triệu Thành  tỉnh Thanh Hóa</v>
      </c>
      <c r="C11343" t="str">
        <v>-</v>
      </c>
      <c r="D11343" t="str">
        <v>-</v>
      </c>
      <c r="E11343" t="str">
        <v>-</v>
      </c>
      <c r="F11343" t="str">
        <v>-</v>
      </c>
      <c r="G11343" t="str">
        <v>-</v>
      </c>
    </row>
    <row r="11344">
      <c r="A11344">
        <v>11343</v>
      </c>
      <c r="B11344" t="str">
        <v>Công an xã Hợp Thắng  tỉnh Thanh Hóa</v>
      </c>
      <c r="C11344" t="str">
        <v>-</v>
      </c>
      <c r="D11344" t="str">
        <v>-</v>
      </c>
      <c r="E11344" t="str">
        <v/>
      </c>
      <c r="F11344" t="str">
        <v>-</v>
      </c>
      <c r="G11344" t="str">
        <v>-</v>
      </c>
    </row>
    <row r="11345">
      <c r="A11345">
        <v>11344</v>
      </c>
      <c r="B11345" t="str">
        <v>UBND Ủy ban nhân dân xã Hợp Thắng  tỉnh Thanh Hóa</v>
      </c>
      <c r="C11345" t="str">
        <v>-</v>
      </c>
      <c r="D11345" t="str">
        <v>-</v>
      </c>
      <c r="E11345" t="str">
        <v>-</v>
      </c>
      <c r="F11345" t="str">
        <v>-</v>
      </c>
      <c r="G11345" t="str">
        <v>-</v>
      </c>
    </row>
    <row r="11346">
      <c r="A11346">
        <v>11345</v>
      </c>
      <c r="B11346" t="str">
        <v>Công an xã Minh Sơn  tỉnh Thanh Hóa</v>
      </c>
      <c r="C11346" t="str">
        <v>-</v>
      </c>
      <c r="D11346" t="str">
        <v>-</v>
      </c>
      <c r="E11346" t="str">
        <v/>
      </c>
      <c r="F11346" t="str">
        <v>-</v>
      </c>
      <c r="G11346" t="str">
        <v>-</v>
      </c>
    </row>
    <row r="11347">
      <c r="A11347">
        <v>11346</v>
      </c>
      <c r="B11347" t="str">
        <v>UBND Ủy ban nhân dân xã Minh Sơn  tỉnh Thanh Hóa</v>
      </c>
      <c r="C11347" t="str">
        <v>-</v>
      </c>
      <c r="D11347" t="str">
        <v>-</v>
      </c>
      <c r="E11347" t="str">
        <v>-</v>
      </c>
      <c r="F11347" t="str">
        <v>-</v>
      </c>
      <c r="G11347" t="str">
        <v>-</v>
      </c>
    </row>
    <row r="11348">
      <c r="A11348">
        <v>11347</v>
      </c>
      <c r="B11348" t="str">
        <v>Công an xã Minh Dân  tỉnh Thanh Hóa</v>
      </c>
      <c r="C11348" t="str">
        <v>-</v>
      </c>
      <c r="D11348" t="str">
        <v>-</v>
      </c>
      <c r="E11348" t="str">
        <v/>
      </c>
      <c r="F11348" t="str">
        <v>-</v>
      </c>
      <c r="G11348" t="str">
        <v>-</v>
      </c>
    </row>
    <row r="11349">
      <c r="A11349">
        <v>11348</v>
      </c>
      <c r="B11349" t="str">
        <v>UBND Ủy ban nhân dân xã Minh Dân  tỉnh Thanh Hóa</v>
      </c>
      <c r="C11349" t="str">
        <v>-</v>
      </c>
      <c r="D11349" t="str">
        <v>-</v>
      </c>
      <c r="E11349" t="str">
        <v>-</v>
      </c>
      <c r="F11349" t="str">
        <v>-</v>
      </c>
      <c r="G11349" t="str">
        <v>-</v>
      </c>
    </row>
    <row r="11350">
      <c r="A11350">
        <v>11349</v>
      </c>
      <c r="B11350" t="str">
        <v>Công an xã Minh Châu  tỉnh Thanh Hóa</v>
      </c>
      <c r="C11350" t="str">
        <v>-</v>
      </c>
      <c r="D11350" t="str">
        <v>-</v>
      </c>
      <c r="E11350" t="str">
        <v/>
      </c>
      <c r="F11350" t="str">
        <v>-</v>
      </c>
      <c r="G11350" t="str">
        <v>-</v>
      </c>
    </row>
    <row r="11351">
      <c r="A11351">
        <v>11350</v>
      </c>
      <c r="B11351" t="str">
        <v>UBND Ủy ban nhân dân xã Minh Châu  tỉnh Thanh Hóa</v>
      </c>
      <c r="C11351" t="str">
        <v>-</v>
      </c>
      <c r="D11351" t="str">
        <v>-</v>
      </c>
      <c r="E11351" t="str">
        <v>-</v>
      </c>
      <c r="F11351" t="str">
        <v>-</v>
      </c>
      <c r="G11351" t="str">
        <v>-</v>
      </c>
    </row>
    <row r="11352">
      <c r="A11352">
        <v>11351</v>
      </c>
      <c r="B11352" t="str">
        <v>Công an xã Dân Lực  tỉnh Thanh Hóa</v>
      </c>
      <c r="C11352" t="str">
        <v>-</v>
      </c>
      <c r="D11352" t="str">
        <v>-</v>
      </c>
      <c r="E11352" t="str">
        <v/>
      </c>
      <c r="F11352" t="str">
        <v>-</v>
      </c>
      <c r="G11352" t="str">
        <v>-</v>
      </c>
    </row>
    <row r="11353">
      <c r="A11353">
        <v>11352</v>
      </c>
      <c r="B11353" t="str">
        <v>UBND Ủy ban nhân dân xã Dân Lực  tỉnh Thanh Hóa</v>
      </c>
      <c r="C11353" t="str">
        <v>-</v>
      </c>
      <c r="D11353" t="str">
        <v>-</v>
      </c>
      <c r="E11353" t="str">
        <v>-</v>
      </c>
      <c r="F11353" t="str">
        <v>-</v>
      </c>
      <c r="G11353" t="str">
        <v>-</v>
      </c>
    </row>
    <row r="11354">
      <c r="A11354">
        <v>11353</v>
      </c>
      <c r="B11354" t="str">
        <v>Công an xã Dân Lý  tỉnh Thanh Hóa</v>
      </c>
      <c r="C11354" t="str">
        <v>-</v>
      </c>
      <c r="D11354" t="str">
        <v>-</v>
      </c>
      <c r="E11354" t="str">
        <v/>
      </c>
      <c r="F11354" t="str">
        <v>-</v>
      </c>
      <c r="G11354" t="str">
        <v>-</v>
      </c>
    </row>
    <row r="11355">
      <c r="A11355">
        <v>11354</v>
      </c>
      <c r="B11355" t="str">
        <v>UBND Ủy ban nhân dân xã Dân Lý  tỉnh Thanh Hóa</v>
      </c>
      <c r="C11355" t="str">
        <v>-</v>
      </c>
      <c r="D11355" t="str">
        <v>-</v>
      </c>
      <c r="E11355" t="str">
        <v>-</v>
      </c>
      <c r="F11355" t="str">
        <v>-</v>
      </c>
      <c r="G11355" t="str">
        <v>-</v>
      </c>
    </row>
    <row r="11356">
      <c r="A11356">
        <v>11355</v>
      </c>
      <c r="B11356" t="str">
        <v>Công an xã Dân Quyền  tỉnh Thanh Hóa</v>
      </c>
      <c r="C11356" t="str">
        <v>-</v>
      </c>
      <c r="D11356" t="str">
        <v>-</v>
      </c>
      <c r="E11356" t="str">
        <v/>
      </c>
      <c r="F11356" t="str">
        <v>-</v>
      </c>
      <c r="G11356" t="str">
        <v>-</v>
      </c>
    </row>
    <row r="11357">
      <c r="A11357">
        <v>11356</v>
      </c>
      <c r="B11357" t="str">
        <v>UBND Ủy ban nhân dân xã Dân Quyền  tỉnh Thanh Hóa</v>
      </c>
      <c r="C11357" t="str">
        <v>-</v>
      </c>
      <c r="D11357" t="str">
        <v>-</v>
      </c>
      <c r="E11357" t="str">
        <v>-</v>
      </c>
      <c r="F11357" t="str">
        <v>-</v>
      </c>
      <c r="G11357" t="str">
        <v>-</v>
      </c>
    </row>
    <row r="11358">
      <c r="A11358">
        <v>11357</v>
      </c>
      <c r="B11358" t="str">
        <v>Công an xã An Nông  tỉnh Thanh Hóa</v>
      </c>
      <c r="C11358" t="str">
        <v>-</v>
      </c>
      <c r="D11358" t="str">
        <v>-</v>
      </c>
      <c r="E11358" t="str">
        <v/>
      </c>
      <c r="F11358" t="str">
        <v>-</v>
      </c>
      <c r="G11358" t="str">
        <v>-</v>
      </c>
    </row>
    <row r="11359">
      <c r="A11359">
        <v>11358</v>
      </c>
      <c r="B11359" t="str">
        <v>UBND Ủy ban nhân dân xã An Nông  tỉnh Thanh Hóa</v>
      </c>
      <c r="C11359" t="str">
        <v>-</v>
      </c>
      <c r="D11359" t="str">
        <v>-</v>
      </c>
      <c r="E11359" t="str">
        <v>-</v>
      </c>
      <c r="F11359" t="str">
        <v>-</v>
      </c>
      <c r="G11359" t="str">
        <v>-</v>
      </c>
    </row>
    <row r="11360">
      <c r="A11360">
        <v>11359</v>
      </c>
      <c r="B11360" t="str">
        <v>Công an xã Văn Sơn  tỉnh Thanh Hóa</v>
      </c>
      <c r="C11360" t="str">
        <v>-</v>
      </c>
      <c r="D11360" t="str">
        <v>-</v>
      </c>
      <c r="E11360" t="str">
        <v/>
      </c>
      <c r="F11360" t="str">
        <v>-</v>
      </c>
      <c r="G11360" t="str">
        <v>-</v>
      </c>
    </row>
    <row r="11361">
      <c r="A11361">
        <v>11360</v>
      </c>
      <c r="B11361" t="str">
        <v>UBND Ủy ban nhân dân xã Văn Sơn  tỉnh Thanh Hóa</v>
      </c>
      <c r="C11361" t="str">
        <v>-</v>
      </c>
      <c r="D11361" t="str">
        <v>-</v>
      </c>
      <c r="E11361" t="str">
        <v>-</v>
      </c>
      <c r="F11361" t="str">
        <v>-</v>
      </c>
      <c r="G11361" t="str">
        <v>-</v>
      </c>
    </row>
    <row r="11362">
      <c r="A11362">
        <v>11361</v>
      </c>
      <c r="B11362" t="str">
        <v>Công an xã Thái Hòa  tỉnh Thanh Hóa</v>
      </c>
      <c r="C11362" t="str">
        <v>-</v>
      </c>
      <c r="D11362" t="str">
        <v>-</v>
      </c>
      <c r="E11362" t="str">
        <v/>
      </c>
      <c r="F11362" t="str">
        <v>-</v>
      </c>
      <c r="G11362" t="str">
        <v>-</v>
      </c>
    </row>
    <row r="11363">
      <c r="A11363">
        <v>11362</v>
      </c>
      <c r="B11363" t="str">
        <v>UBND Ủy ban nhân dân xã Thái Hòa  tỉnh Thanh Hóa</v>
      </c>
      <c r="C11363" t="str">
        <v>-</v>
      </c>
      <c r="D11363" t="str">
        <v>-</v>
      </c>
      <c r="E11363" t="str">
        <v>-</v>
      </c>
      <c r="F11363" t="str">
        <v>-</v>
      </c>
      <c r="G11363" t="str">
        <v>-</v>
      </c>
    </row>
    <row r="11364">
      <c r="A11364">
        <v>11363</v>
      </c>
      <c r="B11364" t="str">
        <v>Công an xã Tân Ninh  tỉnh Thanh Hóa</v>
      </c>
      <c r="C11364" t="str">
        <v>-</v>
      </c>
      <c r="D11364" t="str">
        <v>-</v>
      </c>
      <c r="E11364" t="str">
        <v/>
      </c>
      <c r="F11364" t="str">
        <v>-</v>
      </c>
      <c r="G11364" t="str">
        <v>-</v>
      </c>
    </row>
    <row r="11365">
      <c r="A11365">
        <v>11364</v>
      </c>
      <c r="B11365" t="str">
        <v>UBND Ủy ban nhân dân xã Tân Ninh  tỉnh Thanh Hóa</v>
      </c>
      <c r="C11365" t="str">
        <v>-</v>
      </c>
      <c r="D11365" t="str">
        <v>-</v>
      </c>
      <c r="E11365" t="str">
        <v>-</v>
      </c>
      <c r="F11365" t="str">
        <v>-</v>
      </c>
      <c r="G11365" t="str">
        <v>-</v>
      </c>
    </row>
    <row r="11366">
      <c r="A11366">
        <v>11365</v>
      </c>
      <c r="B11366" t="str">
        <v>Công an xã Đồng Lợi  tỉnh Thanh Hóa</v>
      </c>
      <c r="C11366" t="str">
        <v>-</v>
      </c>
      <c r="D11366" t="str">
        <v>-</v>
      </c>
      <c r="E11366" t="str">
        <v/>
      </c>
      <c r="F11366" t="str">
        <v>-</v>
      </c>
      <c r="G11366" t="str">
        <v>-</v>
      </c>
    </row>
    <row r="11367">
      <c r="A11367">
        <v>11366</v>
      </c>
      <c r="B11367" t="str">
        <v>UBND Ủy ban nhân dân xã Đồng Lợi  tỉnh Thanh Hóa</v>
      </c>
      <c r="C11367" t="str">
        <v>-</v>
      </c>
      <c r="D11367" t="str">
        <v>-</v>
      </c>
      <c r="E11367" t="str">
        <v>-</v>
      </c>
      <c r="F11367" t="str">
        <v>-</v>
      </c>
      <c r="G11367" t="str">
        <v>-</v>
      </c>
    </row>
    <row r="11368">
      <c r="A11368">
        <v>11367</v>
      </c>
      <c r="B11368" t="str">
        <v>Công an xã Đồng Tiến  tỉnh Thanh Hóa</v>
      </c>
      <c r="C11368" t="str">
        <v>-</v>
      </c>
      <c r="D11368" t="str">
        <v>-</v>
      </c>
      <c r="E11368" t="str">
        <v/>
      </c>
      <c r="F11368" t="str">
        <v>-</v>
      </c>
      <c r="G11368" t="str">
        <v>-</v>
      </c>
    </row>
    <row r="11369">
      <c r="A11369">
        <v>11368</v>
      </c>
      <c r="B11369" t="str">
        <v>UBND Ủy ban nhân dân xã Đồng Tiến  tỉnh Thanh Hóa</v>
      </c>
      <c r="C11369" t="str">
        <v>-</v>
      </c>
      <c r="D11369" t="str">
        <v>-</v>
      </c>
      <c r="E11369" t="str">
        <v>-</v>
      </c>
      <c r="F11369" t="str">
        <v>-</v>
      </c>
      <c r="G11369" t="str">
        <v>-</v>
      </c>
    </row>
    <row r="11370">
      <c r="A11370">
        <v>11369</v>
      </c>
      <c r="B11370" t="str">
        <v>Công an xã Đồng Thắng  tỉnh Thanh Hóa</v>
      </c>
      <c r="C11370" t="str">
        <v>-</v>
      </c>
      <c r="D11370" t="str">
        <v>-</v>
      </c>
      <c r="E11370" t="str">
        <v/>
      </c>
      <c r="F11370" t="str">
        <v>-</v>
      </c>
      <c r="G11370" t="str">
        <v>-</v>
      </c>
    </row>
    <row r="11371">
      <c r="A11371">
        <v>11370</v>
      </c>
      <c r="B11371" t="str">
        <v>UBND Ủy ban nhân dân xã Đồng Thắng  tỉnh Thanh Hóa</v>
      </c>
      <c r="C11371" t="str">
        <v>-</v>
      </c>
      <c r="D11371" t="str">
        <v>-</v>
      </c>
      <c r="E11371" t="str">
        <v>-</v>
      </c>
      <c r="F11371" t="str">
        <v>-</v>
      </c>
      <c r="G11371" t="str">
        <v>-</v>
      </c>
    </row>
    <row r="11372">
      <c r="A11372">
        <v>11371</v>
      </c>
      <c r="B11372" t="str">
        <v>Công an xã Tiến Nông  tỉnh Thanh Hóa</v>
      </c>
      <c r="C11372" t="str">
        <v>-</v>
      </c>
      <c r="D11372" t="str">
        <v>-</v>
      </c>
      <c r="E11372" t="str">
        <v/>
      </c>
      <c r="F11372" t="str">
        <v>-</v>
      </c>
      <c r="G11372" t="str">
        <v>-</v>
      </c>
    </row>
    <row r="11373">
      <c r="A11373">
        <v>11372</v>
      </c>
      <c r="B11373" t="str">
        <v>UBND Ủy ban nhân dân xã Tiến Nông  tỉnh Thanh Hóa</v>
      </c>
      <c r="C11373" t="str">
        <v>-</v>
      </c>
      <c r="D11373" t="str">
        <v>-</v>
      </c>
      <c r="E11373" t="str">
        <v>-</v>
      </c>
      <c r="F11373" t="str">
        <v>-</v>
      </c>
      <c r="G11373" t="str">
        <v>-</v>
      </c>
    </row>
    <row r="11374">
      <c r="A11374">
        <v>11373</v>
      </c>
      <c r="B11374" t="str">
        <v>Công an xã Khuyến Nông  tỉnh Thanh Hóa</v>
      </c>
      <c r="C11374" t="str">
        <v>-</v>
      </c>
      <c r="D11374" t="str">
        <v>-</v>
      </c>
      <c r="E11374" t="str">
        <v/>
      </c>
      <c r="F11374" t="str">
        <v>-</v>
      </c>
      <c r="G11374" t="str">
        <v>-</v>
      </c>
    </row>
    <row r="11375">
      <c r="A11375">
        <v>11374</v>
      </c>
      <c r="B11375" t="str">
        <v>UBND Ủy ban nhân dân xã Khuyến Nông  tỉnh Thanh Hóa</v>
      </c>
      <c r="C11375" t="str">
        <v>-</v>
      </c>
      <c r="D11375" t="str">
        <v>-</v>
      </c>
      <c r="E11375" t="str">
        <v>-</v>
      </c>
      <c r="F11375" t="str">
        <v>-</v>
      </c>
      <c r="G11375" t="str">
        <v>-</v>
      </c>
    </row>
    <row r="11376">
      <c r="A11376">
        <v>11375</v>
      </c>
      <c r="B11376" t="str">
        <v>Công an xã Xuân Thịnh  tỉnh Thanh Hóa</v>
      </c>
      <c r="C11376" t="str">
        <v>-</v>
      </c>
      <c r="D11376" t="str">
        <v>-</v>
      </c>
      <c r="E11376" t="str">
        <v/>
      </c>
      <c r="F11376" t="str">
        <v>-</v>
      </c>
      <c r="G11376" t="str">
        <v>-</v>
      </c>
    </row>
    <row r="11377">
      <c r="A11377">
        <v>11376</v>
      </c>
      <c r="B11377" t="str">
        <v>UBND Ủy ban nhân dân xã Xuân Thịnh  tỉnh Thanh Hóa</v>
      </c>
      <c r="C11377" t="str">
        <v>-</v>
      </c>
      <c r="D11377" t="str">
        <v>-</v>
      </c>
      <c r="E11377" t="str">
        <v>-</v>
      </c>
      <c r="F11377" t="str">
        <v>-</v>
      </c>
      <c r="G11377" t="str">
        <v>-</v>
      </c>
    </row>
    <row r="11378">
      <c r="A11378">
        <v>11377</v>
      </c>
      <c r="B11378" t="str">
        <v>Công an xã Xuân Lộc  tỉnh Thanh Hóa</v>
      </c>
      <c r="C11378" t="str">
        <v>-</v>
      </c>
      <c r="D11378" t="str">
        <v>-</v>
      </c>
      <c r="E11378" t="str">
        <v/>
      </c>
      <c r="F11378" t="str">
        <v>-</v>
      </c>
      <c r="G11378" t="str">
        <v>-</v>
      </c>
    </row>
    <row r="11379">
      <c r="A11379">
        <v>11378</v>
      </c>
      <c r="B11379" t="str">
        <v>UBND Ủy ban nhân dân xã Xuân Lộc  tỉnh Thanh Hóa</v>
      </c>
      <c r="C11379" t="str">
        <v>-</v>
      </c>
      <c r="D11379" t="str">
        <v>-</v>
      </c>
      <c r="E11379" t="str">
        <v>-</v>
      </c>
      <c r="F11379" t="str">
        <v>-</v>
      </c>
      <c r="G11379" t="str">
        <v>-</v>
      </c>
    </row>
    <row r="11380">
      <c r="A11380">
        <v>11379</v>
      </c>
      <c r="B11380" t="str">
        <v>Công an xã Thọ Dân  tỉnh Thanh Hóa</v>
      </c>
      <c r="C11380" t="str">
        <v>-</v>
      </c>
      <c r="D11380" t="str">
        <v>-</v>
      </c>
      <c r="E11380" t="str">
        <v/>
      </c>
      <c r="F11380" t="str">
        <v>-</v>
      </c>
      <c r="G11380" t="str">
        <v>-</v>
      </c>
    </row>
    <row r="11381">
      <c r="A11381">
        <v>11380</v>
      </c>
      <c r="B11381" t="str">
        <v>UBND Ủy ban nhân dân xã Thọ Dân  tỉnh Thanh Hóa</v>
      </c>
      <c r="C11381" t="str">
        <v>-</v>
      </c>
      <c r="D11381" t="str">
        <v>-</v>
      </c>
      <c r="E11381" t="str">
        <v>-</v>
      </c>
      <c r="F11381" t="str">
        <v>-</v>
      </c>
      <c r="G11381" t="str">
        <v>-</v>
      </c>
    </row>
    <row r="11382">
      <c r="A11382">
        <v>11381</v>
      </c>
      <c r="B11382" t="str">
        <v>Công an xã Xuân Thọ  tỉnh Thanh Hóa</v>
      </c>
      <c r="C11382" t="str">
        <v>-</v>
      </c>
      <c r="D11382" t="str">
        <v>-</v>
      </c>
      <c r="E11382" t="str">
        <v/>
      </c>
      <c r="F11382" t="str">
        <v>-</v>
      </c>
      <c r="G11382" t="str">
        <v>-</v>
      </c>
    </row>
    <row r="11383">
      <c r="A11383">
        <v>11382</v>
      </c>
      <c r="B11383" t="str">
        <v>UBND Ủy ban nhân dân xã Xuân Thọ  tỉnh Thanh Hóa</v>
      </c>
      <c r="C11383" t="str">
        <v>-</v>
      </c>
      <c r="D11383" t="str">
        <v>-</v>
      </c>
      <c r="E11383" t="str">
        <v>-</v>
      </c>
      <c r="F11383" t="str">
        <v>-</v>
      </c>
      <c r="G11383" t="str">
        <v>-</v>
      </c>
    </row>
    <row r="11384">
      <c r="A11384">
        <v>11383</v>
      </c>
      <c r="B11384" t="str">
        <v>Công an xã Thọ Tân  tỉnh Thanh Hóa</v>
      </c>
      <c r="C11384" t="str">
        <v>-</v>
      </c>
      <c r="D11384" t="str">
        <v>-</v>
      </c>
      <c r="E11384" t="str">
        <v/>
      </c>
      <c r="F11384" t="str">
        <v>-</v>
      </c>
      <c r="G11384" t="str">
        <v>-</v>
      </c>
    </row>
    <row r="11385">
      <c r="A11385">
        <v>11384</v>
      </c>
      <c r="B11385" t="str">
        <v>UBND Ủy ban nhân dân xã Thọ Tân  tỉnh Thanh Hóa</v>
      </c>
      <c r="C11385" t="str">
        <v>-</v>
      </c>
      <c r="D11385" t="str">
        <v>-</v>
      </c>
      <c r="E11385" t="str">
        <v>-</v>
      </c>
      <c r="F11385" t="str">
        <v>-</v>
      </c>
      <c r="G11385" t="str">
        <v>-</v>
      </c>
    </row>
    <row r="11386">
      <c r="A11386">
        <v>11385</v>
      </c>
      <c r="B11386" t="str">
        <v>Công an xã Thọ Ngọc  tỉnh Thanh Hóa</v>
      </c>
      <c r="C11386" t="str">
        <v>-</v>
      </c>
      <c r="D11386" t="str">
        <v>-</v>
      </c>
      <c r="E11386" t="str">
        <v/>
      </c>
      <c r="F11386" t="str">
        <v>-</v>
      </c>
      <c r="G11386" t="str">
        <v>-</v>
      </c>
    </row>
    <row r="11387">
      <c r="A11387">
        <v>11386</v>
      </c>
      <c r="B11387" t="str">
        <v>UBND Ủy ban nhân dân xã Thọ Ngọc  tỉnh Thanh Hóa</v>
      </c>
      <c r="C11387" t="str">
        <v>-</v>
      </c>
      <c r="D11387" t="str">
        <v>-</v>
      </c>
      <c r="E11387" t="str">
        <v>-</v>
      </c>
      <c r="F11387" t="str">
        <v>-</v>
      </c>
      <c r="G11387" t="str">
        <v>-</v>
      </c>
    </row>
    <row r="11388">
      <c r="A11388">
        <v>11387</v>
      </c>
      <c r="B11388" t="str">
        <v>Công an xã Thọ Cường  tỉnh Thanh Hóa</v>
      </c>
      <c r="C11388" t="str">
        <v>-</v>
      </c>
      <c r="D11388" t="str">
        <v>-</v>
      </c>
      <c r="E11388" t="str">
        <v/>
      </c>
      <c r="F11388" t="str">
        <v>-</v>
      </c>
      <c r="G11388" t="str">
        <v>-</v>
      </c>
    </row>
    <row r="11389">
      <c r="A11389">
        <v>11388</v>
      </c>
      <c r="B11389" t="str">
        <v>UBND Ủy ban nhân dân xã Thọ Cường  tỉnh Thanh Hóa</v>
      </c>
      <c r="C11389" t="str">
        <v>-</v>
      </c>
      <c r="D11389" t="str">
        <v>-</v>
      </c>
      <c r="E11389" t="str">
        <v>-</v>
      </c>
      <c r="F11389" t="str">
        <v>-</v>
      </c>
      <c r="G11389" t="str">
        <v>-</v>
      </c>
    </row>
    <row r="11390">
      <c r="A11390">
        <v>11389</v>
      </c>
      <c r="B11390" t="str">
        <v>Công an xã Thọ Phú  tỉnh Thanh Hóa</v>
      </c>
      <c r="C11390" t="str">
        <v>-</v>
      </c>
      <c r="D11390" t="str">
        <v>-</v>
      </c>
      <c r="E11390" t="str">
        <v/>
      </c>
      <c r="F11390" t="str">
        <v>-</v>
      </c>
      <c r="G11390" t="str">
        <v>-</v>
      </c>
    </row>
    <row r="11391">
      <c r="A11391">
        <v>11390</v>
      </c>
      <c r="B11391" t="str">
        <v>UBND Ủy ban nhân dân xã Thọ Phú  tỉnh Thanh Hóa</v>
      </c>
      <c r="C11391" t="str">
        <v>-</v>
      </c>
      <c r="D11391" t="str">
        <v>-</v>
      </c>
      <c r="E11391" t="str">
        <v>-</v>
      </c>
      <c r="F11391" t="str">
        <v>-</v>
      </c>
      <c r="G11391" t="str">
        <v>-</v>
      </c>
    </row>
    <row r="11392">
      <c r="A11392">
        <v>11391</v>
      </c>
      <c r="B11392" t="str">
        <v>Công an xã Thọ Vực  tỉnh Thanh Hóa</v>
      </c>
      <c r="C11392" t="str">
        <v>-</v>
      </c>
      <c r="D11392" t="str">
        <v>-</v>
      </c>
      <c r="E11392" t="str">
        <v/>
      </c>
      <c r="F11392" t="str">
        <v>-</v>
      </c>
      <c r="G11392" t="str">
        <v>-</v>
      </c>
    </row>
    <row r="11393">
      <c r="A11393">
        <v>11392</v>
      </c>
      <c r="B11393" t="str">
        <v>UBND Ủy ban nhân dân xã Thọ Vực  tỉnh Thanh Hóa</v>
      </c>
      <c r="C11393" t="str">
        <v>-</v>
      </c>
      <c r="D11393" t="str">
        <v>-</v>
      </c>
      <c r="E11393" t="str">
        <v>-</v>
      </c>
      <c r="F11393" t="str">
        <v>-</v>
      </c>
      <c r="G11393" t="str">
        <v>-</v>
      </c>
    </row>
    <row r="11394">
      <c r="A11394">
        <v>11393</v>
      </c>
      <c r="B11394" t="str">
        <v>Công an xã Thọ Thế  tỉnh Thanh Hóa</v>
      </c>
      <c r="C11394" t="str">
        <v>-</v>
      </c>
      <c r="D11394" t="str">
        <v>-</v>
      </c>
      <c r="E11394" t="str">
        <v/>
      </c>
      <c r="F11394" t="str">
        <v>-</v>
      </c>
      <c r="G11394" t="str">
        <v>-</v>
      </c>
    </row>
    <row r="11395">
      <c r="A11395">
        <v>11394</v>
      </c>
      <c r="B11395" t="str">
        <v>UBND Ủy ban nhân dân xã Thọ Thế  tỉnh Thanh Hóa</v>
      </c>
      <c r="C11395" t="str">
        <v>-</v>
      </c>
      <c r="D11395" t="str">
        <v>-</v>
      </c>
      <c r="E11395" t="str">
        <v>-</v>
      </c>
      <c r="F11395" t="str">
        <v>-</v>
      </c>
      <c r="G11395" t="str">
        <v>-</v>
      </c>
    </row>
    <row r="11396">
      <c r="A11396">
        <v>11395</v>
      </c>
      <c r="B11396" t="str">
        <v>Công an xã Nông Trường  tỉnh Thanh Hóa</v>
      </c>
      <c r="C11396" t="str">
        <v>-</v>
      </c>
      <c r="D11396" t="str">
        <v>-</v>
      </c>
      <c r="E11396" t="str">
        <v/>
      </c>
      <c r="F11396" t="str">
        <v>-</v>
      </c>
      <c r="G11396" t="str">
        <v>-</v>
      </c>
    </row>
    <row r="11397">
      <c r="A11397">
        <v>11396</v>
      </c>
      <c r="B11397" t="str">
        <v>UBND Ủy ban nhân dân xã Nông Trường  tỉnh Thanh Hóa</v>
      </c>
      <c r="C11397" t="str">
        <v>-</v>
      </c>
      <c r="D11397" t="str">
        <v>-</v>
      </c>
      <c r="E11397" t="str">
        <v>-</v>
      </c>
      <c r="F11397" t="str">
        <v>-</v>
      </c>
      <c r="G11397" t="str">
        <v>-</v>
      </c>
    </row>
    <row r="11398">
      <c r="A11398">
        <v>11397</v>
      </c>
      <c r="B11398" t="str">
        <v>Công an xã Bình Sơn  tỉnh Thanh Hóa</v>
      </c>
      <c r="C11398" t="str">
        <v>-</v>
      </c>
      <c r="D11398" t="str">
        <v>-</v>
      </c>
      <c r="E11398" t="str">
        <v/>
      </c>
      <c r="F11398" t="str">
        <v>-</v>
      </c>
      <c r="G11398" t="str">
        <v>-</v>
      </c>
    </row>
    <row r="11399">
      <c r="A11399">
        <v>11398</v>
      </c>
      <c r="B11399" t="str">
        <v>UBND Ủy ban nhân dân xã Bình Sơn  tỉnh Thanh Hóa</v>
      </c>
      <c r="C11399" t="str">
        <v>-</v>
      </c>
      <c r="D11399" t="str">
        <v>-</v>
      </c>
      <c r="E11399" t="str">
        <v>-</v>
      </c>
      <c r="F11399" t="str">
        <v>-</v>
      </c>
      <c r="G11399" t="str">
        <v>-</v>
      </c>
    </row>
    <row r="11400">
      <c r="A11400">
        <v>11399</v>
      </c>
      <c r="B11400" t="str">
        <v>Công an thị trấn Vạn Hà  tỉnh Thanh Hóa</v>
      </c>
      <c r="C11400" t="str">
        <v>-</v>
      </c>
      <c r="D11400" t="str">
        <v>-</v>
      </c>
      <c r="E11400" t="str">
        <v/>
      </c>
      <c r="F11400" t="str">
        <v>-</v>
      </c>
      <c r="G11400" t="str">
        <v>-</v>
      </c>
    </row>
    <row r="11401">
      <c r="A11401">
        <v>11400</v>
      </c>
      <c r="B11401" t="str">
        <v>UBND Ủy ban nhân dân thị trấn Vạn Hà  tỉnh Thanh Hóa</v>
      </c>
      <c r="C11401" t="str">
        <v>-</v>
      </c>
      <c r="D11401" t="str">
        <v>-</v>
      </c>
      <c r="E11401" t="str">
        <v>-</v>
      </c>
      <c r="F11401" t="str">
        <v>-</v>
      </c>
      <c r="G11401" t="str">
        <v>-</v>
      </c>
    </row>
    <row r="11402">
      <c r="A11402">
        <v>11401</v>
      </c>
      <c r="B11402" t="str">
        <v>Công an xã Thiệu Ngọc  tỉnh Thanh Hóa</v>
      </c>
      <c r="C11402" t="str">
        <v>-</v>
      </c>
      <c r="D11402" t="str">
        <v>-</v>
      </c>
      <c r="E11402" t="str">
        <v/>
      </c>
      <c r="F11402" t="str">
        <v>-</v>
      </c>
      <c r="G11402" t="str">
        <v>-</v>
      </c>
    </row>
    <row r="11403">
      <c r="A11403">
        <v>11402</v>
      </c>
      <c r="B11403" t="str">
        <v>UBND Ủy ban nhân dân xã Thiệu Ngọc  tỉnh Thanh Hóa</v>
      </c>
      <c r="C11403" t="str">
        <v>-</v>
      </c>
      <c r="D11403" t="str">
        <v>-</v>
      </c>
      <c r="E11403" t="str">
        <v>-</v>
      </c>
      <c r="F11403" t="str">
        <v>-</v>
      </c>
      <c r="G11403" t="str">
        <v>-</v>
      </c>
    </row>
    <row r="11404">
      <c r="A11404">
        <v>11403</v>
      </c>
      <c r="B11404" t="str">
        <v>Công an xã Thiệu Vũ  tỉnh Thanh Hóa</v>
      </c>
      <c r="C11404" t="str">
        <v>-</v>
      </c>
      <c r="D11404" t="str">
        <v>-</v>
      </c>
      <c r="E11404" t="str">
        <v/>
      </c>
      <c r="F11404" t="str">
        <v>-</v>
      </c>
      <c r="G11404" t="str">
        <v>-</v>
      </c>
    </row>
    <row r="11405">
      <c r="A11405">
        <v>11404</v>
      </c>
      <c r="B11405" t="str">
        <v>UBND Ủy ban nhân dân xã Thiệu Vũ  tỉnh Thanh Hóa</v>
      </c>
      <c r="C11405" t="str">
        <v>-</v>
      </c>
      <c r="D11405" t="str">
        <v>-</v>
      </c>
      <c r="E11405" t="str">
        <v>-</v>
      </c>
      <c r="F11405" t="str">
        <v>-</v>
      </c>
      <c r="G11405" t="str">
        <v>-</v>
      </c>
    </row>
    <row r="11406">
      <c r="A11406">
        <v>11405</v>
      </c>
      <c r="B11406" t="str">
        <v>Công an xã Thiệu Phúc  tỉnh Thanh Hóa</v>
      </c>
      <c r="C11406" t="str">
        <v>-</v>
      </c>
      <c r="D11406" t="str">
        <v>-</v>
      </c>
      <c r="E11406" t="str">
        <v/>
      </c>
      <c r="F11406" t="str">
        <v>-</v>
      </c>
      <c r="G11406" t="str">
        <v>-</v>
      </c>
    </row>
    <row r="11407">
      <c r="A11407">
        <v>11406</v>
      </c>
      <c r="B11407" t="str">
        <v>UBND Ủy ban nhân dân xã Thiệu Phúc  tỉnh Thanh Hóa</v>
      </c>
      <c r="C11407" t="str">
        <v>-</v>
      </c>
      <c r="D11407" t="str">
        <v>-</v>
      </c>
      <c r="E11407" t="str">
        <v>-</v>
      </c>
      <c r="F11407" t="str">
        <v>-</v>
      </c>
      <c r="G11407" t="str">
        <v>-</v>
      </c>
    </row>
    <row r="11408">
      <c r="A11408">
        <v>11407</v>
      </c>
      <c r="B11408" t="str">
        <v>Công an xã Thiệu Tiến  tỉnh Thanh Hóa</v>
      </c>
      <c r="C11408" t="str">
        <v>-</v>
      </c>
      <c r="D11408" t="str">
        <v>-</v>
      </c>
      <c r="E11408" t="str">
        <v/>
      </c>
      <c r="F11408" t="str">
        <v>-</v>
      </c>
      <c r="G11408" t="str">
        <v>-</v>
      </c>
    </row>
    <row r="11409">
      <c r="A11409">
        <v>11408</v>
      </c>
      <c r="B11409" t="str">
        <v>UBND Ủy ban nhân dân xã Thiệu Tiến  tỉnh Thanh Hóa</v>
      </c>
      <c r="C11409" t="str">
        <v>-</v>
      </c>
      <c r="D11409" t="str">
        <v>-</v>
      </c>
      <c r="E11409" t="str">
        <v>-</v>
      </c>
      <c r="F11409" t="str">
        <v>-</v>
      </c>
      <c r="G11409" t="str">
        <v>-</v>
      </c>
    </row>
    <row r="11410">
      <c r="A11410">
        <v>11409</v>
      </c>
      <c r="B11410" t="str">
        <v>Công an xã Thiệu Công  tỉnh Thanh Hóa</v>
      </c>
      <c r="C11410" t="str">
        <v>-</v>
      </c>
      <c r="D11410" t="str">
        <v>-</v>
      </c>
      <c r="E11410" t="str">
        <v/>
      </c>
      <c r="F11410" t="str">
        <v>-</v>
      </c>
      <c r="G11410" t="str">
        <v>-</v>
      </c>
    </row>
    <row r="11411">
      <c r="A11411">
        <v>11410</v>
      </c>
      <c r="B11411" t="str">
        <v>UBND Ủy ban nhân dân xã Thiệu Công  tỉnh Thanh Hóa</v>
      </c>
      <c r="C11411" t="str">
        <v>-</v>
      </c>
      <c r="D11411" t="str">
        <v>-</v>
      </c>
      <c r="E11411" t="str">
        <v>-</v>
      </c>
      <c r="F11411" t="str">
        <v>-</v>
      </c>
      <c r="G11411" t="str">
        <v>-</v>
      </c>
    </row>
    <row r="11412">
      <c r="A11412">
        <v>11411</v>
      </c>
      <c r="B11412" t="str">
        <v>Công an xã Thiệu Phú  tỉnh Thanh Hóa</v>
      </c>
      <c r="C11412" t="str">
        <v>-</v>
      </c>
      <c r="D11412" t="str">
        <v>-</v>
      </c>
      <c r="E11412" t="str">
        <v/>
      </c>
      <c r="F11412" t="str">
        <v>-</v>
      </c>
      <c r="G11412" t="str">
        <v>-</v>
      </c>
    </row>
    <row r="11413">
      <c r="A11413">
        <v>11412</v>
      </c>
      <c r="B11413" t="str">
        <v>UBND Ủy ban nhân dân xã Thiệu Phú  tỉnh Thanh Hóa</v>
      </c>
      <c r="C11413" t="str">
        <v>-</v>
      </c>
      <c r="D11413" t="str">
        <v>-</v>
      </c>
      <c r="E11413" t="str">
        <v>-</v>
      </c>
      <c r="F11413" t="str">
        <v>-</v>
      </c>
      <c r="G11413" t="str">
        <v>-</v>
      </c>
    </row>
    <row r="11414">
      <c r="A11414">
        <v>11413</v>
      </c>
      <c r="B11414" t="str">
        <v>Công an xã Thiệu Long  tỉnh Thanh Hóa</v>
      </c>
      <c r="C11414" t="str">
        <v>-</v>
      </c>
      <c r="D11414" t="str">
        <v>-</v>
      </c>
      <c r="E11414" t="str">
        <v/>
      </c>
      <c r="F11414" t="str">
        <v>-</v>
      </c>
      <c r="G11414" t="str">
        <v>-</v>
      </c>
    </row>
    <row r="11415">
      <c r="A11415">
        <v>11414</v>
      </c>
      <c r="B11415" t="str">
        <v>UBND Ủy ban nhân dân xã Thiệu Long  tỉnh Thanh Hóa</v>
      </c>
      <c r="C11415" t="str">
        <v>-</v>
      </c>
      <c r="D11415" t="str">
        <v>-</v>
      </c>
      <c r="E11415" t="str">
        <v>-</v>
      </c>
      <c r="F11415" t="str">
        <v>-</v>
      </c>
      <c r="G11415" t="str">
        <v>-</v>
      </c>
    </row>
    <row r="11416">
      <c r="A11416">
        <v>11415</v>
      </c>
      <c r="B11416" t="str">
        <v>Công an xã Thiệu Giang  tỉnh Thanh Hóa</v>
      </c>
      <c r="C11416" t="str">
        <v>-</v>
      </c>
      <c r="D11416" t="str">
        <v>-</v>
      </c>
      <c r="E11416" t="str">
        <v/>
      </c>
      <c r="F11416" t="str">
        <v>-</v>
      </c>
      <c r="G11416" t="str">
        <v>-</v>
      </c>
    </row>
    <row r="11417">
      <c r="A11417">
        <v>11416</v>
      </c>
      <c r="B11417" t="str">
        <v>UBND Ủy ban nhân dân xã Thiệu Giang  tỉnh Thanh Hóa</v>
      </c>
      <c r="C11417" t="str">
        <v>-</v>
      </c>
      <c r="D11417" t="str">
        <v>-</v>
      </c>
      <c r="E11417" t="str">
        <v>-</v>
      </c>
      <c r="F11417" t="str">
        <v>-</v>
      </c>
      <c r="G11417" t="str">
        <v>-</v>
      </c>
    </row>
    <row r="11418">
      <c r="A11418">
        <v>11417</v>
      </c>
      <c r="B11418" t="str">
        <v>Công an xã Thiệu Duy  tỉnh Thanh Hóa</v>
      </c>
      <c r="C11418" t="str">
        <v>-</v>
      </c>
      <c r="D11418" t="str">
        <v>-</v>
      </c>
      <c r="E11418" t="str">
        <v/>
      </c>
      <c r="F11418" t="str">
        <v>-</v>
      </c>
      <c r="G11418" t="str">
        <v>-</v>
      </c>
    </row>
    <row r="11419">
      <c r="A11419">
        <v>11418</v>
      </c>
      <c r="B11419" t="str">
        <v>UBND Ủy ban nhân dân xã Thiệu Duy  tỉnh Thanh Hóa</v>
      </c>
      <c r="C11419" t="str">
        <v>-</v>
      </c>
      <c r="D11419" t="str">
        <v>-</v>
      </c>
      <c r="E11419" t="str">
        <v>-</v>
      </c>
      <c r="F11419" t="str">
        <v>-</v>
      </c>
      <c r="G11419" t="str">
        <v>-</v>
      </c>
    </row>
    <row r="11420">
      <c r="A11420">
        <v>11419</v>
      </c>
      <c r="B11420" t="str">
        <v>Công an xã Thiệu Nguyên  tỉnh Thanh Hóa</v>
      </c>
      <c r="C11420" t="str">
        <v>-</v>
      </c>
      <c r="D11420" t="str">
        <v>-</v>
      </c>
      <c r="E11420" t="str">
        <v/>
      </c>
      <c r="F11420" t="str">
        <v>-</v>
      </c>
      <c r="G11420" t="str">
        <v>-</v>
      </c>
    </row>
    <row r="11421">
      <c r="A11421">
        <v>11420</v>
      </c>
      <c r="B11421" t="str">
        <v>UBND Ủy ban nhân dân xã Thiệu Nguyên  tỉnh Thanh Hóa</v>
      </c>
      <c r="C11421" t="str">
        <v>-</v>
      </c>
      <c r="D11421" t="str">
        <v>-</v>
      </c>
      <c r="E11421" t="str">
        <v>-</v>
      </c>
      <c r="F11421" t="str">
        <v>-</v>
      </c>
      <c r="G11421" t="str">
        <v>-</v>
      </c>
    </row>
    <row r="11422">
      <c r="A11422">
        <v>11421</v>
      </c>
      <c r="B11422" t="str">
        <v>Công an xã Thiệu Hợp  tỉnh Thanh Hóa</v>
      </c>
      <c r="C11422" t="str">
        <v>-</v>
      </c>
      <c r="D11422" t="str">
        <v>-</v>
      </c>
      <c r="E11422" t="str">
        <v/>
      </c>
      <c r="F11422" t="str">
        <v>-</v>
      </c>
      <c r="G11422" t="str">
        <v>-</v>
      </c>
    </row>
    <row r="11423">
      <c r="A11423">
        <v>11422</v>
      </c>
      <c r="B11423" t="str">
        <v>UBND Ủy ban nhân dân xã Thiệu Hợp  tỉnh Thanh Hóa</v>
      </c>
      <c r="C11423" t="str">
        <v>-</v>
      </c>
      <c r="D11423" t="str">
        <v>-</v>
      </c>
      <c r="E11423" t="str">
        <v>-</v>
      </c>
      <c r="F11423" t="str">
        <v>-</v>
      </c>
      <c r="G11423" t="str">
        <v>-</v>
      </c>
    </row>
    <row r="11424">
      <c r="A11424">
        <v>11423</v>
      </c>
      <c r="B11424" t="str">
        <v>Công an xã Thiệu Thịnh  tỉnh Thanh Hóa</v>
      </c>
      <c r="C11424" t="str">
        <v>-</v>
      </c>
      <c r="D11424" t="str">
        <v>-</v>
      </c>
      <c r="E11424" t="str">
        <v/>
      </c>
      <c r="F11424" t="str">
        <v>-</v>
      </c>
      <c r="G11424" t="str">
        <v>-</v>
      </c>
    </row>
    <row r="11425">
      <c r="A11425">
        <v>11424</v>
      </c>
      <c r="B11425" t="str">
        <v>UBND Ủy ban nhân dân xã Thiệu Thịnh  tỉnh Thanh Hóa</v>
      </c>
      <c r="C11425" t="str">
        <v>-</v>
      </c>
      <c r="D11425" t="str">
        <v>-</v>
      </c>
      <c r="E11425" t="str">
        <v>-</v>
      </c>
      <c r="F11425" t="str">
        <v>-</v>
      </c>
      <c r="G11425" t="str">
        <v>-</v>
      </c>
    </row>
    <row r="11426">
      <c r="A11426">
        <v>11425</v>
      </c>
      <c r="B11426" t="str">
        <v>Công an xã Thiệu Quang  tỉnh Thanh Hóa</v>
      </c>
      <c r="C11426" t="str">
        <v>-</v>
      </c>
      <c r="D11426" t="str">
        <v>-</v>
      </c>
      <c r="E11426" t="str">
        <v/>
      </c>
      <c r="F11426" t="str">
        <v>-</v>
      </c>
      <c r="G11426" t="str">
        <v>-</v>
      </c>
    </row>
    <row r="11427">
      <c r="A11427">
        <v>11426</v>
      </c>
      <c r="B11427" t="str">
        <v>UBND Ủy ban nhân dân xã Thiệu Quang  tỉnh Thanh Hóa</v>
      </c>
      <c r="C11427" t="str">
        <v>-</v>
      </c>
      <c r="D11427" t="str">
        <v>-</v>
      </c>
      <c r="E11427" t="str">
        <v>-</v>
      </c>
      <c r="F11427" t="str">
        <v>-</v>
      </c>
      <c r="G11427" t="str">
        <v>-</v>
      </c>
    </row>
    <row r="11428">
      <c r="A11428">
        <v>11427</v>
      </c>
      <c r="B11428" t="str">
        <v>Công an xã Thiệu Thành  tỉnh Thanh Hóa</v>
      </c>
      <c r="C11428" t="str">
        <v>-</v>
      </c>
      <c r="D11428" t="str">
        <v>-</v>
      </c>
      <c r="E11428" t="str">
        <v/>
      </c>
      <c r="F11428" t="str">
        <v>-</v>
      </c>
      <c r="G11428" t="str">
        <v>-</v>
      </c>
    </row>
    <row r="11429">
      <c r="A11429">
        <v>11428</v>
      </c>
      <c r="B11429" t="str">
        <v>UBND Ủy ban nhân dân xã Thiệu Thành  tỉnh Thanh Hóa</v>
      </c>
      <c r="C11429" t="str">
        <v>-</v>
      </c>
      <c r="D11429" t="str">
        <v>-</v>
      </c>
      <c r="E11429" t="str">
        <v>-</v>
      </c>
      <c r="F11429" t="str">
        <v>-</v>
      </c>
      <c r="G11429" t="str">
        <v>-</v>
      </c>
    </row>
    <row r="11430">
      <c r="A11430">
        <v>11429</v>
      </c>
      <c r="B11430" t="str">
        <v>Công an xã Thiệu Toán  tỉnh Thanh Hóa</v>
      </c>
      <c r="C11430" t="str">
        <v>-</v>
      </c>
      <c r="D11430" t="str">
        <v>-</v>
      </c>
      <c r="E11430" t="str">
        <v/>
      </c>
      <c r="F11430" t="str">
        <v>-</v>
      </c>
      <c r="G11430" t="str">
        <v>-</v>
      </c>
    </row>
    <row r="11431">
      <c r="A11431">
        <v>11430</v>
      </c>
      <c r="B11431" t="str">
        <v>UBND Ủy ban nhân dân xã Thiệu Toán  tỉnh Thanh Hóa</v>
      </c>
      <c r="C11431" t="str">
        <v>-</v>
      </c>
      <c r="D11431" t="str">
        <v>-</v>
      </c>
      <c r="E11431" t="str">
        <v>-</v>
      </c>
      <c r="F11431" t="str">
        <v>-</v>
      </c>
      <c r="G11431" t="str">
        <v>-</v>
      </c>
    </row>
    <row r="11432">
      <c r="A11432">
        <v>11431</v>
      </c>
      <c r="B11432" t="str">
        <v>Công an xã Thiệu Chính  tỉnh Thanh Hóa</v>
      </c>
      <c r="C11432" t="str">
        <v>-</v>
      </c>
      <c r="D11432" t="str">
        <v>-</v>
      </c>
      <c r="E11432" t="str">
        <v/>
      </c>
      <c r="F11432" t="str">
        <v>-</v>
      </c>
      <c r="G11432" t="str">
        <v>-</v>
      </c>
    </row>
    <row r="11433">
      <c r="A11433">
        <v>11432</v>
      </c>
      <c r="B11433" t="str">
        <v>UBND Ủy ban nhân dân xã Thiệu Chính  tỉnh Thanh Hóa</v>
      </c>
      <c r="C11433" t="str">
        <v>-</v>
      </c>
      <c r="D11433" t="str">
        <v>-</v>
      </c>
      <c r="E11433" t="str">
        <v>-</v>
      </c>
      <c r="F11433" t="str">
        <v>-</v>
      </c>
      <c r="G11433" t="str">
        <v>-</v>
      </c>
    </row>
    <row r="11434">
      <c r="A11434">
        <v>11433</v>
      </c>
      <c r="B11434" t="str">
        <v>Công an xã Thiệu Hòa  tỉnh Thanh Hóa</v>
      </c>
      <c r="C11434" t="str">
        <v>-</v>
      </c>
      <c r="D11434" t="str">
        <v>-</v>
      </c>
      <c r="E11434" t="str">
        <v/>
      </c>
      <c r="F11434" t="str">
        <v>-</v>
      </c>
      <c r="G11434" t="str">
        <v>-</v>
      </c>
    </row>
    <row r="11435">
      <c r="A11435">
        <v>11434</v>
      </c>
      <c r="B11435" t="str">
        <v>UBND Ủy ban nhân dân xã Thiệu Hòa  tỉnh Thanh Hóa</v>
      </c>
      <c r="C11435" t="str">
        <v>-</v>
      </c>
      <c r="D11435" t="str">
        <v>-</v>
      </c>
      <c r="E11435" t="str">
        <v>-</v>
      </c>
      <c r="F11435" t="str">
        <v>-</v>
      </c>
      <c r="G11435" t="str">
        <v>-</v>
      </c>
    </row>
    <row r="11436">
      <c r="A11436">
        <v>11435</v>
      </c>
      <c r="B11436" t="str">
        <v>Công an xã Thiệu Minh  tỉnh Thanh Hóa</v>
      </c>
      <c r="C11436" t="str">
        <v>-</v>
      </c>
      <c r="D11436" t="str">
        <v>-</v>
      </c>
      <c r="E11436" t="str">
        <v/>
      </c>
      <c r="F11436" t="str">
        <v>-</v>
      </c>
      <c r="G11436" t="str">
        <v>-</v>
      </c>
    </row>
    <row r="11437">
      <c r="A11437">
        <v>11436</v>
      </c>
      <c r="B11437" t="str">
        <v>UBND Ủy ban nhân dân xã Thiệu Minh  tỉnh Thanh Hóa</v>
      </c>
      <c r="C11437" t="str">
        <v>-</v>
      </c>
      <c r="D11437" t="str">
        <v>-</v>
      </c>
      <c r="E11437" t="str">
        <v>-</v>
      </c>
      <c r="F11437" t="str">
        <v>-</v>
      </c>
      <c r="G11437" t="str">
        <v>-</v>
      </c>
    </row>
    <row r="11438">
      <c r="A11438">
        <v>11437</v>
      </c>
      <c r="B11438" t="str">
        <v>Công an xã Thiệu Tâm  tỉnh Thanh Hóa</v>
      </c>
      <c r="C11438" t="str">
        <v>-</v>
      </c>
      <c r="D11438" t="str">
        <v>-</v>
      </c>
      <c r="E11438" t="str">
        <v/>
      </c>
      <c r="F11438" t="str">
        <v>-</v>
      </c>
      <c r="G11438" t="str">
        <v>-</v>
      </c>
    </row>
    <row r="11439">
      <c r="A11439">
        <v>11438</v>
      </c>
      <c r="B11439" t="str">
        <v>UBND Ủy ban nhân dân xã Thiệu Tâm  tỉnh Thanh Hóa</v>
      </c>
      <c r="C11439" t="str">
        <v>-</v>
      </c>
      <c r="D11439" t="str">
        <v>-</v>
      </c>
      <c r="E11439" t="str">
        <v>-</v>
      </c>
      <c r="F11439" t="str">
        <v>-</v>
      </c>
      <c r="G11439" t="str">
        <v>-</v>
      </c>
    </row>
    <row r="11440">
      <c r="A11440">
        <v>11439</v>
      </c>
      <c r="B11440" t="str">
        <v>Công an xã Thiệu Viên  tỉnh Thanh Hóa</v>
      </c>
      <c r="C11440" t="str">
        <v>-</v>
      </c>
      <c r="D11440" t="str">
        <v>-</v>
      </c>
      <c r="E11440" t="str">
        <v/>
      </c>
      <c r="F11440" t="str">
        <v>-</v>
      </c>
      <c r="G11440" t="str">
        <v>-</v>
      </c>
    </row>
    <row r="11441">
      <c r="A11441">
        <v>11440</v>
      </c>
      <c r="B11441" t="str">
        <v>UBND Ủy ban nhân dân xã Thiệu Viên  tỉnh Thanh Hóa</v>
      </c>
      <c r="C11441" t="str">
        <v>-</v>
      </c>
      <c r="D11441" t="str">
        <v>-</v>
      </c>
      <c r="E11441" t="str">
        <v>-</v>
      </c>
      <c r="F11441" t="str">
        <v>-</v>
      </c>
      <c r="G11441" t="str">
        <v>-</v>
      </c>
    </row>
    <row r="11442">
      <c r="A11442">
        <v>11441</v>
      </c>
      <c r="B11442" t="str">
        <v>Công an xã Thiệu Lý  tỉnh Thanh Hóa</v>
      </c>
      <c r="C11442" t="str">
        <v>-</v>
      </c>
      <c r="D11442" t="str">
        <v>-</v>
      </c>
      <c r="E11442" t="str">
        <v/>
      </c>
      <c r="F11442" t="str">
        <v>-</v>
      </c>
      <c r="G11442" t="str">
        <v>-</v>
      </c>
    </row>
    <row r="11443">
      <c r="A11443">
        <v>11442</v>
      </c>
      <c r="B11443" t="str">
        <v>UBND Ủy ban nhân dân xã Thiệu Lý  tỉnh Thanh Hóa</v>
      </c>
      <c r="C11443" t="str">
        <v>-</v>
      </c>
      <c r="D11443" t="str">
        <v>-</v>
      </c>
      <c r="E11443" t="str">
        <v>-</v>
      </c>
      <c r="F11443" t="str">
        <v>-</v>
      </c>
      <c r="G11443" t="str">
        <v>-</v>
      </c>
    </row>
    <row r="11444">
      <c r="A11444">
        <v>11443</v>
      </c>
      <c r="B11444" t="str">
        <v>Công an xã Thiệu Vận  tỉnh Thanh Hóa</v>
      </c>
      <c r="C11444" t="str">
        <v>-</v>
      </c>
      <c r="D11444" t="str">
        <v>-</v>
      </c>
      <c r="E11444" t="str">
        <v/>
      </c>
      <c r="F11444" t="str">
        <v>-</v>
      </c>
      <c r="G11444" t="str">
        <v>-</v>
      </c>
    </row>
    <row r="11445">
      <c r="A11445">
        <v>11444</v>
      </c>
      <c r="B11445" t="str">
        <v>UBND Ủy ban nhân dân xã Thiệu Vận  tỉnh Thanh Hóa</v>
      </c>
      <c r="C11445" t="str">
        <v>-</v>
      </c>
      <c r="D11445" t="str">
        <v>-</v>
      </c>
      <c r="E11445" t="str">
        <v>-</v>
      </c>
      <c r="F11445" t="str">
        <v>-</v>
      </c>
      <c r="G11445" t="str">
        <v>-</v>
      </c>
    </row>
    <row r="11446">
      <c r="A11446">
        <v>11445</v>
      </c>
      <c r="B11446" t="str">
        <v>Công an xã Thiệu Trung  tỉnh Thanh Hóa</v>
      </c>
      <c r="C11446" t="str">
        <v>-</v>
      </c>
      <c r="D11446" t="str">
        <v>-</v>
      </c>
      <c r="E11446" t="str">
        <v/>
      </c>
      <c r="F11446" t="str">
        <v>-</v>
      </c>
      <c r="G11446" t="str">
        <v>-</v>
      </c>
    </row>
    <row r="11447">
      <c r="A11447">
        <v>11446</v>
      </c>
      <c r="B11447" t="str">
        <v>UBND Ủy ban nhân dân xã Thiệu Trung  tỉnh Thanh Hóa</v>
      </c>
      <c r="C11447" t="str">
        <v>-</v>
      </c>
      <c r="D11447" t="str">
        <v>-</v>
      </c>
      <c r="E11447" t="str">
        <v>-</v>
      </c>
      <c r="F11447" t="str">
        <v>-</v>
      </c>
      <c r="G11447" t="str">
        <v>-</v>
      </c>
    </row>
    <row r="11448">
      <c r="A11448">
        <v>11447</v>
      </c>
      <c r="B11448" t="str">
        <v>Công an xã Thiệu Đô  tỉnh Thanh Hóa</v>
      </c>
      <c r="C11448" t="str">
        <v>-</v>
      </c>
      <c r="D11448" t="str">
        <v>-</v>
      </c>
      <c r="E11448" t="str">
        <v/>
      </c>
      <c r="F11448" t="str">
        <v>-</v>
      </c>
      <c r="G11448" t="str">
        <v>-</v>
      </c>
    </row>
    <row r="11449">
      <c r="A11449">
        <v>11448</v>
      </c>
      <c r="B11449" t="str">
        <v>UBND Ủy ban nhân dân xã Thiệu Đô  tỉnh Thanh Hóa</v>
      </c>
      <c r="C11449" t="str">
        <v>-</v>
      </c>
      <c r="D11449" t="str">
        <v>-</v>
      </c>
      <c r="E11449" t="str">
        <v>-</v>
      </c>
      <c r="F11449" t="str">
        <v>-</v>
      </c>
      <c r="G11449" t="str">
        <v>-</v>
      </c>
    </row>
    <row r="11450">
      <c r="A11450">
        <v>11449</v>
      </c>
      <c r="B11450" t="str">
        <v>Công an xã Thiệu Châu  tỉnh Thanh Hóa</v>
      </c>
      <c r="C11450" t="str">
        <v>-</v>
      </c>
      <c r="D11450" t="str">
        <v>-</v>
      </c>
      <c r="E11450" t="str">
        <v/>
      </c>
      <c r="F11450" t="str">
        <v>-</v>
      </c>
      <c r="G11450" t="str">
        <v>-</v>
      </c>
    </row>
    <row r="11451">
      <c r="A11451">
        <v>11450</v>
      </c>
      <c r="B11451" t="str">
        <v>UBND Ủy ban nhân dân xã Thiệu Châu  tỉnh Thanh Hóa</v>
      </c>
      <c r="C11451" t="str">
        <v>-</v>
      </c>
      <c r="D11451" t="str">
        <v>-</v>
      </c>
      <c r="E11451" t="str">
        <v>-</v>
      </c>
      <c r="F11451" t="str">
        <v>-</v>
      </c>
      <c r="G11451" t="str">
        <v>-</v>
      </c>
    </row>
    <row r="11452">
      <c r="A11452">
        <v>11451</v>
      </c>
      <c r="B11452" t="str">
        <v>Công an xã Thiệu Giao  tỉnh Thanh Hóa</v>
      </c>
      <c r="C11452" t="str">
        <v>-</v>
      </c>
      <c r="D11452" t="str">
        <v>-</v>
      </c>
      <c r="E11452" t="str">
        <v/>
      </c>
      <c r="F11452" t="str">
        <v>-</v>
      </c>
      <c r="G11452" t="str">
        <v>-</v>
      </c>
    </row>
    <row r="11453">
      <c r="A11453">
        <v>11452</v>
      </c>
      <c r="B11453" t="str">
        <v>UBND Ủy ban nhân dân xã Thiệu Giao  tỉnh Thanh Hóa</v>
      </c>
      <c r="C11453" t="str">
        <v>-</v>
      </c>
      <c r="D11453" t="str">
        <v>-</v>
      </c>
      <c r="E11453" t="str">
        <v>-</v>
      </c>
      <c r="F11453" t="str">
        <v>-</v>
      </c>
      <c r="G11453" t="str">
        <v>-</v>
      </c>
    </row>
    <row r="11454">
      <c r="A11454">
        <v>11453</v>
      </c>
      <c r="B11454" t="str">
        <v>Công an xã Thiệu Tân  tỉnh Thanh Hóa</v>
      </c>
      <c r="C11454" t="str">
        <v>-</v>
      </c>
      <c r="D11454" t="str">
        <v>-</v>
      </c>
      <c r="E11454" t="str">
        <v/>
      </c>
      <c r="F11454" t="str">
        <v>-</v>
      </c>
      <c r="G11454" t="str">
        <v>-</v>
      </c>
    </row>
    <row r="11455">
      <c r="A11455">
        <v>11454</v>
      </c>
      <c r="B11455" t="str">
        <v>UBND Ủy ban nhân dân xã Thiệu Tân  tỉnh Thanh Hóa</v>
      </c>
      <c r="C11455" t="str">
        <v>-</v>
      </c>
      <c r="D11455" t="str">
        <v>-</v>
      </c>
      <c r="E11455" t="str">
        <v>-</v>
      </c>
      <c r="F11455" t="str">
        <v>-</v>
      </c>
      <c r="G11455" t="str">
        <v>-</v>
      </c>
    </row>
    <row r="11456">
      <c r="A11456">
        <v>11455</v>
      </c>
      <c r="B11456" t="str">
        <v>Công an thị trấn Bút Sơn  tỉnh Thanh Hóa</v>
      </c>
      <c r="C11456" t="str">
        <v>-</v>
      </c>
      <c r="D11456" t="str">
        <v>-</v>
      </c>
      <c r="E11456" t="str">
        <v/>
      </c>
      <c r="F11456" t="str">
        <v>-</v>
      </c>
      <c r="G11456" t="str">
        <v>-</v>
      </c>
    </row>
    <row r="11457">
      <c r="A11457">
        <v>11456</v>
      </c>
      <c r="B11457" t="str">
        <v>UBND Ủy ban nhân dân thị trấn Bút Sơn  tỉnh Thanh Hóa</v>
      </c>
      <c r="C11457" t="str">
        <v>-</v>
      </c>
      <c r="D11457" t="str">
        <v>-</v>
      </c>
      <c r="E11457" t="str">
        <v>-</v>
      </c>
      <c r="F11457" t="str">
        <v>-</v>
      </c>
      <c r="G11457" t="str">
        <v>-</v>
      </c>
    </row>
    <row r="11458">
      <c r="A11458">
        <v>11457</v>
      </c>
      <c r="B11458" t="str">
        <v>Công an xã Hoằng Giang  tỉnh Thanh Hóa</v>
      </c>
      <c r="C11458" t="str">
        <v>-</v>
      </c>
      <c r="D11458" t="str">
        <v>-</v>
      </c>
      <c r="E11458" t="str">
        <v/>
      </c>
      <c r="F11458" t="str">
        <v>-</v>
      </c>
      <c r="G11458" t="str">
        <v>-</v>
      </c>
    </row>
    <row r="11459">
      <c r="A11459">
        <v>11458</v>
      </c>
      <c r="B11459" t="str">
        <v>UBND Ủy ban nhân dân xã Hoằng Giang  tỉnh Thanh Hóa</v>
      </c>
      <c r="C11459" t="str">
        <v>-</v>
      </c>
      <c r="D11459" t="str">
        <v>-</v>
      </c>
      <c r="E11459" t="str">
        <v>-</v>
      </c>
      <c r="F11459" t="str">
        <v>-</v>
      </c>
      <c r="G11459" t="str">
        <v>-</v>
      </c>
    </row>
    <row r="11460">
      <c r="A11460">
        <v>11459</v>
      </c>
      <c r="B11460" t="str">
        <v>Công an xã Hoằng Xuân  tỉnh Thanh Hóa</v>
      </c>
      <c r="C11460" t="str">
        <v>-</v>
      </c>
      <c r="D11460" t="str">
        <v>-</v>
      </c>
      <c r="E11460" t="str">
        <v/>
      </c>
      <c r="F11460" t="str">
        <v>-</v>
      </c>
      <c r="G11460" t="str">
        <v>-</v>
      </c>
    </row>
    <row r="11461">
      <c r="A11461">
        <v>11460</v>
      </c>
      <c r="B11461" t="str">
        <v>UBND Ủy ban nhân dân xã Hoằng Xuân  tỉnh Thanh Hóa</v>
      </c>
      <c r="C11461" t="str">
        <v>-</v>
      </c>
      <c r="D11461" t="str">
        <v>-</v>
      </c>
      <c r="E11461" t="str">
        <v>-</v>
      </c>
      <c r="F11461" t="str">
        <v>-</v>
      </c>
      <c r="G11461" t="str">
        <v>-</v>
      </c>
    </row>
    <row r="11462">
      <c r="A11462">
        <v>11461</v>
      </c>
      <c r="B11462" t="str">
        <v>Công an xã Hoằng Khánh  tỉnh Thanh Hóa</v>
      </c>
      <c r="C11462" t="str">
        <v>-</v>
      </c>
      <c r="D11462" t="str">
        <v>-</v>
      </c>
      <c r="E11462" t="str">
        <v/>
      </c>
      <c r="F11462" t="str">
        <v>-</v>
      </c>
      <c r="G11462" t="str">
        <v>-</v>
      </c>
    </row>
    <row r="11463">
      <c r="A11463">
        <v>11462</v>
      </c>
      <c r="B11463" t="str">
        <v>UBND Ủy ban nhân dân xã Hoằng Khánh  tỉnh Thanh Hóa</v>
      </c>
      <c r="C11463" t="str">
        <v>-</v>
      </c>
      <c r="D11463" t="str">
        <v>-</v>
      </c>
      <c r="E11463" t="str">
        <v>-</v>
      </c>
      <c r="F11463" t="str">
        <v>-</v>
      </c>
      <c r="G11463" t="str">
        <v>-</v>
      </c>
    </row>
    <row r="11464">
      <c r="A11464">
        <v>11463</v>
      </c>
      <c r="B11464" t="str">
        <v>Công an xã Hoằng Phượng  tỉnh Thanh Hóa</v>
      </c>
      <c r="C11464" t="str">
        <v>-</v>
      </c>
      <c r="D11464" t="str">
        <v>-</v>
      </c>
      <c r="E11464" t="str">
        <v/>
      </c>
      <c r="F11464" t="str">
        <v>-</v>
      </c>
      <c r="G11464" t="str">
        <v>-</v>
      </c>
    </row>
    <row r="11465">
      <c r="A11465">
        <v>11464</v>
      </c>
      <c r="B11465" t="str">
        <v>UBND Ủy ban nhân dân xã Hoằng Phượng  tỉnh Thanh Hóa</v>
      </c>
      <c r="C11465" t="str">
        <v>-</v>
      </c>
      <c r="D11465" t="str">
        <v>-</v>
      </c>
      <c r="E11465" t="str">
        <v>-</v>
      </c>
      <c r="F11465" t="str">
        <v>-</v>
      </c>
      <c r="G11465" t="str">
        <v>-</v>
      </c>
    </row>
    <row r="11466">
      <c r="A11466">
        <v>11465</v>
      </c>
      <c r="B11466" t="str">
        <v>Công an xã Hoằng Phú  tỉnh Thanh Hóa</v>
      </c>
      <c r="C11466" t="str">
        <v>-</v>
      </c>
      <c r="D11466" t="str">
        <v>-</v>
      </c>
      <c r="E11466" t="str">
        <v/>
      </c>
      <c r="F11466" t="str">
        <v>-</v>
      </c>
      <c r="G11466" t="str">
        <v>-</v>
      </c>
    </row>
    <row r="11467">
      <c r="A11467">
        <v>11466</v>
      </c>
      <c r="B11467" t="str">
        <v>UBND Ủy ban nhân dân xã Hoằng Phú  tỉnh Thanh Hóa</v>
      </c>
      <c r="C11467" t="str">
        <v>-</v>
      </c>
      <c r="D11467" t="str">
        <v>-</v>
      </c>
      <c r="E11467" t="str">
        <v>-</v>
      </c>
      <c r="F11467" t="str">
        <v>-</v>
      </c>
      <c r="G11467" t="str">
        <v>-</v>
      </c>
    </row>
    <row r="11468">
      <c r="A11468">
        <v>11467</v>
      </c>
      <c r="B11468" t="str">
        <v>Công an xã Hoằng Quỳ  tỉnh Thanh Hóa</v>
      </c>
      <c r="C11468" t="str">
        <v>-</v>
      </c>
      <c r="D11468" t="str">
        <v>-</v>
      </c>
      <c r="E11468" t="str">
        <v/>
      </c>
      <c r="F11468" t="str">
        <v>-</v>
      </c>
      <c r="G11468" t="str">
        <v>-</v>
      </c>
    </row>
    <row r="11469">
      <c r="A11469">
        <v>11468</v>
      </c>
      <c r="B11469" t="str">
        <v>UBND Ủy ban nhân dân xã Hoằng Quỳ  tỉnh Thanh Hóa</v>
      </c>
      <c r="C11469" t="str">
        <v>-</v>
      </c>
      <c r="D11469" t="str">
        <v>-</v>
      </c>
      <c r="E11469" t="str">
        <v>-</v>
      </c>
      <c r="F11469" t="str">
        <v>-</v>
      </c>
      <c r="G11469" t="str">
        <v>-</v>
      </c>
    </row>
    <row r="11470">
      <c r="A11470">
        <v>11469</v>
      </c>
      <c r="B11470" t="str">
        <v>Công an xã Hoằng Kim  tỉnh Thanh Hóa</v>
      </c>
      <c r="C11470" t="str">
        <v>-</v>
      </c>
      <c r="D11470" t="str">
        <v>-</v>
      </c>
      <c r="E11470" t="str">
        <v/>
      </c>
      <c r="F11470" t="str">
        <v>-</v>
      </c>
      <c r="G11470" t="str">
        <v>-</v>
      </c>
    </row>
    <row r="11471">
      <c r="A11471">
        <v>11470</v>
      </c>
      <c r="B11471" t="str">
        <v>UBND Ủy ban nhân dân xã Hoằng Kim  tỉnh Thanh Hóa</v>
      </c>
      <c r="C11471" t="str">
        <v>-</v>
      </c>
      <c r="D11471" t="str">
        <v>-</v>
      </c>
      <c r="E11471" t="str">
        <v>-</v>
      </c>
      <c r="F11471" t="str">
        <v>-</v>
      </c>
      <c r="G11471" t="str">
        <v>-</v>
      </c>
    </row>
    <row r="11472">
      <c r="A11472">
        <v>11471</v>
      </c>
      <c r="B11472" t="str">
        <v>Công an xã Hoằng Trung  tỉnh Thanh Hóa</v>
      </c>
      <c r="C11472" t="str">
        <v>-</v>
      </c>
      <c r="D11472" t="str">
        <v>-</v>
      </c>
      <c r="E11472" t="str">
        <v/>
      </c>
      <c r="F11472" t="str">
        <v>-</v>
      </c>
      <c r="G11472" t="str">
        <v>-</v>
      </c>
    </row>
    <row r="11473">
      <c r="A11473">
        <v>11472</v>
      </c>
      <c r="B11473" t="str">
        <v>UBND Ủy ban nhân dân xã Hoằng Trung  tỉnh Thanh Hóa</v>
      </c>
      <c r="C11473" t="str">
        <v>-</v>
      </c>
      <c r="D11473" t="str">
        <v>-</v>
      </c>
      <c r="E11473" t="str">
        <v>-</v>
      </c>
      <c r="F11473" t="str">
        <v>-</v>
      </c>
      <c r="G11473" t="str">
        <v>-</v>
      </c>
    </row>
    <row r="11474">
      <c r="A11474">
        <v>11473</v>
      </c>
      <c r="B11474" t="str">
        <v>Công an xã Hoằng Trinh  tỉnh Thanh Hóa</v>
      </c>
      <c r="C11474" t="str">
        <v>-</v>
      </c>
      <c r="D11474" t="str">
        <v>-</v>
      </c>
      <c r="E11474" t="str">
        <v/>
      </c>
      <c r="F11474" t="str">
        <v>-</v>
      </c>
      <c r="G11474" t="str">
        <v>-</v>
      </c>
    </row>
    <row r="11475">
      <c r="A11475">
        <v>11474</v>
      </c>
      <c r="B11475" t="str">
        <v>UBND Ủy ban nhân dân xã Hoằng Trinh  tỉnh Thanh Hóa</v>
      </c>
      <c r="C11475" t="str">
        <v>-</v>
      </c>
      <c r="D11475" t="str">
        <v>-</v>
      </c>
      <c r="E11475" t="str">
        <v>-</v>
      </c>
      <c r="F11475" t="str">
        <v>-</v>
      </c>
      <c r="G11475" t="str">
        <v>-</v>
      </c>
    </row>
    <row r="11476">
      <c r="A11476">
        <v>11475</v>
      </c>
      <c r="B11476" t="str">
        <v>Công an xã Hoằng Sơn  tỉnh Thanh Hóa</v>
      </c>
      <c r="C11476" t="str">
        <v>-</v>
      </c>
      <c r="D11476" t="str">
        <v>-</v>
      </c>
      <c r="E11476" t="str">
        <v/>
      </c>
      <c r="F11476" t="str">
        <v>-</v>
      </c>
      <c r="G11476" t="str">
        <v>-</v>
      </c>
    </row>
    <row r="11477">
      <c r="A11477">
        <v>11476</v>
      </c>
      <c r="B11477" t="str">
        <v>UBND Ủy ban nhân dân xã Hoằng Sơn  tỉnh Thanh Hóa</v>
      </c>
      <c r="C11477" t="str">
        <v>-</v>
      </c>
      <c r="D11477" t="str">
        <v>-</v>
      </c>
      <c r="E11477" t="str">
        <v>-</v>
      </c>
      <c r="F11477" t="str">
        <v>-</v>
      </c>
      <c r="G11477" t="str">
        <v>-</v>
      </c>
    </row>
    <row r="11478">
      <c r="A11478">
        <v>11477</v>
      </c>
      <c r="B11478" t="str">
        <v>Công an xã Hoằng Lương  tỉnh Thanh Hóa</v>
      </c>
      <c r="C11478" t="str">
        <v>-</v>
      </c>
      <c r="D11478" t="str">
        <v>-</v>
      </c>
      <c r="E11478" t="str">
        <v/>
      </c>
      <c r="F11478" t="str">
        <v>-</v>
      </c>
      <c r="G11478" t="str">
        <v>-</v>
      </c>
    </row>
    <row r="11479">
      <c r="A11479">
        <v>11478</v>
      </c>
      <c r="B11479" t="str">
        <v>UBND Ủy ban nhân dân xã Hoằng Lương  tỉnh Thanh Hóa</v>
      </c>
      <c r="C11479" t="str">
        <v>-</v>
      </c>
      <c r="D11479" t="str">
        <v>-</v>
      </c>
      <c r="E11479" t="str">
        <v>-</v>
      </c>
      <c r="F11479" t="str">
        <v>-</v>
      </c>
      <c r="G11479" t="str">
        <v>-</v>
      </c>
    </row>
    <row r="11480">
      <c r="A11480">
        <v>11479</v>
      </c>
      <c r="B11480" t="str">
        <v>Công an xã Hoằng Xuyên  tỉnh Thanh Hóa</v>
      </c>
      <c r="C11480" t="str">
        <v>-</v>
      </c>
      <c r="D11480" t="str">
        <v>-</v>
      </c>
      <c r="E11480" t="str">
        <v/>
      </c>
      <c r="F11480" t="str">
        <v>-</v>
      </c>
      <c r="G11480" t="str">
        <v>-</v>
      </c>
    </row>
    <row r="11481">
      <c r="A11481">
        <v>11480</v>
      </c>
      <c r="B11481" t="str">
        <v>UBND Ủy ban nhân dân xã Hoằng Xuyên  tỉnh Thanh Hóa</v>
      </c>
      <c r="C11481" t="str">
        <v>-</v>
      </c>
      <c r="D11481" t="str">
        <v>-</v>
      </c>
      <c r="E11481" t="str">
        <v>-</v>
      </c>
      <c r="F11481" t="str">
        <v>-</v>
      </c>
      <c r="G11481" t="str">
        <v>-</v>
      </c>
    </row>
    <row r="11482">
      <c r="A11482">
        <v>11481</v>
      </c>
      <c r="B11482" t="str">
        <v>Công an xã Hoằng Cát  tỉnh Thanh Hóa</v>
      </c>
      <c r="C11482" t="str">
        <v>-</v>
      </c>
      <c r="D11482" t="str">
        <v>-</v>
      </c>
      <c r="E11482" t="str">
        <v/>
      </c>
      <c r="F11482" t="str">
        <v>-</v>
      </c>
      <c r="G11482" t="str">
        <v>-</v>
      </c>
    </row>
    <row r="11483">
      <c r="A11483">
        <v>11482</v>
      </c>
      <c r="B11483" t="str">
        <v>UBND Ủy ban nhân dân xã Hoằng Cát  tỉnh Thanh Hóa</v>
      </c>
      <c r="C11483" t="str">
        <v>-</v>
      </c>
      <c r="D11483" t="str">
        <v>-</v>
      </c>
      <c r="E11483" t="str">
        <v>-</v>
      </c>
      <c r="F11483" t="str">
        <v>-</v>
      </c>
      <c r="G11483" t="str">
        <v>-</v>
      </c>
    </row>
    <row r="11484">
      <c r="A11484">
        <v>11483</v>
      </c>
      <c r="B11484" t="str">
        <v>Công an xã Hoằng Khê  tỉnh Thanh Hóa</v>
      </c>
      <c r="C11484" t="str">
        <v>-</v>
      </c>
      <c r="D11484" t="str">
        <v>-</v>
      </c>
      <c r="E11484" t="str">
        <v/>
      </c>
      <c r="F11484" t="str">
        <v>-</v>
      </c>
      <c r="G11484" t="str">
        <v>-</v>
      </c>
    </row>
    <row r="11485">
      <c r="A11485">
        <v>11484</v>
      </c>
      <c r="B11485" t="str">
        <v>UBND Ủy ban nhân dân xã Hoằng Khê  tỉnh Thanh Hóa</v>
      </c>
      <c r="C11485" t="str">
        <v>-</v>
      </c>
      <c r="D11485" t="str">
        <v>-</v>
      </c>
      <c r="E11485" t="str">
        <v>-</v>
      </c>
      <c r="F11485" t="str">
        <v>-</v>
      </c>
      <c r="G11485" t="str">
        <v>-</v>
      </c>
    </row>
    <row r="11486">
      <c r="A11486">
        <v>11485</v>
      </c>
      <c r="B11486" t="str">
        <v>Công an xã Hoằng Quý  tỉnh Thanh Hóa</v>
      </c>
      <c r="C11486" t="str">
        <v>-</v>
      </c>
      <c r="D11486" t="str">
        <v>-</v>
      </c>
      <c r="E11486" t="str">
        <v/>
      </c>
      <c r="F11486" t="str">
        <v>-</v>
      </c>
      <c r="G11486" t="str">
        <v>-</v>
      </c>
    </row>
    <row r="11487">
      <c r="A11487">
        <v>11486</v>
      </c>
      <c r="B11487" t="str">
        <v>UBND Ủy ban nhân dân xã Hoằng Quý  tỉnh Thanh Hóa</v>
      </c>
      <c r="C11487" t="str">
        <v>-</v>
      </c>
      <c r="D11487" t="str">
        <v>-</v>
      </c>
      <c r="E11487" t="str">
        <v>-</v>
      </c>
      <c r="F11487" t="str">
        <v>-</v>
      </c>
      <c r="G11487" t="str">
        <v>-</v>
      </c>
    </row>
    <row r="11488">
      <c r="A11488">
        <v>11487</v>
      </c>
      <c r="B11488" t="str">
        <v>Công an xã Hoằng Hợp  tỉnh Thanh Hóa</v>
      </c>
      <c r="C11488" t="str">
        <v>-</v>
      </c>
      <c r="D11488" t="str">
        <v>-</v>
      </c>
      <c r="E11488" t="str">
        <v/>
      </c>
      <c r="F11488" t="str">
        <v>-</v>
      </c>
      <c r="G11488" t="str">
        <v>-</v>
      </c>
    </row>
    <row r="11489">
      <c r="A11489">
        <v>11488</v>
      </c>
      <c r="B11489" t="str">
        <v>UBND Ủy ban nhân dân xã Hoằng Hợp  tỉnh Thanh Hóa</v>
      </c>
      <c r="C11489" t="str">
        <v>-</v>
      </c>
      <c r="D11489" t="str">
        <v>-</v>
      </c>
      <c r="E11489" t="str">
        <v>-</v>
      </c>
      <c r="F11489" t="str">
        <v>-</v>
      </c>
      <c r="G11489" t="str">
        <v>-</v>
      </c>
    </row>
    <row r="11490">
      <c r="A11490">
        <v>11489</v>
      </c>
      <c r="B11490" t="str">
        <v>Công an xã Hoằng Minh  tỉnh Thanh Hóa</v>
      </c>
      <c r="C11490" t="str">
        <v>-</v>
      </c>
      <c r="D11490" t="str">
        <v>-</v>
      </c>
      <c r="E11490" t="str">
        <v/>
      </c>
      <c r="F11490" t="str">
        <v>-</v>
      </c>
      <c r="G11490" t="str">
        <v>-</v>
      </c>
    </row>
    <row r="11491">
      <c r="A11491">
        <v>11490</v>
      </c>
      <c r="B11491" t="str">
        <v>UBND Ủy ban nhân dân xã Hoằng Minh  tỉnh Thanh Hóa</v>
      </c>
      <c r="C11491" t="str">
        <v>-</v>
      </c>
      <c r="D11491" t="str">
        <v>-</v>
      </c>
      <c r="E11491" t="str">
        <v>-</v>
      </c>
      <c r="F11491" t="str">
        <v>-</v>
      </c>
      <c r="G11491" t="str">
        <v>-</v>
      </c>
    </row>
    <row r="11492">
      <c r="A11492">
        <v>11491</v>
      </c>
      <c r="B11492" t="str">
        <v>Công an xã Hoằng Phúc  tỉnh Thanh Hóa</v>
      </c>
      <c r="C11492" t="str">
        <v>-</v>
      </c>
      <c r="D11492" t="str">
        <v>-</v>
      </c>
      <c r="E11492" t="str">
        <v/>
      </c>
      <c r="F11492" t="str">
        <v>-</v>
      </c>
      <c r="G11492" t="str">
        <v>-</v>
      </c>
    </row>
    <row r="11493">
      <c r="A11493">
        <v>11492</v>
      </c>
      <c r="B11493" t="str">
        <v>UBND Ủy ban nhân dân xã Hoằng Phúc  tỉnh Thanh Hóa</v>
      </c>
      <c r="C11493" t="str">
        <v>-</v>
      </c>
      <c r="D11493" t="str">
        <v>-</v>
      </c>
      <c r="E11493" t="str">
        <v>-</v>
      </c>
      <c r="F11493" t="str">
        <v>-</v>
      </c>
      <c r="G11493" t="str">
        <v>-</v>
      </c>
    </row>
    <row r="11494">
      <c r="A11494">
        <v>11493</v>
      </c>
      <c r="B11494" t="str">
        <v>Công an xã Hoằng Đức  tỉnh Thanh Hóa</v>
      </c>
      <c r="C11494" t="str">
        <v>-</v>
      </c>
      <c r="D11494" t="str">
        <v>-</v>
      </c>
      <c r="E11494" t="str">
        <v/>
      </c>
      <c r="F11494" t="str">
        <v>-</v>
      </c>
      <c r="G11494" t="str">
        <v>-</v>
      </c>
    </row>
    <row r="11495">
      <c r="A11495">
        <v>11494</v>
      </c>
      <c r="B11495" t="str">
        <v>UBND Ủy ban nhân dân xã Hoằng Đức  tỉnh Thanh Hóa</v>
      </c>
      <c r="C11495" t="str">
        <v>-</v>
      </c>
      <c r="D11495" t="str">
        <v>-</v>
      </c>
      <c r="E11495" t="str">
        <v>-</v>
      </c>
      <c r="F11495" t="str">
        <v>-</v>
      </c>
      <c r="G11495" t="str">
        <v>-</v>
      </c>
    </row>
    <row r="11496">
      <c r="A11496">
        <v>11495</v>
      </c>
      <c r="B11496" t="str">
        <v>Công an xã Hoằng Hà  tỉnh Thanh Hóa</v>
      </c>
      <c r="C11496" t="str">
        <v>-</v>
      </c>
      <c r="D11496" t="str">
        <v>-</v>
      </c>
      <c r="E11496" t="str">
        <v/>
      </c>
      <c r="F11496" t="str">
        <v>-</v>
      </c>
      <c r="G11496" t="str">
        <v>-</v>
      </c>
    </row>
    <row r="11497">
      <c r="A11497">
        <v>11496</v>
      </c>
      <c r="B11497" t="str">
        <v>UBND Ủy ban nhân dân xã Hoằng Hà  tỉnh Thanh Hóa</v>
      </c>
      <c r="C11497" t="str">
        <v>-</v>
      </c>
      <c r="D11497" t="str">
        <v>-</v>
      </c>
      <c r="E11497" t="str">
        <v>-</v>
      </c>
      <c r="F11497" t="str">
        <v>-</v>
      </c>
      <c r="G11497" t="str">
        <v>-</v>
      </c>
    </row>
    <row r="11498">
      <c r="A11498">
        <v>11497</v>
      </c>
      <c r="B11498" t="str">
        <v>Công an xã Hoằng Đạt  tỉnh Thanh Hóa</v>
      </c>
      <c r="C11498" t="str">
        <v>-</v>
      </c>
      <c r="D11498" t="str">
        <v>-</v>
      </c>
      <c r="E11498" t="str">
        <v/>
      </c>
      <c r="F11498" t="str">
        <v>-</v>
      </c>
      <c r="G11498" t="str">
        <v>-</v>
      </c>
    </row>
    <row r="11499">
      <c r="A11499">
        <v>11498</v>
      </c>
      <c r="B11499" t="str">
        <v>UBND Ủy ban nhân dân xã Hoằng Đạt  tỉnh Thanh Hóa</v>
      </c>
      <c r="C11499" t="str">
        <v>-</v>
      </c>
      <c r="D11499" t="str">
        <v>-</v>
      </c>
      <c r="E11499" t="str">
        <v>-</v>
      </c>
      <c r="F11499" t="str">
        <v>-</v>
      </c>
      <c r="G11499" t="str">
        <v>-</v>
      </c>
    </row>
    <row r="11500">
      <c r="A11500">
        <v>11499</v>
      </c>
      <c r="B11500" t="str">
        <v>Công an xã Hoằng Vinh  tỉnh Thanh Hóa</v>
      </c>
      <c r="C11500" t="str">
        <v>-</v>
      </c>
      <c r="D11500" t="str">
        <v>-</v>
      </c>
      <c r="E11500" t="str">
        <v/>
      </c>
      <c r="F11500" t="str">
        <v>-</v>
      </c>
      <c r="G11500" t="str">
        <v>-</v>
      </c>
    </row>
    <row r="11501">
      <c r="A11501">
        <v>11500</v>
      </c>
      <c r="B11501" t="str">
        <v>UBND Ủy ban nhân dân xã Hoằng Vinh  tỉnh Thanh Hóa</v>
      </c>
      <c r="C11501" t="str">
        <v>-</v>
      </c>
      <c r="D11501" t="str">
        <v>-</v>
      </c>
      <c r="E11501" t="str">
        <v>-</v>
      </c>
      <c r="F11501" t="str">
        <v>-</v>
      </c>
      <c r="G11501" t="str">
        <v>-</v>
      </c>
    </row>
    <row r="11502">
      <c r="A11502">
        <v>11501</v>
      </c>
      <c r="B11502" t="str">
        <v>Công an xã Hoằng Đạo  tỉnh Thanh Hóa</v>
      </c>
      <c r="C11502" t="str">
        <v>-</v>
      </c>
      <c r="D11502" t="str">
        <v>-</v>
      </c>
      <c r="E11502" t="str">
        <v/>
      </c>
      <c r="F11502" t="str">
        <v>-</v>
      </c>
      <c r="G11502" t="str">
        <v>-</v>
      </c>
    </row>
    <row r="11503">
      <c r="A11503">
        <v>11502</v>
      </c>
      <c r="B11503" t="str">
        <v>UBND Ủy ban nhân dân xã Hoằng Đạo  tỉnh Thanh Hóa</v>
      </c>
      <c r="C11503" t="str">
        <v>-</v>
      </c>
      <c r="D11503" t="str">
        <v>-</v>
      </c>
      <c r="E11503" t="str">
        <v>-</v>
      </c>
      <c r="F11503" t="str">
        <v>-</v>
      </c>
      <c r="G11503" t="str">
        <v>-</v>
      </c>
    </row>
    <row r="11504">
      <c r="A11504">
        <v>11503</v>
      </c>
      <c r="B11504" t="str">
        <v>Công an xã Hoằng Thắng  tỉnh Thanh Hóa</v>
      </c>
      <c r="C11504" t="str">
        <v>-</v>
      </c>
      <c r="D11504" t="str">
        <v>-</v>
      </c>
      <c r="E11504" t="str">
        <v/>
      </c>
      <c r="F11504" t="str">
        <v>-</v>
      </c>
      <c r="G11504" t="str">
        <v>-</v>
      </c>
    </row>
    <row r="11505">
      <c r="A11505">
        <v>11504</v>
      </c>
      <c r="B11505" t="str">
        <v>UBND Ủy ban nhân dân xã Hoằng Thắng  tỉnh Thanh Hóa</v>
      </c>
      <c r="C11505" t="str">
        <v>-</v>
      </c>
      <c r="D11505" t="str">
        <v>-</v>
      </c>
      <c r="E11505" t="str">
        <v>-</v>
      </c>
      <c r="F11505" t="str">
        <v>-</v>
      </c>
      <c r="G11505" t="str">
        <v>-</v>
      </c>
    </row>
    <row r="11506">
      <c r="A11506">
        <v>11505</v>
      </c>
      <c r="B11506" t="str">
        <v>Công an xã Hoằng Đồng  tỉnh Thanh Hóa</v>
      </c>
      <c r="C11506" t="str">
        <v>-</v>
      </c>
      <c r="D11506" t="str">
        <v>-</v>
      </c>
      <c r="E11506" t="str">
        <v/>
      </c>
      <c r="F11506" t="str">
        <v>-</v>
      </c>
      <c r="G11506" t="str">
        <v>-</v>
      </c>
    </row>
    <row r="11507">
      <c r="A11507">
        <v>11506</v>
      </c>
      <c r="B11507" t="str">
        <v>UBND Ủy ban nhân dân xã Hoằng Đồng  tỉnh Thanh Hóa</v>
      </c>
      <c r="C11507" t="str">
        <v>-</v>
      </c>
      <c r="D11507" t="str">
        <v>-</v>
      </c>
      <c r="E11507" t="str">
        <v>-</v>
      </c>
      <c r="F11507" t="str">
        <v>-</v>
      </c>
      <c r="G11507" t="str">
        <v>-</v>
      </c>
    </row>
    <row r="11508">
      <c r="A11508">
        <v>11507</v>
      </c>
      <c r="B11508" t="str">
        <v>Công an xã Hoằng Thái  tỉnh Thanh Hóa</v>
      </c>
      <c r="C11508" t="str">
        <v>-</v>
      </c>
      <c r="D11508" t="str">
        <v>-</v>
      </c>
      <c r="E11508" t="str">
        <v/>
      </c>
      <c r="F11508" t="str">
        <v>-</v>
      </c>
      <c r="G11508" t="str">
        <v>-</v>
      </c>
    </row>
    <row r="11509">
      <c r="A11509">
        <v>11508</v>
      </c>
      <c r="B11509" t="str">
        <v>UBND Ủy ban nhân dân xã Hoằng Thái  tỉnh Thanh Hóa</v>
      </c>
      <c r="C11509" t="str">
        <v>-</v>
      </c>
      <c r="D11509" t="str">
        <v>-</v>
      </c>
      <c r="E11509" t="str">
        <v>-</v>
      </c>
      <c r="F11509" t="str">
        <v>-</v>
      </c>
      <c r="G11509" t="str">
        <v>-</v>
      </c>
    </row>
    <row r="11510">
      <c r="A11510">
        <v>11509</v>
      </c>
      <c r="B11510" t="str">
        <v>Công an xã Hoằng Thịnh  tỉnh Thanh Hóa</v>
      </c>
      <c r="C11510" t="str">
        <v>-</v>
      </c>
      <c r="D11510" t="str">
        <v>-</v>
      </c>
      <c r="E11510" t="str">
        <v/>
      </c>
      <c r="F11510" t="str">
        <v>-</v>
      </c>
      <c r="G11510" t="str">
        <v>-</v>
      </c>
    </row>
    <row r="11511">
      <c r="A11511">
        <v>11510</v>
      </c>
      <c r="B11511" t="str">
        <v>UBND Ủy ban nhân dân xã Hoằng Thịnh  tỉnh Thanh Hóa</v>
      </c>
      <c r="C11511" t="str">
        <v>-</v>
      </c>
      <c r="D11511" t="str">
        <v>-</v>
      </c>
      <c r="E11511" t="str">
        <v>-</v>
      </c>
      <c r="F11511" t="str">
        <v>-</v>
      </c>
      <c r="G11511" t="str">
        <v>-</v>
      </c>
    </row>
    <row r="11512">
      <c r="A11512">
        <v>11511</v>
      </c>
      <c r="B11512" t="str">
        <v>Công an xã Hoằng Thành  tỉnh Thanh Hóa</v>
      </c>
      <c r="C11512" t="str">
        <v>-</v>
      </c>
      <c r="D11512" t="str">
        <v>-</v>
      </c>
      <c r="E11512" t="str">
        <v/>
      </c>
      <c r="F11512" t="str">
        <v>-</v>
      </c>
      <c r="G11512" t="str">
        <v>-</v>
      </c>
    </row>
    <row r="11513">
      <c r="A11513">
        <v>11512</v>
      </c>
      <c r="B11513" t="str">
        <v>UBND Ủy ban nhân dân xã Hoằng Thành  tỉnh Thanh Hóa</v>
      </c>
      <c r="C11513" t="str">
        <v>-</v>
      </c>
      <c r="D11513" t="str">
        <v>-</v>
      </c>
      <c r="E11513" t="str">
        <v>-</v>
      </c>
      <c r="F11513" t="str">
        <v>-</v>
      </c>
      <c r="G11513" t="str">
        <v>-</v>
      </c>
    </row>
    <row r="11514">
      <c r="A11514">
        <v>11513</v>
      </c>
      <c r="B11514" t="str">
        <v>Công an xã Hoằng Lộc  tỉnh Thanh Hóa</v>
      </c>
      <c r="C11514" t="str">
        <v>-</v>
      </c>
      <c r="D11514" t="str">
        <v>-</v>
      </c>
      <c r="E11514" t="str">
        <v/>
      </c>
      <c r="F11514" t="str">
        <v>-</v>
      </c>
      <c r="G11514" t="str">
        <v>-</v>
      </c>
    </row>
    <row r="11515">
      <c r="A11515">
        <v>11514</v>
      </c>
      <c r="B11515" t="str">
        <v>UBND Ủy ban nhân dân xã Hoằng Lộc  tỉnh Thanh Hóa</v>
      </c>
      <c r="C11515" t="str">
        <v>-</v>
      </c>
      <c r="D11515" t="str">
        <v>-</v>
      </c>
      <c r="E11515" t="str">
        <v>-</v>
      </c>
      <c r="F11515" t="str">
        <v>-</v>
      </c>
      <c r="G11515" t="str">
        <v>-</v>
      </c>
    </row>
    <row r="11516">
      <c r="A11516">
        <v>11515</v>
      </c>
      <c r="B11516" t="str">
        <v>Công an xã Hoằng Trạch  tỉnh Thanh Hóa</v>
      </c>
      <c r="C11516" t="str">
        <v>-</v>
      </c>
      <c r="D11516" t="str">
        <v>-</v>
      </c>
      <c r="E11516" t="str">
        <v/>
      </c>
      <c r="F11516" t="str">
        <v>-</v>
      </c>
      <c r="G11516" t="str">
        <v>-</v>
      </c>
    </row>
    <row r="11517">
      <c r="A11517">
        <v>11516</v>
      </c>
      <c r="B11517" t="str">
        <v>UBND Ủy ban nhân dân xã Hoằng Trạch  tỉnh Thanh Hóa</v>
      </c>
      <c r="C11517" t="str">
        <v>-</v>
      </c>
      <c r="D11517" t="str">
        <v>-</v>
      </c>
      <c r="E11517" t="str">
        <v>-</v>
      </c>
      <c r="F11517" t="str">
        <v>-</v>
      </c>
      <c r="G11517" t="str">
        <v>-</v>
      </c>
    </row>
    <row r="11518">
      <c r="A11518">
        <v>11517</v>
      </c>
      <c r="B11518" t="str">
        <v>Công an xã Hoằng Phong  tỉnh Thanh Hóa</v>
      </c>
      <c r="C11518" t="str">
        <v>-</v>
      </c>
      <c r="D11518" t="str">
        <v>-</v>
      </c>
      <c r="E11518" t="str">
        <v/>
      </c>
      <c r="F11518" t="str">
        <v>-</v>
      </c>
      <c r="G11518" t="str">
        <v>-</v>
      </c>
    </row>
    <row r="11519">
      <c r="A11519">
        <v>11518</v>
      </c>
      <c r="B11519" t="str">
        <v>UBND Ủy ban nhân dân xã Hoằng Phong  tỉnh Thanh Hóa</v>
      </c>
      <c r="C11519" t="str">
        <v>-</v>
      </c>
      <c r="D11519" t="str">
        <v>-</v>
      </c>
      <c r="E11519" t="str">
        <v>-</v>
      </c>
      <c r="F11519" t="str">
        <v>-</v>
      </c>
      <c r="G11519" t="str">
        <v>-</v>
      </c>
    </row>
    <row r="11520">
      <c r="A11520">
        <v>11519</v>
      </c>
      <c r="B11520" t="str">
        <v>Công an xã Hoằng Lưu  tỉnh Thanh Hóa</v>
      </c>
      <c r="C11520" t="str">
        <v>-</v>
      </c>
      <c r="D11520" t="str">
        <v>-</v>
      </c>
      <c r="E11520" t="str">
        <v/>
      </c>
      <c r="F11520" t="str">
        <v>-</v>
      </c>
      <c r="G11520" t="str">
        <v>-</v>
      </c>
    </row>
    <row r="11521">
      <c r="A11521">
        <v>11520</v>
      </c>
      <c r="B11521" t="str">
        <v>UBND Ủy ban nhân dân xã Hoằng Lưu  tỉnh Thanh Hóa</v>
      </c>
      <c r="C11521" t="str">
        <v>-</v>
      </c>
      <c r="D11521" t="str">
        <v>-</v>
      </c>
      <c r="E11521" t="str">
        <v>-</v>
      </c>
      <c r="F11521" t="str">
        <v>-</v>
      </c>
      <c r="G11521" t="str">
        <v>-</v>
      </c>
    </row>
    <row r="11522">
      <c r="A11522">
        <v>11521</v>
      </c>
      <c r="B11522" t="str">
        <v>Công an xã Hoằng Châu  tỉnh Thanh Hóa</v>
      </c>
      <c r="C11522" t="str">
        <v>-</v>
      </c>
      <c r="D11522" t="str">
        <v>-</v>
      </c>
      <c r="E11522" t="str">
        <v/>
      </c>
      <c r="F11522" t="str">
        <v>-</v>
      </c>
      <c r="G11522" t="str">
        <v>-</v>
      </c>
    </row>
    <row r="11523">
      <c r="A11523">
        <v>11522</v>
      </c>
      <c r="B11523" t="str">
        <v>UBND Ủy ban nhân dân xã Hoằng Châu  tỉnh Thanh Hóa</v>
      </c>
      <c r="C11523" t="str">
        <v>-</v>
      </c>
      <c r="D11523" t="str">
        <v>-</v>
      </c>
      <c r="E11523" t="str">
        <v>-</v>
      </c>
      <c r="F11523" t="str">
        <v>-</v>
      </c>
      <c r="G11523" t="str">
        <v>-</v>
      </c>
    </row>
    <row r="11524">
      <c r="A11524">
        <v>11523</v>
      </c>
      <c r="B11524" t="str">
        <v>Công an xã Hoằng Tân  tỉnh Thanh Hóa</v>
      </c>
      <c r="C11524" t="str">
        <v>-</v>
      </c>
      <c r="D11524" t="str">
        <v>-</v>
      </c>
      <c r="E11524" t="str">
        <v/>
      </c>
      <c r="F11524" t="str">
        <v>-</v>
      </c>
      <c r="G11524" t="str">
        <v>-</v>
      </c>
    </row>
    <row r="11525">
      <c r="A11525">
        <v>11524</v>
      </c>
      <c r="B11525" t="str">
        <v>UBND Ủy ban nhân dân xã Hoằng Tân  tỉnh Thanh Hóa</v>
      </c>
      <c r="C11525" t="str">
        <v>-</v>
      </c>
      <c r="D11525" t="str">
        <v>-</v>
      </c>
      <c r="E11525" t="str">
        <v>-</v>
      </c>
      <c r="F11525" t="str">
        <v>-</v>
      </c>
      <c r="G11525" t="str">
        <v>-</v>
      </c>
    </row>
    <row r="11526">
      <c r="A11526">
        <v>11525</v>
      </c>
      <c r="B11526" t="str">
        <v>Công an xã Hoằng Yến  tỉnh Thanh Hóa</v>
      </c>
      <c r="C11526" t="str">
        <v>-</v>
      </c>
      <c r="D11526" t="str">
        <v>-</v>
      </c>
      <c r="E11526" t="str">
        <v/>
      </c>
      <c r="F11526" t="str">
        <v>-</v>
      </c>
      <c r="G11526" t="str">
        <v>-</v>
      </c>
    </row>
    <row r="11527">
      <c r="A11527">
        <v>11526</v>
      </c>
      <c r="B11527" t="str">
        <v>UBND Ủy ban nhân dân xã Hoằng Yến  tỉnh Thanh Hóa</v>
      </c>
      <c r="C11527" t="str">
        <v>-</v>
      </c>
      <c r="D11527" t="str">
        <v>-</v>
      </c>
      <c r="E11527" t="str">
        <v>-</v>
      </c>
      <c r="F11527" t="str">
        <v>-</v>
      </c>
      <c r="G11527" t="str">
        <v>-</v>
      </c>
    </row>
    <row r="11528">
      <c r="A11528">
        <v>11527</v>
      </c>
      <c r="B11528" t="str">
        <v>Công an xã Hoằng Tiến  tỉnh Thanh Hóa</v>
      </c>
      <c r="C11528" t="str">
        <v>-</v>
      </c>
      <c r="D11528" t="str">
        <v>-</v>
      </c>
      <c r="E11528" t="str">
        <v/>
      </c>
      <c r="F11528" t="str">
        <v>-</v>
      </c>
      <c r="G11528" t="str">
        <v>-</v>
      </c>
    </row>
    <row r="11529">
      <c r="A11529">
        <v>11528</v>
      </c>
      <c r="B11529" t="str">
        <v>UBND Ủy ban nhân dân xã Hoằng Tiến  tỉnh Thanh Hóa</v>
      </c>
      <c r="C11529" t="str">
        <v>-</v>
      </c>
      <c r="D11529" t="str">
        <v>-</v>
      </c>
      <c r="E11529" t="str">
        <v>-</v>
      </c>
      <c r="F11529" t="str">
        <v>-</v>
      </c>
      <c r="G11529" t="str">
        <v>-</v>
      </c>
    </row>
    <row r="11530">
      <c r="A11530">
        <v>11529</v>
      </c>
      <c r="B11530" t="str">
        <v>Công an xã Hoằng Hải  tỉnh Thanh Hóa</v>
      </c>
      <c r="C11530" t="str">
        <v>-</v>
      </c>
      <c r="D11530" t="str">
        <v>-</v>
      </c>
      <c r="E11530" t="str">
        <v/>
      </c>
      <c r="F11530" t="str">
        <v>-</v>
      </c>
      <c r="G11530" t="str">
        <v>-</v>
      </c>
    </row>
    <row r="11531">
      <c r="A11531">
        <v>11530</v>
      </c>
      <c r="B11531" t="str">
        <v>UBND Ủy ban nhân dân xã Hoằng Hải  tỉnh Thanh Hóa</v>
      </c>
      <c r="C11531" t="str">
        <v>-</v>
      </c>
      <c r="D11531" t="str">
        <v>-</v>
      </c>
      <c r="E11531" t="str">
        <v>-</v>
      </c>
      <c r="F11531" t="str">
        <v>-</v>
      </c>
      <c r="G11531" t="str">
        <v>-</v>
      </c>
    </row>
    <row r="11532">
      <c r="A11532">
        <v>11531</v>
      </c>
      <c r="B11532" t="str">
        <v>Công an xã Hoằng Ngọc  tỉnh Thanh Hóa</v>
      </c>
      <c r="C11532" t="str">
        <v>-</v>
      </c>
      <c r="D11532" t="str">
        <v>-</v>
      </c>
      <c r="E11532" t="str">
        <v/>
      </c>
      <c r="F11532" t="str">
        <v>-</v>
      </c>
      <c r="G11532" t="str">
        <v>-</v>
      </c>
    </row>
    <row r="11533">
      <c r="A11533">
        <v>11532</v>
      </c>
      <c r="B11533" t="str">
        <v>UBND Ủy ban nhân dân xã Hoằng Ngọc  tỉnh Thanh Hóa</v>
      </c>
      <c r="C11533" t="str">
        <v>-</v>
      </c>
      <c r="D11533" t="str">
        <v>-</v>
      </c>
      <c r="E11533" t="str">
        <v>-</v>
      </c>
      <c r="F11533" t="str">
        <v>-</v>
      </c>
      <c r="G11533" t="str">
        <v>-</v>
      </c>
    </row>
    <row r="11534">
      <c r="A11534">
        <v>11533</v>
      </c>
      <c r="B11534" t="str">
        <v>Công an xã Hoằng Đông  tỉnh Thanh Hóa</v>
      </c>
      <c r="C11534" t="str">
        <v>-</v>
      </c>
      <c r="D11534" t="str">
        <v>-</v>
      </c>
      <c r="E11534" t="str">
        <v/>
      </c>
      <c r="F11534" t="str">
        <v>-</v>
      </c>
      <c r="G11534" t="str">
        <v>-</v>
      </c>
    </row>
    <row r="11535">
      <c r="A11535">
        <v>11534</v>
      </c>
      <c r="B11535" t="str">
        <v>UBND Ủy ban nhân dân xã Hoằng Đông  tỉnh Thanh Hóa</v>
      </c>
      <c r="C11535" t="str">
        <v>-</v>
      </c>
      <c r="D11535" t="str">
        <v>-</v>
      </c>
      <c r="E11535" t="str">
        <v>-</v>
      </c>
      <c r="F11535" t="str">
        <v>-</v>
      </c>
      <c r="G11535" t="str">
        <v>-</v>
      </c>
    </row>
    <row r="11536">
      <c r="A11536">
        <v>11535</v>
      </c>
      <c r="B11536" t="str">
        <v>Công an xã Hoằng Thanh  tỉnh Thanh Hóa</v>
      </c>
      <c r="C11536" t="str">
        <v>-</v>
      </c>
      <c r="D11536" t="str">
        <v>-</v>
      </c>
      <c r="E11536" t="str">
        <v/>
      </c>
      <c r="F11536" t="str">
        <v>-</v>
      </c>
      <c r="G11536" t="str">
        <v>-</v>
      </c>
    </row>
    <row r="11537">
      <c r="A11537">
        <v>11536</v>
      </c>
      <c r="B11537" t="str">
        <v>UBND Ủy ban nhân dân xã Hoằng Thanh  tỉnh Thanh Hóa</v>
      </c>
      <c r="C11537" t="str">
        <v>-</v>
      </c>
      <c r="D11537" t="str">
        <v>-</v>
      </c>
      <c r="E11537" t="str">
        <v>-</v>
      </c>
      <c r="F11537" t="str">
        <v>-</v>
      </c>
      <c r="G11537" t="str">
        <v>-</v>
      </c>
    </row>
    <row r="11538">
      <c r="A11538">
        <v>11537</v>
      </c>
      <c r="B11538" t="str">
        <v>Công an xã Hoằng Phụ  tỉnh Thanh Hóa</v>
      </c>
      <c r="C11538" t="str">
        <v>-</v>
      </c>
      <c r="D11538" t="str">
        <v>-</v>
      </c>
      <c r="E11538" t="str">
        <v/>
      </c>
      <c r="F11538" t="str">
        <v>-</v>
      </c>
      <c r="G11538" t="str">
        <v>-</v>
      </c>
    </row>
    <row r="11539">
      <c r="A11539">
        <v>11538</v>
      </c>
      <c r="B11539" t="str">
        <v>UBND Ủy ban nhân dân xã Hoằng Phụ  tỉnh Thanh Hóa</v>
      </c>
      <c r="C11539" t="str">
        <v>-</v>
      </c>
      <c r="D11539" t="str">
        <v>-</v>
      </c>
      <c r="E11539" t="str">
        <v>-</v>
      </c>
      <c r="F11539" t="str">
        <v>-</v>
      </c>
      <c r="G11539" t="str">
        <v>-</v>
      </c>
    </row>
    <row r="11540">
      <c r="A11540">
        <v>11539</v>
      </c>
      <c r="B11540" t="str">
        <v>Công an xã Hoằng Trường  tỉnh Thanh Hóa</v>
      </c>
      <c r="C11540" t="str">
        <v>-</v>
      </c>
      <c r="D11540" t="str">
        <v>-</v>
      </c>
      <c r="E11540" t="str">
        <v/>
      </c>
      <c r="F11540" t="str">
        <v>-</v>
      </c>
      <c r="G11540" t="str">
        <v>-</v>
      </c>
    </row>
    <row r="11541">
      <c r="A11541">
        <v>11540</v>
      </c>
      <c r="B11541" t="str">
        <v>UBND Ủy ban nhân dân xã Hoằng Trường  tỉnh Thanh Hóa</v>
      </c>
      <c r="C11541" t="str">
        <v>-</v>
      </c>
      <c r="D11541" t="str">
        <v>-</v>
      </c>
      <c r="E11541" t="str">
        <v>-</v>
      </c>
      <c r="F11541" t="str">
        <v>-</v>
      </c>
      <c r="G11541" t="str">
        <v>-</v>
      </c>
    </row>
    <row r="11542">
      <c r="A11542">
        <v>11541</v>
      </c>
      <c r="B11542" t="str">
        <v>Công an thị trấn Hậu Lộc  tỉnh Thanh Hóa</v>
      </c>
      <c r="C11542" t="str">
        <v>-</v>
      </c>
      <c r="D11542" t="str">
        <v>-</v>
      </c>
      <c r="E11542" t="str">
        <v/>
      </c>
      <c r="F11542" t="str">
        <v>-</v>
      </c>
      <c r="G11542" t="str">
        <v>-</v>
      </c>
    </row>
    <row r="11543">
      <c r="A11543">
        <v>11542</v>
      </c>
      <c r="B11543" t="str">
        <v>UBND Ủy ban nhân dân thị trấn Hậu Lộc  tỉnh Thanh Hóa</v>
      </c>
      <c r="C11543" t="str">
        <v>-</v>
      </c>
      <c r="D11543" t="str">
        <v>-</v>
      </c>
      <c r="E11543" t="str">
        <v>-</v>
      </c>
      <c r="F11543" t="str">
        <v>-</v>
      </c>
      <c r="G11543" t="str">
        <v>-</v>
      </c>
    </row>
    <row r="11544">
      <c r="A11544">
        <v>11543</v>
      </c>
      <c r="B11544" t="str">
        <v>Công an xã Đồng Lộc  tỉnh Thanh Hóa</v>
      </c>
      <c r="C11544" t="str">
        <v>-</v>
      </c>
      <c r="D11544" t="str">
        <v>-</v>
      </c>
      <c r="E11544" t="str">
        <v/>
      </c>
      <c r="F11544" t="str">
        <v>-</v>
      </c>
      <c r="G11544" t="str">
        <v>-</v>
      </c>
    </row>
    <row r="11545">
      <c r="A11545">
        <v>11544</v>
      </c>
      <c r="B11545" t="str">
        <v>UBND Ủy ban nhân dân xã Đồng Lộc  tỉnh Thanh Hóa</v>
      </c>
      <c r="C11545" t="str">
        <v>-</v>
      </c>
      <c r="D11545" t="str">
        <v>-</v>
      </c>
      <c r="E11545" t="str">
        <v>-</v>
      </c>
      <c r="F11545" t="str">
        <v>-</v>
      </c>
      <c r="G11545" t="str">
        <v>-</v>
      </c>
    </row>
    <row r="11546">
      <c r="A11546">
        <v>11545</v>
      </c>
      <c r="B11546" t="str">
        <v>Công an xã Đại Lộc  tỉnh Thanh Hóa</v>
      </c>
      <c r="C11546" t="str">
        <v>-</v>
      </c>
      <c r="D11546" t="str">
        <v>-</v>
      </c>
      <c r="E11546" t="str">
        <v/>
      </c>
      <c r="F11546" t="str">
        <v>-</v>
      </c>
      <c r="G11546" t="str">
        <v>-</v>
      </c>
    </row>
    <row r="11547">
      <c r="A11547">
        <v>11546</v>
      </c>
      <c r="B11547" t="str">
        <v>UBND Ủy ban nhân dân xã Đại Lộc  tỉnh Thanh Hóa</v>
      </c>
      <c r="C11547" t="str">
        <v>-</v>
      </c>
      <c r="D11547" t="str">
        <v>-</v>
      </c>
      <c r="E11547" t="str">
        <v>-</v>
      </c>
      <c r="F11547" t="str">
        <v>-</v>
      </c>
      <c r="G11547" t="str">
        <v>-</v>
      </c>
    </row>
    <row r="11548">
      <c r="A11548">
        <v>11547</v>
      </c>
      <c r="B11548" t="str">
        <v>Công an xã Triệu Lộc  tỉnh Thanh Hóa</v>
      </c>
      <c r="C11548" t="str">
        <v>-</v>
      </c>
      <c r="D11548" t="str">
        <v>-</v>
      </c>
      <c r="E11548" t="str">
        <v/>
      </c>
      <c r="F11548" t="str">
        <v>-</v>
      </c>
      <c r="G11548" t="str">
        <v>-</v>
      </c>
    </row>
    <row r="11549">
      <c r="A11549">
        <v>11548</v>
      </c>
      <c r="B11549" t="str">
        <v>UBND Ủy ban nhân dân xã Triệu Lộc  tỉnh Thanh Hóa</v>
      </c>
      <c r="C11549" t="str">
        <v>-</v>
      </c>
      <c r="D11549" t="str">
        <v>-</v>
      </c>
      <c r="E11549" t="str">
        <v>-</v>
      </c>
      <c r="F11549" t="str">
        <v>-</v>
      </c>
      <c r="G11549" t="str">
        <v>-</v>
      </c>
    </row>
    <row r="11550">
      <c r="A11550">
        <v>11549</v>
      </c>
      <c r="B11550" t="str">
        <v>Công an xã Châu Lộc  tỉnh Thanh Hóa</v>
      </c>
      <c r="C11550" t="str">
        <v>-</v>
      </c>
      <c r="D11550" t="str">
        <v>-</v>
      </c>
      <c r="E11550" t="str">
        <v/>
      </c>
      <c r="F11550" t="str">
        <v>-</v>
      </c>
      <c r="G11550" t="str">
        <v>-</v>
      </c>
    </row>
    <row r="11551">
      <c r="A11551">
        <v>11550</v>
      </c>
      <c r="B11551" t="str">
        <v>UBND Ủy ban nhân dân xã Châu Lộc  tỉnh Thanh Hóa</v>
      </c>
      <c r="C11551" t="str">
        <v>-</v>
      </c>
      <c r="D11551" t="str">
        <v>-</v>
      </c>
      <c r="E11551" t="str">
        <v>-</v>
      </c>
      <c r="F11551" t="str">
        <v>-</v>
      </c>
      <c r="G11551" t="str">
        <v>-</v>
      </c>
    </row>
    <row r="11552">
      <c r="A11552">
        <v>11551</v>
      </c>
      <c r="B11552" t="str">
        <v>Công an xã Tiến Lộc  tỉnh Thanh Hóa</v>
      </c>
      <c r="C11552" t="str">
        <v>-</v>
      </c>
      <c r="D11552" t="str">
        <v>-</v>
      </c>
      <c r="E11552" t="str">
        <v/>
      </c>
      <c r="F11552" t="str">
        <v>-</v>
      </c>
      <c r="G11552" t="str">
        <v>-</v>
      </c>
    </row>
    <row r="11553">
      <c r="A11553">
        <v>11552</v>
      </c>
      <c r="B11553" t="str">
        <v>UBND Ủy ban nhân dân xã Tiến Lộc  tỉnh Thanh Hóa</v>
      </c>
      <c r="C11553" t="str">
        <v>-</v>
      </c>
      <c r="D11553" t="str">
        <v>-</v>
      </c>
      <c r="E11553" t="str">
        <v>-</v>
      </c>
      <c r="F11553" t="str">
        <v>-</v>
      </c>
      <c r="G11553" t="str">
        <v>-</v>
      </c>
    </row>
    <row r="11554">
      <c r="A11554">
        <v>11553</v>
      </c>
      <c r="B11554" t="str">
        <v>Công an xã Lộc Sơn  tỉnh Thanh Hóa</v>
      </c>
      <c r="C11554" t="str">
        <v>-</v>
      </c>
      <c r="D11554" t="str">
        <v>-</v>
      </c>
      <c r="E11554" t="str">
        <v/>
      </c>
      <c r="F11554" t="str">
        <v>-</v>
      </c>
      <c r="G11554" t="str">
        <v>-</v>
      </c>
    </row>
    <row r="11555">
      <c r="A11555">
        <v>11554</v>
      </c>
      <c r="B11555" t="str">
        <v>UBND Ủy ban nhân dân xã Lộc Sơn  tỉnh Thanh Hóa</v>
      </c>
      <c r="C11555" t="str">
        <v>-</v>
      </c>
      <c r="D11555" t="str">
        <v>-</v>
      </c>
      <c r="E11555" t="str">
        <v>-</v>
      </c>
      <c r="F11555" t="str">
        <v>-</v>
      </c>
      <c r="G11555" t="str">
        <v>-</v>
      </c>
    </row>
    <row r="11556">
      <c r="A11556">
        <v>11555</v>
      </c>
      <c r="B11556" t="str">
        <v>Công an xã Cầu Lộc  tỉnh Thanh Hóa</v>
      </c>
      <c r="C11556" t="str">
        <v>-</v>
      </c>
      <c r="D11556" t="str">
        <v>-</v>
      </c>
      <c r="E11556" t="str">
        <v/>
      </c>
      <c r="F11556" t="str">
        <v>-</v>
      </c>
      <c r="G11556" t="str">
        <v>-</v>
      </c>
    </row>
    <row r="11557">
      <c r="A11557">
        <v>11556</v>
      </c>
      <c r="B11557" t="str">
        <v>UBND Ủy ban nhân dân xã Cầu Lộc  tỉnh Thanh Hóa</v>
      </c>
      <c r="C11557" t="str">
        <v>-</v>
      </c>
      <c r="D11557" t="str">
        <v>-</v>
      </c>
      <c r="E11557" t="str">
        <v>-</v>
      </c>
      <c r="F11557" t="str">
        <v>-</v>
      </c>
      <c r="G11557" t="str">
        <v>-</v>
      </c>
    </row>
    <row r="11558">
      <c r="A11558">
        <v>11557</v>
      </c>
      <c r="B11558" t="str">
        <v>Công an xã Thành Lộc  tỉnh Thanh Hóa</v>
      </c>
      <c r="C11558" t="str">
        <v>-</v>
      </c>
      <c r="D11558" t="str">
        <v>-</v>
      </c>
      <c r="E11558" t="str">
        <v/>
      </c>
      <c r="F11558" t="str">
        <v>-</v>
      </c>
      <c r="G11558" t="str">
        <v>-</v>
      </c>
    </row>
    <row r="11559">
      <c r="A11559">
        <v>11558</v>
      </c>
      <c r="B11559" t="str">
        <v>UBND Ủy ban nhân dân xã Thành Lộc  tỉnh Thanh Hóa</v>
      </c>
      <c r="C11559" t="str">
        <v>-</v>
      </c>
      <c r="D11559" t="str">
        <v>-</v>
      </c>
      <c r="E11559" t="str">
        <v>-</v>
      </c>
      <c r="F11559" t="str">
        <v>-</v>
      </c>
      <c r="G11559" t="str">
        <v>-</v>
      </c>
    </row>
    <row r="11560">
      <c r="A11560">
        <v>11559</v>
      </c>
      <c r="B11560" t="str">
        <v>Công an xã Tuy Lộc  tỉnh Thanh Hóa</v>
      </c>
      <c r="C11560" t="str">
        <v>-</v>
      </c>
      <c r="D11560" t="str">
        <v>-</v>
      </c>
      <c r="E11560" t="str">
        <v/>
      </c>
      <c r="F11560" t="str">
        <v>-</v>
      </c>
      <c r="G11560" t="str">
        <v>-</v>
      </c>
    </row>
    <row r="11561">
      <c r="A11561">
        <v>11560</v>
      </c>
      <c r="B11561" t="str">
        <v>UBND Ủy ban nhân dân xã Tuy Lộc  tỉnh Thanh Hóa</v>
      </c>
      <c r="C11561" t="str">
        <v>-</v>
      </c>
      <c r="D11561" t="str">
        <v>-</v>
      </c>
      <c r="E11561" t="str">
        <v>-</v>
      </c>
      <c r="F11561" t="str">
        <v>-</v>
      </c>
      <c r="G11561" t="str">
        <v>-</v>
      </c>
    </row>
    <row r="11562">
      <c r="A11562">
        <v>11561</v>
      </c>
      <c r="B11562" t="str">
        <v>Công an xã Phong Lộc  tỉnh Thanh Hóa</v>
      </c>
      <c r="C11562" t="str">
        <v>-</v>
      </c>
      <c r="D11562" t="str">
        <v>-</v>
      </c>
      <c r="E11562" t="str">
        <v/>
      </c>
      <c r="F11562" t="str">
        <v>-</v>
      </c>
      <c r="G11562" t="str">
        <v>-</v>
      </c>
    </row>
    <row r="11563">
      <c r="A11563">
        <v>11562</v>
      </c>
      <c r="B11563" t="str">
        <v>UBND Ủy ban nhân dân xã Phong Lộc  tỉnh Thanh Hóa</v>
      </c>
      <c r="C11563" t="str">
        <v>-</v>
      </c>
      <c r="D11563" t="str">
        <v>-</v>
      </c>
      <c r="E11563" t="str">
        <v>-</v>
      </c>
      <c r="F11563" t="str">
        <v>-</v>
      </c>
      <c r="G11563" t="str">
        <v>-</v>
      </c>
    </row>
    <row r="11564">
      <c r="A11564">
        <v>11563</v>
      </c>
      <c r="B11564" t="str">
        <v>Công an xã Mỹ Lộc  tỉnh Thanh Hóa</v>
      </c>
      <c r="C11564" t="str">
        <v>-</v>
      </c>
      <c r="D11564" t="str">
        <v>-</v>
      </c>
      <c r="E11564" t="str">
        <v/>
      </c>
      <c r="F11564" t="str">
        <v>-</v>
      </c>
      <c r="G11564" t="str">
        <v>-</v>
      </c>
    </row>
    <row r="11565">
      <c r="A11565">
        <v>11564</v>
      </c>
      <c r="B11565" t="str">
        <v>UBND Ủy ban nhân dân xã Mỹ Lộc  tỉnh Thanh Hóa</v>
      </c>
      <c r="C11565" t="str">
        <v>-</v>
      </c>
      <c r="D11565" t="str">
        <v>-</v>
      </c>
      <c r="E11565" t="str">
        <v>-</v>
      </c>
      <c r="F11565" t="str">
        <v>-</v>
      </c>
      <c r="G11565" t="str">
        <v>-</v>
      </c>
    </row>
    <row r="11566">
      <c r="A11566">
        <v>11565</v>
      </c>
      <c r="B11566" t="str">
        <v>Công an xã Văn Lộc  tỉnh Thanh Hóa</v>
      </c>
      <c r="C11566" t="str">
        <v>-</v>
      </c>
      <c r="D11566" t="str">
        <v>-</v>
      </c>
      <c r="E11566" t="str">
        <v/>
      </c>
      <c r="F11566" t="str">
        <v>-</v>
      </c>
      <c r="G11566" t="str">
        <v>-</v>
      </c>
    </row>
    <row r="11567">
      <c r="A11567">
        <v>11566</v>
      </c>
      <c r="B11567" t="str">
        <v>UBND Ủy ban nhân dân xã Văn Lộc  tỉnh Thanh Hóa</v>
      </c>
      <c r="C11567" t="str">
        <v>-</v>
      </c>
      <c r="D11567" t="str">
        <v>-</v>
      </c>
      <c r="E11567" t="str">
        <v>-</v>
      </c>
      <c r="F11567" t="str">
        <v>-</v>
      </c>
      <c r="G11567" t="str">
        <v>-</v>
      </c>
    </row>
    <row r="11568">
      <c r="A11568">
        <v>11567</v>
      </c>
      <c r="B11568" t="str">
        <v>Công an xã Thuần Lộc  tỉnh Thanh Hóa</v>
      </c>
      <c r="C11568" t="str">
        <v>-</v>
      </c>
      <c r="D11568" t="str">
        <v>-</v>
      </c>
      <c r="E11568" t="str">
        <v/>
      </c>
      <c r="F11568" t="str">
        <v>-</v>
      </c>
      <c r="G11568" t="str">
        <v>-</v>
      </c>
    </row>
    <row r="11569">
      <c r="A11569">
        <v>11568</v>
      </c>
      <c r="B11569" t="str">
        <v>UBND Ủy ban nhân dân xã Thuần Lộc  tỉnh Thanh Hóa</v>
      </c>
      <c r="C11569" t="str">
        <v>-</v>
      </c>
      <c r="D11569" t="str">
        <v>-</v>
      </c>
      <c r="E11569" t="str">
        <v>-</v>
      </c>
      <c r="F11569" t="str">
        <v>-</v>
      </c>
      <c r="G11569" t="str">
        <v>-</v>
      </c>
    </row>
    <row r="11570">
      <c r="A11570">
        <v>11569</v>
      </c>
      <c r="B11570" t="str">
        <v>Công an xã Lộc Tân  tỉnh Thanh Hóa</v>
      </c>
      <c r="C11570" t="str">
        <v>-</v>
      </c>
      <c r="D11570" t="str">
        <v>-</v>
      </c>
      <c r="E11570" t="str">
        <v/>
      </c>
      <c r="F11570" t="str">
        <v>-</v>
      </c>
      <c r="G11570" t="str">
        <v>-</v>
      </c>
    </row>
    <row r="11571">
      <c r="A11571">
        <v>11570</v>
      </c>
      <c r="B11571" t="str">
        <v>UBND Ủy ban nhân dân xã Lộc Tân  tỉnh Thanh Hóa</v>
      </c>
      <c r="C11571" t="str">
        <v>-</v>
      </c>
      <c r="D11571" t="str">
        <v>-</v>
      </c>
      <c r="E11571" t="str">
        <v>-</v>
      </c>
      <c r="F11571" t="str">
        <v>-</v>
      </c>
      <c r="G11571" t="str">
        <v>-</v>
      </c>
    </row>
    <row r="11572">
      <c r="A11572">
        <v>11571</v>
      </c>
      <c r="B11572" t="str">
        <v>Công an xã Xuân Lộc  tỉnh Thanh Hóa</v>
      </c>
      <c r="C11572" t="str">
        <v>-</v>
      </c>
      <c r="D11572" t="str">
        <v>-</v>
      </c>
      <c r="E11572" t="str">
        <v/>
      </c>
      <c r="F11572" t="str">
        <v>-</v>
      </c>
      <c r="G11572" t="str">
        <v>-</v>
      </c>
    </row>
    <row r="11573">
      <c r="A11573">
        <v>11572</v>
      </c>
      <c r="B11573" t="str">
        <v>UBND Ủy ban nhân dân xã Xuân Lộc  tỉnh Thanh Hóa</v>
      </c>
      <c r="C11573" t="str">
        <v>-</v>
      </c>
      <c r="D11573" t="str">
        <v>-</v>
      </c>
      <c r="E11573" t="str">
        <v>-</v>
      </c>
      <c r="F11573" t="str">
        <v>-</v>
      </c>
      <c r="G11573" t="str">
        <v>-</v>
      </c>
    </row>
    <row r="11574">
      <c r="A11574">
        <v>11573</v>
      </c>
      <c r="B11574" t="str">
        <v>Công an xã Thịnh Lộc  tỉnh Thanh Hóa</v>
      </c>
      <c r="C11574" t="str">
        <v>-</v>
      </c>
      <c r="D11574" t="str">
        <v>-</v>
      </c>
      <c r="E11574" t="str">
        <v/>
      </c>
      <c r="F11574" t="str">
        <v>-</v>
      </c>
      <c r="G11574" t="str">
        <v>-</v>
      </c>
    </row>
    <row r="11575">
      <c r="A11575">
        <v>11574</v>
      </c>
      <c r="B11575" t="str">
        <v>UBND Ủy ban nhân dân xã Thịnh Lộc  tỉnh Thanh Hóa</v>
      </c>
      <c r="C11575" t="str">
        <v>-</v>
      </c>
      <c r="D11575" t="str">
        <v>-</v>
      </c>
      <c r="E11575" t="str">
        <v>-</v>
      </c>
      <c r="F11575" t="str">
        <v>-</v>
      </c>
      <c r="G11575" t="str">
        <v>-</v>
      </c>
    </row>
    <row r="11576">
      <c r="A11576">
        <v>11575</v>
      </c>
      <c r="B11576" t="str">
        <v>Công an xã Hoa Lộc  tỉnh Thanh Hóa</v>
      </c>
      <c r="C11576" t="str">
        <v>-</v>
      </c>
      <c r="D11576" t="str">
        <v>-</v>
      </c>
      <c r="E11576" t="str">
        <v/>
      </c>
      <c r="F11576" t="str">
        <v>-</v>
      </c>
      <c r="G11576" t="str">
        <v>-</v>
      </c>
    </row>
    <row r="11577">
      <c r="A11577">
        <v>11576</v>
      </c>
      <c r="B11577" t="str">
        <v>UBND Ủy ban nhân dân xã Hoa Lộc  tỉnh Thanh Hóa</v>
      </c>
      <c r="C11577" t="str">
        <v>-</v>
      </c>
      <c r="D11577" t="str">
        <v>-</v>
      </c>
      <c r="E11577" t="str">
        <v>-</v>
      </c>
      <c r="F11577" t="str">
        <v>-</v>
      </c>
      <c r="G11577" t="str">
        <v>-</v>
      </c>
    </row>
    <row r="11578">
      <c r="A11578">
        <v>11577</v>
      </c>
      <c r="B11578" t="str">
        <v>Công an xã Liên Lộc  tỉnh Thanh Hóa</v>
      </c>
      <c r="C11578" t="str">
        <v>-</v>
      </c>
      <c r="D11578" t="str">
        <v>-</v>
      </c>
      <c r="E11578" t="str">
        <v/>
      </c>
      <c r="F11578" t="str">
        <v>-</v>
      </c>
      <c r="G11578" t="str">
        <v>-</v>
      </c>
    </row>
    <row r="11579">
      <c r="A11579">
        <v>11578</v>
      </c>
      <c r="B11579" t="str">
        <v>UBND Ủy ban nhân dân xã Liên Lộc  tỉnh Thanh Hóa</v>
      </c>
      <c r="C11579" t="str">
        <v>-</v>
      </c>
      <c r="D11579" t="str">
        <v>-</v>
      </c>
      <c r="E11579" t="str">
        <v>-</v>
      </c>
      <c r="F11579" t="str">
        <v>-</v>
      </c>
      <c r="G11579" t="str">
        <v>-</v>
      </c>
    </row>
    <row r="11580">
      <c r="A11580">
        <v>11579</v>
      </c>
      <c r="B11580" t="str">
        <v>Công an xã Quang Lộc  tỉnh Thanh Hóa</v>
      </c>
      <c r="C11580" t="str">
        <v>-</v>
      </c>
      <c r="D11580" t="str">
        <v>-</v>
      </c>
      <c r="E11580" t="str">
        <v/>
      </c>
      <c r="F11580" t="str">
        <v>-</v>
      </c>
      <c r="G11580" t="str">
        <v>-</v>
      </c>
    </row>
    <row r="11581">
      <c r="A11581">
        <v>11580</v>
      </c>
      <c r="B11581" t="str">
        <v>UBND Ủy ban nhân dân xã Quang Lộc  tỉnh Thanh Hóa</v>
      </c>
      <c r="C11581" t="str">
        <v>-</v>
      </c>
      <c r="D11581" t="str">
        <v>-</v>
      </c>
      <c r="E11581" t="str">
        <v>-</v>
      </c>
      <c r="F11581" t="str">
        <v>-</v>
      </c>
      <c r="G11581" t="str">
        <v>-</v>
      </c>
    </row>
    <row r="11582">
      <c r="A11582">
        <v>11581</v>
      </c>
      <c r="B11582" t="str">
        <v>Công an xã Phú Lộc  tỉnh Thanh Hóa</v>
      </c>
      <c r="C11582" t="str">
        <v>-</v>
      </c>
      <c r="D11582" t="str">
        <v>-</v>
      </c>
      <c r="E11582" t="str">
        <v/>
      </c>
      <c r="F11582" t="str">
        <v>-</v>
      </c>
      <c r="G11582" t="str">
        <v>-</v>
      </c>
    </row>
    <row r="11583">
      <c r="A11583">
        <v>11582</v>
      </c>
      <c r="B11583" t="str">
        <v>UBND Ủy ban nhân dân xã Phú Lộc  tỉnh Thanh Hóa</v>
      </c>
      <c r="C11583" t="str">
        <v>-</v>
      </c>
      <c r="D11583" t="str">
        <v>-</v>
      </c>
      <c r="E11583" t="str">
        <v>-</v>
      </c>
      <c r="F11583" t="str">
        <v>-</v>
      </c>
      <c r="G11583" t="str">
        <v>-</v>
      </c>
    </row>
    <row r="11584">
      <c r="A11584">
        <v>11583</v>
      </c>
      <c r="B11584" t="str">
        <v>Công an xã Hòa Lộc  tỉnh Thanh Hóa</v>
      </c>
      <c r="C11584" t="str">
        <v>-</v>
      </c>
      <c r="D11584" t="str">
        <v>-</v>
      </c>
      <c r="E11584" t="str">
        <v/>
      </c>
      <c r="F11584" t="str">
        <v>-</v>
      </c>
      <c r="G11584" t="str">
        <v>-</v>
      </c>
    </row>
    <row r="11585">
      <c r="A11585">
        <v>11584</v>
      </c>
      <c r="B11585" t="str">
        <v>UBND Ủy ban nhân dân xã Hòa Lộc  tỉnh Thanh Hóa</v>
      </c>
      <c r="C11585" t="str">
        <v>-</v>
      </c>
      <c r="D11585" t="str">
        <v>-</v>
      </c>
      <c r="E11585" t="str">
        <v>-</v>
      </c>
      <c r="F11585" t="str">
        <v>-</v>
      </c>
      <c r="G11585" t="str">
        <v>-</v>
      </c>
    </row>
    <row r="11586">
      <c r="A11586">
        <v>11585</v>
      </c>
      <c r="B11586" t="str">
        <v>Công an xã Minh Lộc  tỉnh Thanh Hóa</v>
      </c>
      <c r="C11586" t="str">
        <v>-</v>
      </c>
      <c r="D11586" t="str">
        <v>-</v>
      </c>
      <c r="E11586" t="str">
        <v/>
      </c>
      <c r="F11586" t="str">
        <v>-</v>
      </c>
      <c r="G11586" t="str">
        <v>-</v>
      </c>
    </row>
    <row r="11587">
      <c r="A11587">
        <v>11586</v>
      </c>
      <c r="B11587" t="str">
        <v>UBND Ủy ban nhân dân xã Minh Lộc  tỉnh Thanh Hóa</v>
      </c>
      <c r="C11587" t="str">
        <v>-</v>
      </c>
      <c r="D11587" t="str">
        <v>-</v>
      </c>
      <c r="E11587" t="str">
        <v>-</v>
      </c>
      <c r="F11587" t="str">
        <v>-</v>
      </c>
      <c r="G11587" t="str">
        <v>-</v>
      </c>
    </row>
    <row r="11588">
      <c r="A11588">
        <v>11587</v>
      </c>
      <c r="B11588" t="str">
        <v>Công an xã Hưng Lộc  tỉnh Thanh Hóa</v>
      </c>
      <c r="C11588" t="str">
        <v>-</v>
      </c>
      <c r="D11588" t="str">
        <v>-</v>
      </c>
      <c r="E11588" t="str">
        <v/>
      </c>
      <c r="F11588" t="str">
        <v>-</v>
      </c>
      <c r="G11588" t="str">
        <v>-</v>
      </c>
    </row>
    <row r="11589">
      <c r="A11589">
        <v>11588</v>
      </c>
      <c r="B11589" t="str">
        <v>UBND Ủy ban nhân dân xã Hưng Lộc  tỉnh Thanh Hóa</v>
      </c>
      <c r="C11589" t="str">
        <v>-</v>
      </c>
      <c r="D11589" t="str">
        <v>-</v>
      </c>
      <c r="E11589" t="str">
        <v>-</v>
      </c>
      <c r="F11589" t="str">
        <v>-</v>
      </c>
      <c r="G11589" t="str">
        <v>-</v>
      </c>
    </row>
    <row r="11590">
      <c r="A11590">
        <v>11589</v>
      </c>
      <c r="B11590" t="str">
        <v>Công an xã Hải Lộc  tỉnh Thanh Hóa</v>
      </c>
      <c r="C11590" t="str">
        <v>-</v>
      </c>
      <c r="D11590" t="str">
        <v>-</v>
      </c>
      <c r="E11590" t="str">
        <v/>
      </c>
      <c r="F11590" t="str">
        <v>-</v>
      </c>
      <c r="G11590" t="str">
        <v>-</v>
      </c>
    </row>
    <row r="11591">
      <c r="A11591">
        <v>11590</v>
      </c>
      <c r="B11591" t="str">
        <v>UBND Ủy ban nhân dân xã Hải Lộc  tỉnh Thanh Hóa</v>
      </c>
      <c r="C11591" t="str">
        <v>-</v>
      </c>
      <c r="D11591" t="str">
        <v>-</v>
      </c>
      <c r="E11591" t="str">
        <v>-</v>
      </c>
      <c r="F11591" t="str">
        <v>-</v>
      </c>
      <c r="G11591" t="str">
        <v>-</v>
      </c>
    </row>
    <row r="11592">
      <c r="A11592">
        <v>11591</v>
      </c>
      <c r="B11592" t="str">
        <v>Công an xã Đa Lộc  tỉnh Thanh Hóa</v>
      </c>
      <c r="C11592" t="str">
        <v>-</v>
      </c>
      <c r="D11592" t="str">
        <v>-</v>
      </c>
      <c r="E11592" t="str">
        <v/>
      </c>
      <c r="F11592" t="str">
        <v>-</v>
      </c>
      <c r="G11592" t="str">
        <v>-</v>
      </c>
    </row>
    <row r="11593">
      <c r="A11593">
        <v>11592</v>
      </c>
      <c r="B11593" t="str">
        <v>UBND Ủy ban nhân dân xã Đa Lộc  tỉnh Thanh Hóa</v>
      </c>
      <c r="C11593" t="str">
        <v>-</v>
      </c>
      <c r="D11593" t="str">
        <v>-</v>
      </c>
      <c r="E11593" t="str">
        <v>-</v>
      </c>
      <c r="F11593" t="str">
        <v>-</v>
      </c>
      <c r="G11593" t="str">
        <v>-</v>
      </c>
    </row>
    <row r="11594">
      <c r="A11594">
        <v>11593</v>
      </c>
      <c r="B11594" t="str">
        <v>Công an xã Ngư Lộc  tỉnh Thanh Hóa</v>
      </c>
      <c r="C11594" t="str">
        <v>-</v>
      </c>
      <c r="D11594" t="str">
        <v>-</v>
      </c>
      <c r="E11594" t="str">
        <v/>
      </c>
      <c r="F11594" t="str">
        <v>-</v>
      </c>
      <c r="G11594" t="str">
        <v>-</v>
      </c>
    </row>
    <row r="11595">
      <c r="A11595">
        <v>11594</v>
      </c>
      <c r="B11595" t="str">
        <v>UBND Ủy ban nhân dân xã Ngư Lộc  tỉnh Thanh Hóa</v>
      </c>
      <c r="C11595" t="str">
        <v>-</v>
      </c>
      <c r="D11595" t="str">
        <v>-</v>
      </c>
      <c r="E11595" t="str">
        <v>-</v>
      </c>
      <c r="F11595" t="str">
        <v>-</v>
      </c>
      <c r="G11595" t="str">
        <v>-</v>
      </c>
    </row>
    <row r="11596">
      <c r="A11596">
        <v>11595</v>
      </c>
      <c r="B11596" t="str">
        <v>Công an thị trấn Nga Sơn  tỉnh Thanh Hóa</v>
      </c>
      <c r="C11596" t="str">
        <v>-</v>
      </c>
      <c r="D11596" t="str">
        <v>-</v>
      </c>
      <c r="E11596" t="str">
        <v/>
      </c>
      <c r="F11596" t="str">
        <v>-</v>
      </c>
      <c r="G11596" t="str">
        <v>-</v>
      </c>
    </row>
    <row r="11597">
      <c r="A11597">
        <v>11596</v>
      </c>
      <c r="B11597" t="str">
        <v>UBND Ủy ban nhân dân thị trấn Nga Sơn  tỉnh Thanh Hóa</v>
      </c>
      <c r="C11597" t="str">
        <v>-</v>
      </c>
      <c r="D11597" t="str">
        <v>-</v>
      </c>
      <c r="E11597" t="str">
        <v>-</v>
      </c>
      <c r="F11597" t="str">
        <v>-</v>
      </c>
      <c r="G11597" t="str">
        <v>-</v>
      </c>
    </row>
    <row r="11598">
      <c r="A11598">
        <v>11597</v>
      </c>
      <c r="B11598" t="str">
        <v>Công an xã Ba Đình  tỉnh Thanh Hóa</v>
      </c>
      <c r="C11598" t="str">
        <v>-</v>
      </c>
      <c r="D11598" t="str">
        <v>-</v>
      </c>
      <c r="E11598" t="str">
        <v/>
      </c>
      <c r="F11598" t="str">
        <v>-</v>
      </c>
      <c r="G11598" t="str">
        <v>-</v>
      </c>
    </row>
    <row r="11599">
      <c r="A11599">
        <v>11598</v>
      </c>
      <c r="B11599" t="str">
        <v>UBND Ủy ban nhân dân xã Ba Đình  tỉnh Thanh Hóa</v>
      </c>
      <c r="C11599" t="str">
        <v>-</v>
      </c>
      <c r="D11599" t="str">
        <v>-</v>
      </c>
      <c r="E11599" t="str">
        <v>-</v>
      </c>
      <c r="F11599" t="str">
        <v>-</v>
      </c>
      <c r="G11599" t="str">
        <v>-</v>
      </c>
    </row>
    <row r="11600">
      <c r="A11600">
        <v>11599</v>
      </c>
      <c r="B11600" t="str">
        <v>Công an xã Nga Vịnh  tỉnh Thanh Hóa</v>
      </c>
      <c r="C11600" t="str">
        <v>-</v>
      </c>
      <c r="D11600" t="str">
        <v>-</v>
      </c>
      <c r="E11600" t="str">
        <v/>
      </c>
      <c r="F11600" t="str">
        <v>-</v>
      </c>
      <c r="G11600" t="str">
        <v>-</v>
      </c>
    </row>
    <row r="11601">
      <c r="A11601">
        <v>11600</v>
      </c>
      <c r="B11601" t="str">
        <v>UBND Ủy ban nhân dân xã Nga Vịnh  tỉnh Thanh Hóa</v>
      </c>
      <c r="C11601" t="str">
        <v>-</v>
      </c>
      <c r="D11601" t="str">
        <v>-</v>
      </c>
      <c r="E11601" t="str">
        <v>-</v>
      </c>
      <c r="F11601" t="str">
        <v>-</v>
      </c>
      <c r="G11601" t="str">
        <v>-</v>
      </c>
    </row>
    <row r="11602">
      <c r="A11602">
        <v>11601</v>
      </c>
      <c r="B11602" t="str">
        <v>Công an xã Nga Văn  tỉnh Thanh Hóa</v>
      </c>
      <c r="C11602" t="str">
        <v>-</v>
      </c>
      <c r="D11602" t="str">
        <v>-</v>
      </c>
      <c r="E11602" t="str">
        <v/>
      </c>
      <c r="F11602" t="str">
        <v>-</v>
      </c>
      <c r="G11602" t="str">
        <v>-</v>
      </c>
    </row>
    <row r="11603">
      <c r="A11603">
        <v>11602</v>
      </c>
      <c r="B11603" t="str">
        <v>UBND Ủy ban nhân dân xã Nga Văn  tỉnh Thanh Hóa</v>
      </c>
      <c r="C11603" t="str">
        <v>-</v>
      </c>
      <c r="D11603" t="str">
        <v>-</v>
      </c>
      <c r="E11603" t="str">
        <v>-</v>
      </c>
      <c r="F11603" t="str">
        <v>-</v>
      </c>
      <c r="G11603" t="str">
        <v>-</v>
      </c>
    </row>
    <row r="11604">
      <c r="A11604">
        <v>11603</v>
      </c>
      <c r="B11604" t="str">
        <v>Công an xã Nga Thiện  tỉnh Thanh Hóa</v>
      </c>
      <c r="C11604" t="str">
        <v>-</v>
      </c>
      <c r="D11604" t="str">
        <v>-</v>
      </c>
      <c r="E11604" t="str">
        <v/>
      </c>
      <c r="F11604" t="str">
        <v>-</v>
      </c>
      <c r="G11604" t="str">
        <v>-</v>
      </c>
    </row>
    <row r="11605">
      <c r="A11605">
        <v>11604</v>
      </c>
      <c r="B11605" t="str">
        <v>UBND Ủy ban nhân dân xã Nga Thiện  tỉnh Thanh Hóa</v>
      </c>
      <c r="C11605" t="str">
        <v>-</v>
      </c>
      <c r="D11605" t="str">
        <v>-</v>
      </c>
      <c r="E11605" t="str">
        <v>-</v>
      </c>
      <c r="F11605" t="str">
        <v>-</v>
      </c>
      <c r="G11605" t="str">
        <v>-</v>
      </c>
    </row>
    <row r="11606">
      <c r="A11606">
        <v>11605</v>
      </c>
      <c r="B11606" t="str">
        <v>Công an xã Nga Tiến  tỉnh Thanh Hóa</v>
      </c>
      <c r="C11606" t="str">
        <v>-</v>
      </c>
      <c r="D11606" t="str">
        <v>-</v>
      </c>
      <c r="E11606" t="str">
        <v/>
      </c>
      <c r="F11606" t="str">
        <v>-</v>
      </c>
      <c r="G11606" t="str">
        <v>-</v>
      </c>
    </row>
    <row r="11607">
      <c r="A11607">
        <v>11606</v>
      </c>
      <c r="B11607" t="str">
        <v>UBND Ủy ban nhân dân xã Nga Tiến  tỉnh Thanh Hóa</v>
      </c>
      <c r="C11607" t="str">
        <v>-</v>
      </c>
      <c r="D11607" t="str">
        <v>-</v>
      </c>
      <c r="E11607" t="str">
        <v>-</v>
      </c>
      <c r="F11607" t="str">
        <v>-</v>
      </c>
      <c r="G11607" t="str">
        <v>-</v>
      </c>
    </row>
    <row r="11608">
      <c r="A11608">
        <v>11607</v>
      </c>
      <c r="B11608" t="str">
        <v>Công an xã Nga Lĩnh  tỉnh Thanh Hóa</v>
      </c>
      <c r="C11608" t="str">
        <v>-</v>
      </c>
      <c r="D11608" t="str">
        <v>-</v>
      </c>
      <c r="E11608" t="str">
        <v/>
      </c>
      <c r="F11608" t="str">
        <v>-</v>
      </c>
      <c r="G11608" t="str">
        <v>-</v>
      </c>
    </row>
    <row r="11609">
      <c r="A11609">
        <v>11608</v>
      </c>
      <c r="B11609" t="str">
        <v>UBND Ủy ban nhân dân xã Nga Lĩnh  tỉnh Thanh Hóa</v>
      </c>
      <c r="C11609" t="str">
        <v>-</v>
      </c>
      <c r="D11609" t="str">
        <v>-</v>
      </c>
      <c r="E11609" t="str">
        <v>-</v>
      </c>
      <c r="F11609" t="str">
        <v>-</v>
      </c>
      <c r="G11609" t="str">
        <v>-</v>
      </c>
    </row>
    <row r="11610">
      <c r="A11610">
        <v>11609</v>
      </c>
      <c r="B11610" t="str">
        <v>Công an xã Nga Nhân  tỉnh Thanh Hóa</v>
      </c>
      <c r="C11610" t="str">
        <v>-</v>
      </c>
      <c r="D11610" t="str">
        <v>-</v>
      </c>
      <c r="E11610" t="str">
        <v/>
      </c>
      <c r="F11610" t="str">
        <v>-</v>
      </c>
      <c r="G11610" t="str">
        <v>-</v>
      </c>
    </row>
    <row r="11611">
      <c r="A11611">
        <v>11610</v>
      </c>
      <c r="B11611" t="str">
        <v>UBND Ủy ban nhân dân xã Nga Nhân  tỉnh Thanh Hóa</v>
      </c>
      <c r="C11611" t="str">
        <v>-</v>
      </c>
      <c r="D11611" t="str">
        <v>-</v>
      </c>
      <c r="E11611" t="str">
        <v>-</v>
      </c>
      <c r="F11611" t="str">
        <v>-</v>
      </c>
      <c r="G11611" t="str">
        <v>-</v>
      </c>
    </row>
    <row r="11612">
      <c r="A11612">
        <v>11611</v>
      </c>
      <c r="B11612" t="str">
        <v>Công an xã Nga Trung  tỉnh Thanh Hóa</v>
      </c>
      <c r="C11612" t="str">
        <v>-</v>
      </c>
      <c r="D11612" t="str">
        <v>-</v>
      </c>
      <c r="E11612" t="str">
        <v/>
      </c>
      <c r="F11612" t="str">
        <v>-</v>
      </c>
      <c r="G11612" t="str">
        <v>-</v>
      </c>
    </row>
    <row r="11613">
      <c r="A11613">
        <v>11612</v>
      </c>
      <c r="B11613" t="str">
        <v>UBND Ủy ban nhân dân xã Nga Trung  tỉnh Thanh Hóa</v>
      </c>
      <c r="C11613" t="str">
        <v>-</v>
      </c>
      <c r="D11613" t="str">
        <v>-</v>
      </c>
      <c r="E11613" t="str">
        <v>-</v>
      </c>
      <c r="F11613" t="str">
        <v>-</v>
      </c>
      <c r="G11613" t="str">
        <v>-</v>
      </c>
    </row>
    <row r="11614">
      <c r="A11614">
        <v>11613</v>
      </c>
      <c r="B11614" t="str">
        <v>Công an xã Nga Bạch  tỉnh Thanh Hóa</v>
      </c>
      <c r="C11614" t="str">
        <v>-</v>
      </c>
      <c r="D11614" t="str">
        <v>-</v>
      </c>
      <c r="E11614" t="str">
        <v/>
      </c>
      <c r="F11614" t="str">
        <v>-</v>
      </c>
      <c r="G11614" t="str">
        <v>-</v>
      </c>
    </row>
    <row r="11615">
      <c r="A11615">
        <v>11614</v>
      </c>
      <c r="B11615" t="str">
        <v>UBND Ủy ban nhân dân xã Nga Bạch  tỉnh Thanh Hóa</v>
      </c>
      <c r="C11615" t="str">
        <v>-</v>
      </c>
      <c r="D11615" t="str">
        <v>-</v>
      </c>
      <c r="E11615" t="str">
        <v>-</v>
      </c>
      <c r="F11615" t="str">
        <v>-</v>
      </c>
      <c r="G11615" t="str">
        <v>-</v>
      </c>
    </row>
    <row r="11616">
      <c r="A11616">
        <v>11615</v>
      </c>
      <c r="B11616" t="str">
        <v>Công an xã Nga Thanh  tỉnh Thanh Hóa</v>
      </c>
      <c r="C11616" t="str">
        <v>-</v>
      </c>
      <c r="D11616" t="str">
        <v>-</v>
      </c>
      <c r="E11616" t="str">
        <v/>
      </c>
      <c r="F11616" t="str">
        <v>-</v>
      </c>
      <c r="G11616" t="str">
        <v>-</v>
      </c>
    </row>
    <row r="11617">
      <c r="A11617">
        <v>11616</v>
      </c>
      <c r="B11617" t="str">
        <v>UBND Ủy ban nhân dân xã Nga Thanh  tỉnh Thanh Hóa</v>
      </c>
      <c r="C11617" t="str">
        <v>-</v>
      </c>
      <c r="D11617" t="str">
        <v>-</v>
      </c>
      <c r="E11617" t="str">
        <v>-</v>
      </c>
      <c r="F11617" t="str">
        <v>-</v>
      </c>
      <c r="G11617" t="str">
        <v>-</v>
      </c>
    </row>
    <row r="11618">
      <c r="A11618">
        <v>11617</v>
      </c>
      <c r="B11618" t="str">
        <v>Công an xã Nga Hưng  tỉnh Thanh Hóa</v>
      </c>
      <c r="C11618" t="str">
        <v>-</v>
      </c>
      <c r="D11618" t="str">
        <v>-</v>
      </c>
      <c r="E11618" t="str">
        <v/>
      </c>
      <c r="F11618" t="str">
        <v>-</v>
      </c>
      <c r="G11618" t="str">
        <v>-</v>
      </c>
    </row>
    <row r="11619">
      <c r="A11619">
        <v>11618</v>
      </c>
      <c r="B11619" t="str">
        <v>UBND Ủy ban nhân dân xã Nga Hưng  tỉnh Thanh Hóa</v>
      </c>
      <c r="C11619" t="str">
        <v>-</v>
      </c>
      <c r="D11619" t="str">
        <v>-</v>
      </c>
      <c r="E11619" t="str">
        <v>-</v>
      </c>
      <c r="F11619" t="str">
        <v>-</v>
      </c>
      <c r="G11619" t="str">
        <v>-</v>
      </c>
    </row>
    <row r="11620">
      <c r="A11620">
        <v>11619</v>
      </c>
      <c r="B11620" t="str">
        <v>Công an xã Nga Mỹ  tỉnh Thanh Hóa</v>
      </c>
      <c r="C11620" t="str">
        <v>-</v>
      </c>
      <c r="D11620" t="str">
        <v>-</v>
      </c>
      <c r="E11620" t="str">
        <v/>
      </c>
      <c r="F11620" t="str">
        <v>-</v>
      </c>
      <c r="G11620" t="str">
        <v>-</v>
      </c>
    </row>
    <row r="11621">
      <c r="A11621">
        <v>11620</v>
      </c>
      <c r="B11621" t="str">
        <v>UBND Ủy ban nhân dân xã Nga Mỹ  tỉnh Thanh Hóa</v>
      </c>
      <c r="C11621" t="str">
        <v>-</v>
      </c>
      <c r="D11621" t="str">
        <v>-</v>
      </c>
      <c r="E11621" t="str">
        <v>-</v>
      </c>
      <c r="F11621" t="str">
        <v>-</v>
      </c>
      <c r="G11621" t="str">
        <v>-</v>
      </c>
    </row>
    <row r="11622">
      <c r="A11622">
        <v>11621</v>
      </c>
      <c r="B11622" t="str">
        <v>Công an xã Nga Yên  tỉnh Thanh Hóa</v>
      </c>
      <c r="C11622" t="str">
        <v>-</v>
      </c>
      <c r="D11622" t="str">
        <v>-</v>
      </c>
      <c r="E11622" t="str">
        <v/>
      </c>
      <c r="F11622" t="str">
        <v>-</v>
      </c>
      <c r="G11622" t="str">
        <v>-</v>
      </c>
    </row>
    <row r="11623">
      <c r="A11623">
        <v>11622</v>
      </c>
      <c r="B11623" t="str">
        <v>UBND Ủy ban nhân dân xã Nga Yên  tỉnh Thanh Hóa</v>
      </c>
      <c r="C11623" t="str">
        <v>-</v>
      </c>
      <c r="D11623" t="str">
        <v>-</v>
      </c>
      <c r="E11623" t="str">
        <v>-</v>
      </c>
      <c r="F11623" t="str">
        <v>-</v>
      </c>
      <c r="G11623" t="str">
        <v>-</v>
      </c>
    </row>
    <row r="11624">
      <c r="A11624">
        <v>11623</v>
      </c>
      <c r="B11624" t="str">
        <v>Công an xã Nga Giáp  tỉnh Thanh Hóa</v>
      </c>
      <c r="C11624" t="str">
        <v>-</v>
      </c>
      <c r="D11624" t="str">
        <v>-</v>
      </c>
      <c r="E11624" t="str">
        <v/>
      </c>
      <c r="F11624" t="str">
        <v>-</v>
      </c>
      <c r="G11624" t="str">
        <v>-</v>
      </c>
    </row>
    <row r="11625">
      <c r="A11625">
        <v>11624</v>
      </c>
      <c r="B11625" t="str">
        <v>UBND Ủy ban nhân dân xã Nga Giáp  tỉnh Thanh Hóa</v>
      </c>
      <c r="C11625" t="str">
        <v>-</v>
      </c>
      <c r="D11625" t="str">
        <v>-</v>
      </c>
      <c r="E11625" t="str">
        <v>-</v>
      </c>
      <c r="F11625" t="str">
        <v>-</v>
      </c>
      <c r="G11625" t="str">
        <v>-</v>
      </c>
    </row>
    <row r="11626">
      <c r="A11626">
        <v>11625</v>
      </c>
      <c r="B11626" t="str">
        <v>Công an xã Nga Hải  tỉnh Thanh Hóa</v>
      </c>
      <c r="C11626" t="str">
        <v>-</v>
      </c>
      <c r="D11626" t="str">
        <v>-</v>
      </c>
      <c r="E11626" t="str">
        <v/>
      </c>
      <c r="F11626" t="str">
        <v>-</v>
      </c>
      <c r="G11626" t="str">
        <v>-</v>
      </c>
    </row>
    <row r="11627">
      <c r="A11627">
        <v>11626</v>
      </c>
      <c r="B11627" t="str">
        <v>UBND Ủy ban nhân dân xã Nga Hải  tỉnh Thanh Hóa</v>
      </c>
      <c r="C11627" t="str">
        <v>-</v>
      </c>
      <c r="D11627" t="str">
        <v>-</v>
      </c>
      <c r="E11627" t="str">
        <v>-</v>
      </c>
      <c r="F11627" t="str">
        <v>-</v>
      </c>
      <c r="G11627" t="str">
        <v>-</v>
      </c>
    </row>
    <row r="11628">
      <c r="A11628">
        <v>11627</v>
      </c>
      <c r="B11628" t="str">
        <v>Công an xã Nga Thành  tỉnh Thanh Hóa</v>
      </c>
      <c r="C11628" t="str">
        <v>-</v>
      </c>
      <c r="D11628" t="str">
        <v>-</v>
      </c>
      <c r="E11628" t="str">
        <v/>
      </c>
      <c r="F11628" t="str">
        <v>-</v>
      </c>
      <c r="G11628" t="str">
        <v>-</v>
      </c>
    </row>
    <row r="11629">
      <c r="A11629">
        <v>11628</v>
      </c>
      <c r="B11629" t="str">
        <v>UBND Ủy ban nhân dân xã Nga Thành  tỉnh Thanh Hóa</v>
      </c>
      <c r="C11629" t="str">
        <v>-</v>
      </c>
      <c r="D11629" t="str">
        <v>-</v>
      </c>
      <c r="E11629" t="str">
        <v>-</v>
      </c>
      <c r="F11629" t="str">
        <v>-</v>
      </c>
      <c r="G11629" t="str">
        <v>-</v>
      </c>
    </row>
    <row r="11630">
      <c r="A11630">
        <v>11629</v>
      </c>
      <c r="B11630" t="str">
        <v>Công an xã Nga An  tỉnh Thanh Hóa</v>
      </c>
      <c r="C11630" t="str">
        <v>-</v>
      </c>
      <c r="D11630" t="str">
        <v>-</v>
      </c>
      <c r="E11630" t="str">
        <v/>
      </c>
      <c r="F11630" t="str">
        <v>-</v>
      </c>
      <c r="G11630" t="str">
        <v>-</v>
      </c>
    </row>
    <row r="11631">
      <c r="A11631">
        <v>11630</v>
      </c>
      <c r="B11631" t="str">
        <v>UBND Ủy ban nhân dân xã Nga An  tỉnh Thanh Hóa</v>
      </c>
      <c r="C11631" t="str">
        <v>-</v>
      </c>
      <c r="D11631" t="str">
        <v>-</v>
      </c>
      <c r="E11631" t="str">
        <v>-</v>
      </c>
      <c r="F11631" t="str">
        <v>-</v>
      </c>
      <c r="G11631" t="str">
        <v>-</v>
      </c>
    </row>
    <row r="11632">
      <c r="A11632">
        <v>11631</v>
      </c>
      <c r="B11632" t="str">
        <v>Công an xã Nga Phú  tỉnh Thanh Hóa</v>
      </c>
      <c r="C11632" t="str">
        <v>-</v>
      </c>
      <c r="D11632" t="str">
        <v>-</v>
      </c>
      <c r="E11632" t="str">
        <v/>
      </c>
      <c r="F11632" t="str">
        <v>-</v>
      </c>
      <c r="G11632" t="str">
        <v>-</v>
      </c>
    </row>
    <row r="11633">
      <c r="A11633">
        <v>11632</v>
      </c>
      <c r="B11633" t="str">
        <v>UBND Ủy ban nhân dân xã Nga Phú  tỉnh Thanh Hóa</v>
      </c>
      <c r="C11633" t="str">
        <v>-</v>
      </c>
      <c r="D11633" t="str">
        <v>-</v>
      </c>
      <c r="E11633" t="str">
        <v>-</v>
      </c>
      <c r="F11633" t="str">
        <v>-</v>
      </c>
      <c r="G11633" t="str">
        <v>-</v>
      </c>
    </row>
    <row r="11634">
      <c r="A11634">
        <v>11633</v>
      </c>
      <c r="B11634" t="str">
        <v>Công an xã Nga Điền  tỉnh Thanh Hóa</v>
      </c>
      <c r="C11634" t="str">
        <v>-</v>
      </c>
      <c r="D11634" t="str">
        <v>-</v>
      </c>
      <c r="E11634" t="str">
        <v/>
      </c>
      <c r="F11634" t="str">
        <v>-</v>
      </c>
      <c r="G11634" t="str">
        <v>-</v>
      </c>
    </row>
    <row r="11635">
      <c r="A11635">
        <v>11634</v>
      </c>
      <c r="B11635" t="str">
        <v>UBND Ủy ban nhân dân xã Nga Điền  tỉnh Thanh Hóa</v>
      </c>
      <c r="C11635" t="str">
        <v>-</v>
      </c>
      <c r="D11635" t="str">
        <v>-</v>
      </c>
      <c r="E11635" t="str">
        <v>-</v>
      </c>
      <c r="F11635" t="str">
        <v>-</v>
      </c>
      <c r="G11635" t="str">
        <v>-</v>
      </c>
    </row>
    <row r="11636">
      <c r="A11636">
        <v>11635</v>
      </c>
      <c r="B11636" t="str">
        <v>Công an xã Nga Tân  tỉnh Thanh Hóa</v>
      </c>
      <c r="C11636" t="str">
        <v>-</v>
      </c>
      <c r="D11636" t="str">
        <v>-</v>
      </c>
      <c r="E11636" t="str">
        <v/>
      </c>
      <c r="F11636" t="str">
        <v>-</v>
      </c>
      <c r="G11636" t="str">
        <v>-</v>
      </c>
    </row>
    <row r="11637">
      <c r="A11637">
        <v>11636</v>
      </c>
      <c r="B11637" t="str">
        <v>UBND Ủy ban nhân dân xã Nga Tân  tỉnh Thanh Hóa</v>
      </c>
      <c r="C11637" t="str">
        <v>-</v>
      </c>
      <c r="D11637" t="str">
        <v>-</v>
      </c>
      <c r="E11637" t="str">
        <v>-</v>
      </c>
      <c r="F11637" t="str">
        <v>-</v>
      </c>
      <c r="G11637" t="str">
        <v>-</v>
      </c>
    </row>
    <row r="11638">
      <c r="A11638">
        <v>11637</v>
      </c>
      <c r="B11638" t="str">
        <v>Công an xã Nga Thủy  tỉnh Thanh Hóa</v>
      </c>
      <c r="C11638" t="str">
        <v>-</v>
      </c>
      <c r="D11638" t="str">
        <v>-</v>
      </c>
      <c r="E11638" t="str">
        <v/>
      </c>
      <c r="F11638" t="str">
        <v>-</v>
      </c>
      <c r="G11638" t="str">
        <v>-</v>
      </c>
    </row>
    <row r="11639">
      <c r="A11639">
        <v>11638</v>
      </c>
      <c r="B11639" t="str">
        <v>UBND Ủy ban nhân dân xã Nga Thủy  tỉnh Thanh Hóa</v>
      </c>
      <c r="C11639" t="str">
        <v>-</v>
      </c>
      <c r="D11639" t="str">
        <v>-</v>
      </c>
      <c r="E11639" t="str">
        <v>-</v>
      </c>
      <c r="F11639" t="str">
        <v>-</v>
      </c>
      <c r="G11639" t="str">
        <v>-</v>
      </c>
    </row>
    <row r="11640">
      <c r="A11640">
        <v>11639</v>
      </c>
      <c r="B11640" t="str">
        <v>Công an xã Nga Liên  tỉnh Thanh Hóa</v>
      </c>
      <c r="C11640" t="str">
        <v>-</v>
      </c>
      <c r="D11640" t="str">
        <v>-</v>
      </c>
      <c r="E11640" t="str">
        <v/>
      </c>
      <c r="F11640" t="str">
        <v>-</v>
      </c>
      <c r="G11640" t="str">
        <v>-</v>
      </c>
    </row>
    <row r="11641">
      <c r="A11641">
        <v>11640</v>
      </c>
      <c r="B11641" t="str">
        <v>UBND Ủy ban nhân dân xã Nga Liên  tỉnh Thanh Hóa</v>
      </c>
      <c r="C11641" t="str">
        <v>-</v>
      </c>
      <c r="D11641" t="str">
        <v>-</v>
      </c>
      <c r="E11641" t="str">
        <v>-</v>
      </c>
      <c r="F11641" t="str">
        <v>-</v>
      </c>
      <c r="G11641" t="str">
        <v>-</v>
      </c>
    </row>
    <row r="11642">
      <c r="A11642">
        <v>11641</v>
      </c>
      <c r="B11642" t="str">
        <v>Công an xã Nga Thái  tỉnh Thanh Hóa</v>
      </c>
      <c r="C11642" t="str">
        <v>-</v>
      </c>
      <c r="D11642" t="str">
        <v>-</v>
      </c>
      <c r="E11642" t="str">
        <v/>
      </c>
      <c r="F11642" t="str">
        <v>-</v>
      </c>
      <c r="G11642" t="str">
        <v>-</v>
      </c>
    </row>
    <row r="11643">
      <c r="A11643">
        <v>11642</v>
      </c>
      <c r="B11643" t="str">
        <v>UBND Ủy ban nhân dân xã Nga Thái  tỉnh Thanh Hóa</v>
      </c>
      <c r="C11643" t="str">
        <v>-</v>
      </c>
      <c r="D11643" t="str">
        <v>-</v>
      </c>
      <c r="E11643" t="str">
        <v>-</v>
      </c>
      <c r="F11643" t="str">
        <v>-</v>
      </c>
      <c r="G11643" t="str">
        <v>-</v>
      </c>
    </row>
    <row r="11644">
      <c r="A11644">
        <v>11643</v>
      </c>
      <c r="B11644" t="str">
        <v>Công an xã Nga Thạch  tỉnh Thanh Hóa</v>
      </c>
      <c r="C11644" t="str">
        <v>-</v>
      </c>
      <c r="D11644" t="str">
        <v>-</v>
      </c>
      <c r="E11644" t="str">
        <v/>
      </c>
      <c r="F11644" t="str">
        <v>-</v>
      </c>
      <c r="G11644" t="str">
        <v>-</v>
      </c>
    </row>
    <row r="11645">
      <c r="A11645">
        <v>11644</v>
      </c>
      <c r="B11645" t="str">
        <v>UBND Ủy ban nhân dân xã Nga Thạch  tỉnh Thanh Hóa</v>
      </c>
      <c r="C11645" t="str">
        <v>-</v>
      </c>
      <c r="D11645" t="str">
        <v>-</v>
      </c>
      <c r="E11645" t="str">
        <v>-</v>
      </c>
      <c r="F11645" t="str">
        <v>-</v>
      </c>
      <c r="G11645" t="str">
        <v>-</v>
      </c>
    </row>
    <row r="11646">
      <c r="A11646">
        <v>11645</v>
      </c>
      <c r="B11646" t="str">
        <v>Công an xã Nga Thắng  tỉnh Thanh Hóa</v>
      </c>
      <c r="C11646" t="str">
        <v>-</v>
      </c>
      <c r="D11646" t="str">
        <v>-</v>
      </c>
      <c r="E11646" t="str">
        <v/>
      </c>
      <c r="F11646" t="str">
        <v>-</v>
      </c>
      <c r="G11646" t="str">
        <v>-</v>
      </c>
    </row>
    <row r="11647">
      <c r="A11647">
        <v>11646</v>
      </c>
      <c r="B11647" t="str">
        <v>UBND Ủy ban nhân dân xã Nga Thắng  tỉnh Thanh Hóa</v>
      </c>
      <c r="C11647" t="str">
        <v>-</v>
      </c>
      <c r="D11647" t="str">
        <v>-</v>
      </c>
      <c r="E11647" t="str">
        <v>-</v>
      </c>
      <c r="F11647" t="str">
        <v>-</v>
      </c>
      <c r="G11647" t="str">
        <v>-</v>
      </c>
    </row>
    <row r="11648">
      <c r="A11648">
        <v>11647</v>
      </c>
      <c r="B11648" t="str">
        <v>Công an xã Nga Trường  tỉnh Thanh Hóa</v>
      </c>
      <c r="C11648" t="str">
        <v>-</v>
      </c>
      <c r="D11648" t="str">
        <v>-</v>
      </c>
      <c r="E11648" t="str">
        <v/>
      </c>
      <c r="F11648" t="str">
        <v>-</v>
      </c>
      <c r="G11648" t="str">
        <v>-</v>
      </c>
    </row>
    <row r="11649">
      <c r="A11649">
        <v>11648</v>
      </c>
      <c r="B11649" t="str">
        <v>UBND Ủy ban nhân dân xã Nga Trường  tỉnh Thanh Hóa</v>
      </c>
      <c r="C11649" t="str">
        <v>-</v>
      </c>
      <c r="D11649" t="str">
        <v>-</v>
      </c>
      <c r="E11649" t="str">
        <v>-</v>
      </c>
      <c r="F11649" t="str">
        <v>-</v>
      </c>
      <c r="G11649" t="str">
        <v>-</v>
      </c>
    </row>
    <row r="11650">
      <c r="A11650">
        <v>11649</v>
      </c>
      <c r="B11650" t="str">
        <v>Công an thị trấn Yên Cát  tỉnh Thanh Hóa</v>
      </c>
      <c r="C11650" t="str">
        <v>-</v>
      </c>
      <c r="D11650" t="str">
        <v>-</v>
      </c>
      <c r="E11650" t="str">
        <v/>
      </c>
      <c r="F11650" t="str">
        <v>-</v>
      </c>
      <c r="G11650" t="str">
        <v>-</v>
      </c>
    </row>
    <row r="11651">
      <c r="A11651">
        <v>11650</v>
      </c>
      <c r="B11651" t="str">
        <v>UBND Ủy ban nhân dân thị trấn Yên Cát  tỉnh Thanh Hóa</v>
      </c>
      <c r="C11651" t="str">
        <v>-</v>
      </c>
      <c r="D11651" t="str">
        <v>-</v>
      </c>
      <c r="E11651" t="str">
        <v>-</v>
      </c>
      <c r="F11651" t="str">
        <v>-</v>
      </c>
      <c r="G11651" t="str">
        <v>-</v>
      </c>
    </row>
    <row r="11652">
      <c r="A11652">
        <v>11651</v>
      </c>
      <c r="B11652" t="str">
        <v>Công an xã Bãi Trành  tỉnh Thanh Hóa</v>
      </c>
      <c r="C11652" t="str">
        <v>-</v>
      </c>
      <c r="D11652" t="str">
        <v>-</v>
      </c>
      <c r="E11652" t="str">
        <v/>
      </c>
      <c r="F11652" t="str">
        <v>-</v>
      </c>
      <c r="G11652" t="str">
        <v>-</v>
      </c>
    </row>
    <row r="11653">
      <c r="A11653">
        <v>11652</v>
      </c>
      <c r="B11653" t="str">
        <v>UBND Ủy ban nhân dân xã Bãi Trành  tỉnh Thanh Hóa</v>
      </c>
      <c r="C11653" t="str">
        <v>-</v>
      </c>
      <c r="D11653" t="str">
        <v>-</v>
      </c>
      <c r="E11653" t="str">
        <v>-</v>
      </c>
      <c r="F11653" t="str">
        <v>-</v>
      </c>
      <c r="G11653" t="str">
        <v>-</v>
      </c>
    </row>
    <row r="11654">
      <c r="A11654">
        <v>11653</v>
      </c>
      <c r="B11654" t="str">
        <v>Công an xã Xuân Hòa  tỉnh Thanh Hóa</v>
      </c>
      <c r="C11654" t="str">
        <v>-</v>
      </c>
      <c r="D11654" t="str">
        <v>-</v>
      </c>
      <c r="E11654" t="str">
        <v/>
      </c>
      <c r="F11654" t="str">
        <v>-</v>
      </c>
      <c r="G11654" t="str">
        <v>-</v>
      </c>
    </row>
    <row r="11655">
      <c r="A11655">
        <v>11654</v>
      </c>
      <c r="B11655" t="str">
        <v>UBND Ủy ban nhân dân xã Xuân Hòa  tỉnh Thanh Hóa</v>
      </c>
      <c r="C11655" t="str">
        <v>-</v>
      </c>
      <c r="D11655" t="str">
        <v>-</v>
      </c>
      <c r="E11655" t="str">
        <v>-</v>
      </c>
      <c r="F11655" t="str">
        <v>-</v>
      </c>
      <c r="G11655" t="str">
        <v>-</v>
      </c>
    </row>
    <row r="11656">
      <c r="A11656">
        <v>11655</v>
      </c>
      <c r="B11656" t="str">
        <v>Công an xã Xuân Bình  tỉnh Thanh Hóa</v>
      </c>
      <c r="C11656" t="str">
        <v>-</v>
      </c>
      <c r="D11656" t="str">
        <v>-</v>
      </c>
      <c r="E11656" t="str">
        <v/>
      </c>
      <c r="F11656" t="str">
        <v>-</v>
      </c>
      <c r="G11656" t="str">
        <v>-</v>
      </c>
    </row>
    <row r="11657">
      <c r="A11657">
        <v>11656</v>
      </c>
      <c r="B11657" t="str">
        <v>UBND Ủy ban nhân dân xã Xuân Bình  tỉnh Thanh Hóa</v>
      </c>
      <c r="C11657" t="str">
        <v>-</v>
      </c>
      <c r="D11657" t="str">
        <v>-</v>
      </c>
      <c r="E11657" t="str">
        <v>-</v>
      </c>
      <c r="F11657" t="str">
        <v>-</v>
      </c>
      <c r="G11657" t="str">
        <v>-</v>
      </c>
    </row>
    <row r="11658">
      <c r="A11658">
        <v>11657</v>
      </c>
      <c r="B11658" t="str">
        <v>Công an xã Hóa Quỳ  tỉnh Thanh Hóa</v>
      </c>
      <c r="C11658" t="str">
        <v>-</v>
      </c>
      <c r="D11658" t="str">
        <v>-</v>
      </c>
      <c r="E11658" t="str">
        <v/>
      </c>
      <c r="F11658" t="str">
        <v>-</v>
      </c>
      <c r="G11658" t="str">
        <v>-</v>
      </c>
    </row>
    <row r="11659">
      <c r="A11659">
        <v>11658</v>
      </c>
      <c r="B11659" t="str">
        <v>UBND Ủy ban nhân dân xã Hóa Quỳ  tỉnh Thanh Hóa</v>
      </c>
      <c r="C11659" t="str">
        <v>-</v>
      </c>
      <c r="D11659" t="str">
        <v>-</v>
      </c>
      <c r="E11659" t="str">
        <v>-</v>
      </c>
      <c r="F11659" t="str">
        <v>-</v>
      </c>
      <c r="G11659" t="str">
        <v>-</v>
      </c>
    </row>
    <row r="11660">
      <c r="A11660">
        <v>11659</v>
      </c>
      <c r="B11660" t="str">
        <v>Công an xã Xuân Quỳ  tỉnh Thanh Hóa</v>
      </c>
      <c r="C11660" t="str">
        <v>-</v>
      </c>
      <c r="D11660" t="str">
        <v>-</v>
      </c>
      <c r="E11660" t="str">
        <v/>
      </c>
      <c r="F11660" t="str">
        <v>-</v>
      </c>
      <c r="G11660" t="str">
        <v>-</v>
      </c>
    </row>
    <row r="11661">
      <c r="A11661">
        <v>11660</v>
      </c>
      <c r="B11661" t="str">
        <v>UBND Ủy ban nhân dân xã Xuân Quỳ  tỉnh Thanh Hóa</v>
      </c>
      <c r="C11661" t="str">
        <v>-</v>
      </c>
      <c r="D11661" t="str">
        <v>-</v>
      </c>
      <c r="E11661" t="str">
        <v>-</v>
      </c>
      <c r="F11661" t="str">
        <v>-</v>
      </c>
      <c r="G11661" t="str">
        <v>-</v>
      </c>
    </row>
    <row r="11662">
      <c r="A11662">
        <v>11661</v>
      </c>
      <c r="B11662" t="str">
        <v>Công an xã Yên Lễ  tỉnh Thanh Hóa</v>
      </c>
      <c r="C11662" t="str">
        <v>-</v>
      </c>
      <c r="D11662" t="str">
        <v>-</v>
      </c>
      <c r="E11662" t="str">
        <v/>
      </c>
      <c r="F11662" t="str">
        <v>-</v>
      </c>
      <c r="G11662" t="str">
        <v>-</v>
      </c>
    </row>
    <row r="11663">
      <c r="A11663">
        <v>11662</v>
      </c>
      <c r="B11663" t="str">
        <v>UBND Ủy ban nhân dân xã Yên Lễ  tỉnh Thanh Hóa</v>
      </c>
      <c r="C11663" t="str">
        <v>-</v>
      </c>
      <c r="D11663" t="str">
        <v>-</v>
      </c>
      <c r="E11663" t="str">
        <v>-</v>
      </c>
      <c r="F11663" t="str">
        <v>-</v>
      </c>
      <c r="G11663" t="str">
        <v>-</v>
      </c>
    </row>
    <row r="11664">
      <c r="A11664">
        <v>11663</v>
      </c>
      <c r="B11664" t="str">
        <v>Công an xã Cát Vân  tỉnh Thanh Hóa</v>
      </c>
      <c r="C11664" t="str">
        <v>-</v>
      </c>
      <c r="D11664" t="str">
        <v>-</v>
      </c>
      <c r="E11664" t="str">
        <v/>
      </c>
      <c r="F11664" t="str">
        <v>-</v>
      </c>
      <c r="G11664" t="str">
        <v>-</v>
      </c>
    </row>
    <row r="11665">
      <c r="A11665">
        <v>11664</v>
      </c>
      <c r="B11665" t="str">
        <v>UBND Ủy ban nhân dân xã Cát Vân  tỉnh Thanh Hóa</v>
      </c>
      <c r="C11665" t="str">
        <v>-</v>
      </c>
      <c r="D11665" t="str">
        <v>-</v>
      </c>
      <c r="E11665" t="str">
        <v>-</v>
      </c>
      <c r="F11665" t="str">
        <v>-</v>
      </c>
      <c r="G11665" t="str">
        <v>-</v>
      </c>
    </row>
    <row r="11666">
      <c r="A11666">
        <v>11665</v>
      </c>
      <c r="B11666" t="str">
        <v>Công an xã Cát Tân  tỉnh Thanh Hóa</v>
      </c>
      <c r="C11666" t="str">
        <v>-</v>
      </c>
      <c r="D11666" t="str">
        <v>-</v>
      </c>
      <c r="E11666" t="str">
        <v/>
      </c>
      <c r="F11666" t="str">
        <v>-</v>
      </c>
      <c r="G11666" t="str">
        <v>-</v>
      </c>
    </row>
    <row r="11667">
      <c r="A11667">
        <v>11666</v>
      </c>
      <c r="B11667" t="str">
        <v>UBND Ủy ban nhân dân xã Cát Tân  tỉnh Thanh Hóa</v>
      </c>
      <c r="C11667" t="str">
        <v>-</v>
      </c>
      <c r="D11667" t="str">
        <v>-</v>
      </c>
      <c r="E11667" t="str">
        <v>-</v>
      </c>
      <c r="F11667" t="str">
        <v>-</v>
      </c>
      <c r="G11667" t="str">
        <v>-</v>
      </c>
    </row>
    <row r="11668">
      <c r="A11668">
        <v>11667</v>
      </c>
      <c r="B11668" t="str">
        <v>Công an xã Tân Bình  tỉnh Thanh Hóa</v>
      </c>
      <c r="C11668" t="str">
        <v>-</v>
      </c>
      <c r="D11668" t="str">
        <v>-</v>
      </c>
      <c r="E11668" t="str">
        <v/>
      </c>
      <c r="F11668" t="str">
        <v>-</v>
      </c>
      <c r="G11668" t="str">
        <v>-</v>
      </c>
    </row>
    <row r="11669">
      <c r="A11669">
        <v>11668</v>
      </c>
      <c r="B11669" t="str">
        <v>UBND Ủy ban nhân dân xã Tân Bình  tỉnh Thanh Hóa</v>
      </c>
      <c r="C11669" t="str">
        <v>-</v>
      </c>
      <c r="D11669" t="str">
        <v>-</v>
      </c>
      <c r="E11669" t="str">
        <v>-</v>
      </c>
      <c r="F11669" t="str">
        <v>-</v>
      </c>
      <c r="G11669" t="str">
        <v>-</v>
      </c>
    </row>
    <row r="11670">
      <c r="A11670">
        <v>11669</v>
      </c>
      <c r="B11670" t="str">
        <v>Công an xã Bình Lương  tỉnh Thanh Hóa</v>
      </c>
      <c r="C11670" t="str">
        <v>-</v>
      </c>
      <c r="D11670" t="str">
        <v>-</v>
      </c>
      <c r="E11670" t="str">
        <v/>
      </c>
      <c r="F11670" t="str">
        <v>-</v>
      </c>
      <c r="G11670" t="str">
        <v>-</v>
      </c>
    </row>
    <row r="11671">
      <c r="A11671">
        <v>11670</v>
      </c>
      <c r="B11671" t="str">
        <v>UBND Ủy ban nhân dân xã Bình Lương  tỉnh Thanh Hóa</v>
      </c>
      <c r="C11671" t="str">
        <v>-</v>
      </c>
      <c r="D11671" t="str">
        <v>-</v>
      </c>
      <c r="E11671" t="str">
        <v>-</v>
      </c>
      <c r="F11671" t="str">
        <v>-</v>
      </c>
      <c r="G11671" t="str">
        <v>-</v>
      </c>
    </row>
    <row r="11672">
      <c r="A11672">
        <v>11671</v>
      </c>
      <c r="B11672" t="str">
        <v>Công an xã Thanh Quân  tỉnh Thanh Hóa</v>
      </c>
      <c r="C11672" t="str">
        <v>-</v>
      </c>
      <c r="D11672" t="str">
        <v>-</v>
      </c>
      <c r="E11672" t="str">
        <v/>
      </c>
      <c r="F11672" t="str">
        <v>-</v>
      </c>
      <c r="G11672" t="str">
        <v>-</v>
      </c>
    </row>
    <row r="11673">
      <c r="A11673">
        <v>11672</v>
      </c>
      <c r="B11673" t="str">
        <v>UBND Ủy ban nhân dân xã Thanh Quân  tỉnh Thanh Hóa</v>
      </c>
      <c r="C11673" t="str">
        <v>-</v>
      </c>
      <c r="D11673" t="str">
        <v>-</v>
      </c>
      <c r="E11673" t="str">
        <v>-</v>
      </c>
      <c r="F11673" t="str">
        <v>-</v>
      </c>
      <c r="G11673" t="str">
        <v>-</v>
      </c>
    </row>
    <row r="11674">
      <c r="A11674">
        <v>11673</v>
      </c>
      <c r="B11674" t="str">
        <v>Công an xã Thanh Xuân  tỉnh Thanh Hóa</v>
      </c>
      <c r="C11674" t="str">
        <v>-</v>
      </c>
      <c r="D11674" t="str">
        <v>-</v>
      </c>
      <c r="E11674" t="str">
        <v/>
      </c>
      <c r="F11674" t="str">
        <v>-</v>
      </c>
      <c r="G11674" t="str">
        <v>-</v>
      </c>
    </row>
    <row r="11675">
      <c r="A11675">
        <v>11674</v>
      </c>
      <c r="B11675" t="str">
        <v>UBND Ủy ban nhân dân xã Thanh Xuân  tỉnh Thanh Hóa</v>
      </c>
      <c r="C11675" t="str">
        <v>-</v>
      </c>
      <c r="D11675" t="str">
        <v>-</v>
      </c>
      <c r="E11675" t="str">
        <v>-</v>
      </c>
      <c r="F11675" t="str">
        <v>-</v>
      </c>
      <c r="G11675" t="str">
        <v>-</v>
      </c>
    </row>
    <row r="11676">
      <c r="A11676">
        <v>11675</v>
      </c>
      <c r="B11676" t="str">
        <v>Công an xã Thanh Hòa  tỉnh Thanh Hóa</v>
      </c>
      <c r="C11676" t="str">
        <v>-</v>
      </c>
      <c r="D11676" t="str">
        <v>-</v>
      </c>
      <c r="E11676" t="str">
        <v/>
      </c>
      <c r="F11676" t="str">
        <v>-</v>
      </c>
      <c r="G11676" t="str">
        <v>-</v>
      </c>
    </row>
    <row r="11677">
      <c r="A11677">
        <v>11676</v>
      </c>
      <c r="B11677" t="str">
        <v>UBND Ủy ban nhân dân xã Thanh Hòa  tỉnh Thanh Hóa</v>
      </c>
      <c r="C11677" t="str">
        <v>-</v>
      </c>
      <c r="D11677" t="str">
        <v>-</v>
      </c>
      <c r="E11677" t="str">
        <v>-</v>
      </c>
      <c r="F11677" t="str">
        <v>-</v>
      </c>
      <c r="G11677" t="str">
        <v>-</v>
      </c>
    </row>
    <row r="11678">
      <c r="A11678">
        <v>11677</v>
      </c>
      <c r="B11678" t="str">
        <v>Công an xã Thanh Phong  tỉnh Thanh Hóa</v>
      </c>
      <c r="C11678" t="str">
        <v>-</v>
      </c>
      <c r="D11678" t="str">
        <v>-</v>
      </c>
      <c r="E11678" t="str">
        <v/>
      </c>
      <c r="F11678" t="str">
        <v>-</v>
      </c>
      <c r="G11678" t="str">
        <v>-</v>
      </c>
    </row>
    <row r="11679">
      <c r="A11679">
        <v>11678</v>
      </c>
      <c r="B11679" t="str">
        <v>UBND Ủy ban nhân dân xã Thanh Phong  tỉnh Thanh Hóa</v>
      </c>
      <c r="C11679" t="str">
        <v>-</v>
      </c>
      <c r="D11679" t="str">
        <v>-</v>
      </c>
      <c r="E11679" t="str">
        <v>-</v>
      </c>
      <c r="F11679" t="str">
        <v>-</v>
      </c>
      <c r="G11679" t="str">
        <v>-</v>
      </c>
    </row>
    <row r="11680">
      <c r="A11680">
        <v>11679</v>
      </c>
      <c r="B11680" t="str">
        <v>Công an xã Thanh Lâm  tỉnh Thanh Hóa</v>
      </c>
      <c r="C11680" t="str">
        <v>-</v>
      </c>
      <c r="D11680" t="str">
        <v>-</v>
      </c>
      <c r="E11680" t="str">
        <v/>
      </c>
      <c r="F11680" t="str">
        <v>-</v>
      </c>
      <c r="G11680" t="str">
        <v>-</v>
      </c>
    </row>
    <row r="11681">
      <c r="A11681">
        <v>11680</v>
      </c>
      <c r="B11681" t="str">
        <v>UBND Ủy ban nhân dân xã Thanh Lâm  tỉnh Thanh Hóa</v>
      </c>
      <c r="C11681" t="str">
        <v>-</v>
      </c>
      <c r="D11681" t="str">
        <v>-</v>
      </c>
      <c r="E11681" t="str">
        <v>-</v>
      </c>
      <c r="F11681" t="str">
        <v>-</v>
      </c>
      <c r="G11681" t="str">
        <v>-</v>
      </c>
    </row>
    <row r="11682">
      <c r="A11682">
        <v>11681</v>
      </c>
      <c r="B11682" t="str">
        <v>Công an xã Thanh Sơn  tỉnh Thanh Hóa</v>
      </c>
      <c r="C11682" t="str">
        <v>-</v>
      </c>
      <c r="D11682" t="str">
        <v>-</v>
      </c>
      <c r="E11682" t="str">
        <v/>
      </c>
      <c r="F11682" t="str">
        <v>-</v>
      </c>
      <c r="G11682" t="str">
        <v>-</v>
      </c>
    </row>
    <row r="11683">
      <c r="A11683">
        <v>11682</v>
      </c>
      <c r="B11683" t="str">
        <v>UBND Ủy ban nhân dân xã Thanh Sơn  tỉnh Thanh Hóa</v>
      </c>
      <c r="C11683" t="str">
        <v>-</v>
      </c>
      <c r="D11683" t="str">
        <v>-</v>
      </c>
      <c r="E11683" t="str">
        <v>-</v>
      </c>
      <c r="F11683" t="str">
        <v>-</v>
      </c>
      <c r="G11683" t="str">
        <v>-</v>
      </c>
    </row>
    <row r="11684">
      <c r="A11684">
        <v>11683</v>
      </c>
      <c r="B11684" t="str">
        <v>Công an xã Thượng Ninh  tỉnh Thanh Hóa</v>
      </c>
      <c r="C11684" t="str">
        <v>-</v>
      </c>
      <c r="D11684" t="str">
        <v>-</v>
      </c>
      <c r="E11684" t="str">
        <v/>
      </c>
      <c r="F11684" t="str">
        <v>-</v>
      </c>
      <c r="G11684" t="str">
        <v>-</v>
      </c>
    </row>
    <row r="11685">
      <c r="A11685">
        <v>11684</v>
      </c>
      <c r="B11685" t="str">
        <v>UBND Ủy ban nhân dân xã Thượng Ninh  tỉnh Thanh Hóa</v>
      </c>
      <c r="C11685" t="str">
        <v>-</v>
      </c>
      <c r="D11685" t="str">
        <v>-</v>
      </c>
      <c r="E11685" t="str">
        <v>-</v>
      </c>
      <c r="F11685" t="str">
        <v>-</v>
      </c>
      <c r="G11685" t="str">
        <v>-</v>
      </c>
    </row>
    <row r="11686">
      <c r="A11686">
        <v>11685</v>
      </c>
      <c r="B11686" t="str">
        <v>Công an thị trấn Bến Sung  tỉnh Thanh Hóa</v>
      </c>
      <c r="C11686" t="str">
        <v>-</v>
      </c>
      <c r="D11686" t="str">
        <v>-</v>
      </c>
      <c r="E11686" t="str">
        <v/>
      </c>
      <c r="F11686" t="str">
        <v>-</v>
      </c>
      <c r="G11686" t="str">
        <v>-</v>
      </c>
    </row>
    <row r="11687">
      <c r="A11687">
        <v>11686</v>
      </c>
      <c r="B11687" t="str">
        <v>UBND Ủy ban nhân dân thị trấn Bến Sung  tỉnh Thanh Hóa</v>
      </c>
      <c r="C11687" t="str">
        <v>-</v>
      </c>
      <c r="D11687" t="str">
        <v>-</v>
      </c>
      <c r="E11687" t="str">
        <v>-</v>
      </c>
      <c r="F11687" t="str">
        <v>-</v>
      </c>
      <c r="G11687" t="str">
        <v>-</v>
      </c>
    </row>
    <row r="11688">
      <c r="A11688">
        <v>11687</v>
      </c>
      <c r="B11688" t="str">
        <v>Công an xã Cán Khê  tỉnh Thanh Hóa</v>
      </c>
      <c r="C11688" t="str">
        <v>-</v>
      </c>
      <c r="D11688" t="str">
        <v>-</v>
      </c>
      <c r="E11688" t="str">
        <v/>
      </c>
      <c r="F11688" t="str">
        <v>-</v>
      </c>
      <c r="G11688" t="str">
        <v>-</v>
      </c>
    </row>
    <row r="11689">
      <c r="A11689">
        <v>11688</v>
      </c>
      <c r="B11689" t="str">
        <v>UBND Ủy ban nhân dân xã Cán Khê  tỉnh Thanh Hóa</v>
      </c>
      <c r="C11689" t="str">
        <v>-</v>
      </c>
      <c r="D11689" t="str">
        <v>-</v>
      </c>
      <c r="E11689" t="str">
        <v>-</v>
      </c>
      <c r="F11689" t="str">
        <v>-</v>
      </c>
      <c r="G11689" t="str">
        <v>-</v>
      </c>
    </row>
    <row r="11690">
      <c r="A11690">
        <v>11689</v>
      </c>
      <c r="B11690" t="str">
        <v>Công an xã Xuân Du  tỉnh Thanh Hóa</v>
      </c>
      <c r="C11690" t="str">
        <v>-</v>
      </c>
      <c r="D11690" t="str">
        <v>-</v>
      </c>
      <c r="E11690" t="str">
        <v/>
      </c>
      <c r="F11690" t="str">
        <v>-</v>
      </c>
      <c r="G11690" t="str">
        <v>-</v>
      </c>
    </row>
    <row r="11691">
      <c r="A11691">
        <v>11690</v>
      </c>
      <c r="B11691" t="str">
        <v>UBND Ủy ban nhân dân xã Xuân Du  tỉnh Thanh Hóa</v>
      </c>
      <c r="C11691" t="str">
        <v>-</v>
      </c>
      <c r="D11691" t="str">
        <v>-</v>
      </c>
      <c r="E11691" t="str">
        <v>-</v>
      </c>
      <c r="F11691" t="str">
        <v>-</v>
      </c>
      <c r="G11691" t="str">
        <v>-</v>
      </c>
    </row>
    <row r="11692">
      <c r="A11692">
        <v>11691</v>
      </c>
      <c r="B11692" t="str">
        <v>Công an xã Xuân Thọ  tỉnh Thanh Hóa</v>
      </c>
      <c r="C11692" t="str">
        <v>-</v>
      </c>
      <c r="D11692" t="str">
        <v>-</v>
      </c>
      <c r="E11692" t="str">
        <v/>
      </c>
      <c r="F11692" t="str">
        <v>-</v>
      </c>
      <c r="G11692" t="str">
        <v>-</v>
      </c>
    </row>
    <row r="11693">
      <c r="A11693">
        <v>11692</v>
      </c>
      <c r="B11693" t="str">
        <v>UBND Ủy ban nhân dân xã Xuân Thọ  tỉnh Thanh Hóa</v>
      </c>
      <c r="C11693" t="str">
        <v>-</v>
      </c>
      <c r="D11693" t="str">
        <v>-</v>
      </c>
      <c r="E11693" t="str">
        <v>-</v>
      </c>
      <c r="F11693" t="str">
        <v>-</v>
      </c>
      <c r="G11693" t="str">
        <v>-</v>
      </c>
    </row>
    <row r="11694">
      <c r="A11694">
        <v>11693</v>
      </c>
      <c r="B11694" t="str">
        <v>Công an xã Phượng Nghi  tỉnh Thanh Hóa</v>
      </c>
      <c r="C11694" t="str">
        <v>-</v>
      </c>
      <c r="D11694" t="str">
        <v>-</v>
      </c>
      <c r="E11694" t="str">
        <v/>
      </c>
      <c r="F11694" t="str">
        <v>-</v>
      </c>
      <c r="G11694" t="str">
        <v>-</v>
      </c>
    </row>
    <row r="11695">
      <c r="A11695">
        <v>11694</v>
      </c>
      <c r="B11695" t="str">
        <v>UBND Ủy ban nhân dân xã Phượng Nghi  tỉnh Thanh Hóa</v>
      </c>
      <c r="C11695" t="str">
        <v>-</v>
      </c>
      <c r="D11695" t="str">
        <v>-</v>
      </c>
      <c r="E11695" t="str">
        <v>-</v>
      </c>
      <c r="F11695" t="str">
        <v>-</v>
      </c>
      <c r="G11695" t="str">
        <v>-</v>
      </c>
    </row>
    <row r="11696">
      <c r="A11696">
        <v>11695</v>
      </c>
      <c r="B11696" t="str">
        <v>Công an xã Mậu Lâm  tỉnh Thanh Hóa</v>
      </c>
      <c r="C11696" t="str">
        <v>-</v>
      </c>
      <c r="D11696" t="str">
        <v>-</v>
      </c>
      <c r="E11696" t="str">
        <v/>
      </c>
      <c r="F11696" t="str">
        <v>-</v>
      </c>
      <c r="G11696" t="str">
        <v>-</v>
      </c>
    </row>
    <row r="11697">
      <c r="A11697">
        <v>11696</v>
      </c>
      <c r="B11697" t="str">
        <v>UBND Ủy ban nhân dân xã Mậu Lâm  tỉnh Thanh Hóa</v>
      </c>
      <c r="C11697" t="str">
        <v>-</v>
      </c>
      <c r="D11697" t="str">
        <v>-</v>
      </c>
      <c r="E11697" t="str">
        <v>-</v>
      </c>
      <c r="F11697" t="str">
        <v>-</v>
      </c>
      <c r="G11697" t="str">
        <v>-</v>
      </c>
    </row>
    <row r="11698">
      <c r="A11698">
        <v>11697</v>
      </c>
      <c r="B11698" t="str">
        <v>Công an xã Xuân Khang  tỉnh Thanh Hóa</v>
      </c>
      <c r="C11698" t="str">
        <v>-</v>
      </c>
      <c r="D11698" t="str">
        <v>-</v>
      </c>
      <c r="E11698" t="str">
        <v/>
      </c>
      <c r="F11698" t="str">
        <v>-</v>
      </c>
      <c r="G11698" t="str">
        <v>-</v>
      </c>
    </row>
    <row r="11699">
      <c r="A11699">
        <v>11698</v>
      </c>
      <c r="B11699" t="str">
        <v>UBND Ủy ban nhân dân xã Xuân Khang  tỉnh Thanh Hóa</v>
      </c>
      <c r="C11699" t="str">
        <v>-</v>
      </c>
      <c r="D11699" t="str">
        <v>-</v>
      </c>
      <c r="E11699" t="str">
        <v>-</v>
      </c>
      <c r="F11699" t="str">
        <v>-</v>
      </c>
      <c r="G11699" t="str">
        <v>-</v>
      </c>
    </row>
    <row r="11700">
      <c r="A11700">
        <v>11699</v>
      </c>
      <c r="B11700" t="str">
        <v>Công an xã Phú Nhuận  tỉnh Thanh Hóa</v>
      </c>
      <c r="C11700" t="str">
        <v>-</v>
      </c>
      <c r="D11700" t="str">
        <v>-</v>
      </c>
      <c r="E11700" t="str">
        <v/>
      </c>
      <c r="F11700" t="str">
        <v>-</v>
      </c>
      <c r="G11700" t="str">
        <v>-</v>
      </c>
    </row>
    <row r="11701">
      <c r="A11701">
        <v>11700</v>
      </c>
      <c r="B11701" t="str">
        <v>UBND Ủy ban nhân dân xã Phú Nhuận  tỉnh Thanh Hóa</v>
      </c>
      <c r="C11701" t="str">
        <v>-</v>
      </c>
      <c r="D11701" t="str">
        <v>-</v>
      </c>
      <c r="E11701" t="str">
        <v>-</v>
      </c>
      <c r="F11701" t="str">
        <v>-</v>
      </c>
      <c r="G11701" t="str">
        <v>-</v>
      </c>
    </row>
    <row r="11702">
      <c r="A11702">
        <v>11701</v>
      </c>
      <c r="B11702" t="str">
        <v>Công an xã Hải Long  tỉnh Thanh Hóa</v>
      </c>
      <c r="C11702" t="str">
        <v>-</v>
      </c>
      <c r="D11702" t="str">
        <v>-</v>
      </c>
      <c r="E11702" t="str">
        <v/>
      </c>
      <c r="F11702" t="str">
        <v>-</v>
      </c>
      <c r="G11702" t="str">
        <v>-</v>
      </c>
    </row>
    <row r="11703">
      <c r="A11703">
        <v>11702</v>
      </c>
      <c r="B11703" t="str">
        <v>UBND Ủy ban nhân dân xã Hải Long  tỉnh Thanh Hóa</v>
      </c>
      <c r="C11703" t="str">
        <v>-</v>
      </c>
      <c r="D11703" t="str">
        <v>-</v>
      </c>
      <c r="E11703" t="str">
        <v>-</v>
      </c>
      <c r="F11703" t="str">
        <v>-</v>
      </c>
      <c r="G11703" t="str">
        <v>-</v>
      </c>
    </row>
    <row r="11704">
      <c r="A11704">
        <v>11703</v>
      </c>
      <c r="B11704" t="str">
        <v>Công an xã Hải Vân  tỉnh Thanh Hóa</v>
      </c>
      <c r="C11704" t="str">
        <v>-</v>
      </c>
      <c r="D11704" t="str">
        <v>-</v>
      </c>
      <c r="E11704" t="str">
        <v/>
      </c>
      <c r="F11704" t="str">
        <v>-</v>
      </c>
      <c r="G11704" t="str">
        <v>-</v>
      </c>
    </row>
    <row r="11705">
      <c r="A11705">
        <v>11704</v>
      </c>
      <c r="B11705" t="str">
        <v>UBND Ủy ban nhân dân xã Hải Vân  tỉnh Thanh Hóa</v>
      </c>
      <c r="C11705" t="str">
        <v>-</v>
      </c>
      <c r="D11705" t="str">
        <v>-</v>
      </c>
      <c r="E11705" t="str">
        <v>-</v>
      </c>
      <c r="F11705" t="str">
        <v>-</v>
      </c>
      <c r="G11705" t="str">
        <v>-</v>
      </c>
    </row>
    <row r="11706">
      <c r="A11706">
        <v>11705</v>
      </c>
      <c r="B11706" t="str">
        <v>Công an xã Xuân Thái  tỉnh Thanh Hóa</v>
      </c>
      <c r="C11706" t="str">
        <v>-</v>
      </c>
      <c r="D11706" t="str">
        <v>-</v>
      </c>
      <c r="E11706" t="str">
        <v/>
      </c>
      <c r="F11706" t="str">
        <v>-</v>
      </c>
      <c r="G11706" t="str">
        <v>-</v>
      </c>
    </row>
    <row r="11707">
      <c r="A11707">
        <v>11706</v>
      </c>
      <c r="B11707" t="str">
        <v>UBND Ủy ban nhân dân xã Xuân Thái  tỉnh Thanh Hóa</v>
      </c>
      <c r="C11707" t="str">
        <v>-</v>
      </c>
      <c r="D11707" t="str">
        <v>-</v>
      </c>
      <c r="E11707" t="str">
        <v>-</v>
      </c>
      <c r="F11707" t="str">
        <v>-</v>
      </c>
      <c r="G11707" t="str">
        <v>-</v>
      </c>
    </row>
    <row r="11708">
      <c r="A11708">
        <v>11707</v>
      </c>
      <c r="B11708" t="str">
        <v>Công an xã Xuân Phúc  tỉnh Thanh Hóa</v>
      </c>
      <c r="C11708" t="str">
        <v>-</v>
      </c>
      <c r="D11708" t="str">
        <v>-</v>
      </c>
      <c r="E11708" t="str">
        <v/>
      </c>
      <c r="F11708" t="str">
        <v>-</v>
      </c>
      <c r="G11708" t="str">
        <v>-</v>
      </c>
    </row>
    <row r="11709">
      <c r="A11709">
        <v>11708</v>
      </c>
      <c r="B11709" t="str">
        <v>UBND Ủy ban nhân dân xã Xuân Phúc  tỉnh Thanh Hóa</v>
      </c>
      <c r="C11709" t="str">
        <v>-</v>
      </c>
      <c r="D11709" t="str">
        <v>-</v>
      </c>
      <c r="E11709" t="str">
        <v>-</v>
      </c>
      <c r="F11709" t="str">
        <v>-</v>
      </c>
      <c r="G11709" t="str">
        <v>-</v>
      </c>
    </row>
    <row r="11710">
      <c r="A11710">
        <v>11709</v>
      </c>
      <c r="B11710" t="str">
        <v>Công an xã Yên Thọ  tỉnh Thanh Hóa</v>
      </c>
      <c r="C11710" t="str">
        <v>-</v>
      </c>
      <c r="D11710" t="str">
        <v>-</v>
      </c>
      <c r="E11710" t="str">
        <v/>
      </c>
      <c r="F11710" t="str">
        <v>-</v>
      </c>
      <c r="G11710" t="str">
        <v>-</v>
      </c>
    </row>
    <row r="11711">
      <c r="A11711">
        <v>11710</v>
      </c>
      <c r="B11711" t="str">
        <v>UBND Ủy ban nhân dân xã Yên Thọ  tỉnh Thanh Hóa</v>
      </c>
      <c r="C11711" t="str">
        <v>-</v>
      </c>
      <c r="D11711" t="str">
        <v>-</v>
      </c>
      <c r="E11711" t="str">
        <v>-</v>
      </c>
      <c r="F11711" t="str">
        <v>-</v>
      </c>
      <c r="G11711" t="str">
        <v>-</v>
      </c>
    </row>
    <row r="11712">
      <c r="A11712">
        <v>11711</v>
      </c>
      <c r="B11712" t="str">
        <v>Công an xã Yên Lạc  tỉnh Thanh Hóa</v>
      </c>
      <c r="C11712" t="str">
        <v>-</v>
      </c>
      <c r="D11712" t="str">
        <v>-</v>
      </c>
      <c r="E11712" t="str">
        <v/>
      </c>
      <c r="F11712" t="str">
        <v>-</v>
      </c>
      <c r="G11712" t="str">
        <v>-</v>
      </c>
    </row>
    <row r="11713">
      <c r="A11713">
        <v>11712</v>
      </c>
      <c r="B11713" t="str">
        <v>UBND Ủy ban nhân dân xã Yên Lạc  tỉnh Thanh Hóa</v>
      </c>
      <c r="C11713" t="str">
        <v>-</v>
      </c>
      <c r="D11713" t="str">
        <v>-</v>
      </c>
      <c r="E11713" t="str">
        <v>-</v>
      </c>
      <c r="F11713" t="str">
        <v>-</v>
      </c>
      <c r="G11713" t="str">
        <v>-</v>
      </c>
    </row>
    <row r="11714">
      <c r="A11714">
        <v>11713</v>
      </c>
      <c r="B11714" t="str">
        <v>Công an xã Phúc Đường  tỉnh Thanh Hóa</v>
      </c>
      <c r="C11714" t="str">
        <v>-</v>
      </c>
      <c r="D11714" t="str">
        <v>-</v>
      </c>
      <c r="E11714" t="str">
        <v/>
      </c>
      <c r="F11714" t="str">
        <v>-</v>
      </c>
      <c r="G11714" t="str">
        <v>-</v>
      </c>
    </row>
    <row r="11715">
      <c r="A11715">
        <v>11714</v>
      </c>
      <c r="B11715" t="str">
        <v>UBND Ủy ban nhân dân xã Phúc Đường  tỉnh Thanh Hóa</v>
      </c>
      <c r="C11715" t="str">
        <v>-</v>
      </c>
      <c r="D11715" t="str">
        <v>-</v>
      </c>
      <c r="E11715" t="str">
        <v>-</v>
      </c>
      <c r="F11715" t="str">
        <v>-</v>
      </c>
      <c r="G11715" t="str">
        <v>-</v>
      </c>
    </row>
    <row r="11716">
      <c r="A11716">
        <v>11715</v>
      </c>
      <c r="B11716" t="str">
        <v>Công an xã Thanh Tân  tỉnh Thanh Hóa</v>
      </c>
      <c r="C11716" t="str">
        <v>-</v>
      </c>
      <c r="D11716" t="str">
        <v>-</v>
      </c>
      <c r="E11716" t="str">
        <v/>
      </c>
      <c r="F11716" t="str">
        <v>-</v>
      </c>
      <c r="G11716" t="str">
        <v>-</v>
      </c>
    </row>
    <row r="11717">
      <c r="A11717">
        <v>11716</v>
      </c>
      <c r="B11717" t="str">
        <v>UBND Ủy ban nhân dân xã Thanh Tân  tỉnh Thanh Hóa</v>
      </c>
      <c r="C11717" t="str">
        <v>-</v>
      </c>
      <c r="D11717" t="str">
        <v>-</v>
      </c>
      <c r="E11717" t="str">
        <v>-</v>
      </c>
      <c r="F11717" t="str">
        <v>-</v>
      </c>
      <c r="G11717" t="str">
        <v>-</v>
      </c>
    </row>
    <row r="11718">
      <c r="A11718">
        <v>11717</v>
      </c>
      <c r="B11718" t="str">
        <v>Công an xã Thanh Kỳ  tỉnh Thanh Hóa</v>
      </c>
      <c r="C11718" t="str">
        <v>-</v>
      </c>
      <c r="D11718" t="str">
        <v>-</v>
      </c>
      <c r="E11718" t="str">
        <v/>
      </c>
      <c r="F11718" t="str">
        <v>-</v>
      </c>
      <c r="G11718" t="str">
        <v>-</v>
      </c>
    </row>
    <row r="11719">
      <c r="A11719">
        <v>11718</v>
      </c>
      <c r="B11719" t="str">
        <v>UBND Ủy ban nhân dân xã Thanh Kỳ  tỉnh Thanh Hóa</v>
      </c>
      <c r="C11719" t="str">
        <v>-</v>
      </c>
      <c r="D11719" t="str">
        <v>-</v>
      </c>
      <c r="E11719" t="str">
        <v>-</v>
      </c>
      <c r="F11719" t="str">
        <v>-</v>
      </c>
      <c r="G11719" t="str">
        <v>-</v>
      </c>
    </row>
    <row r="11720">
      <c r="A11720">
        <v>11719</v>
      </c>
      <c r="B11720" t="str">
        <v>Công an thị trấn Nông Cống  tỉnh Thanh Hóa</v>
      </c>
      <c r="C11720" t="str">
        <v>-</v>
      </c>
      <c r="D11720" t="str">
        <v>-</v>
      </c>
      <c r="E11720" t="str">
        <v/>
      </c>
      <c r="F11720" t="str">
        <v>-</v>
      </c>
      <c r="G11720" t="str">
        <v>-</v>
      </c>
    </row>
    <row r="11721">
      <c r="A11721">
        <v>11720</v>
      </c>
      <c r="B11721" t="str">
        <v>UBND Ủy ban nhân dân thị trấn Nông Cống  tỉnh Thanh Hóa</v>
      </c>
      <c r="C11721" t="str">
        <v>-</v>
      </c>
      <c r="D11721" t="str">
        <v>-</v>
      </c>
      <c r="E11721" t="str">
        <v>-</v>
      </c>
      <c r="F11721" t="str">
        <v>-</v>
      </c>
      <c r="G11721" t="str">
        <v>-</v>
      </c>
    </row>
    <row r="11722">
      <c r="A11722">
        <v>11721</v>
      </c>
      <c r="B11722" t="str">
        <v>Công an xã Tân Phúc  tỉnh Thanh Hóa</v>
      </c>
      <c r="C11722" t="str">
        <v>-</v>
      </c>
      <c r="D11722" t="str">
        <v>-</v>
      </c>
      <c r="E11722" t="str">
        <v/>
      </c>
      <c r="F11722" t="str">
        <v>-</v>
      </c>
      <c r="G11722" t="str">
        <v>-</v>
      </c>
    </row>
    <row r="11723">
      <c r="A11723">
        <v>11722</v>
      </c>
      <c r="B11723" t="str">
        <v>UBND Ủy ban nhân dân xã Tân Phúc  tỉnh Thanh Hóa</v>
      </c>
      <c r="C11723" t="str">
        <v>-</v>
      </c>
      <c r="D11723" t="str">
        <v>-</v>
      </c>
      <c r="E11723" t="str">
        <v>-</v>
      </c>
      <c r="F11723" t="str">
        <v>-</v>
      </c>
      <c r="G11723" t="str">
        <v>-</v>
      </c>
    </row>
    <row r="11724">
      <c r="A11724">
        <v>11723</v>
      </c>
      <c r="B11724" t="str">
        <v>Công an xã Tân Thọ  tỉnh Thanh Hóa</v>
      </c>
      <c r="C11724" t="str">
        <v>-</v>
      </c>
      <c r="D11724" t="str">
        <v>-</v>
      </c>
      <c r="E11724" t="str">
        <v/>
      </c>
      <c r="F11724" t="str">
        <v>-</v>
      </c>
      <c r="G11724" t="str">
        <v>-</v>
      </c>
    </row>
    <row r="11725">
      <c r="A11725">
        <v>11724</v>
      </c>
      <c r="B11725" t="str">
        <v>UBND Ủy ban nhân dân xã Tân Thọ  tỉnh Thanh Hóa</v>
      </c>
      <c r="C11725" t="str">
        <v>-</v>
      </c>
      <c r="D11725" t="str">
        <v>-</v>
      </c>
      <c r="E11725" t="str">
        <v>-</v>
      </c>
      <c r="F11725" t="str">
        <v>-</v>
      </c>
      <c r="G11725" t="str">
        <v>-</v>
      </c>
    </row>
    <row r="11726">
      <c r="A11726">
        <v>11725</v>
      </c>
      <c r="B11726" t="str">
        <v>Công an xã Hoàng Sơn  tỉnh Thanh Hóa</v>
      </c>
      <c r="C11726" t="str">
        <v>-</v>
      </c>
      <c r="D11726" t="str">
        <v>-</v>
      </c>
      <c r="E11726" t="str">
        <v/>
      </c>
      <c r="F11726" t="str">
        <v>-</v>
      </c>
      <c r="G11726" t="str">
        <v>-</v>
      </c>
    </row>
    <row r="11727">
      <c r="A11727">
        <v>11726</v>
      </c>
      <c r="B11727" t="str">
        <v>UBND Ủy ban nhân dân xã Hoàng Sơn  tỉnh Thanh Hóa</v>
      </c>
      <c r="C11727" t="str">
        <v>-</v>
      </c>
      <c r="D11727" t="str">
        <v>-</v>
      </c>
      <c r="E11727" t="str">
        <v>-</v>
      </c>
      <c r="F11727" t="str">
        <v>-</v>
      </c>
      <c r="G11727" t="str">
        <v>-</v>
      </c>
    </row>
    <row r="11728">
      <c r="A11728">
        <v>11727</v>
      </c>
      <c r="B11728" t="str">
        <v>Công an xã Tân Khang  tỉnh Thanh Hóa</v>
      </c>
      <c r="C11728" t="str">
        <v>-</v>
      </c>
      <c r="D11728" t="str">
        <v>-</v>
      </c>
      <c r="E11728" t="str">
        <v/>
      </c>
      <c r="F11728" t="str">
        <v>-</v>
      </c>
      <c r="G11728" t="str">
        <v>-</v>
      </c>
    </row>
    <row r="11729">
      <c r="A11729">
        <v>11728</v>
      </c>
      <c r="B11729" t="str">
        <v>UBND Ủy ban nhân dân xã Tân Khang  tỉnh Thanh Hóa</v>
      </c>
      <c r="C11729" t="str">
        <v>-</v>
      </c>
      <c r="D11729" t="str">
        <v>-</v>
      </c>
      <c r="E11729" t="str">
        <v>-</v>
      </c>
      <c r="F11729" t="str">
        <v>-</v>
      </c>
      <c r="G11729" t="str">
        <v>-</v>
      </c>
    </row>
    <row r="11730">
      <c r="A11730">
        <v>11729</v>
      </c>
      <c r="B11730" t="str">
        <v>Công an xã Hoàng Giang  tỉnh Thanh Hóa</v>
      </c>
      <c r="C11730" t="str">
        <v>-</v>
      </c>
      <c r="D11730" t="str">
        <v>-</v>
      </c>
      <c r="E11730" t="str">
        <v/>
      </c>
      <c r="F11730" t="str">
        <v>-</v>
      </c>
      <c r="G11730" t="str">
        <v>-</v>
      </c>
    </row>
    <row r="11731">
      <c r="A11731">
        <v>11730</v>
      </c>
      <c r="B11731" t="str">
        <v>UBND Ủy ban nhân dân xã Hoàng Giang  tỉnh Thanh Hóa</v>
      </c>
      <c r="C11731" t="str">
        <v>-</v>
      </c>
      <c r="D11731" t="str">
        <v>-</v>
      </c>
      <c r="E11731" t="str">
        <v>-</v>
      </c>
      <c r="F11731" t="str">
        <v>-</v>
      </c>
      <c r="G11731" t="str">
        <v>-</v>
      </c>
    </row>
    <row r="11732">
      <c r="A11732">
        <v>11731</v>
      </c>
      <c r="B11732" t="str">
        <v>Công an xã Trung Chính  tỉnh Thanh Hóa</v>
      </c>
      <c r="C11732" t="str">
        <v>-</v>
      </c>
      <c r="D11732" t="str">
        <v>-</v>
      </c>
      <c r="E11732" t="str">
        <v/>
      </c>
      <c r="F11732" t="str">
        <v>-</v>
      </c>
      <c r="G11732" t="str">
        <v>-</v>
      </c>
    </row>
    <row r="11733">
      <c r="A11733">
        <v>11732</v>
      </c>
      <c r="B11733" t="str">
        <v>UBND Ủy ban nhân dân xã Trung Chính  tỉnh Thanh Hóa</v>
      </c>
      <c r="C11733" t="str">
        <v>-</v>
      </c>
      <c r="D11733" t="str">
        <v>-</v>
      </c>
      <c r="E11733" t="str">
        <v>-</v>
      </c>
      <c r="F11733" t="str">
        <v>-</v>
      </c>
      <c r="G11733" t="str">
        <v>-</v>
      </c>
    </row>
    <row r="11734">
      <c r="A11734">
        <v>11733</v>
      </c>
      <c r="B11734" t="str">
        <v>Công an xã Trung Ý  tỉnh Thanh Hóa</v>
      </c>
      <c r="C11734" t="str">
        <v>-</v>
      </c>
      <c r="D11734" t="str">
        <v>-</v>
      </c>
      <c r="E11734" t="str">
        <v/>
      </c>
      <c r="F11734" t="str">
        <v>-</v>
      </c>
      <c r="G11734" t="str">
        <v>-</v>
      </c>
    </row>
    <row r="11735">
      <c r="A11735">
        <v>11734</v>
      </c>
      <c r="B11735" t="str">
        <v>UBND Ủy ban nhân dân xã Trung Ý  tỉnh Thanh Hóa</v>
      </c>
      <c r="C11735" t="str">
        <v>-</v>
      </c>
      <c r="D11735" t="str">
        <v>-</v>
      </c>
      <c r="E11735" t="str">
        <v>-</v>
      </c>
      <c r="F11735" t="str">
        <v>-</v>
      </c>
      <c r="G11735" t="str">
        <v>-</v>
      </c>
    </row>
    <row r="11736">
      <c r="A11736">
        <v>11735</v>
      </c>
      <c r="B11736" t="str">
        <v>Công an xã Trung Thành  tỉnh Thanh Hóa</v>
      </c>
      <c r="C11736" t="str">
        <v>-</v>
      </c>
      <c r="D11736" t="str">
        <v>-</v>
      </c>
      <c r="E11736" t="str">
        <v/>
      </c>
      <c r="F11736" t="str">
        <v>-</v>
      </c>
      <c r="G11736" t="str">
        <v>-</v>
      </c>
    </row>
    <row r="11737">
      <c r="A11737">
        <v>11736</v>
      </c>
      <c r="B11737" t="str">
        <v>UBND Ủy ban nhân dân xã Trung Thành  tỉnh Thanh Hóa</v>
      </c>
      <c r="C11737" t="str">
        <v>-</v>
      </c>
      <c r="D11737" t="str">
        <v>-</v>
      </c>
      <c r="E11737" t="str">
        <v>-</v>
      </c>
      <c r="F11737" t="str">
        <v>-</v>
      </c>
      <c r="G11737" t="str">
        <v>-</v>
      </c>
    </row>
    <row r="11738">
      <c r="A11738">
        <v>11737</v>
      </c>
      <c r="B11738" t="str">
        <v>Công an xã Tế Tân  tỉnh Thanh Hóa</v>
      </c>
      <c r="C11738" t="str">
        <v>-</v>
      </c>
      <c r="D11738" t="str">
        <v>-</v>
      </c>
      <c r="E11738" t="str">
        <v/>
      </c>
      <c r="F11738" t="str">
        <v>-</v>
      </c>
      <c r="G11738" t="str">
        <v>-</v>
      </c>
    </row>
    <row r="11739">
      <c r="A11739">
        <v>11738</v>
      </c>
      <c r="B11739" t="str">
        <v>UBND Ủy ban nhân dân xã Tế Tân  tỉnh Thanh Hóa</v>
      </c>
      <c r="C11739" t="str">
        <v>-</v>
      </c>
      <c r="D11739" t="str">
        <v>-</v>
      </c>
      <c r="E11739" t="str">
        <v>-</v>
      </c>
      <c r="F11739" t="str">
        <v>-</v>
      </c>
      <c r="G11739" t="str">
        <v>-</v>
      </c>
    </row>
    <row r="11740">
      <c r="A11740">
        <v>11739</v>
      </c>
      <c r="B11740" t="str">
        <v>Công an xã Tế Thắng  tỉnh Thanh Hóa</v>
      </c>
      <c r="C11740" t="str">
        <v>-</v>
      </c>
      <c r="D11740" t="str">
        <v>-</v>
      </c>
      <c r="E11740" t="str">
        <v/>
      </c>
      <c r="F11740" t="str">
        <v>-</v>
      </c>
      <c r="G11740" t="str">
        <v>-</v>
      </c>
    </row>
    <row r="11741">
      <c r="A11741">
        <v>11740</v>
      </c>
      <c r="B11741" t="str">
        <v>UBND Ủy ban nhân dân xã Tế Thắng  tỉnh Thanh Hóa</v>
      </c>
      <c r="C11741" t="str">
        <v>-</v>
      </c>
      <c r="D11741" t="str">
        <v>-</v>
      </c>
      <c r="E11741" t="str">
        <v>-</v>
      </c>
      <c r="F11741" t="str">
        <v>-</v>
      </c>
      <c r="G11741" t="str">
        <v>-</v>
      </c>
    </row>
    <row r="11742">
      <c r="A11742">
        <v>11741</v>
      </c>
      <c r="B11742" t="str">
        <v>Công an xã Tế Lợi  tỉnh Thanh Hóa</v>
      </c>
      <c r="C11742" t="str">
        <v>-</v>
      </c>
      <c r="D11742" t="str">
        <v>-</v>
      </c>
      <c r="E11742" t="str">
        <v/>
      </c>
      <c r="F11742" t="str">
        <v>-</v>
      </c>
      <c r="G11742" t="str">
        <v>-</v>
      </c>
    </row>
    <row r="11743">
      <c r="A11743">
        <v>11742</v>
      </c>
      <c r="B11743" t="str">
        <v>UBND Ủy ban nhân dân xã Tế Lợi  tỉnh Thanh Hóa</v>
      </c>
      <c r="C11743" t="str">
        <v>-</v>
      </c>
      <c r="D11743" t="str">
        <v>-</v>
      </c>
      <c r="E11743" t="str">
        <v>-</v>
      </c>
      <c r="F11743" t="str">
        <v>-</v>
      </c>
      <c r="G11743" t="str">
        <v>-</v>
      </c>
    </row>
    <row r="11744">
      <c r="A11744">
        <v>11743</v>
      </c>
      <c r="B11744" t="str">
        <v>Công an xã Tế Nông  tỉnh Thanh Hóa</v>
      </c>
      <c r="C11744" t="str">
        <v>-</v>
      </c>
      <c r="D11744" t="str">
        <v>-</v>
      </c>
      <c r="E11744" t="str">
        <v/>
      </c>
      <c r="F11744" t="str">
        <v>-</v>
      </c>
      <c r="G11744" t="str">
        <v>-</v>
      </c>
    </row>
    <row r="11745">
      <c r="A11745">
        <v>11744</v>
      </c>
      <c r="B11745" t="str">
        <v>UBND Ủy ban nhân dân xã Tế Nông  tỉnh Thanh Hóa</v>
      </c>
      <c r="C11745" t="str">
        <v>-</v>
      </c>
      <c r="D11745" t="str">
        <v>-</v>
      </c>
      <c r="E11745" t="str">
        <v>-</v>
      </c>
      <c r="F11745" t="str">
        <v>-</v>
      </c>
      <c r="G11745" t="str">
        <v>-</v>
      </c>
    </row>
    <row r="11746">
      <c r="A11746">
        <v>11745</v>
      </c>
      <c r="B11746" t="str">
        <v>Công an xã Minh Nghĩa  tỉnh Thanh Hóa</v>
      </c>
      <c r="C11746" t="str">
        <v>-</v>
      </c>
      <c r="D11746" t="str">
        <v>-</v>
      </c>
      <c r="E11746" t="str">
        <v/>
      </c>
      <c r="F11746" t="str">
        <v>-</v>
      </c>
      <c r="G11746" t="str">
        <v>-</v>
      </c>
    </row>
    <row r="11747">
      <c r="A11747">
        <v>11746</v>
      </c>
      <c r="B11747" t="str">
        <v>UBND Ủy ban nhân dân xã Minh Nghĩa  tỉnh Thanh Hóa</v>
      </c>
      <c r="C11747" t="str">
        <v>-</v>
      </c>
      <c r="D11747" t="str">
        <v>-</v>
      </c>
      <c r="E11747" t="str">
        <v>-</v>
      </c>
      <c r="F11747" t="str">
        <v>-</v>
      </c>
      <c r="G11747" t="str">
        <v>-</v>
      </c>
    </row>
    <row r="11748">
      <c r="A11748">
        <v>11747</v>
      </c>
      <c r="B11748" t="str">
        <v>Công an xã Minh Khôi  tỉnh Thanh Hóa</v>
      </c>
      <c r="C11748" t="str">
        <v>-</v>
      </c>
      <c r="D11748" t="str">
        <v>-</v>
      </c>
      <c r="E11748" t="str">
        <v/>
      </c>
      <c r="F11748" t="str">
        <v>-</v>
      </c>
      <c r="G11748" t="str">
        <v>-</v>
      </c>
    </row>
    <row r="11749">
      <c r="A11749">
        <v>11748</v>
      </c>
      <c r="B11749" t="str">
        <v>UBND Ủy ban nhân dân xã Minh Khôi  tỉnh Thanh Hóa</v>
      </c>
      <c r="C11749" t="str">
        <v>-</v>
      </c>
      <c r="D11749" t="str">
        <v>-</v>
      </c>
      <c r="E11749" t="str">
        <v>-</v>
      </c>
      <c r="F11749" t="str">
        <v>-</v>
      </c>
      <c r="G11749" t="str">
        <v>-</v>
      </c>
    </row>
    <row r="11750">
      <c r="A11750">
        <v>11749</v>
      </c>
      <c r="B11750" t="str">
        <v>Công an xã Vạn Hòa  tỉnh Thanh Hóa</v>
      </c>
      <c r="C11750" t="str">
        <v>-</v>
      </c>
      <c r="D11750" t="str">
        <v>-</v>
      </c>
      <c r="E11750" t="str">
        <v/>
      </c>
      <c r="F11750" t="str">
        <v>-</v>
      </c>
      <c r="G11750" t="str">
        <v>-</v>
      </c>
    </row>
    <row r="11751">
      <c r="A11751">
        <v>11750</v>
      </c>
      <c r="B11751" t="str">
        <v>UBND Ủy ban nhân dân xã Vạn Hòa  tỉnh Thanh Hóa</v>
      </c>
      <c r="C11751" t="str">
        <v>-</v>
      </c>
      <c r="D11751" t="str">
        <v>-</v>
      </c>
      <c r="E11751" t="str">
        <v>-</v>
      </c>
      <c r="F11751" t="str">
        <v>-</v>
      </c>
      <c r="G11751" t="str">
        <v>-</v>
      </c>
    </row>
    <row r="11752">
      <c r="A11752">
        <v>11751</v>
      </c>
      <c r="B11752" t="str">
        <v>Công an xã Trường Trung  tỉnh Thanh Hóa</v>
      </c>
      <c r="C11752" t="str">
        <v>-</v>
      </c>
      <c r="D11752" t="str">
        <v>-</v>
      </c>
      <c r="E11752" t="str">
        <v/>
      </c>
      <c r="F11752" t="str">
        <v>-</v>
      </c>
      <c r="G11752" t="str">
        <v>-</v>
      </c>
    </row>
    <row r="11753">
      <c r="A11753">
        <v>11752</v>
      </c>
      <c r="B11753" t="str">
        <v>UBND Ủy ban nhân dân xã Trường Trung  tỉnh Thanh Hóa</v>
      </c>
      <c r="C11753" t="str">
        <v>-</v>
      </c>
      <c r="D11753" t="str">
        <v>-</v>
      </c>
      <c r="E11753" t="str">
        <v>-</v>
      </c>
      <c r="F11753" t="str">
        <v>-</v>
      </c>
      <c r="G11753" t="str">
        <v>-</v>
      </c>
    </row>
    <row r="11754">
      <c r="A11754">
        <v>11753</v>
      </c>
      <c r="B11754" t="str">
        <v>Công an xã Vạn Thắng  tỉnh Thanh Hóa</v>
      </c>
      <c r="C11754" t="str">
        <v>-</v>
      </c>
      <c r="D11754" t="str">
        <v>-</v>
      </c>
      <c r="E11754" t="str">
        <v/>
      </c>
      <c r="F11754" t="str">
        <v>-</v>
      </c>
      <c r="G11754" t="str">
        <v>-</v>
      </c>
    </row>
    <row r="11755">
      <c r="A11755">
        <v>11754</v>
      </c>
      <c r="B11755" t="str">
        <v>UBND Ủy ban nhân dân xã Vạn Thắng  tỉnh Thanh Hóa</v>
      </c>
      <c r="C11755" t="str">
        <v>-</v>
      </c>
      <c r="D11755" t="str">
        <v>-</v>
      </c>
      <c r="E11755" t="str">
        <v>-</v>
      </c>
      <c r="F11755" t="str">
        <v>-</v>
      </c>
      <c r="G11755" t="str">
        <v>-</v>
      </c>
    </row>
    <row r="11756">
      <c r="A11756">
        <v>11755</v>
      </c>
      <c r="B11756" t="str">
        <v>Công an xã Trường Giang  tỉnh Thanh Hóa</v>
      </c>
      <c r="C11756" t="str">
        <v>-</v>
      </c>
      <c r="D11756" t="str">
        <v>-</v>
      </c>
      <c r="E11756" t="str">
        <v/>
      </c>
      <c r="F11756" t="str">
        <v>-</v>
      </c>
      <c r="G11756" t="str">
        <v>-</v>
      </c>
    </row>
    <row r="11757">
      <c r="A11757">
        <v>11756</v>
      </c>
      <c r="B11757" t="str">
        <v>UBND Ủy ban nhân dân xã Trường Giang  tỉnh Thanh Hóa</v>
      </c>
      <c r="C11757" t="str">
        <v>-</v>
      </c>
      <c r="D11757" t="str">
        <v>-</v>
      </c>
      <c r="E11757" t="str">
        <v>-</v>
      </c>
      <c r="F11757" t="str">
        <v>-</v>
      </c>
      <c r="G11757" t="str">
        <v>-</v>
      </c>
    </row>
    <row r="11758">
      <c r="A11758">
        <v>11757</v>
      </c>
      <c r="B11758" t="str">
        <v>Công an xã Vạn Thiện  tỉnh Thanh Hóa</v>
      </c>
      <c r="C11758" t="str">
        <v>-</v>
      </c>
      <c r="D11758" t="str">
        <v>-</v>
      </c>
      <c r="E11758" t="str">
        <v/>
      </c>
      <c r="F11758" t="str">
        <v>-</v>
      </c>
      <c r="G11758" t="str">
        <v>-</v>
      </c>
    </row>
    <row r="11759">
      <c r="A11759">
        <v>11758</v>
      </c>
      <c r="B11759" t="str">
        <v>UBND Ủy ban nhân dân xã Vạn Thiện  tỉnh Thanh Hóa</v>
      </c>
      <c r="C11759" t="str">
        <v>-</v>
      </c>
      <c r="D11759" t="str">
        <v>-</v>
      </c>
      <c r="E11759" t="str">
        <v>-</v>
      </c>
      <c r="F11759" t="str">
        <v>-</v>
      </c>
      <c r="G11759" t="str">
        <v>-</v>
      </c>
    </row>
    <row r="11760">
      <c r="A11760">
        <v>11759</v>
      </c>
      <c r="B11760" t="str">
        <v>Công an xã Thăng Long  tỉnh Thanh Hóa</v>
      </c>
      <c r="C11760" t="str">
        <v>-</v>
      </c>
      <c r="D11760" t="str">
        <v>-</v>
      </c>
      <c r="E11760" t="str">
        <v/>
      </c>
      <c r="F11760" t="str">
        <v>-</v>
      </c>
      <c r="G11760" t="str">
        <v>-</v>
      </c>
    </row>
    <row r="11761">
      <c r="A11761">
        <v>11760</v>
      </c>
      <c r="B11761" t="str">
        <v>UBND Ủy ban nhân dân xã Thăng Long  tỉnh Thanh Hóa</v>
      </c>
      <c r="C11761" t="str">
        <v>-</v>
      </c>
      <c r="D11761" t="str">
        <v>-</v>
      </c>
      <c r="E11761" t="str">
        <v>-</v>
      </c>
      <c r="F11761" t="str">
        <v>-</v>
      </c>
      <c r="G11761" t="str">
        <v>-</v>
      </c>
    </row>
    <row r="11762">
      <c r="A11762">
        <v>11761</v>
      </c>
      <c r="B11762" t="str">
        <v>Công an xã Trường Minh  tỉnh Thanh Hóa</v>
      </c>
      <c r="C11762" t="str">
        <v>-</v>
      </c>
      <c r="D11762" t="str">
        <v>-</v>
      </c>
      <c r="E11762" t="str">
        <v/>
      </c>
      <c r="F11762" t="str">
        <v>-</v>
      </c>
      <c r="G11762" t="str">
        <v>-</v>
      </c>
    </row>
    <row r="11763">
      <c r="A11763">
        <v>11762</v>
      </c>
      <c r="B11763" t="str">
        <v>UBND Ủy ban nhân dân xã Trường Minh  tỉnh Thanh Hóa</v>
      </c>
      <c r="C11763" t="str">
        <v>-</v>
      </c>
      <c r="D11763" t="str">
        <v>-</v>
      </c>
      <c r="E11763" t="str">
        <v>-</v>
      </c>
      <c r="F11763" t="str">
        <v>-</v>
      </c>
      <c r="G11763" t="str">
        <v>-</v>
      </c>
    </row>
    <row r="11764">
      <c r="A11764">
        <v>11763</v>
      </c>
      <c r="B11764" t="str">
        <v>Công an xã Trường Sơn  tỉnh Thanh Hóa</v>
      </c>
      <c r="C11764" t="str">
        <v>-</v>
      </c>
      <c r="D11764" t="str">
        <v>-</v>
      </c>
      <c r="E11764" t="str">
        <v/>
      </c>
      <c r="F11764" t="str">
        <v>-</v>
      </c>
      <c r="G11764" t="str">
        <v>-</v>
      </c>
    </row>
    <row r="11765">
      <c r="A11765">
        <v>11764</v>
      </c>
      <c r="B11765" t="str">
        <v>UBND Ủy ban nhân dân xã Trường Sơn  tỉnh Thanh Hóa</v>
      </c>
      <c r="C11765" t="str">
        <v>-</v>
      </c>
      <c r="D11765" t="str">
        <v>-</v>
      </c>
      <c r="E11765" t="str">
        <v>-</v>
      </c>
      <c r="F11765" t="str">
        <v>-</v>
      </c>
      <c r="G11765" t="str">
        <v>-</v>
      </c>
    </row>
    <row r="11766">
      <c r="A11766">
        <v>11765</v>
      </c>
      <c r="B11766" t="str">
        <v>Công an xã Thăng Bình  tỉnh Thanh Hóa</v>
      </c>
      <c r="C11766" t="str">
        <v>-</v>
      </c>
      <c r="D11766" t="str">
        <v>-</v>
      </c>
      <c r="E11766" t="str">
        <v/>
      </c>
      <c r="F11766" t="str">
        <v>-</v>
      </c>
      <c r="G11766" t="str">
        <v>-</v>
      </c>
    </row>
    <row r="11767">
      <c r="A11767">
        <v>11766</v>
      </c>
      <c r="B11767" t="str">
        <v>UBND Ủy ban nhân dân xã Thăng Bình  tỉnh Thanh Hóa</v>
      </c>
      <c r="C11767" t="str">
        <v>-</v>
      </c>
      <c r="D11767" t="str">
        <v>-</v>
      </c>
      <c r="E11767" t="str">
        <v>-</v>
      </c>
      <c r="F11767" t="str">
        <v>-</v>
      </c>
      <c r="G11767" t="str">
        <v>-</v>
      </c>
    </row>
    <row r="11768">
      <c r="A11768">
        <v>11767</v>
      </c>
      <c r="B11768" t="str">
        <v>Công an xã Công Liêm  tỉnh Thanh Hóa</v>
      </c>
      <c r="C11768" t="str">
        <v>-</v>
      </c>
      <c r="D11768" t="str">
        <v>-</v>
      </c>
      <c r="E11768" t="str">
        <v/>
      </c>
      <c r="F11768" t="str">
        <v>-</v>
      </c>
      <c r="G11768" t="str">
        <v>-</v>
      </c>
    </row>
    <row r="11769">
      <c r="A11769">
        <v>11768</v>
      </c>
      <c r="B11769" t="str">
        <v>UBND Ủy ban nhân dân xã Công Liêm  tỉnh Thanh Hóa</v>
      </c>
      <c r="C11769" t="str">
        <v>-</v>
      </c>
      <c r="D11769" t="str">
        <v>-</v>
      </c>
      <c r="E11769" t="str">
        <v>-</v>
      </c>
      <c r="F11769" t="str">
        <v>-</v>
      </c>
      <c r="G11769" t="str">
        <v>-</v>
      </c>
    </row>
    <row r="11770">
      <c r="A11770">
        <v>11769</v>
      </c>
      <c r="B11770" t="str">
        <v>Công an xã Tượng Văn  tỉnh Thanh Hóa</v>
      </c>
      <c r="C11770" t="str">
        <v>-</v>
      </c>
      <c r="D11770" t="str">
        <v>-</v>
      </c>
      <c r="E11770" t="str">
        <v/>
      </c>
      <c r="F11770" t="str">
        <v>-</v>
      </c>
      <c r="G11770" t="str">
        <v>-</v>
      </c>
    </row>
    <row r="11771">
      <c r="A11771">
        <v>11770</v>
      </c>
      <c r="B11771" t="str">
        <v>UBND Ủy ban nhân dân xã Tượng Văn  tỉnh Thanh Hóa</v>
      </c>
      <c r="C11771" t="str">
        <v>-</v>
      </c>
      <c r="D11771" t="str">
        <v>-</v>
      </c>
      <c r="E11771" t="str">
        <v>-</v>
      </c>
      <c r="F11771" t="str">
        <v>-</v>
      </c>
      <c r="G11771" t="str">
        <v>-</v>
      </c>
    </row>
    <row r="11772">
      <c r="A11772">
        <v>11771</v>
      </c>
      <c r="B11772" t="str">
        <v>Công an xã Thăng Thọ  tỉnh Thanh Hóa</v>
      </c>
      <c r="C11772" t="str">
        <v>-</v>
      </c>
      <c r="D11772" t="str">
        <v>-</v>
      </c>
      <c r="E11772" t="str">
        <v/>
      </c>
      <c r="F11772" t="str">
        <v>-</v>
      </c>
      <c r="G11772" t="str">
        <v>-</v>
      </c>
    </row>
    <row r="11773">
      <c r="A11773">
        <v>11772</v>
      </c>
      <c r="B11773" t="str">
        <v>UBND Ủy ban nhân dân xã Thăng Thọ  tỉnh Thanh Hóa</v>
      </c>
      <c r="C11773" t="str">
        <v>-</v>
      </c>
      <c r="D11773" t="str">
        <v>-</v>
      </c>
      <c r="E11773" t="str">
        <v>-</v>
      </c>
      <c r="F11773" t="str">
        <v>-</v>
      </c>
      <c r="G11773" t="str">
        <v>-</v>
      </c>
    </row>
    <row r="11774">
      <c r="A11774">
        <v>11773</v>
      </c>
      <c r="B11774" t="str">
        <v>Công an xã Tượng Lĩnh  tỉnh Thanh Hóa</v>
      </c>
      <c r="C11774" t="str">
        <v>-</v>
      </c>
      <c r="D11774" t="str">
        <v>-</v>
      </c>
      <c r="E11774" t="str">
        <v/>
      </c>
      <c r="F11774" t="str">
        <v>-</v>
      </c>
      <c r="G11774" t="str">
        <v>-</v>
      </c>
    </row>
    <row r="11775">
      <c r="A11775">
        <v>11774</v>
      </c>
      <c r="B11775" t="str">
        <v>UBND Ủy ban nhân dân xã Tượng Lĩnh  tỉnh Thanh Hóa</v>
      </c>
      <c r="C11775" t="str">
        <v>-</v>
      </c>
      <c r="D11775" t="str">
        <v>-</v>
      </c>
      <c r="E11775" t="str">
        <v>-</v>
      </c>
      <c r="F11775" t="str">
        <v>-</v>
      </c>
      <c r="G11775" t="str">
        <v>-</v>
      </c>
    </row>
    <row r="11776">
      <c r="A11776">
        <v>11775</v>
      </c>
      <c r="B11776" t="str">
        <v>Công an xã Tượng Sơn  tỉnh Thanh Hóa</v>
      </c>
      <c r="C11776" t="str">
        <v>-</v>
      </c>
      <c r="D11776" t="str">
        <v>-</v>
      </c>
      <c r="E11776" t="str">
        <v/>
      </c>
      <c r="F11776" t="str">
        <v>-</v>
      </c>
      <c r="G11776" t="str">
        <v>-</v>
      </c>
    </row>
    <row r="11777">
      <c r="A11777">
        <v>11776</v>
      </c>
      <c r="B11777" t="str">
        <v>UBND Ủy ban nhân dân xã Tượng Sơn  tỉnh Thanh Hóa</v>
      </c>
      <c r="C11777" t="str">
        <v>-</v>
      </c>
      <c r="D11777" t="str">
        <v>-</v>
      </c>
      <c r="E11777" t="str">
        <v>-</v>
      </c>
      <c r="F11777" t="str">
        <v>-</v>
      </c>
      <c r="G11777" t="str">
        <v>-</v>
      </c>
    </row>
    <row r="11778">
      <c r="A11778">
        <v>11777</v>
      </c>
      <c r="B11778" t="str">
        <v>Công an xã Công Chính  tỉnh Thanh Hóa</v>
      </c>
      <c r="C11778" t="str">
        <v>-</v>
      </c>
      <c r="D11778" t="str">
        <v>-</v>
      </c>
      <c r="E11778" t="str">
        <v/>
      </c>
      <c r="F11778" t="str">
        <v>-</v>
      </c>
      <c r="G11778" t="str">
        <v>-</v>
      </c>
    </row>
    <row r="11779">
      <c r="A11779">
        <v>11778</v>
      </c>
      <c r="B11779" t="str">
        <v>UBND Ủy ban nhân dân xã Công Chính  tỉnh Thanh Hóa</v>
      </c>
      <c r="C11779" t="str">
        <v>-</v>
      </c>
      <c r="D11779" t="str">
        <v>-</v>
      </c>
      <c r="E11779" t="str">
        <v>-</v>
      </c>
      <c r="F11779" t="str">
        <v>-</v>
      </c>
      <c r="G11779" t="str">
        <v>-</v>
      </c>
    </row>
    <row r="11780">
      <c r="A11780">
        <v>11779</v>
      </c>
      <c r="B11780" t="str">
        <v>Công an xã Công Bình  tỉnh Thanh Hóa</v>
      </c>
      <c r="C11780" t="str">
        <v>-</v>
      </c>
      <c r="D11780" t="str">
        <v>-</v>
      </c>
      <c r="E11780" t="str">
        <v/>
      </c>
      <c r="F11780" t="str">
        <v>-</v>
      </c>
      <c r="G11780" t="str">
        <v>-</v>
      </c>
    </row>
    <row r="11781">
      <c r="A11781">
        <v>11780</v>
      </c>
      <c r="B11781" t="str">
        <v>UBND Ủy ban nhân dân xã Công Bình  tỉnh Thanh Hóa</v>
      </c>
      <c r="C11781" t="str">
        <v>-</v>
      </c>
      <c r="D11781" t="str">
        <v>-</v>
      </c>
      <c r="E11781" t="str">
        <v>-</v>
      </c>
      <c r="F11781" t="str">
        <v>-</v>
      </c>
      <c r="G11781" t="str">
        <v>-</v>
      </c>
    </row>
    <row r="11782">
      <c r="A11782">
        <v>11781</v>
      </c>
      <c r="B11782" t="str">
        <v>Công an xã Yên Mỹ  tỉnh Thanh Hóa</v>
      </c>
      <c r="C11782" t="str">
        <v>-</v>
      </c>
      <c r="D11782" t="str">
        <v>-</v>
      </c>
      <c r="E11782" t="str">
        <v/>
      </c>
      <c r="F11782" t="str">
        <v>-</v>
      </c>
      <c r="G11782" t="str">
        <v>-</v>
      </c>
    </row>
    <row r="11783">
      <c r="A11783">
        <v>11782</v>
      </c>
      <c r="B11783" t="str">
        <v>UBND Ủy ban nhân dân xã Yên Mỹ  tỉnh Thanh Hóa</v>
      </c>
      <c r="C11783" t="str">
        <v>-</v>
      </c>
      <c r="D11783" t="str">
        <v>-</v>
      </c>
      <c r="E11783" t="str">
        <v>-</v>
      </c>
      <c r="F11783" t="str">
        <v>-</v>
      </c>
      <c r="G11783" t="str">
        <v>-</v>
      </c>
    </row>
    <row r="11784">
      <c r="A11784">
        <v>11783</v>
      </c>
      <c r="B11784" t="str">
        <v>Công an thị trấn Rừng Thông  tỉnh Thanh Hóa</v>
      </c>
      <c r="C11784" t="str">
        <v>-</v>
      </c>
      <c r="D11784" t="str">
        <v>-</v>
      </c>
      <c r="E11784" t="str">
        <v/>
      </c>
      <c r="F11784" t="str">
        <v>-</v>
      </c>
      <c r="G11784" t="str">
        <v>-</v>
      </c>
    </row>
    <row r="11785">
      <c r="A11785">
        <v>11784</v>
      </c>
      <c r="B11785" t="str">
        <v>UBND Ủy ban nhân dân thị trấn Rừng Thông  tỉnh Thanh Hóa</v>
      </c>
      <c r="C11785" t="str">
        <v>-</v>
      </c>
      <c r="D11785" t="str">
        <v>-</v>
      </c>
      <c r="E11785" t="str">
        <v>-</v>
      </c>
      <c r="F11785" t="str">
        <v>-</v>
      </c>
      <c r="G11785" t="str">
        <v>-</v>
      </c>
    </row>
    <row r="11786">
      <c r="A11786">
        <v>11785</v>
      </c>
      <c r="B11786" t="str">
        <v>Công an xã Đông Hoàng  tỉnh Thanh Hóa</v>
      </c>
      <c r="C11786" t="str">
        <v>-</v>
      </c>
      <c r="D11786" t="str">
        <v>-</v>
      </c>
      <c r="E11786" t="str">
        <v/>
      </c>
      <c r="F11786" t="str">
        <v>-</v>
      </c>
      <c r="G11786" t="str">
        <v>-</v>
      </c>
    </row>
    <row r="11787">
      <c r="A11787">
        <v>11786</v>
      </c>
      <c r="B11787" t="str">
        <v>UBND Ủy ban nhân dân xã Đông Hoàng  tỉnh Thanh Hóa</v>
      </c>
      <c r="C11787" t="str">
        <v>-</v>
      </c>
      <c r="D11787" t="str">
        <v>-</v>
      </c>
      <c r="E11787" t="str">
        <v>-</v>
      </c>
      <c r="F11787" t="str">
        <v>-</v>
      </c>
      <c r="G11787" t="str">
        <v>-</v>
      </c>
    </row>
    <row r="11788">
      <c r="A11788">
        <v>11787</v>
      </c>
      <c r="B11788" t="str">
        <v>Công an xã Đông Ninh  tỉnh Thanh Hóa</v>
      </c>
      <c r="C11788" t="str">
        <v>-</v>
      </c>
      <c r="D11788" t="str">
        <v>-</v>
      </c>
      <c r="E11788" t="str">
        <v/>
      </c>
      <c r="F11788" t="str">
        <v>-</v>
      </c>
      <c r="G11788" t="str">
        <v>-</v>
      </c>
    </row>
    <row r="11789">
      <c r="A11789">
        <v>11788</v>
      </c>
      <c r="B11789" t="str">
        <v>UBND Ủy ban nhân dân xã Đông Ninh  tỉnh Thanh Hóa</v>
      </c>
      <c r="C11789" t="str">
        <v>-</v>
      </c>
      <c r="D11789" t="str">
        <v>-</v>
      </c>
      <c r="E11789" t="str">
        <v>-</v>
      </c>
      <c r="F11789" t="str">
        <v>-</v>
      </c>
      <c r="G11789" t="str">
        <v>-</v>
      </c>
    </row>
    <row r="11790">
      <c r="A11790">
        <v>11789</v>
      </c>
      <c r="B11790" t="str">
        <v>Công an xã Đông Khê  tỉnh Thanh Hóa</v>
      </c>
      <c r="C11790" t="str">
        <v>-</v>
      </c>
      <c r="D11790" t="str">
        <v>-</v>
      </c>
      <c r="E11790" t="str">
        <v/>
      </c>
      <c r="F11790" t="str">
        <v>-</v>
      </c>
      <c r="G11790" t="str">
        <v>-</v>
      </c>
    </row>
    <row r="11791">
      <c r="A11791">
        <v>11790</v>
      </c>
      <c r="B11791" t="str">
        <v>UBND Ủy ban nhân dân xã Đông Khê  tỉnh Thanh Hóa</v>
      </c>
      <c r="C11791" t="str">
        <v>-</v>
      </c>
      <c r="D11791" t="str">
        <v>-</v>
      </c>
      <c r="E11791" t="str">
        <v>-</v>
      </c>
      <c r="F11791" t="str">
        <v>-</v>
      </c>
      <c r="G11791" t="str">
        <v>-</v>
      </c>
    </row>
    <row r="11792">
      <c r="A11792">
        <v>11791</v>
      </c>
      <c r="B11792" t="str">
        <v>Công an xã Đông Hòa  tỉnh Thanh Hóa</v>
      </c>
      <c r="C11792" t="str">
        <v>-</v>
      </c>
      <c r="D11792" t="str">
        <v>-</v>
      </c>
      <c r="E11792" t="str">
        <v/>
      </c>
      <c r="F11792" t="str">
        <v>-</v>
      </c>
      <c r="G11792" t="str">
        <v>-</v>
      </c>
    </row>
    <row r="11793">
      <c r="A11793">
        <v>11792</v>
      </c>
      <c r="B11793" t="str">
        <v>UBND Ủy ban nhân dân xã Đông Hòa  tỉnh Thanh Hóa</v>
      </c>
      <c r="C11793" t="str">
        <v>-</v>
      </c>
      <c r="D11793" t="str">
        <v>-</v>
      </c>
      <c r="E11793" t="str">
        <v>-</v>
      </c>
      <c r="F11793" t="str">
        <v>-</v>
      </c>
      <c r="G11793" t="str">
        <v>-</v>
      </c>
    </row>
    <row r="11794">
      <c r="A11794">
        <v>11793</v>
      </c>
      <c r="B11794" t="str">
        <v>Công an xã Đông Yên  tỉnh Thanh Hóa</v>
      </c>
      <c r="C11794" t="str">
        <v>-</v>
      </c>
      <c r="D11794" t="str">
        <v>-</v>
      </c>
      <c r="E11794" t="str">
        <v/>
      </c>
      <c r="F11794" t="str">
        <v>-</v>
      </c>
      <c r="G11794" t="str">
        <v>-</v>
      </c>
    </row>
    <row r="11795">
      <c r="A11795">
        <v>11794</v>
      </c>
      <c r="B11795" t="str">
        <v>UBND Ủy ban nhân dân xã Đông Yên  tỉnh Thanh Hóa</v>
      </c>
      <c r="C11795" t="str">
        <v>-</v>
      </c>
      <c r="D11795" t="str">
        <v>-</v>
      </c>
      <c r="E11795" t="str">
        <v>-</v>
      </c>
      <c r="F11795" t="str">
        <v>-</v>
      </c>
      <c r="G11795" t="str">
        <v>-</v>
      </c>
    </row>
    <row r="11796">
      <c r="A11796">
        <v>11795</v>
      </c>
      <c r="B11796" t="str">
        <v>Công an xã Đông Minh  tỉnh Thanh Hóa</v>
      </c>
      <c r="C11796" t="str">
        <v>-</v>
      </c>
      <c r="D11796" t="str">
        <v>-</v>
      </c>
      <c r="E11796" t="str">
        <v/>
      </c>
      <c r="F11796" t="str">
        <v>-</v>
      </c>
      <c r="G11796" t="str">
        <v>-</v>
      </c>
    </row>
    <row r="11797">
      <c r="A11797">
        <v>11796</v>
      </c>
      <c r="B11797" t="str">
        <v>UBND Ủy ban nhân dân xã Đông Minh  tỉnh Thanh Hóa</v>
      </c>
      <c r="C11797" t="str">
        <v>-</v>
      </c>
      <c r="D11797" t="str">
        <v>-</v>
      </c>
      <c r="E11797" t="str">
        <v>-</v>
      </c>
      <c r="F11797" t="str">
        <v>-</v>
      </c>
      <c r="G11797" t="str">
        <v>-</v>
      </c>
    </row>
    <row r="11798">
      <c r="A11798">
        <v>11797</v>
      </c>
      <c r="B11798" t="str">
        <v>Công an xã Đông Thanh  tỉnh Thanh Hóa</v>
      </c>
      <c r="C11798" t="str">
        <v>-</v>
      </c>
      <c r="D11798" t="str">
        <v>-</v>
      </c>
      <c r="E11798" t="str">
        <v/>
      </c>
      <c r="F11798" t="str">
        <v>-</v>
      </c>
      <c r="G11798" t="str">
        <v>-</v>
      </c>
    </row>
    <row r="11799">
      <c r="A11799">
        <v>11798</v>
      </c>
      <c r="B11799" t="str">
        <v>UBND Ủy ban nhân dân xã Đông Thanh  tỉnh Thanh Hóa</v>
      </c>
      <c r="C11799" t="str">
        <v>-</v>
      </c>
      <c r="D11799" t="str">
        <v>-</v>
      </c>
      <c r="E11799" t="str">
        <v>-</v>
      </c>
      <c r="F11799" t="str">
        <v>-</v>
      </c>
      <c r="G11799" t="str">
        <v>-</v>
      </c>
    </row>
    <row r="11800">
      <c r="A11800">
        <v>11799</v>
      </c>
      <c r="B11800" t="str">
        <v>Công an xã Đông Tiến  tỉnh Thanh Hóa</v>
      </c>
      <c r="C11800" t="str">
        <v>-</v>
      </c>
      <c r="D11800" t="str">
        <v>-</v>
      </c>
      <c r="E11800" t="str">
        <v/>
      </c>
      <c r="F11800" t="str">
        <v>-</v>
      </c>
      <c r="G11800" t="str">
        <v>-</v>
      </c>
    </row>
    <row r="11801">
      <c r="A11801">
        <v>11800</v>
      </c>
      <c r="B11801" t="str">
        <v>UBND Ủy ban nhân dân xã Đông Tiến  tỉnh Thanh Hóa</v>
      </c>
      <c r="C11801" t="str">
        <v>-</v>
      </c>
      <c r="D11801" t="str">
        <v>-</v>
      </c>
      <c r="E11801" t="str">
        <v>-</v>
      </c>
      <c r="F11801" t="str">
        <v>-</v>
      </c>
      <c r="G11801" t="str">
        <v>-</v>
      </c>
    </row>
    <row r="11802">
      <c r="A11802">
        <v>11801</v>
      </c>
      <c r="B11802" t="str">
        <v>Công an xã Đông Anh  tỉnh Thanh Hóa</v>
      </c>
      <c r="C11802" t="str">
        <v>-</v>
      </c>
      <c r="D11802" t="str">
        <v>-</v>
      </c>
      <c r="E11802" t="str">
        <v/>
      </c>
      <c r="F11802" t="str">
        <v>-</v>
      </c>
      <c r="G11802" t="str">
        <v>-</v>
      </c>
    </row>
    <row r="11803">
      <c r="A11803">
        <v>11802</v>
      </c>
      <c r="B11803" t="str">
        <v>UBND Ủy ban nhân dân xã Đông Anh  tỉnh Thanh Hóa</v>
      </c>
      <c r="C11803" t="str">
        <v>-</v>
      </c>
      <c r="D11803" t="str">
        <v>-</v>
      </c>
      <c r="E11803" t="str">
        <v>-</v>
      </c>
      <c r="F11803" t="str">
        <v>-</v>
      </c>
      <c r="G11803" t="str">
        <v>-</v>
      </c>
    </row>
    <row r="11804">
      <c r="A11804">
        <v>11803</v>
      </c>
      <c r="B11804" t="str">
        <v>Công an xã Đông Thịnh  tỉnh Thanh Hóa</v>
      </c>
      <c r="C11804" t="str">
        <v>-</v>
      </c>
      <c r="D11804" t="str">
        <v>-</v>
      </c>
      <c r="E11804" t="str">
        <v/>
      </c>
      <c r="F11804" t="str">
        <v>-</v>
      </c>
      <c r="G11804" t="str">
        <v>-</v>
      </c>
    </row>
    <row r="11805">
      <c r="A11805">
        <v>11804</v>
      </c>
      <c r="B11805" t="str">
        <v>UBND Ủy ban nhân dân xã Đông Thịnh  tỉnh Thanh Hóa</v>
      </c>
      <c r="C11805" t="str">
        <v>-</v>
      </c>
      <c r="D11805" t="str">
        <v>-</v>
      </c>
      <c r="E11805" t="str">
        <v>-</v>
      </c>
      <c r="F11805" t="str">
        <v>-</v>
      </c>
      <c r="G11805" t="str">
        <v>-</v>
      </c>
    </row>
    <row r="11806">
      <c r="A11806">
        <v>11805</v>
      </c>
      <c r="B11806" t="str">
        <v>Công an xã Đông Văn  tỉnh Thanh Hóa</v>
      </c>
      <c r="C11806" t="str">
        <v>-</v>
      </c>
      <c r="D11806" t="str">
        <v>-</v>
      </c>
      <c r="E11806" t="str">
        <v/>
      </c>
      <c r="F11806" t="str">
        <v>-</v>
      </c>
      <c r="G11806" t="str">
        <v>-</v>
      </c>
    </row>
    <row r="11807">
      <c r="A11807">
        <v>11806</v>
      </c>
      <c r="B11807" t="str">
        <v>UBND Ủy ban nhân dân xã Đông Văn  tỉnh Thanh Hóa</v>
      </c>
      <c r="C11807" t="str">
        <v>-</v>
      </c>
      <c r="D11807" t="str">
        <v>-</v>
      </c>
      <c r="E11807" t="str">
        <v>-</v>
      </c>
      <c r="F11807" t="str">
        <v>-</v>
      </c>
      <c r="G11807" t="str">
        <v>-</v>
      </c>
    </row>
    <row r="11808">
      <c r="A11808">
        <v>11807</v>
      </c>
      <c r="B11808" t="str">
        <v>Công an xã Đông Phú  tỉnh Thanh Hóa</v>
      </c>
      <c r="C11808" t="str">
        <v>-</v>
      </c>
      <c r="D11808" t="str">
        <v>-</v>
      </c>
      <c r="E11808" t="str">
        <v/>
      </c>
      <c r="F11808" t="str">
        <v>-</v>
      </c>
      <c r="G11808" t="str">
        <v>-</v>
      </c>
    </row>
    <row r="11809">
      <c r="A11809">
        <v>11808</v>
      </c>
      <c r="B11809" t="str">
        <v>UBND Ủy ban nhân dân xã Đông Phú  tỉnh Thanh Hóa</v>
      </c>
      <c r="C11809" t="str">
        <v>-</v>
      </c>
      <c r="D11809" t="str">
        <v>-</v>
      </c>
      <c r="E11809" t="str">
        <v>-</v>
      </c>
      <c r="F11809" t="str">
        <v>-</v>
      </c>
      <c r="G11809" t="str">
        <v>-</v>
      </c>
    </row>
    <row r="11810">
      <c r="A11810">
        <v>11809</v>
      </c>
      <c r="B11810" t="str">
        <v>Công an xã Đông Nam  tỉnh Thanh Hóa</v>
      </c>
      <c r="C11810" t="str">
        <v>-</v>
      </c>
      <c r="D11810" t="str">
        <v>-</v>
      </c>
      <c r="E11810" t="str">
        <v/>
      </c>
      <c r="F11810" t="str">
        <v>-</v>
      </c>
      <c r="G11810" t="str">
        <v>-</v>
      </c>
    </row>
    <row r="11811">
      <c r="A11811">
        <v>11810</v>
      </c>
      <c r="B11811" t="str">
        <v>UBND Ủy ban nhân dân xã Đông Nam  tỉnh Thanh Hóa</v>
      </c>
      <c r="C11811" t="str">
        <v>-</v>
      </c>
      <c r="D11811" t="str">
        <v>-</v>
      </c>
      <c r="E11811" t="str">
        <v>-</v>
      </c>
      <c r="F11811" t="str">
        <v>-</v>
      </c>
      <c r="G11811" t="str">
        <v>-</v>
      </c>
    </row>
    <row r="11812">
      <c r="A11812">
        <v>11811</v>
      </c>
      <c r="B11812" t="str">
        <v>Công an xã Đông Quang  tỉnh Thanh Hóa</v>
      </c>
      <c r="C11812" t="str">
        <v>-</v>
      </c>
      <c r="D11812" t="str">
        <v>-</v>
      </c>
      <c r="E11812" t="str">
        <v/>
      </c>
      <c r="F11812" t="str">
        <v>-</v>
      </c>
      <c r="G11812" t="str">
        <v>-</v>
      </c>
    </row>
    <row r="11813">
      <c r="A11813">
        <v>11812</v>
      </c>
      <c r="B11813" t="str">
        <v>UBND Ủy ban nhân dân xã Đông Quang  tỉnh Thanh Hóa</v>
      </c>
      <c r="C11813" t="str">
        <v>-</v>
      </c>
      <c r="D11813" t="str">
        <v>-</v>
      </c>
      <c r="E11813" t="str">
        <v>-</v>
      </c>
      <c r="F11813" t="str">
        <v>-</v>
      </c>
      <c r="G11813" t="str">
        <v>-</v>
      </c>
    </row>
    <row r="11814">
      <c r="A11814">
        <v>11813</v>
      </c>
      <c r="B11814" t="str">
        <v>Công an thị trấn Quảng Xương  tỉnh Thanh Hóa</v>
      </c>
      <c r="C11814" t="str">
        <v>-</v>
      </c>
      <c r="D11814" t="str">
        <v>-</v>
      </c>
      <c r="E11814" t="str">
        <v/>
      </c>
      <c r="F11814" t="str">
        <v>-</v>
      </c>
      <c r="G11814" t="str">
        <v>-</v>
      </c>
    </row>
    <row r="11815">
      <c r="A11815">
        <v>11814</v>
      </c>
      <c r="B11815" t="str">
        <v>UBND Ủy ban nhân dân thị trấn Quảng Xương  tỉnh Thanh Hóa</v>
      </c>
      <c r="C11815" t="str">
        <v>-</v>
      </c>
      <c r="D11815" t="str">
        <v>-</v>
      </c>
      <c r="E11815" t="str">
        <v>-</v>
      </c>
      <c r="F11815" t="str">
        <v>-</v>
      </c>
      <c r="G11815" t="str">
        <v>-</v>
      </c>
    </row>
    <row r="11816">
      <c r="A11816">
        <v>11815</v>
      </c>
      <c r="B11816" t="str">
        <v>Công an xã Quảng Tân  tỉnh Thanh Hóa</v>
      </c>
      <c r="C11816" t="str">
        <v>-</v>
      </c>
      <c r="D11816" t="str">
        <v>-</v>
      </c>
      <c r="E11816" t="str">
        <v/>
      </c>
      <c r="F11816" t="str">
        <v>-</v>
      </c>
      <c r="G11816" t="str">
        <v>-</v>
      </c>
    </row>
    <row r="11817">
      <c r="A11817">
        <v>11816</v>
      </c>
      <c r="B11817" t="str">
        <v>UBND Ủy ban nhân dân xã Quảng Tân  tỉnh Thanh Hóa</v>
      </c>
      <c r="C11817" t="str">
        <v>-</v>
      </c>
      <c r="D11817" t="str">
        <v>-</v>
      </c>
      <c r="E11817" t="str">
        <v>-</v>
      </c>
      <c r="F11817" t="str">
        <v>-</v>
      </c>
      <c r="G11817" t="str">
        <v>-</v>
      </c>
    </row>
    <row r="11818">
      <c r="A11818">
        <v>11817</v>
      </c>
      <c r="B11818" t="str">
        <v>Công an xã Quảng Trạch  tỉnh Thanh Hóa</v>
      </c>
      <c r="C11818" t="str">
        <v>-</v>
      </c>
      <c r="D11818" t="str">
        <v>-</v>
      </c>
      <c r="E11818" t="str">
        <v/>
      </c>
      <c r="F11818" t="str">
        <v>-</v>
      </c>
      <c r="G11818" t="str">
        <v>-</v>
      </c>
    </row>
    <row r="11819">
      <c r="A11819">
        <v>11818</v>
      </c>
      <c r="B11819" t="str">
        <v>UBND Ủy ban nhân dân xã Quảng Trạch  tỉnh Thanh Hóa</v>
      </c>
      <c r="C11819" t="str">
        <v>-</v>
      </c>
      <c r="D11819" t="str">
        <v>-</v>
      </c>
      <c r="E11819" t="str">
        <v>-</v>
      </c>
      <c r="F11819" t="str">
        <v>-</v>
      </c>
      <c r="G11819" t="str">
        <v>-</v>
      </c>
    </row>
    <row r="11820">
      <c r="A11820">
        <v>11819</v>
      </c>
      <c r="B11820" t="str">
        <v>Công an xã Quảng Phong  tỉnh Thanh Hóa</v>
      </c>
      <c r="C11820" t="str">
        <v>-</v>
      </c>
      <c r="D11820" t="str">
        <v>-</v>
      </c>
      <c r="E11820" t="str">
        <v/>
      </c>
      <c r="F11820" t="str">
        <v>-</v>
      </c>
      <c r="G11820" t="str">
        <v>-</v>
      </c>
    </row>
    <row r="11821">
      <c r="A11821">
        <v>11820</v>
      </c>
      <c r="B11821" t="str">
        <v>UBND Ủy ban nhân dân xã Quảng Phong  tỉnh Thanh Hóa</v>
      </c>
      <c r="C11821" t="str">
        <v>-</v>
      </c>
      <c r="D11821" t="str">
        <v>-</v>
      </c>
      <c r="E11821" t="str">
        <v>-</v>
      </c>
      <c r="F11821" t="str">
        <v>-</v>
      </c>
      <c r="G11821" t="str">
        <v>-</v>
      </c>
    </row>
    <row r="11822">
      <c r="A11822">
        <v>11821</v>
      </c>
      <c r="B11822" t="str">
        <v>Công an xã Quảng Đức  tỉnh Thanh Hóa</v>
      </c>
      <c r="C11822" t="str">
        <v>-</v>
      </c>
      <c r="D11822" t="str">
        <v>-</v>
      </c>
      <c r="E11822" t="str">
        <v/>
      </c>
      <c r="F11822" t="str">
        <v>-</v>
      </c>
      <c r="G11822" t="str">
        <v>-</v>
      </c>
    </row>
    <row r="11823">
      <c r="A11823">
        <v>11822</v>
      </c>
      <c r="B11823" t="str">
        <v>UBND Ủy ban nhân dân xã Quảng Đức  tỉnh Thanh Hóa</v>
      </c>
      <c r="C11823" t="str">
        <v>-</v>
      </c>
      <c r="D11823" t="str">
        <v>-</v>
      </c>
      <c r="E11823" t="str">
        <v>-</v>
      </c>
      <c r="F11823" t="str">
        <v>-</v>
      </c>
      <c r="G11823" t="str">
        <v>-</v>
      </c>
    </row>
    <row r="11824">
      <c r="A11824">
        <v>11823</v>
      </c>
      <c r="B11824" t="str">
        <v>Công an xã Quảng Định  tỉnh Thanh Hóa</v>
      </c>
      <c r="C11824" t="str">
        <v>-</v>
      </c>
      <c r="D11824" t="str">
        <v>-</v>
      </c>
      <c r="E11824" t="str">
        <v/>
      </c>
      <c r="F11824" t="str">
        <v>-</v>
      </c>
      <c r="G11824" t="str">
        <v>-</v>
      </c>
    </row>
    <row r="11825">
      <c r="A11825">
        <v>11824</v>
      </c>
      <c r="B11825" t="str">
        <v>UBND Ủy ban nhân dân xã Quảng Định  tỉnh Thanh Hóa</v>
      </c>
      <c r="C11825" t="str">
        <v>-</v>
      </c>
      <c r="D11825" t="str">
        <v>-</v>
      </c>
      <c r="E11825" t="str">
        <v>-</v>
      </c>
      <c r="F11825" t="str">
        <v>-</v>
      </c>
      <c r="G11825" t="str">
        <v>-</v>
      </c>
    </row>
    <row r="11826">
      <c r="A11826">
        <v>11825</v>
      </c>
      <c r="B11826" t="str">
        <v>Công an xã Quảng Nhân  tỉnh Thanh Hóa</v>
      </c>
      <c r="C11826" t="str">
        <v>-</v>
      </c>
      <c r="D11826" t="str">
        <v>-</v>
      </c>
      <c r="E11826" t="str">
        <v/>
      </c>
      <c r="F11826" t="str">
        <v>-</v>
      </c>
      <c r="G11826" t="str">
        <v>-</v>
      </c>
    </row>
    <row r="11827">
      <c r="A11827">
        <v>11826</v>
      </c>
      <c r="B11827" t="str">
        <v>UBND Ủy ban nhân dân xã Quảng Nhân  tỉnh Thanh Hóa</v>
      </c>
      <c r="C11827" t="str">
        <v>-</v>
      </c>
      <c r="D11827" t="str">
        <v>-</v>
      </c>
      <c r="E11827" t="str">
        <v>-</v>
      </c>
      <c r="F11827" t="str">
        <v>-</v>
      </c>
      <c r="G11827" t="str">
        <v>-</v>
      </c>
    </row>
    <row r="11828">
      <c r="A11828">
        <v>11827</v>
      </c>
      <c r="B11828" t="str">
        <v>Công an xã Quảng Ninh  tỉnh Thanh Hóa</v>
      </c>
      <c r="C11828" t="str">
        <v>-</v>
      </c>
      <c r="D11828" t="str">
        <v>-</v>
      </c>
      <c r="E11828" t="str">
        <v/>
      </c>
      <c r="F11828" t="str">
        <v>-</v>
      </c>
      <c r="G11828" t="str">
        <v>-</v>
      </c>
    </row>
    <row r="11829">
      <c r="A11829">
        <v>11828</v>
      </c>
      <c r="B11829" t="str">
        <v>UBND Ủy ban nhân dân xã Quảng Ninh  tỉnh Thanh Hóa</v>
      </c>
      <c r="C11829" t="str">
        <v>-</v>
      </c>
      <c r="D11829" t="str">
        <v>-</v>
      </c>
      <c r="E11829" t="str">
        <v>-</v>
      </c>
      <c r="F11829" t="str">
        <v>-</v>
      </c>
      <c r="G11829" t="str">
        <v>-</v>
      </c>
    </row>
    <row r="11830">
      <c r="A11830">
        <v>11829</v>
      </c>
      <c r="B11830" t="str">
        <v>Công an xã Quảng Bình  tỉnh Thanh Hóa</v>
      </c>
      <c r="C11830" t="str">
        <v>-</v>
      </c>
      <c r="D11830" t="str">
        <v>-</v>
      </c>
      <c r="E11830" t="str">
        <v/>
      </c>
      <c r="F11830" t="str">
        <v>-</v>
      </c>
      <c r="G11830" t="str">
        <v>-</v>
      </c>
    </row>
    <row r="11831">
      <c r="A11831">
        <v>11830</v>
      </c>
      <c r="B11831" t="str">
        <v>UBND Ủy ban nhân dân xã Quảng Bình  tỉnh Thanh Hóa</v>
      </c>
      <c r="C11831" t="str">
        <v>-</v>
      </c>
      <c r="D11831" t="str">
        <v>-</v>
      </c>
      <c r="E11831" t="str">
        <v>-</v>
      </c>
      <c r="F11831" t="str">
        <v>-</v>
      </c>
      <c r="G11831" t="str">
        <v>-</v>
      </c>
    </row>
    <row r="11832">
      <c r="A11832">
        <v>11831</v>
      </c>
      <c r="B11832" t="str">
        <v>Công an xã Quảng Hợp  tỉnh Thanh Hóa</v>
      </c>
      <c r="C11832" t="str">
        <v>-</v>
      </c>
      <c r="D11832" t="str">
        <v>-</v>
      </c>
      <c r="E11832" t="str">
        <v/>
      </c>
      <c r="F11832" t="str">
        <v>-</v>
      </c>
      <c r="G11832" t="str">
        <v>-</v>
      </c>
    </row>
    <row r="11833">
      <c r="A11833">
        <v>11832</v>
      </c>
      <c r="B11833" t="str">
        <v>UBND Ủy ban nhân dân xã Quảng Hợp  tỉnh Thanh Hóa</v>
      </c>
      <c r="C11833" t="str">
        <v>-</v>
      </c>
      <c r="D11833" t="str">
        <v>-</v>
      </c>
      <c r="E11833" t="str">
        <v>-</v>
      </c>
      <c r="F11833" t="str">
        <v>-</v>
      </c>
      <c r="G11833" t="str">
        <v>-</v>
      </c>
    </row>
    <row r="11834">
      <c r="A11834">
        <v>11833</v>
      </c>
      <c r="B11834" t="str">
        <v>Công an xã Quảng Văn  tỉnh Thanh Hóa</v>
      </c>
      <c r="C11834" t="str">
        <v>-</v>
      </c>
      <c r="D11834" t="str">
        <v>-</v>
      </c>
      <c r="E11834" t="str">
        <v/>
      </c>
      <c r="F11834" t="str">
        <v>-</v>
      </c>
      <c r="G11834" t="str">
        <v>-</v>
      </c>
    </row>
    <row r="11835">
      <c r="A11835">
        <v>11834</v>
      </c>
      <c r="B11835" t="str">
        <v>UBND Ủy ban nhân dân xã Quảng Văn  tỉnh Thanh Hóa</v>
      </c>
      <c r="C11835" t="str">
        <v>-</v>
      </c>
      <c r="D11835" t="str">
        <v>-</v>
      </c>
      <c r="E11835" t="str">
        <v>-</v>
      </c>
      <c r="F11835" t="str">
        <v>-</v>
      </c>
      <c r="G11835" t="str">
        <v>-</v>
      </c>
    </row>
    <row r="11836">
      <c r="A11836">
        <v>11835</v>
      </c>
      <c r="B11836" t="str">
        <v>Công an xã Quảng Long  tỉnh Thanh Hóa</v>
      </c>
      <c r="C11836" t="str">
        <v>-</v>
      </c>
      <c r="D11836" t="str">
        <v>-</v>
      </c>
      <c r="E11836" t="str">
        <v/>
      </c>
      <c r="F11836" t="str">
        <v>-</v>
      </c>
      <c r="G11836" t="str">
        <v>-</v>
      </c>
    </row>
    <row r="11837">
      <c r="A11837">
        <v>11836</v>
      </c>
      <c r="B11837" t="str">
        <v>UBND Ủy ban nhân dân xã Quảng Long  tỉnh Thanh Hóa</v>
      </c>
      <c r="C11837" t="str">
        <v>-</v>
      </c>
      <c r="D11837" t="str">
        <v>-</v>
      </c>
      <c r="E11837" t="str">
        <v>-</v>
      </c>
      <c r="F11837" t="str">
        <v>-</v>
      </c>
      <c r="G11837" t="str">
        <v>-</v>
      </c>
    </row>
    <row r="11838">
      <c r="A11838">
        <v>11837</v>
      </c>
      <c r="B11838" t="str">
        <v>Công an xã Quảng Yên  tỉnh Thanh Hóa</v>
      </c>
      <c r="C11838" t="str">
        <v>-</v>
      </c>
      <c r="D11838" t="str">
        <v>-</v>
      </c>
      <c r="E11838" t="str">
        <v/>
      </c>
      <c r="F11838" t="str">
        <v>-</v>
      </c>
      <c r="G11838" t="str">
        <v>-</v>
      </c>
    </row>
    <row r="11839">
      <c r="A11839">
        <v>11838</v>
      </c>
      <c r="B11839" t="str">
        <v>UBND Ủy ban nhân dân xã Quảng Yên  tỉnh Thanh Hóa</v>
      </c>
      <c r="C11839" t="str">
        <v>-</v>
      </c>
      <c r="D11839" t="str">
        <v>-</v>
      </c>
      <c r="E11839" t="str">
        <v>-</v>
      </c>
      <c r="F11839" t="str">
        <v>-</v>
      </c>
      <c r="G11839" t="str">
        <v>-</v>
      </c>
    </row>
    <row r="11840">
      <c r="A11840">
        <v>11839</v>
      </c>
      <c r="B11840" t="str">
        <v>Công an xã Quảng Hòa  tỉnh Thanh Hóa</v>
      </c>
      <c r="C11840" t="str">
        <v>-</v>
      </c>
      <c r="D11840" t="str">
        <v>-</v>
      </c>
      <c r="E11840" t="str">
        <v/>
      </c>
      <c r="F11840" t="str">
        <v>-</v>
      </c>
      <c r="G11840" t="str">
        <v>-</v>
      </c>
    </row>
    <row r="11841">
      <c r="A11841">
        <v>11840</v>
      </c>
      <c r="B11841" t="str">
        <v>UBND Ủy ban nhân dân xã Quảng Hòa  tỉnh Thanh Hóa</v>
      </c>
      <c r="C11841" t="str">
        <v>-</v>
      </c>
      <c r="D11841" t="str">
        <v>-</v>
      </c>
      <c r="E11841" t="str">
        <v>-</v>
      </c>
      <c r="F11841" t="str">
        <v>-</v>
      </c>
      <c r="G11841" t="str">
        <v>-</v>
      </c>
    </row>
    <row r="11842">
      <c r="A11842">
        <v>11841</v>
      </c>
      <c r="B11842" t="str">
        <v>Công an xã Quảng Lĩnh  tỉnh Thanh Hóa</v>
      </c>
      <c r="C11842" t="str">
        <v>-</v>
      </c>
      <c r="D11842" t="str">
        <v>-</v>
      </c>
      <c r="E11842" t="str">
        <v/>
      </c>
      <c r="F11842" t="str">
        <v>-</v>
      </c>
      <c r="G11842" t="str">
        <v>-</v>
      </c>
    </row>
    <row r="11843">
      <c r="A11843">
        <v>11842</v>
      </c>
      <c r="B11843" t="str">
        <v>UBND Ủy ban nhân dân xã Quảng Lĩnh  tỉnh Thanh Hóa</v>
      </c>
      <c r="C11843" t="str">
        <v>-</v>
      </c>
      <c r="D11843" t="str">
        <v>-</v>
      </c>
      <c r="E11843" t="str">
        <v>-</v>
      </c>
      <c r="F11843" t="str">
        <v>-</v>
      </c>
      <c r="G11843" t="str">
        <v>-</v>
      </c>
    </row>
    <row r="11844">
      <c r="A11844">
        <v>11843</v>
      </c>
      <c r="B11844" t="str">
        <v>Công an xã Quảng Khê  tỉnh Thanh Hóa</v>
      </c>
      <c r="C11844" t="str">
        <v>-</v>
      </c>
      <c r="D11844" t="str">
        <v>-</v>
      </c>
      <c r="E11844" t="str">
        <v/>
      </c>
      <c r="F11844" t="str">
        <v>-</v>
      </c>
      <c r="G11844" t="str">
        <v>-</v>
      </c>
    </row>
    <row r="11845">
      <c r="A11845">
        <v>11844</v>
      </c>
      <c r="B11845" t="str">
        <v>UBND Ủy ban nhân dân xã Quảng Khê  tỉnh Thanh Hóa</v>
      </c>
      <c r="C11845" t="str">
        <v>-</v>
      </c>
      <c r="D11845" t="str">
        <v>-</v>
      </c>
      <c r="E11845" t="str">
        <v>-</v>
      </c>
      <c r="F11845" t="str">
        <v>-</v>
      </c>
      <c r="G11845" t="str">
        <v>-</v>
      </c>
    </row>
    <row r="11846">
      <c r="A11846">
        <v>11845</v>
      </c>
      <c r="B11846" t="str">
        <v>Công an xã Quảng Trung  tỉnh Thanh Hóa</v>
      </c>
      <c r="C11846" t="str">
        <v>-</v>
      </c>
      <c r="D11846" t="str">
        <v>-</v>
      </c>
      <c r="E11846" t="str">
        <v/>
      </c>
      <c r="F11846" t="str">
        <v>-</v>
      </c>
      <c r="G11846" t="str">
        <v>-</v>
      </c>
    </row>
    <row r="11847">
      <c r="A11847">
        <v>11846</v>
      </c>
      <c r="B11847" t="str">
        <v>UBND Ủy ban nhân dân xã Quảng Trung  tỉnh Thanh Hóa</v>
      </c>
      <c r="C11847" t="str">
        <v>-</v>
      </c>
      <c r="D11847" t="str">
        <v>-</v>
      </c>
      <c r="E11847" t="str">
        <v>-</v>
      </c>
      <c r="F11847" t="str">
        <v>-</v>
      </c>
      <c r="G11847" t="str">
        <v>-</v>
      </c>
    </row>
    <row r="11848">
      <c r="A11848">
        <v>11847</v>
      </c>
      <c r="B11848" t="str">
        <v>Công an xã Quảng Chính  tỉnh Thanh Hóa</v>
      </c>
      <c r="C11848" t="str">
        <v>-</v>
      </c>
      <c r="D11848" t="str">
        <v>-</v>
      </c>
      <c r="E11848" t="str">
        <v/>
      </c>
      <c r="F11848" t="str">
        <v>-</v>
      </c>
      <c r="G11848" t="str">
        <v>-</v>
      </c>
    </row>
    <row r="11849">
      <c r="A11849">
        <v>11848</v>
      </c>
      <c r="B11849" t="str">
        <v>UBND Ủy ban nhân dân xã Quảng Chính  tỉnh Thanh Hóa</v>
      </c>
      <c r="C11849" t="str">
        <v>-</v>
      </c>
      <c r="D11849" t="str">
        <v>-</v>
      </c>
      <c r="E11849" t="str">
        <v>-</v>
      </c>
      <c r="F11849" t="str">
        <v>-</v>
      </c>
      <c r="G11849" t="str">
        <v>-</v>
      </c>
    </row>
    <row r="11850">
      <c r="A11850">
        <v>11849</v>
      </c>
      <c r="B11850" t="str">
        <v>Công an xã Quảng Ngọc  tỉnh Thanh Hóa</v>
      </c>
      <c r="C11850" t="str">
        <v>-</v>
      </c>
      <c r="D11850" t="str">
        <v>-</v>
      </c>
      <c r="E11850" t="str">
        <v/>
      </c>
      <c r="F11850" t="str">
        <v>-</v>
      </c>
      <c r="G11850" t="str">
        <v>-</v>
      </c>
    </row>
    <row r="11851">
      <c r="A11851">
        <v>11850</v>
      </c>
      <c r="B11851" t="str">
        <v>UBND Ủy ban nhân dân xã Quảng Ngọc  tỉnh Thanh Hóa</v>
      </c>
      <c r="C11851" t="str">
        <v>-</v>
      </c>
      <c r="D11851" t="str">
        <v>-</v>
      </c>
      <c r="E11851" t="str">
        <v>-</v>
      </c>
      <c r="F11851" t="str">
        <v>-</v>
      </c>
      <c r="G11851" t="str">
        <v>-</v>
      </c>
    </row>
    <row r="11852">
      <c r="A11852">
        <v>11851</v>
      </c>
      <c r="B11852" t="str">
        <v>Công an xã Quảng Trường  tỉnh Thanh Hóa</v>
      </c>
      <c r="C11852" t="str">
        <v>-</v>
      </c>
      <c r="D11852" t="str">
        <v>-</v>
      </c>
      <c r="E11852" t="str">
        <v/>
      </c>
      <c r="F11852" t="str">
        <v>-</v>
      </c>
      <c r="G11852" t="str">
        <v>-</v>
      </c>
    </row>
    <row r="11853">
      <c r="A11853">
        <v>11852</v>
      </c>
      <c r="B11853" t="str">
        <v>UBND Ủy ban nhân dân xã Quảng Trường  tỉnh Thanh Hóa</v>
      </c>
      <c r="C11853" t="str">
        <v>-</v>
      </c>
      <c r="D11853" t="str">
        <v>-</v>
      </c>
      <c r="E11853" t="str">
        <v>-</v>
      </c>
      <c r="F11853" t="str">
        <v>-</v>
      </c>
      <c r="G11853" t="str">
        <v>-</v>
      </c>
    </row>
    <row r="11854">
      <c r="A11854">
        <v>11853</v>
      </c>
      <c r="B11854" t="str">
        <v>Công an xã Quảng Phúc  tỉnh Thanh Hóa</v>
      </c>
      <c r="C11854" t="str">
        <v>-</v>
      </c>
      <c r="D11854" t="str">
        <v>-</v>
      </c>
      <c r="E11854" t="str">
        <v/>
      </c>
      <c r="F11854" t="str">
        <v>-</v>
      </c>
      <c r="G11854" t="str">
        <v>-</v>
      </c>
    </row>
    <row r="11855">
      <c r="A11855">
        <v>11854</v>
      </c>
      <c r="B11855" t="str">
        <v>UBND Ủy ban nhân dân xã Quảng Phúc  tỉnh Thanh Hóa</v>
      </c>
      <c r="C11855" t="str">
        <v>-</v>
      </c>
      <c r="D11855" t="str">
        <v>-</v>
      </c>
      <c r="E11855" t="str">
        <v>-</v>
      </c>
      <c r="F11855" t="str">
        <v>-</v>
      </c>
      <c r="G11855" t="str">
        <v>-</v>
      </c>
    </row>
    <row r="11856">
      <c r="A11856">
        <v>11855</v>
      </c>
      <c r="B11856" t="str">
        <v>Công an xã Quảng Vọng  tỉnh Thanh Hóa</v>
      </c>
      <c r="C11856" t="str">
        <v>-</v>
      </c>
      <c r="D11856" t="str">
        <v>-</v>
      </c>
      <c r="E11856" t="str">
        <v/>
      </c>
      <c r="F11856" t="str">
        <v>-</v>
      </c>
      <c r="G11856" t="str">
        <v>-</v>
      </c>
    </row>
    <row r="11857">
      <c r="A11857">
        <v>11856</v>
      </c>
      <c r="B11857" t="str">
        <v>UBND Ủy ban nhân dân xã Quảng Vọng  tỉnh Thanh Hóa</v>
      </c>
      <c r="C11857" t="str">
        <v>-</v>
      </c>
      <c r="D11857" t="str">
        <v>-</v>
      </c>
      <c r="E11857" t="str">
        <v>-</v>
      </c>
      <c r="F11857" t="str">
        <v>-</v>
      </c>
      <c r="G11857" t="str">
        <v>-</v>
      </c>
    </row>
    <row r="11858">
      <c r="A11858">
        <v>11857</v>
      </c>
      <c r="B11858" t="str">
        <v>Công an xã Quảng Giao  tỉnh Thanh Hóa</v>
      </c>
      <c r="C11858" t="str">
        <v>-</v>
      </c>
      <c r="D11858" t="str">
        <v>-</v>
      </c>
      <c r="E11858" t="str">
        <v/>
      </c>
      <c r="F11858" t="str">
        <v>-</v>
      </c>
      <c r="G11858" t="str">
        <v>-</v>
      </c>
    </row>
    <row r="11859">
      <c r="A11859">
        <v>11858</v>
      </c>
      <c r="B11859" t="str">
        <v>UBND Ủy ban nhân dân xã Quảng Giao  tỉnh Thanh Hóa</v>
      </c>
      <c r="C11859" t="str">
        <v>-</v>
      </c>
      <c r="D11859" t="str">
        <v>-</v>
      </c>
      <c r="E11859" t="str">
        <v>-</v>
      </c>
      <c r="F11859" t="str">
        <v>-</v>
      </c>
      <c r="G11859" t="str">
        <v>-</v>
      </c>
    </row>
    <row r="11860">
      <c r="A11860">
        <v>11859</v>
      </c>
      <c r="B11860" t="str">
        <v>Công an xã Quảng Hải  tỉnh Thanh Hóa</v>
      </c>
      <c r="C11860" t="str">
        <v>-</v>
      </c>
      <c r="D11860" t="str">
        <v>-</v>
      </c>
      <c r="E11860" t="str">
        <v/>
      </c>
      <c r="F11860" t="str">
        <v>-</v>
      </c>
      <c r="G11860" t="str">
        <v>-</v>
      </c>
    </row>
    <row r="11861">
      <c r="A11861">
        <v>11860</v>
      </c>
      <c r="B11861" t="str">
        <v>UBND Ủy ban nhân dân xã Quảng Hải  tỉnh Thanh Hóa</v>
      </c>
      <c r="C11861" t="str">
        <v>-</v>
      </c>
      <c r="D11861" t="str">
        <v>-</v>
      </c>
      <c r="E11861" t="str">
        <v>-</v>
      </c>
      <c r="F11861" t="str">
        <v>-</v>
      </c>
      <c r="G11861" t="str">
        <v>-</v>
      </c>
    </row>
    <row r="11862">
      <c r="A11862">
        <v>11861</v>
      </c>
      <c r="B11862" t="str">
        <v>Công an xã Quảng Lưu  tỉnh Thanh Hóa</v>
      </c>
      <c r="C11862" t="str">
        <v>-</v>
      </c>
      <c r="D11862" t="str">
        <v>-</v>
      </c>
      <c r="E11862" t="str">
        <v/>
      </c>
      <c r="F11862" t="str">
        <v>-</v>
      </c>
      <c r="G11862" t="str">
        <v>-</v>
      </c>
    </row>
    <row r="11863">
      <c r="A11863">
        <v>11862</v>
      </c>
      <c r="B11863" t="str">
        <v>UBND Ủy ban nhân dân xã Quảng Lưu  tỉnh Thanh Hóa</v>
      </c>
      <c r="C11863" t="str">
        <v>-</v>
      </c>
      <c r="D11863" t="str">
        <v>-</v>
      </c>
      <c r="E11863" t="str">
        <v>-</v>
      </c>
      <c r="F11863" t="str">
        <v>-</v>
      </c>
      <c r="G11863" t="str">
        <v>-</v>
      </c>
    </row>
    <row r="11864">
      <c r="A11864">
        <v>11863</v>
      </c>
      <c r="B11864" t="str">
        <v>Công an xã Quảng Lộc  tỉnh Thanh Hóa</v>
      </c>
      <c r="C11864" t="str">
        <v>-</v>
      </c>
      <c r="D11864" t="str">
        <v>-</v>
      </c>
      <c r="E11864" t="str">
        <v/>
      </c>
      <c r="F11864" t="str">
        <v>-</v>
      </c>
      <c r="G11864" t="str">
        <v>-</v>
      </c>
    </row>
    <row r="11865">
      <c r="A11865">
        <v>11864</v>
      </c>
      <c r="B11865" t="str">
        <v>UBND Ủy ban nhân dân xã Quảng Lộc  tỉnh Thanh Hóa</v>
      </c>
      <c r="C11865" t="str">
        <v>-</v>
      </c>
      <c r="D11865" t="str">
        <v>-</v>
      </c>
      <c r="E11865" t="str">
        <v>-</v>
      </c>
      <c r="F11865" t="str">
        <v>-</v>
      </c>
      <c r="G11865" t="str">
        <v>-</v>
      </c>
    </row>
    <row r="11866">
      <c r="A11866">
        <v>11865</v>
      </c>
      <c r="B11866" t="str">
        <v>Công an xã Quảng Lợi  tỉnh Thanh Hóa</v>
      </c>
      <c r="C11866" t="str">
        <v>-</v>
      </c>
      <c r="D11866" t="str">
        <v>-</v>
      </c>
      <c r="E11866" t="str">
        <v/>
      </c>
      <c r="F11866" t="str">
        <v>-</v>
      </c>
      <c r="G11866" t="str">
        <v>-</v>
      </c>
    </row>
    <row r="11867">
      <c r="A11867">
        <v>11866</v>
      </c>
      <c r="B11867" t="str">
        <v>UBND Ủy ban nhân dân xã Quảng Lợi  tỉnh Thanh Hóa</v>
      </c>
      <c r="C11867" t="str">
        <v>-</v>
      </c>
      <c r="D11867" t="str">
        <v>-</v>
      </c>
      <c r="E11867" t="str">
        <v>-</v>
      </c>
      <c r="F11867" t="str">
        <v>-</v>
      </c>
      <c r="G11867" t="str">
        <v>-</v>
      </c>
    </row>
    <row r="11868">
      <c r="A11868">
        <v>11867</v>
      </c>
      <c r="B11868" t="str">
        <v>Công an xã Quảng Nham  tỉnh Thanh Hóa</v>
      </c>
      <c r="C11868" t="str">
        <v>-</v>
      </c>
      <c r="D11868" t="str">
        <v>-</v>
      </c>
      <c r="E11868" t="str">
        <v/>
      </c>
      <c r="F11868" t="str">
        <v>-</v>
      </c>
      <c r="G11868" t="str">
        <v>-</v>
      </c>
    </row>
    <row r="11869">
      <c r="A11869">
        <v>11868</v>
      </c>
      <c r="B11869" t="str">
        <v>UBND Ủy ban nhân dân xã Quảng Nham  tỉnh Thanh Hóa</v>
      </c>
      <c r="C11869" t="str">
        <v>-</v>
      </c>
      <c r="D11869" t="str">
        <v>-</v>
      </c>
      <c r="E11869" t="str">
        <v>-</v>
      </c>
      <c r="F11869" t="str">
        <v>-</v>
      </c>
      <c r="G11869" t="str">
        <v>-</v>
      </c>
    </row>
    <row r="11870">
      <c r="A11870">
        <v>11869</v>
      </c>
      <c r="B11870" t="str">
        <v>Công an xã Quảng Thạch  tỉnh Thanh Hóa</v>
      </c>
      <c r="C11870" t="str">
        <v>-</v>
      </c>
      <c r="D11870" t="str">
        <v>-</v>
      </c>
      <c r="E11870" t="str">
        <v/>
      </c>
      <c r="F11870" t="str">
        <v>-</v>
      </c>
      <c r="G11870" t="str">
        <v>-</v>
      </c>
    </row>
    <row r="11871">
      <c r="A11871">
        <v>11870</v>
      </c>
      <c r="B11871" t="str">
        <v>UBND Ủy ban nhân dân xã Quảng Thạch  tỉnh Thanh Hóa</v>
      </c>
      <c r="C11871" t="str">
        <v>-</v>
      </c>
      <c r="D11871" t="str">
        <v>-</v>
      </c>
      <c r="E11871" t="str">
        <v>-</v>
      </c>
      <c r="F11871" t="str">
        <v>-</v>
      </c>
      <c r="G11871" t="str">
        <v>-</v>
      </c>
    </row>
    <row r="11872">
      <c r="A11872">
        <v>11871</v>
      </c>
      <c r="B11872" t="str">
        <v>Công an xã Quảng Thái  tỉnh Thanh Hóa</v>
      </c>
      <c r="C11872" t="str">
        <v>-</v>
      </c>
      <c r="D11872" t="str">
        <v>-</v>
      </c>
      <c r="E11872" t="str">
        <v/>
      </c>
      <c r="F11872" t="str">
        <v>-</v>
      </c>
      <c r="G11872" t="str">
        <v>-</v>
      </c>
    </row>
    <row r="11873">
      <c r="A11873">
        <v>11872</v>
      </c>
      <c r="B11873" t="str">
        <v>UBND Ủy ban nhân dân xã Quảng Thái  tỉnh Thanh Hóa</v>
      </c>
      <c r="C11873" t="str">
        <v>-</v>
      </c>
      <c r="D11873" t="str">
        <v>-</v>
      </c>
      <c r="E11873" t="str">
        <v>-</v>
      </c>
      <c r="F11873" t="str">
        <v>-</v>
      </c>
      <c r="G11873" t="str">
        <v>-</v>
      </c>
    </row>
    <row r="11874">
      <c r="A11874">
        <v>11873</v>
      </c>
      <c r="B11874" t="str">
        <v>Công an thị trấn Tĩnh Gia  tỉnh Thanh Hóa</v>
      </c>
      <c r="C11874" t="str">
        <v>-</v>
      </c>
      <c r="D11874" t="str">
        <v>-</v>
      </c>
      <c r="E11874" t="str">
        <v/>
      </c>
      <c r="F11874" t="str">
        <v>-</v>
      </c>
      <c r="G11874" t="str">
        <v>-</v>
      </c>
    </row>
    <row r="11875">
      <c r="A11875">
        <v>11874</v>
      </c>
      <c r="B11875" t="str">
        <v>UBND Ủy ban nhân dân thị trấn Tĩnh Gia  tỉnh Thanh Hóa</v>
      </c>
      <c r="C11875" t="str">
        <v>-</v>
      </c>
      <c r="D11875" t="str">
        <v>-</v>
      </c>
      <c r="E11875" t="str">
        <v>-</v>
      </c>
      <c r="F11875" t="str">
        <v>-</v>
      </c>
      <c r="G11875" t="str">
        <v>-</v>
      </c>
    </row>
    <row r="11876">
      <c r="A11876">
        <v>11875</v>
      </c>
      <c r="B11876" t="str">
        <v>Công an xã Hải Châu  tỉnh Thanh Hóa</v>
      </c>
      <c r="C11876" t="str">
        <v>-</v>
      </c>
      <c r="D11876" t="str">
        <v>-</v>
      </c>
      <c r="E11876" t="str">
        <v/>
      </c>
      <c r="F11876" t="str">
        <v>-</v>
      </c>
      <c r="G11876" t="str">
        <v>-</v>
      </c>
    </row>
    <row r="11877">
      <c r="A11877">
        <v>11876</v>
      </c>
      <c r="B11877" t="str">
        <v>UBND Ủy ban nhân dân xã Hải Châu  tỉnh Thanh Hóa</v>
      </c>
      <c r="C11877" t="str">
        <v>-</v>
      </c>
      <c r="D11877" t="str">
        <v>-</v>
      </c>
      <c r="E11877" t="str">
        <v>-</v>
      </c>
      <c r="F11877" t="str">
        <v>-</v>
      </c>
      <c r="G11877" t="str">
        <v>-</v>
      </c>
    </row>
    <row r="11878">
      <c r="A11878">
        <v>11877</v>
      </c>
      <c r="B11878" t="str">
        <v>Công an xã Thanh Thủy  tỉnh Thanh Hóa</v>
      </c>
      <c r="C11878" t="str">
        <v>-</v>
      </c>
      <c r="D11878" t="str">
        <v>-</v>
      </c>
      <c r="E11878" t="str">
        <v/>
      </c>
      <c r="F11878" t="str">
        <v>-</v>
      </c>
      <c r="G11878" t="str">
        <v>-</v>
      </c>
    </row>
    <row r="11879">
      <c r="A11879">
        <v>11878</v>
      </c>
      <c r="B11879" t="str">
        <v>UBND Ủy ban nhân dân xã Thanh Thủy  tỉnh Thanh Hóa</v>
      </c>
      <c r="C11879" t="str">
        <v>-</v>
      </c>
      <c r="D11879" t="str">
        <v>-</v>
      </c>
      <c r="E11879" t="str">
        <v>-</v>
      </c>
      <c r="F11879" t="str">
        <v>-</v>
      </c>
      <c r="G11879" t="str">
        <v>-</v>
      </c>
    </row>
    <row r="11880">
      <c r="A11880">
        <v>11879</v>
      </c>
      <c r="B11880" t="str">
        <v>Công an xã Thanh Sơn  tỉnh Thanh Hóa</v>
      </c>
      <c r="C11880" t="str">
        <v>-</v>
      </c>
      <c r="D11880" t="str">
        <v>-</v>
      </c>
      <c r="E11880" t="str">
        <v/>
      </c>
      <c r="F11880" t="str">
        <v>-</v>
      </c>
      <c r="G11880" t="str">
        <v>-</v>
      </c>
    </row>
    <row r="11881">
      <c r="A11881">
        <v>11880</v>
      </c>
      <c r="B11881" t="str">
        <v>UBND Ủy ban nhân dân xã Thanh Sơn  tỉnh Thanh Hóa</v>
      </c>
      <c r="C11881" t="str">
        <v>-</v>
      </c>
      <c r="D11881" t="str">
        <v>-</v>
      </c>
      <c r="E11881" t="str">
        <v>-</v>
      </c>
      <c r="F11881" t="str">
        <v>-</v>
      </c>
      <c r="G11881" t="str">
        <v>-</v>
      </c>
    </row>
    <row r="11882">
      <c r="A11882">
        <v>11881</v>
      </c>
      <c r="B11882" t="str">
        <v>Công an xã Triêu Dương  tỉnh Thanh Hóa</v>
      </c>
      <c r="C11882" t="str">
        <v>-</v>
      </c>
      <c r="D11882" t="str">
        <v>-</v>
      </c>
      <c r="E11882" t="str">
        <v/>
      </c>
      <c r="F11882" t="str">
        <v>-</v>
      </c>
      <c r="G11882" t="str">
        <v>-</v>
      </c>
    </row>
    <row r="11883">
      <c r="A11883">
        <v>11882</v>
      </c>
      <c r="B11883" t="str">
        <v>UBND Ủy ban nhân dân xã Triêu Dương  tỉnh Thanh Hóa</v>
      </c>
      <c r="C11883" t="str">
        <v>-</v>
      </c>
      <c r="D11883" t="str">
        <v>-</v>
      </c>
      <c r="E11883" t="str">
        <v>-</v>
      </c>
      <c r="F11883" t="str">
        <v>-</v>
      </c>
      <c r="G11883" t="str">
        <v>-</v>
      </c>
    </row>
    <row r="11884">
      <c r="A11884">
        <v>11883</v>
      </c>
      <c r="B11884" t="str">
        <v>Công an xã Hải Ninh  tỉnh Thanh Hóa</v>
      </c>
      <c r="C11884" t="str">
        <v>-</v>
      </c>
      <c r="D11884" t="str">
        <v>-</v>
      </c>
      <c r="E11884" t="str">
        <v/>
      </c>
      <c r="F11884" t="str">
        <v>-</v>
      </c>
      <c r="G11884" t="str">
        <v>-</v>
      </c>
    </row>
    <row r="11885">
      <c r="A11885">
        <v>11884</v>
      </c>
      <c r="B11885" t="str">
        <v>UBND Ủy ban nhân dân xã Hải Ninh  tỉnh Thanh Hóa</v>
      </c>
      <c r="C11885" t="str">
        <v>-</v>
      </c>
      <c r="D11885" t="str">
        <v>-</v>
      </c>
      <c r="E11885" t="str">
        <v>-</v>
      </c>
      <c r="F11885" t="str">
        <v>-</v>
      </c>
      <c r="G11885" t="str">
        <v>-</v>
      </c>
    </row>
    <row r="11886">
      <c r="A11886">
        <v>11885</v>
      </c>
      <c r="B11886" t="str">
        <v>Công an xã Anh Sơn  tỉnh Thanh Hóa</v>
      </c>
      <c r="C11886" t="str">
        <v>-</v>
      </c>
      <c r="D11886" t="str">
        <v>-</v>
      </c>
      <c r="E11886" t="str">
        <v/>
      </c>
      <c r="F11886" t="str">
        <v>-</v>
      </c>
      <c r="G11886" t="str">
        <v>-</v>
      </c>
    </row>
    <row r="11887">
      <c r="A11887">
        <v>11886</v>
      </c>
      <c r="B11887" t="str">
        <v>UBND Ủy ban nhân dân xã Anh Sơn  tỉnh Thanh Hóa</v>
      </c>
      <c r="C11887" t="str">
        <v>-</v>
      </c>
      <c r="D11887" t="str">
        <v>-</v>
      </c>
      <c r="E11887" t="str">
        <v>-</v>
      </c>
      <c r="F11887" t="str">
        <v>-</v>
      </c>
      <c r="G11887" t="str">
        <v>-</v>
      </c>
    </row>
    <row r="11888">
      <c r="A11888">
        <v>11887</v>
      </c>
      <c r="B11888" t="str">
        <v>Công an xã Ngọc Lĩnh  tỉnh Thanh Hóa</v>
      </c>
      <c r="C11888" t="str">
        <v>-</v>
      </c>
      <c r="D11888" t="str">
        <v>-</v>
      </c>
      <c r="E11888" t="str">
        <v/>
      </c>
      <c r="F11888" t="str">
        <v>-</v>
      </c>
      <c r="G11888" t="str">
        <v>-</v>
      </c>
    </row>
    <row r="11889">
      <c r="A11889">
        <v>11888</v>
      </c>
      <c r="B11889" t="str">
        <v>UBND Ủy ban nhân dân xã Ngọc Lĩnh  tỉnh Thanh Hóa</v>
      </c>
      <c r="C11889" t="str">
        <v>-</v>
      </c>
      <c r="D11889" t="str">
        <v>-</v>
      </c>
      <c r="E11889" t="str">
        <v>-</v>
      </c>
      <c r="F11889" t="str">
        <v>-</v>
      </c>
      <c r="G11889" t="str">
        <v>-</v>
      </c>
    </row>
    <row r="11890">
      <c r="A11890">
        <v>11889</v>
      </c>
      <c r="B11890" t="str">
        <v>Công an xã Hải An  tỉnh Thanh Hóa</v>
      </c>
      <c r="C11890" t="str">
        <v>-</v>
      </c>
      <c r="D11890" t="str">
        <v>-</v>
      </c>
      <c r="E11890" t="str">
        <v/>
      </c>
      <c r="F11890" t="str">
        <v>-</v>
      </c>
      <c r="G11890" t="str">
        <v>-</v>
      </c>
    </row>
    <row r="11891">
      <c r="A11891">
        <v>11890</v>
      </c>
      <c r="B11891" t="str">
        <v>UBND Ủy ban nhân dân xã Hải An  tỉnh Thanh Hóa</v>
      </c>
      <c r="C11891" t="str">
        <v>-</v>
      </c>
      <c r="D11891" t="str">
        <v>-</v>
      </c>
      <c r="E11891" t="str">
        <v>-</v>
      </c>
      <c r="F11891" t="str">
        <v>-</v>
      </c>
      <c r="G11891" t="str">
        <v>-</v>
      </c>
    </row>
    <row r="11892">
      <c r="A11892">
        <v>11891</v>
      </c>
      <c r="B11892" t="str">
        <v>Công an xã Hùng Sơn  tỉnh Thanh Hóa</v>
      </c>
      <c r="C11892" t="str">
        <v>-</v>
      </c>
      <c r="D11892" t="str">
        <v>-</v>
      </c>
      <c r="E11892" t="str">
        <v/>
      </c>
      <c r="F11892" t="str">
        <v>-</v>
      </c>
      <c r="G11892" t="str">
        <v>-</v>
      </c>
    </row>
    <row r="11893">
      <c r="A11893">
        <v>11892</v>
      </c>
      <c r="B11893" t="str">
        <v>UBND Ủy ban nhân dân xã Hùng Sơn  tỉnh Thanh Hóa</v>
      </c>
      <c r="C11893" t="str">
        <v>-</v>
      </c>
      <c r="D11893" t="str">
        <v>-</v>
      </c>
      <c r="E11893" t="str">
        <v>-</v>
      </c>
      <c r="F11893" t="str">
        <v>-</v>
      </c>
      <c r="G11893" t="str">
        <v>-</v>
      </c>
    </row>
    <row r="11894">
      <c r="A11894">
        <v>11893</v>
      </c>
      <c r="B11894" t="str">
        <v>Công an xã Các Sơn  tỉnh Thanh Hóa</v>
      </c>
      <c r="C11894" t="str">
        <v>-</v>
      </c>
      <c r="D11894" t="str">
        <v>-</v>
      </c>
      <c r="E11894" t="str">
        <v/>
      </c>
      <c r="F11894" t="str">
        <v>-</v>
      </c>
      <c r="G11894" t="str">
        <v>-</v>
      </c>
    </row>
    <row r="11895">
      <c r="A11895">
        <v>11894</v>
      </c>
      <c r="B11895" t="str">
        <v>UBND Ủy ban nhân dân xã Các Sơn  tỉnh Thanh Hóa</v>
      </c>
      <c r="C11895" t="str">
        <v>-</v>
      </c>
      <c r="D11895" t="str">
        <v>-</v>
      </c>
      <c r="E11895" t="str">
        <v>-</v>
      </c>
      <c r="F11895" t="str">
        <v>-</v>
      </c>
      <c r="G11895" t="str">
        <v>-</v>
      </c>
    </row>
    <row r="11896">
      <c r="A11896">
        <v>11895</v>
      </c>
      <c r="B11896" t="str">
        <v>Công an xã Tân Dân  tỉnh Thanh Hóa</v>
      </c>
      <c r="C11896" t="str">
        <v>-</v>
      </c>
      <c r="D11896" t="str">
        <v>-</v>
      </c>
      <c r="E11896" t="str">
        <v/>
      </c>
      <c r="F11896" t="str">
        <v>-</v>
      </c>
      <c r="G11896" t="str">
        <v>-</v>
      </c>
    </row>
    <row r="11897">
      <c r="A11897">
        <v>11896</v>
      </c>
      <c r="B11897" t="str">
        <v>UBND Ủy ban nhân dân xã Tân Dân  tỉnh Thanh Hóa</v>
      </c>
      <c r="C11897" t="str">
        <v>-</v>
      </c>
      <c r="D11897" t="str">
        <v>-</v>
      </c>
      <c r="E11897" t="str">
        <v>-</v>
      </c>
      <c r="F11897" t="str">
        <v>-</v>
      </c>
      <c r="G11897" t="str">
        <v>-</v>
      </c>
    </row>
    <row r="11898">
      <c r="A11898">
        <v>11897</v>
      </c>
      <c r="B11898" t="str">
        <v>Công an xã Hải Lĩnh  tỉnh Thanh Hóa</v>
      </c>
      <c r="C11898" t="str">
        <v>-</v>
      </c>
      <c r="D11898" t="str">
        <v>-</v>
      </c>
      <c r="E11898" t="str">
        <v/>
      </c>
      <c r="F11898" t="str">
        <v>-</v>
      </c>
      <c r="G11898" t="str">
        <v>-</v>
      </c>
    </row>
    <row r="11899">
      <c r="A11899">
        <v>11898</v>
      </c>
      <c r="B11899" t="str">
        <v>UBND Ủy ban nhân dân xã Hải Lĩnh  tỉnh Thanh Hóa</v>
      </c>
      <c r="C11899" t="str">
        <v>-</v>
      </c>
      <c r="D11899" t="str">
        <v>-</v>
      </c>
      <c r="E11899" t="str">
        <v>-</v>
      </c>
      <c r="F11899" t="str">
        <v>-</v>
      </c>
      <c r="G11899" t="str">
        <v>-</v>
      </c>
    </row>
    <row r="11900">
      <c r="A11900">
        <v>11899</v>
      </c>
      <c r="B11900" t="str">
        <v>Công an xã Định Hải  tỉnh Thanh Hóa</v>
      </c>
      <c r="C11900" t="str">
        <v>-</v>
      </c>
      <c r="D11900" t="str">
        <v>-</v>
      </c>
      <c r="E11900" t="str">
        <v/>
      </c>
      <c r="F11900" t="str">
        <v>-</v>
      </c>
      <c r="G11900" t="str">
        <v>-</v>
      </c>
    </row>
    <row r="11901">
      <c r="A11901">
        <v>11900</v>
      </c>
      <c r="B11901" t="str">
        <v>UBND Ủy ban nhân dân xã Định Hải  tỉnh Thanh Hóa</v>
      </c>
      <c r="C11901" t="str">
        <v>-</v>
      </c>
      <c r="D11901" t="str">
        <v>-</v>
      </c>
      <c r="E11901" t="str">
        <v>-</v>
      </c>
      <c r="F11901" t="str">
        <v>-</v>
      </c>
      <c r="G11901" t="str">
        <v>-</v>
      </c>
    </row>
    <row r="11902">
      <c r="A11902">
        <v>11901</v>
      </c>
      <c r="B11902" t="str">
        <v>Công an xã Phú Sơn  tỉnh Thanh Hóa</v>
      </c>
      <c r="C11902" t="str">
        <v>-</v>
      </c>
      <c r="D11902" t="str">
        <v>-</v>
      </c>
      <c r="E11902" t="str">
        <v/>
      </c>
      <c r="F11902" t="str">
        <v>-</v>
      </c>
      <c r="G11902" t="str">
        <v>-</v>
      </c>
    </row>
    <row r="11903">
      <c r="A11903">
        <v>11902</v>
      </c>
      <c r="B11903" t="str">
        <v>UBND Ủy ban nhân dân xã Phú Sơn  tỉnh Thanh Hóa</v>
      </c>
      <c r="C11903" t="str">
        <v>-</v>
      </c>
      <c r="D11903" t="str">
        <v>-</v>
      </c>
      <c r="E11903" t="str">
        <v>-</v>
      </c>
      <c r="F11903" t="str">
        <v>-</v>
      </c>
      <c r="G11903" t="str">
        <v>-</v>
      </c>
    </row>
    <row r="11904">
      <c r="A11904">
        <v>11903</v>
      </c>
      <c r="B11904" t="str">
        <v>Công an xã Ninh Hải  tỉnh Thanh Hóa</v>
      </c>
      <c r="C11904" t="str">
        <v>-</v>
      </c>
      <c r="D11904" t="str">
        <v>-</v>
      </c>
      <c r="E11904" t="str">
        <v/>
      </c>
      <c r="F11904" t="str">
        <v>-</v>
      </c>
      <c r="G11904" t="str">
        <v>-</v>
      </c>
    </row>
    <row r="11905">
      <c r="A11905">
        <v>11904</v>
      </c>
      <c r="B11905" t="str">
        <v>UBND Ủy ban nhân dân xã Ninh Hải  tỉnh Thanh Hóa</v>
      </c>
      <c r="C11905" t="str">
        <v>-</v>
      </c>
      <c r="D11905" t="str">
        <v>-</v>
      </c>
      <c r="E11905" t="str">
        <v>-</v>
      </c>
      <c r="F11905" t="str">
        <v>-</v>
      </c>
      <c r="G11905" t="str">
        <v>-</v>
      </c>
    </row>
    <row r="11906">
      <c r="A11906">
        <v>11905</v>
      </c>
      <c r="B11906" t="str">
        <v>Công an xã Nguyên Bình  tỉnh Thanh Hóa</v>
      </c>
      <c r="C11906" t="str">
        <v>-</v>
      </c>
      <c r="D11906" t="str">
        <v>-</v>
      </c>
      <c r="E11906" t="str">
        <v/>
      </c>
      <c r="F11906" t="str">
        <v>-</v>
      </c>
      <c r="G11906" t="str">
        <v>-</v>
      </c>
    </row>
    <row r="11907">
      <c r="A11907">
        <v>11906</v>
      </c>
      <c r="B11907" t="str">
        <v>UBND Ủy ban nhân dân xã Nguyên Bình  tỉnh Thanh Hóa</v>
      </c>
      <c r="C11907" t="str">
        <v>-</v>
      </c>
      <c r="D11907" t="str">
        <v>-</v>
      </c>
      <c r="E11907" t="str">
        <v>-</v>
      </c>
      <c r="F11907" t="str">
        <v>-</v>
      </c>
      <c r="G11907" t="str">
        <v>-</v>
      </c>
    </row>
    <row r="11908">
      <c r="A11908">
        <v>11907</v>
      </c>
      <c r="B11908" t="str">
        <v>Công an xã Hải Nhân  tỉnh Thanh Hóa</v>
      </c>
      <c r="C11908" t="str">
        <v>-</v>
      </c>
      <c r="D11908" t="str">
        <v>-</v>
      </c>
      <c r="E11908" t="str">
        <v/>
      </c>
      <c r="F11908" t="str">
        <v>-</v>
      </c>
      <c r="G11908" t="str">
        <v>-</v>
      </c>
    </row>
    <row r="11909">
      <c r="A11909">
        <v>11908</v>
      </c>
      <c r="B11909" t="str">
        <v>UBND Ủy ban nhân dân xã Hải Nhân  tỉnh Thanh Hóa</v>
      </c>
      <c r="C11909" t="str">
        <v>-</v>
      </c>
      <c r="D11909" t="str">
        <v>-</v>
      </c>
      <c r="E11909" t="str">
        <v>-</v>
      </c>
      <c r="F11909" t="str">
        <v>-</v>
      </c>
      <c r="G11909" t="str">
        <v>-</v>
      </c>
    </row>
    <row r="11910">
      <c r="A11910">
        <v>11909</v>
      </c>
      <c r="B11910" t="str">
        <v>Công an xã Hải Hòa  tỉnh Thanh Hóa</v>
      </c>
      <c r="C11910" t="str">
        <v>-</v>
      </c>
      <c r="D11910" t="str">
        <v>-</v>
      </c>
      <c r="E11910" t="str">
        <v/>
      </c>
      <c r="F11910" t="str">
        <v>-</v>
      </c>
      <c r="G11910" t="str">
        <v>-</v>
      </c>
    </row>
    <row r="11911">
      <c r="A11911">
        <v>11910</v>
      </c>
      <c r="B11911" t="str">
        <v>UBND Ủy ban nhân dân xã Hải Hòa  tỉnh Thanh Hóa</v>
      </c>
      <c r="C11911" t="str">
        <v>-</v>
      </c>
      <c r="D11911" t="str">
        <v>-</v>
      </c>
      <c r="E11911" t="str">
        <v>-</v>
      </c>
      <c r="F11911" t="str">
        <v>-</v>
      </c>
      <c r="G11911" t="str">
        <v>-</v>
      </c>
    </row>
    <row r="11912">
      <c r="A11912">
        <v>11911</v>
      </c>
      <c r="B11912" t="str">
        <v>Công an xã Bình Minh  tỉnh Thanh Hóa</v>
      </c>
      <c r="C11912" t="str">
        <v>-</v>
      </c>
      <c r="D11912" t="str">
        <v>-</v>
      </c>
      <c r="E11912" t="str">
        <v/>
      </c>
      <c r="F11912" t="str">
        <v>-</v>
      </c>
      <c r="G11912" t="str">
        <v>-</v>
      </c>
    </row>
    <row r="11913">
      <c r="A11913">
        <v>11912</v>
      </c>
      <c r="B11913" t="str">
        <v>UBND Ủy ban nhân dân xã Bình Minh  tỉnh Thanh Hóa</v>
      </c>
      <c r="C11913" t="str">
        <v>-</v>
      </c>
      <c r="D11913" t="str">
        <v>-</v>
      </c>
      <c r="E11913" t="str">
        <v>-</v>
      </c>
      <c r="F11913" t="str">
        <v>-</v>
      </c>
      <c r="G11913" t="str">
        <v>-</v>
      </c>
    </row>
    <row r="11914">
      <c r="A11914">
        <v>11913</v>
      </c>
      <c r="B11914" t="str">
        <v>Công an xã Hải Thanh  tỉnh Thanh Hóa</v>
      </c>
      <c r="C11914" t="str">
        <v>-</v>
      </c>
      <c r="D11914" t="str">
        <v>-</v>
      </c>
      <c r="E11914" t="str">
        <v/>
      </c>
      <c r="F11914" t="str">
        <v>-</v>
      </c>
      <c r="G11914" t="str">
        <v>-</v>
      </c>
    </row>
    <row r="11915">
      <c r="A11915">
        <v>11914</v>
      </c>
      <c r="B11915" t="str">
        <v>UBND Ủy ban nhân dân xã Hải Thanh  tỉnh Thanh Hóa</v>
      </c>
      <c r="C11915" t="str">
        <v>-</v>
      </c>
      <c r="D11915" t="str">
        <v>-</v>
      </c>
      <c r="E11915" t="str">
        <v>-</v>
      </c>
      <c r="F11915" t="str">
        <v>-</v>
      </c>
      <c r="G11915" t="str">
        <v>-</v>
      </c>
    </row>
    <row r="11916">
      <c r="A11916">
        <v>11915</v>
      </c>
      <c r="B11916" t="str">
        <v>Công an xã Phú Lâm  tỉnh Thanh Hóa</v>
      </c>
      <c r="C11916" t="str">
        <v>-</v>
      </c>
      <c r="D11916" t="str">
        <v>-</v>
      </c>
      <c r="E11916" t="str">
        <v/>
      </c>
      <c r="F11916" t="str">
        <v>-</v>
      </c>
      <c r="G11916" t="str">
        <v>-</v>
      </c>
    </row>
    <row r="11917">
      <c r="A11917">
        <v>11916</v>
      </c>
      <c r="B11917" t="str">
        <v>UBND Ủy ban nhân dân xã Phú Lâm  tỉnh Thanh Hóa</v>
      </c>
      <c r="C11917" t="str">
        <v>-</v>
      </c>
      <c r="D11917" t="str">
        <v>-</v>
      </c>
      <c r="E11917" t="str">
        <v>-</v>
      </c>
      <c r="F11917" t="str">
        <v>-</v>
      </c>
      <c r="G11917" t="str">
        <v>-</v>
      </c>
    </row>
    <row r="11918">
      <c r="A11918">
        <v>11917</v>
      </c>
      <c r="B11918" t="str">
        <v>Công an xã Xuân Lâm  tỉnh Thanh Hóa</v>
      </c>
      <c r="C11918" t="str">
        <v>-</v>
      </c>
      <c r="D11918" t="str">
        <v>-</v>
      </c>
      <c r="E11918" t="str">
        <v/>
      </c>
      <c r="F11918" t="str">
        <v>-</v>
      </c>
      <c r="G11918" t="str">
        <v>-</v>
      </c>
    </row>
    <row r="11919">
      <c r="A11919">
        <v>11918</v>
      </c>
      <c r="B11919" t="str">
        <v>UBND Ủy ban nhân dân xã Xuân Lâm  tỉnh Thanh Hóa</v>
      </c>
      <c r="C11919" t="str">
        <v>-</v>
      </c>
      <c r="D11919" t="str">
        <v>-</v>
      </c>
      <c r="E11919" t="str">
        <v>-</v>
      </c>
      <c r="F11919" t="str">
        <v>-</v>
      </c>
      <c r="G11919" t="str">
        <v>-</v>
      </c>
    </row>
    <row r="11920">
      <c r="A11920">
        <v>11919</v>
      </c>
      <c r="B11920" t="str">
        <v>Công an xã Trúc Lâm  tỉnh Thanh Hóa</v>
      </c>
      <c r="C11920" t="str">
        <v>-</v>
      </c>
      <c r="D11920" t="str">
        <v>-</v>
      </c>
      <c r="E11920" t="str">
        <v/>
      </c>
      <c r="F11920" t="str">
        <v>-</v>
      </c>
      <c r="G11920" t="str">
        <v>-</v>
      </c>
    </row>
    <row r="11921">
      <c r="A11921">
        <v>11920</v>
      </c>
      <c r="B11921" t="str">
        <v>UBND Ủy ban nhân dân xã Trúc Lâm  tỉnh Thanh Hóa</v>
      </c>
      <c r="C11921" t="str">
        <v>-</v>
      </c>
      <c r="D11921" t="str">
        <v>-</v>
      </c>
      <c r="E11921" t="str">
        <v>-</v>
      </c>
      <c r="F11921" t="str">
        <v>-</v>
      </c>
      <c r="G11921" t="str">
        <v>-</v>
      </c>
    </row>
    <row r="11922">
      <c r="A11922">
        <v>11921</v>
      </c>
      <c r="B11922" t="str">
        <v>Công an xã Hải Bình  tỉnh Thanh Hóa</v>
      </c>
      <c r="C11922" t="str">
        <v>-</v>
      </c>
      <c r="D11922" t="str">
        <v>-</v>
      </c>
      <c r="E11922" t="str">
        <v/>
      </c>
      <c r="F11922" t="str">
        <v>-</v>
      </c>
      <c r="G11922" t="str">
        <v>-</v>
      </c>
    </row>
    <row r="11923">
      <c r="A11923">
        <v>11922</v>
      </c>
      <c r="B11923" t="str">
        <v>UBND Ủy ban nhân dân xã Hải Bình  tỉnh Thanh Hóa</v>
      </c>
      <c r="C11923" t="str">
        <v>-</v>
      </c>
      <c r="D11923" t="str">
        <v>-</v>
      </c>
      <c r="E11923" t="str">
        <v>-</v>
      </c>
      <c r="F11923" t="str">
        <v>-</v>
      </c>
      <c r="G11923" t="str">
        <v>-</v>
      </c>
    </row>
    <row r="11924">
      <c r="A11924">
        <v>11923</v>
      </c>
      <c r="B11924" t="str">
        <v>Công an xã Tân Trường  tỉnh Thanh Hóa</v>
      </c>
      <c r="C11924" t="str">
        <v>-</v>
      </c>
      <c r="D11924" t="str">
        <v>-</v>
      </c>
      <c r="E11924" t="str">
        <v/>
      </c>
      <c r="F11924" t="str">
        <v>-</v>
      </c>
      <c r="G11924" t="str">
        <v>-</v>
      </c>
    </row>
    <row r="11925">
      <c r="A11925">
        <v>11924</v>
      </c>
      <c r="B11925" t="str">
        <v>UBND Ủy ban nhân dân xã Tân Trường  tỉnh Thanh Hóa</v>
      </c>
      <c r="C11925" t="str">
        <v>-</v>
      </c>
      <c r="D11925" t="str">
        <v>-</v>
      </c>
      <c r="E11925" t="str">
        <v>-</v>
      </c>
      <c r="F11925" t="str">
        <v>-</v>
      </c>
      <c r="G11925" t="str">
        <v>-</v>
      </c>
    </row>
    <row r="11926">
      <c r="A11926">
        <v>11925</v>
      </c>
      <c r="B11926" t="str">
        <v>Công an xã Tùng Lâm  tỉnh Thanh Hóa</v>
      </c>
      <c r="C11926" t="str">
        <v>-</v>
      </c>
      <c r="D11926" t="str">
        <v>-</v>
      </c>
      <c r="E11926" t="str">
        <v/>
      </c>
      <c r="F11926" t="str">
        <v>-</v>
      </c>
      <c r="G11926" t="str">
        <v>-</v>
      </c>
    </row>
    <row r="11927">
      <c r="A11927">
        <v>11926</v>
      </c>
      <c r="B11927" t="str">
        <v>UBND Ủy ban nhân dân xã Tùng Lâm  tỉnh Thanh Hóa</v>
      </c>
      <c r="C11927" t="str">
        <v>-</v>
      </c>
      <c r="D11927" t="str">
        <v>-</v>
      </c>
      <c r="E11927" t="str">
        <v>-</v>
      </c>
      <c r="F11927" t="str">
        <v>-</v>
      </c>
      <c r="G11927" t="str">
        <v>-</v>
      </c>
    </row>
    <row r="11928">
      <c r="A11928">
        <v>11927</v>
      </c>
      <c r="B11928" t="str">
        <v>Công an xã Tĩnh Hải  tỉnh Thanh Hóa</v>
      </c>
      <c r="C11928" t="str">
        <v>-</v>
      </c>
      <c r="D11928" t="str">
        <v>-</v>
      </c>
      <c r="E11928" t="str">
        <v/>
      </c>
      <c r="F11928" t="str">
        <v>-</v>
      </c>
      <c r="G11928" t="str">
        <v>-</v>
      </c>
    </row>
    <row r="11929">
      <c r="A11929">
        <v>11928</v>
      </c>
      <c r="B11929" t="str">
        <v>UBND Ủy ban nhân dân xã Tĩnh Hải  tỉnh Thanh Hóa</v>
      </c>
      <c r="C11929" t="str">
        <v>-</v>
      </c>
      <c r="D11929" t="str">
        <v>-</v>
      </c>
      <c r="E11929" t="str">
        <v>-</v>
      </c>
      <c r="F11929" t="str">
        <v>-</v>
      </c>
      <c r="G11929" t="str">
        <v>-</v>
      </c>
    </row>
    <row r="11930">
      <c r="A11930">
        <v>11929</v>
      </c>
      <c r="B11930" t="str">
        <v>Công an xã Mai Lâm  tỉnh Thanh Hóa</v>
      </c>
      <c r="C11930" t="str">
        <v>-</v>
      </c>
      <c r="D11930" t="str">
        <v>-</v>
      </c>
      <c r="E11930" t="str">
        <v/>
      </c>
      <c r="F11930" t="str">
        <v>-</v>
      </c>
      <c r="G11930" t="str">
        <v>-</v>
      </c>
    </row>
    <row r="11931">
      <c r="A11931">
        <v>11930</v>
      </c>
      <c r="B11931" t="str">
        <v>UBND Ủy ban nhân dân xã Mai Lâm  tỉnh Thanh Hóa</v>
      </c>
      <c r="C11931" t="str">
        <v>-</v>
      </c>
      <c r="D11931" t="str">
        <v>-</v>
      </c>
      <c r="E11931" t="str">
        <v>-</v>
      </c>
      <c r="F11931" t="str">
        <v>-</v>
      </c>
      <c r="G11931" t="str">
        <v>-</v>
      </c>
    </row>
    <row r="11932">
      <c r="A11932">
        <v>11931</v>
      </c>
      <c r="B11932" t="str">
        <v>Công an xã Trường Lâm  tỉnh Thanh Hóa</v>
      </c>
      <c r="C11932" t="str">
        <v>-</v>
      </c>
      <c r="D11932" t="str">
        <v>-</v>
      </c>
      <c r="E11932" t="str">
        <v/>
      </c>
      <c r="F11932" t="str">
        <v>-</v>
      </c>
      <c r="G11932" t="str">
        <v>-</v>
      </c>
    </row>
    <row r="11933">
      <c r="A11933">
        <v>11932</v>
      </c>
      <c r="B11933" t="str">
        <v>UBND Ủy ban nhân dân xã Trường Lâm  tỉnh Thanh Hóa</v>
      </c>
      <c r="C11933" t="str">
        <v>-</v>
      </c>
      <c r="D11933" t="str">
        <v>-</v>
      </c>
      <c r="E11933" t="str">
        <v>-</v>
      </c>
      <c r="F11933" t="str">
        <v>-</v>
      </c>
      <c r="G11933" t="str">
        <v>-</v>
      </c>
    </row>
    <row r="11934">
      <c r="A11934">
        <v>11933</v>
      </c>
      <c r="B11934" t="str">
        <v>Công an xã Hải Yến  tỉnh Thanh Hóa</v>
      </c>
      <c r="C11934" t="str">
        <v>-</v>
      </c>
      <c r="D11934" t="str">
        <v>-</v>
      </c>
      <c r="E11934" t="str">
        <v/>
      </c>
      <c r="F11934" t="str">
        <v>-</v>
      </c>
      <c r="G11934" t="str">
        <v>-</v>
      </c>
    </row>
    <row r="11935">
      <c r="A11935">
        <v>11934</v>
      </c>
      <c r="B11935" t="str">
        <v>UBND Ủy ban nhân dân xã Hải Yến  tỉnh Thanh Hóa</v>
      </c>
      <c r="C11935" t="str">
        <v>-</v>
      </c>
      <c r="D11935" t="str">
        <v>-</v>
      </c>
      <c r="E11935" t="str">
        <v>-</v>
      </c>
      <c r="F11935" t="str">
        <v>-</v>
      </c>
      <c r="G11935" t="str">
        <v>-</v>
      </c>
    </row>
    <row r="11936">
      <c r="A11936">
        <v>11935</v>
      </c>
      <c r="B11936" t="str">
        <v>Công an xã Hải Thượng  tỉnh Thanh Hóa</v>
      </c>
      <c r="C11936" t="str">
        <v>-</v>
      </c>
      <c r="D11936" t="str">
        <v>-</v>
      </c>
      <c r="E11936" t="str">
        <v/>
      </c>
      <c r="F11936" t="str">
        <v>-</v>
      </c>
      <c r="G11936" t="str">
        <v>-</v>
      </c>
    </row>
    <row r="11937">
      <c r="A11937">
        <v>11936</v>
      </c>
      <c r="B11937" t="str">
        <v>UBND Ủy ban nhân dân xã Hải Thượng  tỉnh Thanh Hóa</v>
      </c>
      <c r="C11937" t="str">
        <v>-</v>
      </c>
      <c r="D11937" t="str">
        <v>-</v>
      </c>
      <c r="E11937" t="str">
        <v>-</v>
      </c>
      <c r="F11937" t="str">
        <v>-</v>
      </c>
      <c r="G11937" t="str">
        <v>-</v>
      </c>
    </row>
    <row r="11938">
      <c r="A11938">
        <v>11937</v>
      </c>
      <c r="B11938" t="str">
        <v>Công an xã Nghi Sơn  tỉnh Thanh Hóa</v>
      </c>
      <c r="C11938" t="str">
        <v>-</v>
      </c>
      <c r="D11938" t="str">
        <v>-</v>
      </c>
      <c r="E11938" t="str">
        <v/>
      </c>
      <c r="F11938" t="str">
        <v>-</v>
      </c>
      <c r="G11938" t="str">
        <v>-</v>
      </c>
    </row>
    <row r="11939">
      <c r="A11939">
        <v>11938</v>
      </c>
      <c r="B11939" t="str">
        <v>UBND Ủy ban nhân dân xã Nghi Sơn  tỉnh Thanh Hóa</v>
      </c>
      <c r="C11939" t="str">
        <v>-</v>
      </c>
      <c r="D11939" t="str">
        <v>-</v>
      </c>
      <c r="E11939" t="str">
        <v>-</v>
      </c>
      <c r="F11939" t="str">
        <v>-</v>
      </c>
      <c r="G11939" t="str">
        <v>-</v>
      </c>
    </row>
    <row r="11940">
      <c r="A11940">
        <v>11939</v>
      </c>
      <c r="B11940" t="str">
        <v>Công an xã Hải Hà  tỉnh Thanh Hóa</v>
      </c>
      <c r="C11940" t="str">
        <v>-</v>
      </c>
      <c r="D11940" t="str">
        <v>-</v>
      </c>
      <c r="E11940" t="str">
        <v/>
      </c>
      <c r="F11940" t="str">
        <v>-</v>
      </c>
      <c r="G11940" t="str">
        <v>-</v>
      </c>
    </row>
    <row r="11941">
      <c r="A11941">
        <v>11940</v>
      </c>
      <c r="B11941" t="str">
        <v>UBND Ủy ban nhân dân xã Hải Hà  tỉnh Thanh Hóa</v>
      </c>
      <c r="C11941" t="str">
        <v>-</v>
      </c>
      <c r="D11941" t="str">
        <v>-</v>
      </c>
      <c r="E11941" t="str">
        <v>-</v>
      </c>
      <c r="F11941" t="str">
        <v>-</v>
      </c>
      <c r="G11941" t="str">
        <v>-</v>
      </c>
    </row>
    <row r="11942">
      <c r="A11942">
        <v>11941</v>
      </c>
      <c r="B11942" t="str">
        <v>Công an phường Đông Vĩnh  tỉnh Nghệ An</v>
      </c>
      <c r="C11942" t="str">
        <v>-</v>
      </c>
      <c r="D11942" t="str">
        <v>-</v>
      </c>
      <c r="E11942" t="str">
        <v/>
      </c>
      <c r="F11942" t="str">
        <v>-</v>
      </c>
      <c r="G11942" t="str">
        <v>-</v>
      </c>
    </row>
    <row r="11943">
      <c r="A11943">
        <v>11942</v>
      </c>
      <c r="B11943" t="str">
        <v>UBND Ủy ban nhân dân phường Đông Vĩnh  tỉnh Nghệ An</v>
      </c>
      <c r="C11943" t="str">
        <v>-</v>
      </c>
      <c r="D11943" t="str">
        <v>-</v>
      </c>
      <c r="E11943" t="str">
        <v>-</v>
      </c>
      <c r="F11943" t="str">
        <v>-</v>
      </c>
      <c r="G11943" t="str">
        <v>-</v>
      </c>
    </row>
    <row r="11944">
      <c r="A11944">
        <v>11943</v>
      </c>
      <c r="B11944" t="str">
        <v>Công an phường Hà Huy Tập  tỉnh Nghệ An</v>
      </c>
      <c r="C11944" t="str">
        <v>-</v>
      </c>
      <c r="D11944" t="str">
        <v>-</v>
      </c>
      <c r="E11944" t="str">
        <v/>
      </c>
      <c r="F11944" t="str">
        <v>-</v>
      </c>
      <c r="G11944" t="str">
        <v>-</v>
      </c>
    </row>
    <row r="11945">
      <c r="A11945">
        <v>11944</v>
      </c>
      <c r="B11945" t="str">
        <v>UBND Ủy ban nhân dân phường Hà Huy Tập  tỉnh Nghệ An</v>
      </c>
      <c r="C11945" t="str">
        <v>-</v>
      </c>
      <c r="D11945" t="str">
        <v>-</v>
      </c>
      <c r="E11945" t="str">
        <v>-</v>
      </c>
      <c r="F11945" t="str">
        <v>-</v>
      </c>
      <c r="G11945" t="str">
        <v>-</v>
      </c>
    </row>
    <row r="11946">
      <c r="A11946">
        <v>11945</v>
      </c>
      <c r="B11946" t="str">
        <v>Công an phường Lê Lợi  tỉnh Nghệ An</v>
      </c>
      <c r="C11946" t="str">
        <v>-</v>
      </c>
      <c r="D11946" t="str">
        <v>-</v>
      </c>
      <c r="E11946" t="str">
        <v/>
      </c>
      <c r="F11946" t="str">
        <v>-</v>
      </c>
      <c r="G11946" t="str">
        <v>-</v>
      </c>
    </row>
    <row r="11947">
      <c r="A11947">
        <v>11946</v>
      </c>
      <c r="B11947" t="str">
        <v>UBND Ủy ban nhân dân phường Lê Lợi  tỉnh Nghệ An</v>
      </c>
      <c r="C11947" t="str">
        <v>-</v>
      </c>
      <c r="D11947" t="str">
        <v>-</v>
      </c>
      <c r="E11947" t="str">
        <v>-</v>
      </c>
      <c r="F11947" t="str">
        <v>-</v>
      </c>
      <c r="G11947" t="str">
        <v>-</v>
      </c>
    </row>
    <row r="11948">
      <c r="A11948">
        <v>11947</v>
      </c>
      <c r="B11948" t="str">
        <v>Công an phường Quán Bàu  tỉnh Nghệ An</v>
      </c>
      <c r="C11948" t="str">
        <v>-</v>
      </c>
      <c r="D11948" t="str">
        <v>-</v>
      </c>
      <c r="E11948" t="str">
        <v/>
      </c>
      <c r="F11948" t="str">
        <v>-</v>
      </c>
      <c r="G11948" t="str">
        <v>-</v>
      </c>
    </row>
    <row r="11949">
      <c r="A11949">
        <v>11948</v>
      </c>
      <c r="B11949" t="str">
        <v>UBND Ủy ban nhân dân phường Quán Bàu  tỉnh Nghệ An</v>
      </c>
      <c r="C11949" t="str">
        <v>-</v>
      </c>
      <c r="D11949" t="str">
        <v>-</v>
      </c>
      <c r="E11949" t="str">
        <v>-</v>
      </c>
      <c r="F11949" t="str">
        <v>-</v>
      </c>
      <c r="G11949" t="str">
        <v>-</v>
      </c>
    </row>
    <row r="11950">
      <c r="A11950">
        <v>11949</v>
      </c>
      <c r="B11950" t="str">
        <v>Công an phường Hưng Bình  tỉnh Nghệ An</v>
      </c>
      <c r="C11950" t="str">
        <v>-</v>
      </c>
      <c r="D11950" t="str">
        <v>-</v>
      </c>
      <c r="E11950" t="str">
        <v/>
      </c>
      <c r="F11950" t="str">
        <v>-</v>
      </c>
      <c r="G11950" t="str">
        <v>-</v>
      </c>
    </row>
    <row r="11951">
      <c r="A11951">
        <v>11950</v>
      </c>
      <c r="B11951" t="str">
        <v>UBND Ủy ban nhân dân phường Hưng Bình  tỉnh Nghệ An</v>
      </c>
      <c r="C11951" t="str">
        <v>-</v>
      </c>
      <c r="D11951" t="str">
        <v>-</v>
      </c>
      <c r="E11951" t="str">
        <v>-</v>
      </c>
      <c r="F11951" t="str">
        <v>-</v>
      </c>
      <c r="G11951" t="str">
        <v>-</v>
      </c>
    </row>
    <row r="11952">
      <c r="A11952">
        <v>11951</v>
      </c>
      <c r="B11952" t="str">
        <v>Công an phường Hưng Phúc  tỉnh Nghệ An</v>
      </c>
      <c r="C11952" t="str">
        <v>-</v>
      </c>
      <c r="D11952" t="str">
        <v>-</v>
      </c>
      <c r="E11952" t="str">
        <v/>
      </c>
      <c r="F11952" t="str">
        <v>-</v>
      </c>
      <c r="G11952" t="str">
        <v>-</v>
      </c>
    </row>
    <row r="11953">
      <c r="A11953">
        <v>11952</v>
      </c>
      <c r="B11953" t="str">
        <v>UBND Ủy ban nhân dân phường Hưng Phúc  tỉnh Nghệ An</v>
      </c>
      <c r="C11953" t="str">
        <v>-</v>
      </c>
      <c r="D11953" t="str">
        <v>-</v>
      </c>
      <c r="E11953" t="str">
        <v>-</v>
      </c>
      <c r="F11953" t="str">
        <v>-</v>
      </c>
      <c r="G11953" t="str">
        <v>-</v>
      </c>
    </row>
    <row r="11954">
      <c r="A11954">
        <v>11953</v>
      </c>
      <c r="B11954" t="str">
        <v>Công an phường Hưng Dũng  tỉnh Nghệ An</v>
      </c>
      <c r="C11954" t="str">
        <v>-</v>
      </c>
      <c r="D11954" t="str">
        <v>-</v>
      </c>
      <c r="E11954" t="str">
        <v/>
      </c>
      <c r="F11954" t="str">
        <v>-</v>
      </c>
      <c r="G11954" t="str">
        <v>-</v>
      </c>
    </row>
    <row r="11955">
      <c r="A11955">
        <v>11954</v>
      </c>
      <c r="B11955" t="str">
        <v>UBND Ủy ban nhân dân phường Hưng Dũng  tỉnh Nghệ An</v>
      </c>
      <c r="C11955" t="str">
        <v>-</v>
      </c>
      <c r="D11955" t="str">
        <v>-</v>
      </c>
      <c r="E11955" t="str">
        <v>-</v>
      </c>
      <c r="F11955" t="str">
        <v>-</v>
      </c>
      <c r="G11955" t="str">
        <v>-</v>
      </c>
    </row>
    <row r="11956">
      <c r="A11956">
        <v>11955</v>
      </c>
      <c r="B11956" t="str">
        <v>Công an phường Cửa Nam  tỉnh Nghệ An</v>
      </c>
      <c r="C11956" t="str">
        <v>-</v>
      </c>
      <c r="D11956" t="str">
        <v>-</v>
      </c>
      <c r="E11956" t="str">
        <v/>
      </c>
      <c r="F11956" t="str">
        <v>-</v>
      </c>
      <c r="G11956" t="str">
        <v>-</v>
      </c>
    </row>
    <row r="11957">
      <c r="A11957">
        <v>11956</v>
      </c>
      <c r="B11957" t="str">
        <v>UBND Ủy ban nhân dân phường Cửa Nam  tỉnh Nghệ An</v>
      </c>
      <c r="C11957" t="str">
        <v>-</v>
      </c>
      <c r="D11957" t="str">
        <v>-</v>
      </c>
      <c r="E11957" t="str">
        <v>-</v>
      </c>
      <c r="F11957" t="str">
        <v>-</v>
      </c>
      <c r="G11957" t="str">
        <v>-</v>
      </c>
    </row>
    <row r="11958">
      <c r="A11958">
        <v>11957</v>
      </c>
      <c r="B11958" t="str">
        <v>Công an phường Quang Trung  tỉnh Nghệ An</v>
      </c>
      <c r="C11958" t="str">
        <v>-</v>
      </c>
      <c r="D11958" t="str">
        <v>-</v>
      </c>
      <c r="E11958" t="str">
        <v/>
      </c>
      <c r="F11958" t="str">
        <v>-</v>
      </c>
      <c r="G11958" t="str">
        <v>-</v>
      </c>
    </row>
    <row r="11959">
      <c r="A11959">
        <v>11958</v>
      </c>
      <c r="B11959" t="str">
        <v>UBND Ủy ban nhân dân phường Quang Trung  tỉnh Nghệ An</v>
      </c>
      <c r="C11959" t="str">
        <v>-</v>
      </c>
      <c r="D11959" t="str">
        <v>-</v>
      </c>
      <c r="E11959" t="str">
        <v>-</v>
      </c>
      <c r="F11959" t="str">
        <v>-</v>
      </c>
      <c r="G11959" t="str">
        <v>-</v>
      </c>
    </row>
    <row r="11960">
      <c r="A11960">
        <v>11959</v>
      </c>
      <c r="B11960" t="str">
        <v>Công an phường Đội Cung  tỉnh Nghệ An</v>
      </c>
      <c r="C11960" t="str">
        <v>-</v>
      </c>
      <c r="D11960" t="str">
        <v>-</v>
      </c>
      <c r="E11960" t="str">
        <v/>
      </c>
      <c r="F11960" t="str">
        <v>-</v>
      </c>
      <c r="G11960" t="str">
        <v>-</v>
      </c>
    </row>
    <row r="11961">
      <c r="A11961">
        <v>11960</v>
      </c>
      <c r="B11961" t="str">
        <v>UBND Ủy ban nhân dân phường Đội Cung  tỉnh Nghệ An</v>
      </c>
      <c r="C11961" t="str">
        <v>-</v>
      </c>
      <c r="D11961" t="str">
        <v>-</v>
      </c>
      <c r="E11961" t="str">
        <v>-</v>
      </c>
      <c r="F11961" t="str">
        <v>-</v>
      </c>
      <c r="G11961" t="str">
        <v>-</v>
      </c>
    </row>
    <row r="11962">
      <c r="A11962">
        <v>11961</v>
      </c>
      <c r="B11962" t="str">
        <v>Công an phường Lê Mao  tỉnh Nghệ An</v>
      </c>
      <c r="C11962" t="str">
        <v>-</v>
      </c>
      <c r="D11962" t="str">
        <v>-</v>
      </c>
      <c r="E11962" t="str">
        <v/>
      </c>
      <c r="F11962" t="str">
        <v>-</v>
      </c>
      <c r="G11962" t="str">
        <v>-</v>
      </c>
    </row>
    <row r="11963">
      <c r="A11963">
        <v>11962</v>
      </c>
      <c r="B11963" t="str">
        <v>UBND Ủy ban nhân dân phường Lê Mao  tỉnh Nghệ An</v>
      </c>
      <c r="C11963" t="str">
        <v>-</v>
      </c>
      <c r="D11963" t="str">
        <v>-</v>
      </c>
      <c r="E11963" t="str">
        <v>-</v>
      </c>
      <c r="F11963" t="str">
        <v>-</v>
      </c>
      <c r="G11963" t="str">
        <v>-</v>
      </c>
    </row>
    <row r="11964">
      <c r="A11964">
        <v>11963</v>
      </c>
      <c r="B11964" t="str">
        <v>Công an phường Trường Thi  tỉnh Nghệ An</v>
      </c>
      <c r="C11964" t="str">
        <v>-</v>
      </c>
      <c r="D11964" t="str">
        <v>-</v>
      </c>
      <c r="E11964" t="str">
        <v/>
      </c>
      <c r="F11964" t="str">
        <v>-</v>
      </c>
      <c r="G11964" t="str">
        <v>-</v>
      </c>
    </row>
    <row r="11965">
      <c r="A11965">
        <v>11964</v>
      </c>
      <c r="B11965" t="str">
        <v>UBND Ủy ban nhân dân phường Trường Thi  tỉnh Nghệ An</v>
      </c>
      <c r="C11965" t="str">
        <v>-</v>
      </c>
      <c r="D11965" t="str">
        <v>-</v>
      </c>
      <c r="E11965" t="str">
        <v>-</v>
      </c>
      <c r="F11965" t="str">
        <v>-</v>
      </c>
      <c r="G11965" t="str">
        <v>-</v>
      </c>
    </row>
    <row r="11966">
      <c r="A11966">
        <v>11965</v>
      </c>
      <c r="B11966" t="str">
        <v>Công an phường Bến Thủy  tỉnh Nghệ An</v>
      </c>
      <c r="C11966" t="str">
        <v>-</v>
      </c>
      <c r="D11966" t="str">
        <v>-</v>
      </c>
      <c r="E11966" t="str">
        <v/>
      </c>
      <c r="F11966" t="str">
        <v>-</v>
      </c>
      <c r="G11966" t="str">
        <v>-</v>
      </c>
    </row>
    <row r="11967">
      <c r="A11967">
        <v>11966</v>
      </c>
      <c r="B11967" t="str">
        <v>UBND Ủy ban nhân dân phường Bến Thủy  tỉnh Nghệ An</v>
      </c>
      <c r="C11967" t="str">
        <v>-</v>
      </c>
      <c r="D11967" t="str">
        <v>-</v>
      </c>
      <c r="E11967" t="str">
        <v>-</v>
      </c>
      <c r="F11967" t="str">
        <v>-</v>
      </c>
      <c r="G11967" t="str">
        <v>-</v>
      </c>
    </row>
    <row r="11968">
      <c r="A11968">
        <v>11967</v>
      </c>
      <c r="B11968" t="str">
        <v>Công an phường Hồng Sơn  tỉnh Nghệ An</v>
      </c>
      <c r="C11968" t="str">
        <v>-</v>
      </c>
      <c r="D11968" t="str">
        <v>-</v>
      </c>
      <c r="E11968" t="str">
        <v/>
      </c>
      <c r="F11968" t="str">
        <v>-</v>
      </c>
      <c r="G11968" t="str">
        <v>-</v>
      </c>
    </row>
    <row r="11969">
      <c r="A11969">
        <v>11968</v>
      </c>
      <c r="B11969" t="str">
        <v>UBND Ủy ban nhân dân phường Hồng Sơn  tỉnh Nghệ An</v>
      </c>
      <c r="C11969" t="str">
        <v>-</v>
      </c>
      <c r="D11969" t="str">
        <v>-</v>
      </c>
      <c r="E11969" t="str">
        <v>-</v>
      </c>
      <c r="F11969" t="str">
        <v>-</v>
      </c>
      <c r="G11969" t="str">
        <v>-</v>
      </c>
    </row>
    <row r="11970">
      <c r="A11970">
        <v>11969</v>
      </c>
      <c r="B11970" t="str">
        <v>Công an phường Trung Đô  tỉnh Nghệ An</v>
      </c>
      <c r="C11970" t="str">
        <v>-</v>
      </c>
      <c r="D11970" t="str">
        <v>-</v>
      </c>
      <c r="E11970" t="str">
        <v/>
      </c>
      <c r="F11970" t="str">
        <v>-</v>
      </c>
      <c r="G11970" t="str">
        <v>-</v>
      </c>
    </row>
    <row r="11971">
      <c r="A11971">
        <v>11970</v>
      </c>
      <c r="B11971" t="str">
        <v>UBND Ủy ban nhân dân phường Trung Đô  tỉnh Nghệ An</v>
      </c>
      <c r="C11971" t="str">
        <v>-</v>
      </c>
      <c r="D11971" t="str">
        <v>-</v>
      </c>
      <c r="E11971" t="str">
        <v>-</v>
      </c>
      <c r="F11971" t="str">
        <v>-</v>
      </c>
      <c r="G11971" t="str">
        <v>-</v>
      </c>
    </row>
    <row r="11972">
      <c r="A11972">
        <v>11971</v>
      </c>
      <c r="B11972" t="str">
        <v>Công an xã Nghi Phú  tỉnh Nghệ An</v>
      </c>
      <c r="C11972" t="str">
        <v>-</v>
      </c>
      <c r="D11972" t="str">
        <v>-</v>
      </c>
      <c r="E11972" t="str">
        <v/>
      </c>
      <c r="F11972" t="str">
        <v>-</v>
      </c>
      <c r="G11972" t="str">
        <v>-</v>
      </c>
    </row>
    <row r="11973">
      <c r="A11973">
        <v>11972</v>
      </c>
      <c r="B11973" t="str">
        <v>UBND Ủy ban nhân dân xã Nghi Phú  tỉnh Nghệ An</v>
      </c>
      <c r="C11973" t="str">
        <v>-</v>
      </c>
      <c r="D11973" t="str">
        <v>-</v>
      </c>
      <c r="E11973" t="str">
        <v>-</v>
      </c>
      <c r="F11973" t="str">
        <v>-</v>
      </c>
      <c r="G11973" t="str">
        <v>-</v>
      </c>
    </row>
    <row r="11974">
      <c r="A11974">
        <v>11973</v>
      </c>
      <c r="B11974" t="str">
        <v>Công an xã Hưng Đông  tỉnh Nghệ An</v>
      </c>
      <c r="C11974" t="str">
        <v>-</v>
      </c>
      <c r="D11974" t="str">
        <v>-</v>
      </c>
      <c r="E11974" t="str">
        <v/>
      </c>
      <c r="F11974" t="str">
        <v>-</v>
      </c>
      <c r="G11974" t="str">
        <v>-</v>
      </c>
    </row>
    <row r="11975">
      <c r="A11975">
        <v>11974</v>
      </c>
      <c r="B11975" t="str">
        <v>UBND Ủy ban nhân dân xã Hưng Đông  tỉnh Nghệ An</v>
      </c>
      <c r="C11975" t="str">
        <v>-</v>
      </c>
      <c r="D11975" t="str">
        <v>-</v>
      </c>
      <c r="E11975" t="str">
        <v>-</v>
      </c>
      <c r="F11975" t="str">
        <v>-</v>
      </c>
      <c r="G11975" t="str">
        <v>-</v>
      </c>
    </row>
    <row r="11976">
      <c r="A11976">
        <v>11975</v>
      </c>
      <c r="B11976" t="str">
        <v>Công an xã Hưng Lộc  tỉnh Nghệ An</v>
      </c>
      <c r="C11976" t="str">
        <v>-</v>
      </c>
      <c r="D11976" t="str">
        <v>-</v>
      </c>
      <c r="E11976" t="str">
        <v/>
      </c>
      <c r="F11976" t="str">
        <v>-</v>
      </c>
      <c r="G11976" t="str">
        <v>-</v>
      </c>
    </row>
    <row r="11977">
      <c r="A11977">
        <v>11976</v>
      </c>
      <c r="B11977" t="str">
        <v>UBND Ủy ban nhân dân xã Hưng Lộc  tỉnh Nghệ An</v>
      </c>
      <c r="C11977" t="str">
        <v>-</v>
      </c>
      <c r="D11977" t="str">
        <v>-</v>
      </c>
      <c r="E11977" t="str">
        <v>-</v>
      </c>
      <c r="F11977" t="str">
        <v>-</v>
      </c>
      <c r="G11977" t="str">
        <v>-</v>
      </c>
    </row>
    <row r="11978">
      <c r="A11978">
        <v>11977</v>
      </c>
      <c r="B11978" t="str">
        <v>Công an xã Hưng Hòa  tỉnh Nghệ An</v>
      </c>
      <c r="C11978" t="str">
        <v>-</v>
      </c>
      <c r="D11978" t="str">
        <v>-</v>
      </c>
      <c r="E11978" t="str">
        <v/>
      </c>
      <c r="F11978" t="str">
        <v>-</v>
      </c>
      <c r="G11978" t="str">
        <v>-</v>
      </c>
    </row>
    <row r="11979">
      <c r="A11979">
        <v>11978</v>
      </c>
      <c r="B11979" t="str">
        <v>UBND Ủy ban nhân dân xã Hưng Hòa  tỉnh Nghệ An</v>
      </c>
      <c r="C11979" t="str">
        <v>-</v>
      </c>
      <c r="D11979" t="str">
        <v>-</v>
      </c>
      <c r="E11979" t="str">
        <v>-</v>
      </c>
      <c r="F11979" t="str">
        <v>-</v>
      </c>
      <c r="G11979" t="str">
        <v>-</v>
      </c>
    </row>
    <row r="11980">
      <c r="A11980">
        <v>11979</v>
      </c>
      <c r="B11980" t="str">
        <v>Công an phường Vinh Tân  tỉnh Nghệ An</v>
      </c>
      <c r="C11980" t="str">
        <v>-</v>
      </c>
      <c r="D11980" t="str">
        <v>-</v>
      </c>
      <c r="E11980" t="str">
        <v/>
      </c>
      <c r="F11980" t="str">
        <v>-</v>
      </c>
      <c r="G11980" t="str">
        <v>-</v>
      </c>
    </row>
    <row r="11981">
      <c r="A11981">
        <v>11980</v>
      </c>
      <c r="B11981" t="str">
        <v>UBND Ủy ban nhân dân phường Vinh Tân  tỉnh Nghệ An</v>
      </c>
      <c r="C11981" t="str">
        <v>-</v>
      </c>
      <c r="D11981" t="str">
        <v>-</v>
      </c>
      <c r="E11981" t="str">
        <v>-</v>
      </c>
      <c r="F11981" t="str">
        <v>-</v>
      </c>
      <c r="G11981" t="str">
        <v>-</v>
      </c>
    </row>
    <row r="11982">
      <c r="A11982">
        <v>11981</v>
      </c>
      <c r="B11982" t="str">
        <v>Công an xã Nghi Liên  tỉnh Nghệ An</v>
      </c>
      <c r="C11982" t="str">
        <v>-</v>
      </c>
      <c r="D11982" t="str">
        <v>-</v>
      </c>
      <c r="E11982" t="str">
        <v/>
      </c>
      <c r="F11982" t="str">
        <v>-</v>
      </c>
      <c r="G11982" t="str">
        <v>-</v>
      </c>
    </row>
    <row r="11983">
      <c r="A11983">
        <v>11982</v>
      </c>
      <c r="B11983" t="str">
        <v>UBND Ủy ban nhân dân xã Nghi Liên  tỉnh Nghệ An</v>
      </c>
      <c r="C11983" t="str">
        <v>-</v>
      </c>
      <c r="D11983" t="str">
        <v>-</v>
      </c>
      <c r="E11983" t="str">
        <v>-</v>
      </c>
      <c r="F11983" t="str">
        <v>-</v>
      </c>
      <c r="G11983" t="str">
        <v>-</v>
      </c>
    </row>
    <row r="11984">
      <c r="A11984">
        <v>11983</v>
      </c>
      <c r="B11984" t="str">
        <v>Công an xã Nghi Ân  tỉnh Nghệ An</v>
      </c>
      <c r="C11984" t="str">
        <v>-</v>
      </c>
      <c r="D11984" t="str">
        <v>-</v>
      </c>
      <c r="E11984" t="str">
        <v/>
      </c>
      <c r="F11984" t="str">
        <v>-</v>
      </c>
      <c r="G11984" t="str">
        <v>-</v>
      </c>
    </row>
    <row r="11985">
      <c r="A11985">
        <v>11984</v>
      </c>
      <c r="B11985" t="str">
        <v>UBND Ủy ban nhân dân xã Nghi Ân  tỉnh Nghệ An</v>
      </c>
      <c r="C11985" t="str">
        <v>-</v>
      </c>
      <c r="D11985" t="str">
        <v>-</v>
      </c>
      <c r="E11985" t="str">
        <v>-</v>
      </c>
      <c r="F11985" t="str">
        <v>-</v>
      </c>
      <c r="G11985" t="str">
        <v>-</v>
      </c>
    </row>
    <row r="11986">
      <c r="A11986">
        <v>11985</v>
      </c>
      <c r="B11986" t="str">
        <v>Công an xã Nghi Kim  tỉnh Nghệ An</v>
      </c>
      <c r="C11986" t="str">
        <v>-</v>
      </c>
      <c r="D11986" t="str">
        <v>-</v>
      </c>
      <c r="E11986" t="str">
        <v/>
      </c>
      <c r="F11986" t="str">
        <v>-</v>
      </c>
      <c r="G11986" t="str">
        <v>-</v>
      </c>
    </row>
    <row r="11987">
      <c r="A11987">
        <v>11986</v>
      </c>
      <c r="B11987" t="str">
        <v>UBND Ủy ban nhân dân xã Nghi Kim  tỉnh Nghệ An</v>
      </c>
      <c r="C11987" t="str">
        <v>-</v>
      </c>
      <c r="D11987" t="str">
        <v>-</v>
      </c>
      <c r="E11987" t="str">
        <v>-</v>
      </c>
      <c r="F11987" t="str">
        <v>-</v>
      </c>
      <c r="G11987" t="str">
        <v>-</v>
      </c>
    </row>
    <row r="11988">
      <c r="A11988">
        <v>11987</v>
      </c>
      <c r="B11988" t="str">
        <v>Công an xã Nghi Đức  tỉnh Nghệ An</v>
      </c>
      <c r="C11988" t="str">
        <v>-</v>
      </c>
      <c r="D11988" t="str">
        <v>-</v>
      </c>
      <c r="E11988" t="str">
        <v/>
      </c>
      <c r="F11988" t="str">
        <v>-</v>
      </c>
      <c r="G11988" t="str">
        <v>-</v>
      </c>
    </row>
    <row r="11989">
      <c r="A11989">
        <v>11988</v>
      </c>
      <c r="B11989" t="str">
        <v>UBND Ủy ban nhân dân xã Nghi Đức  tỉnh Nghệ An</v>
      </c>
      <c r="C11989" t="str">
        <v>-</v>
      </c>
      <c r="D11989" t="str">
        <v>-</v>
      </c>
      <c r="E11989" t="str">
        <v>-</v>
      </c>
      <c r="F11989" t="str">
        <v>-</v>
      </c>
      <c r="G11989" t="str">
        <v>-</v>
      </c>
    </row>
    <row r="11990">
      <c r="A11990">
        <v>11989</v>
      </c>
      <c r="B11990" t="str">
        <v>Công an xã Hưng Chính  tỉnh Nghệ An</v>
      </c>
      <c r="C11990" t="str">
        <v>-</v>
      </c>
      <c r="D11990" t="str">
        <v>-</v>
      </c>
      <c r="E11990" t="str">
        <v/>
      </c>
      <c r="F11990" t="str">
        <v>-</v>
      </c>
      <c r="G11990" t="str">
        <v>-</v>
      </c>
    </row>
    <row r="11991">
      <c r="A11991">
        <v>11990</v>
      </c>
      <c r="B11991" t="str">
        <v>UBND Ủy ban nhân dân xã Hưng Chính  tỉnh Nghệ An</v>
      </c>
      <c r="C11991" t="str">
        <v>-</v>
      </c>
      <c r="D11991" t="str">
        <v>-</v>
      </c>
      <c r="E11991" t="str">
        <v>-</v>
      </c>
      <c r="F11991" t="str">
        <v>-</v>
      </c>
      <c r="G11991" t="str">
        <v>-</v>
      </c>
    </row>
    <row r="11992">
      <c r="A11992">
        <v>11991</v>
      </c>
      <c r="B11992" t="str">
        <v>Công an phường Nghi Thuỷ  tỉnh Nghệ An</v>
      </c>
      <c r="C11992" t="str">
        <v>-</v>
      </c>
      <c r="D11992" t="str">
        <v>-</v>
      </c>
      <c r="E11992" t="str">
        <v/>
      </c>
      <c r="F11992" t="str">
        <v>-</v>
      </c>
      <c r="G11992" t="str">
        <v>-</v>
      </c>
    </row>
    <row r="11993">
      <c r="A11993">
        <v>11992</v>
      </c>
      <c r="B11993" t="str">
        <v>UBND Ủy ban nhân dân phường Nghi Thuỷ  tỉnh Nghệ An</v>
      </c>
      <c r="C11993" t="str">
        <v>-</v>
      </c>
      <c r="D11993" t="str">
        <v>-</v>
      </c>
      <c r="E11993" t="str">
        <v>-</v>
      </c>
      <c r="F11993" t="str">
        <v>-</v>
      </c>
      <c r="G11993" t="str">
        <v>-</v>
      </c>
    </row>
    <row r="11994">
      <c r="A11994">
        <v>11993</v>
      </c>
      <c r="B11994" t="str">
        <v>Công an phường Nghi Tân  tỉnh Nghệ An</v>
      </c>
      <c r="C11994" t="str">
        <v>-</v>
      </c>
      <c r="D11994" t="str">
        <v>-</v>
      </c>
      <c r="E11994" t="str">
        <v/>
      </c>
      <c r="F11994" t="str">
        <v>-</v>
      </c>
      <c r="G11994" t="str">
        <v>-</v>
      </c>
    </row>
    <row r="11995">
      <c r="A11995">
        <v>11994</v>
      </c>
      <c r="B11995" t="str">
        <v>UBND Ủy ban nhân dân phường Nghi Tân  tỉnh Nghệ An</v>
      </c>
      <c r="C11995" t="str">
        <v>-</v>
      </c>
      <c r="D11995" t="str">
        <v>-</v>
      </c>
      <c r="E11995" t="str">
        <v>-</v>
      </c>
      <c r="F11995" t="str">
        <v>-</v>
      </c>
      <c r="G11995" t="str">
        <v>-</v>
      </c>
    </row>
    <row r="11996">
      <c r="A11996">
        <v>11995</v>
      </c>
      <c r="B11996" t="str">
        <v>Công an phường Thu Thuỷ  tỉnh Nghệ An</v>
      </c>
      <c r="C11996" t="str">
        <v>-</v>
      </c>
      <c r="D11996" t="str">
        <v>-</v>
      </c>
      <c r="E11996" t="str">
        <v/>
      </c>
      <c r="F11996" t="str">
        <v>-</v>
      </c>
      <c r="G11996" t="str">
        <v>-</v>
      </c>
    </row>
    <row r="11997">
      <c r="A11997">
        <v>11996</v>
      </c>
      <c r="B11997" t="str">
        <v>UBND Ủy ban nhân dân phường Thu Thuỷ  tỉnh Nghệ An</v>
      </c>
      <c r="C11997" t="str">
        <v>-</v>
      </c>
      <c r="D11997" t="str">
        <v>-</v>
      </c>
      <c r="E11997" t="str">
        <v>-</v>
      </c>
      <c r="F11997" t="str">
        <v>-</v>
      </c>
      <c r="G11997" t="str">
        <v>-</v>
      </c>
    </row>
    <row r="11998">
      <c r="A11998">
        <v>11997</v>
      </c>
      <c r="B11998" t="str">
        <v>Công an phường Nghi Hòa  tỉnh Nghệ An</v>
      </c>
      <c r="C11998" t="str">
        <v>-</v>
      </c>
      <c r="D11998" t="str">
        <v>-</v>
      </c>
      <c r="E11998" t="str">
        <v/>
      </c>
      <c r="F11998" t="str">
        <v>-</v>
      </c>
      <c r="G11998" t="str">
        <v>-</v>
      </c>
    </row>
    <row r="11999">
      <c r="A11999">
        <v>11998</v>
      </c>
      <c r="B11999" t="str">
        <v>UBND Ủy ban nhân dân phường Nghi Hòa  tỉnh Nghệ An</v>
      </c>
      <c r="C11999" t="str">
        <v>-</v>
      </c>
      <c r="D11999" t="str">
        <v>-</v>
      </c>
      <c r="E11999" t="str">
        <v>-</v>
      </c>
      <c r="F11999" t="str">
        <v>-</v>
      </c>
      <c r="G11999" t="str">
        <v>-</v>
      </c>
    </row>
    <row r="12000">
      <c r="A12000">
        <v>11999</v>
      </c>
      <c r="B12000" t="str">
        <v>Công an phường Nghi Hải  tỉnh Nghệ An</v>
      </c>
      <c r="C12000" t="str">
        <v>-</v>
      </c>
      <c r="D12000" t="str">
        <v>-</v>
      </c>
      <c r="E12000" t="str">
        <v/>
      </c>
      <c r="F12000" t="str">
        <v>-</v>
      </c>
      <c r="G12000" t="str">
        <v>-</v>
      </c>
    </row>
    <row r="12001">
      <c r="A12001">
        <v>12000</v>
      </c>
      <c r="B12001" t="str">
        <v>UBND Ủy ban nhân dân phường Nghi Hải  tỉnh Nghệ An</v>
      </c>
      <c r="C12001" t="str">
        <v>-</v>
      </c>
      <c r="D12001" t="str">
        <v>-</v>
      </c>
      <c r="E12001" t="str">
        <v>-</v>
      </c>
      <c r="F12001" t="str">
        <v>-</v>
      </c>
      <c r="G12001" t="str">
        <v>-</v>
      </c>
    </row>
    <row r="12002">
      <c r="A12002">
        <v>12001</v>
      </c>
      <c r="B12002" t="str">
        <v>Công an phường Nghi Hương  tỉnh Nghệ An</v>
      </c>
      <c r="C12002" t="str">
        <v>-</v>
      </c>
      <c r="D12002" t="str">
        <v>-</v>
      </c>
      <c r="E12002" t="str">
        <v/>
      </c>
      <c r="F12002" t="str">
        <v>-</v>
      </c>
      <c r="G12002" t="str">
        <v>-</v>
      </c>
    </row>
    <row r="12003">
      <c r="A12003">
        <v>12002</v>
      </c>
      <c r="B12003" t="str">
        <v>UBND Ủy ban nhân dân phường Nghi Hương  tỉnh Nghệ An</v>
      </c>
      <c r="C12003" t="str">
        <v>-</v>
      </c>
      <c r="D12003" t="str">
        <v>-</v>
      </c>
      <c r="E12003" t="str">
        <v>-</v>
      </c>
      <c r="F12003" t="str">
        <v>-</v>
      </c>
      <c r="G12003" t="str">
        <v>-</v>
      </c>
    </row>
    <row r="12004">
      <c r="A12004">
        <v>12003</v>
      </c>
      <c r="B12004" t="str">
        <v>Công an phường Nghi Thu  tỉnh Nghệ An</v>
      </c>
      <c r="C12004" t="str">
        <v>-</v>
      </c>
      <c r="D12004" t="str">
        <v>-</v>
      </c>
      <c r="E12004" t="str">
        <v/>
      </c>
      <c r="F12004" t="str">
        <v>-</v>
      </c>
      <c r="G12004" t="str">
        <v>-</v>
      </c>
    </row>
    <row r="12005">
      <c r="A12005">
        <v>12004</v>
      </c>
      <c r="B12005" t="str">
        <v>UBND Ủy ban nhân dân phường Nghi Thu  tỉnh Nghệ An</v>
      </c>
      <c r="C12005" t="str">
        <v>-</v>
      </c>
      <c r="D12005" t="str">
        <v>-</v>
      </c>
      <c r="E12005" t="str">
        <v>-</v>
      </c>
      <c r="F12005" t="str">
        <v>-</v>
      </c>
      <c r="G12005" t="str">
        <v>-</v>
      </c>
    </row>
    <row r="12006">
      <c r="A12006">
        <v>12005</v>
      </c>
      <c r="B12006" t="str">
        <v>Công an phường Hoà Hiếu  tỉnh Nghệ An</v>
      </c>
      <c r="C12006" t="str">
        <v>-</v>
      </c>
      <c r="D12006" t="str">
        <v>-</v>
      </c>
      <c r="E12006" t="str">
        <v/>
      </c>
      <c r="F12006" t="str">
        <v>-</v>
      </c>
      <c r="G12006" t="str">
        <v>-</v>
      </c>
    </row>
    <row r="12007">
      <c r="A12007">
        <v>12006</v>
      </c>
      <c r="B12007" t="str">
        <v>UBND Ủy ban nhân dân phường Hoà Hiếu  tỉnh Nghệ An</v>
      </c>
      <c r="C12007" t="str">
        <v>-</v>
      </c>
      <c r="D12007" t="str">
        <v>-</v>
      </c>
      <c r="E12007" t="str">
        <v>-</v>
      </c>
      <c r="F12007" t="str">
        <v>-</v>
      </c>
      <c r="G12007" t="str">
        <v>-</v>
      </c>
    </row>
    <row r="12008">
      <c r="A12008">
        <v>12007</v>
      </c>
      <c r="B12008" t="str">
        <v>Công an phường Quang Phong  tỉnh Nghệ An</v>
      </c>
      <c r="C12008" t="str">
        <v>-</v>
      </c>
      <c r="D12008" t="str">
        <v>-</v>
      </c>
      <c r="E12008" t="str">
        <v/>
      </c>
      <c r="F12008" t="str">
        <v>-</v>
      </c>
      <c r="G12008" t="str">
        <v>-</v>
      </c>
    </row>
    <row r="12009">
      <c r="A12009">
        <v>12008</v>
      </c>
      <c r="B12009" t="str">
        <v>UBND Ủy ban nhân dân phường Quang Phong  tỉnh Nghệ An</v>
      </c>
      <c r="C12009" t="str">
        <v>-</v>
      </c>
      <c r="D12009" t="str">
        <v>-</v>
      </c>
      <c r="E12009" t="str">
        <v>-</v>
      </c>
      <c r="F12009" t="str">
        <v>-</v>
      </c>
      <c r="G12009" t="str">
        <v>-</v>
      </c>
    </row>
    <row r="12010">
      <c r="A12010">
        <v>12009</v>
      </c>
      <c r="B12010" t="str">
        <v>Công an phường Quang Tiến  tỉnh Nghệ An</v>
      </c>
      <c r="C12010" t="str">
        <v>-</v>
      </c>
      <c r="D12010" t="str">
        <v>-</v>
      </c>
      <c r="E12010" t="str">
        <v/>
      </c>
      <c r="F12010" t="str">
        <v>-</v>
      </c>
      <c r="G12010" t="str">
        <v>-</v>
      </c>
    </row>
    <row r="12011">
      <c r="A12011">
        <v>12010</v>
      </c>
      <c r="B12011" t="str">
        <v>UBND Ủy ban nhân dân phường Quang Tiến  tỉnh Nghệ An</v>
      </c>
      <c r="C12011" t="str">
        <v>-</v>
      </c>
      <c r="D12011" t="str">
        <v>-</v>
      </c>
      <c r="E12011" t="str">
        <v>-</v>
      </c>
      <c r="F12011" t="str">
        <v>-</v>
      </c>
      <c r="G12011" t="str">
        <v>-</v>
      </c>
    </row>
    <row r="12012">
      <c r="A12012">
        <v>12011</v>
      </c>
      <c r="B12012" t="str">
        <v>Công an xã Nghĩa Hòa  tỉnh Nghệ An</v>
      </c>
      <c r="C12012" t="str">
        <v>-</v>
      </c>
      <c r="D12012" t="str">
        <v>-</v>
      </c>
      <c r="E12012" t="str">
        <v/>
      </c>
      <c r="F12012" t="str">
        <v>-</v>
      </c>
      <c r="G12012" t="str">
        <v>-</v>
      </c>
    </row>
    <row r="12013">
      <c r="A12013">
        <v>12012</v>
      </c>
      <c r="B12013" t="str">
        <v>UBND Ủy ban nhân dân xã Nghĩa Hòa  tỉnh Nghệ An</v>
      </c>
      <c r="C12013" t="str">
        <v>-</v>
      </c>
      <c r="D12013" t="str">
        <v>-</v>
      </c>
      <c r="E12013" t="str">
        <v>-</v>
      </c>
      <c r="F12013" t="str">
        <v>-</v>
      </c>
      <c r="G12013" t="str">
        <v>-</v>
      </c>
    </row>
    <row r="12014">
      <c r="A12014">
        <v>12013</v>
      </c>
      <c r="B12014" t="str">
        <v>Công an phường Long Sơn  tỉnh Nghệ An</v>
      </c>
      <c r="C12014" t="str">
        <v>-</v>
      </c>
      <c r="D12014" t="str">
        <v>-</v>
      </c>
      <c r="E12014" t="str">
        <v/>
      </c>
      <c r="F12014" t="str">
        <v>-</v>
      </c>
      <c r="G12014" t="str">
        <v>-</v>
      </c>
    </row>
    <row r="12015">
      <c r="A12015">
        <v>12014</v>
      </c>
      <c r="B12015" t="str">
        <v>UBND Ủy ban nhân dân phường Long Sơn  tỉnh Nghệ An</v>
      </c>
      <c r="C12015" t="str">
        <v>-</v>
      </c>
      <c r="D12015" t="str">
        <v>-</v>
      </c>
      <c r="E12015" t="str">
        <v>-</v>
      </c>
      <c r="F12015" t="str">
        <v>-</v>
      </c>
      <c r="G12015" t="str">
        <v>-</v>
      </c>
    </row>
    <row r="12016">
      <c r="A12016">
        <v>12015</v>
      </c>
      <c r="B12016" t="str">
        <v>Công an xã Nghĩa Tiến  tỉnh Nghệ An</v>
      </c>
      <c r="C12016" t="str">
        <v>-</v>
      </c>
      <c r="D12016" t="str">
        <v>-</v>
      </c>
      <c r="E12016" t="str">
        <v/>
      </c>
      <c r="F12016" t="str">
        <v>-</v>
      </c>
      <c r="G12016" t="str">
        <v>-</v>
      </c>
    </row>
    <row r="12017">
      <c r="A12017">
        <v>12016</v>
      </c>
      <c r="B12017" t="str">
        <v>UBND Ủy ban nhân dân xã Nghĩa Tiến  tỉnh Nghệ An</v>
      </c>
      <c r="C12017" t="str">
        <v>-</v>
      </c>
      <c r="D12017" t="str">
        <v>-</v>
      </c>
      <c r="E12017" t="str">
        <v>-</v>
      </c>
      <c r="F12017" t="str">
        <v>-</v>
      </c>
      <c r="G12017" t="str">
        <v>-</v>
      </c>
    </row>
    <row r="12018">
      <c r="A12018">
        <v>12017</v>
      </c>
      <c r="B12018" t="str">
        <v>Công an xã Nghĩa Mỹ  tỉnh Nghệ An</v>
      </c>
      <c r="C12018" t="str">
        <v>-</v>
      </c>
      <c r="D12018" t="str">
        <v>-</v>
      </c>
      <c r="E12018" t="str">
        <v/>
      </c>
      <c r="F12018" t="str">
        <v>-</v>
      </c>
      <c r="G12018" t="str">
        <v>-</v>
      </c>
    </row>
    <row r="12019">
      <c r="A12019">
        <v>12018</v>
      </c>
      <c r="B12019" t="str">
        <v>UBND Ủy ban nhân dân xã Nghĩa Mỹ  tỉnh Nghệ An</v>
      </c>
      <c r="C12019" t="str">
        <v>-</v>
      </c>
      <c r="D12019" t="str">
        <v>-</v>
      </c>
      <c r="E12019" t="str">
        <v>-</v>
      </c>
      <c r="F12019" t="str">
        <v>-</v>
      </c>
      <c r="G12019" t="str">
        <v>-</v>
      </c>
    </row>
    <row r="12020">
      <c r="A12020">
        <v>12019</v>
      </c>
      <c r="B12020" t="str">
        <v>Công an xã Tây Hiếu  tỉnh Nghệ An</v>
      </c>
      <c r="C12020" t="str">
        <v>-</v>
      </c>
      <c r="D12020" t="str">
        <v>-</v>
      </c>
      <c r="E12020" t="str">
        <v/>
      </c>
      <c r="F12020" t="str">
        <v>-</v>
      </c>
      <c r="G12020" t="str">
        <v>-</v>
      </c>
    </row>
    <row r="12021">
      <c r="A12021">
        <v>12020</v>
      </c>
      <c r="B12021" t="str">
        <v>UBND Ủy ban nhân dân xã Tây Hiếu  tỉnh Nghệ An</v>
      </c>
      <c r="C12021" t="str">
        <v>-</v>
      </c>
      <c r="D12021" t="str">
        <v>-</v>
      </c>
      <c r="E12021" t="str">
        <v>-</v>
      </c>
      <c r="F12021" t="str">
        <v>-</v>
      </c>
      <c r="G12021" t="str">
        <v>-</v>
      </c>
    </row>
    <row r="12022">
      <c r="A12022">
        <v>12021</v>
      </c>
      <c r="B12022" t="str">
        <v>Công an xã Nghĩa Thuận  tỉnh Nghệ An</v>
      </c>
      <c r="C12022" t="str">
        <v>-</v>
      </c>
      <c r="D12022" t="str">
        <v>-</v>
      </c>
      <c r="E12022" t="str">
        <v/>
      </c>
      <c r="F12022" t="str">
        <v>-</v>
      </c>
      <c r="G12022" t="str">
        <v>-</v>
      </c>
    </row>
    <row r="12023">
      <c r="A12023">
        <v>12022</v>
      </c>
      <c r="B12023" t="str">
        <v>UBND Ủy ban nhân dân xã Nghĩa Thuận  tỉnh Nghệ An</v>
      </c>
      <c r="C12023" t="str">
        <v>-</v>
      </c>
      <c r="D12023" t="str">
        <v>-</v>
      </c>
      <c r="E12023" t="str">
        <v>-</v>
      </c>
      <c r="F12023" t="str">
        <v>-</v>
      </c>
      <c r="G12023" t="str">
        <v>-</v>
      </c>
    </row>
    <row r="12024">
      <c r="A12024">
        <v>12023</v>
      </c>
      <c r="B12024" t="str">
        <v>Công an xã Đông Hiếu  tỉnh Nghệ An</v>
      </c>
      <c r="C12024" t="str">
        <v>-</v>
      </c>
      <c r="D12024" t="str">
        <v>-</v>
      </c>
      <c r="E12024" t="str">
        <v/>
      </c>
      <c r="F12024" t="str">
        <v>-</v>
      </c>
      <c r="G12024" t="str">
        <v>-</v>
      </c>
    </row>
    <row r="12025">
      <c r="A12025">
        <v>12024</v>
      </c>
      <c r="B12025" t="str">
        <v>UBND Ủy ban nhân dân xã Đông Hiếu  tỉnh Nghệ An</v>
      </c>
      <c r="C12025" t="str">
        <v>-</v>
      </c>
      <c r="D12025" t="str">
        <v>-</v>
      </c>
      <c r="E12025" t="str">
        <v>-</v>
      </c>
      <c r="F12025" t="str">
        <v>-</v>
      </c>
      <c r="G12025" t="str">
        <v>-</v>
      </c>
    </row>
    <row r="12026">
      <c r="A12026">
        <v>12025</v>
      </c>
      <c r="B12026" t="str">
        <v>Công an thị trấn Kim Sơn  tỉnh Nghệ An</v>
      </c>
      <c r="C12026" t="str">
        <v>-</v>
      </c>
      <c r="D12026" t="str">
        <v>-</v>
      </c>
      <c r="E12026" t="str">
        <v/>
      </c>
      <c r="F12026" t="str">
        <v>-</v>
      </c>
      <c r="G12026" t="str">
        <v>-</v>
      </c>
    </row>
    <row r="12027">
      <c r="A12027">
        <v>12026</v>
      </c>
      <c r="B12027" t="str">
        <v>UBND Ủy ban nhân dân thị trấn Kim Sơn  tỉnh Nghệ An</v>
      </c>
      <c r="C12027" t="str">
        <v>-</v>
      </c>
      <c r="D12027" t="str">
        <v>-</v>
      </c>
      <c r="E12027" t="str">
        <v>-</v>
      </c>
      <c r="F12027" t="str">
        <v>-</v>
      </c>
      <c r="G12027" t="str">
        <v>-</v>
      </c>
    </row>
    <row r="12028">
      <c r="A12028">
        <v>12027</v>
      </c>
      <c r="B12028" t="str">
        <v>Công an xã Thông Thụ  tỉnh Nghệ An</v>
      </c>
      <c r="C12028" t="str">
        <v>-</v>
      </c>
      <c r="D12028" t="str">
        <v>-</v>
      </c>
      <c r="E12028" t="str">
        <v/>
      </c>
      <c r="F12028" t="str">
        <v>-</v>
      </c>
      <c r="G12028" t="str">
        <v>-</v>
      </c>
    </row>
    <row r="12029">
      <c r="A12029">
        <v>12028</v>
      </c>
      <c r="B12029" t="str">
        <v>UBND Ủy ban nhân dân xã Thông Thụ  tỉnh Nghệ An</v>
      </c>
      <c r="C12029" t="str">
        <v>-</v>
      </c>
      <c r="D12029" t="str">
        <v>-</v>
      </c>
      <c r="E12029" t="str">
        <v>-</v>
      </c>
      <c r="F12029" t="str">
        <v>-</v>
      </c>
      <c r="G12029" t="str">
        <v>-</v>
      </c>
    </row>
    <row r="12030">
      <c r="A12030">
        <v>12029</v>
      </c>
      <c r="B12030" t="str">
        <v>Công an xã Đồng Văn  tỉnh Nghệ An</v>
      </c>
      <c r="C12030" t="str">
        <v>-</v>
      </c>
      <c r="D12030" t="str">
        <v>-</v>
      </c>
      <c r="E12030" t="str">
        <v/>
      </c>
      <c r="F12030" t="str">
        <v>-</v>
      </c>
      <c r="G12030" t="str">
        <v>-</v>
      </c>
    </row>
    <row r="12031">
      <c r="A12031">
        <v>12030</v>
      </c>
      <c r="B12031" t="str">
        <v>UBND Ủy ban nhân dân xã Đồng Văn  tỉnh Nghệ An</v>
      </c>
      <c r="C12031" t="str">
        <v>-</v>
      </c>
      <c r="D12031" t="str">
        <v>-</v>
      </c>
      <c r="E12031" t="str">
        <v>-</v>
      </c>
      <c r="F12031" t="str">
        <v>-</v>
      </c>
      <c r="G12031" t="str">
        <v>-</v>
      </c>
    </row>
    <row r="12032">
      <c r="A12032">
        <v>12031</v>
      </c>
      <c r="B12032" t="str">
        <v>Công an xã Hạnh Dịch  tỉnh Nghệ An</v>
      </c>
      <c r="C12032" t="str">
        <v>-</v>
      </c>
      <c r="D12032" t="str">
        <v>-</v>
      </c>
      <c r="E12032" t="str">
        <v/>
      </c>
      <c r="F12032" t="str">
        <v>-</v>
      </c>
      <c r="G12032" t="str">
        <v>-</v>
      </c>
    </row>
    <row r="12033">
      <c r="A12033">
        <v>12032</v>
      </c>
      <c r="B12033" t="str">
        <v>UBND Ủy ban nhân dân xã Hạnh Dịch  tỉnh Nghệ An</v>
      </c>
      <c r="C12033" t="str">
        <v>-</v>
      </c>
      <c r="D12033" t="str">
        <v>-</v>
      </c>
      <c r="E12033" t="str">
        <v>-</v>
      </c>
      <c r="F12033" t="str">
        <v>-</v>
      </c>
      <c r="G12033" t="str">
        <v>-</v>
      </c>
    </row>
    <row r="12034">
      <c r="A12034">
        <v>12033</v>
      </c>
      <c r="B12034" t="str">
        <v>Công an xã Tiền Phong  tỉnh Nghệ An</v>
      </c>
      <c r="C12034" t="str">
        <v>-</v>
      </c>
      <c r="D12034" t="str">
        <v>-</v>
      </c>
      <c r="E12034" t="str">
        <v/>
      </c>
      <c r="F12034" t="str">
        <v>-</v>
      </c>
      <c r="G12034" t="str">
        <v>-</v>
      </c>
    </row>
    <row r="12035">
      <c r="A12035">
        <v>12034</v>
      </c>
      <c r="B12035" t="str">
        <v>UBND Ủy ban nhân dân xã Tiền Phong  tỉnh Nghệ An</v>
      </c>
      <c r="C12035" t="str">
        <v>-</v>
      </c>
      <c r="D12035" t="str">
        <v>-</v>
      </c>
      <c r="E12035" t="str">
        <v>-</v>
      </c>
      <c r="F12035" t="str">
        <v>-</v>
      </c>
      <c r="G12035" t="str">
        <v>-</v>
      </c>
    </row>
    <row r="12036">
      <c r="A12036">
        <v>12035</v>
      </c>
      <c r="B12036" t="str">
        <v>Công an xã Nậm Giải  tỉnh Nghệ An</v>
      </c>
      <c r="C12036" t="str">
        <v>-</v>
      </c>
      <c r="D12036" t="str">
        <v>-</v>
      </c>
      <c r="E12036" t="str">
        <v/>
      </c>
      <c r="F12036" t="str">
        <v>-</v>
      </c>
      <c r="G12036" t="str">
        <v>-</v>
      </c>
    </row>
    <row r="12037">
      <c r="A12037">
        <v>12036</v>
      </c>
      <c r="B12037" t="str">
        <v>UBND Ủy ban nhân dân xã Nậm Giải  tỉnh Nghệ An</v>
      </c>
      <c r="C12037" t="str">
        <v>-</v>
      </c>
      <c r="D12037" t="str">
        <v>-</v>
      </c>
      <c r="E12037" t="str">
        <v>-</v>
      </c>
      <c r="F12037" t="str">
        <v>-</v>
      </c>
      <c r="G12037" t="str">
        <v>-</v>
      </c>
    </row>
    <row r="12038">
      <c r="A12038">
        <v>12037</v>
      </c>
      <c r="B12038" t="str">
        <v>Công an xã Tri Lễ  tỉnh Nghệ An</v>
      </c>
      <c r="C12038" t="str">
        <v>-</v>
      </c>
      <c r="D12038" t="str">
        <v>-</v>
      </c>
      <c r="E12038" t="str">
        <v/>
      </c>
      <c r="F12038" t="str">
        <v>-</v>
      </c>
      <c r="G12038" t="str">
        <v>-</v>
      </c>
    </row>
    <row r="12039">
      <c r="A12039">
        <v>12038</v>
      </c>
      <c r="B12039" t="str">
        <v>UBND Ủy ban nhân dân xã Tri Lễ  tỉnh Nghệ An</v>
      </c>
      <c r="C12039" t="str">
        <v>-</v>
      </c>
      <c r="D12039" t="str">
        <v>-</v>
      </c>
      <c r="E12039" t="str">
        <v>-</v>
      </c>
      <c r="F12039" t="str">
        <v>-</v>
      </c>
      <c r="G12039" t="str">
        <v>-</v>
      </c>
    </row>
    <row r="12040">
      <c r="A12040">
        <v>12039</v>
      </c>
      <c r="B12040" t="str">
        <v>Công an xã Châu Kim  tỉnh Nghệ An</v>
      </c>
      <c r="C12040" t="str">
        <v>-</v>
      </c>
      <c r="D12040" t="str">
        <v>-</v>
      </c>
      <c r="E12040" t="str">
        <v/>
      </c>
      <c r="F12040" t="str">
        <v>-</v>
      </c>
      <c r="G12040" t="str">
        <v>-</v>
      </c>
    </row>
    <row r="12041">
      <c r="A12041">
        <v>12040</v>
      </c>
      <c r="B12041" t="str">
        <v>UBND Ủy ban nhân dân xã Châu Kim  tỉnh Nghệ An</v>
      </c>
      <c r="C12041" t="str">
        <v>-</v>
      </c>
      <c r="D12041" t="str">
        <v>-</v>
      </c>
      <c r="E12041" t="str">
        <v>-</v>
      </c>
      <c r="F12041" t="str">
        <v>-</v>
      </c>
      <c r="G12041" t="str">
        <v>-</v>
      </c>
    </row>
    <row r="12042">
      <c r="A12042">
        <v>12041</v>
      </c>
      <c r="B12042" t="str">
        <v>Công an xã Mường Nọc  tỉnh Nghệ An</v>
      </c>
      <c r="C12042" t="str">
        <v>-</v>
      </c>
      <c r="D12042" t="str">
        <v>-</v>
      </c>
      <c r="E12042" t="str">
        <v/>
      </c>
      <c r="F12042" t="str">
        <v>-</v>
      </c>
      <c r="G12042" t="str">
        <v>-</v>
      </c>
    </row>
    <row r="12043">
      <c r="A12043">
        <v>12042</v>
      </c>
      <c r="B12043" t="str">
        <v>UBND Ủy ban nhân dân xã Mường Nọc  tỉnh Nghệ An</v>
      </c>
      <c r="C12043" t="str">
        <v>-</v>
      </c>
      <c r="D12043" t="str">
        <v>-</v>
      </c>
      <c r="E12043" t="str">
        <v>-</v>
      </c>
      <c r="F12043" t="str">
        <v>-</v>
      </c>
      <c r="G12043" t="str">
        <v>-</v>
      </c>
    </row>
    <row r="12044">
      <c r="A12044">
        <v>12043</v>
      </c>
      <c r="B12044" t="str">
        <v>Công an xã Quế Sơn  tỉnh Nghệ An</v>
      </c>
      <c r="C12044" t="str">
        <v>-</v>
      </c>
      <c r="D12044" t="str">
        <v>-</v>
      </c>
      <c r="E12044" t="str">
        <v/>
      </c>
      <c r="F12044" t="str">
        <v>-</v>
      </c>
      <c r="G12044" t="str">
        <v>-</v>
      </c>
    </row>
    <row r="12045">
      <c r="A12045">
        <v>12044</v>
      </c>
      <c r="B12045" t="str">
        <v>UBND Ủy ban nhân dân xã Quế Sơn  tỉnh Nghệ An</v>
      </c>
      <c r="C12045" t="str">
        <v>-</v>
      </c>
      <c r="D12045" t="str">
        <v>-</v>
      </c>
      <c r="E12045" t="str">
        <v>-</v>
      </c>
      <c r="F12045" t="str">
        <v>-</v>
      </c>
      <c r="G12045" t="str">
        <v>-</v>
      </c>
    </row>
    <row r="12046">
      <c r="A12046">
        <v>12045</v>
      </c>
      <c r="B12046" t="str">
        <v>Công an xã Châu Thôn  tỉnh Nghệ An</v>
      </c>
      <c r="C12046" t="str">
        <v>-</v>
      </c>
      <c r="D12046" t="str">
        <v>-</v>
      </c>
      <c r="E12046" t="str">
        <v/>
      </c>
      <c r="F12046" t="str">
        <v>-</v>
      </c>
      <c r="G12046" t="str">
        <v>-</v>
      </c>
    </row>
    <row r="12047">
      <c r="A12047">
        <v>12046</v>
      </c>
      <c r="B12047" t="str">
        <v>UBND Ủy ban nhân dân xã Châu Thôn  tỉnh Nghệ An</v>
      </c>
      <c r="C12047" t="str">
        <v>-</v>
      </c>
      <c r="D12047" t="str">
        <v>-</v>
      </c>
      <c r="E12047" t="str">
        <v>-</v>
      </c>
      <c r="F12047" t="str">
        <v>-</v>
      </c>
      <c r="G12047" t="str">
        <v>-</v>
      </c>
    </row>
    <row r="12048">
      <c r="A12048">
        <v>12047</v>
      </c>
      <c r="B12048" t="str">
        <v>Công an xã Nậm Nhoóng  tỉnh Nghệ An</v>
      </c>
      <c r="C12048" t="str">
        <v>-</v>
      </c>
      <c r="D12048" t="str">
        <v>-</v>
      </c>
      <c r="E12048" t="str">
        <v/>
      </c>
      <c r="F12048" t="str">
        <v>-</v>
      </c>
      <c r="G12048" t="str">
        <v>-</v>
      </c>
    </row>
    <row r="12049">
      <c r="A12049">
        <v>12048</v>
      </c>
      <c r="B12049" t="str">
        <v>UBND Ủy ban nhân dân xã Nậm Nhoóng  tỉnh Nghệ An</v>
      </c>
      <c r="C12049" t="str">
        <v>-</v>
      </c>
      <c r="D12049" t="str">
        <v>-</v>
      </c>
      <c r="E12049" t="str">
        <v>-</v>
      </c>
      <c r="F12049" t="str">
        <v>-</v>
      </c>
      <c r="G12049" t="str">
        <v>-</v>
      </c>
    </row>
    <row r="12050">
      <c r="A12050">
        <v>12049</v>
      </c>
      <c r="B12050" t="str">
        <v>Công an xã Quang Phong  tỉnh Nghệ An</v>
      </c>
      <c r="C12050" t="str">
        <v>-</v>
      </c>
      <c r="D12050" t="str">
        <v>-</v>
      </c>
      <c r="E12050" t="str">
        <v/>
      </c>
      <c r="F12050" t="str">
        <v>-</v>
      </c>
      <c r="G12050" t="str">
        <v>-</v>
      </c>
    </row>
    <row r="12051">
      <c r="A12051">
        <v>12050</v>
      </c>
      <c r="B12051" t="str">
        <v>UBND Ủy ban nhân dân xã Quang Phong  tỉnh Nghệ An</v>
      </c>
      <c r="C12051" t="str">
        <v>-</v>
      </c>
      <c r="D12051" t="str">
        <v>-</v>
      </c>
      <c r="E12051" t="str">
        <v>-</v>
      </c>
      <c r="F12051" t="str">
        <v>-</v>
      </c>
      <c r="G12051" t="str">
        <v>-</v>
      </c>
    </row>
    <row r="12052">
      <c r="A12052">
        <v>12051</v>
      </c>
      <c r="B12052" t="str">
        <v>Công an xã Căm Muộn  tỉnh Nghệ An</v>
      </c>
      <c r="C12052" t="str">
        <v>-</v>
      </c>
      <c r="D12052" t="str">
        <v>-</v>
      </c>
      <c r="E12052" t="str">
        <v/>
      </c>
      <c r="F12052" t="str">
        <v>-</v>
      </c>
      <c r="G12052" t="str">
        <v>-</v>
      </c>
    </row>
    <row r="12053">
      <c r="A12053">
        <v>12052</v>
      </c>
      <c r="B12053" t="str">
        <v>UBND Ủy ban nhân dân xã Căm Muộn  tỉnh Nghệ An</v>
      </c>
      <c r="C12053" t="str">
        <v>-</v>
      </c>
      <c r="D12053" t="str">
        <v>-</v>
      </c>
      <c r="E12053" t="str">
        <v>-</v>
      </c>
      <c r="F12053" t="str">
        <v>-</v>
      </c>
      <c r="G12053" t="str">
        <v>-</v>
      </c>
    </row>
    <row r="12054">
      <c r="A12054">
        <v>12053</v>
      </c>
      <c r="B12054" t="str">
        <v>Công an thị trấn Tân Lạc  tỉnh Nghệ An</v>
      </c>
      <c r="C12054" t="str">
        <v>-</v>
      </c>
      <c r="D12054" t="str">
        <v>-</v>
      </c>
      <c r="E12054" t="str">
        <v/>
      </c>
      <c r="F12054" t="str">
        <v>-</v>
      </c>
      <c r="G12054" t="str">
        <v>-</v>
      </c>
    </row>
    <row r="12055">
      <c r="A12055">
        <v>12054</v>
      </c>
      <c r="B12055" t="str">
        <v>UBND Ủy ban nhân dân thị trấn Tân Lạc  tỉnh Nghệ An</v>
      </c>
      <c r="C12055" t="str">
        <v>-</v>
      </c>
      <c r="D12055" t="str">
        <v>-</v>
      </c>
      <c r="E12055" t="str">
        <v>-</v>
      </c>
      <c r="F12055" t="str">
        <v>-</v>
      </c>
      <c r="G12055" t="str">
        <v>-</v>
      </c>
    </row>
    <row r="12056">
      <c r="A12056">
        <v>12055</v>
      </c>
      <c r="B12056" t="str">
        <v>Công an xã Châu Bính  tỉnh Nghệ An</v>
      </c>
      <c r="C12056" t="str">
        <v>-</v>
      </c>
      <c r="D12056" t="str">
        <v>-</v>
      </c>
      <c r="E12056" t="str">
        <v/>
      </c>
      <c r="F12056" t="str">
        <v>-</v>
      </c>
      <c r="G12056" t="str">
        <v>-</v>
      </c>
    </row>
    <row r="12057">
      <c r="A12057">
        <v>12056</v>
      </c>
      <c r="B12057" t="str">
        <v>UBND Ủy ban nhân dân xã Châu Bính  tỉnh Nghệ An</v>
      </c>
      <c r="C12057" t="str">
        <v>-</v>
      </c>
      <c r="D12057" t="str">
        <v>-</v>
      </c>
      <c r="E12057" t="str">
        <v>-</v>
      </c>
      <c r="F12057" t="str">
        <v>-</v>
      </c>
      <c r="G12057" t="str">
        <v>-</v>
      </c>
    </row>
    <row r="12058">
      <c r="A12058">
        <v>12057</v>
      </c>
      <c r="B12058" t="str">
        <v>Công an xã Châu Thuận  tỉnh Nghệ An</v>
      </c>
      <c r="C12058" t="str">
        <v>-</v>
      </c>
      <c r="D12058" t="str">
        <v>-</v>
      </c>
      <c r="E12058" t="str">
        <v/>
      </c>
      <c r="F12058" t="str">
        <v>-</v>
      </c>
      <c r="G12058" t="str">
        <v>-</v>
      </c>
    </row>
    <row r="12059">
      <c r="A12059">
        <v>12058</v>
      </c>
      <c r="B12059" t="str">
        <v>UBND Ủy ban nhân dân xã Châu Thuận  tỉnh Nghệ An</v>
      </c>
      <c r="C12059" t="str">
        <v>-</v>
      </c>
      <c r="D12059" t="str">
        <v>-</v>
      </c>
      <c r="E12059" t="str">
        <v>-</v>
      </c>
      <c r="F12059" t="str">
        <v>-</v>
      </c>
      <c r="G12059" t="str">
        <v>-</v>
      </c>
    </row>
    <row r="12060">
      <c r="A12060">
        <v>12059</v>
      </c>
      <c r="B12060" t="str">
        <v>Công an xã Châu Hội  tỉnh Nghệ An</v>
      </c>
      <c r="C12060" t="str">
        <v>-</v>
      </c>
      <c r="D12060" t="str">
        <v>-</v>
      </c>
      <c r="E12060" t="str">
        <v/>
      </c>
      <c r="F12060" t="str">
        <v>-</v>
      </c>
      <c r="G12060" t="str">
        <v>-</v>
      </c>
    </row>
    <row r="12061">
      <c r="A12061">
        <v>12060</v>
      </c>
      <c r="B12061" t="str">
        <v>UBND Ủy ban nhân dân xã Châu Hội  tỉnh Nghệ An</v>
      </c>
      <c r="C12061" t="str">
        <v>-</v>
      </c>
      <c r="D12061" t="str">
        <v>-</v>
      </c>
      <c r="E12061" t="str">
        <v>-</v>
      </c>
      <c r="F12061" t="str">
        <v>-</v>
      </c>
      <c r="G12061" t="str">
        <v>-</v>
      </c>
    </row>
    <row r="12062">
      <c r="A12062">
        <v>12061</v>
      </c>
      <c r="B12062" t="str">
        <v>Công an xã Châu Nga  tỉnh Nghệ An</v>
      </c>
      <c r="C12062" t="str">
        <v>-</v>
      </c>
      <c r="D12062" t="str">
        <v>-</v>
      </c>
      <c r="E12062" t="str">
        <v/>
      </c>
      <c r="F12062" t="str">
        <v>-</v>
      </c>
      <c r="G12062" t="str">
        <v>-</v>
      </c>
    </row>
    <row r="12063">
      <c r="A12063">
        <v>12062</v>
      </c>
      <c r="B12063" t="str">
        <v>UBND Ủy ban nhân dân xã Châu Nga  tỉnh Nghệ An</v>
      </c>
      <c r="C12063" t="str">
        <v>-</v>
      </c>
      <c r="D12063" t="str">
        <v>-</v>
      </c>
      <c r="E12063" t="str">
        <v>-</v>
      </c>
      <c r="F12063" t="str">
        <v>-</v>
      </c>
      <c r="G12063" t="str">
        <v>-</v>
      </c>
    </row>
    <row r="12064">
      <c r="A12064">
        <v>12063</v>
      </c>
      <c r="B12064" t="str">
        <v>Công an xã Châu Tiến  tỉnh Nghệ An</v>
      </c>
      <c r="C12064" t="str">
        <v>-</v>
      </c>
      <c r="D12064" t="str">
        <v>-</v>
      </c>
      <c r="E12064" t="str">
        <v/>
      </c>
      <c r="F12064" t="str">
        <v>-</v>
      </c>
      <c r="G12064" t="str">
        <v>-</v>
      </c>
    </row>
    <row r="12065">
      <c r="A12065">
        <v>12064</v>
      </c>
      <c r="B12065" t="str">
        <v>UBND Ủy ban nhân dân xã Châu Tiến  tỉnh Nghệ An</v>
      </c>
      <c r="C12065" t="str">
        <v>-</v>
      </c>
      <c r="D12065" t="str">
        <v>-</v>
      </c>
      <c r="E12065" t="str">
        <v>-</v>
      </c>
      <c r="F12065" t="str">
        <v>-</v>
      </c>
      <c r="G12065" t="str">
        <v>-</v>
      </c>
    </row>
    <row r="12066">
      <c r="A12066">
        <v>12065</v>
      </c>
      <c r="B12066" t="str">
        <v>Công an xã Châu Hạnh  tỉnh Nghệ An</v>
      </c>
      <c r="C12066" t="str">
        <v>-</v>
      </c>
      <c r="D12066" t="str">
        <v>-</v>
      </c>
      <c r="E12066" t="str">
        <v/>
      </c>
      <c r="F12066" t="str">
        <v>-</v>
      </c>
      <c r="G12066" t="str">
        <v>-</v>
      </c>
    </row>
    <row r="12067">
      <c r="A12067">
        <v>12066</v>
      </c>
      <c r="B12067" t="str">
        <v>UBND Ủy ban nhân dân xã Châu Hạnh  tỉnh Nghệ An</v>
      </c>
      <c r="C12067" t="str">
        <v>-</v>
      </c>
      <c r="D12067" t="str">
        <v>-</v>
      </c>
      <c r="E12067" t="str">
        <v>-</v>
      </c>
      <c r="F12067" t="str">
        <v>-</v>
      </c>
      <c r="G12067" t="str">
        <v>-</v>
      </c>
    </row>
    <row r="12068">
      <c r="A12068">
        <v>12067</v>
      </c>
      <c r="B12068" t="str">
        <v>Công an xã Châu Thắng  tỉnh Nghệ An</v>
      </c>
      <c r="C12068" t="str">
        <v>-</v>
      </c>
      <c r="D12068" t="str">
        <v>-</v>
      </c>
      <c r="E12068" t="str">
        <v/>
      </c>
      <c r="F12068" t="str">
        <v>-</v>
      </c>
      <c r="G12068" t="str">
        <v>-</v>
      </c>
    </row>
    <row r="12069">
      <c r="A12069">
        <v>12068</v>
      </c>
      <c r="B12069" t="str">
        <v>UBND Ủy ban nhân dân xã Châu Thắng  tỉnh Nghệ An</v>
      </c>
      <c r="C12069" t="str">
        <v>-</v>
      </c>
      <c r="D12069" t="str">
        <v>-</v>
      </c>
      <c r="E12069" t="str">
        <v>-</v>
      </c>
      <c r="F12069" t="str">
        <v>-</v>
      </c>
      <c r="G12069" t="str">
        <v>-</v>
      </c>
    </row>
    <row r="12070">
      <c r="A12070">
        <v>12069</v>
      </c>
      <c r="B12070" t="str">
        <v>Công an xã Châu Phong  tỉnh Nghệ An</v>
      </c>
      <c r="C12070" t="str">
        <v>-</v>
      </c>
      <c r="D12070" t="str">
        <v>-</v>
      </c>
      <c r="E12070" t="str">
        <v/>
      </c>
      <c r="F12070" t="str">
        <v>-</v>
      </c>
      <c r="G12070" t="str">
        <v>-</v>
      </c>
    </row>
    <row r="12071">
      <c r="A12071">
        <v>12070</v>
      </c>
      <c r="B12071" t="str">
        <v>UBND Ủy ban nhân dân xã Châu Phong  tỉnh Nghệ An</v>
      </c>
      <c r="C12071" t="str">
        <v>-</v>
      </c>
      <c r="D12071" t="str">
        <v>-</v>
      </c>
      <c r="E12071" t="str">
        <v>-</v>
      </c>
      <c r="F12071" t="str">
        <v>-</v>
      </c>
      <c r="G12071" t="str">
        <v>-</v>
      </c>
    </row>
    <row r="12072">
      <c r="A12072">
        <v>12071</v>
      </c>
      <c r="B12072" t="str">
        <v>Công an xã Châu Bình  tỉnh Nghệ An</v>
      </c>
      <c r="C12072" t="str">
        <v>-</v>
      </c>
      <c r="D12072" t="str">
        <v>-</v>
      </c>
      <c r="E12072" t="str">
        <v/>
      </c>
      <c r="F12072" t="str">
        <v>-</v>
      </c>
      <c r="G12072" t="str">
        <v>-</v>
      </c>
    </row>
    <row r="12073">
      <c r="A12073">
        <v>12072</v>
      </c>
      <c r="B12073" t="str">
        <v>UBND Ủy ban nhân dân xã Châu Bình  tỉnh Nghệ An</v>
      </c>
      <c r="C12073" t="str">
        <v>-</v>
      </c>
      <c r="D12073" t="str">
        <v>-</v>
      </c>
      <c r="E12073" t="str">
        <v>-</v>
      </c>
      <c r="F12073" t="str">
        <v>-</v>
      </c>
      <c r="G12073" t="str">
        <v>-</v>
      </c>
    </row>
    <row r="12074">
      <c r="A12074">
        <v>12073</v>
      </c>
      <c r="B12074" t="str">
        <v>Công an xã Châu Hoàn  tỉnh Nghệ An</v>
      </c>
      <c r="C12074" t="str">
        <v>-</v>
      </c>
      <c r="D12074" t="str">
        <v>-</v>
      </c>
      <c r="E12074" t="str">
        <v/>
      </c>
      <c r="F12074" t="str">
        <v>-</v>
      </c>
      <c r="G12074" t="str">
        <v>-</v>
      </c>
    </row>
    <row r="12075">
      <c r="A12075">
        <v>12074</v>
      </c>
      <c r="B12075" t="str">
        <v>UBND Ủy ban nhân dân xã Châu Hoàn  tỉnh Nghệ An</v>
      </c>
      <c r="C12075" t="str">
        <v>-</v>
      </c>
      <c r="D12075" t="str">
        <v>-</v>
      </c>
      <c r="E12075" t="str">
        <v>-</v>
      </c>
      <c r="F12075" t="str">
        <v>-</v>
      </c>
      <c r="G12075" t="str">
        <v>-</v>
      </c>
    </row>
    <row r="12076">
      <c r="A12076">
        <v>12075</v>
      </c>
      <c r="B12076" t="str">
        <v>Công an xã Diên Lãm  tỉnh Nghệ An</v>
      </c>
      <c r="C12076" t="str">
        <v>-</v>
      </c>
      <c r="D12076" t="str">
        <v>-</v>
      </c>
      <c r="E12076" t="str">
        <v/>
      </c>
      <c r="F12076" t="str">
        <v>-</v>
      </c>
      <c r="G12076" t="str">
        <v>-</v>
      </c>
    </row>
    <row r="12077">
      <c r="A12077">
        <v>12076</v>
      </c>
      <c r="B12077" t="str">
        <v>UBND Ủy ban nhân dân xã Diên Lãm  tỉnh Nghệ An</v>
      </c>
      <c r="C12077" t="str">
        <v>-</v>
      </c>
      <c r="D12077" t="str">
        <v>-</v>
      </c>
      <c r="E12077" t="str">
        <v>-</v>
      </c>
      <c r="F12077" t="str">
        <v>-</v>
      </c>
      <c r="G12077" t="str">
        <v>-</v>
      </c>
    </row>
    <row r="12078">
      <c r="A12078">
        <v>12077</v>
      </c>
      <c r="B12078" t="str">
        <v>Công an thị trấn Mường Xén  tỉnh Nghệ An</v>
      </c>
      <c r="C12078" t="str">
        <v>-</v>
      </c>
      <c r="D12078" t="str">
        <v>-</v>
      </c>
      <c r="E12078" t="str">
        <v/>
      </c>
      <c r="F12078" t="str">
        <v>-</v>
      </c>
      <c r="G12078" t="str">
        <v>-</v>
      </c>
    </row>
    <row r="12079">
      <c r="A12079">
        <v>12078</v>
      </c>
      <c r="B12079" t="str">
        <v>UBND Ủy ban nhân dân thị trấn Mường Xén  tỉnh Nghệ An</v>
      </c>
      <c r="C12079" t="str">
        <v>-</v>
      </c>
      <c r="D12079" t="str">
        <v>-</v>
      </c>
      <c r="E12079" t="str">
        <v>-</v>
      </c>
      <c r="F12079" t="str">
        <v>-</v>
      </c>
      <c r="G12079" t="str">
        <v>-</v>
      </c>
    </row>
    <row r="12080">
      <c r="A12080">
        <v>12079</v>
      </c>
      <c r="B12080" t="str">
        <v>Công an xã Mỹ Lý  tỉnh Nghệ An</v>
      </c>
      <c r="C12080" t="str">
        <v>-</v>
      </c>
      <c r="D12080" t="str">
        <v>-</v>
      </c>
      <c r="E12080" t="str">
        <v/>
      </c>
      <c r="F12080" t="str">
        <v>-</v>
      </c>
      <c r="G12080" t="str">
        <v>-</v>
      </c>
    </row>
    <row r="12081">
      <c r="A12081">
        <v>12080</v>
      </c>
      <c r="B12081" t="str">
        <v>UBND Ủy ban nhân dân xã Mỹ Lý  tỉnh Nghệ An</v>
      </c>
      <c r="C12081" t="str">
        <v>-</v>
      </c>
      <c r="D12081" t="str">
        <v>-</v>
      </c>
      <c r="E12081" t="str">
        <v>-</v>
      </c>
      <c r="F12081" t="str">
        <v>-</v>
      </c>
      <c r="G12081" t="str">
        <v>-</v>
      </c>
    </row>
    <row r="12082">
      <c r="A12082">
        <v>12081</v>
      </c>
      <c r="B12082" t="str">
        <v>Công an xã Bắc Lý  tỉnh Nghệ An</v>
      </c>
      <c r="C12082" t="str">
        <v>-</v>
      </c>
      <c r="D12082" t="str">
        <v>-</v>
      </c>
      <c r="E12082" t="str">
        <v/>
      </c>
      <c r="F12082" t="str">
        <v>-</v>
      </c>
      <c r="G12082" t="str">
        <v>-</v>
      </c>
    </row>
    <row r="12083">
      <c r="A12083">
        <v>12082</v>
      </c>
      <c r="B12083" t="str">
        <v>UBND Ủy ban nhân dân xã Bắc Lý  tỉnh Nghệ An</v>
      </c>
      <c r="C12083" t="str">
        <v>-</v>
      </c>
      <c r="D12083" t="str">
        <v>-</v>
      </c>
      <c r="E12083" t="str">
        <v>-</v>
      </c>
      <c r="F12083" t="str">
        <v>-</v>
      </c>
      <c r="G12083" t="str">
        <v>-</v>
      </c>
    </row>
    <row r="12084">
      <c r="A12084">
        <v>12083</v>
      </c>
      <c r="B12084" t="str">
        <v>Công an xã Keng Đu  tỉnh Nghệ An</v>
      </c>
      <c r="C12084" t="str">
        <v>-</v>
      </c>
      <c r="D12084" t="str">
        <v>-</v>
      </c>
      <c r="E12084" t="str">
        <v/>
      </c>
      <c r="F12084" t="str">
        <v>-</v>
      </c>
      <c r="G12084" t="str">
        <v>-</v>
      </c>
    </row>
    <row r="12085">
      <c r="A12085">
        <v>12084</v>
      </c>
      <c r="B12085" t="str">
        <v>UBND Ủy ban nhân dân xã Keng Đu  tỉnh Nghệ An</v>
      </c>
      <c r="C12085" t="str">
        <v>-</v>
      </c>
      <c r="D12085" t="str">
        <v>-</v>
      </c>
      <c r="E12085" t="str">
        <v>-</v>
      </c>
      <c r="F12085" t="str">
        <v>-</v>
      </c>
      <c r="G12085" t="str">
        <v>-</v>
      </c>
    </row>
    <row r="12086">
      <c r="A12086">
        <v>12085</v>
      </c>
      <c r="B12086" t="str">
        <v>Công an xã Đoọc Mạy  tỉnh Nghệ An</v>
      </c>
      <c r="C12086" t="str">
        <v>-</v>
      </c>
      <c r="D12086" t="str">
        <v>-</v>
      </c>
      <c r="E12086" t="str">
        <v/>
      </c>
      <c r="F12086" t="str">
        <v>-</v>
      </c>
      <c r="G12086" t="str">
        <v>-</v>
      </c>
    </row>
    <row r="12087">
      <c r="A12087">
        <v>12086</v>
      </c>
      <c r="B12087" t="str">
        <v>UBND Ủy ban nhân dân xã Đoọc Mạy  tỉnh Nghệ An</v>
      </c>
      <c r="C12087" t="str">
        <v>-</v>
      </c>
      <c r="D12087" t="str">
        <v>-</v>
      </c>
      <c r="E12087" t="str">
        <v>-</v>
      </c>
      <c r="F12087" t="str">
        <v>-</v>
      </c>
      <c r="G12087" t="str">
        <v>-</v>
      </c>
    </row>
    <row r="12088">
      <c r="A12088">
        <v>12087</v>
      </c>
      <c r="B12088" t="str">
        <v>Công an xã Huồi Tụ  tỉnh Nghệ An</v>
      </c>
      <c r="C12088" t="str">
        <v>-</v>
      </c>
      <c r="D12088" t="str">
        <v>-</v>
      </c>
      <c r="E12088" t="str">
        <v/>
      </c>
      <c r="F12088" t="str">
        <v>-</v>
      </c>
      <c r="G12088" t="str">
        <v>-</v>
      </c>
    </row>
    <row r="12089">
      <c r="A12089">
        <v>12088</v>
      </c>
      <c r="B12089" t="str">
        <v>UBND Ủy ban nhân dân xã Huồi Tụ  tỉnh Nghệ An</v>
      </c>
      <c r="C12089" t="str">
        <v>-</v>
      </c>
      <c r="D12089" t="str">
        <v>-</v>
      </c>
      <c r="E12089" t="str">
        <v>-</v>
      </c>
      <c r="F12089" t="str">
        <v>-</v>
      </c>
      <c r="G12089" t="str">
        <v>-</v>
      </c>
    </row>
    <row r="12090">
      <c r="A12090">
        <v>12089</v>
      </c>
      <c r="B12090" t="str">
        <v>Công an xã Mường Lống  tỉnh Nghệ An</v>
      </c>
      <c r="C12090" t="str">
        <v>-</v>
      </c>
      <c r="D12090" t="str">
        <v>-</v>
      </c>
      <c r="E12090" t="str">
        <v/>
      </c>
      <c r="F12090" t="str">
        <v>-</v>
      </c>
      <c r="G12090" t="str">
        <v>-</v>
      </c>
    </row>
    <row r="12091">
      <c r="A12091">
        <v>12090</v>
      </c>
      <c r="B12091" t="str">
        <v>UBND Ủy ban nhân dân xã Mường Lống  tỉnh Nghệ An</v>
      </c>
      <c r="C12091" t="str">
        <v>-</v>
      </c>
      <c r="D12091" t="str">
        <v>-</v>
      </c>
      <c r="E12091" t="str">
        <v>-</v>
      </c>
      <c r="F12091" t="str">
        <v>-</v>
      </c>
      <c r="G12091" t="str">
        <v>-</v>
      </c>
    </row>
    <row r="12092">
      <c r="A12092">
        <v>12091</v>
      </c>
      <c r="B12092" t="str">
        <v>Công an xã Na Loi  tỉnh Nghệ An</v>
      </c>
      <c r="C12092" t="str">
        <v>-</v>
      </c>
      <c r="D12092" t="str">
        <v>-</v>
      </c>
      <c r="E12092" t="str">
        <v/>
      </c>
      <c r="F12092" t="str">
        <v>-</v>
      </c>
      <c r="G12092" t="str">
        <v>-</v>
      </c>
    </row>
    <row r="12093">
      <c r="A12093">
        <v>12092</v>
      </c>
      <c r="B12093" t="str">
        <v>UBND Ủy ban nhân dân xã Na Loi  tỉnh Nghệ An</v>
      </c>
      <c r="C12093" t="str">
        <v>-</v>
      </c>
      <c r="D12093" t="str">
        <v>-</v>
      </c>
      <c r="E12093" t="str">
        <v>-</v>
      </c>
      <c r="F12093" t="str">
        <v>-</v>
      </c>
      <c r="G12093" t="str">
        <v>-</v>
      </c>
    </row>
    <row r="12094">
      <c r="A12094">
        <v>12093</v>
      </c>
      <c r="B12094" t="str">
        <v>Công an xã Nậm Cắn  tỉnh Nghệ An</v>
      </c>
      <c r="C12094" t="str">
        <v>-</v>
      </c>
      <c r="D12094" t="str">
        <v>-</v>
      </c>
      <c r="E12094" t="str">
        <v/>
      </c>
      <c r="F12094" t="str">
        <v>-</v>
      </c>
      <c r="G12094" t="str">
        <v>-</v>
      </c>
    </row>
    <row r="12095">
      <c r="A12095">
        <v>12094</v>
      </c>
      <c r="B12095" t="str">
        <v>UBND Ủy ban nhân dân xã Nậm Cắn  tỉnh Nghệ An</v>
      </c>
      <c r="C12095" t="str">
        <v>-</v>
      </c>
      <c r="D12095" t="str">
        <v>-</v>
      </c>
      <c r="E12095" t="str">
        <v>-</v>
      </c>
      <c r="F12095" t="str">
        <v>-</v>
      </c>
      <c r="G12095" t="str">
        <v>-</v>
      </c>
    </row>
    <row r="12096">
      <c r="A12096">
        <v>12095</v>
      </c>
      <c r="B12096" t="str">
        <v>Công an xã Bảo Nam  tỉnh Nghệ An</v>
      </c>
      <c r="C12096" t="str">
        <v>-</v>
      </c>
      <c r="D12096" t="str">
        <v>-</v>
      </c>
      <c r="E12096" t="str">
        <v/>
      </c>
      <c r="F12096" t="str">
        <v>-</v>
      </c>
      <c r="G12096" t="str">
        <v>-</v>
      </c>
    </row>
    <row r="12097">
      <c r="A12097">
        <v>12096</v>
      </c>
      <c r="B12097" t="str">
        <v>UBND Ủy ban nhân dân xã Bảo Nam  tỉnh Nghệ An</v>
      </c>
      <c r="C12097" t="str">
        <v>-</v>
      </c>
      <c r="D12097" t="str">
        <v>-</v>
      </c>
      <c r="E12097" t="str">
        <v>-</v>
      </c>
      <c r="F12097" t="str">
        <v>-</v>
      </c>
      <c r="G12097" t="str">
        <v>-</v>
      </c>
    </row>
    <row r="12098">
      <c r="A12098">
        <v>12097</v>
      </c>
      <c r="B12098" t="str">
        <v>Công an xã Phà Đánh  tỉnh Nghệ An</v>
      </c>
      <c r="C12098" t="str">
        <v>-</v>
      </c>
      <c r="D12098" t="str">
        <v>-</v>
      </c>
      <c r="E12098" t="str">
        <v/>
      </c>
      <c r="F12098" t="str">
        <v>-</v>
      </c>
      <c r="G12098" t="str">
        <v>-</v>
      </c>
    </row>
    <row r="12099">
      <c r="A12099">
        <v>12098</v>
      </c>
      <c r="B12099" t="str">
        <v>UBND Ủy ban nhân dân xã Phà Đánh  tỉnh Nghệ An</v>
      </c>
      <c r="C12099" t="str">
        <v>-</v>
      </c>
      <c r="D12099" t="str">
        <v>-</v>
      </c>
      <c r="E12099" t="str">
        <v>-</v>
      </c>
      <c r="F12099" t="str">
        <v>-</v>
      </c>
      <c r="G12099" t="str">
        <v>-</v>
      </c>
    </row>
    <row r="12100">
      <c r="A12100">
        <v>12099</v>
      </c>
      <c r="B12100" t="str">
        <v>Công an xã Bảo Thắng  tỉnh Nghệ An</v>
      </c>
      <c r="C12100" t="str">
        <v>-</v>
      </c>
      <c r="D12100" t="str">
        <v>-</v>
      </c>
      <c r="E12100" t="str">
        <v/>
      </c>
      <c r="F12100" t="str">
        <v>-</v>
      </c>
      <c r="G12100" t="str">
        <v>-</v>
      </c>
    </row>
    <row r="12101">
      <c r="A12101">
        <v>12100</v>
      </c>
      <c r="B12101" t="str">
        <v>UBND Ủy ban nhân dân xã Bảo Thắng  tỉnh Nghệ An</v>
      </c>
      <c r="C12101" t="str">
        <v>-</v>
      </c>
      <c r="D12101" t="str">
        <v>-</v>
      </c>
      <c r="E12101" t="str">
        <v>-</v>
      </c>
      <c r="F12101" t="str">
        <v>-</v>
      </c>
      <c r="G12101" t="str">
        <v>-</v>
      </c>
    </row>
    <row r="12102">
      <c r="A12102">
        <v>12101</v>
      </c>
      <c r="B12102" t="str">
        <v>Công an xã Hữu Lập  tỉnh Nghệ An</v>
      </c>
      <c r="C12102" t="str">
        <v>-</v>
      </c>
      <c r="D12102" t="str">
        <v>-</v>
      </c>
      <c r="E12102" t="str">
        <v/>
      </c>
      <c r="F12102" t="str">
        <v>-</v>
      </c>
      <c r="G12102" t="str">
        <v>-</v>
      </c>
    </row>
    <row r="12103">
      <c r="A12103">
        <v>12102</v>
      </c>
      <c r="B12103" t="str">
        <v>UBND Ủy ban nhân dân xã Hữu Lập  tỉnh Nghệ An</v>
      </c>
      <c r="C12103" t="str">
        <v>-</v>
      </c>
      <c r="D12103" t="str">
        <v>-</v>
      </c>
      <c r="E12103" t="str">
        <v>-</v>
      </c>
      <c r="F12103" t="str">
        <v>-</v>
      </c>
      <c r="G12103" t="str">
        <v>-</v>
      </c>
    </row>
    <row r="12104">
      <c r="A12104">
        <v>12103</v>
      </c>
      <c r="B12104" t="str">
        <v>Công an xã Tà Cạ  tỉnh Nghệ An</v>
      </c>
      <c r="C12104" t="str">
        <v>-</v>
      </c>
      <c r="D12104" t="str">
        <v>-</v>
      </c>
      <c r="E12104" t="str">
        <v/>
      </c>
      <c r="F12104" t="str">
        <v>-</v>
      </c>
      <c r="G12104" t="str">
        <v>-</v>
      </c>
    </row>
    <row r="12105">
      <c r="A12105">
        <v>12104</v>
      </c>
      <c r="B12105" t="str">
        <v>UBND Ủy ban nhân dân xã Tà Cạ  tỉnh Nghệ An</v>
      </c>
      <c r="C12105" t="str">
        <v>-</v>
      </c>
      <c r="D12105" t="str">
        <v>-</v>
      </c>
      <c r="E12105" t="str">
        <v>-</v>
      </c>
      <c r="F12105" t="str">
        <v>-</v>
      </c>
      <c r="G12105" t="str">
        <v>-</v>
      </c>
    </row>
    <row r="12106">
      <c r="A12106">
        <v>12105</v>
      </c>
      <c r="B12106" t="str">
        <v>Công an xã Chiêu Lưu  tỉnh Nghệ An</v>
      </c>
      <c r="C12106" t="str">
        <v>-</v>
      </c>
      <c r="D12106" t="str">
        <v>-</v>
      </c>
      <c r="E12106" t="str">
        <v/>
      </c>
      <c r="F12106" t="str">
        <v>-</v>
      </c>
      <c r="G12106" t="str">
        <v>-</v>
      </c>
    </row>
    <row r="12107">
      <c r="A12107">
        <v>12106</v>
      </c>
      <c r="B12107" t="str">
        <v>UBND Ủy ban nhân dân xã Chiêu Lưu  tỉnh Nghệ An</v>
      </c>
      <c r="C12107" t="str">
        <v>-</v>
      </c>
      <c r="D12107" t="str">
        <v>-</v>
      </c>
      <c r="E12107" t="str">
        <v>-</v>
      </c>
      <c r="F12107" t="str">
        <v>-</v>
      </c>
      <c r="G12107" t="str">
        <v>-</v>
      </c>
    </row>
    <row r="12108">
      <c r="A12108">
        <v>12107</v>
      </c>
      <c r="B12108" t="str">
        <v>Công an xã Mường Típ  tỉnh Nghệ An</v>
      </c>
      <c r="C12108" t="str">
        <v>-</v>
      </c>
      <c r="D12108" t="str">
        <v>-</v>
      </c>
      <c r="E12108" t="str">
        <v/>
      </c>
      <c r="F12108" t="str">
        <v>-</v>
      </c>
      <c r="G12108" t="str">
        <v>-</v>
      </c>
    </row>
    <row r="12109">
      <c r="A12109">
        <v>12108</v>
      </c>
      <c r="B12109" t="str">
        <v>UBND Ủy ban nhân dân xã Mường Típ  tỉnh Nghệ An</v>
      </c>
      <c r="C12109" t="str">
        <v>-</v>
      </c>
      <c r="D12109" t="str">
        <v>-</v>
      </c>
      <c r="E12109" t="str">
        <v>-</v>
      </c>
      <c r="F12109" t="str">
        <v>-</v>
      </c>
      <c r="G12109" t="str">
        <v>-</v>
      </c>
    </row>
    <row r="12110">
      <c r="A12110">
        <v>12109</v>
      </c>
      <c r="B12110" t="str">
        <v>Công an xã Hữu Kiệm  tỉnh Nghệ An</v>
      </c>
      <c r="C12110" t="str">
        <v>-</v>
      </c>
      <c r="D12110" t="str">
        <v>-</v>
      </c>
      <c r="E12110" t="str">
        <v/>
      </c>
      <c r="F12110" t="str">
        <v>-</v>
      </c>
      <c r="G12110" t="str">
        <v>-</v>
      </c>
    </row>
    <row r="12111">
      <c r="A12111">
        <v>12110</v>
      </c>
      <c r="B12111" t="str">
        <v>UBND Ủy ban nhân dân xã Hữu Kiệm  tỉnh Nghệ An</v>
      </c>
      <c r="C12111" t="str">
        <v>-</v>
      </c>
      <c r="D12111" t="str">
        <v>-</v>
      </c>
      <c r="E12111" t="str">
        <v>-</v>
      </c>
      <c r="F12111" t="str">
        <v>-</v>
      </c>
      <c r="G12111" t="str">
        <v>-</v>
      </c>
    </row>
    <row r="12112">
      <c r="A12112">
        <v>12111</v>
      </c>
      <c r="B12112" t="str">
        <v>Công an xã Tây Sơn  tỉnh Nghệ An</v>
      </c>
      <c r="C12112" t="str">
        <v>-</v>
      </c>
      <c r="D12112" t="str">
        <v>-</v>
      </c>
      <c r="E12112" t="str">
        <v/>
      </c>
      <c r="F12112" t="str">
        <v>-</v>
      </c>
      <c r="G12112" t="str">
        <v>-</v>
      </c>
    </row>
    <row r="12113">
      <c r="A12113">
        <v>12112</v>
      </c>
      <c r="B12113" t="str">
        <v>UBND Ủy ban nhân dân xã Tây Sơn  tỉnh Nghệ An</v>
      </c>
      <c r="C12113" t="str">
        <v>-</v>
      </c>
      <c r="D12113" t="str">
        <v>-</v>
      </c>
      <c r="E12113" t="str">
        <v>-</v>
      </c>
      <c r="F12113" t="str">
        <v>-</v>
      </c>
      <c r="G12113" t="str">
        <v>-</v>
      </c>
    </row>
    <row r="12114">
      <c r="A12114">
        <v>12113</v>
      </c>
      <c r="B12114" t="str">
        <v>Công an xã Mường Ải  tỉnh Nghệ An</v>
      </c>
      <c r="C12114" t="str">
        <v>-</v>
      </c>
      <c r="D12114" t="str">
        <v>-</v>
      </c>
      <c r="E12114" t="str">
        <v/>
      </c>
      <c r="F12114" t="str">
        <v>-</v>
      </c>
      <c r="G12114" t="str">
        <v>-</v>
      </c>
    </row>
    <row r="12115">
      <c r="A12115">
        <v>12114</v>
      </c>
      <c r="B12115" t="str">
        <v>UBND Ủy ban nhân dân xã Mường Ải  tỉnh Nghệ An</v>
      </c>
      <c r="C12115" t="str">
        <v>-</v>
      </c>
      <c r="D12115" t="str">
        <v>-</v>
      </c>
      <c r="E12115" t="str">
        <v>-</v>
      </c>
      <c r="F12115" t="str">
        <v>-</v>
      </c>
      <c r="G12115" t="str">
        <v>-</v>
      </c>
    </row>
    <row r="12116">
      <c r="A12116">
        <v>12115</v>
      </c>
      <c r="B12116" t="str">
        <v>Công an xã Na Ngoi  tỉnh Nghệ An</v>
      </c>
      <c r="C12116" t="str">
        <v>-</v>
      </c>
      <c r="D12116" t="str">
        <v>-</v>
      </c>
      <c r="E12116" t="str">
        <v/>
      </c>
      <c r="F12116" t="str">
        <v>-</v>
      </c>
      <c r="G12116" t="str">
        <v>-</v>
      </c>
    </row>
    <row r="12117">
      <c r="A12117">
        <v>12116</v>
      </c>
      <c r="B12117" t="str">
        <v>UBND Ủy ban nhân dân xã Na Ngoi  tỉnh Nghệ An</v>
      </c>
      <c r="C12117" t="str">
        <v>-</v>
      </c>
      <c r="D12117" t="str">
        <v>-</v>
      </c>
      <c r="E12117" t="str">
        <v>-</v>
      </c>
      <c r="F12117" t="str">
        <v>-</v>
      </c>
      <c r="G12117" t="str">
        <v>-</v>
      </c>
    </row>
    <row r="12118">
      <c r="A12118">
        <v>12117</v>
      </c>
      <c r="B12118" t="str">
        <v>Công an xã Nậm Càn  tỉnh Nghệ An</v>
      </c>
      <c r="C12118" t="str">
        <v>-</v>
      </c>
      <c r="D12118" t="str">
        <v>-</v>
      </c>
      <c r="E12118" t="str">
        <v/>
      </c>
      <c r="F12118" t="str">
        <v>-</v>
      </c>
      <c r="G12118" t="str">
        <v>-</v>
      </c>
    </row>
    <row r="12119">
      <c r="A12119">
        <v>12118</v>
      </c>
      <c r="B12119" t="str">
        <v>UBND Ủy ban nhân dân xã Nậm Càn  tỉnh Nghệ An</v>
      </c>
      <c r="C12119" t="str">
        <v>-</v>
      </c>
      <c r="D12119" t="str">
        <v>-</v>
      </c>
      <c r="E12119" t="str">
        <v>-</v>
      </c>
      <c r="F12119" t="str">
        <v>-</v>
      </c>
      <c r="G12119" t="str">
        <v>-</v>
      </c>
    </row>
    <row r="12120">
      <c r="A12120">
        <v>12119</v>
      </c>
      <c r="B12120" t="str">
        <v>Công an thị trấn Hòa Bình  tỉnh Nghệ An</v>
      </c>
      <c r="C12120" t="str">
        <v>-</v>
      </c>
      <c r="D12120" t="str">
        <v>-</v>
      </c>
      <c r="E12120" t="str">
        <v/>
      </c>
      <c r="F12120" t="str">
        <v>-</v>
      </c>
      <c r="G12120" t="str">
        <v>-</v>
      </c>
    </row>
    <row r="12121">
      <c r="A12121">
        <v>12120</v>
      </c>
      <c r="B12121" t="str">
        <v>UBND Ủy ban nhân dân thị trấn Hòa Bình  tỉnh Nghệ An</v>
      </c>
      <c r="C12121" t="str">
        <v>-</v>
      </c>
      <c r="D12121" t="str">
        <v>-</v>
      </c>
      <c r="E12121" t="str">
        <v>-</v>
      </c>
      <c r="F12121" t="str">
        <v>-</v>
      </c>
      <c r="G12121" t="str">
        <v>-</v>
      </c>
    </row>
    <row r="12122">
      <c r="A12122">
        <v>12121</v>
      </c>
      <c r="B12122" t="str">
        <v>Công an xã Mai Sơn  tỉnh Nghệ An</v>
      </c>
      <c r="C12122" t="str">
        <v>-</v>
      </c>
      <c r="D12122" t="str">
        <v>-</v>
      </c>
      <c r="E12122" t="str">
        <v/>
      </c>
      <c r="F12122" t="str">
        <v>-</v>
      </c>
      <c r="G12122" t="str">
        <v>-</v>
      </c>
    </row>
    <row r="12123">
      <c r="A12123">
        <v>12122</v>
      </c>
      <c r="B12123" t="str">
        <v>UBND Ủy ban nhân dân xã Mai Sơn  tỉnh Nghệ An</v>
      </c>
      <c r="C12123" t="str">
        <v>-</v>
      </c>
      <c r="D12123" t="str">
        <v>-</v>
      </c>
      <c r="E12123" t="str">
        <v>-</v>
      </c>
      <c r="F12123" t="str">
        <v>-</v>
      </c>
      <c r="G12123" t="str">
        <v>-</v>
      </c>
    </row>
    <row r="12124">
      <c r="A12124">
        <v>12123</v>
      </c>
      <c r="B12124" t="str">
        <v>Công an xã Nhôn Mai  tỉnh Nghệ An</v>
      </c>
      <c r="C12124" t="str">
        <v>-</v>
      </c>
      <c r="D12124" t="str">
        <v>-</v>
      </c>
      <c r="E12124" t="str">
        <v/>
      </c>
      <c r="F12124" t="str">
        <v>-</v>
      </c>
      <c r="G12124" t="str">
        <v>-</v>
      </c>
    </row>
    <row r="12125">
      <c r="A12125">
        <v>12124</v>
      </c>
      <c r="B12125" t="str">
        <v>UBND Ủy ban nhân dân xã Nhôn Mai  tỉnh Nghệ An</v>
      </c>
      <c r="C12125" t="str">
        <v>-</v>
      </c>
      <c r="D12125" t="str">
        <v>-</v>
      </c>
      <c r="E12125" t="str">
        <v>-</v>
      </c>
      <c r="F12125" t="str">
        <v>-</v>
      </c>
      <c r="G12125" t="str">
        <v>-</v>
      </c>
    </row>
    <row r="12126">
      <c r="A12126">
        <v>12125</v>
      </c>
      <c r="B12126" t="str">
        <v>Công an xã Hữu Khuông  tỉnh Nghệ An</v>
      </c>
      <c r="C12126" t="str">
        <v>-</v>
      </c>
      <c r="D12126" t="str">
        <v>-</v>
      </c>
      <c r="E12126" t="str">
        <v/>
      </c>
      <c r="F12126" t="str">
        <v>-</v>
      </c>
      <c r="G12126" t="str">
        <v>-</v>
      </c>
    </row>
    <row r="12127">
      <c r="A12127">
        <v>12126</v>
      </c>
      <c r="B12127" t="str">
        <v>UBND Ủy ban nhân dân xã Hữu Khuông  tỉnh Nghệ An</v>
      </c>
      <c r="C12127" t="str">
        <v>-</v>
      </c>
      <c r="D12127" t="str">
        <v>-</v>
      </c>
      <c r="E12127" t="str">
        <v>-</v>
      </c>
      <c r="F12127" t="str">
        <v>-</v>
      </c>
      <c r="G12127" t="str">
        <v>-</v>
      </c>
    </row>
    <row r="12128">
      <c r="A12128">
        <v>12127</v>
      </c>
      <c r="B12128" t="str">
        <v>Công an xã Yên Tĩnh  tỉnh Nghệ An</v>
      </c>
      <c r="C12128" t="str">
        <v>-</v>
      </c>
      <c r="D12128" t="str">
        <v>-</v>
      </c>
      <c r="E12128" t="str">
        <v/>
      </c>
      <c r="F12128" t="str">
        <v>-</v>
      </c>
      <c r="G12128" t="str">
        <v>-</v>
      </c>
    </row>
    <row r="12129">
      <c r="A12129">
        <v>12128</v>
      </c>
      <c r="B12129" t="str">
        <v>UBND Ủy ban nhân dân xã Yên Tĩnh  tỉnh Nghệ An</v>
      </c>
      <c r="C12129" t="str">
        <v>-</v>
      </c>
      <c r="D12129" t="str">
        <v>-</v>
      </c>
      <c r="E12129" t="str">
        <v>-</v>
      </c>
      <c r="F12129" t="str">
        <v>-</v>
      </c>
      <c r="G12129" t="str">
        <v>-</v>
      </c>
    </row>
    <row r="12130">
      <c r="A12130">
        <v>12129</v>
      </c>
      <c r="B12130" t="str">
        <v>Công an xã Nga My  tỉnh Nghệ An</v>
      </c>
      <c r="C12130" t="str">
        <v>-</v>
      </c>
      <c r="D12130" t="str">
        <v>-</v>
      </c>
      <c r="E12130" t="str">
        <v/>
      </c>
      <c r="F12130" t="str">
        <v>-</v>
      </c>
      <c r="G12130" t="str">
        <v>-</v>
      </c>
    </row>
    <row r="12131">
      <c r="A12131">
        <v>12130</v>
      </c>
      <c r="B12131" t="str">
        <v>UBND Ủy ban nhân dân xã Nga My  tỉnh Nghệ An</v>
      </c>
      <c r="C12131" t="str">
        <v>-</v>
      </c>
      <c r="D12131" t="str">
        <v>-</v>
      </c>
      <c r="E12131" t="str">
        <v>-</v>
      </c>
      <c r="F12131" t="str">
        <v>-</v>
      </c>
      <c r="G12131" t="str">
        <v>-</v>
      </c>
    </row>
    <row r="12132">
      <c r="A12132">
        <v>12131</v>
      </c>
      <c r="B12132" t="str">
        <v>Công an xã Xiêng My  tỉnh Nghệ An</v>
      </c>
      <c r="C12132" t="str">
        <v>-</v>
      </c>
      <c r="D12132" t="str">
        <v>-</v>
      </c>
      <c r="E12132" t="str">
        <v/>
      </c>
      <c r="F12132" t="str">
        <v>-</v>
      </c>
      <c r="G12132" t="str">
        <v>-</v>
      </c>
    </row>
    <row r="12133">
      <c r="A12133">
        <v>12132</v>
      </c>
      <c r="B12133" t="str">
        <v>UBND Ủy ban nhân dân xã Xiêng My  tỉnh Nghệ An</v>
      </c>
      <c r="C12133" t="str">
        <v>-</v>
      </c>
      <c r="D12133" t="str">
        <v>-</v>
      </c>
      <c r="E12133" t="str">
        <v>-</v>
      </c>
      <c r="F12133" t="str">
        <v>-</v>
      </c>
      <c r="G12133" t="str">
        <v>-</v>
      </c>
    </row>
    <row r="12134">
      <c r="A12134">
        <v>12133</v>
      </c>
      <c r="B12134" t="str">
        <v>Công an xã Lưỡng Minh  tỉnh Nghệ An</v>
      </c>
      <c r="C12134" t="str">
        <v>-</v>
      </c>
      <c r="D12134" t="str">
        <v>-</v>
      </c>
      <c r="E12134" t="str">
        <v/>
      </c>
      <c r="F12134" t="str">
        <v>-</v>
      </c>
      <c r="G12134" t="str">
        <v>-</v>
      </c>
    </row>
    <row r="12135">
      <c r="A12135">
        <v>12134</v>
      </c>
      <c r="B12135" t="str">
        <v>UBND Ủy ban nhân dân xã Lưỡng Minh  tỉnh Nghệ An</v>
      </c>
      <c r="C12135" t="str">
        <v>-</v>
      </c>
      <c r="D12135" t="str">
        <v>-</v>
      </c>
      <c r="E12135" t="str">
        <v>-</v>
      </c>
      <c r="F12135" t="str">
        <v>-</v>
      </c>
      <c r="G12135" t="str">
        <v>-</v>
      </c>
    </row>
    <row r="12136">
      <c r="A12136">
        <v>12135</v>
      </c>
      <c r="B12136" t="str">
        <v>Công an xã Yên Hòa  tỉnh Nghệ An</v>
      </c>
      <c r="C12136" t="str">
        <v>-</v>
      </c>
      <c r="D12136" t="str">
        <v>-</v>
      </c>
      <c r="E12136" t="str">
        <v/>
      </c>
      <c r="F12136" t="str">
        <v>-</v>
      </c>
      <c r="G12136" t="str">
        <v>-</v>
      </c>
    </row>
    <row r="12137">
      <c r="A12137">
        <v>12136</v>
      </c>
      <c r="B12137" t="str">
        <v>UBND Ủy ban nhân dân xã Yên Hòa  tỉnh Nghệ An</v>
      </c>
      <c r="C12137" t="str">
        <v>-</v>
      </c>
      <c r="D12137" t="str">
        <v>-</v>
      </c>
      <c r="E12137" t="str">
        <v>-</v>
      </c>
      <c r="F12137" t="str">
        <v>-</v>
      </c>
      <c r="G12137" t="str">
        <v>-</v>
      </c>
    </row>
    <row r="12138">
      <c r="A12138">
        <v>12137</v>
      </c>
      <c r="B12138" t="str">
        <v>Công an xã Yên Na  tỉnh Nghệ An</v>
      </c>
      <c r="C12138" t="str">
        <v>-</v>
      </c>
      <c r="D12138" t="str">
        <v>-</v>
      </c>
      <c r="E12138" t="str">
        <v/>
      </c>
      <c r="F12138" t="str">
        <v>-</v>
      </c>
      <c r="G12138" t="str">
        <v>-</v>
      </c>
    </row>
    <row r="12139">
      <c r="A12139">
        <v>12138</v>
      </c>
      <c r="B12139" t="str">
        <v>UBND Ủy ban nhân dân xã Yên Na  tỉnh Nghệ An</v>
      </c>
      <c r="C12139" t="str">
        <v>-</v>
      </c>
      <c r="D12139" t="str">
        <v>-</v>
      </c>
      <c r="E12139" t="str">
        <v>-</v>
      </c>
      <c r="F12139" t="str">
        <v>-</v>
      </c>
      <c r="G12139" t="str">
        <v>-</v>
      </c>
    </row>
    <row r="12140">
      <c r="A12140">
        <v>12139</v>
      </c>
      <c r="B12140" t="str">
        <v>Công an xã Lưu Kiền  tỉnh Nghệ An</v>
      </c>
      <c r="C12140" t="str">
        <v>-</v>
      </c>
      <c r="D12140" t="str">
        <v>-</v>
      </c>
      <c r="E12140" t="str">
        <v/>
      </c>
      <c r="F12140" t="str">
        <v>-</v>
      </c>
      <c r="G12140" t="str">
        <v>-</v>
      </c>
    </row>
    <row r="12141">
      <c r="A12141">
        <v>12140</v>
      </c>
      <c r="B12141" t="str">
        <v>UBND Ủy ban nhân dân xã Lưu Kiền  tỉnh Nghệ An</v>
      </c>
      <c r="C12141" t="str">
        <v>-</v>
      </c>
      <c r="D12141" t="str">
        <v>-</v>
      </c>
      <c r="E12141" t="str">
        <v>-</v>
      </c>
      <c r="F12141" t="str">
        <v>-</v>
      </c>
      <c r="G12141" t="str">
        <v>-</v>
      </c>
    </row>
    <row r="12142">
      <c r="A12142">
        <v>12141</v>
      </c>
      <c r="B12142" t="str">
        <v>Công an xã Thạch Giám  tỉnh Nghệ An</v>
      </c>
      <c r="C12142" t="str">
        <v>-</v>
      </c>
      <c r="D12142" t="str">
        <v>-</v>
      </c>
      <c r="E12142" t="str">
        <v/>
      </c>
      <c r="F12142" t="str">
        <v>-</v>
      </c>
      <c r="G12142" t="str">
        <v>-</v>
      </c>
    </row>
    <row r="12143">
      <c r="A12143">
        <v>12142</v>
      </c>
      <c r="B12143" t="str">
        <v>UBND Ủy ban nhân dân xã Thạch Giám  tỉnh Nghệ An</v>
      </c>
      <c r="C12143" t="str">
        <v>-</v>
      </c>
      <c r="D12143" t="str">
        <v>-</v>
      </c>
      <c r="E12143" t="str">
        <v>-</v>
      </c>
      <c r="F12143" t="str">
        <v>-</v>
      </c>
      <c r="G12143" t="str">
        <v>-</v>
      </c>
    </row>
    <row r="12144">
      <c r="A12144">
        <v>12143</v>
      </c>
      <c r="B12144" t="str">
        <v>Công an xã Xá Lượng  tỉnh Nghệ An</v>
      </c>
      <c r="C12144" t="str">
        <v>-</v>
      </c>
      <c r="D12144" t="str">
        <v>-</v>
      </c>
      <c r="E12144" t="str">
        <v/>
      </c>
      <c r="F12144" t="str">
        <v>-</v>
      </c>
      <c r="G12144" t="str">
        <v>-</v>
      </c>
    </row>
    <row r="12145">
      <c r="A12145">
        <v>12144</v>
      </c>
      <c r="B12145" t="str">
        <v>UBND Ủy ban nhân dân xã Xá Lượng  tỉnh Nghệ An</v>
      </c>
      <c r="C12145" t="str">
        <v>-</v>
      </c>
      <c r="D12145" t="str">
        <v>-</v>
      </c>
      <c r="E12145" t="str">
        <v>-</v>
      </c>
      <c r="F12145" t="str">
        <v>-</v>
      </c>
      <c r="G12145" t="str">
        <v>-</v>
      </c>
    </row>
    <row r="12146">
      <c r="A12146">
        <v>12145</v>
      </c>
      <c r="B12146" t="str">
        <v>Công an xã Tam Thái  tỉnh Nghệ An</v>
      </c>
      <c r="C12146" t="str">
        <v>-</v>
      </c>
      <c r="D12146" t="str">
        <v>-</v>
      </c>
      <c r="E12146" t="str">
        <v/>
      </c>
      <c r="F12146" t="str">
        <v>-</v>
      </c>
      <c r="G12146" t="str">
        <v>-</v>
      </c>
    </row>
    <row r="12147">
      <c r="A12147">
        <v>12146</v>
      </c>
      <c r="B12147" t="str">
        <v>UBND Ủy ban nhân dân xã Tam Thái  tỉnh Nghệ An</v>
      </c>
      <c r="C12147" t="str">
        <v>-</v>
      </c>
      <c r="D12147" t="str">
        <v>-</v>
      </c>
      <c r="E12147" t="str">
        <v>-</v>
      </c>
      <c r="F12147" t="str">
        <v>-</v>
      </c>
      <c r="G12147" t="str">
        <v>-</v>
      </c>
    </row>
    <row r="12148">
      <c r="A12148">
        <v>12147</v>
      </c>
      <c r="B12148" t="str">
        <v>Công an xã Tam Đình  tỉnh Nghệ An</v>
      </c>
      <c r="C12148" t="str">
        <v>-</v>
      </c>
      <c r="D12148" t="str">
        <v>-</v>
      </c>
      <c r="E12148" t="str">
        <v/>
      </c>
      <c r="F12148" t="str">
        <v>-</v>
      </c>
      <c r="G12148" t="str">
        <v>-</v>
      </c>
    </row>
    <row r="12149">
      <c r="A12149">
        <v>12148</v>
      </c>
      <c r="B12149" t="str">
        <v>UBND Ủy ban nhân dân xã Tam Đình  tỉnh Nghệ An</v>
      </c>
      <c r="C12149" t="str">
        <v>-</v>
      </c>
      <c r="D12149" t="str">
        <v>-</v>
      </c>
      <c r="E12149" t="str">
        <v>-</v>
      </c>
      <c r="F12149" t="str">
        <v>-</v>
      </c>
      <c r="G12149" t="str">
        <v>-</v>
      </c>
    </row>
    <row r="12150">
      <c r="A12150">
        <v>12149</v>
      </c>
      <c r="B12150" t="str">
        <v>Công an xã Yên Thắng  tỉnh Nghệ An</v>
      </c>
      <c r="C12150" t="str">
        <v>-</v>
      </c>
      <c r="D12150" t="str">
        <v>-</v>
      </c>
      <c r="E12150" t="str">
        <v/>
      </c>
      <c r="F12150" t="str">
        <v>-</v>
      </c>
      <c r="G12150" t="str">
        <v>-</v>
      </c>
    </row>
    <row r="12151">
      <c r="A12151">
        <v>12150</v>
      </c>
      <c r="B12151" t="str">
        <v>UBND Ủy ban nhân dân xã Yên Thắng  tỉnh Nghệ An</v>
      </c>
      <c r="C12151" t="str">
        <v>-</v>
      </c>
      <c r="D12151" t="str">
        <v>-</v>
      </c>
      <c r="E12151" t="str">
        <v>-</v>
      </c>
      <c r="F12151" t="str">
        <v>-</v>
      </c>
      <c r="G12151" t="str">
        <v>-</v>
      </c>
    </row>
    <row r="12152">
      <c r="A12152">
        <v>12151</v>
      </c>
      <c r="B12152" t="str">
        <v>Công an xã Tam Quang  tỉnh Nghệ An</v>
      </c>
      <c r="C12152" t="str">
        <v>-</v>
      </c>
      <c r="D12152" t="str">
        <v>-</v>
      </c>
      <c r="E12152" t="str">
        <v/>
      </c>
      <c r="F12152" t="str">
        <v>-</v>
      </c>
      <c r="G12152" t="str">
        <v>-</v>
      </c>
    </row>
    <row r="12153">
      <c r="A12153">
        <v>12152</v>
      </c>
      <c r="B12153" t="str">
        <v>UBND Ủy ban nhân dân xã Tam Quang  tỉnh Nghệ An</v>
      </c>
      <c r="C12153" t="str">
        <v>-</v>
      </c>
      <c r="D12153" t="str">
        <v>-</v>
      </c>
      <c r="E12153" t="str">
        <v>-</v>
      </c>
      <c r="F12153" t="str">
        <v>-</v>
      </c>
      <c r="G12153" t="str">
        <v>-</v>
      </c>
    </row>
    <row r="12154">
      <c r="A12154">
        <v>12153</v>
      </c>
      <c r="B12154" t="str">
        <v>Công an xã Tam Hợp  tỉnh Nghệ An</v>
      </c>
      <c r="C12154" t="str">
        <v>-</v>
      </c>
      <c r="D12154" t="str">
        <v>-</v>
      </c>
      <c r="E12154" t="str">
        <v/>
      </c>
      <c r="F12154" t="str">
        <v>-</v>
      </c>
      <c r="G12154" t="str">
        <v>-</v>
      </c>
    </row>
    <row r="12155">
      <c r="A12155">
        <v>12154</v>
      </c>
      <c r="B12155" t="str">
        <v>UBND Ủy ban nhân dân xã Tam Hợp  tỉnh Nghệ An</v>
      </c>
      <c r="C12155" t="str">
        <v>-</v>
      </c>
      <c r="D12155" t="str">
        <v>-</v>
      </c>
      <c r="E12155" t="str">
        <v>-</v>
      </c>
      <c r="F12155" t="str">
        <v>-</v>
      </c>
      <c r="G12155" t="str">
        <v>-</v>
      </c>
    </row>
    <row r="12156">
      <c r="A12156">
        <v>12155</v>
      </c>
      <c r="B12156" t="str">
        <v>Công an thị trấn Nghĩa Đàn  tỉnh Nghệ An</v>
      </c>
      <c r="C12156" t="str">
        <v>-</v>
      </c>
      <c r="D12156" t="str">
        <v>-</v>
      </c>
      <c r="E12156" t="str">
        <v/>
      </c>
      <c r="F12156" t="str">
        <v>-</v>
      </c>
      <c r="G12156" t="str">
        <v>-</v>
      </c>
    </row>
    <row r="12157">
      <c r="A12157">
        <v>12156</v>
      </c>
      <c r="B12157" t="str">
        <v>UBND Ủy ban nhân dân thị trấn Nghĩa Đàn  tỉnh Nghệ An</v>
      </c>
      <c r="C12157" t="str">
        <v>-</v>
      </c>
      <c r="D12157" t="str">
        <v>-</v>
      </c>
      <c r="E12157" t="str">
        <v>-</v>
      </c>
      <c r="F12157" t="str">
        <v>-</v>
      </c>
      <c r="G12157" t="str">
        <v>-</v>
      </c>
    </row>
    <row r="12158">
      <c r="A12158">
        <v>12157</v>
      </c>
      <c r="B12158" t="str">
        <v>Công an xã Nghĩa Mai  tỉnh Nghệ An</v>
      </c>
      <c r="C12158" t="str">
        <v>-</v>
      </c>
      <c r="D12158" t="str">
        <v>-</v>
      </c>
      <c r="E12158" t="str">
        <v/>
      </c>
      <c r="F12158" t="str">
        <v>-</v>
      </c>
      <c r="G12158" t="str">
        <v>-</v>
      </c>
    </row>
    <row r="12159">
      <c r="A12159">
        <v>12158</v>
      </c>
      <c r="B12159" t="str">
        <v>UBND Ủy ban nhân dân xã Nghĩa Mai  tỉnh Nghệ An</v>
      </c>
      <c r="C12159" t="str">
        <v>-</v>
      </c>
      <c r="D12159" t="str">
        <v>-</v>
      </c>
      <c r="E12159" t="str">
        <v>-</v>
      </c>
      <c r="F12159" t="str">
        <v>-</v>
      </c>
      <c r="G12159" t="str">
        <v>-</v>
      </c>
    </row>
    <row r="12160">
      <c r="A12160">
        <v>12159</v>
      </c>
      <c r="B12160" t="str">
        <v>Công an xã Nghĩa Yên  tỉnh Nghệ An</v>
      </c>
      <c r="C12160" t="str">
        <v>-</v>
      </c>
      <c r="D12160" t="str">
        <v>-</v>
      </c>
      <c r="E12160" t="str">
        <v/>
      </c>
      <c r="F12160" t="str">
        <v>-</v>
      </c>
      <c r="G12160" t="str">
        <v>-</v>
      </c>
    </row>
    <row r="12161">
      <c r="A12161">
        <v>12160</v>
      </c>
      <c r="B12161" t="str">
        <v>UBND Ủy ban nhân dân xã Nghĩa Yên  tỉnh Nghệ An</v>
      </c>
      <c r="C12161" t="str">
        <v>-</v>
      </c>
      <c r="D12161" t="str">
        <v>-</v>
      </c>
      <c r="E12161" t="str">
        <v>-</v>
      </c>
      <c r="F12161" t="str">
        <v>-</v>
      </c>
      <c r="G12161" t="str">
        <v>-</v>
      </c>
    </row>
    <row r="12162">
      <c r="A12162">
        <v>12161</v>
      </c>
      <c r="B12162" t="str">
        <v>Công an xã Nghĩa Lạc  tỉnh Nghệ An</v>
      </c>
      <c r="C12162" t="str">
        <v>-</v>
      </c>
      <c r="D12162" t="str">
        <v>-</v>
      </c>
      <c r="E12162" t="str">
        <v/>
      </c>
      <c r="F12162" t="str">
        <v>-</v>
      </c>
      <c r="G12162" t="str">
        <v>-</v>
      </c>
    </row>
    <row r="12163">
      <c r="A12163">
        <v>12162</v>
      </c>
      <c r="B12163" t="str">
        <v>UBND Ủy ban nhân dân xã Nghĩa Lạc  tỉnh Nghệ An</v>
      </c>
      <c r="C12163" t="str">
        <v>-</v>
      </c>
      <c r="D12163" t="str">
        <v>-</v>
      </c>
      <c r="E12163" t="str">
        <v>-</v>
      </c>
      <c r="F12163" t="str">
        <v>-</v>
      </c>
      <c r="G12163" t="str">
        <v>-</v>
      </c>
    </row>
    <row r="12164">
      <c r="A12164">
        <v>12163</v>
      </c>
      <c r="B12164" t="str">
        <v>Công an xã Nghĩa Lâm  tỉnh Nghệ An</v>
      </c>
      <c r="C12164" t="str">
        <v>-</v>
      </c>
      <c r="D12164" t="str">
        <v>-</v>
      </c>
      <c r="E12164" t="str">
        <v/>
      </c>
      <c r="F12164" t="str">
        <v>-</v>
      </c>
      <c r="G12164" t="str">
        <v>-</v>
      </c>
    </row>
    <row r="12165">
      <c r="A12165">
        <v>12164</v>
      </c>
      <c r="B12165" t="str">
        <v>UBND Ủy ban nhân dân xã Nghĩa Lâm  tỉnh Nghệ An</v>
      </c>
      <c r="C12165" t="str">
        <v>-</v>
      </c>
      <c r="D12165" t="str">
        <v>-</v>
      </c>
      <c r="E12165" t="str">
        <v>-</v>
      </c>
      <c r="F12165" t="str">
        <v>-</v>
      </c>
      <c r="G12165" t="str">
        <v>-</v>
      </c>
    </row>
    <row r="12166">
      <c r="A12166">
        <v>12165</v>
      </c>
      <c r="B12166" t="str">
        <v>Công an xã Nghĩa Sơn  tỉnh Nghệ An</v>
      </c>
      <c r="C12166" t="str">
        <v>-</v>
      </c>
      <c r="D12166" t="str">
        <v>-</v>
      </c>
      <c r="E12166" t="str">
        <v/>
      </c>
      <c r="F12166" t="str">
        <v>-</v>
      </c>
      <c r="G12166" t="str">
        <v>-</v>
      </c>
    </row>
    <row r="12167">
      <c r="A12167">
        <v>12166</v>
      </c>
      <c r="B12167" t="str">
        <v>UBND Ủy ban nhân dân xã Nghĩa Sơn  tỉnh Nghệ An</v>
      </c>
      <c r="C12167" t="str">
        <v>-</v>
      </c>
      <c r="D12167" t="str">
        <v>-</v>
      </c>
      <c r="E12167" t="str">
        <v>-</v>
      </c>
      <c r="F12167" t="str">
        <v>-</v>
      </c>
      <c r="G12167" t="str">
        <v>-</v>
      </c>
    </row>
    <row r="12168">
      <c r="A12168">
        <v>12167</v>
      </c>
      <c r="B12168" t="str">
        <v>Công an xã Nghĩa Lợi  tỉnh Nghệ An</v>
      </c>
      <c r="C12168" t="str">
        <v>-</v>
      </c>
      <c r="D12168" t="str">
        <v>-</v>
      </c>
      <c r="E12168" t="str">
        <v/>
      </c>
      <c r="F12168" t="str">
        <v>-</v>
      </c>
      <c r="G12168" t="str">
        <v>-</v>
      </c>
    </row>
    <row r="12169">
      <c r="A12169">
        <v>12168</v>
      </c>
      <c r="B12169" t="str">
        <v>UBND Ủy ban nhân dân xã Nghĩa Lợi  tỉnh Nghệ An</v>
      </c>
      <c r="C12169" t="str">
        <v>-</v>
      </c>
      <c r="D12169" t="str">
        <v>-</v>
      </c>
      <c r="E12169" t="str">
        <v>-</v>
      </c>
      <c r="F12169" t="str">
        <v>-</v>
      </c>
      <c r="G12169" t="str">
        <v>-</v>
      </c>
    </row>
    <row r="12170">
      <c r="A12170">
        <v>12169</v>
      </c>
      <c r="B12170" t="str">
        <v>Công an xã Nghĩa Bình  tỉnh Nghệ An</v>
      </c>
      <c r="C12170" t="str">
        <v>-</v>
      </c>
      <c r="D12170" t="str">
        <v>-</v>
      </c>
      <c r="E12170" t="str">
        <v/>
      </c>
      <c r="F12170" t="str">
        <v>-</v>
      </c>
      <c r="G12170" t="str">
        <v>-</v>
      </c>
    </row>
    <row r="12171">
      <c r="A12171">
        <v>12170</v>
      </c>
      <c r="B12171" t="str">
        <v>UBND Ủy ban nhân dân xã Nghĩa Bình  tỉnh Nghệ An</v>
      </c>
      <c r="C12171" t="str">
        <v>-</v>
      </c>
      <c r="D12171" t="str">
        <v>-</v>
      </c>
      <c r="E12171" t="str">
        <v>-</v>
      </c>
      <c r="F12171" t="str">
        <v>-</v>
      </c>
      <c r="G12171" t="str">
        <v>-</v>
      </c>
    </row>
    <row r="12172">
      <c r="A12172">
        <v>12171</v>
      </c>
      <c r="B12172" t="str">
        <v>Công an xã Nghĩa Thọ  tỉnh Nghệ An</v>
      </c>
      <c r="C12172" t="str">
        <v>-</v>
      </c>
      <c r="D12172" t="str">
        <v>-</v>
      </c>
      <c r="E12172" t="str">
        <v/>
      </c>
      <c r="F12172" t="str">
        <v>-</v>
      </c>
      <c r="G12172" t="str">
        <v>-</v>
      </c>
    </row>
    <row r="12173">
      <c r="A12173">
        <v>12172</v>
      </c>
      <c r="B12173" t="str">
        <v>UBND Ủy ban nhân dân xã Nghĩa Thọ  tỉnh Nghệ An</v>
      </c>
      <c r="C12173" t="str">
        <v>-</v>
      </c>
      <c r="D12173" t="str">
        <v>-</v>
      </c>
      <c r="E12173" t="str">
        <v>-</v>
      </c>
      <c r="F12173" t="str">
        <v>-</v>
      </c>
      <c r="G12173" t="str">
        <v>-</v>
      </c>
    </row>
    <row r="12174">
      <c r="A12174">
        <v>12173</v>
      </c>
      <c r="B12174" t="str">
        <v>Công an xã Nghĩa Minh  tỉnh Nghệ An</v>
      </c>
      <c r="C12174" t="str">
        <v>-</v>
      </c>
      <c r="D12174" t="str">
        <v>-</v>
      </c>
      <c r="E12174" t="str">
        <v/>
      </c>
      <c r="F12174" t="str">
        <v>-</v>
      </c>
      <c r="G12174" t="str">
        <v>-</v>
      </c>
    </row>
    <row r="12175">
      <c r="A12175">
        <v>12174</v>
      </c>
      <c r="B12175" t="str">
        <v>UBND Ủy ban nhân dân xã Nghĩa Minh  tỉnh Nghệ An</v>
      </c>
      <c r="C12175" t="str">
        <v>-</v>
      </c>
      <c r="D12175" t="str">
        <v>-</v>
      </c>
      <c r="E12175" t="str">
        <v>-</v>
      </c>
      <c r="F12175" t="str">
        <v>-</v>
      </c>
      <c r="G12175" t="str">
        <v>-</v>
      </c>
    </row>
    <row r="12176">
      <c r="A12176">
        <v>12175</v>
      </c>
      <c r="B12176" t="str">
        <v>Công an xã Nghĩa Phú  tỉnh Nghệ An</v>
      </c>
      <c r="C12176" t="str">
        <v>-</v>
      </c>
      <c r="D12176" t="str">
        <v>-</v>
      </c>
      <c r="E12176" t="str">
        <v/>
      </c>
      <c r="F12176" t="str">
        <v>-</v>
      </c>
      <c r="G12176" t="str">
        <v>-</v>
      </c>
    </row>
    <row r="12177">
      <c r="A12177">
        <v>12176</v>
      </c>
      <c r="B12177" t="str">
        <v>UBND Ủy ban nhân dân xã Nghĩa Phú  tỉnh Nghệ An</v>
      </c>
      <c r="C12177" t="str">
        <v>-</v>
      </c>
      <c r="D12177" t="str">
        <v>-</v>
      </c>
      <c r="E12177" t="str">
        <v>-</v>
      </c>
      <c r="F12177" t="str">
        <v>-</v>
      </c>
      <c r="G12177" t="str">
        <v>-</v>
      </c>
    </row>
    <row r="12178">
      <c r="A12178">
        <v>12177</v>
      </c>
      <c r="B12178" t="str">
        <v>Công an xã Nghĩa Hưng  tỉnh Nghệ An</v>
      </c>
      <c r="C12178" t="str">
        <v>-</v>
      </c>
      <c r="D12178" t="str">
        <v>-</v>
      </c>
      <c r="E12178" t="str">
        <v/>
      </c>
      <c r="F12178" t="str">
        <v>-</v>
      </c>
      <c r="G12178" t="str">
        <v>-</v>
      </c>
    </row>
    <row r="12179">
      <c r="A12179">
        <v>12178</v>
      </c>
      <c r="B12179" t="str">
        <v>UBND Ủy ban nhân dân xã Nghĩa Hưng  tỉnh Nghệ An</v>
      </c>
      <c r="C12179" t="str">
        <v>-</v>
      </c>
      <c r="D12179" t="str">
        <v>-</v>
      </c>
      <c r="E12179" t="str">
        <v>-</v>
      </c>
      <c r="F12179" t="str">
        <v>-</v>
      </c>
      <c r="G12179" t="str">
        <v>-</v>
      </c>
    </row>
    <row r="12180">
      <c r="A12180">
        <v>12179</v>
      </c>
      <c r="B12180" t="str">
        <v>Công an xã Nghĩa Hồng  tỉnh Nghệ An</v>
      </c>
      <c r="C12180" t="str">
        <v>-</v>
      </c>
      <c r="D12180" t="str">
        <v>-</v>
      </c>
      <c r="E12180" t="str">
        <v/>
      </c>
      <c r="F12180" t="str">
        <v>-</v>
      </c>
      <c r="G12180" t="str">
        <v>-</v>
      </c>
    </row>
    <row r="12181">
      <c r="A12181">
        <v>12180</v>
      </c>
      <c r="B12181" t="str">
        <v>UBND Ủy ban nhân dân xã Nghĩa Hồng  tỉnh Nghệ An</v>
      </c>
      <c r="C12181" t="str">
        <v>-</v>
      </c>
      <c r="D12181" t="str">
        <v>-</v>
      </c>
      <c r="E12181" t="str">
        <v>-</v>
      </c>
      <c r="F12181" t="str">
        <v>-</v>
      </c>
      <c r="G12181" t="str">
        <v>-</v>
      </c>
    </row>
    <row r="12182">
      <c r="A12182">
        <v>12181</v>
      </c>
      <c r="B12182" t="str">
        <v>Công an xã Nghĩa Thịnh  tỉnh Nghệ An</v>
      </c>
      <c r="C12182" t="str">
        <v>-</v>
      </c>
      <c r="D12182" t="str">
        <v>-</v>
      </c>
      <c r="E12182" t="str">
        <v/>
      </c>
      <c r="F12182" t="str">
        <v>-</v>
      </c>
      <c r="G12182" t="str">
        <v>-</v>
      </c>
    </row>
    <row r="12183">
      <c r="A12183">
        <v>12182</v>
      </c>
      <c r="B12183" t="str">
        <v>UBND Ủy ban nhân dân xã Nghĩa Thịnh  tỉnh Nghệ An</v>
      </c>
      <c r="C12183" t="str">
        <v>-</v>
      </c>
      <c r="D12183" t="str">
        <v>-</v>
      </c>
      <c r="E12183" t="str">
        <v>-</v>
      </c>
      <c r="F12183" t="str">
        <v>-</v>
      </c>
      <c r="G12183" t="str">
        <v>-</v>
      </c>
    </row>
    <row r="12184">
      <c r="A12184">
        <v>12183</v>
      </c>
      <c r="B12184" t="str">
        <v>Công an xã Nghĩa Trung  tỉnh Nghệ An</v>
      </c>
      <c r="C12184" t="str">
        <v>-</v>
      </c>
      <c r="D12184" t="str">
        <v>-</v>
      </c>
      <c r="E12184" t="str">
        <v/>
      </c>
      <c r="F12184" t="str">
        <v>-</v>
      </c>
      <c r="G12184" t="str">
        <v>-</v>
      </c>
    </row>
    <row r="12185">
      <c r="A12185">
        <v>12184</v>
      </c>
      <c r="B12185" t="str">
        <v>UBND Ủy ban nhân dân xã Nghĩa Trung  tỉnh Nghệ An</v>
      </c>
      <c r="C12185" t="str">
        <v>-</v>
      </c>
      <c r="D12185" t="str">
        <v>-</v>
      </c>
      <c r="E12185" t="str">
        <v>-</v>
      </c>
      <c r="F12185" t="str">
        <v>-</v>
      </c>
      <c r="G12185" t="str">
        <v>-</v>
      </c>
    </row>
    <row r="12186">
      <c r="A12186">
        <v>12185</v>
      </c>
      <c r="B12186" t="str">
        <v>Công an xã Nghĩa Hội  tỉnh Nghệ An</v>
      </c>
      <c r="C12186" t="str">
        <v>-</v>
      </c>
      <c r="D12186" t="str">
        <v>-</v>
      </c>
      <c r="E12186" t="str">
        <v/>
      </c>
      <c r="F12186" t="str">
        <v>-</v>
      </c>
      <c r="G12186" t="str">
        <v>-</v>
      </c>
    </row>
    <row r="12187">
      <c r="A12187">
        <v>12186</v>
      </c>
      <c r="B12187" t="str">
        <v>UBND Ủy ban nhân dân xã Nghĩa Hội  tỉnh Nghệ An</v>
      </c>
      <c r="C12187" t="str">
        <v>-</v>
      </c>
      <c r="D12187" t="str">
        <v>-</v>
      </c>
      <c r="E12187" t="str">
        <v>-</v>
      </c>
      <c r="F12187" t="str">
        <v>-</v>
      </c>
      <c r="G12187" t="str">
        <v>-</v>
      </c>
    </row>
    <row r="12188">
      <c r="A12188">
        <v>12187</v>
      </c>
      <c r="B12188" t="str">
        <v>Công an xã Nghĩa Tân  tỉnh Nghệ An</v>
      </c>
      <c r="C12188" t="str">
        <v>-</v>
      </c>
      <c r="D12188" t="str">
        <v>-</v>
      </c>
      <c r="E12188" t="str">
        <v/>
      </c>
      <c r="F12188" t="str">
        <v>-</v>
      </c>
      <c r="G12188" t="str">
        <v>-</v>
      </c>
    </row>
    <row r="12189">
      <c r="A12189">
        <v>12188</v>
      </c>
      <c r="B12189" t="str">
        <v>UBND Ủy ban nhân dân xã Nghĩa Tân  tỉnh Nghệ An</v>
      </c>
      <c r="C12189" t="str">
        <v>-</v>
      </c>
      <c r="D12189" t="str">
        <v>-</v>
      </c>
      <c r="E12189" t="str">
        <v>-</v>
      </c>
      <c r="F12189" t="str">
        <v>-</v>
      </c>
      <c r="G12189" t="str">
        <v>-</v>
      </c>
    </row>
    <row r="12190">
      <c r="A12190">
        <v>12189</v>
      </c>
      <c r="B12190" t="str">
        <v>Công an xã Nghĩa Thắng  tỉnh Nghệ An</v>
      </c>
      <c r="C12190" t="str">
        <v>-</v>
      </c>
      <c r="D12190" t="str">
        <v>-</v>
      </c>
      <c r="E12190" t="str">
        <v/>
      </c>
      <c r="F12190" t="str">
        <v>-</v>
      </c>
      <c r="G12190" t="str">
        <v>-</v>
      </c>
    </row>
    <row r="12191">
      <c r="A12191">
        <v>12190</v>
      </c>
      <c r="B12191" t="str">
        <v>UBND Ủy ban nhân dân xã Nghĩa Thắng  tỉnh Nghệ An</v>
      </c>
      <c r="C12191" t="str">
        <v>-</v>
      </c>
      <c r="D12191" t="str">
        <v>-</v>
      </c>
      <c r="E12191" t="str">
        <v>-</v>
      </c>
      <c r="F12191" t="str">
        <v>-</v>
      </c>
      <c r="G12191" t="str">
        <v>-</v>
      </c>
    </row>
    <row r="12192">
      <c r="A12192">
        <v>12191</v>
      </c>
      <c r="B12192" t="str">
        <v>Công an xã Nghĩa Hiếu  tỉnh Nghệ An</v>
      </c>
      <c r="C12192" t="str">
        <v>-</v>
      </c>
      <c r="D12192" t="str">
        <v>-</v>
      </c>
      <c r="E12192" t="str">
        <v/>
      </c>
      <c r="F12192" t="str">
        <v>-</v>
      </c>
      <c r="G12192" t="str">
        <v>-</v>
      </c>
    </row>
    <row r="12193">
      <c r="A12193">
        <v>12192</v>
      </c>
      <c r="B12193" t="str">
        <v>UBND Ủy ban nhân dân xã Nghĩa Hiếu  tỉnh Nghệ An</v>
      </c>
      <c r="C12193" t="str">
        <v>-</v>
      </c>
      <c r="D12193" t="str">
        <v>-</v>
      </c>
      <c r="E12193" t="str">
        <v>-</v>
      </c>
      <c r="F12193" t="str">
        <v>-</v>
      </c>
      <c r="G12193" t="str">
        <v>-</v>
      </c>
    </row>
    <row r="12194">
      <c r="A12194">
        <v>12193</v>
      </c>
      <c r="B12194" t="str">
        <v>Công an xã Nghĩa Liên  tỉnh Nghệ An</v>
      </c>
      <c r="C12194" t="str">
        <v>-</v>
      </c>
      <c r="D12194" t="str">
        <v>-</v>
      </c>
      <c r="E12194" t="str">
        <v/>
      </c>
      <c r="F12194" t="str">
        <v>-</v>
      </c>
      <c r="G12194" t="str">
        <v>-</v>
      </c>
    </row>
    <row r="12195">
      <c r="A12195">
        <v>12194</v>
      </c>
      <c r="B12195" t="str">
        <v>UBND Ủy ban nhân dân xã Nghĩa Liên  tỉnh Nghệ An</v>
      </c>
      <c r="C12195" t="str">
        <v>-</v>
      </c>
      <c r="D12195" t="str">
        <v>-</v>
      </c>
      <c r="E12195" t="str">
        <v>-</v>
      </c>
      <c r="F12195" t="str">
        <v>-</v>
      </c>
      <c r="G12195" t="str">
        <v>-</v>
      </c>
    </row>
    <row r="12196">
      <c r="A12196">
        <v>12195</v>
      </c>
      <c r="B12196" t="str">
        <v>Công an xã Nghĩa Đức  tỉnh Nghệ An</v>
      </c>
      <c r="C12196" t="str">
        <v>-</v>
      </c>
      <c r="D12196" t="str">
        <v>-</v>
      </c>
      <c r="E12196" t="str">
        <v/>
      </c>
      <c r="F12196" t="str">
        <v>-</v>
      </c>
      <c r="G12196" t="str">
        <v>-</v>
      </c>
    </row>
    <row r="12197">
      <c r="A12197">
        <v>12196</v>
      </c>
      <c r="B12197" t="str">
        <v>UBND Ủy ban nhân dân xã Nghĩa Đức  tỉnh Nghệ An</v>
      </c>
      <c r="C12197" t="str">
        <v>-</v>
      </c>
      <c r="D12197" t="str">
        <v>-</v>
      </c>
      <c r="E12197" t="str">
        <v>-</v>
      </c>
      <c r="F12197" t="str">
        <v>-</v>
      </c>
      <c r="G12197" t="str">
        <v>-</v>
      </c>
    </row>
    <row r="12198">
      <c r="A12198">
        <v>12197</v>
      </c>
      <c r="B12198" t="str">
        <v>Công an xã Nghĩa An  tỉnh Nghệ An</v>
      </c>
      <c r="C12198" t="str">
        <v>-</v>
      </c>
      <c r="D12198" t="str">
        <v>-</v>
      </c>
      <c r="E12198" t="str">
        <v/>
      </c>
      <c r="F12198" t="str">
        <v>-</v>
      </c>
      <c r="G12198" t="str">
        <v>-</v>
      </c>
    </row>
    <row r="12199">
      <c r="A12199">
        <v>12198</v>
      </c>
      <c r="B12199" t="str">
        <v>UBND Ủy ban nhân dân xã Nghĩa An  tỉnh Nghệ An</v>
      </c>
      <c r="C12199" t="str">
        <v>-</v>
      </c>
      <c r="D12199" t="str">
        <v>-</v>
      </c>
      <c r="E12199" t="str">
        <v>-</v>
      </c>
      <c r="F12199" t="str">
        <v>-</v>
      </c>
      <c r="G12199" t="str">
        <v>-</v>
      </c>
    </row>
    <row r="12200">
      <c r="A12200">
        <v>12199</v>
      </c>
      <c r="B12200" t="str">
        <v>Công an xã Nghĩa Long  tỉnh Nghệ An</v>
      </c>
      <c r="C12200" t="str">
        <v>-</v>
      </c>
      <c r="D12200" t="str">
        <v>-</v>
      </c>
      <c r="E12200" t="str">
        <v/>
      </c>
      <c r="F12200" t="str">
        <v>-</v>
      </c>
      <c r="G12200" t="str">
        <v>-</v>
      </c>
    </row>
    <row r="12201">
      <c r="A12201">
        <v>12200</v>
      </c>
      <c r="B12201" t="str">
        <v>UBND Ủy ban nhân dân xã Nghĩa Long  tỉnh Nghệ An</v>
      </c>
      <c r="C12201" t="str">
        <v>-</v>
      </c>
      <c r="D12201" t="str">
        <v>-</v>
      </c>
      <c r="E12201" t="str">
        <v>-</v>
      </c>
      <c r="F12201" t="str">
        <v>-</v>
      </c>
      <c r="G12201" t="str">
        <v>-</v>
      </c>
    </row>
    <row r="12202">
      <c r="A12202">
        <v>12201</v>
      </c>
      <c r="B12202" t="str">
        <v>Công an xã Nghĩa Lộc  tỉnh Nghệ An</v>
      </c>
      <c r="C12202" t="str">
        <v>-</v>
      </c>
      <c r="D12202" t="str">
        <v>-</v>
      </c>
      <c r="E12202" t="str">
        <v/>
      </c>
      <c r="F12202" t="str">
        <v>-</v>
      </c>
      <c r="G12202" t="str">
        <v>-</v>
      </c>
    </row>
    <row r="12203">
      <c r="A12203">
        <v>12202</v>
      </c>
      <c r="B12203" t="str">
        <v>UBND Ủy ban nhân dân xã Nghĩa Lộc  tỉnh Nghệ An</v>
      </c>
      <c r="C12203" t="str">
        <v>-</v>
      </c>
      <c r="D12203" t="str">
        <v>-</v>
      </c>
      <c r="E12203" t="str">
        <v>-</v>
      </c>
      <c r="F12203" t="str">
        <v>-</v>
      </c>
      <c r="G12203" t="str">
        <v>-</v>
      </c>
    </row>
    <row r="12204">
      <c r="A12204">
        <v>12203</v>
      </c>
      <c r="B12204" t="str">
        <v>Công an xã Nghĩa Khánh  tỉnh Nghệ An</v>
      </c>
      <c r="C12204" t="str">
        <v>-</v>
      </c>
      <c r="D12204" t="str">
        <v>-</v>
      </c>
      <c r="E12204" t="str">
        <v/>
      </c>
      <c r="F12204" t="str">
        <v>-</v>
      </c>
      <c r="G12204" t="str">
        <v>-</v>
      </c>
    </row>
    <row r="12205">
      <c r="A12205">
        <v>12204</v>
      </c>
      <c r="B12205" t="str">
        <v>UBND Ủy ban nhân dân xã Nghĩa Khánh  tỉnh Nghệ An</v>
      </c>
      <c r="C12205" t="str">
        <v>-</v>
      </c>
      <c r="D12205" t="str">
        <v>-</v>
      </c>
      <c r="E12205" t="str">
        <v>-</v>
      </c>
      <c r="F12205" t="str">
        <v>-</v>
      </c>
      <c r="G12205" t="str">
        <v>-</v>
      </c>
    </row>
    <row r="12206">
      <c r="A12206">
        <v>12205</v>
      </c>
      <c r="B12206" t="str">
        <v>Công an thị trấn Quỳ Hợp  tỉnh Nghệ An</v>
      </c>
      <c r="C12206" t="str">
        <v>-</v>
      </c>
      <c r="D12206" t="str">
        <v>-</v>
      </c>
      <c r="E12206" t="str">
        <v/>
      </c>
      <c r="F12206" t="str">
        <v>-</v>
      </c>
      <c r="G12206" t="str">
        <v>-</v>
      </c>
    </row>
    <row r="12207">
      <c r="A12207">
        <v>12206</v>
      </c>
      <c r="B12207" t="str">
        <v>UBND Ủy ban nhân dân thị trấn Quỳ Hợp  tỉnh Nghệ An</v>
      </c>
      <c r="C12207" t="str">
        <v>-</v>
      </c>
      <c r="D12207" t="str">
        <v>-</v>
      </c>
      <c r="E12207" t="str">
        <v>-</v>
      </c>
      <c r="F12207" t="str">
        <v>-</v>
      </c>
      <c r="G12207" t="str">
        <v>-</v>
      </c>
    </row>
    <row r="12208">
      <c r="A12208">
        <v>12207</v>
      </c>
      <c r="B12208" t="str">
        <v>Công an xã Yên Hợp  tỉnh Nghệ An</v>
      </c>
      <c r="C12208" t="str">
        <v>-</v>
      </c>
      <c r="D12208" t="str">
        <v>-</v>
      </c>
      <c r="E12208" t="str">
        <v/>
      </c>
      <c r="F12208" t="str">
        <v>-</v>
      </c>
      <c r="G12208" t="str">
        <v>-</v>
      </c>
    </row>
    <row r="12209">
      <c r="A12209">
        <v>12208</v>
      </c>
      <c r="B12209" t="str">
        <v>UBND Ủy ban nhân dân xã Yên Hợp  tỉnh Nghệ An</v>
      </c>
      <c r="C12209" t="str">
        <v>-</v>
      </c>
      <c r="D12209" t="str">
        <v>-</v>
      </c>
      <c r="E12209" t="str">
        <v>-</v>
      </c>
      <c r="F12209" t="str">
        <v>-</v>
      </c>
      <c r="G12209" t="str">
        <v>-</v>
      </c>
    </row>
    <row r="12210">
      <c r="A12210">
        <v>12209</v>
      </c>
      <c r="B12210" t="str">
        <v>Công an xã Châu Tiến  tỉnh Nghệ An</v>
      </c>
      <c r="C12210" t="str">
        <v>-</v>
      </c>
      <c r="D12210" t="str">
        <v>-</v>
      </c>
      <c r="E12210" t="str">
        <v/>
      </c>
      <c r="F12210" t="str">
        <v>-</v>
      </c>
      <c r="G12210" t="str">
        <v>-</v>
      </c>
    </row>
    <row r="12211">
      <c r="A12211">
        <v>12210</v>
      </c>
      <c r="B12211" t="str">
        <v>UBND Ủy ban nhân dân xã Châu Tiến  tỉnh Nghệ An</v>
      </c>
      <c r="C12211" t="str">
        <v>-</v>
      </c>
      <c r="D12211" t="str">
        <v>-</v>
      </c>
      <c r="E12211" t="str">
        <v>-</v>
      </c>
      <c r="F12211" t="str">
        <v>-</v>
      </c>
      <c r="G12211" t="str">
        <v>-</v>
      </c>
    </row>
    <row r="12212">
      <c r="A12212">
        <v>12211</v>
      </c>
      <c r="B12212" t="str">
        <v>Công an xã Châu Hồng  tỉnh Nghệ An</v>
      </c>
      <c r="C12212" t="str">
        <v>-</v>
      </c>
      <c r="D12212" t="str">
        <v>-</v>
      </c>
      <c r="E12212" t="str">
        <v/>
      </c>
      <c r="F12212" t="str">
        <v>-</v>
      </c>
      <c r="G12212" t="str">
        <v>-</v>
      </c>
    </row>
    <row r="12213">
      <c r="A12213">
        <v>12212</v>
      </c>
      <c r="B12213" t="str">
        <v>UBND Ủy ban nhân dân xã Châu Hồng  tỉnh Nghệ An</v>
      </c>
      <c r="C12213" t="str">
        <v>-</v>
      </c>
      <c r="D12213" t="str">
        <v>-</v>
      </c>
      <c r="E12213" t="str">
        <v>-</v>
      </c>
      <c r="F12213" t="str">
        <v>-</v>
      </c>
      <c r="G12213" t="str">
        <v>-</v>
      </c>
    </row>
    <row r="12214">
      <c r="A12214">
        <v>12213</v>
      </c>
      <c r="B12214" t="str">
        <v>Công an xã Đồng Hợp  tỉnh Nghệ An</v>
      </c>
      <c r="C12214" t="str">
        <v>-</v>
      </c>
      <c r="D12214" t="str">
        <v>-</v>
      </c>
      <c r="E12214" t="str">
        <v/>
      </c>
      <c r="F12214" t="str">
        <v>-</v>
      </c>
      <c r="G12214" t="str">
        <v>-</v>
      </c>
    </row>
    <row r="12215">
      <c r="A12215">
        <v>12214</v>
      </c>
      <c r="B12215" t="str">
        <v>UBND Ủy ban nhân dân xã Đồng Hợp  tỉnh Nghệ An</v>
      </c>
      <c r="C12215" t="str">
        <v>-</v>
      </c>
      <c r="D12215" t="str">
        <v>-</v>
      </c>
      <c r="E12215" t="str">
        <v>-</v>
      </c>
      <c r="F12215" t="str">
        <v>-</v>
      </c>
      <c r="G12215" t="str">
        <v>-</v>
      </c>
    </row>
    <row r="12216">
      <c r="A12216">
        <v>12215</v>
      </c>
      <c r="B12216" t="str">
        <v>Công an xã Châu Thành  tỉnh Nghệ An</v>
      </c>
      <c r="C12216" t="str">
        <v>-</v>
      </c>
      <c r="D12216" t="str">
        <v>-</v>
      </c>
      <c r="E12216" t="str">
        <v/>
      </c>
      <c r="F12216" t="str">
        <v>-</v>
      </c>
      <c r="G12216" t="str">
        <v>-</v>
      </c>
    </row>
    <row r="12217">
      <c r="A12217">
        <v>12216</v>
      </c>
      <c r="B12217" t="str">
        <v>UBND Ủy ban nhân dân xã Châu Thành  tỉnh Nghệ An</v>
      </c>
      <c r="C12217" t="str">
        <v>-</v>
      </c>
      <c r="D12217" t="str">
        <v>-</v>
      </c>
      <c r="E12217" t="str">
        <v>-</v>
      </c>
      <c r="F12217" t="str">
        <v>-</v>
      </c>
      <c r="G12217" t="str">
        <v>-</v>
      </c>
    </row>
    <row r="12218">
      <c r="A12218">
        <v>12217</v>
      </c>
      <c r="B12218" t="str">
        <v>Công an xã Liên Hợp  tỉnh Nghệ An</v>
      </c>
      <c r="C12218" t="str">
        <v>-</v>
      </c>
      <c r="D12218" t="str">
        <v>-</v>
      </c>
      <c r="E12218" t="str">
        <v/>
      </c>
      <c r="F12218" t="str">
        <v>-</v>
      </c>
      <c r="G12218" t="str">
        <v>-</v>
      </c>
    </row>
    <row r="12219">
      <c r="A12219">
        <v>12218</v>
      </c>
      <c r="B12219" t="str">
        <v>UBND Ủy ban nhân dân xã Liên Hợp  tỉnh Nghệ An</v>
      </c>
      <c r="C12219" t="str">
        <v>-</v>
      </c>
      <c r="D12219" t="str">
        <v>-</v>
      </c>
      <c r="E12219" t="str">
        <v>-</v>
      </c>
      <c r="F12219" t="str">
        <v>-</v>
      </c>
      <c r="G12219" t="str">
        <v>-</v>
      </c>
    </row>
    <row r="12220">
      <c r="A12220">
        <v>12219</v>
      </c>
      <c r="B12220" t="str">
        <v>Công an xã Châu Lộc  tỉnh Nghệ An</v>
      </c>
      <c r="C12220" t="str">
        <v>-</v>
      </c>
      <c r="D12220" t="str">
        <v>-</v>
      </c>
      <c r="E12220" t="str">
        <v/>
      </c>
      <c r="F12220" t="str">
        <v>-</v>
      </c>
      <c r="G12220" t="str">
        <v>-</v>
      </c>
    </row>
    <row r="12221">
      <c r="A12221">
        <v>12220</v>
      </c>
      <c r="B12221" t="str">
        <v>UBND Ủy ban nhân dân xã Châu Lộc  tỉnh Nghệ An</v>
      </c>
      <c r="C12221" t="str">
        <v>-</v>
      </c>
      <c r="D12221" t="str">
        <v>-</v>
      </c>
      <c r="E12221" t="str">
        <v>-</v>
      </c>
      <c r="F12221" t="str">
        <v>-</v>
      </c>
      <c r="G12221" t="str">
        <v>-</v>
      </c>
    </row>
    <row r="12222">
      <c r="A12222">
        <v>12221</v>
      </c>
      <c r="B12222" t="str">
        <v>Công an xã Tam Hợp  tỉnh Nghệ An</v>
      </c>
      <c r="C12222" t="str">
        <v>-</v>
      </c>
      <c r="D12222" t="str">
        <v>-</v>
      </c>
      <c r="E12222" t="str">
        <v/>
      </c>
      <c r="F12222" t="str">
        <v>-</v>
      </c>
      <c r="G12222" t="str">
        <v>-</v>
      </c>
    </row>
    <row r="12223">
      <c r="A12223">
        <v>12222</v>
      </c>
      <c r="B12223" t="str">
        <v>UBND Ủy ban nhân dân xã Tam Hợp  tỉnh Nghệ An</v>
      </c>
      <c r="C12223" t="str">
        <v>-</v>
      </c>
      <c r="D12223" t="str">
        <v>-</v>
      </c>
      <c r="E12223" t="str">
        <v>-</v>
      </c>
      <c r="F12223" t="str">
        <v>-</v>
      </c>
      <c r="G12223" t="str">
        <v>-</v>
      </c>
    </row>
    <row r="12224">
      <c r="A12224">
        <v>12223</v>
      </c>
      <c r="B12224" t="str">
        <v>Công an xã Châu Cường  tỉnh Nghệ An</v>
      </c>
      <c r="C12224" t="str">
        <v>-</v>
      </c>
      <c r="D12224" t="str">
        <v>-</v>
      </c>
      <c r="E12224" t="str">
        <v/>
      </c>
      <c r="F12224" t="str">
        <v>-</v>
      </c>
      <c r="G12224" t="str">
        <v>-</v>
      </c>
    </row>
    <row r="12225">
      <c r="A12225">
        <v>12224</v>
      </c>
      <c r="B12225" t="str">
        <v>UBND Ủy ban nhân dân xã Châu Cường  tỉnh Nghệ An</v>
      </c>
      <c r="C12225" t="str">
        <v>-</v>
      </c>
      <c r="D12225" t="str">
        <v>-</v>
      </c>
      <c r="E12225" t="str">
        <v>-</v>
      </c>
      <c r="F12225" t="str">
        <v>-</v>
      </c>
      <c r="G12225" t="str">
        <v>-</v>
      </c>
    </row>
    <row r="12226">
      <c r="A12226">
        <v>12225</v>
      </c>
      <c r="B12226" t="str">
        <v>Công an xã Châu Quang  tỉnh Nghệ An</v>
      </c>
      <c r="C12226" t="str">
        <v>-</v>
      </c>
      <c r="D12226" t="str">
        <v>-</v>
      </c>
      <c r="E12226" t="str">
        <v/>
      </c>
      <c r="F12226" t="str">
        <v>-</v>
      </c>
      <c r="G12226" t="str">
        <v>-</v>
      </c>
    </row>
    <row r="12227">
      <c r="A12227">
        <v>12226</v>
      </c>
      <c r="B12227" t="str">
        <v>UBND Ủy ban nhân dân xã Châu Quang  tỉnh Nghệ An</v>
      </c>
      <c r="C12227" t="str">
        <v>-</v>
      </c>
      <c r="D12227" t="str">
        <v>-</v>
      </c>
      <c r="E12227" t="str">
        <v>-</v>
      </c>
      <c r="F12227" t="str">
        <v>-</v>
      </c>
      <c r="G12227" t="str">
        <v>-</v>
      </c>
    </row>
    <row r="12228">
      <c r="A12228">
        <v>12227</v>
      </c>
      <c r="B12228" t="str">
        <v>Công an xã Thọ Hợp  tỉnh Nghệ An</v>
      </c>
      <c r="C12228" t="str">
        <v>-</v>
      </c>
      <c r="D12228" t="str">
        <v>-</v>
      </c>
      <c r="E12228" t="str">
        <v/>
      </c>
      <c r="F12228" t="str">
        <v>-</v>
      </c>
      <c r="G12228" t="str">
        <v>-</v>
      </c>
    </row>
    <row r="12229">
      <c r="A12229">
        <v>12228</v>
      </c>
      <c r="B12229" t="str">
        <v>UBND Ủy ban nhân dân xã Thọ Hợp  tỉnh Nghệ An</v>
      </c>
      <c r="C12229" t="str">
        <v>-</v>
      </c>
      <c r="D12229" t="str">
        <v>-</v>
      </c>
      <c r="E12229" t="str">
        <v>-</v>
      </c>
      <c r="F12229" t="str">
        <v>-</v>
      </c>
      <c r="G12229" t="str">
        <v>-</v>
      </c>
    </row>
    <row r="12230">
      <c r="A12230">
        <v>12229</v>
      </c>
      <c r="B12230" t="str">
        <v>Công an xã Minh Hợp  tỉnh Nghệ An</v>
      </c>
      <c r="C12230" t="str">
        <v>-</v>
      </c>
      <c r="D12230" t="str">
        <v>-</v>
      </c>
      <c r="E12230" t="str">
        <v/>
      </c>
      <c r="F12230" t="str">
        <v>-</v>
      </c>
      <c r="G12230" t="str">
        <v>-</v>
      </c>
    </row>
    <row r="12231">
      <c r="A12231">
        <v>12230</v>
      </c>
      <c r="B12231" t="str">
        <v>UBND Ủy ban nhân dân xã Minh Hợp  tỉnh Nghệ An</v>
      </c>
      <c r="C12231" t="str">
        <v>-</v>
      </c>
      <c r="D12231" t="str">
        <v>-</v>
      </c>
      <c r="E12231" t="str">
        <v>-</v>
      </c>
      <c r="F12231" t="str">
        <v>-</v>
      </c>
      <c r="G12231" t="str">
        <v>-</v>
      </c>
    </row>
    <row r="12232">
      <c r="A12232">
        <v>12231</v>
      </c>
      <c r="B12232" t="str">
        <v>Công an xã Nghĩa Xuân  tỉnh Nghệ An</v>
      </c>
      <c r="C12232" t="str">
        <v>-</v>
      </c>
      <c r="D12232" t="str">
        <v>-</v>
      </c>
      <c r="E12232" t="str">
        <v/>
      </c>
      <c r="F12232" t="str">
        <v>-</v>
      </c>
      <c r="G12232" t="str">
        <v>-</v>
      </c>
    </row>
    <row r="12233">
      <c r="A12233">
        <v>12232</v>
      </c>
      <c r="B12233" t="str">
        <v>UBND Ủy ban nhân dân xã Nghĩa Xuân  tỉnh Nghệ An</v>
      </c>
      <c r="C12233" t="str">
        <v>-</v>
      </c>
      <c r="D12233" t="str">
        <v>-</v>
      </c>
      <c r="E12233" t="str">
        <v>-</v>
      </c>
      <c r="F12233" t="str">
        <v>-</v>
      </c>
      <c r="G12233" t="str">
        <v>-</v>
      </c>
    </row>
    <row r="12234">
      <c r="A12234">
        <v>12233</v>
      </c>
      <c r="B12234" t="str">
        <v>Công an xã Châu Thái  tỉnh Nghệ An</v>
      </c>
      <c r="C12234" t="str">
        <v>-</v>
      </c>
      <c r="D12234" t="str">
        <v>-</v>
      </c>
      <c r="E12234" t="str">
        <v/>
      </c>
      <c r="F12234" t="str">
        <v>-</v>
      </c>
      <c r="G12234" t="str">
        <v>-</v>
      </c>
    </row>
    <row r="12235">
      <c r="A12235">
        <v>12234</v>
      </c>
      <c r="B12235" t="str">
        <v>UBND Ủy ban nhân dân xã Châu Thái  tỉnh Nghệ An</v>
      </c>
      <c r="C12235" t="str">
        <v>-</v>
      </c>
      <c r="D12235" t="str">
        <v>-</v>
      </c>
      <c r="E12235" t="str">
        <v>-</v>
      </c>
      <c r="F12235" t="str">
        <v>-</v>
      </c>
      <c r="G12235" t="str">
        <v>-</v>
      </c>
    </row>
    <row r="12236">
      <c r="A12236">
        <v>12235</v>
      </c>
      <c r="B12236" t="str">
        <v>Công an xã Châu Đình  tỉnh Nghệ An</v>
      </c>
      <c r="C12236" t="str">
        <v>-</v>
      </c>
      <c r="D12236" t="str">
        <v>-</v>
      </c>
      <c r="E12236" t="str">
        <v/>
      </c>
      <c r="F12236" t="str">
        <v>-</v>
      </c>
      <c r="G12236" t="str">
        <v>-</v>
      </c>
    </row>
    <row r="12237">
      <c r="A12237">
        <v>12236</v>
      </c>
      <c r="B12237" t="str">
        <v>UBND Ủy ban nhân dân xã Châu Đình  tỉnh Nghệ An</v>
      </c>
      <c r="C12237" t="str">
        <v>-</v>
      </c>
      <c r="D12237" t="str">
        <v>-</v>
      </c>
      <c r="E12237" t="str">
        <v>-</v>
      </c>
      <c r="F12237" t="str">
        <v>-</v>
      </c>
      <c r="G12237" t="str">
        <v>-</v>
      </c>
    </row>
    <row r="12238">
      <c r="A12238">
        <v>12237</v>
      </c>
      <c r="B12238" t="str">
        <v>Công an xã Văn Lợi  tỉnh Nghệ An</v>
      </c>
      <c r="C12238" t="str">
        <v>-</v>
      </c>
      <c r="D12238" t="str">
        <v>-</v>
      </c>
      <c r="E12238" t="str">
        <v/>
      </c>
      <c r="F12238" t="str">
        <v>-</v>
      </c>
      <c r="G12238" t="str">
        <v>-</v>
      </c>
    </row>
    <row r="12239">
      <c r="A12239">
        <v>12238</v>
      </c>
      <c r="B12239" t="str">
        <v>UBND Ủy ban nhân dân xã Văn Lợi  tỉnh Nghệ An</v>
      </c>
      <c r="C12239" t="str">
        <v>-</v>
      </c>
      <c r="D12239" t="str">
        <v>-</v>
      </c>
      <c r="E12239" t="str">
        <v>-</v>
      </c>
      <c r="F12239" t="str">
        <v>-</v>
      </c>
      <c r="G12239" t="str">
        <v>-</v>
      </c>
    </row>
    <row r="12240">
      <c r="A12240">
        <v>12239</v>
      </c>
      <c r="B12240" t="str">
        <v>Công an xã Nam Sơn  tỉnh Nghệ An</v>
      </c>
      <c r="C12240" t="str">
        <v>-</v>
      </c>
      <c r="D12240" t="str">
        <v>-</v>
      </c>
      <c r="E12240" t="str">
        <v/>
      </c>
      <c r="F12240" t="str">
        <v>-</v>
      </c>
      <c r="G12240" t="str">
        <v>-</v>
      </c>
    </row>
    <row r="12241">
      <c r="A12241">
        <v>12240</v>
      </c>
      <c r="B12241" t="str">
        <v>UBND Ủy ban nhân dân xã Nam Sơn  tỉnh Nghệ An</v>
      </c>
      <c r="C12241" t="str">
        <v>-</v>
      </c>
      <c r="D12241" t="str">
        <v>-</v>
      </c>
      <c r="E12241" t="str">
        <v>-</v>
      </c>
      <c r="F12241" t="str">
        <v>-</v>
      </c>
      <c r="G12241" t="str">
        <v>-</v>
      </c>
    </row>
    <row r="12242">
      <c r="A12242">
        <v>12241</v>
      </c>
      <c r="B12242" t="str">
        <v>Công an xã Châu Lý  tỉnh Nghệ An</v>
      </c>
      <c r="C12242" t="str">
        <v>-</v>
      </c>
      <c r="D12242" t="str">
        <v>-</v>
      </c>
      <c r="E12242" t="str">
        <v/>
      </c>
      <c r="F12242" t="str">
        <v>-</v>
      </c>
      <c r="G12242" t="str">
        <v>-</v>
      </c>
    </row>
    <row r="12243">
      <c r="A12243">
        <v>12242</v>
      </c>
      <c r="B12243" t="str">
        <v>UBND Ủy ban nhân dân xã Châu Lý  tỉnh Nghệ An</v>
      </c>
      <c r="C12243" t="str">
        <v>-</v>
      </c>
      <c r="D12243" t="str">
        <v>-</v>
      </c>
      <c r="E12243" t="str">
        <v>-</v>
      </c>
      <c r="F12243" t="str">
        <v>-</v>
      </c>
      <c r="G12243" t="str">
        <v>-</v>
      </c>
    </row>
    <row r="12244">
      <c r="A12244">
        <v>12243</v>
      </c>
      <c r="B12244" t="str">
        <v>Công an xã Hạ Sơn  tỉnh Nghệ An</v>
      </c>
      <c r="C12244" t="str">
        <v>-</v>
      </c>
      <c r="D12244" t="str">
        <v>-</v>
      </c>
      <c r="E12244" t="str">
        <v/>
      </c>
      <c r="F12244" t="str">
        <v>-</v>
      </c>
      <c r="G12244" t="str">
        <v>-</v>
      </c>
    </row>
    <row r="12245">
      <c r="A12245">
        <v>12244</v>
      </c>
      <c r="B12245" t="str">
        <v>UBND Ủy ban nhân dân xã Hạ Sơn  tỉnh Nghệ An</v>
      </c>
      <c r="C12245" t="str">
        <v>-</v>
      </c>
      <c r="D12245" t="str">
        <v>-</v>
      </c>
      <c r="E12245" t="str">
        <v>-</v>
      </c>
      <c r="F12245" t="str">
        <v>-</v>
      </c>
      <c r="G12245" t="str">
        <v>-</v>
      </c>
    </row>
    <row r="12246">
      <c r="A12246">
        <v>12245</v>
      </c>
      <c r="B12246" t="str">
        <v>Công an xã Bắc Sơn  tỉnh Nghệ An</v>
      </c>
      <c r="C12246" t="str">
        <v>-</v>
      </c>
      <c r="D12246" t="str">
        <v>-</v>
      </c>
      <c r="E12246" t="str">
        <v/>
      </c>
      <c r="F12246" t="str">
        <v>-</v>
      </c>
      <c r="G12246" t="str">
        <v>-</v>
      </c>
    </row>
    <row r="12247">
      <c r="A12247">
        <v>12246</v>
      </c>
      <c r="B12247" t="str">
        <v>UBND Ủy ban nhân dân xã Bắc Sơn  tỉnh Nghệ An</v>
      </c>
      <c r="C12247" t="str">
        <v>-</v>
      </c>
      <c r="D12247" t="str">
        <v>-</v>
      </c>
      <c r="E12247" t="str">
        <v>-</v>
      </c>
      <c r="F12247" t="str">
        <v>-</v>
      </c>
      <c r="G12247" t="str">
        <v>-</v>
      </c>
    </row>
    <row r="12248">
      <c r="A12248">
        <v>12247</v>
      </c>
      <c r="B12248" t="str">
        <v>Công an thị trấn Cầu Giát  tỉnh Nghệ An</v>
      </c>
      <c r="C12248" t="str">
        <v>-</v>
      </c>
      <c r="D12248" t="str">
        <v>-</v>
      </c>
      <c r="E12248" t="str">
        <v/>
      </c>
      <c r="F12248" t="str">
        <v>-</v>
      </c>
      <c r="G12248" t="str">
        <v>-</v>
      </c>
    </row>
    <row r="12249">
      <c r="A12249">
        <v>12248</v>
      </c>
      <c r="B12249" t="str">
        <v>UBND Ủy ban nhân dân thị trấn Cầu Giát  tỉnh Nghệ An</v>
      </c>
      <c r="C12249" t="str">
        <v>-</v>
      </c>
      <c r="D12249" t="str">
        <v>-</v>
      </c>
      <c r="E12249" t="str">
        <v>-</v>
      </c>
      <c r="F12249" t="str">
        <v>-</v>
      </c>
      <c r="G12249" t="str">
        <v>-</v>
      </c>
    </row>
    <row r="12250">
      <c r="A12250">
        <v>12249</v>
      </c>
      <c r="B12250" t="str">
        <v>Công an xã Quỳnh Thắng  tỉnh Nghệ An</v>
      </c>
      <c r="C12250" t="str">
        <v>-</v>
      </c>
      <c r="D12250" t="str">
        <v>-</v>
      </c>
      <c r="E12250" t="str">
        <v/>
      </c>
      <c r="F12250" t="str">
        <v>-</v>
      </c>
      <c r="G12250" t="str">
        <v>-</v>
      </c>
    </row>
    <row r="12251">
      <c r="A12251">
        <v>12250</v>
      </c>
      <c r="B12251" t="str">
        <v>UBND Ủy ban nhân dân xã Quỳnh Thắng  tỉnh Nghệ An</v>
      </c>
      <c r="C12251" t="str">
        <v>-</v>
      </c>
      <c r="D12251" t="str">
        <v>-</v>
      </c>
      <c r="E12251" t="str">
        <v>-</v>
      </c>
      <c r="F12251" t="str">
        <v>-</v>
      </c>
      <c r="G12251" t="str">
        <v>-</v>
      </c>
    </row>
    <row r="12252">
      <c r="A12252">
        <v>12251</v>
      </c>
      <c r="B12252" t="str">
        <v>Công an xã Quỳnh Tân  tỉnh Nghệ An</v>
      </c>
      <c r="C12252" t="str">
        <v>-</v>
      </c>
      <c r="D12252" t="str">
        <v>-</v>
      </c>
      <c r="E12252" t="str">
        <v/>
      </c>
      <c r="F12252" t="str">
        <v>-</v>
      </c>
      <c r="G12252" t="str">
        <v>-</v>
      </c>
    </row>
    <row r="12253">
      <c r="A12253">
        <v>12252</v>
      </c>
      <c r="B12253" t="str">
        <v>UBND Ủy ban nhân dân xã Quỳnh Tân  tỉnh Nghệ An</v>
      </c>
      <c r="C12253" t="str">
        <v>-</v>
      </c>
      <c r="D12253" t="str">
        <v>-</v>
      </c>
      <c r="E12253" t="str">
        <v>-</v>
      </c>
      <c r="F12253" t="str">
        <v>-</v>
      </c>
      <c r="G12253" t="str">
        <v>-</v>
      </c>
    </row>
    <row r="12254">
      <c r="A12254">
        <v>12253</v>
      </c>
      <c r="B12254" t="str">
        <v>Công an xã Quỳnh Châu  tỉnh Nghệ An</v>
      </c>
      <c r="C12254" t="str">
        <v>-</v>
      </c>
      <c r="D12254" t="str">
        <v>-</v>
      </c>
      <c r="E12254" t="str">
        <v/>
      </c>
      <c r="F12254" t="str">
        <v>-</v>
      </c>
      <c r="G12254" t="str">
        <v>-</v>
      </c>
    </row>
    <row r="12255">
      <c r="A12255">
        <v>12254</v>
      </c>
      <c r="B12255" t="str">
        <v>UBND Ủy ban nhân dân xã Quỳnh Châu  tỉnh Nghệ An</v>
      </c>
      <c r="C12255" t="str">
        <v>-</v>
      </c>
      <c r="D12255" t="str">
        <v>-</v>
      </c>
      <c r="E12255" t="str">
        <v>-</v>
      </c>
      <c r="F12255" t="str">
        <v>-</v>
      </c>
      <c r="G12255" t="str">
        <v>-</v>
      </c>
    </row>
    <row r="12256">
      <c r="A12256">
        <v>12255</v>
      </c>
      <c r="B12256" t="str">
        <v>Công an xã Tân Sơn  tỉnh Nghệ An</v>
      </c>
      <c r="C12256" t="str">
        <v>-</v>
      </c>
      <c r="D12256" t="str">
        <v>-</v>
      </c>
      <c r="E12256" t="str">
        <v/>
      </c>
      <c r="F12256" t="str">
        <v>-</v>
      </c>
      <c r="G12256" t="str">
        <v>-</v>
      </c>
    </row>
    <row r="12257">
      <c r="A12257">
        <v>12256</v>
      </c>
      <c r="B12257" t="str">
        <v>UBND Ủy ban nhân dân xã Tân Sơn  tỉnh Nghệ An</v>
      </c>
      <c r="C12257" t="str">
        <v>-</v>
      </c>
      <c r="D12257" t="str">
        <v>-</v>
      </c>
      <c r="E12257" t="str">
        <v>-</v>
      </c>
      <c r="F12257" t="str">
        <v>-</v>
      </c>
      <c r="G12257" t="str">
        <v>-</v>
      </c>
    </row>
    <row r="12258">
      <c r="A12258">
        <v>12257</v>
      </c>
      <c r="B12258" t="str">
        <v>Công an xã Quỳnh Văn  tỉnh Nghệ An</v>
      </c>
      <c r="C12258" t="str">
        <v>-</v>
      </c>
      <c r="D12258" t="str">
        <v>-</v>
      </c>
      <c r="E12258" t="str">
        <v/>
      </c>
      <c r="F12258" t="str">
        <v>-</v>
      </c>
      <c r="G12258" t="str">
        <v>-</v>
      </c>
    </row>
    <row r="12259">
      <c r="A12259">
        <v>12258</v>
      </c>
      <c r="B12259" t="str">
        <v>UBND Ủy ban nhân dân xã Quỳnh Văn  tỉnh Nghệ An</v>
      </c>
      <c r="C12259" t="str">
        <v>-</v>
      </c>
      <c r="D12259" t="str">
        <v>-</v>
      </c>
      <c r="E12259" t="str">
        <v>-</v>
      </c>
      <c r="F12259" t="str">
        <v>-</v>
      </c>
      <c r="G12259" t="str">
        <v>-</v>
      </c>
    </row>
    <row r="12260">
      <c r="A12260">
        <v>12259</v>
      </c>
      <c r="B12260" t="str">
        <v>Công an xã Ngọc Sơn  tỉnh Nghệ An</v>
      </c>
      <c r="C12260" t="str">
        <v>-</v>
      </c>
      <c r="D12260" t="str">
        <v>-</v>
      </c>
      <c r="E12260" t="str">
        <v/>
      </c>
      <c r="F12260" t="str">
        <v>-</v>
      </c>
      <c r="G12260" t="str">
        <v>-</v>
      </c>
    </row>
    <row r="12261">
      <c r="A12261">
        <v>12260</v>
      </c>
      <c r="B12261" t="str">
        <v>UBND Ủy ban nhân dân xã Ngọc Sơn  tỉnh Nghệ An</v>
      </c>
      <c r="C12261" t="str">
        <v>-</v>
      </c>
      <c r="D12261" t="str">
        <v>-</v>
      </c>
      <c r="E12261" t="str">
        <v>-</v>
      </c>
      <c r="F12261" t="str">
        <v>-</v>
      </c>
      <c r="G12261" t="str">
        <v>-</v>
      </c>
    </row>
    <row r="12262">
      <c r="A12262">
        <v>12261</v>
      </c>
      <c r="B12262" t="str">
        <v>Công an xã Quỳnh Tam  tỉnh Nghệ An</v>
      </c>
      <c r="C12262" t="str">
        <v>-</v>
      </c>
      <c r="D12262" t="str">
        <v>-</v>
      </c>
      <c r="E12262" t="str">
        <v/>
      </c>
      <c r="F12262" t="str">
        <v>-</v>
      </c>
      <c r="G12262" t="str">
        <v>-</v>
      </c>
    </row>
    <row r="12263">
      <c r="A12263">
        <v>12262</v>
      </c>
      <c r="B12263" t="str">
        <v>UBND Ủy ban nhân dân xã Quỳnh Tam  tỉnh Nghệ An</v>
      </c>
      <c r="C12263" t="str">
        <v>-</v>
      </c>
      <c r="D12263" t="str">
        <v>-</v>
      </c>
      <c r="E12263" t="str">
        <v>-</v>
      </c>
      <c r="F12263" t="str">
        <v>-</v>
      </c>
      <c r="G12263" t="str">
        <v>-</v>
      </c>
    </row>
    <row r="12264">
      <c r="A12264">
        <v>12263</v>
      </c>
      <c r="B12264" t="str">
        <v>Công an xã Quỳnh Hoa  tỉnh Nghệ An</v>
      </c>
      <c r="C12264" t="str">
        <v>-</v>
      </c>
      <c r="D12264" t="str">
        <v>-</v>
      </c>
      <c r="E12264" t="str">
        <v/>
      </c>
      <c r="F12264" t="str">
        <v>-</v>
      </c>
      <c r="G12264" t="str">
        <v>-</v>
      </c>
    </row>
    <row r="12265">
      <c r="A12265">
        <v>12264</v>
      </c>
      <c r="B12265" t="str">
        <v>UBND Ủy ban nhân dân xã Quỳnh Hoa  tỉnh Nghệ An</v>
      </c>
      <c r="C12265" t="str">
        <v>-</v>
      </c>
      <c r="D12265" t="str">
        <v>-</v>
      </c>
      <c r="E12265" t="str">
        <v>-</v>
      </c>
      <c r="F12265" t="str">
        <v>-</v>
      </c>
      <c r="G12265" t="str">
        <v>-</v>
      </c>
    </row>
    <row r="12266">
      <c r="A12266">
        <v>12265</v>
      </c>
      <c r="B12266" t="str">
        <v>Công an xã Quỳnh Thạch  tỉnh Nghệ An</v>
      </c>
      <c r="C12266" t="str">
        <v>-</v>
      </c>
      <c r="D12266" t="str">
        <v>-</v>
      </c>
      <c r="E12266" t="str">
        <v/>
      </c>
      <c r="F12266" t="str">
        <v>-</v>
      </c>
      <c r="G12266" t="str">
        <v>-</v>
      </c>
    </row>
    <row r="12267">
      <c r="A12267">
        <v>12266</v>
      </c>
      <c r="B12267" t="str">
        <v>UBND Ủy ban nhân dân xã Quỳnh Thạch  tỉnh Nghệ An</v>
      </c>
      <c r="C12267" t="str">
        <v>-</v>
      </c>
      <c r="D12267" t="str">
        <v>-</v>
      </c>
      <c r="E12267" t="str">
        <v>-</v>
      </c>
      <c r="F12267" t="str">
        <v>-</v>
      </c>
      <c r="G12267" t="str">
        <v>-</v>
      </c>
    </row>
    <row r="12268">
      <c r="A12268">
        <v>12267</v>
      </c>
      <c r="B12268" t="str">
        <v>Công an xã Quỳnh Bảng  tỉnh Nghệ An</v>
      </c>
      <c r="C12268" t="str">
        <v>-</v>
      </c>
      <c r="D12268" t="str">
        <v>-</v>
      </c>
      <c r="E12268" t="str">
        <v/>
      </c>
      <c r="F12268" t="str">
        <v>-</v>
      </c>
      <c r="G12268" t="str">
        <v>-</v>
      </c>
    </row>
    <row r="12269">
      <c r="A12269">
        <v>12268</v>
      </c>
      <c r="B12269" t="str">
        <v>UBND Ủy ban nhân dân xã Quỳnh Bảng  tỉnh Nghệ An</v>
      </c>
      <c r="C12269" t="str">
        <v>-</v>
      </c>
      <c r="D12269" t="str">
        <v>-</v>
      </c>
      <c r="E12269" t="str">
        <v>-</v>
      </c>
      <c r="F12269" t="str">
        <v>-</v>
      </c>
      <c r="G12269" t="str">
        <v>-</v>
      </c>
    </row>
    <row r="12270">
      <c r="A12270">
        <v>12269</v>
      </c>
      <c r="B12270" t="str">
        <v>Công an xã Quỳnh Mỹ  tỉnh Nghệ An</v>
      </c>
      <c r="C12270" t="str">
        <v>-</v>
      </c>
      <c r="D12270" t="str">
        <v>-</v>
      </c>
      <c r="E12270" t="str">
        <v/>
      </c>
      <c r="F12270" t="str">
        <v>-</v>
      </c>
      <c r="G12270" t="str">
        <v>-</v>
      </c>
    </row>
    <row r="12271">
      <c r="A12271">
        <v>12270</v>
      </c>
      <c r="B12271" t="str">
        <v>UBND Ủy ban nhân dân xã Quỳnh Mỹ  tỉnh Nghệ An</v>
      </c>
      <c r="C12271" t="str">
        <v>-</v>
      </c>
      <c r="D12271" t="str">
        <v>-</v>
      </c>
      <c r="E12271" t="str">
        <v>-</v>
      </c>
      <c r="F12271" t="str">
        <v>-</v>
      </c>
      <c r="G12271" t="str">
        <v>-</v>
      </c>
    </row>
    <row r="12272">
      <c r="A12272">
        <v>12271</v>
      </c>
      <c r="B12272" t="str">
        <v>Công an xã Quỳnh Thanh  tỉnh Nghệ An</v>
      </c>
      <c r="C12272" t="str">
        <v>-</v>
      </c>
      <c r="D12272" t="str">
        <v>-</v>
      </c>
      <c r="E12272" t="str">
        <v/>
      </c>
      <c r="F12272" t="str">
        <v>-</v>
      </c>
      <c r="G12272" t="str">
        <v>-</v>
      </c>
    </row>
    <row r="12273">
      <c r="A12273">
        <v>12272</v>
      </c>
      <c r="B12273" t="str">
        <v>UBND Ủy ban nhân dân xã Quỳnh Thanh  tỉnh Nghệ An</v>
      </c>
      <c r="C12273" t="str">
        <v>-</v>
      </c>
      <c r="D12273" t="str">
        <v>-</v>
      </c>
      <c r="E12273" t="str">
        <v>-</v>
      </c>
      <c r="F12273" t="str">
        <v>-</v>
      </c>
      <c r="G12273" t="str">
        <v>-</v>
      </c>
    </row>
    <row r="12274">
      <c r="A12274">
        <v>12273</v>
      </c>
      <c r="B12274" t="str">
        <v>Công an xã Quỳnh Hậu  tỉnh Nghệ An</v>
      </c>
      <c r="C12274" t="str">
        <v>-</v>
      </c>
      <c r="D12274" t="str">
        <v>-</v>
      </c>
      <c r="E12274" t="str">
        <v/>
      </c>
      <c r="F12274" t="str">
        <v>-</v>
      </c>
      <c r="G12274" t="str">
        <v>-</v>
      </c>
    </row>
    <row r="12275">
      <c r="A12275">
        <v>12274</v>
      </c>
      <c r="B12275" t="str">
        <v>UBND Ủy ban nhân dân xã Quỳnh Hậu  tỉnh Nghệ An</v>
      </c>
      <c r="C12275" t="str">
        <v>-</v>
      </c>
      <c r="D12275" t="str">
        <v>-</v>
      </c>
      <c r="E12275" t="str">
        <v>-</v>
      </c>
      <c r="F12275" t="str">
        <v>-</v>
      </c>
      <c r="G12275" t="str">
        <v>-</v>
      </c>
    </row>
    <row r="12276">
      <c r="A12276">
        <v>12275</v>
      </c>
      <c r="B12276" t="str">
        <v>Công an xã Quỳnh Lâm  tỉnh Nghệ An</v>
      </c>
      <c r="C12276" t="str">
        <v>-</v>
      </c>
      <c r="D12276" t="str">
        <v>-</v>
      </c>
      <c r="E12276" t="str">
        <v/>
      </c>
      <c r="F12276" t="str">
        <v>-</v>
      </c>
      <c r="G12276" t="str">
        <v>-</v>
      </c>
    </row>
    <row r="12277">
      <c r="A12277">
        <v>12276</v>
      </c>
      <c r="B12277" t="str">
        <v>UBND Ủy ban nhân dân xã Quỳnh Lâm  tỉnh Nghệ An</v>
      </c>
      <c r="C12277" t="str">
        <v>-</v>
      </c>
      <c r="D12277" t="str">
        <v>-</v>
      </c>
      <c r="E12277" t="str">
        <v>-</v>
      </c>
      <c r="F12277" t="str">
        <v>-</v>
      </c>
      <c r="G12277" t="str">
        <v>-</v>
      </c>
    </row>
    <row r="12278">
      <c r="A12278">
        <v>12277</v>
      </c>
      <c r="B12278" t="str">
        <v>Công an xã Quỳnh Đôi  tỉnh Nghệ An</v>
      </c>
      <c r="C12278" t="str">
        <v>-</v>
      </c>
      <c r="D12278" t="str">
        <v>-</v>
      </c>
      <c r="E12278" t="str">
        <v/>
      </c>
      <c r="F12278" t="str">
        <v>-</v>
      </c>
      <c r="G12278" t="str">
        <v>-</v>
      </c>
    </row>
    <row r="12279">
      <c r="A12279">
        <v>12278</v>
      </c>
      <c r="B12279" t="str">
        <v>UBND Ủy ban nhân dân xã Quỳnh Đôi  tỉnh Nghệ An</v>
      </c>
      <c r="C12279" t="str">
        <v>-</v>
      </c>
      <c r="D12279" t="str">
        <v>-</v>
      </c>
      <c r="E12279" t="str">
        <v>-</v>
      </c>
      <c r="F12279" t="str">
        <v>-</v>
      </c>
      <c r="G12279" t="str">
        <v>-</v>
      </c>
    </row>
    <row r="12280">
      <c r="A12280">
        <v>12279</v>
      </c>
      <c r="B12280" t="str">
        <v>Công an xã Quỳnh Lương  tỉnh Nghệ An</v>
      </c>
      <c r="C12280" t="str">
        <v>-</v>
      </c>
      <c r="D12280" t="str">
        <v>-</v>
      </c>
      <c r="E12280" t="str">
        <v/>
      </c>
      <c r="F12280" t="str">
        <v>-</v>
      </c>
      <c r="G12280" t="str">
        <v>-</v>
      </c>
    </row>
    <row r="12281">
      <c r="A12281">
        <v>12280</v>
      </c>
      <c r="B12281" t="str">
        <v>UBND Ủy ban nhân dân xã Quỳnh Lương  tỉnh Nghệ An</v>
      </c>
      <c r="C12281" t="str">
        <v>-</v>
      </c>
      <c r="D12281" t="str">
        <v>-</v>
      </c>
      <c r="E12281" t="str">
        <v>-</v>
      </c>
      <c r="F12281" t="str">
        <v>-</v>
      </c>
      <c r="G12281" t="str">
        <v>-</v>
      </c>
    </row>
    <row r="12282">
      <c r="A12282">
        <v>12281</v>
      </c>
      <c r="B12282" t="str">
        <v>Công an xã Quỳnh Hồng  tỉnh Nghệ An</v>
      </c>
      <c r="C12282" t="str">
        <v>-</v>
      </c>
      <c r="D12282" t="str">
        <v>-</v>
      </c>
      <c r="E12282" t="str">
        <v/>
      </c>
      <c r="F12282" t="str">
        <v>-</v>
      </c>
      <c r="G12282" t="str">
        <v>-</v>
      </c>
    </row>
    <row r="12283">
      <c r="A12283">
        <v>12282</v>
      </c>
      <c r="B12283" t="str">
        <v>UBND Ủy ban nhân dân xã Quỳnh Hồng  tỉnh Nghệ An</v>
      </c>
      <c r="C12283" t="str">
        <v>-</v>
      </c>
      <c r="D12283" t="str">
        <v>-</v>
      </c>
      <c r="E12283" t="str">
        <v>-</v>
      </c>
      <c r="F12283" t="str">
        <v>-</v>
      </c>
      <c r="G12283" t="str">
        <v>-</v>
      </c>
    </row>
    <row r="12284">
      <c r="A12284">
        <v>12283</v>
      </c>
      <c r="B12284" t="str">
        <v>Công an xã Quỳnh Yên  tỉnh Nghệ An</v>
      </c>
      <c r="C12284" t="str">
        <v>-</v>
      </c>
      <c r="D12284" t="str">
        <v>-</v>
      </c>
      <c r="E12284" t="str">
        <v/>
      </c>
      <c r="F12284" t="str">
        <v>-</v>
      </c>
      <c r="G12284" t="str">
        <v>-</v>
      </c>
    </row>
    <row r="12285">
      <c r="A12285">
        <v>12284</v>
      </c>
      <c r="B12285" t="str">
        <v>UBND Ủy ban nhân dân xã Quỳnh Yên  tỉnh Nghệ An</v>
      </c>
      <c r="C12285" t="str">
        <v>-</v>
      </c>
      <c r="D12285" t="str">
        <v>-</v>
      </c>
      <c r="E12285" t="str">
        <v>-</v>
      </c>
      <c r="F12285" t="str">
        <v>-</v>
      </c>
      <c r="G12285" t="str">
        <v>-</v>
      </c>
    </row>
    <row r="12286">
      <c r="A12286">
        <v>12285</v>
      </c>
      <c r="B12286" t="str">
        <v>Công an xã Quỳnh Bá  tỉnh Nghệ An</v>
      </c>
      <c r="C12286" t="str">
        <v>-</v>
      </c>
      <c r="D12286" t="str">
        <v>-</v>
      </c>
      <c r="E12286" t="str">
        <v/>
      </c>
      <c r="F12286" t="str">
        <v>-</v>
      </c>
      <c r="G12286" t="str">
        <v>-</v>
      </c>
    </row>
    <row r="12287">
      <c r="A12287">
        <v>12286</v>
      </c>
      <c r="B12287" t="str">
        <v>UBND Ủy ban nhân dân xã Quỳnh Bá  tỉnh Nghệ An</v>
      </c>
      <c r="C12287" t="str">
        <v>-</v>
      </c>
      <c r="D12287" t="str">
        <v>-</v>
      </c>
      <c r="E12287" t="str">
        <v>-</v>
      </c>
      <c r="F12287" t="str">
        <v>-</v>
      </c>
      <c r="G12287" t="str">
        <v>-</v>
      </c>
    </row>
    <row r="12288">
      <c r="A12288">
        <v>12287</v>
      </c>
      <c r="B12288" t="str">
        <v>Công an xã Quỳnh Minh  tỉnh Nghệ An</v>
      </c>
      <c r="C12288" t="str">
        <v>-</v>
      </c>
      <c r="D12288" t="str">
        <v>-</v>
      </c>
      <c r="E12288" t="str">
        <v/>
      </c>
      <c r="F12288" t="str">
        <v>-</v>
      </c>
      <c r="G12288" t="str">
        <v>-</v>
      </c>
    </row>
    <row r="12289">
      <c r="A12289">
        <v>12288</v>
      </c>
      <c r="B12289" t="str">
        <v>UBND Ủy ban nhân dân xã Quỳnh Minh  tỉnh Nghệ An</v>
      </c>
      <c r="C12289" t="str">
        <v>-</v>
      </c>
      <c r="D12289" t="str">
        <v>-</v>
      </c>
      <c r="E12289" t="str">
        <v>-</v>
      </c>
      <c r="F12289" t="str">
        <v>-</v>
      </c>
      <c r="G12289" t="str">
        <v>-</v>
      </c>
    </row>
    <row r="12290">
      <c r="A12290">
        <v>12289</v>
      </c>
      <c r="B12290" t="str">
        <v>Công an xã Quỳnh Diễn  tỉnh Nghệ An</v>
      </c>
      <c r="C12290" t="str">
        <v>-</v>
      </c>
      <c r="D12290" t="str">
        <v>-</v>
      </c>
      <c r="E12290" t="str">
        <v/>
      </c>
      <c r="F12290" t="str">
        <v>-</v>
      </c>
      <c r="G12290" t="str">
        <v>-</v>
      </c>
    </row>
    <row r="12291">
      <c r="A12291">
        <v>12290</v>
      </c>
      <c r="B12291" t="str">
        <v>UBND Ủy ban nhân dân xã Quỳnh Diễn  tỉnh Nghệ An</v>
      </c>
      <c r="C12291" t="str">
        <v>-</v>
      </c>
      <c r="D12291" t="str">
        <v>-</v>
      </c>
      <c r="E12291" t="str">
        <v>-</v>
      </c>
      <c r="F12291" t="str">
        <v>-</v>
      </c>
      <c r="G12291" t="str">
        <v>-</v>
      </c>
    </row>
    <row r="12292">
      <c r="A12292">
        <v>12291</v>
      </c>
      <c r="B12292" t="str">
        <v>Công an xã Quỳnh Hưng  tỉnh Nghệ An</v>
      </c>
      <c r="C12292" t="str">
        <v>-</v>
      </c>
      <c r="D12292" t="str">
        <v>-</v>
      </c>
      <c r="E12292" t="str">
        <v/>
      </c>
      <c r="F12292" t="str">
        <v>-</v>
      </c>
      <c r="G12292" t="str">
        <v>-</v>
      </c>
    </row>
    <row r="12293">
      <c r="A12293">
        <v>12292</v>
      </c>
      <c r="B12293" t="str">
        <v>UBND Ủy ban nhân dân xã Quỳnh Hưng  tỉnh Nghệ An</v>
      </c>
      <c r="C12293" t="str">
        <v>-</v>
      </c>
      <c r="D12293" t="str">
        <v>-</v>
      </c>
      <c r="E12293" t="str">
        <v>-</v>
      </c>
      <c r="F12293" t="str">
        <v>-</v>
      </c>
      <c r="G12293" t="str">
        <v>-</v>
      </c>
    </row>
    <row r="12294">
      <c r="A12294">
        <v>12293</v>
      </c>
      <c r="B12294" t="str">
        <v>Công an xã Quỳnh Giang  tỉnh Nghệ An</v>
      </c>
      <c r="C12294" t="str">
        <v>-</v>
      </c>
      <c r="D12294" t="str">
        <v>-</v>
      </c>
      <c r="E12294" t="str">
        <v/>
      </c>
      <c r="F12294" t="str">
        <v>-</v>
      </c>
      <c r="G12294" t="str">
        <v>-</v>
      </c>
    </row>
    <row r="12295">
      <c r="A12295">
        <v>12294</v>
      </c>
      <c r="B12295" t="str">
        <v>UBND Ủy ban nhân dân xã Quỳnh Giang  tỉnh Nghệ An</v>
      </c>
      <c r="C12295" t="str">
        <v>-</v>
      </c>
      <c r="D12295" t="str">
        <v>-</v>
      </c>
      <c r="E12295" t="str">
        <v>-</v>
      </c>
      <c r="F12295" t="str">
        <v>-</v>
      </c>
      <c r="G12295" t="str">
        <v>-</v>
      </c>
    </row>
    <row r="12296">
      <c r="A12296">
        <v>12295</v>
      </c>
      <c r="B12296" t="str">
        <v>Công an xã Quỳnh Ngọc  tỉnh Nghệ An</v>
      </c>
      <c r="C12296" t="str">
        <v>-</v>
      </c>
      <c r="D12296" t="str">
        <v>-</v>
      </c>
      <c r="E12296" t="str">
        <v/>
      </c>
      <c r="F12296" t="str">
        <v>-</v>
      </c>
      <c r="G12296" t="str">
        <v>-</v>
      </c>
    </row>
    <row r="12297">
      <c r="A12297">
        <v>12296</v>
      </c>
      <c r="B12297" t="str">
        <v>UBND Ủy ban nhân dân xã Quỳnh Ngọc  tỉnh Nghệ An</v>
      </c>
      <c r="C12297" t="str">
        <v>-</v>
      </c>
      <c r="D12297" t="str">
        <v>-</v>
      </c>
      <c r="E12297" t="str">
        <v>-</v>
      </c>
      <c r="F12297" t="str">
        <v>-</v>
      </c>
      <c r="G12297" t="str">
        <v>-</v>
      </c>
    </row>
    <row r="12298">
      <c r="A12298">
        <v>12297</v>
      </c>
      <c r="B12298" t="str">
        <v>Công an xã Quỳnh Nghĩa  tỉnh Nghệ An</v>
      </c>
      <c r="C12298" t="str">
        <v>-</v>
      </c>
      <c r="D12298" t="str">
        <v>-</v>
      </c>
      <c r="E12298" t="str">
        <v/>
      </c>
      <c r="F12298" t="str">
        <v>-</v>
      </c>
      <c r="G12298" t="str">
        <v>-</v>
      </c>
    </row>
    <row r="12299">
      <c r="A12299">
        <v>12298</v>
      </c>
      <c r="B12299" t="str">
        <v>UBND Ủy ban nhân dân xã Quỳnh Nghĩa  tỉnh Nghệ An</v>
      </c>
      <c r="C12299" t="str">
        <v>-</v>
      </c>
      <c r="D12299" t="str">
        <v>-</v>
      </c>
      <c r="E12299" t="str">
        <v>-</v>
      </c>
      <c r="F12299" t="str">
        <v>-</v>
      </c>
      <c r="G12299" t="str">
        <v>-</v>
      </c>
    </row>
    <row r="12300">
      <c r="A12300">
        <v>12299</v>
      </c>
      <c r="B12300" t="str">
        <v>Công an xã An Hòa  tỉnh Nghệ An</v>
      </c>
      <c r="C12300" t="str">
        <v>-</v>
      </c>
      <c r="D12300" t="str">
        <v>-</v>
      </c>
      <c r="E12300" t="str">
        <v/>
      </c>
      <c r="F12300" t="str">
        <v>-</v>
      </c>
      <c r="G12300" t="str">
        <v>-</v>
      </c>
    </row>
    <row r="12301">
      <c r="A12301">
        <v>12300</v>
      </c>
      <c r="B12301" t="str">
        <v>UBND Ủy ban nhân dân xã An Hòa  tỉnh Nghệ An</v>
      </c>
      <c r="C12301" t="str">
        <v>-</v>
      </c>
      <c r="D12301" t="str">
        <v>-</v>
      </c>
      <c r="E12301" t="str">
        <v>-</v>
      </c>
      <c r="F12301" t="str">
        <v>-</v>
      </c>
      <c r="G12301" t="str">
        <v>-</v>
      </c>
    </row>
    <row r="12302">
      <c r="A12302">
        <v>12301</v>
      </c>
      <c r="B12302" t="str">
        <v>Công an xã Tiến Thủy  tỉnh Nghệ An</v>
      </c>
      <c r="C12302" t="str">
        <v>-</v>
      </c>
      <c r="D12302" t="str">
        <v>-</v>
      </c>
      <c r="E12302" t="str">
        <v/>
      </c>
      <c r="F12302" t="str">
        <v>-</v>
      </c>
      <c r="G12302" t="str">
        <v>-</v>
      </c>
    </row>
    <row r="12303">
      <c r="A12303">
        <v>12302</v>
      </c>
      <c r="B12303" t="str">
        <v>UBND Ủy ban nhân dân xã Tiến Thủy  tỉnh Nghệ An</v>
      </c>
      <c r="C12303" t="str">
        <v>-</v>
      </c>
      <c r="D12303" t="str">
        <v>-</v>
      </c>
      <c r="E12303" t="str">
        <v>-</v>
      </c>
      <c r="F12303" t="str">
        <v>-</v>
      </c>
      <c r="G12303" t="str">
        <v>-</v>
      </c>
    </row>
    <row r="12304">
      <c r="A12304">
        <v>12303</v>
      </c>
      <c r="B12304" t="str">
        <v>Công an xã Sơn Hải  tỉnh Nghệ An</v>
      </c>
      <c r="C12304" t="str">
        <v>-</v>
      </c>
      <c r="D12304" t="str">
        <v>-</v>
      </c>
      <c r="E12304" t="str">
        <v/>
      </c>
      <c r="F12304" t="str">
        <v>-</v>
      </c>
      <c r="G12304" t="str">
        <v>-</v>
      </c>
    </row>
    <row r="12305">
      <c r="A12305">
        <v>12304</v>
      </c>
      <c r="B12305" t="str">
        <v>UBND Ủy ban nhân dân xã Sơn Hải  tỉnh Nghệ An</v>
      </c>
      <c r="C12305" t="str">
        <v>-</v>
      </c>
      <c r="D12305" t="str">
        <v>-</v>
      </c>
      <c r="E12305" t="str">
        <v>-</v>
      </c>
      <c r="F12305" t="str">
        <v>-</v>
      </c>
      <c r="G12305" t="str">
        <v>-</v>
      </c>
    </row>
    <row r="12306">
      <c r="A12306">
        <v>12305</v>
      </c>
      <c r="B12306" t="str">
        <v>Công an xã Quỳnh Thọ  tỉnh Nghệ An</v>
      </c>
      <c r="C12306" t="str">
        <v>-</v>
      </c>
      <c r="D12306" t="str">
        <v>-</v>
      </c>
      <c r="E12306" t="str">
        <v/>
      </c>
      <c r="F12306" t="str">
        <v>-</v>
      </c>
      <c r="G12306" t="str">
        <v>-</v>
      </c>
    </row>
    <row r="12307">
      <c r="A12307">
        <v>12306</v>
      </c>
      <c r="B12307" t="str">
        <v>UBND Ủy ban nhân dân xã Quỳnh Thọ  tỉnh Nghệ An</v>
      </c>
      <c r="C12307" t="str">
        <v>-</v>
      </c>
      <c r="D12307" t="str">
        <v>-</v>
      </c>
      <c r="E12307" t="str">
        <v>-</v>
      </c>
      <c r="F12307" t="str">
        <v>-</v>
      </c>
      <c r="G12307" t="str">
        <v>-</v>
      </c>
    </row>
    <row r="12308">
      <c r="A12308">
        <v>12307</v>
      </c>
      <c r="B12308" t="str">
        <v>Công an xã Quỳnh Thuận  tỉnh Nghệ An</v>
      </c>
      <c r="C12308" t="str">
        <v>-</v>
      </c>
      <c r="D12308" t="str">
        <v>-</v>
      </c>
      <c r="E12308" t="str">
        <v/>
      </c>
      <c r="F12308" t="str">
        <v>-</v>
      </c>
      <c r="G12308" t="str">
        <v>-</v>
      </c>
    </row>
    <row r="12309">
      <c r="A12309">
        <v>12308</v>
      </c>
      <c r="B12309" t="str">
        <v>UBND Ủy ban nhân dân xã Quỳnh Thuận  tỉnh Nghệ An</v>
      </c>
      <c r="C12309" t="str">
        <v>-</v>
      </c>
      <c r="D12309" t="str">
        <v>-</v>
      </c>
      <c r="E12309" t="str">
        <v>-</v>
      </c>
      <c r="F12309" t="str">
        <v>-</v>
      </c>
      <c r="G12309" t="str">
        <v>-</v>
      </c>
    </row>
    <row r="12310">
      <c r="A12310">
        <v>12309</v>
      </c>
      <c r="B12310" t="str">
        <v>Công an xã Quỳnh Long  tỉnh Nghệ An</v>
      </c>
      <c r="C12310" t="str">
        <v>-</v>
      </c>
      <c r="D12310" t="str">
        <v>-</v>
      </c>
      <c r="E12310" t="str">
        <v/>
      </c>
      <c r="F12310" t="str">
        <v>-</v>
      </c>
      <c r="G12310" t="str">
        <v>-</v>
      </c>
    </row>
    <row r="12311">
      <c r="A12311">
        <v>12310</v>
      </c>
      <c r="B12311" t="str">
        <v>UBND Ủy ban nhân dân xã Quỳnh Long  tỉnh Nghệ An</v>
      </c>
      <c r="C12311" t="str">
        <v>-</v>
      </c>
      <c r="D12311" t="str">
        <v>-</v>
      </c>
      <c r="E12311" t="str">
        <v>-</v>
      </c>
      <c r="F12311" t="str">
        <v>-</v>
      </c>
      <c r="G12311" t="str">
        <v>-</v>
      </c>
    </row>
    <row r="12312">
      <c r="A12312">
        <v>12311</v>
      </c>
      <c r="B12312" t="str">
        <v>Công an xã Tân Thắng  tỉnh Nghệ An</v>
      </c>
      <c r="C12312" t="str">
        <v>-</v>
      </c>
      <c r="D12312" t="str">
        <v>-</v>
      </c>
      <c r="E12312" t="str">
        <v/>
      </c>
      <c r="F12312" t="str">
        <v>-</v>
      </c>
      <c r="G12312" t="str">
        <v>-</v>
      </c>
    </row>
    <row r="12313">
      <c r="A12313">
        <v>12312</v>
      </c>
      <c r="B12313" t="str">
        <v>UBND Ủy ban nhân dân xã Tân Thắng  tỉnh Nghệ An</v>
      </c>
      <c r="C12313" t="str">
        <v>-</v>
      </c>
      <c r="D12313" t="str">
        <v>-</v>
      </c>
      <c r="E12313" t="str">
        <v>-</v>
      </c>
      <c r="F12313" t="str">
        <v>-</v>
      </c>
      <c r="G12313" t="str">
        <v>-</v>
      </c>
    </row>
    <row r="12314">
      <c r="A12314">
        <v>12313</v>
      </c>
      <c r="B12314" t="str">
        <v>Công an thị trấn Con Cuông  tỉnh Nghệ An</v>
      </c>
      <c r="C12314" t="str">
        <v>-</v>
      </c>
      <c r="D12314" t="str">
        <v>-</v>
      </c>
      <c r="E12314" t="str">
        <v/>
      </c>
      <c r="F12314" t="str">
        <v>-</v>
      </c>
      <c r="G12314" t="str">
        <v>-</v>
      </c>
    </row>
    <row r="12315">
      <c r="A12315">
        <v>12314</v>
      </c>
      <c r="B12315" t="str">
        <v>UBND Ủy ban nhân dân thị trấn Con Cuông  tỉnh Nghệ An</v>
      </c>
      <c r="C12315" t="str">
        <v>-</v>
      </c>
      <c r="D12315" t="str">
        <v>-</v>
      </c>
      <c r="E12315" t="str">
        <v>-</v>
      </c>
      <c r="F12315" t="str">
        <v>-</v>
      </c>
      <c r="G12315" t="str">
        <v>-</v>
      </c>
    </row>
    <row r="12316">
      <c r="A12316">
        <v>12315</v>
      </c>
      <c r="B12316" t="str">
        <v>Công an xã Bình Chuẩn  tỉnh Nghệ An</v>
      </c>
      <c r="C12316" t="str">
        <v>-</v>
      </c>
      <c r="D12316" t="str">
        <v>-</v>
      </c>
      <c r="E12316" t="str">
        <v/>
      </c>
      <c r="F12316" t="str">
        <v>-</v>
      </c>
      <c r="G12316" t="str">
        <v>-</v>
      </c>
    </row>
    <row r="12317">
      <c r="A12317">
        <v>12316</v>
      </c>
      <c r="B12317" t="str">
        <v>UBND Ủy ban nhân dân xã Bình Chuẩn  tỉnh Nghệ An</v>
      </c>
      <c r="C12317" t="str">
        <v>-</v>
      </c>
      <c r="D12317" t="str">
        <v>-</v>
      </c>
      <c r="E12317" t="str">
        <v>-</v>
      </c>
      <c r="F12317" t="str">
        <v>-</v>
      </c>
      <c r="G12317" t="str">
        <v>-</v>
      </c>
    </row>
    <row r="12318">
      <c r="A12318">
        <v>12317</v>
      </c>
      <c r="B12318" t="str">
        <v>Công an xã Lạng Khê  tỉnh Nghệ An</v>
      </c>
      <c r="C12318" t="str">
        <v>-</v>
      </c>
      <c r="D12318" t="str">
        <v>-</v>
      </c>
      <c r="E12318" t="str">
        <v/>
      </c>
      <c r="F12318" t="str">
        <v>-</v>
      </c>
      <c r="G12318" t="str">
        <v>-</v>
      </c>
    </row>
    <row r="12319">
      <c r="A12319">
        <v>12318</v>
      </c>
      <c r="B12319" t="str">
        <v>UBND Ủy ban nhân dân xã Lạng Khê  tỉnh Nghệ An</v>
      </c>
      <c r="C12319" t="str">
        <v>-</v>
      </c>
      <c r="D12319" t="str">
        <v>-</v>
      </c>
      <c r="E12319" t="str">
        <v>-</v>
      </c>
      <c r="F12319" t="str">
        <v>-</v>
      </c>
      <c r="G12319" t="str">
        <v>-</v>
      </c>
    </row>
    <row r="12320">
      <c r="A12320">
        <v>12319</v>
      </c>
      <c r="B12320" t="str">
        <v>Công an xã Cam Lâm  tỉnh Nghệ An</v>
      </c>
      <c r="C12320" t="str">
        <v>-</v>
      </c>
      <c r="D12320" t="str">
        <v>-</v>
      </c>
      <c r="E12320" t="str">
        <v/>
      </c>
      <c r="F12320" t="str">
        <v>-</v>
      </c>
      <c r="G12320" t="str">
        <v>-</v>
      </c>
    </row>
    <row r="12321">
      <c r="A12321">
        <v>12320</v>
      </c>
      <c r="B12321" t="str">
        <v>UBND Ủy ban nhân dân xã Cam Lâm  tỉnh Nghệ An</v>
      </c>
      <c r="C12321" t="str">
        <v>-</v>
      </c>
      <c r="D12321" t="str">
        <v>-</v>
      </c>
      <c r="E12321" t="str">
        <v>-</v>
      </c>
      <c r="F12321" t="str">
        <v>-</v>
      </c>
      <c r="G12321" t="str">
        <v>-</v>
      </c>
    </row>
    <row r="12322">
      <c r="A12322">
        <v>12321</v>
      </c>
      <c r="B12322" t="str">
        <v>Công an xã Thạch Ngàn  tỉnh Nghệ An</v>
      </c>
      <c r="C12322" t="str">
        <v>-</v>
      </c>
      <c r="D12322" t="str">
        <v>-</v>
      </c>
      <c r="E12322" t="str">
        <v/>
      </c>
      <c r="F12322" t="str">
        <v>-</v>
      </c>
      <c r="G12322" t="str">
        <v>-</v>
      </c>
    </row>
    <row r="12323">
      <c r="A12323">
        <v>12322</v>
      </c>
      <c r="B12323" t="str">
        <v>UBND Ủy ban nhân dân xã Thạch Ngàn  tỉnh Nghệ An</v>
      </c>
      <c r="C12323" t="str">
        <v>-</v>
      </c>
      <c r="D12323" t="str">
        <v>-</v>
      </c>
      <c r="E12323" t="str">
        <v>-</v>
      </c>
      <c r="F12323" t="str">
        <v>-</v>
      </c>
      <c r="G12323" t="str">
        <v>-</v>
      </c>
    </row>
    <row r="12324">
      <c r="A12324">
        <v>12323</v>
      </c>
      <c r="B12324" t="str">
        <v>Công an xã Đôn Phục  tỉnh Nghệ An</v>
      </c>
      <c r="C12324" t="str">
        <v>-</v>
      </c>
      <c r="D12324" t="str">
        <v>-</v>
      </c>
      <c r="E12324" t="str">
        <v/>
      </c>
      <c r="F12324" t="str">
        <v>-</v>
      </c>
      <c r="G12324" t="str">
        <v>-</v>
      </c>
    </row>
    <row r="12325">
      <c r="A12325">
        <v>12324</v>
      </c>
      <c r="B12325" t="str">
        <v>UBND Ủy ban nhân dân xã Đôn Phục  tỉnh Nghệ An</v>
      </c>
      <c r="C12325" t="str">
        <v>-</v>
      </c>
      <c r="D12325" t="str">
        <v>-</v>
      </c>
      <c r="E12325" t="str">
        <v>-</v>
      </c>
      <c r="F12325" t="str">
        <v>-</v>
      </c>
      <c r="G12325" t="str">
        <v>-</v>
      </c>
    </row>
    <row r="12326">
      <c r="A12326">
        <v>12325</v>
      </c>
      <c r="B12326" t="str">
        <v>Công an xã Mậu Đức  tỉnh Nghệ An</v>
      </c>
      <c r="C12326" t="str">
        <v>-</v>
      </c>
      <c r="D12326" t="str">
        <v>-</v>
      </c>
      <c r="E12326" t="str">
        <v/>
      </c>
      <c r="F12326" t="str">
        <v>-</v>
      </c>
      <c r="G12326" t="str">
        <v>-</v>
      </c>
    </row>
    <row r="12327">
      <c r="A12327">
        <v>12326</v>
      </c>
      <c r="B12327" t="str">
        <v>UBND Ủy ban nhân dân xã Mậu Đức  tỉnh Nghệ An</v>
      </c>
      <c r="C12327" t="str">
        <v>-</v>
      </c>
      <c r="D12327" t="str">
        <v>-</v>
      </c>
      <c r="E12327" t="str">
        <v>-</v>
      </c>
      <c r="F12327" t="str">
        <v>-</v>
      </c>
      <c r="G12327" t="str">
        <v>-</v>
      </c>
    </row>
    <row r="12328">
      <c r="A12328">
        <v>12327</v>
      </c>
      <c r="B12328" t="str">
        <v>Công an xã Châu Khê  tỉnh Nghệ An</v>
      </c>
      <c r="C12328" t="str">
        <v>-</v>
      </c>
      <c r="D12328" t="str">
        <v>-</v>
      </c>
      <c r="E12328" t="str">
        <v/>
      </c>
      <c r="F12328" t="str">
        <v>-</v>
      </c>
      <c r="G12328" t="str">
        <v>-</v>
      </c>
    </row>
    <row r="12329">
      <c r="A12329">
        <v>12328</v>
      </c>
      <c r="B12329" t="str">
        <v>UBND Ủy ban nhân dân xã Châu Khê  tỉnh Nghệ An</v>
      </c>
      <c r="C12329" t="str">
        <v>-</v>
      </c>
      <c r="D12329" t="str">
        <v>-</v>
      </c>
      <c r="E12329" t="str">
        <v>-</v>
      </c>
      <c r="F12329" t="str">
        <v>-</v>
      </c>
      <c r="G12329" t="str">
        <v>-</v>
      </c>
    </row>
    <row r="12330">
      <c r="A12330">
        <v>12329</v>
      </c>
      <c r="B12330" t="str">
        <v>Công an xã Chi Khê  tỉnh Nghệ An</v>
      </c>
      <c r="C12330" t="str">
        <v>-</v>
      </c>
      <c r="D12330" t="str">
        <v>-</v>
      </c>
      <c r="E12330" t="str">
        <v/>
      </c>
      <c r="F12330" t="str">
        <v>-</v>
      </c>
      <c r="G12330" t="str">
        <v>-</v>
      </c>
    </row>
    <row r="12331">
      <c r="A12331">
        <v>12330</v>
      </c>
      <c r="B12331" t="str">
        <v>UBND Ủy ban nhân dân xã Chi Khê  tỉnh Nghệ An</v>
      </c>
      <c r="C12331" t="str">
        <v>-</v>
      </c>
      <c r="D12331" t="str">
        <v>-</v>
      </c>
      <c r="E12331" t="str">
        <v>-</v>
      </c>
      <c r="F12331" t="str">
        <v>-</v>
      </c>
      <c r="G12331" t="str">
        <v>-</v>
      </c>
    </row>
    <row r="12332">
      <c r="A12332">
        <v>12331</v>
      </c>
      <c r="B12332" t="str">
        <v>Công an xã Bồng Khê  tỉnh Nghệ An</v>
      </c>
      <c r="C12332" t="str">
        <v>-</v>
      </c>
      <c r="D12332" t="str">
        <v>-</v>
      </c>
      <c r="E12332" t="str">
        <v/>
      </c>
      <c r="F12332" t="str">
        <v>-</v>
      </c>
      <c r="G12332" t="str">
        <v>-</v>
      </c>
    </row>
    <row r="12333">
      <c r="A12333">
        <v>12332</v>
      </c>
      <c r="B12333" t="str">
        <v>UBND Ủy ban nhân dân xã Bồng Khê  tỉnh Nghệ An</v>
      </c>
      <c r="C12333" t="str">
        <v>-</v>
      </c>
      <c r="D12333" t="str">
        <v>-</v>
      </c>
      <c r="E12333" t="str">
        <v>-</v>
      </c>
      <c r="F12333" t="str">
        <v>-</v>
      </c>
      <c r="G12333" t="str">
        <v>-</v>
      </c>
    </row>
    <row r="12334">
      <c r="A12334">
        <v>12333</v>
      </c>
      <c r="B12334" t="str">
        <v>Công an xã Yên Khê  tỉnh Nghệ An</v>
      </c>
      <c r="C12334" t="str">
        <v>-</v>
      </c>
      <c r="D12334" t="str">
        <v>-</v>
      </c>
      <c r="E12334" t="str">
        <v/>
      </c>
      <c r="F12334" t="str">
        <v>-</v>
      </c>
      <c r="G12334" t="str">
        <v>-</v>
      </c>
    </row>
    <row r="12335">
      <c r="A12335">
        <v>12334</v>
      </c>
      <c r="B12335" t="str">
        <v>UBND Ủy ban nhân dân xã Yên Khê  tỉnh Nghệ An</v>
      </c>
      <c r="C12335" t="str">
        <v>-</v>
      </c>
      <c r="D12335" t="str">
        <v>-</v>
      </c>
      <c r="E12335" t="str">
        <v>-</v>
      </c>
      <c r="F12335" t="str">
        <v>-</v>
      </c>
      <c r="G12335" t="str">
        <v>-</v>
      </c>
    </row>
    <row r="12336">
      <c r="A12336">
        <v>12335</v>
      </c>
      <c r="B12336" t="str">
        <v>Công an xã Lục Dạ  tỉnh Nghệ An</v>
      </c>
      <c r="C12336" t="str">
        <v>-</v>
      </c>
      <c r="D12336" t="str">
        <v>-</v>
      </c>
      <c r="E12336" t="str">
        <v/>
      </c>
      <c r="F12336" t="str">
        <v>-</v>
      </c>
      <c r="G12336" t="str">
        <v>-</v>
      </c>
    </row>
    <row r="12337">
      <c r="A12337">
        <v>12336</v>
      </c>
      <c r="B12337" t="str">
        <v>UBND Ủy ban nhân dân xã Lục Dạ  tỉnh Nghệ An</v>
      </c>
      <c r="C12337" t="str">
        <v>-</v>
      </c>
      <c r="D12337" t="str">
        <v>-</v>
      </c>
      <c r="E12337" t="str">
        <v>-</v>
      </c>
      <c r="F12337" t="str">
        <v>-</v>
      </c>
      <c r="G12337" t="str">
        <v>-</v>
      </c>
    </row>
    <row r="12338">
      <c r="A12338">
        <v>12337</v>
      </c>
      <c r="B12338" t="str">
        <v>Công an xã Môn Sơn  tỉnh Nghệ An</v>
      </c>
      <c r="C12338" t="str">
        <v>-</v>
      </c>
      <c r="D12338" t="str">
        <v>-</v>
      </c>
      <c r="E12338" t="str">
        <v/>
      </c>
      <c r="F12338" t="str">
        <v>-</v>
      </c>
      <c r="G12338" t="str">
        <v>-</v>
      </c>
    </row>
    <row r="12339">
      <c r="A12339">
        <v>12338</v>
      </c>
      <c r="B12339" t="str">
        <v>UBND Ủy ban nhân dân xã Môn Sơn  tỉnh Nghệ An</v>
      </c>
      <c r="C12339" t="str">
        <v>-</v>
      </c>
      <c r="D12339" t="str">
        <v>-</v>
      </c>
      <c r="E12339" t="str">
        <v>-</v>
      </c>
      <c r="F12339" t="str">
        <v>-</v>
      </c>
      <c r="G12339" t="str">
        <v>-</v>
      </c>
    </row>
    <row r="12340">
      <c r="A12340">
        <v>12339</v>
      </c>
      <c r="B12340" t="str">
        <v>Công an thị trấn Tân Kỳ  tỉnh Nghệ An</v>
      </c>
      <c r="C12340" t="str">
        <v>-</v>
      </c>
      <c r="D12340" t="str">
        <v>-</v>
      </c>
      <c r="E12340" t="str">
        <v/>
      </c>
      <c r="F12340" t="str">
        <v>-</v>
      </c>
      <c r="G12340" t="str">
        <v>-</v>
      </c>
    </row>
    <row r="12341">
      <c r="A12341">
        <v>12340</v>
      </c>
      <c r="B12341" t="str">
        <v>UBND Ủy ban nhân dân thị trấn Tân Kỳ  tỉnh Nghệ An</v>
      </c>
      <c r="C12341" t="str">
        <v>-</v>
      </c>
      <c r="D12341" t="str">
        <v>-</v>
      </c>
      <c r="E12341" t="str">
        <v>-</v>
      </c>
      <c r="F12341" t="str">
        <v>-</v>
      </c>
      <c r="G12341" t="str">
        <v>-</v>
      </c>
    </row>
    <row r="12342">
      <c r="A12342">
        <v>12341</v>
      </c>
      <c r="B12342" t="str">
        <v>Công an xã Tân Hợp  tỉnh Nghệ An</v>
      </c>
      <c r="C12342" t="str">
        <v>-</v>
      </c>
      <c r="D12342" t="str">
        <v>-</v>
      </c>
      <c r="E12342" t="str">
        <v/>
      </c>
      <c r="F12342" t="str">
        <v>-</v>
      </c>
      <c r="G12342" t="str">
        <v>-</v>
      </c>
    </row>
    <row r="12343">
      <c r="A12343">
        <v>12342</v>
      </c>
      <c r="B12343" t="str">
        <v>UBND Ủy ban nhân dân xã Tân Hợp  tỉnh Nghệ An</v>
      </c>
      <c r="C12343" t="str">
        <v>-</v>
      </c>
      <c r="D12343" t="str">
        <v>-</v>
      </c>
      <c r="E12343" t="str">
        <v>-</v>
      </c>
      <c r="F12343" t="str">
        <v>-</v>
      </c>
      <c r="G12343" t="str">
        <v>-</v>
      </c>
    </row>
    <row r="12344">
      <c r="A12344">
        <v>12343</v>
      </c>
      <c r="B12344" t="str">
        <v>Công an xã Tân Phú  tỉnh Nghệ An</v>
      </c>
      <c r="C12344" t="str">
        <v>-</v>
      </c>
      <c r="D12344" t="str">
        <v>-</v>
      </c>
      <c r="E12344" t="str">
        <v/>
      </c>
      <c r="F12344" t="str">
        <v>-</v>
      </c>
      <c r="G12344" t="str">
        <v>-</v>
      </c>
    </row>
    <row r="12345">
      <c r="A12345">
        <v>12344</v>
      </c>
      <c r="B12345" t="str">
        <v>UBND Ủy ban nhân dân xã Tân Phú  tỉnh Nghệ An</v>
      </c>
      <c r="C12345" t="str">
        <v>-</v>
      </c>
      <c r="D12345" t="str">
        <v>-</v>
      </c>
      <c r="E12345" t="str">
        <v>-</v>
      </c>
      <c r="F12345" t="str">
        <v>-</v>
      </c>
      <c r="G12345" t="str">
        <v>-</v>
      </c>
    </row>
    <row r="12346">
      <c r="A12346">
        <v>12345</v>
      </c>
      <c r="B12346" t="str">
        <v>Công an xã Tân Xuân  tỉnh Nghệ An</v>
      </c>
      <c r="C12346" t="str">
        <v>-</v>
      </c>
      <c r="D12346" t="str">
        <v>-</v>
      </c>
      <c r="E12346" t="str">
        <v/>
      </c>
      <c r="F12346" t="str">
        <v>-</v>
      </c>
      <c r="G12346" t="str">
        <v>-</v>
      </c>
    </row>
    <row r="12347">
      <c r="A12347">
        <v>12346</v>
      </c>
      <c r="B12347" t="str">
        <v>UBND Ủy ban nhân dân xã Tân Xuân  tỉnh Nghệ An</v>
      </c>
      <c r="C12347" t="str">
        <v>-</v>
      </c>
      <c r="D12347" t="str">
        <v>-</v>
      </c>
      <c r="E12347" t="str">
        <v>-</v>
      </c>
      <c r="F12347" t="str">
        <v>-</v>
      </c>
      <c r="G12347" t="str">
        <v>-</v>
      </c>
    </row>
    <row r="12348">
      <c r="A12348">
        <v>12347</v>
      </c>
      <c r="B12348" t="str">
        <v>Công an xã Giai Xuân  tỉnh Nghệ An</v>
      </c>
      <c r="C12348" t="str">
        <v>-</v>
      </c>
      <c r="D12348" t="str">
        <v>-</v>
      </c>
      <c r="E12348" t="str">
        <v/>
      </c>
      <c r="F12348" t="str">
        <v>-</v>
      </c>
      <c r="G12348" t="str">
        <v>-</v>
      </c>
    </row>
    <row r="12349">
      <c r="A12349">
        <v>12348</v>
      </c>
      <c r="B12349" t="str">
        <v>UBND Ủy ban nhân dân xã Giai Xuân  tỉnh Nghệ An</v>
      </c>
      <c r="C12349" t="str">
        <v>-</v>
      </c>
      <c r="D12349" t="str">
        <v>-</v>
      </c>
      <c r="E12349" t="str">
        <v>-</v>
      </c>
      <c r="F12349" t="str">
        <v>-</v>
      </c>
      <c r="G12349" t="str">
        <v>-</v>
      </c>
    </row>
    <row r="12350">
      <c r="A12350">
        <v>12349</v>
      </c>
      <c r="B12350" t="str">
        <v>Công an xã Nghĩa Bình  tỉnh Nghệ An</v>
      </c>
      <c r="C12350" t="str">
        <v>-</v>
      </c>
      <c r="D12350" t="str">
        <v>-</v>
      </c>
      <c r="E12350" t="str">
        <v/>
      </c>
      <c r="F12350" t="str">
        <v>-</v>
      </c>
      <c r="G12350" t="str">
        <v>-</v>
      </c>
    </row>
    <row r="12351">
      <c r="A12351">
        <v>12350</v>
      </c>
      <c r="B12351" t="str">
        <v>UBND Ủy ban nhân dân xã Nghĩa Bình  tỉnh Nghệ An</v>
      </c>
      <c r="C12351" t="str">
        <v>-</v>
      </c>
      <c r="D12351" t="str">
        <v>-</v>
      </c>
      <c r="E12351" t="str">
        <v>-</v>
      </c>
      <c r="F12351" t="str">
        <v>-</v>
      </c>
      <c r="G12351" t="str">
        <v>-</v>
      </c>
    </row>
    <row r="12352">
      <c r="A12352">
        <v>12351</v>
      </c>
      <c r="B12352" t="str">
        <v>Công an xã Nghĩa Đồng  tỉnh Nghệ An</v>
      </c>
      <c r="C12352" t="str">
        <v>-</v>
      </c>
      <c r="D12352" t="str">
        <v>-</v>
      </c>
      <c r="E12352" t="str">
        <v/>
      </c>
      <c r="F12352" t="str">
        <v>-</v>
      </c>
      <c r="G12352" t="str">
        <v>-</v>
      </c>
    </row>
    <row r="12353">
      <c r="A12353">
        <v>12352</v>
      </c>
      <c r="B12353" t="str">
        <v>UBND Ủy ban nhân dân xã Nghĩa Đồng  tỉnh Nghệ An</v>
      </c>
      <c r="C12353" t="str">
        <v>-</v>
      </c>
      <c r="D12353" t="str">
        <v>-</v>
      </c>
      <c r="E12353" t="str">
        <v>-</v>
      </c>
      <c r="F12353" t="str">
        <v>-</v>
      </c>
      <c r="G12353" t="str">
        <v>-</v>
      </c>
    </row>
    <row r="12354">
      <c r="A12354">
        <v>12353</v>
      </c>
      <c r="B12354" t="str">
        <v>Công an xã Đồng Văn  tỉnh Nghệ An</v>
      </c>
      <c r="C12354" t="str">
        <v>-</v>
      </c>
      <c r="D12354" t="str">
        <v>-</v>
      </c>
      <c r="E12354" t="str">
        <v/>
      </c>
      <c r="F12354" t="str">
        <v>-</v>
      </c>
      <c r="G12354" t="str">
        <v>-</v>
      </c>
    </row>
    <row r="12355">
      <c r="A12355">
        <v>12354</v>
      </c>
      <c r="B12355" t="str">
        <v>UBND Ủy ban nhân dân xã Đồng Văn  tỉnh Nghệ An</v>
      </c>
      <c r="C12355" t="str">
        <v>-</v>
      </c>
      <c r="D12355" t="str">
        <v>-</v>
      </c>
      <c r="E12355" t="str">
        <v>-</v>
      </c>
      <c r="F12355" t="str">
        <v>-</v>
      </c>
      <c r="G12355" t="str">
        <v>-</v>
      </c>
    </row>
    <row r="12356">
      <c r="A12356">
        <v>12355</v>
      </c>
      <c r="B12356" t="str">
        <v>Công an xã Nghĩa Thái  tỉnh Nghệ An</v>
      </c>
      <c r="C12356" t="str">
        <v>-</v>
      </c>
      <c r="D12356" t="str">
        <v>-</v>
      </c>
      <c r="E12356" t="str">
        <v/>
      </c>
      <c r="F12356" t="str">
        <v>-</v>
      </c>
      <c r="G12356" t="str">
        <v>-</v>
      </c>
    </row>
    <row r="12357">
      <c r="A12357">
        <v>12356</v>
      </c>
      <c r="B12357" t="str">
        <v>UBND Ủy ban nhân dân xã Nghĩa Thái  tỉnh Nghệ An</v>
      </c>
      <c r="C12357" t="str">
        <v>-</v>
      </c>
      <c r="D12357" t="str">
        <v>-</v>
      </c>
      <c r="E12357" t="str">
        <v>-</v>
      </c>
      <c r="F12357" t="str">
        <v>-</v>
      </c>
      <c r="G12357" t="str">
        <v>-</v>
      </c>
    </row>
    <row r="12358">
      <c r="A12358">
        <v>12357</v>
      </c>
      <c r="B12358" t="str">
        <v>Công an xã Nghĩa Hợp  tỉnh Nghệ An</v>
      </c>
      <c r="C12358" t="str">
        <v>-</v>
      </c>
      <c r="D12358" t="str">
        <v>-</v>
      </c>
      <c r="E12358" t="str">
        <v/>
      </c>
      <c r="F12358" t="str">
        <v>-</v>
      </c>
      <c r="G12358" t="str">
        <v>-</v>
      </c>
    </row>
    <row r="12359">
      <c r="A12359">
        <v>12358</v>
      </c>
      <c r="B12359" t="str">
        <v>UBND Ủy ban nhân dân xã Nghĩa Hợp  tỉnh Nghệ An</v>
      </c>
      <c r="C12359" t="str">
        <v>-</v>
      </c>
      <c r="D12359" t="str">
        <v>-</v>
      </c>
      <c r="E12359" t="str">
        <v>-</v>
      </c>
      <c r="F12359" t="str">
        <v>-</v>
      </c>
      <c r="G12359" t="str">
        <v>-</v>
      </c>
    </row>
    <row r="12360">
      <c r="A12360">
        <v>12359</v>
      </c>
      <c r="B12360" t="str">
        <v>Công an xã Nghĩa Hoàn  tỉnh Nghệ An</v>
      </c>
      <c r="C12360" t="str">
        <v>-</v>
      </c>
      <c r="D12360" t="str">
        <v>-</v>
      </c>
      <c r="E12360" t="str">
        <v/>
      </c>
      <c r="F12360" t="str">
        <v>-</v>
      </c>
      <c r="G12360" t="str">
        <v>-</v>
      </c>
    </row>
    <row r="12361">
      <c r="A12361">
        <v>12360</v>
      </c>
      <c r="B12361" t="str">
        <v>UBND Ủy ban nhân dân xã Nghĩa Hoàn  tỉnh Nghệ An</v>
      </c>
      <c r="C12361" t="str">
        <v>-</v>
      </c>
      <c r="D12361" t="str">
        <v>-</v>
      </c>
      <c r="E12361" t="str">
        <v>-</v>
      </c>
      <c r="F12361" t="str">
        <v>-</v>
      </c>
      <c r="G12361" t="str">
        <v>-</v>
      </c>
    </row>
    <row r="12362">
      <c r="A12362">
        <v>12361</v>
      </c>
      <c r="B12362" t="str">
        <v>Công an xã Nghĩa Phúc  tỉnh Nghệ An</v>
      </c>
      <c r="C12362" t="str">
        <v>-</v>
      </c>
      <c r="D12362" t="str">
        <v>-</v>
      </c>
      <c r="E12362" t="str">
        <v/>
      </c>
      <c r="F12362" t="str">
        <v>-</v>
      </c>
      <c r="G12362" t="str">
        <v>-</v>
      </c>
    </row>
    <row r="12363">
      <c r="A12363">
        <v>12362</v>
      </c>
      <c r="B12363" t="str">
        <v>UBND Ủy ban nhân dân xã Nghĩa Phúc  tỉnh Nghệ An</v>
      </c>
      <c r="C12363" t="str">
        <v>-</v>
      </c>
      <c r="D12363" t="str">
        <v>-</v>
      </c>
      <c r="E12363" t="str">
        <v>-</v>
      </c>
      <c r="F12363" t="str">
        <v>-</v>
      </c>
      <c r="G12363" t="str">
        <v>-</v>
      </c>
    </row>
    <row r="12364">
      <c r="A12364">
        <v>12363</v>
      </c>
      <c r="B12364" t="str">
        <v>Công an xã Tiên Kỳ  tỉnh Nghệ An</v>
      </c>
      <c r="C12364" t="str">
        <v>-</v>
      </c>
      <c r="D12364" t="str">
        <v>-</v>
      </c>
      <c r="E12364" t="str">
        <v/>
      </c>
      <c r="F12364" t="str">
        <v>-</v>
      </c>
      <c r="G12364" t="str">
        <v>-</v>
      </c>
    </row>
    <row r="12365">
      <c r="A12365">
        <v>12364</v>
      </c>
      <c r="B12365" t="str">
        <v>UBND Ủy ban nhân dân xã Tiên Kỳ  tỉnh Nghệ An</v>
      </c>
      <c r="C12365" t="str">
        <v>-</v>
      </c>
      <c r="D12365" t="str">
        <v>-</v>
      </c>
      <c r="E12365" t="str">
        <v>-</v>
      </c>
      <c r="F12365" t="str">
        <v>-</v>
      </c>
      <c r="G12365" t="str">
        <v>-</v>
      </c>
    </row>
    <row r="12366">
      <c r="A12366">
        <v>12365</v>
      </c>
      <c r="B12366" t="str">
        <v>Công an xã Tân An  tỉnh Nghệ An</v>
      </c>
      <c r="C12366" t="str">
        <v>-</v>
      </c>
      <c r="D12366" t="str">
        <v>-</v>
      </c>
      <c r="E12366" t="str">
        <v/>
      </c>
      <c r="F12366" t="str">
        <v>-</v>
      </c>
      <c r="G12366" t="str">
        <v>-</v>
      </c>
    </row>
    <row r="12367">
      <c r="A12367">
        <v>12366</v>
      </c>
      <c r="B12367" t="str">
        <v>UBND Ủy ban nhân dân xã Tân An  tỉnh Nghệ An</v>
      </c>
      <c r="C12367" t="str">
        <v>-</v>
      </c>
      <c r="D12367" t="str">
        <v>-</v>
      </c>
      <c r="E12367" t="str">
        <v>-</v>
      </c>
      <c r="F12367" t="str">
        <v>-</v>
      </c>
      <c r="G12367" t="str">
        <v>-</v>
      </c>
    </row>
    <row r="12368">
      <c r="A12368">
        <v>12367</v>
      </c>
      <c r="B12368" t="str">
        <v>Công an xã Nghĩa Dũng  tỉnh Nghệ An</v>
      </c>
      <c r="C12368" t="str">
        <v>-</v>
      </c>
      <c r="D12368" t="str">
        <v>-</v>
      </c>
      <c r="E12368" t="str">
        <v/>
      </c>
      <c r="F12368" t="str">
        <v>-</v>
      </c>
      <c r="G12368" t="str">
        <v>-</v>
      </c>
    </row>
    <row r="12369">
      <c r="A12369">
        <v>12368</v>
      </c>
      <c r="B12369" t="str">
        <v>UBND Ủy ban nhân dân xã Nghĩa Dũng  tỉnh Nghệ An</v>
      </c>
      <c r="C12369" t="str">
        <v>-</v>
      </c>
      <c r="D12369" t="str">
        <v>-</v>
      </c>
      <c r="E12369" t="str">
        <v>-</v>
      </c>
      <c r="F12369" t="str">
        <v>-</v>
      </c>
      <c r="G12369" t="str">
        <v>-</v>
      </c>
    </row>
    <row r="12370">
      <c r="A12370">
        <v>12369</v>
      </c>
      <c r="B12370" t="str">
        <v>Công an xã Tân Long  tỉnh Nghệ An</v>
      </c>
      <c r="C12370" t="str">
        <v>-</v>
      </c>
      <c r="D12370" t="str">
        <v>-</v>
      </c>
      <c r="E12370" t="str">
        <v/>
      </c>
      <c r="F12370" t="str">
        <v>-</v>
      </c>
      <c r="G12370" t="str">
        <v>-</v>
      </c>
    </row>
    <row r="12371">
      <c r="A12371">
        <v>12370</v>
      </c>
      <c r="B12371" t="str">
        <v>UBND Ủy ban nhân dân xã Tân Long  tỉnh Nghệ An</v>
      </c>
      <c r="C12371" t="str">
        <v>-</v>
      </c>
      <c r="D12371" t="str">
        <v>-</v>
      </c>
      <c r="E12371" t="str">
        <v>-</v>
      </c>
      <c r="F12371" t="str">
        <v>-</v>
      </c>
      <c r="G12371" t="str">
        <v>-</v>
      </c>
    </row>
    <row r="12372">
      <c r="A12372">
        <v>12371</v>
      </c>
      <c r="B12372" t="str">
        <v>Công an xã Kỳ Sơn  tỉnh Nghệ An</v>
      </c>
      <c r="C12372" t="str">
        <v>-</v>
      </c>
      <c r="D12372" t="str">
        <v>-</v>
      </c>
      <c r="E12372" t="str">
        <v/>
      </c>
      <c r="F12372" t="str">
        <v>-</v>
      </c>
      <c r="G12372" t="str">
        <v>-</v>
      </c>
    </row>
    <row r="12373">
      <c r="A12373">
        <v>12372</v>
      </c>
      <c r="B12373" t="str">
        <v>UBND Ủy ban nhân dân xã Kỳ Sơn  tỉnh Nghệ An</v>
      </c>
      <c r="C12373" t="str">
        <v>-</v>
      </c>
      <c r="D12373" t="str">
        <v>-</v>
      </c>
      <c r="E12373" t="str">
        <v>-</v>
      </c>
      <c r="F12373" t="str">
        <v>-</v>
      </c>
      <c r="G12373" t="str">
        <v>-</v>
      </c>
    </row>
    <row r="12374">
      <c r="A12374">
        <v>12373</v>
      </c>
      <c r="B12374" t="str">
        <v>Công an xã Hương Sơn  tỉnh Nghệ An</v>
      </c>
      <c r="C12374" t="str">
        <v>-</v>
      </c>
      <c r="D12374" t="str">
        <v>-</v>
      </c>
      <c r="E12374" t="str">
        <v/>
      </c>
      <c r="F12374" t="str">
        <v>-</v>
      </c>
      <c r="G12374" t="str">
        <v>-</v>
      </c>
    </row>
    <row r="12375">
      <c r="A12375">
        <v>12374</v>
      </c>
      <c r="B12375" t="str">
        <v>UBND Ủy ban nhân dân xã Hương Sơn  tỉnh Nghệ An</v>
      </c>
      <c r="C12375" t="str">
        <v>-</v>
      </c>
      <c r="D12375" t="str">
        <v>-</v>
      </c>
      <c r="E12375" t="str">
        <v>-</v>
      </c>
      <c r="F12375" t="str">
        <v>-</v>
      </c>
      <c r="G12375" t="str">
        <v>-</v>
      </c>
    </row>
    <row r="12376">
      <c r="A12376">
        <v>12375</v>
      </c>
      <c r="B12376" t="str">
        <v>Công an xã Kỳ Tân  tỉnh Nghệ An</v>
      </c>
      <c r="C12376" t="str">
        <v>-</v>
      </c>
      <c r="D12376" t="str">
        <v>-</v>
      </c>
      <c r="E12376" t="str">
        <v/>
      </c>
      <c r="F12376" t="str">
        <v>-</v>
      </c>
      <c r="G12376" t="str">
        <v>-</v>
      </c>
    </row>
    <row r="12377">
      <c r="A12377">
        <v>12376</v>
      </c>
      <c r="B12377" t="str">
        <v>UBND Ủy ban nhân dân xã Kỳ Tân  tỉnh Nghệ An</v>
      </c>
      <c r="C12377" t="str">
        <v>-</v>
      </c>
      <c r="D12377" t="str">
        <v>-</v>
      </c>
      <c r="E12377" t="str">
        <v>-</v>
      </c>
      <c r="F12377" t="str">
        <v>-</v>
      </c>
      <c r="G12377" t="str">
        <v>-</v>
      </c>
    </row>
    <row r="12378">
      <c r="A12378">
        <v>12377</v>
      </c>
      <c r="B12378" t="str">
        <v>Công an xã Phú Sơn  tỉnh Nghệ An</v>
      </c>
      <c r="C12378" t="str">
        <v>-</v>
      </c>
      <c r="D12378" t="str">
        <v>-</v>
      </c>
      <c r="E12378" t="str">
        <v/>
      </c>
      <c r="F12378" t="str">
        <v>-</v>
      </c>
      <c r="G12378" t="str">
        <v>-</v>
      </c>
    </row>
    <row r="12379">
      <c r="A12379">
        <v>12378</v>
      </c>
      <c r="B12379" t="str">
        <v>UBND Ủy ban nhân dân xã Phú Sơn  tỉnh Nghệ An</v>
      </c>
      <c r="C12379" t="str">
        <v>-</v>
      </c>
      <c r="D12379" t="str">
        <v>-</v>
      </c>
      <c r="E12379" t="str">
        <v>-</v>
      </c>
      <c r="F12379" t="str">
        <v>-</v>
      </c>
      <c r="G12379" t="str">
        <v>-</v>
      </c>
    </row>
    <row r="12380">
      <c r="A12380">
        <v>12379</v>
      </c>
      <c r="B12380" t="str">
        <v>Công an xã Tân Hương  tỉnh Nghệ An</v>
      </c>
      <c r="C12380" t="str">
        <v>-</v>
      </c>
      <c r="D12380" t="str">
        <v>-</v>
      </c>
      <c r="E12380" t="str">
        <v/>
      </c>
      <c r="F12380" t="str">
        <v>-</v>
      </c>
      <c r="G12380" t="str">
        <v>-</v>
      </c>
    </row>
    <row r="12381">
      <c r="A12381">
        <v>12380</v>
      </c>
      <c r="B12381" t="str">
        <v>UBND Ủy ban nhân dân xã Tân Hương  tỉnh Nghệ An</v>
      </c>
      <c r="C12381" t="str">
        <v>-</v>
      </c>
      <c r="D12381" t="str">
        <v>-</v>
      </c>
      <c r="E12381" t="str">
        <v>-</v>
      </c>
      <c r="F12381" t="str">
        <v>-</v>
      </c>
      <c r="G12381" t="str">
        <v>-</v>
      </c>
    </row>
    <row r="12382">
      <c r="A12382">
        <v>12381</v>
      </c>
      <c r="B12382" t="str">
        <v>Công an xã Nghĩa Hành  tỉnh Nghệ An</v>
      </c>
      <c r="C12382" t="str">
        <v>-</v>
      </c>
      <c r="D12382" t="str">
        <v>-</v>
      </c>
      <c r="E12382" t="str">
        <v/>
      </c>
      <c r="F12382" t="str">
        <v>-</v>
      </c>
      <c r="G12382" t="str">
        <v>-</v>
      </c>
    </row>
    <row r="12383">
      <c r="A12383">
        <v>12382</v>
      </c>
      <c r="B12383" t="str">
        <v>UBND Ủy ban nhân dân xã Nghĩa Hành  tỉnh Nghệ An</v>
      </c>
      <c r="C12383" t="str">
        <v>-</v>
      </c>
      <c r="D12383" t="str">
        <v>-</v>
      </c>
      <c r="E12383" t="str">
        <v>-</v>
      </c>
      <c r="F12383" t="str">
        <v>-</v>
      </c>
      <c r="G12383" t="str">
        <v>-</v>
      </c>
    </row>
    <row r="12384">
      <c r="A12384">
        <v>12383</v>
      </c>
      <c r="B12384" t="str">
        <v>Công an thị trấn Anh Sơn  tỉnh Nghệ An</v>
      </c>
      <c r="C12384" t="str">
        <v>-</v>
      </c>
      <c r="D12384" t="str">
        <v>-</v>
      </c>
      <c r="E12384" t="str">
        <v/>
      </c>
      <c r="F12384" t="str">
        <v>-</v>
      </c>
      <c r="G12384" t="str">
        <v>-</v>
      </c>
    </row>
    <row r="12385">
      <c r="A12385">
        <v>12384</v>
      </c>
      <c r="B12385" t="str">
        <v>UBND Ủy ban nhân dân thị trấn Anh Sơn  tỉnh Nghệ An</v>
      </c>
      <c r="C12385" t="str">
        <v>-</v>
      </c>
      <c r="D12385" t="str">
        <v>-</v>
      </c>
      <c r="E12385" t="str">
        <v>-</v>
      </c>
      <c r="F12385" t="str">
        <v>-</v>
      </c>
      <c r="G12385" t="str">
        <v>-</v>
      </c>
    </row>
    <row r="12386">
      <c r="A12386">
        <v>12385</v>
      </c>
      <c r="B12386" t="str">
        <v>Công an xã Thọ Sơn  tỉnh Nghệ An</v>
      </c>
      <c r="C12386" t="str">
        <v>-</v>
      </c>
      <c r="D12386" t="str">
        <v>-</v>
      </c>
      <c r="E12386" t="str">
        <v/>
      </c>
      <c r="F12386" t="str">
        <v>-</v>
      </c>
      <c r="G12386" t="str">
        <v>-</v>
      </c>
    </row>
    <row r="12387">
      <c r="A12387">
        <v>12386</v>
      </c>
      <c r="B12387" t="str">
        <v>UBND Ủy ban nhân dân xã Thọ Sơn  tỉnh Nghệ An</v>
      </c>
      <c r="C12387" t="str">
        <v>-</v>
      </c>
      <c r="D12387" t="str">
        <v>-</v>
      </c>
      <c r="E12387" t="str">
        <v>-</v>
      </c>
      <c r="F12387" t="str">
        <v>-</v>
      </c>
      <c r="G12387" t="str">
        <v>-</v>
      </c>
    </row>
    <row r="12388">
      <c r="A12388">
        <v>12387</v>
      </c>
      <c r="B12388" t="str">
        <v>Công an xã Thành Sơn  tỉnh Nghệ An</v>
      </c>
      <c r="C12388" t="str">
        <v>-</v>
      </c>
      <c r="D12388" t="str">
        <v>-</v>
      </c>
      <c r="E12388" t="str">
        <v/>
      </c>
      <c r="F12388" t="str">
        <v>-</v>
      </c>
      <c r="G12388" t="str">
        <v>-</v>
      </c>
    </row>
    <row r="12389">
      <c r="A12389">
        <v>12388</v>
      </c>
      <c r="B12389" t="str">
        <v>UBND Ủy ban nhân dân xã Thành Sơn  tỉnh Nghệ An</v>
      </c>
      <c r="C12389" t="str">
        <v>-</v>
      </c>
      <c r="D12389" t="str">
        <v>-</v>
      </c>
      <c r="E12389" t="str">
        <v>-</v>
      </c>
      <c r="F12389" t="str">
        <v>-</v>
      </c>
      <c r="G12389" t="str">
        <v>-</v>
      </c>
    </row>
    <row r="12390">
      <c r="A12390">
        <v>12389</v>
      </c>
      <c r="B12390" t="str">
        <v>Công an xã Bình Sơn  tỉnh Nghệ An</v>
      </c>
      <c r="C12390" t="str">
        <v>-</v>
      </c>
      <c r="D12390" t="str">
        <v>-</v>
      </c>
      <c r="E12390" t="str">
        <v/>
      </c>
      <c r="F12390" t="str">
        <v>-</v>
      </c>
      <c r="G12390" t="str">
        <v>-</v>
      </c>
    </row>
    <row r="12391">
      <c r="A12391">
        <v>12390</v>
      </c>
      <c r="B12391" t="str">
        <v>UBND Ủy ban nhân dân xã Bình Sơn  tỉnh Nghệ An</v>
      </c>
      <c r="C12391" t="str">
        <v>-</v>
      </c>
      <c r="D12391" t="str">
        <v>-</v>
      </c>
      <c r="E12391" t="str">
        <v>-</v>
      </c>
      <c r="F12391" t="str">
        <v>-</v>
      </c>
      <c r="G12391" t="str">
        <v>-</v>
      </c>
    </row>
    <row r="12392">
      <c r="A12392">
        <v>12391</v>
      </c>
      <c r="B12392" t="str">
        <v>Công an xã Tam Sơn  tỉnh Nghệ An</v>
      </c>
      <c r="C12392" t="str">
        <v>-</v>
      </c>
      <c r="D12392" t="str">
        <v>-</v>
      </c>
      <c r="E12392" t="str">
        <v/>
      </c>
      <c r="F12392" t="str">
        <v>-</v>
      </c>
      <c r="G12392" t="str">
        <v>-</v>
      </c>
    </row>
    <row r="12393">
      <c r="A12393">
        <v>12392</v>
      </c>
      <c r="B12393" t="str">
        <v>UBND Ủy ban nhân dân xã Tam Sơn  tỉnh Nghệ An</v>
      </c>
      <c r="C12393" t="str">
        <v>-</v>
      </c>
      <c r="D12393" t="str">
        <v>-</v>
      </c>
      <c r="E12393" t="str">
        <v>-</v>
      </c>
      <c r="F12393" t="str">
        <v>-</v>
      </c>
      <c r="G12393" t="str">
        <v>-</v>
      </c>
    </row>
    <row r="12394">
      <c r="A12394">
        <v>12393</v>
      </c>
      <c r="B12394" t="str">
        <v>Công an xã Đỉnh Sơn  tỉnh Nghệ An</v>
      </c>
      <c r="C12394" t="str">
        <v>-</v>
      </c>
      <c r="D12394" t="str">
        <v>-</v>
      </c>
      <c r="E12394" t="str">
        <v/>
      </c>
      <c r="F12394" t="str">
        <v>-</v>
      </c>
      <c r="G12394" t="str">
        <v>-</v>
      </c>
    </row>
    <row r="12395">
      <c r="A12395">
        <v>12394</v>
      </c>
      <c r="B12395" t="str">
        <v>UBND Ủy ban nhân dân xã Đỉnh Sơn  tỉnh Nghệ An</v>
      </c>
      <c r="C12395" t="str">
        <v>-</v>
      </c>
      <c r="D12395" t="str">
        <v>-</v>
      </c>
      <c r="E12395" t="str">
        <v>-</v>
      </c>
      <c r="F12395" t="str">
        <v>-</v>
      </c>
      <c r="G12395" t="str">
        <v>-</v>
      </c>
    </row>
    <row r="12396">
      <c r="A12396">
        <v>12395</v>
      </c>
      <c r="B12396" t="str">
        <v>Công an xã Hùng Sơn  tỉnh Nghệ An</v>
      </c>
      <c r="C12396" t="str">
        <v>-</v>
      </c>
      <c r="D12396" t="str">
        <v>-</v>
      </c>
      <c r="E12396" t="str">
        <v/>
      </c>
      <c r="F12396" t="str">
        <v>-</v>
      </c>
      <c r="G12396" t="str">
        <v>-</v>
      </c>
    </row>
    <row r="12397">
      <c r="A12397">
        <v>12396</v>
      </c>
      <c r="B12397" t="str">
        <v>UBND Ủy ban nhân dân xã Hùng Sơn  tỉnh Nghệ An</v>
      </c>
      <c r="C12397" t="str">
        <v>-</v>
      </c>
      <c r="D12397" t="str">
        <v>-</v>
      </c>
      <c r="E12397" t="str">
        <v>-</v>
      </c>
      <c r="F12397" t="str">
        <v>-</v>
      </c>
      <c r="G12397" t="str">
        <v>-</v>
      </c>
    </row>
    <row r="12398">
      <c r="A12398">
        <v>12397</v>
      </c>
      <c r="B12398" t="str">
        <v>Công an xã Cẩm Sơn  tỉnh Nghệ An</v>
      </c>
      <c r="C12398" t="str">
        <v>-</v>
      </c>
      <c r="D12398" t="str">
        <v>-</v>
      </c>
      <c r="E12398" t="str">
        <v/>
      </c>
      <c r="F12398" t="str">
        <v>-</v>
      </c>
      <c r="G12398" t="str">
        <v>-</v>
      </c>
    </row>
    <row r="12399">
      <c r="A12399">
        <v>12398</v>
      </c>
      <c r="B12399" t="str">
        <v>UBND Ủy ban nhân dân xã Cẩm Sơn  tỉnh Nghệ An</v>
      </c>
      <c r="C12399" t="str">
        <v>-</v>
      </c>
      <c r="D12399" t="str">
        <v>-</v>
      </c>
      <c r="E12399" t="str">
        <v>-</v>
      </c>
      <c r="F12399" t="str">
        <v>-</v>
      </c>
      <c r="G12399" t="str">
        <v>-</v>
      </c>
    </row>
    <row r="12400">
      <c r="A12400">
        <v>12399</v>
      </c>
      <c r="B12400" t="str">
        <v>Công an xã Đức Sơn  tỉnh Nghệ An</v>
      </c>
      <c r="C12400" t="str">
        <v>-</v>
      </c>
      <c r="D12400" t="str">
        <v>-</v>
      </c>
      <c r="E12400" t="str">
        <v/>
      </c>
      <c r="F12400" t="str">
        <v>-</v>
      </c>
      <c r="G12400" t="str">
        <v>-</v>
      </c>
    </row>
    <row r="12401">
      <c r="A12401">
        <v>12400</v>
      </c>
      <c r="B12401" t="str">
        <v>UBND Ủy ban nhân dân xã Đức Sơn  tỉnh Nghệ An</v>
      </c>
      <c r="C12401" t="str">
        <v>-</v>
      </c>
      <c r="D12401" t="str">
        <v>-</v>
      </c>
      <c r="E12401" t="str">
        <v>-</v>
      </c>
      <c r="F12401" t="str">
        <v>-</v>
      </c>
      <c r="G12401" t="str">
        <v>-</v>
      </c>
    </row>
    <row r="12402">
      <c r="A12402">
        <v>12401</v>
      </c>
      <c r="B12402" t="str">
        <v>Công an xã Tường Sơn  tỉnh Nghệ An</v>
      </c>
      <c r="C12402" t="str">
        <v>-</v>
      </c>
      <c r="D12402" t="str">
        <v>-</v>
      </c>
      <c r="E12402" t="str">
        <v/>
      </c>
      <c r="F12402" t="str">
        <v>-</v>
      </c>
      <c r="G12402" t="str">
        <v>-</v>
      </c>
    </row>
    <row r="12403">
      <c r="A12403">
        <v>12402</v>
      </c>
      <c r="B12403" t="str">
        <v>UBND Ủy ban nhân dân xã Tường Sơn  tỉnh Nghệ An</v>
      </c>
      <c r="C12403" t="str">
        <v>-</v>
      </c>
      <c r="D12403" t="str">
        <v>-</v>
      </c>
      <c r="E12403" t="str">
        <v>-</v>
      </c>
      <c r="F12403" t="str">
        <v>-</v>
      </c>
      <c r="G12403" t="str">
        <v>-</v>
      </c>
    </row>
    <row r="12404">
      <c r="A12404">
        <v>12403</v>
      </c>
      <c r="B12404" t="str">
        <v>Công an xã Hoa Sơn  tỉnh Nghệ An</v>
      </c>
      <c r="C12404" t="str">
        <v>-</v>
      </c>
      <c r="D12404" t="str">
        <v>-</v>
      </c>
      <c r="E12404" t="str">
        <v/>
      </c>
      <c r="F12404" t="str">
        <v>-</v>
      </c>
      <c r="G12404" t="str">
        <v>-</v>
      </c>
    </row>
    <row r="12405">
      <c r="A12405">
        <v>12404</v>
      </c>
      <c r="B12405" t="str">
        <v>UBND Ủy ban nhân dân xã Hoa Sơn  tỉnh Nghệ An</v>
      </c>
      <c r="C12405" t="str">
        <v>-</v>
      </c>
      <c r="D12405" t="str">
        <v>-</v>
      </c>
      <c r="E12405" t="str">
        <v>-</v>
      </c>
      <c r="F12405" t="str">
        <v>-</v>
      </c>
      <c r="G12405" t="str">
        <v>-</v>
      </c>
    </row>
    <row r="12406">
      <c r="A12406">
        <v>12405</v>
      </c>
      <c r="B12406" t="str">
        <v>Công an xã Tào Sơn  tỉnh Nghệ An</v>
      </c>
      <c r="C12406" t="str">
        <v>-</v>
      </c>
      <c r="D12406" t="str">
        <v>-</v>
      </c>
      <c r="E12406" t="str">
        <v/>
      </c>
      <c r="F12406" t="str">
        <v>-</v>
      </c>
      <c r="G12406" t="str">
        <v>-</v>
      </c>
    </row>
    <row r="12407">
      <c r="A12407">
        <v>12406</v>
      </c>
      <c r="B12407" t="str">
        <v>UBND Ủy ban nhân dân xã Tào Sơn  tỉnh Nghệ An</v>
      </c>
      <c r="C12407" t="str">
        <v>-</v>
      </c>
      <c r="D12407" t="str">
        <v>-</v>
      </c>
      <c r="E12407" t="str">
        <v>-</v>
      </c>
      <c r="F12407" t="str">
        <v>-</v>
      </c>
      <c r="G12407" t="str">
        <v>-</v>
      </c>
    </row>
    <row r="12408">
      <c r="A12408">
        <v>12407</v>
      </c>
      <c r="B12408" t="str">
        <v>Công an xã Vĩnh Sơn  tỉnh Nghệ An</v>
      </c>
      <c r="C12408" t="str">
        <v>-</v>
      </c>
      <c r="D12408" t="str">
        <v>-</v>
      </c>
      <c r="E12408" t="str">
        <v/>
      </c>
      <c r="F12408" t="str">
        <v>-</v>
      </c>
      <c r="G12408" t="str">
        <v>-</v>
      </c>
    </row>
    <row r="12409">
      <c r="A12409">
        <v>12408</v>
      </c>
      <c r="B12409" t="str">
        <v>UBND Ủy ban nhân dân xã Vĩnh Sơn  tỉnh Nghệ An</v>
      </c>
      <c r="C12409" t="str">
        <v>-</v>
      </c>
      <c r="D12409" t="str">
        <v>-</v>
      </c>
      <c r="E12409" t="str">
        <v>-</v>
      </c>
      <c r="F12409" t="str">
        <v>-</v>
      </c>
      <c r="G12409" t="str">
        <v>-</v>
      </c>
    </row>
    <row r="12410">
      <c r="A12410">
        <v>12409</v>
      </c>
      <c r="B12410" t="str">
        <v>Công an xã Lạng Sơn  tỉnh Nghệ An</v>
      </c>
      <c r="C12410" t="str">
        <v>-</v>
      </c>
      <c r="D12410" t="str">
        <v>-</v>
      </c>
      <c r="E12410" t="str">
        <v/>
      </c>
      <c r="F12410" t="str">
        <v>-</v>
      </c>
      <c r="G12410" t="str">
        <v>-</v>
      </c>
    </row>
    <row r="12411">
      <c r="A12411">
        <v>12410</v>
      </c>
      <c r="B12411" t="str">
        <v>UBND Ủy ban nhân dân xã Lạng Sơn  tỉnh Nghệ An</v>
      </c>
      <c r="C12411" t="str">
        <v>-</v>
      </c>
      <c r="D12411" t="str">
        <v>-</v>
      </c>
      <c r="E12411" t="str">
        <v>-</v>
      </c>
      <c r="F12411" t="str">
        <v>-</v>
      </c>
      <c r="G12411" t="str">
        <v>-</v>
      </c>
    </row>
    <row r="12412">
      <c r="A12412">
        <v>12411</v>
      </c>
      <c r="B12412" t="str">
        <v>Công an xã Hội Sơn  tỉnh Nghệ An</v>
      </c>
      <c r="C12412" t="str">
        <v>-</v>
      </c>
      <c r="D12412" t="str">
        <v>-</v>
      </c>
      <c r="E12412" t="str">
        <v/>
      </c>
      <c r="F12412" t="str">
        <v>-</v>
      </c>
      <c r="G12412" t="str">
        <v>-</v>
      </c>
    </row>
    <row r="12413">
      <c r="A12413">
        <v>12412</v>
      </c>
      <c r="B12413" t="str">
        <v>UBND Ủy ban nhân dân xã Hội Sơn  tỉnh Nghệ An</v>
      </c>
      <c r="C12413" t="str">
        <v>-</v>
      </c>
      <c r="D12413" t="str">
        <v>-</v>
      </c>
      <c r="E12413" t="str">
        <v>-</v>
      </c>
      <c r="F12413" t="str">
        <v>-</v>
      </c>
      <c r="G12413" t="str">
        <v>-</v>
      </c>
    </row>
    <row r="12414">
      <c r="A12414">
        <v>12413</v>
      </c>
      <c r="B12414" t="str">
        <v>Công an xã Thạch Sơn  tỉnh Nghệ An</v>
      </c>
      <c r="C12414" t="str">
        <v>-</v>
      </c>
      <c r="D12414" t="str">
        <v>-</v>
      </c>
      <c r="E12414" t="str">
        <v/>
      </c>
      <c r="F12414" t="str">
        <v>-</v>
      </c>
      <c r="G12414" t="str">
        <v>-</v>
      </c>
    </row>
    <row r="12415">
      <c r="A12415">
        <v>12414</v>
      </c>
      <c r="B12415" t="str">
        <v>UBND Ủy ban nhân dân xã Thạch Sơn  tỉnh Nghệ An</v>
      </c>
      <c r="C12415" t="str">
        <v>-</v>
      </c>
      <c r="D12415" t="str">
        <v>-</v>
      </c>
      <c r="E12415" t="str">
        <v>-</v>
      </c>
      <c r="F12415" t="str">
        <v>-</v>
      </c>
      <c r="G12415" t="str">
        <v>-</v>
      </c>
    </row>
    <row r="12416">
      <c r="A12416">
        <v>12415</v>
      </c>
      <c r="B12416" t="str">
        <v>Công an xã Phúc Sơn  tỉnh Nghệ An</v>
      </c>
      <c r="C12416" t="str">
        <v>-</v>
      </c>
      <c r="D12416" t="str">
        <v>-</v>
      </c>
      <c r="E12416" t="str">
        <v/>
      </c>
      <c r="F12416" t="str">
        <v>-</v>
      </c>
      <c r="G12416" t="str">
        <v>-</v>
      </c>
    </row>
    <row r="12417">
      <c r="A12417">
        <v>12416</v>
      </c>
      <c r="B12417" t="str">
        <v>UBND Ủy ban nhân dân xã Phúc Sơn  tỉnh Nghệ An</v>
      </c>
      <c r="C12417" t="str">
        <v>-</v>
      </c>
      <c r="D12417" t="str">
        <v>-</v>
      </c>
      <c r="E12417" t="str">
        <v>-</v>
      </c>
      <c r="F12417" t="str">
        <v>-</v>
      </c>
      <c r="G12417" t="str">
        <v>-</v>
      </c>
    </row>
    <row r="12418">
      <c r="A12418">
        <v>12417</v>
      </c>
      <c r="B12418" t="str">
        <v>Công an xã Long Sơn  tỉnh Nghệ An</v>
      </c>
      <c r="C12418" t="str">
        <v>-</v>
      </c>
      <c r="D12418" t="str">
        <v>-</v>
      </c>
      <c r="E12418" t="str">
        <v/>
      </c>
      <c r="F12418" t="str">
        <v>-</v>
      </c>
      <c r="G12418" t="str">
        <v>-</v>
      </c>
    </row>
    <row r="12419">
      <c r="A12419">
        <v>12418</v>
      </c>
      <c r="B12419" t="str">
        <v>UBND Ủy ban nhân dân xã Long Sơn  tỉnh Nghệ An</v>
      </c>
      <c r="C12419" t="str">
        <v>-</v>
      </c>
      <c r="D12419" t="str">
        <v>-</v>
      </c>
      <c r="E12419" t="str">
        <v>-</v>
      </c>
      <c r="F12419" t="str">
        <v>-</v>
      </c>
      <c r="G12419" t="str">
        <v>-</v>
      </c>
    </row>
    <row r="12420">
      <c r="A12420">
        <v>12419</v>
      </c>
      <c r="B12420" t="str">
        <v>Công an xã Khai Sơn  tỉnh Nghệ An</v>
      </c>
      <c r="C12420" t="str">
        <v>-</v>
      </c>
      <c r="D12420" t="str">
        <v>-</v>
      </c>
      <c r="E12420" t="str">
        <v/>
      </c>
      <c r="F12420" t="str">
        <v>-</v>
      </c>
      <c r="G12420" t="str">
        <v>-</v>
      </c>
    </row>
    <row r="12421">
      <c r="A12421">
        <v>12420</v>
      </c>
      <c r="B12421" t="str">
        <v>UBND Ủy ban nhân dân xã Khai Sơn  tỉnh Nghệ An</v>
      </c>
      <c r="C12421" t="str">
        <v>-</v>
      </c>
      <c r="D12421" t="str">
        <v>-</v>
      </c>
      <c r="E12421" t="str">
        <v>-</v>
      </c>
      <c r="F12421" t="str">
        <v>-</v>
      </c>
      <c r="G12421" t="str">
        <v>-</v>
      </c>
    </row>
    <row r="12422">
      <c r="A12422">
        <v>12421</v>
      </c>
      <c r="B12422" t="str">
        <v>Công an xã Lĩnh Sơn  tỉnh Nghệ An</v>
      </c>
      <c r="C12422" t="str">
        <v>-</v>
      </c>
      <c r="D12422" t="str">
        <v>-</v>
      </c>
      <c r="E12422" t="str">
        <v/>
      </c>
      <c r="F12422" t="str">
        <v>-</v>
      </c>
      <c r="G12422" t="str">
        <v>-</v>
      </c>
    </row>
    <row r="12423">
      <c r="A12423">
        <v>12422</v>
      </c>
      <c r="B12423" t="str">
        <v>UBND Ủy ban nhân dân xã Lĩnh Sơn  tỉnh Nghệ An</v>
      </c>
      <c r="C12423" t="str">
        <v>-</v>
      </c>
      <c r="D12423" t="str">
        <v>-</v>
      </c>
      <c r="E12423" t="str">
        <v>-</v>
      </c>
      <c r="F12423" t="str">
        <v>-</v>
      </c>
      <c r="G12423" t="str">
        <v>-</v>
      </c>
    </row>
    <row r="12424">
      <c r="A12424">
        <v>12423</v>
      </c>
      <c r="B12424" t="str">
        <v>Công an xã Cao Sơn  tỉnh Nghệ An</v>
      </c>
      <c r="C12424" t="str">
        <v>-</v>
      </c>
      <c r="D12424" t="str">
        <v>-</v>
      </c>
      <c r="E12424" t="str">
        <v/>
      </c>
      <c r="F12424" t="str">
        <v>-</v>
      </c>
      <c r="G12424" t="str">
        <v>-</v>
      </c>
    </row>
    <row r="12425">
      <c r="A12425">
        <v>12424</v>
      </c>
      <c r="B12425" t="str">
        <v>UBND Ủy ban nhân dân xã Cao Sơn  tỉnh Nghệ An</v>
      </c>
      <c r="C12425" t="str">
        <v>-</v>
      </c>
      <c r="D12425" t="str">
        <v>-</v>
      </c>
      <c r="E12425" t="str">
        <v>-</v>
      </c>
      <c r="F12425" t="str">
        <v>-</v>
      </c>
      <c r="G12425" t="str">
        <v>-</v>
      </c>
    </row>
    <row r="12426">
      <c r="A12426">
        <v>12425</v>
      </c>
      <c r="B12426" t="str">
        <v>Công an thị trấn Diễn Châu  tỉnh Nghệ An</v>
      </c>
      <c r="C12426" t="str">
        <v>-</v>
      </c>
      <c r="D12426" t="str">
        <v>-</v>
      </c>
      <c r="E12426" t="str">
        <v/>
      </c>
      <c r="F12426" t="str">
        <v>-</v>
      </c>
      <c r="G12426" t="str">
        <v>-</v>
      </c>
    </row>
    <row r="12427">
      <c r="A12427">
        <v>12426</v>
      </c>
      <c r="B12427" t="str">
        <v>UBND Ủy ban nhân dân thị trấn Diễn Châu  tỉnh Nghệ An</v>
      </c>
      <c r="C12427" t="str">
        <v>-</v>
      </c>
      <c r="D12427" t="str">
        <v>-</v>
      </c>
      <c r="E12427" t="str">
        <v>-</v>
      </c>
      <c r="F12427" t="str">
        <v>-</v>
      </c>
      <c r="G12427" t="str">
        <v>-</v>
      </c>
    </row>
    <row r="12428">
      <c r="A12428">
        <v>12427</v>
      </c>
      <c r="B12428" t="str">
        <v>Công an xã Diễn Lâm  tỉnh Nghệ An</v>
      </c>
      <c r="C12428" t="str">
        <v>-</v>
      </c>
      <c r="D12428" t="str">
        <v>-</v>
      </c>
      <c r="E12428" t="str">
        <v/>
      </c>
      <c r="F12428" t="str">
        <v>-</v>
      </c>
      <c r="G12428" t="str">
        <v>-</v>
      </c>
    </row>
    <row r="12429">
      <c r="A12429">
        <v>12428</v>
      </c>
      <c r="B12429" t="str">
        <v>UBND Ủy ban nhân dân xã Diễn Lâm  tỉnh Nghệ An</v>
      </c>
      <c r="C12429" t="str">
        <v>-</v>
      </c>
      <c r="D12429" t="str">
        <v>-</v>
      </c>
      <c r="E12429" t="str">
        <v>-</v>
      </c>
      <c r="F12429" t="str">
        <v>-</v>
      </c>
      <c r="G12429" t="str">
        <v>-</v>
      </c>
    </row>
    <row r="12430">
      <c r="A12430">
        <v>12429</v>
      </c>
      <c r="B12430" t="str">
        <v>Công an xã Diễn Đoài  tỉnh Nghệ An</v>
      </c>
      <c r="C12430" t="str">
        <v>-</v>
      </c>
      <c r="D12430" t="str">
        <v>-</v>
      </c>
      <c r="E12430" t="str">
        <v/>
      </c>
      <c r="F12430" t="str">
        <v>-</v>
      </c>
      <c r="G12430" t="str">
        <v>-</v>
      </c>
    </row>
    <row r="12431">
      <c r="A12431">
        <v>12430</v>
      </c>
      <c r="B12431" t="str">
        <v>UBND Ủy ban nhân dân xã Diễn Đoài  tỉnh Nghệ An</v>
      </c>
      <c r="C12431" t="str">
        <v>-</v>
      </c>
      <c r="D12431" t="str">
        <v>-</v>
      </c>
      <c r="E12431" t="str">
        <v>-</v>
      </c>
      <c r="F12431" t="str">
        <v>-</v>
      </c>
      <c r="G12431" t="str">
        <v>-</v>
      </c>
    </row>
    <row r="12432">
      <c r="A12432">
        <v>12431</v>
      </c>
      <c r="B12432" t="str">
        <v>Công an xã Diễn Trường  tỉnh Nghệ An</v>
      </c>
      <c r="C12432" t="str">
        <v>-</v>
      </c>
      <c r="D12432" t="str">
        <v>-</v>
      </c>
      <c r="E12432" t="str">
        <v/>
      </c>
      <c r="F12432" t="str">
        <v>-</v>
      </c>
      <c r="G12432" t="str">
        <v>-</v>
      </c>
    </row>
    <row r="12433">
      <c r="A12433">
        <v>12432</v>
      </c>
      <c r="B12433" t="str">
        <v>UBND Ủy ban nhân dân xã Diễn Trường  tỉnh Nghệ An</v>
      </c>
      <c r="C12433" t="str">
        <v>-</v>
      </c>
      <c r="D12433" t="str">
        <v>-</v>
      </c>
      <c r="E12433" t="str">
        <v>-</v>
      </c>
      <c r="F12433" t="str">
        <v>-</v>
      </c>
      <c r="G12433" t="str">
        <v>-</v>
      </c>
    </row>
    <row r="12434">
      <c r="A12434">
        <v>12433</v>
      </c>
      <c r="B12434" t="str">
        <v>Công an xã Diễn Yên  tỉnh Nghệ An</v>
      </c>
      <c r="C12434" t="str">
        <v>-</v>
      </c>
      <c r="D12434" t="str">
        <v>-</v>
      </c>
      <c r="E12434" t="str">
        <v/>
      </c>
      <c r="F12434" t="str">
        <v>-</v>
      </c>
      <c r="G12434" t="str">
        <v>-</v>
      </c>
    </row>
    <row r="12435">
      <c r="A12435">
        <v>12434</v>
      </c>
      <c r="B12435" t="str">
        <v>UBND Ủy ban nhân dân xã Diễn Yên  tỉnh Nghệ An</v>
      </c>
      <c r="C12435" t="str">
        <v>-</v>
      </c>
      <c r="D12435" t="str">
        <v>-</v>
      </c>
      <c r="E12435" t="str">
        <v>-</v>
      </c>
      <c r="F12435" t="str">
        <v>-</v>
      </c>
      <c r="G12435" t="str">
        <v>-</v>
      </c>
    </row>
    <row r="12436">
      <c r="A12436">
        <v>12435</v>
      </c>
      <c r="B12436" t="str">
        <v>Công an xã Diễn Hoàng  tỉnh Nghệ An</v>
      </c>
      <c r="C12436" t="str">
        <v>-</v>
      </c>
      <c r="D12436" t="str">
        <v>-</v>
      </c>
      <c r="E12436" t="str">
        <v/>
      </c>
      <c r="F12436" t="str">
        <v>-</v>
      </c>
      <c r="G12436" t="str">
        <v>-</v>
      </c>
    </row>
    <row r="12437">
      <c r="A12437">
        <v>12436</v>
      </c>
      <c r="B12437" t="str">
        <v>UBND Ủy ban nhân dân xã Diễn Hoàng  tỉnh Nghệ An</v>
      </c>
      <c r="C12437" t="str">
        <v>-</v>
      </c>
      <c r="D12437" t="str">
        <v>-</v>
      </c>
      <c r="E12437" t="str">
        <v>-</v>
      </c>
      <c r="F12437" t="str">
        <v>-</v>
      </c>
      <c r="G12437" t="str">
        <v>-</v>
      </c>
    </row>
    <row r="12438">
      <c r="A12438">
        <v>12437</v>
      </c>
      <c r="B12438" t="str">
        <v>Công an xã Diễn Hùng  tỉnh Nghệ An</v>
      </c>
      <c r="C12438" t="str">
        <v>-</v>
      </c>
      <c r="D12438" t="str">
        <v>-</v>
      </c>
      <c r="E12438" t="str">
        <v/>
      </c>
      <c r="F12438" t="str">
        <v>-</v>
      </c>
      <c r="G12438" t="str">
        <v>-</v>
      </c>
    </row>
    <row r="12439">
      <c r="A12439">
        <v>12438</v>
      </c>
      <c r="B12439" t="str">
        <v>UBND Ủy ban nhân dân xã Diễn Hùng  tỉnh Nghệ An</v>
      </c>
      <c r="C12439" t="str">
        <v>-</v>
      </c>
      <c r="D12439" t="str">
        <v>-</v>
      </c>
      <c r="E12439" t="str">
        <v>-</v>
      </c>
      <c r="F12439" t="str">
        <v>-</v>
      </c>
      <c r="G12439" t="str">
        <v>-</v>
      </c>
    </row>
    <row r="12440">
      <c r="A12440">
        <v>12439</v>
      </c>
      <c r="B12440" t="str">
        <v>Công an xã Diễn Mỹ  tỉnh Nghệ An</v>
      </c>
      <c r="C12440" t="str">
        <v>-</v>
      </c>
      <c r="D12440" t="str">
        <v>-</v>
      </c>
      <c r="E12440" t="str">
        <v/>
      </c>
      <c r="F12440" t="str">
        <v>-</v>
      </c>
      <c r="G12440" t="str">
        <v>-</v>
      </c>
    </row>
    <row r="12441">
      <c r="A12441">
        <v>12440</v>
      </c>
      <c r="B12441" t="str">
        <v>UBND Ủy ban nhân dân xã Diễn Mỹ  tỉnh Nghệ An</v>
      </c>
      <c r="C12441" t="str">
        <v>-</v>
      </c>
      <c r="D12441" t="str">
        <v>-</v>
      </c>
      <c r="E12441" t="str">
        <v>-</v>
      </c>
      <c r="F12441" t="str">
        <v>-</v>
      </c>
      <c r="G12441" t="str">
        <v>-</v>
      </c>
    </row>
    <row r="12442">
      <c r="A12442">
        <v>12441</v>
      </c>
      <c r="B12442" t="str">
        <v>Công an xã Diễn Hồng  tỉnh Nghệ An</v>
      </c>
      <c r="C12442" t="str">
        <v>-</v>
      </c>
      <c r="D12442" t="str">
        <v>-</v>
      </c>
      <c r="E12442" t="str">
        <v/>
      </c>
      <c r="F12442" t="str">
        <v>-</v>
      </c>
      <c r="G12442" t="str">
        <v>-</v>
      </c>
    </row>
    <row r="12443">
      <c r="A12443">
        <v>12442</v>
      </c>
      <c r="B12443" t="str">
        <v>UBND Ủy ban nhân dân xã Diễn Hồng  tỉnh Nghệ An</v>
      </c>
      <c r="C12443" t="str">
        <v>-</v>
      </c>
      <c r="D12443" t="str">
        <v>-</v>
      </c>
      <c r="E12443" t="str">
        <v>-</v>
      </c>
      <c r="F12443" t="str">
        <v>-</v>
      </c>
      <c r="G12443" t="str">
        <v>-</v>
      </c>
    </row>
    <row r="12444">
      <c r="A12444">
        <v>12443</v>
      </c>
      <c r="B12444" t="str">
        <v>Công an xã Diễn Phong  tỉnh Nghệ An</v>
      </c>
      <c r="C12444" t="str">
        <v>-</v>
      </c>
      <c r="D12444" t="str">
        <v>-</v>
      </c>
      <c r="E12444" t="str">
        <v/>
      </c>
      <c r="F12444" t="str">
        <v>-</v>
      </c>
      <c r="G12444" t="str">
        <v>-</v>
      </c>
    </row>
    <row r="12445">
      <c r="A12445">
        <v>12444</v>
      </c>
      <c r="B12445" t="str">
        <v>UBND Ủy ban nhân dân xã Diễn Phong  tỉnh Nghệ An</v>
      </c>
      <c r="C12445" t="str">
        <v>-</v>
      </c>
      <c r="D12445" t="str">
        <v>-</v>
      </c>
      <c r="E12445" t="str">
        <v>-</v>
      </c>
      <c r="F12445" t="str">
        <v>-</v>
      </c>
      <c r="G12445" t="str">
        <v>-</v>
      </c>
    </row>
    <row r="12446">
      <c r="A12446">
        <v>12445</v>
      </c>
      <c r="B12446" t="str">
        <v>Công an xã Diễn Hải  tỉnh Nghệ An</v>
      </c>
      <c r="C12446" t="str">
        <v>-</v>
      </c>
      <c r="D12446" t="str">
        <v>-</v>
      </c>
      <c r="E12446" t="str">
        <v/>
      </c>
      <c r="F12446" t="str">
        <v>-</v>
      </c>
      <c r="G12446" t="str">
        <v>-</v>
      </c>
    </row>
    <row r="12447">
      <c r="A12447">
        <v>12446</v>
      </c>
      <c r="B12447" t="str">
        <v>UBND Ủy ban nhân dân xã Diễn Hải  tỉnh Nghệ An</v>
      </c>
      <c r="C12447" t="str">
        <v>-</v>
      </c>
      <c r="D12447" t="str">
        <v>-</v>
      </c>
      <c r="E12447" t="str">
        <v>-</v>
      </c>
      <c r="F12447" t="str">
        <v>-</v>
      </c>
      <c r="G12447" t="str">
        <v>-</v>
      </c>
    </row>
    <row r="12448">
      <c r="A12448">
        <v>12447</v>
      </c>
      <c r="B12448" t="str">
        <v>Công an xã Diễn Tháp  tỉnh Nghệ An</v>
      </c>
      <c r="C12448" t="str">
        <v>-</v>
      </c>
      <c r="D12448" t="str">
        <v>-</v>
      </c>
      <c r="E12448" t="str">
        <v/>
      </c>
      <c r="F12448" t="str">
        <v>-</v>
      </c>
      <c r="G12448" t="str">
        <v>-</v>
      </c>
    </row>
    <row r="12449">
      <c r="A12449">
        <v>12448</v>
      </c>
      <c r="B12449" t="str">
        <v>UBND Ủy ban nhân dân xã Diễn Tháp  tỉnh Nghệ An</v>
      </c>
      <c r="C12449" t="str">
        <v>-</v>
      </c>
      <c r="D12449" t="str">
        <v>-</v>
      </c>
      <c r="E12449" t="str">
        <v>-</v>
      </c>
      <c r="F12449" t="str">
        <v>-</v>
      </c>
      <c r="G12449" t="str">
        <v>-</v>
      </c>
    </row>
    <row r="12450">
      <c r="A12450">
        <v>12449</v>
      </c>
      <c r="B12450" t="str">
        <v>Công an xã Diễn Liên  tỉnh Nghệ An</v>
      </c>
      <c r="C12450" t="str">
        <v>-</v>
      </c>
      <c r="D12450" t="str">
        <v>-</v>
      </c>
      <c r="E12450" t="str">
        <v/>
      </c>
      <c r="F12450" t="str">
        <v>-</v>
      </c>
      <c r="G12450" t="str">
        <v>-</v>
      </c>
    </row>
    <row r="12451">
      <c r="A12451">
        <v>12450</v>
      </c>
      <c r="B12451" t="str">
        <v>UBND Ủy ban nhân dân xã Diễn Liên  tỉnh Nghệ An</v>
      </c>
      <c r="C12451" t="str">
        <v>-</v>
      </c>
      <c r="D12451" t="str">
        <v>-</v>
      </c>
      <c r="E12451" t="str">
        <v>-</v>
      </c>
      <c r="F12451" t="str">
        <v>-</v>
      </c>
      <c r="G12451" t="str">
        <v>-</v>
      </c>
    </row>
    <row r="12452">
      <c r="A12452">
        <v>12451</v>
      </c>
      <c r="B12452" t="str">
        <v>Công an xã Diễn Vạn  tỉnh Nghệ An</v>
      </c>
      <c r="C12452" t="str">
        <v>-</v>
      </c>
      <c r="D12452" t="str">
        <v>-</v>
      </c>
      <c r="E12452" t="str">
        <v/>
      </c>
      <c r="F12452" t="str">
        <v>-</v>
      </c>
      <c r="G12452" t="str">
        <v>-</v>
      </c>
    </row>
    <row r="12453">
      <c r="A12453">
        <v>12452</v>
      </c>
      <c r="B12453" t="str">
        <v>UBND Ủy ban nhân dân xã Diễn Vạn  tỉnh Nghệ An</v>
      </c>
      <c r="C12453" t="str">
        <v>-</v>
      </c>
      <c r="D12453" t="str">
        <v>-</v>
      </c>
      <c r="E12453" t="str">
        <v>-</v>
      </c>
      <c r="F12453" t="str">
        <v>-</v>
      </c>
      <c r="G12453" t="str">
        <v>-</v>
      </c>
    </row>
    <row r="12454">
      <c r="A12454">
        <v>12453</v>
      </c>
      <c r="B12454" t="str">
        <v>Công an xã Diễn Kim  tỉnh Nghệ An</v>
      </c>
      <c r="C12454" t="str">
        <v>-</v>
      </c>
      <c r="D12454" t="str">
        <v>-</v>
      </c>
      <c r="E12454" t="str">
        <v/>
      </c>
      <c r="F12454" t="str">
        <v>-</v>
      </c>
      <c r="G12454" t="str">
        <v>-</v>
      </c>
    </row>
    <row r="12455">
      <c r="A12455">
        <v>12454</v>
      </c>
      <c r="B12455" t="str">
        <v>UBND Ủy ban nhân dân xã Diễn Kim  tỉnh Nghệ An</v>
      </c>
      <c r="C12455" t="str">
        <v>-</v>
      </c>
      <c r="D12455" t="str">
        <v>-</v>
      </c>
      <c r="E12455" t="str">
        <v>-</v>
      </c>
      <c r="F12455" t="str">
        <v>-</v>
      </c>
      <c r="G12455" t="str">
        <v>-</v>
      </c>
    </row>
    <row r="12456">
      <c r="A12456">
        <v>12455</v>
      </c>
      <c r="B12456" t="str">
        <v>Công an xã Diễn Kỷ  tỉnh Nghệ An</v>
      </c>
      <c r="C12456" t="str">
        <v>-</v>
      </c>
      <c r="D12456" t="str">
        <v>-</v>
      </c>
      <c r="E12456" t="str">
        <v/>
      </c>
      <c r="F12456" t="str">
        <v>-</v>
      </c>
      <c r="G12456" t="str">
        <v>-</v>
      </c>
    </row>
    <row r="12457">
      <c r="A12457">
        <v>12456</v>
      </c>
      <c r="B12457" t="str">
        <v>UBND Ủy ban nhân dân xã Diễn Kỷ  tỉnh Nghệ An</v>
      </c>
      <c r="C12457" t="str">
        <v>-</v>
      </c>
      <c r="D12457" t="str">
        <v>-</v>
      </c>
      <c r="E12457" t="str">
        <v>-</v>
      </c>
      <c r="F12457" t="str">
        <v>-</v>
      </c>
      <c r="G12457" t="str">
        <v>-</v>
      </c>
    </row>
    <row r="12458">
      <c r="A12458">
        <v>12457</v>
      </c>
      <c r="B12458" t="str">
        <v>Công an xã Diễn Xuân  tỉnh Nghệ An</v>
      </c>
      <c r="C12458" t="str">
        <v>-</v>
      </c>
      <c r="D12458" t="str">
        <v>-</v>
      </c>
      <c r="E12458" t="str">
        <v/>
      </c>
      <c r="F12458" t="str">
        <v>-</v>
      </c>
      <c r="G12458" t="str">
        <v>-</v>
      </c>
    </row>
    <row r="12459">
      <c r="A12459">
        <v>12458</v>
      </c>
      <c r="B12459" t="str">
        <v>UBND Ủy ban nhân dân xã Diễn Xuân  tỉnh Nghệ An</v>
      </c>
      <c r="C12459" t="str">
        <v>-</v>
      </c>
      <c r="D12459" t="str">
        <v>-</v>
      </c>
      <c r="E12459" t="str">
        <v>-</v>
      </c>
      <c r="F12459" t="str">
        <v>-</v>
      </c>
      <c r="G12459" t="str">
        <v>-</v>
      </c>
    </row>
    <row r="12460">
      <c r="A12460">
        <v>12459</v>
      </c>
      <c r="B12460" t="str">
        <v>Công an xã Diễn Thái  tỉnh Nghệ An</v>
      </c>
      <c r="C12460" t="str">
        <v>-</v>
      </c>
      <c r="D12460" t="str">
        <v>-</v>
      </c>
      <c r="E12460" t="str">
        <v/>
      </c>
      <c r="F12460" t="str">
        <v>-</v>
      </c>
      <c r="G12460" t="str">
        <v>-</v>
      </c>
    </row>
    <row r="12461">
      <c r="A12461">
        <v>12460</v>
      </c>
      <c r="B12461" t="str">
        <v>UBND Ủy ban nhân dân xã Diễn Thái  tỉnh Nghệ An</v>
      </c>
      <c r="C12461" t="str">
        <v>-</v>
      </c>
      <c r="D12461" t="str">
        <v>-</v>
      </c>
      <c r="E12461" t="str">
        <v>-</v>
      </c>
      <c r="F12461" t="str">
        <v>-</v>
      </c>
      <c r="G12461" t="str">
        <v>-</v>
      </c>
    </row>
    <row r="12462">
      <c r="A12462">
        <v>12461</v>
      </c>
      <c r="B12462" t="str">
        <v>Công an xã Diễn Đồng  tỉnh Nghệ An</v>
      </c>
      <c r="C12462" t="str">
        <v>-</v>
      </c>
      <c r="D12462" t="str">
        <v>-</v>
      </c>
      <c r="E12462" t="str">
        <v/>
      </c>
      <c r="F12462" t="str">
        <v>-</v>
      </c>
      <c r="G12462" t="str">
        <v>-</v>
      </c>
    </row>
    <row r="12463">
      <c r="A12463">
        <v>12462</v>
      </c>
      <c r="B12463" t="str">
        <v>UBND Ủy ban nhân dân xã Diễn Đồng  tỉnh Nghệ An</v>
      </c>
      <c r="C12463" t="str">
        <v>-</v>
      </c>
      <c r="D12463" t="str">
        <v>-</v>
      </c>
      <c r="E12463" t="str">
        <v>-</v>
      </c>
      <c r="F12463" t="str">
        <v>-</v>
      </c>
      <c r="G12463" t="str">
        <v>-</v>
      </c>
    </row>
    <row r="12464">
      <c r="A12464">
        <v>12463</v>
      </c>
      <c r="B12464" t="str">
        <v>Công an xã Diễn Bích  tỉnh Nghệ An</v>
      </c>
      <c r="C12464" t="str">
        <v>-</v>
      </c>
      <c r="D12464" t="str">
        <v>-</v>
      </c>
      <c r="E12464" t="str">
        <v/>
      </c>
      <c r="F12464" t="str">
        <v>-</v>
      </c>
      <c r="G12464" t="str">
        <v>-</v>
      </c>
    </row>
    <row r="12465">
      <c r="A12465">
        <v>12464</v>
      </c>
      <c r="B12465" t="str">
        <v>UBND Ủy ban nhân dân xã Diễn Bích  tỉnh Nghệ An</v>
      </c>
      <c r="C12465" t="str">
        <v>-</v>
      </c>
      <c r="D12465" t="str">
        <v>-</v>
      </c>
      <c r="E12465" t="str">
        <v>-</v>
      </c>
      <c r="F12465" t="str">
        <v>-</v>
      </c>
      <c r="G12465" t="str">
        <v>-</v>
      </c>
    </row>
    <row r="12466">
      <c r="A12466">
        <v>12465</v>
      </c>
      <c r="B12466" t="str">
        <v>Công an xã Diễn Hạnh  tỉnh Nghệ An</v>
      </c>
      <c r="C12466" t="str">
        <v>-</v>
      </c>
      <c r="D12466" t="str">
        <v>-</v>
      </c>
      <c r="E12466" t="str">
        <v/>
      </c>
      <c r="F12466" t="str">
        <v>-</v>
      </c>
      <c r="G12466" t="str">
        <v>-</v>
      </c>
    </row>
    <row r="12467">
      <c r="A12467">
        <v>12466</v>
      </c>
      <c r="B12467" t="str">
        <v>UBND Ủy ban nhân dân xã Diễn Hạnh  tỉnh Nghệ An</v>
      </c>
      <c r="C12467" t="str">
        <v>-</v>
      </c>
      <c r="D12467" t="str">
        <v>-</v>
      </c>
      <c r="E12467" t="str">
        <v>-</v>
      </c>
      <c r="F12467" t="str">
        <v>-</v>
      </c>
      <c r="G12467" t="str">
        <v>-</v>
      </c>
    </row>
    <row r="12468">
      <c r="A12468">
        <v>12467</v>
      </c>
      <c r="B12468" t="str">
        <v>Công an xã Diễn Ngọc  tỉnh Nghệ An</v>
      </c>
      <c r="C12468" t="str">
        <v>-</v>
      </c>
      <c r="D12468" t="str">
        <v>-</v>
      </c>
      <c r="E12468" t="str">
        <v/>
      </c>
      <c r="F12468" t="str">
        <v>-</v>
      </c>
      <c r="G12468" t="str">
        <v>-</v>
      </c>
    </row>
    <row r="12469">
      <c r="A12469">
        <v>12468</v>
      </c>
      <c r="B12469" t="str">
        <v>UBND Ủy ban nhân dân xã Diễn Ngọc  tỉnh Nghệ An</v>
      </c>
      <c r="C12469" t="str">
        <v>-</v>
      </c>
      <c r="D12469" t="str">
        <v>-</v>
      </c>
      <c r="E12469" t="str">
        <v>-</v>
      </c>
      <c r="F12469" t="str">
        <v>-</v>
      </c>
      <c r="G12469" t="str">
        <v>-</v>
      </c>
    </row>
    <row r="12470">
      <c r="A12470">
        <v>12469</v>
      </c>
      <c r="B12470" t="str">
        <v>Công an xã Diễn Quảng  tỉnh Nghệ An</v>
      </c>
      <c r="C12470" t="str">
        <v>-</v>
      </c>
      <c r="D12470" t="str">
        <v>-</v>
      </c>
      <c r="E12470" t="str">
        <v/>
      </c>
      <c r="F12470" t="str">
        <v>-</v>
      </c>
      <c r="G12470" t="str">
        <v>-</v>
      </c>
    </row>
    <row r="12471">
      <c r="A12471">
        <v>12470</v>
      </c>
      <c r="B12471" t="str">
        <v>UBND Ủy ban nhân dân xã Diễn Quảng  tỉnh Nghệ An</v>
      </c>
      <c r="C12471" t="str">
        <v>-</v>
      </c>
      <c r="D12471" t="str">
        <v>-</v>
      </c>
      <c r="E12471" t="str">
        <v>-</v>
      </c>
      <c r="F12471" t="str">
        <v>-</v>
      </c>
      <c r="G12471" t="str">
        <v>-</v>
      </c>
    </row>
    <row r="12472">
      <c r="A12472">
        <v>12471</v>
      </c>
      <c r="B12472" t="str">
        <v>Công an xã Diễn Nguyên  tỉnh Nghệ An</v>
      </c>
      <c r="C12472" t="str">
        <v>-</v>
      </c>
      <c r="D12472" t="str">
        <v>-</v>
      </c>
      <c r="E12472" t="str">
        <v/>
      </c>
      <c r="F12472" t="str">
        <v>-</v>
      </c>
      <c r="G12472" t="str">
        <v>-</v>
      </c>
    </row>
    <row r="12473">
      <c r="A12473">
        <v>12472</v>
      </c>
      <c r="B12473" t="str">
        <v>UBND Ủy ban nhân dân xã Diễn Nguyên  tỉnh Nghệ An</v>
      </c>
      <c r="C12473" t="str">
        <v>-</v>
      </c>
      <c r="D12473" t="str">
        <v>-</v>
      </c>
      <c r="E12473" t="str">
        <v>-</v>
      </c>
      <c r="F12473" t="str">
        <v>-</v>
      </c>
      <c r="G12473" t="str">
        <v>-</v>
      </c>
    </row>
    <row r="12474">
      <c r="A12474">
        <v>12473</v>
      </c>
      <c r="B12474" t="str">
        <v>Công an xã Diễn Hoa  tỉnh Nghệ An</v>
      </c>
      <c r="C12474" t="str">
        <v>-</v>
      </c>
      <c r="D12474" t="str">
        <v>-</v>
      </c>
      <c r="E12474" t="str">
        <v/>
      </c>
      <c r="F12474" t="str">
        <v>-</v>
      </c>
      <c r="G12474" t="str">
        <v>-</v>
      </c>
    </row>
    <row r="12475">
      <c r="A12475">
        <v>12474</v>
      </c>
      <c r="B12475" t="str">
        <v>UBND Ủy ban nhân dân xã Diễn Hoa  tỉnh Nghệ An</v>
      </c>
      <c r="C12475" t="str">
        <v>-</v>
      </c>
      <c r="D12475" t="str">
        <v>-</v>
      </c>
      <c r="E12475" t="str">
        <v>-</v>
      </c>
      <c r="F12475" t="str">
        <v>-</v>
      </c>
      <c r="G12475" t="str">
        <v>-</v>
      </c>
    </row>
    <row r="12476">
      <c r="A12476">
        <v>12475</v>
      </c>
      <c r="B12476" t="str">
        <v>Công an xã Diễn Thành  tỉnh Nghệ An</v>
      </c>
      <c r="C12476" t="str">
        <v>-</v>
      </c>
      <c r="D12476" t="str">
        <v>-</v>
      </c>
      <c r="E12476" t="str">
        <v/>
      </c>
      <c r="F12476" t="str">
        <v>-</v>
      </c>
      <c r="G12476" t="str">
        <v>-</v>
      </c>
    </row>
    <row r="12477">
      <c r="A12477">
        <v>12476</v>
      </c>
      <c r="B12477" t="str">
        <v>UBND Ủy ban nhân dân xã Diễn Thành  tỉnh Nghệ An</v>
      </c>
      <c r="C12477" t="str">
        <v>-</v>
      </c>
      <c r="D12477" t="str">
        <v>-</v>
      </c>
      <c r="E12477" t="str">
        <v>-</v>
      </c>
      <c r="F12477" t="str">
        <v>-</v>
      </c>
      <c r="G12477" t="str">
        <v>-</v>
      </c>
    </row>
    <row r="12478">
      <c r="A12478">
        <v>12477</v>
      </c>
      <c r="B12478" t="str">
        <v>Công an xã Diễn Phúc  tỉnh Nghệ An</v>
      </c>
      <c r="C12478" t="str">
        <v>-</v>
      </c>
      <c r="D12478" t="str">
        <v>-</v>
      </c>
      <c r="E12478" t="str">
        <v/>
      </c>
      <c r="F12478" t="str">
        <v>-</v>
      </c>
      <c r="G12478" t="str">
        <v>-</v>
      </c>
    </row>
    <row r="12479">
      <c r="A12479">
        <v>12478</v>
      </c>
      <c r="B12479" t="str">
        <v>UBND Ủy ban nhân dân xã Diễn Phúc  tỉnh Nghệ An</v>
      </c>
      <c r="C12479" t="str">
        <v>-</v>
      </c>
      <c r="D12479" t="str">
        <v>-</v>
      </c>
      <c r="E12479" t="str">
        <v>-</v>
      </c>
      <c r="F12479" t="str">
        <v>-</v>
      </c>
      <c r="G12479" t="str">
        <v>-</v>
      </c>
    </row>
    <row r="12480">
      <c r="A12480">
        <v>12479</v>
      </c>
      <c r="B12480" t="str">
        <v>Công an xã Diễn Minh  tỉnh Nghệ An</v>
      </c>
      <c r="C12480" t="str">
        <v>-</v>
      </c>
      <c r="D12480" t="str">
        <v>-</v>
      </c>
      <c r="E12480" t="str">
        <v/>
      </c>
      <c r="F12480" t="str">
        <v>-</v>
      </c>
      <c r="G12480" t="str">
        <v>-</v>
      </c>
    </row>
    <row r="12481">
      <c r="A12481">
        <v>12480</v>
      </c>
      <c r="B12481" t="str">
        <v>UBND Ủy ban nhân dân xã Diễn Minh  tỉnh Nghệ An</v>
      </c>
      <c r="C12481" t="str">
        <v>-</v>
      </c>
      <c r="D12481" t="str">
        <v>-</v>
      </c>
      <c r="E12481" t="str">
        <v>-</v>
      </c>
      <c r="F12481" t="str">
        <v>-</v>
      </c>
      <c r="G12481" t="str">
        <v>-</v>
      </c>
    </row>
    <row r="12482">
      <c r="A12482">
        <v>12481</v>
      </c>
      <c r="B12482" t="str">
        <v>Công an xã Diễn Bình  tỉnh Nghệ An</v>
      </c>
      <c r="C12482" t="str">
        <v>-</v>
      </c>
      <c r="D12482" t="str">
        <v>-</v>
      </c>
      <c r="E12482" t="str">
        <v/>
      </c>
      <c r="F12482" t="str">
        <v>-</v>
      </c>
      <c r="G12482" t="str">
        <v>-</v>
      </c>
    </row>
    <row r="12483">
      <c r="A12483">
        <v>12482</v>
      </c>
      <c r="B12483" t="str">
        <v>UBND Ủy ban nhân dân xã Diễn Bình  tỉnh Nghệ An</v>
      </c>
      <c r="C12483" t="str">
        <v>-</v>
      </c>
      <c r="D12483" t="str">
        <v>-</v>
      </c>
      <c r="E12483" t="str">
        <v>-</v>
      </c>
      <c r="F12483" t="str">
        <v>-</v>
      </c>
      <c r="G12483" t="str">
        <v>-</v>
      </c>
    </row>
    <row r="12484">
      <c r="A12484">
        <v>12483</v>
      </c>
      <c r="B12484" t="str">
        <v>Công an xã Diễn Cát  tỉnh Nghệ An</v>
      </c>
      <c r="C12484" t="str">
        <v>-</v>
      </c>
      <c r="D12484" t="str">
        <v>-</v>
      </c>
      <c r="E12484" t="str">
        <v/>
      </c>
      <c r="F12484" t="str">
        <v>-</v>
      </c>
      <c r="G12484" t="str">
        <v>-</v>
      </c>
    </row>
    <row r="12485">
      <c r="A12485">
        <v>12484</v>
      </c>
      <c r="B12485" t="str">
        <v>UBND Ủy ban nhân dân xã Diễn Cát  tỉnh Nghệ An</v>
      </c>
      <c r="C12485" t="str">
        <v>-</v>
      </c>
      <c r="D12485" t="str">
        <v>-</v>
      </c>
      <c r="E12485" t="str">
        <v>-</v>
      </c>
      <c r="F12485" t="str">
        <v>-</v>
      </c>
      <c r="G12485" t="str">
        <v>-</v>
      </c>
    </row>
    <row r="12486">
      <c r="A12486">
        <v>12485</v>
      </c>
      <c r="B12486" t="str">
        <v>Công an xã Diễn Thịnh  tỉnh Nghệ An</v>
      </c>
      <c r="C12486" t="str">
        <v>-</v>
      </c>
      <c r="D12486" t="str">
        <v>-</v>
      </c>
      <c r="E12486" t="str">
        <v/>
      </c>
      <c r="F12486" t="str">
        <v>-</v>
      </c>
      <c r="G12486" t="str">
        <v>-</v>
      </c>
    </row>
    <row r="12487">
      <c r="A12487">
        <v>12486</v>
      </c>
      <c r="B12487" t="str">
        <v>UBND Ủy ban nhân dân xã Diễn Thịnh  tỉnh Nghệ An</v>
      </c>
      <c r="C12487" t="str">
        <v>-</v>
      </c>
      <c r="D12487" t="str">
        <v>-</v>
      </c>
      <c r="E12487" t="str">
        <v>-</v>
      </c>
      <c r="F12487" t="str">
        <v>-</v>
      </c>
      <c r="G12487" t="str">
        <v>-</v>
      </c>
    </row>
    <row r="12488">
      <c r="A12488">
        <v>12487</v>
      </c>
      <c r="B12488" t="str">
        <v>Công an xã Diễn Tân  tỉnh Nghệ An</v>
      </c>
      <c r="C12488" t="str">
        <v>-</v>
      </c>
      <c r="D12488" t="str">
        <v>-</v>
      </c>
      <c r="E12488" t="str">
        <v/>
      </c>
      <c r="F12488" t="str">
        <v>-</v>
      </c>
      <c r="G12488" t="str">
        <v>-</v>
      </c>
    </row>
    <row r="12489">
      <c r="A12489">
        <v>12488</v>
      </c>
      <c r="B12489" t="str">
        <v>UBND Ủy ban nhân dân xã Diễn Tân  tỉnh Nghệ An</v>
      </c>
      <c r="C12489" t="str">
        <v>-</v>
      </c>
      <c r="D12489" t="str">
        <v>-</v>
      </c>
      <c r="E12489" t="str">
        <v>-</v>
      </c>
      <c r="F12489" t="str">
        <v>-</v>
      </c>
      <c r="G12489" t="str">
        <v>-</v>
      </c>
    </row>
    <row r="12490">
      <c r="A12490">
        <v>12489</v>
      </c>
      <c r="B12490" t="str">
        <v>Công an xã Diễn Thắng  tỉnh Nghệ An</v>
      </c>
      <c r="C12490" t="str">
        <v>-</v>
      </c>
      <c r="D12490" t="str">
        <v>-</v>
      </c>
      <c r="E12490" t="str">
        <v/>
      </c>
      <c r="F12490" t="str">
        <v>-</v>
      </c>
      <c r="G12490" t="str">
        <v>-</v>
      </c>
    </row>
    <row r="12491">
      <c r="A12491">
        <v>12490</v>
      </c>
      <c r="B12491" t="str">
        <v>UBND Ủy ban nhân dân xã Diễn Thắng  tỉnh Nghệ An</v>
      </c>
      <c r="C12491" t="str">
        <v>-</v>
      </c>
      <c r="D12491" t="str">
        <v>-</v>
      </c>
      <c r="E12491" t="str">
        <v>-</v>
      </c>
      <c r="F12491" t="str">
        <v>-</v>
      </c>
      <c r="G12491" t="str">
        <v>-</v>
      </c>
    </row>
    <row r="12492">
      <c r="A12492">
        <v>12491</v>
      </c>
      <c r="B12492" t="str">
        <v>Công an xã Diễn Thọ  tỉnh Nghệ An</v>
      </c>
      <c r="C12492" t="str">
        <v>-</v>
      </c>
      <c r="D12492" t="str">
        <v>-</v>
      </c>
      <c r="E12492" t="str">
        <v/>
      </c>
      <c r="F12492" t="str">
        <v>-</v>
      </c>
      <c r="G12492" t="str">
        <v>-</v>
      </c>
    </row>
    <row r="12493">
      <c r="A12493">
        <v>12492</v>
      </c>
      <c r="B12493" t="str">
        <v>UBND Ủy ban nhân dân xã Diễn Thọ  tỉnh Nghệ An</v>
      </c>
      <c r="C12493" t="str">
        <v>-</v>
      </c>
      <c r="D12493" t="str">
        <v>-</v>
      </c>
      <c r="E12493" t="str">
        <v>-</v>
      </c>
      <c r="F12493" t="str">
        <v>-</v>
      </c>
      <c r="G12493" t="str">
        <v>-</v>
      </c>
    </row>
    <row r="12494">
      <c r="A12494">
        <v>12493</v>
      </c>
      <c r="B12494" t="str">
        <v>Công an xã Diễn Lợi  tỉnh Nghệ An</v>
      </c>
      <c r="C12494" t="str">
        <v>-</v>
      </c>
      <c r="D12494" t="str">
        <v>-</v>
      </c>
      <c r="E12494" t="str">
        <v/>
      </c>
      <c r="F12494" t="str">
        <v>-</v>
      </c>
      <c r="G12494" t="str">
        <v>-</v>
      </c>
    </row>
    <row r="12495">
      <c r="A12495">
        <v>12494</v>
      </c>
      <c r="B12495" t="str">
        <v>UBND Ủy ban nhân dân xã Diễn Lợi  tỉnh Nghệ An</v>
      </c>
      <c r="C12495" t="str">
        <v>-</v>
      </c>
      <c r="D12495" t="str">
        <v>-</v>
      </c>
      <c r="E12495" t="str">
        <v>-</v>
      </c>
      <c r="F12495" t="str">
        <v>-</v>
      </c>
      <c r="G12495" t="str">
        <v>-</v>
      </c>
    </row>
    <row r="12496">
      <c r="A12496">
        <v>12495</v>
      </c>
      <c r="B12496" t="str">
        <v>Công an xã Diễn Lộc  tỉnh Nghệ An</v>
      </c>
      <c r="C12496" t="str">
        <v>-</v>
      </c>
      <c r="D12496" t="str">
        <v>-</v>
      </c>
      <c r="E12496" t="str">
        <v/>
      </c>
      <c r="F12496" t="str">
        <v>-</v>
      </c>
      <c r="G12496" t="str">
        <v>-</v>
      </c>
    </row>
    <row r="12497">
      <c r="A12497">
        <v>12496</v>
      </c>
      <c r="B12497" t="str">
        <v>UBND Ủy ban nhân dân xã Diễn Lộc  tỉnh Nghệ An</v>
      </c>
      <c r="C12497" t="str">
        <v>-</v>
      </c>
      <c r="D12497" t="str">
        <v>-</v>
      </c>
      <c r="E12497" t="str">
        <v>-</v>
      </c>
      <c r="F12497" t="str">
        <v>-</v>
      </c>
      <c r="G12497" t="str">
        <v>-</v>
      </c>
    </row>
    <row r="12498">
      <c r="A12498">
        <v>12497</v>
      </c>
      <c r="B12498" t="str">
        <v>Công an xã Diễn Trung  tỉnh Nghệ An</v>
      </c>
      <c r="C12498" t="str">
        <v>-</v>
      </c>
      <c r="D12498" t="str">
        <v>-</v>
      </c>
      <c r="E12498" t="str">
        <v/>
      </c>
      <c r="F12498" t="str">
        <v>-</v>
      </c>
      <c r="G12498" t="str">
        <v>-</v>
      </c>
    </row>
    <row r="12499">
      <c r="A12499">
        <v>12498</v>
      </c>
      <c r="B12499" t="str">
        <v>UBND Ủy ban nhân dân xã Diễn Trung  tỉnh Nghệ An</v>
      </c>
      <c r="C12499" t="str">
        <v>-</v>
      </c>
      <c r="D12499" t="str">
        <v>-</v>
      </c>
      <c r="E12499" t="str">
        <v>-</v>
      </c>
      <c r="F12499" t="str">
        <v>-</v>
      </c>
      <c r="G12499" t="str">
        <v>-</v>
      </c>
    </row>
    <row r="12500">
      <c r="A12500">
        <v>12499</v>
      </c>
      <c r="B12500" t="str">
        <v>Công an xã Diễn An  tỉnh Nghệ An</v>
      </c>
      <c r="C12500" t="str">
        <v>-</v>
      </c>
      <c r="D12500" t="str">
        <v>-</v>
      </c>
      <c r="E12500" t="str">
        <v/>
      </c>
      <c r="F12500" t="str">
        <v>-</v>
      </c>
      <c r="G12500" t="str">
        <v>-</v>
      </c>
    </row>
    <row r="12501">
      <c r="A12501">
        <v>12500</v>
      </c>
      <c r="B12501" t="str">
        <v>UBND Ủy ban nhân dân xã Diễn An  tỉnh Nghệ An</v>
      </c>
      <c r="C12501" t="str">
        <v>-</v>
      </c>
      <c r="D12501" t="str">
        <v>-</v>
      </c>
      <c r="E12501" t="str">
        <v>-</v>
      </c>
      <c r="F12501" t="str">
        <v>-</v>
      </c>
      <c r="G12501" t="str">
        <v>-</v>
      </c>
    </row>
    <row r="12502">
      <c r="A12502">
        <v>12501</v>
      </c>
      <c r="B12502" t="str">
        <v>Công an xã Diễn Phú  tỉnh Nghệ An</v>
      </c>
      <c r="C12502" t="str">
        <v>-</v>
      </c>
      <c r="D12502" t="str">
        <v>-</v>
      </c>
      <c r="E12502" t="str">
        <v/>
      </c>
      <c r="F12502" t="str">
        <v>-</v>
      </c>
      <c r="G12502" t="str">
        <v>-</v>
      </c>
    </row>
    <row r="12503">
      <c r="A12503">
        <v>12502</v>
      </c>
      <c r="B12503" t="str">
        <v>UBND Ủy ban nhân dân xã Diễn Phú  tỉnh Nghệ An</v>
      </c>
      <c r="C12503" t="str">
        <v>-</v>
      </c>
      <c r="D12503" t="str">
        <v>-</v>
      </c>
      <c r="E12503" t="str">
        <v>-</v>
      </c>
      <c r="F12503" t="str">
        <v>-</v>
      </c>
      <c r="G12503" t="str">
        <v>-</v>
      </c>
    </row>
    <row r="12504">
      <c r="A12504">
        <v>12503</v>
      </c>
      <c r="B12504" t="str">
        <v>Công an thị trấn Yên Thành  tỉnh Nghệ An</v>
      </c>
      <c r="C12504" t="str">
        <v>-</v>
      </c>
      <c r="D12504" t="str">
        <v>-</v>
      </c>
      <c r="E12504" t="str">
        <v/>
      </c>
      <c r="F12504" t="str">
        <v>-</v>
      </c>
      <c r="G12504" t="str">
        <v>-</v>
      </c>
    </row>
    <row r="12505">
      <c r="A12505">
        <v>12504</v>
      </c>
      <c r="B12505" t="str">
        <v>UBND Ủy ban nhân dân thị trấn Yên Thành  tỉnh Nghệ An</v>
      </c>
      <c r="C12505" t="str">
        <v>-</v>
      </c>
      <c r="D12505" t="str">
        <v>-</v>
      </c>
      <c r="E12505" t="str">
        <v>-</v>
      </c>
      <c r="F12505" t="str">
        <v>-</v>
      </c>
      <c r="G12505" t="str">
        <v>-</v>
      </c>
    </row>
    <row r="12506">
      <c r="A12506">
        <v>12505</v>
      </c>
      <c r="B12506" t="str">
        <v>Công an xã Mã Thành  tỉnh Nghệ An</v>
      </c>
      <c r="C12506" t="str">
        <v>-</v>
      </c>
      <c r="D12506" t="str">
        <v>-</v>
      </c>
      <c r="E12506" t="str">
        <v/>
      </c>
      <c r="F12506" t="str">
        <v>-</v>
      </c>
      <c r="G12506" t="str">
        <v>-</v>
      </c>
    </row>
    <row r="12507">
      <c r="A12507">
        <v>12506</v>
      </c>
      <c r="B12507" t="str">
        <v>UBND Ủy ban nhân dân xã Mã Thành  tỉnh Nghệ An</v>
      </c>
      <c r="C12507" t="str">
        <v>-</v>
      </c>
      <c r="D12507" t="str">
        <v>-</v>
      </c>
      <c r="E12507" t="str">
        <v>-</v>
      </c>
      <c r="F12507" t="str">
        <v>-</v>
      </c>
      <c r="G12507" t="str">
        <v>-</v>
      </c>
    </row>
    <row r="12508">
      <c r="A12508">
        <v>12507</v>
      </c>
      <c r="B12508" t="str">
        <v>Công an xã Tiến Thành  tỉnh Nghệ An</v>
      </c>
      <c r="C12508" t="str">
        <v>-</v>
      </c>
      <c r="D12508" t="str">
        <v>-</v>
      </c>
      <c r="E12508" t="str">
        <v/>
      </c>
      <c r="F12508" t="str">
        <v>-</v>
      </c>
      <c r="G12508" t="str">
        <v>-</v>
      </c>
    </row>
    <row r="12509">
      <c r="A12509">
        <v>12508</v>
      </c>
      <c r="B12509" t="str">
        <v>UBND Ủy ban nhân dân xã Tiến Thành  tỉnh Nghệ An</v>
      </c>
      <c r="C12509" t="str">
        <v>-</v>
      </c>
      <c r="D12509" t="str">
        <v>-</v>
      </c>
      <c r="E12509" t="str">
        <v>-</v>
      </c>
      <c r="F12509" t="str">
        <v>-</v>
      </c>
      <c r="G12509" t="str">
        <v>-</v>
      </c>
    </row>
    <row r="12510">
      <c r="A12510">
        <v>12509</v>
      </c>
      <c r="B12510" t="str">
        <v>Công an xã Lăng Thành  tỉnh Nghệ An</v>
      </c>
      <c r="C12510" t="str">
        <v>-</v>
      </c>
      <c r="D12510" t="str">
        <v>-</v>
      </c>
      <c r="E12510" t="str">
        <v/>
      </c>
      <c r="F12510" t="str">
        <v>-</v>
      </c>
      <c r="G12510" t="str">
        <v>-</v>
      </c>
    </row>
    <row r="12511">
      <c r="A12511">
        <v>12510</v>
      </c>
      <c r="B12511" t="str">
        <v>UBND Ủy ban nhân dân xã Lăng Thành  tỉnh Nghệ An</v>
      </c>
      <c r="C12511" t="str">
        <v>-</v>
      </c>
      <c r="D12511" t="str">
        <v>-</v>
      </c>
      <c r="E12511" t="str">
        <v>-</v>
      </c>
      <c r="F12511" t="str">
        <v>-</v>
      </c>
      <c r="G12511" t="str">
        <v>-</v>
      </c>
    </row>
    <row r="12512">
      <c r="A12512">
        <v>12511</v>
      </c>
      <c r="B12512" t="str">
        <v>Công an xã Tân Thành  tỉnh Nghệ An</v>
      </c>
      <c r="C12512" t="str">
        <v>-</v>
      </c>
      <c r="D12512" t="str">
        <v>-</v>
      </c>
      <c r="E12512" t="str">
        <v/>
      </c>
      <c r="F12512" t="str">
        <v>-</v>
      </c>
      <c r="G12512" t="str">
        <v>-</v>
      </c>
    </row>
    <row r="12513">
      <c r="A12513">
        <v>12512</v>
      </c>
      <c r="B12513" t="str">
        <v>UBND Ủy ban nhân dân xã Tân Thành  tỉnh Nghệ An</v>
      </c>
      <c r="C12513" t="str">
        <v>-</v>
      </c>
      <c r="D12513" t="str">
        <v>-</v>
      </c>
      <c r="E12513" t="str">
        <v>-</v>
      </c>
      <c r="F12513" t="str">
        <v>-</v>
      </c>
      <c r="G12513" t="str">
        <v>-</v>
      </c>
    </row>
    <row r="12514">
      <c r="A12514">
        <v>12513</v>
      </c>
      <c r="B12514" t="str">
        <v>Công an xã Đức Thành  tỉnh Nghệ An</v>
      </c>
      <c r="C12514" t="str">
        <v>-</v>
      </c>
      <c r="D12514" t="str">
        <v>-</v>
      </c>
      <c r="E12514" t="str">
        <v/>
      </c>
      <c r="F12514" t="str">
        <v>-</v>
      </c>
      <c r="G12514" t="str">
        <v>-</v>
      </c>
    </row>
    <row r="12515">
      <c r="A12515">
        <v>12514</v>
      </c>
      <c r="B12515" t="str">
        <v>UBND Ủy ban nhân dân xã Đức Thành  tỉnh Nghệ An</v>
      </c>
      <c r="C12515" t="str">
        <v>-</v>
      </c>
      <c r="D12515" t="str">
        <v>-</v>
      </c>
      <c r="E12515" t="str">
        <v>-</v>
      </c>
      <c r="F12515" t="str">
        <v>-</v>
      </c>
      <c r="G12515" t="str">
        <v>-</v>
      </c>
    </row>
    <row r="12516">
      <c r="A12516">
        <v>12515</v>
      </c>
      <c r="B12516" t="str">
        <v>Công an xã Kim Thành  tỉnh Nghệ An</v>
      </c>
      <c r="C12516" t="str">
        <v>-</v>
      </c>
      <c r="D12516" t="str">
        <v>-</v>
      </c>
      <c r="E12516" t="str">
        <v/>
      </c>
      <c r="F12516" t="str">
        <v>-</v>
      </c>
      <c r="G12516" t="str">
        <v>-</v>
      </c>
    </row>
    <row r="12517">
      <c r="A12517">
        <v>12516</v>
      </c>
      <c r="B12517" t="str">
        <v>UBND Ủy ban nhân dân xã Kim Thành  tỉnh Nghệ An</v>
      </c>
      <c r="C12517" t="str">
        <v>-</v>
      </c>
      <c r="D12517" t="str">
        <v>-</v>
      </c>
      <c r="E12517" t="str">
        <v>-</v>
      </c>
      <c r="F12517" t="str">
        <v>-</v>
      </c>
      <c r="G12517" t="str">
        <v>-</v>
      </c>
    </row>
    <row r="12518">
      <c r="A12518">
        <v>12517</v>
      </c>
      <c r="B12518" t="str">
        <v>Công an xã Hậu Thành  tỉnh Nghệ An</v>
      </c>
      <c r="C12518" t="str">
        <v>-</v>
      </c>
      <c r="D12518" t="str">
        <v>-</v>
      </c>
      <c r="E12518" t="str">
        <v/>
      </c>
      <c r="F12518" t="str">
        <v>-</v>
      </c>
      <c r="G12518" t="str">
        <v>-</v>
      </c>
    </row>
    <row r="12519">
      <c r="A12519">
        <v>12518</v>
      </c>
      <c r="B12519" t="str">
        <v>UBND Ủy ban nhân dân xã Hậu Thành  tỉnh Nghệ An</v>
      </c>
      <c r="C12519" t="str">
        <v>-</v>
      </c>
      <c r="D12519" t="str">
        <v>-</v>
      </c>
      <c r="E12519" t="str">
        <v>-</v>
      </c>
      <c r="F12519" t="str">
        <v>-</v>
      </c>
      <c r="G12519" t="str">
        <v>-</v>
      </c>
    </row>
    <row r="12520">
      <c r="A12520">
        <v>12519</v>
      </c>
      <c r="B12520" t="str">
        <v>Công an xã Hùng Thành  tỉnh Nghệ An</v>
      </c>
      <c r="C12520" t="str">
        <v>-</v>
      </c>
      <c r="D12520" t="str">
        <v>-</v>
      </c>
      <c r="E12520" t="str">
        <v/>
      </c>
      <c r="F12520" t="str">
        <v>-</v>
      </c>
      <c r="G12520" t="str">
        <v>-</v>
      </c>
    </row>
    <row r="12521">
      <c r="A12521">
        <v>12520</v>
      </c>
      <c r="B12521" t="str">
        <v>UBND Ủy ban nhân dân xã Hùng Thành  tỉnh Nghệ An</v>
      </c>
      <c r="C12521" t="str">
        <v>-</v>
      </c>
      <c r="D12521" t="str">
        <v>-</v>
      </c>
      <c r="E12521" t="str">
        <v>-</v>
      </c>
      <c r="F12521" t="str">
        <v>-</v>
      </c>
      <c r="G12521" t="str">
        <v>-</v>
      </c>
    </row>
    <row r="12522">
      <c r="A12522">
        <v>12521</v>
      </c>
      <c r="B12522" t="str">
        <v>Công an xã Đô Thành  tỉnh Nghệ An</v>
      </c>
      <c r="C12522" t="str">
        <v>-</v>
      </c>
      <c r="D12522" t="str">
        <v>-</v>
      </c>
      <c r="E12522" t="str">
        <v/>
      </c>
      <c r="F12522" t="str">
        <v>-</v>
      </c>
      <c r="G12522" t="str">
        <v>-</v>
      </c>
    </row>
    <row r="12523">
      <c r="A12523">
        <v>12522</v>
      </c>
      <c r="B12523" t="str">
        <v>UBND Ủy ban nhân dân xã Đô Thành  tỉnh Nghệ An</v>
      </c>
      <c r="C12523" t="str">
        <v>-</v>
      </c>
      <c r="D12523" t="str">
        <v>-</v>
      </c>
      <c r="E12523" t="str">
        <v>-</v>
      </c>
      <c r="F12523" t="str">
        <v>-</v>
      </c>
      <c r="G12523" t="str">
        <v>-</v>
      </c>
    </row>
    <row r="12524">
      <c r="A12524">
        <v>12523</v>
      </c>
      <c r="B12524" t="str">
        <v>Công an xã Thọ Thành  tỉnh Nghệ An</v>
      </c>
      <c r="C12524" t="str">
        <v>-</v>
      </c>
      <c r="D12524" t="str">
        <v>-</v>
      </c>
      <c r="E12524" t="str">
        <v/>
      </c>
      <c r="F12524" t="str">
        <v>-</v>
      </c>
      <c r="G12524" t="str">
        <v>-</v>
      </c>
    </row>
    <row r="12525">
      <c r="A12525">
        <v>12524</v>
      </c>
      <c r="B12525" t="str">
        <v>UBND Ủy ban nhân dân xã Thọ Thành  tỉnh Nghệ An</v>
      </c>
      <c r="C12525" t="str">
        <v>-</v>
      </c>
      <c r="D12525" t="str">
        <v>-</v>
      </c>
      <c r="E12525" t="str">
        <v>-</v>
      </c>
      <c r="F12525" t="str">
        <v>-</v>
      </c>
      <c r="G12525" t="str">
        <v>-</v>
      </c>
    </row>
    <row r="12526">
      <c r="A12526">
        <v>12525</v>
      </c>
      <c r="B12526" t="str">
        <v>Công an xã Quang Thành  tỉnh Nghệ An</v>
      </c>
      <c r="C12526" t="str">
        <v>-</v>
      </c>
      <c r="D12526" t="str">
        <v>-</v>
      </c>
      <c r="E12526" t="str">
        <v/>
      </c>
      <c r="F12526" t="str">
        <v>-</v>
      </c>
      <c r="G12526" t="str">
        <v>-</v>
      </c>
    </row>
    <row r="12527">
      <c r="A12527">
        <v>12526</v>
      </c>
      <c r="B12527" t="str">
        <v>UBND Ủy ban nhân dân xã Quang Thành  tỉnh Nghệ An</v>
      </c>
      <c r="C12527" t="str">
        <v>-</v>
      </c>
      <c r="D12527" t="str">
        <v>-</v>
      </c>
      <c r="E12527" t="str">
        <v>-</v>
      </c>
      <c r="F12527" t="str">
        <v>-</v>
      </c>
      <c r="G12527" t="str">
        <v>-</v>
      </c>
    </row>
    <row r="12528">
      <c r="A12528">
        <v>12527</v>
      </c>
      <c r="B12528" t="str">
        <v>Công an xã Tây Thành  tỉnh Nghệ An</v>
      </c>
      <c r="C12528" t="str">
        <v>-</v>
      </c>
      <c r="D12528" t="str">
        <v>-</v>
      </c>
      <c r="E12528" t="str">
        <v/>
      </c>
      <c r="F12528" t="str">
        <v>-</v>
      </c>
      <c r="G12528" t="str">
        <v>-</v>
      </c>
    </row>
    <row r="12529">
      <c r="A12529">
        <v>12528</v>
      </c>
      <c r="B12529" t="str">
        <v>UBND Ủy ban nhân dân xã Tây Thành  tỉnh Nghệ An</v>
      </c>
      <c r="C12529" t="str">
        <v>-</v>
      </c>
      <c r="D12529" t="str">
        <v>-</v>
      </c>
      <c r="E12529" t="str">
        <v>-</v>
      </c>
      <c r="F12529" t="str">
        <v>-</v>
      </c>
      <c r="G12529" t="str">
        <v>-</v>
      </c>
    </row>
    <row r="12530">
      <c r="A12530">
        <v>12529</v>
      </c>
      <c r="B12530" t="str">
        <v>Công an xã Phúc Thành  tỉnh Nghệ An</v>
      </c>
      <c r="C12530" t="str">
        <v>-</v>
      </c>
      <c r="D12530" t="str">
        <v>-</v>
      </c>
      <c r="E12530" t="str">
        <v/>
      </c>
      <c r="F12530" t="str">
        <v>-</v>
      </c>
      <c r="G12530" t="str">
        <v>-</v>
      </c>
    </row>
    <row r="12531">
      <c r="A12531">
        <v>12530</v>
      </c>
      <c r="B12531" t="str">
        <v>UBND Ủy ban nhân dân xã Phúc Thành  tỉnh Nghệ An</v>
      </c>
      <c r="C12531" t="str">
        <v>-</v>
      </c>
      <c r="D12531" t="str">
        <v>-</v>
      </c>
      <c r="E12531" t="str">
        <v>-</v>
      </c>
      <c r="F12531" t="str">
        <v>-</v>
      </c>
      <c r="G12531" t="str">
        <v>-</v>
      </c>
    </row>
    <row r="12532">
      <c r="A12532">
        <v>12531</v>
      </c>
      <c r="B12532" t="str">
        <v>Công an xã Hồng Thành  tỉnh Nghệ An</v>
      </c>
      <c r="C12532" t="str">
        <v>-</v>
      </c>
      <c r="D12532" t="str">
        <v>-</v>
      </c>
      <c r="E12532" t="str">
        <v/>
      </c>
      <c r="F12532" t="str">
        <v>-</v>
      </c>
      <c r="G12532" t="str">
        <v>-</v>
      </c>
    </row>
    <row r="12533">
      <c r="A12533">
        <v>12532</v>
      </c>
      <c r="B12533" t="str">
        <v>UBND Ủy ban nhân dân xã Hồng Thành  tỉnh Nghệ An</v>
      </c>
      <c r="C12533" t="str">
        <v>-</v>
      </c>
      <c r="D12533" t="str">
        <v>-</v>
      </c>
      <c r="E12533" t="str">
        <v>-</v>
      </c>
      <c r="F12533" t="str">
        <v>-</v>
      </c>
      <c r="G12533" t="str">
        <v>-</v>
      </c>
    </row>
    <row r="12534">
      <c r="A12534">
        <v>12533</v>
      </c>
      <c r="B12534" t="str">
        <v>Công an xã Đồng Thành  tỉnh Nghệ An</v>
      </c>
      <c r="C12534" t="str">
        <v>-</v>
      </c>
      <c r="D12534" t="str">
        <v>-</v>
      </c>
      <c r="E12534" t="str">
        <v/>
      </c>
      <c r="F12534" t="str">
        <v>-</v>
      </c>
      <c r="G12534" t="str">
        <v>-</v>
      </c>
    </row>
    <row r="12535">
      <c r="A12535">
        <v>12534</v>
      </c>
      <c r="B12535" t="str">
        <v>UBND Ủy ban nhân dân xã Đồng Thành  tỉnh Nghệ An</v>
      </c>
      <c r="C12535" t="str">
        <v>-</v>
      </c>
      <c r="D12535" t="str">
        <v>-</v>
      </c>
      <c r="E12535" t="str">
        <v>-</v>
      </c>
      <c r="F12535" t="str">
        <v>-</v>
      </c>
      <c r="G12535" t="str">
        <v>-</v>
      </c>
    </row>
    <row r="12536">
      <c r="A12536">
        <v>12535</v>
      </c>
      <c r="B12536" t="str">
        <v>Công an xã Phú Thành  tỉnh Nghệ An</v>
      </c>
      <c r="C12536" t="str">
        <v>-</v>
      </c>
      <c r="D12536" t="str">
        <v>-</v>
      </c>
      <c r="E12536" t="str">
        <v/>
      </c>
      <c r="F12536" t="str">
        <v>-</v>
      </c>
      <c r="G12536" t="str">
        <v>-</v>
      </c>
    </row>
    <row r="12537">
      <c r="A12537">
        <v>12536</v>
      </c>
      <c r="B12537" t="str">
        <v>UBND Ủy ban nhân dân xã Phú Thành  tỉnh Nghệ An</v>
      </c>
      <c r="C12537" t="str">
        <v>-</v>
      </c>
      <c r="D12537" t="str">
        <v>-</v>
      </c>
      <c r="E12537" t="str">
        <v>-</v>
      </c>
      <c r="F12537" t="str">
        <v>-</v>
      </c>
      <c r="G12537" t="str">
        <v>-</v>
      </c>
    </row>
    <row r="12538">
      <c r="A12538">
        <v>12537</v>
      </c>
      <c r="B12538" t="str">
        <v>Công an xã Hoa Thành  tỉnh Nghệ An</v>
      </c>
      <c r="C12538" t="str">
        <v>-</v>
      </c>
      <c r="D12538" t="str">
        <v>-</v>
      </c>
      <c r="E12538" t="str">
        <v/>
      </c>
      <c r="F12538" t="str">
        <v>-</v>
      </c>
      <c r="G12538" t="str">
        <v>-</v>
      </c>
    </row>
    <row r="12539">
      <c r="A12539">
        <v>12538</v>
      </c>
      <c r="B12539" t="str">
        <v>UBND Ủy ban nhân dân xã Hoa Thành  tỉnh Nghệ An</v>
      </c>
      <c r="C12539" t="str">
        <v>-</v>
      </c>
      <c r="D12539" t="str">
        <v>-</v>
      </c>
      <c r="E12539" t="str">
        <v>-</v>
      </c>
      <c r="F12539" t="str">
        <v>-</v>
      </c>
      <c r="G12539" t="str">
        <v>-</v>
      </c>
    </row>
    <row r="12540">
      <c r="A12540">
        <v>12539</v>
      </c>
      <c r="B12540" t="str">
        <v>Công an xã Tăng Thành  tỉnh Nghệ An</v>
      </c>
      <c r="C12540" t="str">
        <v>-</v>
      </c>
      <c r="D12540" t="str">
        <v>-</v>
      </c>
      <c r="E12540" t="str">
        <v/>
      </c>
      <c r="F12540" t="str">
        <v>-</v>
      </c>
      <c r="G12540" t="str">
        <v>-</v>
      </c>
    </row>
    <row r="12541">
      <c r="A12541">
        <v>12540</v>
      </c>
      <c r="B12541" t="str">
        <v>UBND Ủy ban nhân dân xã Tăng Thành  tỉnh Nghệ An</v>
      </c>
      <c r="C12541" t="str">
        <v>-</v>
      </c>
      <c r="D12541" t="str">
        <v>-</v>
      </c>
      <c r="E12541" t="str">
        <v>-</v>
      </c>
      <c r="F12541" t="str">
        <v>-</v>
      </c>
      <c r="G12541" t="str">
        <v>-</v>
      </c>
    </row>
    <row r="12542">
      <c r="A12542">
        <v>12541</v>
      </c>
      <c r="B12542" t="str">
        <v>Công an xã Văn Thành  tỉnh Nghệ An</v>
      </c>
      <c r="C12542" t="str">
        <v>-</v>
      </c>
      <c r="D12542" t="str">
        <v>-</v>
      </c>
      <c r="E12542" t="str">
        <v/>
      </c>
      <c r="F12542" t="str">
        <v>-</v>
      </c>
      <c r="G12542" t="str">
        <v>-</v>
      </c>
    </row>
    <row r="12543">
      <c r="A12543">
        <v>12542</v>
      </c>
      <c r="B12543" t="str">
        <v>UBND Ủy ban nhân dân xã Văn Thành  tỉnh Nghệ An</v>
      </c>
      <c r="C12543" t="str">
        <v>-</v>
      </c>
      <c r="D12543" t="str">
        <v>-</v>
      </c>
      <c r="E12543" t="str">
        <v>-</v>
      </c>
      <c r="F12543" t="str">
        <v>-</v>
      </c>
      <c r="G12543" t="str">
        <v>-</v>
      </c>
    </row>
    <row r="12544">
      <c r="A12544">
        <v>12543</v>
      </c>
      <c r="B12544" t="str">
        <v>Công an xã Thịnh Thành  tỉnh Nghệ An</v>
      </c>
      <c r="C12544" t="str">
        <v>-</v>
      </c>
      <c r="D12544" t="str">
        <v>-</v>
      </c>
      <c r="E12544" t="str">
        <v/>
      </c>
      <c r="F12544" t="str">
        <v>-</v>
      </c>
      <c r="G12544" t="str">
        <v>-</v>
      </c>
    </row>
    <row r="12545">
      <c r="A12545">
        <v>12544</v>
      </c>
      <c r="B12545" t="str">
        <v>UBND Ủy ban nhân dân xã Thịnh Thành  tỉnh Nghệ An</v>
      </c>
      <c r="C12545" t="str">
        <v>-</v>
      </c>
      <c r="D12545" t="str">
        <v>-</v>
      </c>
      <c r="E12545" t="str">
        <v>-</v>
      </c>
      <c r="F12545" t="str">
        <v>-</v>
      </c>
      <c r="G12545" t="str">
        <v>-</v>
      </c>
    </row>
    <row r="12546">
      <c r="A12546">
        <v>12545</v>
      </c>
      <c r="B12546" t="str">
        <v>Công an xã Hợp Thành  tỉnh Nghệ An</v>
      </c>
      <c r="C12546" t="str">
        <v>-</v>
      </c>
      <c r="D12546" t="str">
        <v>-</v>
      </c>
      <c r="E12546" t="str">
        <v/>
      </c>
      <c r="F12546" t="str">
        <v>-</v>
      </c>
      <c r="G12546" t="str">
        <v>-</v>
      </c>
    </row>
    <row r="12547">
      <c r="A12547">
        <v>12546</v>
      </c>
      <c r="B12547" t="str">
        <v>UBND Ủy ban nhân dân xã Hợp Thành  tỉnh Nghệ An</v>
      </c>
      <c r="C12547" t="str">
        <v>-</v>
      </c>
      <c r="D12547" t="str">
        <v>-</v>
      </c>
      <c r="E12547" t="str">
        <v>-</v>
      </c>
      <c r="F12547" t="str">
        <v>-</v>
      </c>
      <c r="G12547" t="str">
        <v>-</v>
      </c>
    </row>
    <row r="12548">
      <c r="A12548">
        <v>12547</v>
      </c>
      <c r="B12548" t="str">
        <v>Công an xã Xuân Thành  tỉnh Nghệ An</v>
      </c>
      <c r="C12548" t="str">
        <v>-</v>
      </c>
      <c r="D12548" t="str">
        <v>-</v>
      </c>
      <c r="E12548" t="str">
        <v/>
      </c>
      <c r="F12548" t="str">
        <v>-</v>
      </c>
      <c r="G12548" t="str">
        <v>-</v>
      </c>
    </row>
    <row r="12549">
      <c r="A12549">
        <v>12548</v>
      </c>
      <c r="B12549" t="str">
        <v>UBND Ủy ban nhân dân xã Xuân Thành  tỉnh Nghệ An</v>
      </c>
      <c r="C12549" t="str">
        <v>-</v>
      </c>
      <c r="D12549" t="str">
        <v>-</v>
      </c>
      <c r="E12549" t="str">
        <v>-</v>
      </c>
      <c r="F12549" t="str">
        <v>-</v>
      </c>
      <c r="G12549" t="str">
        <v>-</v>
      </c>
    </row>
    <row r="12550">
      <c r="A12550">
        <v>12549</v>
      </c>
      <c r="B12550" t="str">
        <v>Công an xã Bắc Thành  tỉnh Nghệ An</v>
      </c>
      <c r="C12550" t="str">
        <v>-</v>
      </c>
      <c r="D12550" t="str">
        <v>-</v>
      </c>
      <c r="E12550" t="str">
        <v/>
      </c>
      <c r="F12550" t="str">
        <v>-</v>
      </c>
      <c r="G12550" t="str">
        <v>-</v>
      </c>
    </row>
    <row r="12551">
      <c r="A12551">
        <v>12550</v>
      </c>
      <c r="B12551" t="str">
        <v>UBND Ủy ban nhân dân xã Bắc Thành  tỉnh Nghệ An</v>
      </c>
      <c r="C12551" t="str">
        <v>-</v>
      </c>
      <c r="D12551" t="str">
        <v>-</v>
      </c>
      <c r="E12551" t="str">
        <v>-</v>
      </c>
      <c r="F12551" t="str">
        <v>-</v>
      </c>
      <c r="G12551" t="str">
        <v>-</v>
      </c>
    </row>
    <row r="12552">
      <c r="A12552">
        <v>12551</v>
      </c>
      <c r="B12552" t="str">
        <v>Công an xã Nhân Thành  tỉnh Nghệ An</v>
      </c>
      <c r="C12552" t="str">
        <v>-</v>
      </c>
      <c r="D12552" t="str">
        <v>-</v>
      </c>
      <c r="E12552" t="str">
        <v/>
      </c>
      <c r="F12552" t="str">
        <v>-</v>
      </c>
      <c r="G12552" t="str">
        <v>-</v>
      </c>
    </row>
    <row r="12553">
      <c r="A12553">
        <v>12552</v>
      </c>
      <c r="B12553" t="str">
        <v>UBND Ủy ban nhân dân xã Nhân Thành  tỉnh Nghệ An</v>
      </c>
      <c r="C12553" t="str">
        <v>-</v>
      </c>
      <c r="D12553" t="str">
        <v>-</v>
      </c>
      <c r="E12553" t="str">
        <v>-</v>
      </c>
      <c r="F12553" t="str">
        <v>-</v>
      </c>
      <c r="G12553" t="str">
        <v>-</v>
      </c>
    </row>
    <row r="12554">
      <c r="A12554">
        <v>12553</v>
      </c>
      <c r="B12554" t="str">
        <v>Công an xã Trung Thành  tỉnh Nghệ An</v>
      </c>
      <c r="C12554" t="str">
        <v>-</v>
      </c>
      <c r="D12554" t="str">
        <v>-</v>
      </c>
      <c r="E12554" t="str">
        <v/>
      </c>
      <c r="F12554" t="str">
        <v>-</v>
      </c>
      <c r="G12554" t="str">
        <v>-</v>
      </c>
    </row>
    <row r="12555">
      <c r="A12555">
        <v>12554</v>
      </c>
      <c r="B12555" t="str">
        <v>UBND Ủy ban nhân dân xã Trung Thành  tỉnh Nghệ An</v>
      </c>
      <c r="C12555" t="str">
        <v>-</v>
      </c>
      <c r="D12555" t="str">
        <v>-</v>
      </c>
      <c r="E12555" t="str">
        <v>-</v>
      </c>
      <c r="F12555" t="str">
        <v>-</v>
      </c>
      <c r="G12555" t="str">
        <v>-</v>
      </c>
    </row>
    <row r="12556">
      <c r="A12556">
        <v>12555</v>
      </c>
      <c r="B12556" t="str">
        <v>Công an xã Long Thành  tỉnh Nghệ An</v>
      </c>
      <c r="C12556" t="str">
        <v>-</v>
      </c>
      <c r="D12556" t="str">
        <v>-</v>
      </c>
      <c r="E12556" t="str">
        <v/>
      </c>
      <c r="F12556" t="str">
        <v>-</v>
      </c>
      <c r="G12556" t="str">
        <v>-</v>
      </c>
    </row>
    <row r="12557">
      <c r="A12557">
        <v>12556</v>
      </c>
      <c r="B12557" t="str">
        <v>UBND Ủy ban nhân dân xã Long Thành  tỉnh Nghệ An</v>
      </c>
      <c r="C12557" t="str">
        <v>-</v>
      </c>
      <c r="D12557" t="str">
        <v>-</v>
      </c>
      <c r="E12557" t="str">
        <v>-</v>
      </c>
      <c r="F12557" t="str">
        <v>-</v>
      </c>
      <c r="G12557" t="str">
        <v>-</v>
      </c>
    </row>
    <row r="12558">
      <c r="A12558">
        <v>12557</v>
      </c>
      <c r="B12558" t="str">
        <v>Công an xã Minh Thành  tỉnh Nghệ An</v>
      </c>
      <c r="C12558" t="str">
        <v>-</v>
      </c>
      <c r="D12558" t="str">
        <v>-</v>
      </c>
      <c r="E12558" t="str">
        <v/>
      </c>
      <c r="F12558" t="str">
        <v>-</v>
      </c>
      <c r="G12558" t="str">
        <v>-</v>
      </c>
    </row>
    <row r="12559">
      <c r="A12559">
        <v>12558</v>
      </c>
      <c r="B12559" t="str">
        <v>UBND Ủy ban nhân dân xã Minh Thành  tỉnh Nghệ An</v>
      </c>
      <c r="C12559" t="str">
        <v>-</v>
      </c>
      <c r="D12559" t="str">
        <v>-</v>
      </c>
      <c r="E12559" t="str">
        <v>-</v>
      </c>
      <c r="F12559" t="str">
        <v>-</v>
      </c>
      <c r="G12559" t="str">
        <v>-</v>
      </c>
    </row>
    <row r="12560">
      <c r="A12560">
        <v>12559</v>
      </c>
      <c r="B12560" t="str">
        <v>Công an xã Nam Thành  tỉnh Nghệ An</v>
      </c>
      <c r="C12560" t="str">
        <v>-</v>
      </c>
      <c r="D12560" t="str">
        <v>-</v>
      </c>
      <c r="E12560" t="str">
        <v/>
      </c>
      <c r="F12560" t="str">
        <v>-</v>
      </c>
      <c r="G12560" t="str">
        <v>-</v>
      </c>
    </row>
    <row r="12561">
      <c r="A12561">
        <v>12560</v>
      </c>
      <c r="B12561" t="str">
        <v>UBND Ủy ban nhân dân xã Nam Thành  tỉnh Nghệ An</v>
      </c>
      <c r="C12561" t="str">
        <v>-</v>
      </c>
      <c r="D12561" t="str">
        <v>-</v>
      </c>
      <c r="E12561" t="str">
        <v>-</v>
      </c>
      <c r="F12561" t="str">
        <v>-</v>
      </c>
      <c r="G12561" t="str">
        <v>-</v>
      </c>
    </row>
    <row r="12562">
      <c r="A12562">
        <v>12561</v>
      </c>
      <c r="B12562" t="str">
        <v>Công an xã Vĩnh Thành  tỉnh Nghệ An</v>
      </c>
      <c r="C12562" t="str">
        <v>-</v>
      </c>
      <c r="D12562" t="str">
        <v>-</v>
      </c>
      <c r="E12562" t="str">
        <v/>
      </c>
      <c r="F12562" t="str">
        <v>-</v>
      </c>
      <c r="G12562" t="str">
        <v>-</v>
      </c>
    </row>
    <row r="12563">
      <c r="A12563">
        <v>12562</v>
      </c>
      <c r="B12563" t="str">
        <v>UBND Ủy ban nhân dân xã Vĩnh Thành  tỉnh Nghệ An</v>
      </c>
      <c r="C12563" t="str">
        <v>-</v>
      </c>
      <c r="D12563" t="str">
        <v>-</v>
      </c>
      <c r="E12563" t="str">
        <v>-</v>
      </c>
      <c r="F12563" t="str">
        <v>-</v>
      </c>
      <c r="G12563" t="str">
        <v>-</v>
      </c>
    </row>
    <row r="12564">
      <c r="A12564">
        <v>12563</v>
      </c>
      <c r="B12564" t="str">
        <v>Công an xã Lý Thành  tỉnh Nghệ An</v>
      </c>
      <c r="C12564" t="str">
        <v>-</v>
      </c>
      <c r="D12564" t="str">
        <v>-</v>
      </c>
      <c r="E12564" t="str">
        <v/>
      </c>
      <c r="F12564" t="str">
        <v>-</v>
      </c>
      <c r="G12564" t="str">
        <v>-</v>
      </c>
    </row>
    <row r="12565">
      <c r="A12565">
        <v>12564</v>
      </c>
      <c r="B12565" t="str">
        <v>UBND Ủy ban nhân dân xã Lý Thành  tỉnh Nghệ An</v>
      </c>
      <c r="C12565" t="str">
        <v>-</v>
      </c>
      <c r="D12565" t="str">
        <v>-</v>
      </c>
      <c r="E12565" t="str">
        <v>-</v>
      </c>
      <c r="F12565" t="str">
        <v>-</v>
      </c>
      <c r="G12565" t="str">
        <v>-</v>
      </c>
    </row>
    <row r="12566">
      <c r="A12566">
        <v>12565</v>
      </c>
      <c r="B12566" t="str">
        <v>Công an xã Khánh Thành  tỉnh Nghệ An</v>
      </c>
      <c r="C12566" t="str">
        <v>-</v>
      </c>
      <c r="D12566" t="str">
        <v>-</v>
      </c>
      <c r="E12566" t="str">
        <v/>
      </c>
      <c r="F12566" t="str">
        <v>-</v>
      </c>
      <c r="G12566" t="str">
        <v>-</v>
      </c>
    </row>
    <row r="12567">
      <c r="A12567">
        <v>12566</v>
      </c>
      <c r="B12567" t="str">
        <v>UBND Ủy ban nhân dân xã Khánh Thành  tỉnh Nghệ An</v>
      </c>
      <c r="C12567" t="str">
        <v>-</v>
      </c>
      <c r="D12567" t="str">
        <v>-</v>
      </c>
      <c r="E12567" t="str">
        <v>-</v>
      </c>
      <c r="F12567" t="str">
        <v>-</v>
      </c>
      <c r="G12567" t="str">
        <v>-</v>
      </c>
    </row>
    <row r="12568">
      <c r="A12568">
        <v>12567</v>
      </c>
      <c r="B12568" t="str">
        <v>Công an xã Viên Thành  tỉnh Nghệ An</v>
      </c>
      <c r="C12568" t="str">
        <v>-</v>
      </c>
      <c r="D12568" t="str">
        <v>-</v>
      </c>
      <c r="E12568" t="str">
        <v/>
      </c>
      <c r="F12568" t="str">
        <v>-</v>
      </c>
      <c r="G12568" t="str">
        <v>-</v>
      </c>
    </row>
    <row r="12569">
      <c r="A12569">
        <v>12568</v>
      </c>
      <c r="B12569" t="str">
        <v>UBND Ủy ban nhân dân xã Viên Thành  tỉnh Nghệ An</v>
      </c>
      <c r="C12569" t="str">
        <v>-</v>
      </c>
      <c r="D12569" t="str">
        <v>-</v>
      </c>
      <c r="E12569" t="str">
        <v>-</v>
      </c>
      <c r="F12569" t="str">
        <v>-</v>
      </c>
      <c r="G12569" t="str">
        <v>-</v>
      </c>
    </row>
    <row r="12570">
      <c r="A12570">
        <v>12569</v>
      </c>
      <c r="B12570" t="str">
        <v>Công an xã Đại Thành  tỉnh Nghệ An</v>
      </c>
      <c r="C12570" t="str">
        <v>-</v>
      </c>
      <c r="D12570" t="str">
        <v>-</v>
      </c>
      <c r="E12570" t="str">
        <v/>
      </c>
      <c r="F12570" t="str">
        <v>-</v>
      </c>
      <c r="G12570" t="str">
        <v>-</v>
      </c>
    </row>
    <row r="12571">
      <c r="A12571">
        <v>12570</v>
      </c>
      <c r="B12571" t="str">
        <v>UBND Ủy ban nhân dân xã Đại Thành  tỉnh Nghệ An</v>
      </c>
      <c r="C12571" t="str">
        <v>-</v>
      </c>
      <c r="D12571" t="str">
        <v>-</v>
      </c>
      <c r="E12571" t="str">
        <v>-</v>
      </c>
      <c r="F12571" t="str">
        <v>-</v>
      </c>
      <c r="G12571" t="str">
        <v>-</v>
      </c>
    </row>
    <row r="12572">
      <c r="A12572">
        <v>12571</v>
      </c>
      <c r="B12572" t="str">
        <v>Công an xã Liên Thành  tỉnh Nghệ An</v>
      </c>
      <c r="C12572" t="str">
        <v>-</v>
      </c>
      <c r="D12572" t="str">
        <v>-</v>
      </c>
      <c r="E12572" t="str">
        <v/>
      </c>
      <c r="F12572" t="str">
        <v>-</v>
      </c>
      <c r="G12572" t="str">
        <v>-</v>
      </c>
    </row>
    <row r="12573">
      <c r="A12573">
        <v>12572</v>
      </c>
      <c r="B12573" t="str">
        <v>UBND Ủy ban nhân dân xã Liên Thành  tỉnh Nghệ An</v>
      </c>
      <c r="C12573" t="str">
        <v>-</v>
      </c>
      <c r="D12573" t="str">
        <v>-</v>
      </c>
      <c r="E12573" t="str">
        <v>-</v>
      </c>
      <c r="F12573" t="str">
        <v>-</v>
      </c>
      <c r="G12573" t="str">
        <v>-</v>
      </c>
    </row>
    <row r="12574">
      <c r="A12574">
        <v>12573</v>
      </c>
      <c r="B12574" t="str">
        <v>Công an xã Bảo Thành  tỉnh Nghệ An</v>
      </c>
      <c r="C12574" t="str">
        <v>-</v>
      </c>
      <c r="D12574" t="str">
        <v>-</v>
      </c>
      <c r="E12574" t="str">
        <v/>
      </c>
      <c r="F12574" t="str">
        <v>-</v>
      </c>
      <c r="G12574" t="str">
        <v>-</v>
      </c>
    </row>
    <row r="12575">
      <c r="A12575">
        <v>12574</v>
      </c>
      <c r="B12575" t="str">
        <v>UBND Ủy ban nhân dân xã Bảo Thành  tỉnh Nghệ An</v>
      </c>
      <c r="C12575" t="str">
        <v>-</v>
      </c>
      <c r="D12575" t="str">
        <v>-</v>
      </c>
      <c r="E12575" t="str">
        <v>-</v>
      </c>
      <c r="F12575" t="str">
        <v>-</v>
      </c>
      <c r="G12575" t="str">
        <v>-</v>
      </c>
    </row>
    <row r="12576">
      <c r="A12576">
        <v>12575</v>
      </c>
      <c r="B12576" t="str">
        <v>Công an xã Mỹ Thành  tỉnh Nghệ An</v>
      </c>
      <c r="C12576" t="str">
        <v>-</v>
      </c>
      <c r="D12576" t="str">
        <v>-</v>
      </c>
      <c r="E12576" t="str">
        <v/>
      </c>
      <c r="F12576" t="str">
        <v>-</v>
      </c>
      <c r="G12576" t="str">
        <v>-</v>
      </c>
    </row>
    <row r="12577">
      <c r="A12577">
        <v>12576</v>
      </c>
      <c r="B12577" t="str">
        <v>UBND Ủy ban nhân dân xã Mỹ Thành  tỉnh Nghệ An</v>
      </c>
      <c r="C12577" t="str">
        <v>-</v>
      </c>
      <c r="D12577" t="str">
        <v>-</v>
      </c>
      <c r="E12577" t="str">
        <v>-</v>
      </c>
      <c r="F12577" t="str">
        <v>-</v>
      </c>
      <c r="G12577" t="str">
        <v>-</v>
      </c>
    </row>
    <row r="12578">
      <c r="A12578">
        <v>12577</v>
      </c>
      <c r="B12578" t="str">
        <v>Công an xã Công Thành  tỉnh Nghệ An</v>
      </c>
      <c r="C12578" t="str">
        <v>-</v>
      </c>
      <c r="D12578" t="str">
        <v>-</v>
      </c>
      <c r="E12578" t="str">
        <v/>
      </c>
      <c r="F12578" t="str">
        <v>-</v>
      </c>
      <c r="G12578" t="str">
        <v>-</v>
      </c>
    </row>
    <row r="12579">
      <c r="A12579">
        <v>12578</v>
      </c>
      <c r="B12579" t="str">
        <v>UBND Ủy ban nhân dân xã Công Thành  tỉnh Nghệ An</v>
      </c>
      <c r="C12579" t="str">
        <v>-</v>
      </c>
      <c r="D12579" t="str">
        <v>-</v>
      </c>
      <c r="E12579" t="str">
        <v>-</v>
      </c>
      <c r="F12579" t="str">
        <v>-</v>
      </c>
      <c r="G12579" t="str">
        <v>-</v>
      </c>
    </row>
    <row r="12580">
      <c r="A12580">
        <v>12579</v>
      </c>
      <c r="B12580" t="str">
        <v>Công an xã Sơn Thành  tỉnh Nghệ An</v>
      </c>
      <c r="C12580" t="str">
        <v>-</v>
      </c>
      <c r="D12580" t="str">
        <v>-</v>
      </c>
      <c r="E12580" t="str">
        <v/>
      </c>
      <c r="F12580" t="str">
        <v>-</v>
      </c>
      <c r="G12580" t="str">
        <v>-</v>
      </c>
    </row>
    <row r="12581">
      <c r="A12581">
        <v>12580</v>
      </c>
      <c r="B12581" t="str">
        <v>UBND Ủy ban nhân dân xã Sơn Thành  tỉnh Nghệ An</v>
      </c>
      <c r="C12581" t="str">
        <v>-</v>
      </c>
      <c r="D12581" t="str">
        <v>-</v>
      </c>
      <c r="E12581" t="str">
        <v>-</v>
      </c>
      <c r="F12581" t="str">
        <v>-</v>
      </c>
      <c r="G12581" t="str">
        <v>-</v>
      </c>
    </row>
    <row r="12582">
      <c r="A12582">
        <v>12581</v>
      </c>
      <c r="B12582" t="str">
        <v>Công an thị trấn Đô Lương  tỉnh Nghệ An</v>
      </c>
      <c r="C12582" t="str">
        <v>-</v>
      </c>
      <c r="D12582" t="str">
        <v>-</v>
      </c>
      <c r="E12582" t="str">
        <v/>
      </c>
      <c r="F12582" t="str">
        <v>-</v>
      </c>
      <c r="G12582" t="str">
        <v>-</v>
      </c>
    </row>
    <row r="12583">
      <c r="A12583">
        <v>12582</v>
      </c>
      <c r="B12583" t="str">
        <v>UBND Ủy ban nhân dân thị trấn Đô Lương  tỉnh Nghệ An</v>
      </c>
      <c r="C12583" t="str">
        <v>-</v>
      </c>
      <c r="D12583" t="str">
        <v>-</v>
      </c>
      <c r="E12583" t="str">
        <v>-</v>
      </c>
      <c r="F12583" t="str">
        <v>-</v>
      </c>
      <c r="G12583" t="str">
        <v>-</v>
      </c>
    </row>
    <row r="12584">
      <c r="A12584">
        <v>12583</v>
      </c>
      <c r="B12584" t="str">
        <v>Công an xã Giang Sơn Đông  tỉnh Nghệ An</v>
      </c>
      <c r="C12584" t="str">
        <v>-</v>
      </c>
      <c r="D12584" t="str">
        <v>-</v>
      </c>
      <c r="E12584" t="str">
        <v/>
      </c>
      <c r="F12584" t="str">
        <v>-</v>
      </c>
      <c r="G12584" t="str">
        <v>-</v>
      </c>
    </row>
    <row r="12585">
      <c r="A12585">
        <v>12584</v>
      </c>
      <c r="B12585" t="str">
        <v>UBND Ủy ban nhân dân xã Giang Sơn Đông  tỉnh Nghệ An</v>
      </c>
      <c r="C12585" t="str">
        <v>-</v>
      </c>
      <c r="D12585" t="str">
        <v>-</v>
      </c>
      <c r="E12585" t="str">
        <v>-</v>
      </c>
      <c r="F12585" t="str">
        <v>-</v>
      </c>
      <c r="G12585" t="str">
        <v>-</v>
      </c>
    </row>
    <row r="12586">
      <c r="A12586">
        <v>12585</v>
      </c>
      <c r="B12586" t="str">
        <v>Công an xã Giang Sơn Tây  tỉnh Nghệ An</v>
      </c>
      <c r="C12586" t="str">
        <v>-</v>
      </c>
      <c r="D12586" t="str">
        <v>-</v>
      </c>
      <c r="E12586" t="str">
        <v/>
      </c>
      <c r="F12586" t="str">
        <v>-</v>
      </c>
      <c r="G12586" t="str">
        <v>-</v>
      </c>
    </row>
    <row r="12587">
      <c r="A12587">
        <v>12586</v>
      </c>
      <c r="B12587" t="str">
        <v>UBND Ủy ban nhân dân xã Giang Sơn Tây  tỉnh Nghệ An</v>
      </c>
      <c r="C12587" t="str">
        <v>-</v>
      </c>
      <c r="D12587" t="str">
        <v>-</v>
      </c>
      <c r="E12587" t="str">
        <v>-</v>
      </c>
      <c r="F12587" t="str">
        <v>-</v>
      </c>
      <c r="G12587" t="str">
        <v>-</v>
      </c>
    </row>
    <row r="12588">
      <c r="A12588">
        <v>12587</v>
      </c>
      <c r="B12588" t="str">
        <v>Công an xã Lam Sơn  tỉnh Nghệ An</v>
      </c>
      <c r="C12588" t="str">
        <v>-</v>
      </c>
      <c r="D12588" t="str">
        <v>-</v>
      </c>
      <c r="E12588" t="str">
        <v/>
      </c>
      <c r="F12588" t="str">
        <v>-</v>
      </c>
      <c r="G12588" t="str">
        <v>-</v>
      </c>
    </row>
    <row r="12589">
      <c r="A12589">
        <v>12588</v>
      </c>
      <c r="B12589" t="str">
        <v>UBND Ủy ban nhân dân xã Lam Sơn  tỉnh Nghệ An</v>
      </c>
      <c r="C12589" t="str">
        <v>-</v>
      </c>
      <c r="D12589" t="str">
        <v>-</v>
      </c>
      <c r="E12589" t="str">
        <v>-</v>
      </c>
      <c r="F12589" t="str">
        <v>-</v>
      </c>
      <c r="G12589" t="str">
        <v>-</v>
      </c>
    </row>
    <row r="12590">
      <c r="A12590">
        <v>12589</v>
      </c>
      <c r="B12590" t="str">
        <v>Công an xã Bồi Sơn  tỉnh Nghệ An</v>
      </c>
      <c r="C12590" t="str">
        <v>-</v>
      </c>
      <c r="D12590" t="str">
        <v>-</v>
      </c>
      <c r="E12590" t="str">
        <v/>
      </c>
      <c r="F12590" t="str">
        <v>-</v>
      </c>
      <c r="G12590" t="str">
        <v>-</v>
      </c>
    </row>
    <row r="12591">
      <c r="A12591">
        <v>12590</v>
      </c>
      <c r="B12591" t="str">
        <v>UBND Ủy ban nhân dân xã Bồi Sơn  tỉnh Nghệ An</v>
      </c>
      <c r="C12591" t="str">
        <v>-</v>
      </c>
      <c r="D12591" t="str">
        <v>-</v>
      </c>
      <c r="E12591" t="str">
        <v>-</v>
      </c>
      <c r="F12591" t="str">
        <v>-</v>
      </c>
      <c r="G12591" t="str">
        <v>-</v>
      </c>
    </row>
    <row r="12592">
      <c r="A12592">
        <v>12591</v>
      </c>
      <c r="B12592" t="str">
        <v>Công an xã Hồng Sơn  tỉnh Nghệ An</v>
      </c>
      <c r="C12592" t="str">
        <v>-</v>
      </c>
      <c r="D12592" t="str">
        <v>-</v>
      </c>
      <c r="E12592" t="str">
        <v/>
      </c>
      <c r="F12592" t="str">
        <v>-</v>
      </c>
      <c r="G12592" t="str">
        <v>-</v>
      </c>
    </row>
    <row r="12593">
      <c r="A12593">
        <v>12592</v>
      </c>
      <c r="B12593" t="str">
        <v>UBND Ủy ban nhân dân xã Hồng Sơn  tỉnh Nghệ An</v>
      </c>
      <c r="C12593" t="str">
        <v>-</v>
      </c>
      <c r="D12593" t="str">
        <v>-</v>
      </c>
      <c r="E12593" t="str">
        <v>-</v>
      </c>
      <c r="F12593" t="str">
        <v>-</v>
      </c>
      <c r="G12593" t="str">
        <v>-</v>
      </c>
    </row>
    <row r="12594">
      <c r="A12594">
        <v>12593</v>
      </c>
      <c r="B12594" t="str">
        <v>Công an xã Bài Sơn  tỉnh Nghệ An</v>
      </c>
      <c r="C12594" t="str">
        <v>-</v>
      </c>
      <c r="D12594" t="str">
        <v>-</v>
      </c>
      <c r="E12594" t="str">
        <v/>
      </c>
      <c r="F12594" t="str">
        <v>-</v>
      </c>
      <c r="G12594" t="str">
        <v>-</v>
      </c>
    </row>
    <row r="12595">
      <c r="A12595">
        <v>12594</v>
      </c>
      <c r="B12595" t="str">
        <v>UBND Ủy ban nhân dân xã Bài Sơn  tỉnh Nghệ An</v>
      </c>
      <c r="C12595" t="str">
        <v>-</v>
      </c>
      <c r="D12595" t="str">
        <v>-</v>
      </c>
      <c r="E12595" t="str">
        <v>-</v>
      </c>
      <c r="F12595" t="str">
        <v>-</v>
      </c>
      <c r="G12595" t="str">
        <v>-</v>
      </c>
    </row>
    <row r="12596">
      <c r="A12596">
        <v>12595</v>
      </c>
      <c r="B12596" t="str">
        <v>Công an xã Ngọc Sơn  tỉnh Nghệ An</v>
      </c>
      <c r="C12596" t="str">
        <v>-</v>
      </c>
      <c r="D12596" t="str">
        <v>-</v>
      </c>
      <c r="E12596" t="str">
        <v/>
      </c>
      <c r="F12596" t="str">
        <v>-</v>
      </c>
      <c r="G12596" t="str">
        <v>-</v>
      </c>
    </row>
    <row r="12597">
      <c r="A12597">
        <v>12596</v>
      </c>
      <c r="B12597" t="str">
        <v>UBND Ủy ban nhân dân xã Ngọc Sơn  tỉnh Nghệ An</v>
      </c>
      <c r="C12597" t="str">
        <v>-</v>
      </c>
      <c r="D12597" t="str">
        <v>-</v>
      </c>
      <c r="E12597" t="str">
        <v>-</v>
      </c>
      <c r="F12597" t="str">
        <v>-</v>
      </c>
      <c r="G12597" t="str">
        <v>-</v>
      </c>
    </row>
    <row r="12598">
      <c r="A12598">
        <v>12597</v>
      </c>
      <c r="B12598" t="str">
        <v>Công an xã Bắc Sơn  tỉnh Nghệ An</v>
      </c>
      <c r="C12598" t="str">
        <v>-</v>
      </c>
      <c r="D12598" t="str">
        <v>-</v>
      </c>
      <c r="E12598" t="str">
        <v/>
      </c>
      <c r="F12598" t="str">
        <v>-</v>
      </c>
      <c r="G12598" t="str">
        <v>-</v>
      </c>
    </row>
    <row r="12599">
      <c r="A12599">
        <v>12598</v>
      </c>
      <c r="B12599" t="str">
        <v>UBND Ủy ban nhân dân xã Bắc Sơn  tỉnh Nghệ An</v>
      </c>
      <c r="C12599" t="str">
        <v>-</v>
      </c>
      <c r="D12599" t="str">
        <v>-</v>
      </c>
      <c r="E12599" t="str">
        <v>-</v>
      </c>
      <c r="F12599" t="str">
        <v>-</v>
      </c>
      <c r="G12599" t="str">
        <v>-</v>
      </c>
    </row>
    <row r="12600">
      <c r="A12600">
        <v>12599</v>
      </c>
      <c r="B12600" t="str">
        <v>Công an xã Tràng Sơn  tỉnh Nghệ An</v>
      </c>
      <c r="C12600" t="str">
        <v>-</v>
      </c>
      <c r="D12600" t="str">
        <v>-</v>
      </c>
      <c r="E12600" t="str">
        <v/>
      </c>
      <c r="F12600" t="str">
        <v>-</v>
      </c>
      <c r="G12600" t="str">
        <v>-</v>
      </c>
    </row>
    <row r="12601">
      <c r="A12601">
        <v>12600</v>
      </c>
      <c r="B12601" t="str">
        <v>UBND Ủy ban nhân dân xã Tràng Sơn  tỉnh Nghệ An</v>
      </c>
      <c r="C12601" t="str">
        <v>-</v>
      </c>
      <c r="D12601" t="str">
        <v>-</v>
      </c>
      <c r="E12601" t="str">
        <v>-</v>
      </c>
      <c r="F12601" t="str">
        <v>-</v>
      </c>
      <c r="G12601" t="str">
        <v>-</v>
      </c>
    </row>
    <row r="12602">
      <c r="A12602">
        <v>12601</v>
      </c>
      <c r="B12602" t="str">
        <v>Công an xã Thượng Sơn  tỉnh Nghệ An</v>
      </c>
      <c r="C12602" t="str">
        <v>-</v>
      </c>
      <c r="D12602" t="str">
        <v>-</v>
      </c>
      <c r="E12602" t="str">
        <v/>
      </c>
      <c r="F12602" t="str">
        <v>-</v>
      </c>
      <c r="G12602" t="str">
        <v>-</v>
      </c>
    </row>
    <row r="12603">
      <c r="A12603">
        <v>12602</v>
      </c>
      <c r="B12603" t="str">
        <v>UBND Ủy ban nhân dân xã Thượng Sơn  tỉnh Nghệ An</v>
      </c>
      <c r="C12603" t="str">
        <v>-</v>
      </c>
      <c r="D12603" t="str">
        <v>-</v>
      </c>
      <c r="E12603" t="str">
        <v>-</v>
      </c>
      <c r="F12603" t="str">
        <v>-</v>
      </c>
      <c r="G12603" t="str">
        <v>-</v>
      </c>
    </row>
    <row r="12604">
      <c r="A12604">
        <v>12603</v>
      </c>
      <c r="B12604" t="str">
        <v>Công an xã Hòa Sơn  tỉnh Nghệ An</v>
      </c>
      <c r="C12604" t="str">
        <v>-</v>
      </c>
      <c r="D12604" t="str">
        <v>-</v>
      </c>
      <c r="E12604" t="str">
        <v/>
      </c>
      <c r="F12604" t="str">
        <v>-</v>
      </c>
      <c r="G12604" t="str">
        <v>-</v>
      </c>
    </row>
    <row r="12605">
      <c r="A12605">
        <v>12604</v>
      </c>
      <c r="B12605" t="str">
        <v>UBND Ủy ban nhân dân xã Hòa Sơn  tỉnh Nghệ An</v>
      </c>
      <c r="C12605" t="str">
        <v>-</v>
      </c>
      <c r="D12605" t="str">
        <v>-</v>
      </c>
      <c r="E12605" t="str">
        <v>-</v>
      </c>
      <c r="F12605" t="str">
        <v>-</v>
      </c>
      <c r="G12605" t="str">
        <v>-</v>
      </c>
    </row>
    <row r="12606">
      <c r="A12606">
        <v>12605</v>
      </c>
      <c r="B12606" t="str">
        <v>Công an xã Đặng Sơn  tỉnh Nghệ An</v>
      </c>
      <c r="C12606" t="str">
        <v>-</v>
      </c>
      <c r="D12606" t="str">
        <v>-</v>
      </c>
      <c r="E12606" t="str">
        <v/>
      </c>
      <c r="F12606" t="str">
        <v>-</v>
      </c>
      <c r="G12606" t="str">
        <v>-</v>
      </c>
    </row>
    <row r="12607">
      <c r="A12607">
        <v>12606</v>
      </c>
      <c r="B12607" t="str">
        <v>UBND Ủy ban nhân dân xã Đặng Sơn  tỉnh Nghệ An</v>
      </c>
      <c r="C12607" t="str">
        <v>-</v>
      </c>
      <c r="D12607" t="str">
        <v>-</v>
      </c>
      <c r="E12607" t="str">
        <v>-</v>
      </c>
      <c r="F12607" t="str">
        <v>-</v>
      </c>
      <c r="G12607" t="str">
        <v>-</v>
      </c>
    </row>
    <row r="12608">
      <c r="A12608">
        <v>12607</v>
      </c>
      <c r="B12608" t="str">
        <v>Công an xã Đông Sơn  tỉnh Nghệ An</v>
      </c>
      <c r="C12608" t="str">
        <v>-</v>
      </c>
      <c r="D12608" t="str">
        <v>-</v>
      </c>
      <c r="E12608" t="str">
        <v/>
      </c>
      <c r="F12608" t="str">
        <v>-</v>
      </c>
      <c r="G12608" t="str">
        <v>-</v>
      </c>
    </row>
    <row r="12609">
      <c r="A12609">
        <v>12608</v>
      </c>
      <c r="B12609" t="str">
        <v>UBND Ủy ban nhân dân xã Đông Sơn  tỉnh Nghệ An</v>
      </c>
      <c r="C12609" t="str">
        <v>-</v>
      </c>
      <c r="D12609" t="str">
        <v>-</v>
      </c>
      <c r="E12609" t="str">
        <v>-</v>
      </c>
      <c r="F12609" t="str">
        <v>-</v>
      </c>
      <c r="G12609" t="str">
        <v>-</v>
      </c>
    </row>
    <row r="12610">
      <c r="A12610">
        <v>12609</v>
      </c>
      <c r="B12610" t="str">
        <v>Công an xã Nam Sơn  tỉnh Nghệ An</v>
      </c>
      <c r="C12610" t="str">
        <v>-</v>
      </c>
      <c r="D12610" t="str">
        <v>-</v>
      </c>
      <c r="E12610" t="str">
        <v/>
      </c>
      <c r="F12610" t="str">
        <v>-</v>
      </c>
      <c r="G12610" t="str">
        <v>-</v>
      </c>
    </row>
    <row r="12611">
      <c r="A12611">
        <v>12610</v>
      </c>
      <c r="B12611" t="str">
        <v>UBND Ủy ban nhân dân xã Nam Sơn  tỉnh Nghệ An</v>
      </c>
      <c r="C12611" t="str">
        <v>-</v>
      </c>
      <c r="D12611" t="str">
        <v>-</v>
      </c>
      <c r="E12611" t="str">
        <v>-</v>
      </c>
      <c r="F12611" t="str">
        <v>-</v>
      </c>
      <c r="G12611" t="str">
        <v>-</v>
      </c>
    </row>
    <row r="12612">
      <c r="A12612">
        <v>12611</v>
      </c>
      <c r="B12612" t="str">
        <v>Công an xã Lưu Sơn  tỉnh Nghệ An</v>
      </c>
      <c r="C12612" t="str">
        <v>-</v>
      </c>
      <c r="D12612" t="str">
        <v>-</v>
      </c>
      <c r="E12612" t="str">
        <v/>
      </c>
      <c r="F12612" t="str">
        <v>-</v>
      </c>
      <c r="G12612" t="str">
        <v>-</v>
      </c>
    </row>
    <row r="12613">
      <c r="A12613">
        <v>12612</v>
      </c>
      <c r="B12613" t="str">
        <v>UBND Ủy ban nhân dân xã Lưu Sơn  tỉnh Nghệ An</v>
      </c>
      <c r="C12613" t="str">
        <v>-</v>
      </c>
      <c r="D12613" t="str">
        <v>-</v>
      </c>
      <c r="E12613" t="str">
        <v>-</v>
      </c>
      <c r="F12613" t="str">
        <v>-</v>
      </c>
      <c r="G12613" t="str">
        <v>-</v>
      </c>
    </row>
    <row r="12614">
      <c r="A12614">
        <v>12613</v>
      </c>
      <c r="B12614" t="str">
        <v>Công an xã Yên Sơn  tỉnh Nghệ An</v>
      </c>
      <c r="C12614" t="str">
        <v>-</v>
      </c>
      <c r="D12614" t="str">
        <v>-</v>
      </c>
      <c r="E12614" t="str">
        <v/>
      </c>
      <c r="F12614" t="str">
        <v>-</v>
      </c>
      <c r="G12614" t="str">
        <v>-</v>
      </c>
    </row>
    <row r="12615">
      <c r="A12615">
        <v>12614</v>
      </c>
      <c r="B12615" t="str">
        <v>UBND Ủy ban nhân dân xã Yên Sơn  tỉnh Nghệ An</v>
      </c>
      <c r="C12615" t="str">
        <v>-</v>
      </c>
      <c r="D12615" t="str">
        <v>-</v>
      </c>
      <c r="E12615" t="str">
        <v>-</v>
      </c>
      <c r="F12615" t="str">
        <v>-</v>
      </c>
      <c r="G12615" t="str">
        <v>-</v>
      </c>
    </row>
    <row r="12616">
      <c r="A12616">
        <v>12615</v>
      </c>
      <c r="B12616" t="str">
        <v>Công an xã Văn Sơn  tỉnh Nghệ An</v>
      </c>
      <c r="C12616" t="str">
        <v>-</v>
      </c>
      <c r="D12616" t="str">
        <v>-</v>
      </c>
      <c r="E12616" t="str">
        <v/>
      </c>
      <c r="F12616" t="str">
        <v>-</v>
      </c>
      <c r="G12616" t="str">
        <v>-</v>
      </c>
    </row>
    <row r="12617">
      <c r="A12617">
        <v>12616</v>
      </c>
      <c r="B12617" t="str">
        <v>UBND Ủy ban nhân dân xã Văn Sơn  tỉnh Nghệ An</v>
      </c>
      <c r="C12617" t="str">
        <v>-</v>
      </c>
      <c r="D12617" t="str">
        <v>-</v>
      </c>
      <c r="E12617" t="str">
        <v>-</v>
      </c>
      <c r="F12617" t="str">
        <v>-</v>
      </c>
      <c r="G12617" t="str">
        <v>-</v>
      </c>
    </row>
    <row r="12618">
      <c r="A12618">
        <v>12617</v>
      </c>
      <c r="B12618" t="str">
        <v>Công an xã Đà Sơn  tỉnh Nghệ An</v>
      </c>
      <c r="C12618" t="str">
        <v>-</v>
      </c>
      <c r="D12618" t="str">
        <v>-</v>
      </c>
      <c r="E12618" t="str">
        <v/>
      </c>
      <c r="F12618" t="str">
        <v>-</v>
      </c>
      <c r="G12618" t="str">
        <v>-</v>
      </c>
    </row>
    <row r="12619">
      <c r="A12619">
        <v>12618</v>
      </c>
      <c r="B12619" t="str">
        <v>UBND Ủy ban nhân dân xã Đà Sơn  tỉnh Nghệ An</v>
      </c>
      <c r="C12619" t="str">
        <v>-</v>
      </c>
      <c r="D12619" t="str">
        <v>-</v>
      </c>
      <c r="E12619" t="str">
        <v>-</v>
      </c>
      <c r="F12619" t="str">
        <v>-</v>
      </c>
      <c r="G12619" t="str">
        <v>-</v>
      </c>
    </row>
    <row r="12620">
      <c r="A12620">
        <v>12619</v>
      </c>
      <c r="B12620" t="str">
        <v>Công an xã Lạc Sơn  tỉnh Nghệ An</v>
      </c>
      <c r="C12620" t="str">
        <v>-</v>
      </c>
      <c r="D12620" t="str">
        <v>-</v>
      </c>
      <c r="E12620" t="str">
        <v/>
      </c>
      <c r="F12620" t="str">
        <v>-</v>
      </c>
      <c r="G12620" t="str">
        <v>-</v>
      </c>
    </row>
    <row r="12621">
      <c r="A12621">
        <v>12620</v>
      </c>
      <c r="B12621" t="str">
        <v>UBND Ủy ban nhân dân xã Lạc Sơn  tỉnh Nghệ An</v>
      </c>
      <c r="C12621" t="str">
        <v>-</v>
      </c>
      <c r="D12621" t="str">
        <v>-</v>
      </c>
      <c r="E12621" t="str">
        <v>-</v>
      </c>
      <c r="F12621" t="str">
        <v>-</v>
      </c>
      <c r="G12621" t="str">
        <v>-</v>
      </c>
    </row>
    <row r="12622">
      <c r="A12622">
        <v>12621</v>
      </c>
      <c r="B12622" t="str">
        <v>Công an xã Tân Sơn  tỉnh Nghệ An</v>
      </c>
      <c r="C12622" t="str">
        <v>-</v>
      </c>
      <c r="D12622" t="str">
        <v>-</v>
      </c>
      <c r="E12622" t="str">
        <v/>
      </c>
      <c r="F12622" t="str">
        <v>-</v>
      </c>
      <c r="G12622" t="str">
        <v>-</v>
      </c>
    </row>
    <row r="12623">
      <c r="A12623">
        <v>12622</v>
      </c>
      <c r="B12623" t="str">
        <v>UBND Ủy ban nhân dân xã Tân Sơn  tỉnh Nghệ An</v>
      </c>
      <c r="C12623" t="str">
        <v>-</v>
      </c>
      <c r="D12623" t="str">
        <v>-</v>
      </c>
      <c r="E12623" t="str">
        <v>-</v>
      </c>
      <c r="F12623" t="str">
        <v>-</v>
      </c>
      <c r="G12623" t="str">
        <v>-</v>
      </c>
    </row>
    <row r="12624">
      <c r="A12624">
        <v>12623</v>
      </c>
      <c r="B12624" t="str">
        <v>Công an xã Thái Sơn  tỉnh Nghệ An</v>
      </c>
      <c r="C12624" t="str">
        <v>-</v>
      </c>
      <c r="D12624" t="str">
        <v>-</v>
      </c>
      <c r="E12624" t="str">
        <v/>
      </c>
      <c r="F12624" t="str">
        <v>-</v>
      </c>
      <c r="G12624" t="str">
        <v>-</v>
      </c>
    </row>
    <row r="12625">
      <c r="A12625">
        <v>12624</v>
      </c>
      <c r="B12625" t="str">
        <v>UBND Ủy ban nhân dân xã Thái Sơn  tỉnh Nghệ An</v>
      </c>
      <c r="C12625" t="str">
        <v>-</v>
      </c>
      <c r="D12625" t="str">
        <v>-</v>
      </c>
      <c r="E12625" t="str">
        <v>-</v>
      </c>
      <c r="F12625" t="str">
        <v>-</v>
      </c>
      <c r="G12625" t="str">
        <v>-</v>
      </c>
    </row>
    <row r="12626">
      <c r="A12626">
        <v>12625</v>
      </c>
      <c r="B12626" t="str">
        <v>Công an xã Quang Sơn  tỉnh Nghệ An</v>
      </c>
      <c r="C12626" t="str">
        <v>-</v>
      </c>
      <c r="D12626" t="str">
        <v>-</v>
      </c>
      <c r="E12626" t="str">
        <v/>
      </c>
      <c r="F12626" t="str">
        <v>-</v>
      </c>
      <c r="G12626" t="str">
        <v>-</v>
      </c>
    </row>
    <row r="12627">
      <c r="A12627">
        <v>12626</v>
      </c>
      <c r="B12627" t="str">
        <v>UBND Ủy ban nhân dân xã Quang Sơn  tỉnh Nghệ An</v>
      </c>
      <c r="C12627" t="str">
        <v>-</v>
      </c>
      <c r="D12627" t="str">
        <v>-</v>
      </c>
      <c r="E12627" t="str">
        <v>-</v>
      </c>
      <c r="F12627" t="str">
        <v>-</v>
      </c>
      <c r="G12627" t="str">
        <v>-</v>
      </c>
    </row>
    <row r="12628">
      <c r="A12628">
        <v>12627</v>
      </c>
      <c r="B12628" t="str">
        <v>Công an xã Thịnh Sơn  tỉnh Nghệ An</v>
      </c>
      <c r="C12628" t="str">
        <v>-</v>
      </c>
      <c r="D12628" t="str">
        <v>-</v>
      </c>
      <c r="E12628" t="str">
        <v/>
      </c>
      <c r="F12628" t="str">
        <v>-</v>
      </c>
      <c r="G12628" t="str">
        <v>-</v>
      </c>
    </row>
    <row r="12629">
      <c r="A12629">
        <v>12628</v>
      </c>
      <c r="B12629" t="str">
        <v>UBND Ủy ban nhân dân xã Thịnh Sơn  tỉnh Nghệ An</v>
      </c>
      <c r="C12629" t="str">
        <v>-</v>
      </c>
      <c r="D12629" t="str">
        <v>-</v>
      </c>
      <c r="E12629" t="str">
        <v>-</v>
      </c>
      <c r="F12629" t="str">
        <v>-</v>
      </c>
      <c r="G12629" t="str">
        <v>-</v>
      </c>
    </row>
    <row r="12630">
      <c r="A12630">
        <v>12629</v>
      </c>
      <c r="B12630" t="str">
        <v>Công an xã Trung Sơn  tỉnh Nghệ An</v>
      </c>
      <c r="C12630" t="str">
        <v>-</v>
      </c>
      <c r="D12630" t="str">
        <v>-</v>
      </c>
      <c r="E12630" t="str">
        <v/>
      </c>
      <c r="F12630" t="str">
        <v>-</v>
      </c>
      <c r="G12630" t="str">
        <v>-</v>
      </c>
    </row>
    <row r="12631">
      <c r="A12631">
        <v>12630</v>
      </c>
      <c r="B12631" t="str">
        <v>UBND Ủy ban nhân dân xã Trung Sơn  tỉnh Nghệ An</v>
      </c>
      <c r="C12631" t="str">
        <v>-</v>
      </c>
      <c r="D12631" t="str">
        <v>-</v>
      </c>
      <c r="E12631" t="str">
        <v>-</v>
      </c>
      <c r="F12631" t="str">
        <v>-</v>
      </c>
      <c r="G12631" t="str">
        <v>-</v>
      </c>
    </row>
    <row r="12632">
      <c r="A12632">
        <v>12631</v>
      </c>
      <c r="B12632" t="str">
        <v>Công an xã Xuân Sơn  tỉnh Nghệ An</v>
      </c>
      <c r="C12632" t="str">
        <v>-</v>
      </c>
      <c r="D12632" t="str">
        <v>-</v>
      </c>
      <c r="E12632" t="str">
        <v/>
      </c>
      <c r="F12632" t="str">
        <v>-</v>
      </c>
      <c r="G12632" t="str">
        <v>-</v>
      </c>
    </row>
    <row r="12633">
      <c r="A12633">
        <v>12632</v>
      </c>
      <c r="B12633" t="str">
        <v>UBND Ủy ban nhân dân xã Xuân Sơn  tỉnh Nghệ An</v>
      </c>
      <c r="C12633" t="str">
        <v>-</v>
      </c>
      <c r="D12633" t="str">
        <v>-</v>
      </c>
      <c r="E12633" t="str">
        <v>-</v>
      </c>
      <c r="F12633" t="str">
        <v>-</v>
      </c>
      <c r="G12633" t="str">
        <v>-</v>
      </c>
    </row>
    <row r="12634">
      <c r="A12634">
        <v>12633</v>
      </c>
      <c r="B12634" t="str">
        <v>Công an xã Minh Sơn  tỉnh Nghệ An</v>
      </c>
      <c r="C12634" t="str">
        <v>-</v>
      </c>
      <c r="D12634" t="str">
        <v>-</v>
      </c>
      <c r="E12634" t="str">
        <v/>
      </c>
      <c r="F12634" t="str">
        <v>-</v>
      </c>
      <c r="G12634" t="str">
        <v>-</v>
      </c>
    </row>
    <row r="12635">
      <c r="A12635">
        <v>12634</v>
      </c>
      <c r="B12635" t="str">
        <v>UBND Ủy ban nhân dân xã Minh Sơn  tỉnh Nghệ An</v>
      </c>
      <c r="C12635" t="str">
        <v>-</v>
      </c>
      <c r="D12635" t="str">
        <v>-</v>
      </c>
      <c r="E12635" t="str">
        <v>-</v>
      </c>
      <c r="F12635" t="str">
        <v>-</v>
      </c>
      <c r="G12635" t="str">
        <v>-</v>
      </c>
    </row>
    <row r="12636">
      <c r="A12636">
        <v>12635</v>
      </c>
      <c r="B12636" t="str">
        <v>Công an xã Thuận Sơn  tỉnh Nghệ An</v>
      </c>
      <c r="C12636" t="str">
        <v>-</v>
      </c>
      <c r="D12636" t="str">
        <v>-</v>
      </c>
      <c r="E12636" t="str">
        <v/>
      </c>
      <c r="F12636" t="str">
        <v>-</v>
      </c>
      <c r="G12636" t="str">
        <v>-</v>
      </c>
    </row>
    <row r="12637">
      <c r="A12637">
        <v>12636</v>
      </c>
      <c r="B12637" t="str">
        <v>UBND Ủy ban nhân dân xã Thuận Sơn  tỉnh Nghệ An</v>
      </c>
      <c r="C12637" t="str">
        <v>-</v>
      </c>
      <c r="D12637" t="str">
        <v>-</v>
      </c>
      <c r="E12637" t="str">
        <v>-</v>
      </c>
      <c r="F12637" t="str">
        <v>-</v>
      </c>
      <c r="G12637" t="str">
        <v>-</v>
      </c>
    </row>
    <row r="12638">
      <c r="A12638">
        <v>12637</v>
      </c>
      <c r="B12638" t="str">
        <v>Công an xã Nhân Sơn  tỉnh Nghệ An</v>
      </c>
      <c r="C12638" t="str">
        <v>-</v>
      </c>
      <c r="D12638" t="str">
        <v>-</v>
      </c>
      <c r="E12638" t="str">
        <v/>
      </c>
      <c r="F12638" t="str">
        <v>-</v>
      </c>
      <c r="G12638" t="str">
        <v>-</v>
      </c>
    </row>
    <row r="12639">
      <c r="A12639">
        <v>12638</v>
      </c>
      <c r="B12639" t="str">
        <v>UBND Ủy ban nhân dân xã Nhân Sơn  tỉnh Nghệ An</v>
      </c>
      <c r="C12639" t="str">
        <v>-</v>
      </c>
      <c r="D12639" t="str">
        <v>-</v>
      </c>
      <c r="E12639" t="str">
        <v>-</v>
      </c>
      <c r="F12639" t="str">
        <v>-</v>
      </c>
      <c r="G12639" t="str">
        <v>-</v>
      </c>
    </row>
    <row r="12640">
      <c r="A12640">
        <v>12639</v>
      </c>
      <c r="B12640" t="str">
        <v>Công an xã Hiến Sơn  tỉnh Nghệ An</v>
      </c>
      <c r="C12640" t="str">
        <v>-</v>
      </c>
      <c r="D12640" t="str">
        <v>-</v>
      </c>
      <c r="E12640" t="str">
        <v/>
      </c>
      <c r="F12640" t="str">
        <v>-</v>
      </c>
      <c r="G12640" t="str">
        <v>-</v>
      </c>
    </row>
    <row r="12641">
      <c r="A12641">
        <v>12640</v>
      </c>
      <c r="B12641" t="str">
        <v>UBND Ủy ban nhân dân xã Hiến Sơn  tỉnh Nghệ An</v>
      </c>
      <c r="C12641" t="str">
        <v>-</v>
      </c>
      <c r="D12641" t="str">
        <v>-</v>
      </c>
      <c r="E12641" t="str">
        <v>-</v>
      </c>
      <c r="F12641" t="str">
        <v>-</v>
      </c>
      <c r="G12641" t="str">
        <v>-</v>
      </c>
    </row>
    <row r="12642">
      <c r="A12642">
        <v>12641</v>
      </c>
      <c r="B12642" t="str">
        <v>Công an xã Mỹ Sơn  tỉnh Nghệ An</v>
      </c>
      <c r="C12642" t="str">
        <v>-</v>
      </c>
      <c r="D12642" t="str">
        <v>-</v>
      </c>
      <c r="E12642" t="str">
        <v/>
      </c>
      <c r="F12642" t="str">
        <v>-</v>
      </c>
      <c r="G12642" t="str">
        <v>-</v>
      </c>
    </row>
    <row r="12643">
      <c r="A12643">
        <v>12642</v>
      </c>
      <c r="B12643" t="str">
        <v>UBND Ủy ban nhân dân xã Mỹ Sơn  tỉnh Nghệ An</v>
      </c>
      <c r="C12643" t="str">
        <v>-</v>
      </c>
      <c r="D12643" t="str">
        <v>-</v>
      </c>
      <c r="E12643" t="str">
        <v>-</v>
      </c>
      <c r="F12643" t="str">
        <v>-</v>
      </c>
      <c r="G12643" t="str">
        <v>-</v>
      </c>
    </row>
    <row r="12644">
      <c r="A12644">
        <v>12643</v>
      </c>
      <c r="B12644" t="str">
        <v>Công an xã Trù Sơn  tỉnh Nghệ An</v>
      </c>
      <c r="C12644" t="str">
        <v>-</v>
      </c>
      <c r="D12644" t="str">
        <v>-</v>
      </c>
      <c r="E12644" t="str">
        <v/>
      </c>
      <c r="F12644" t="str">
        <v>-</v>
      </c>
      <c r="G12644" t="str">
        <v>-</v>
      </c>
    </row>
    <row r="12645">
      <c r="A12645">
        <v>12644</v>
      </c>
      <c r="B12645" t="str">
        <v>UBND Ủy ban nhân dân xã Trù Sơn  tỉnh Nghệ An</v>
      </c>
      <c r="C12645" t="str">
        <v>-</v>
      </c>
      <c r="D12645" t="str">
        <v>-</v>
      </c>
      <c r="E12645" t="str">
        <v>-</v>
      </c>
      <c r="F12645" t="str">
        <v>-</v>
      </c>
      <c r="G12645" t="str">
        <v>-</v>
      </c>
    </row>
    <row r="12646">
      <c r="A12646">
        <v>12645</v>
      </c>
      <c r="B12646" t="str">
        <v>Công an xã Đại Sơn  tỉnh Nghệ An</v>
      </c>
      <c r="C12646" t="str">
        <v>-</v>
      </c>
      <c r="D12646" t="str">
        <v>-</v>
      </c>
      <c r="E12646" t="str">
        <v/>
      </c>
      <c r="F12646" t="str">
        <v>-</v>
      </c>
      <c r="G12646" t="str">
        <v>-</v>
      </c>
    </row>
    <row r="12647">
      <c r="A12647">
        <v>12646</v>
      </c>
      <c r="B12647" t="str">
        <v>UBND Ủy ban nhân dân xã Đại Sơn  tỉnh Nghệ An</v>
      </c>
      <c r="C12647" t="str">
        <v>-</v>
      </c>
      <c r="D12647" t="str">
        <v>-</v>
      </c>
      <c r="E12647" t="str">
        <v>-</v>
      </c>
      <c r="F12647" t="str">
        <v>-</v>
      </c>
      <c r="G12647" t="str">
        <v>-</v>
      </c>
    </row>
    <row r="12648">
      <c r="A12648">
        <v>12647</v>
      </c>
      <c r="B12648" t="str">
        <v>Công an thị trấn Thanh Chương  tỉnh Nghệ An</v>
      </c>
      <c r="C12648" t="str">
        <v>-</v>
      </c>
      <c r="D12648" t="str">
        <v>-</v>
      </c>
      <c r="E12648" t="str">
        <v/>
      </c>
      <c r="F12648" t="str">
        <v>-</v>
      </c>
      <c r="G12648" t="str">
        <v>-</v>
      </c>
    </row>
    <row r="12649">
      <c r="A12649">
        <v>12648</v>
      </c>
      <c r="B12649" t="str">
        <v>UBND Ủy ban nhân dân thị trấn Thanh Chương  tỉnh Nghệ An</v>
      </c>
      <c r="C12649" t="str">
        <v>-</v>
      </c>
      <c r="D12649" t="str">
        <v>-</v>
      </c>
      <c r="E12649" t="str">
        <v>-</v>
      </c>
      <c r="F12649" t="str">
        <v>-</v>
      </c>
      <c r="G12649" t="str">
        <v>-</v>
      </c>
    </row>
    <row r="12650">
      <c r="A12650">
        <v>12649</v>
      </c>
      <c r="B12650" t="str">
        <v>Công an xã Cát Văn  tỉnh Nghệ An</v>
      </c>
      <c r="C12650" t="str">
        <v>-</v>
      </c>
      <c r="D12650" t="str">
        <v>-</v>
      </c>
      <c r="E12650" t="str">
        <v/>
      </c>
      <c r="F12650" t="str">
        <v>-</v>
      </c>
      <c r="G12650" t="str">
        <v>-</v>
      </c>
    </row>
    <row r="12651">
      <c r="A12651">
        <v>12650</v>
      </c>
      <c r="B12651" t="str">
        <v>UBND Ủy ban nhân dân xã Cát Văn  tỉnh Nghệ An</v>
      </c>
      <c r="C12651" t="str">
        <v>-</v>
      </c>
      <c r="D12651" t="str">
        <v>-</v>
      </c>
      <c r="E12651" t="str">
        <v>-</v>
      </c>
      <c r="F12651" t="str">
        <v>-</v>
      </c>
      <c r="G12651" t="str">
        <v>-</v>
      </c>
    </row>
    <row r="12652">
      <c r="A12652">
        <v>12651</v>
      </c>
      <c r="B12652" t="str">
        <v>Công an xã Thanh Nho  tỉnh Nghệ An</v>
      </c>
      <c r="C12652" t="str">
        <v>-</v>
      </c>
      <c r="D12652" t="str">
        <v>-</v>
      </c>
      <c r="E12652" t="str">
        <v/>
      </c>
      <c r="F12652" t="str">
        <v>-</v>
      </c>
      <c r="G12652" t="str">
        <v>-</v>
      </c>
    </row>
    <row r="12653">
      <c r="A12653">
        <v>12652</v>
      </c>
      <c r="B12653" t="str">
        <v>UBND Ủy ban nhân dân xã Thanh Nho  tỉnh Nghệ An</v>
      </c>
      <c r="C12653" t="str">
        <v>-</v>
      </c>
      <c r="D12653" t="str">
        <v>-</v>
      </c>
      <c r="E12653" t="str">
        <v>-</v>
      </c>
      <c r="F12653" t="str">
        <v>-</v>
      </c>
      <c r="G12653" t="str">
        <v>-</v>
      </c>
    </row>
    <row r="12654">
      <c r="A12654">
        <v>12653</v>
      </c>
      <c r="B12654" t="str">
        <v>Công an xã Hạnh Lâm  tỉnh Nghệ An</v>
      </c>
      <c r="C12654" t="str">
        <v>-</v>
      </c>
      <c r="D12654" t="str">
        <v>-</v>
      </c>
      <c r="E12654" t="str">
        <v/>
      </c>
      <c r="F12654" t="str">
        <v>-</v>
      </c>
      <c r="G12654" t="str">
        <v>-</v>
      </c>
    </row>
    <row r="12655">
      <c r="A12655">
        <v>12654</v>
      </c>
      <c r="B12655" t="str">
        <v>UBND Ủy ban nhân dân xã Hạnh Lâm  tỉnh Nghệ An</v>
      </c>
      <c r="C12655" t="str">
        <v>-</v>
      </c>
      <c r="D12655" t="str">
        <v>-</v>
      </c>
      <c r="E12655" t="str">
        <v>-</v>
      </c>
      <c r="F12655" t="str">
        <v>-</v>
      </c>
      <c r="G12655" t="str">
        <v>-</v>
      </c>
    </row>
    <row r="12656">
      <c r="A12656">
        <v>12655</v>
      </c>
      <c r="B12656" t="str">
        <v>Công an xã Thanh Sơn  tỉnh Nghệ An</v>
      </c>
      <c r="C12656" t="str">
        <v>-</v>
      </c>
      <c r="D12656" t="str">
        <v>-</v>
      </c>
      <c r="E12656" t="str">
        <v/>
      </c>
      <c r="F12656" t="str">
        <v>-</v>
      </c>
      <c r="G12656" t="str">
        <v>-</v>
      </c>
    </row>
    <row r="12657">
      <c r="A12657">
        <v>12656</v>
      </c>
      <c r="B12657" t="str">
        <v>UBND Ủy ban nhân dân xã Thanh Sơn  tỉnh Nghệ An</v>
      </c>
      <c r="C12657" t="str">
        <v>-</v>
      </c>
      <c r="D12657" t="str">
        <v>-</v>
      </c>
      <c r="E12657" t="str">
        <v>-</v>
      </c>
      <c r="F12657" t="str">
        <v>-</v>
      </c>
      <c r="G12657" t="str">
        <v>-</v>
      </c>
    </row>
    <row r="12658">
      <c r="A12658">
        <v>12657</v>
      </c>
      <c r="B12658" t="str">
        <v>Công an xã Thanh Hòa  tỉnh Nghệ An</v>
      </c>
      <c r="C12658" t="str">
        <v>-</v>
      </c>
      <c r="D12658" t="str">
        <v>-</v>
      </c>
      <c r="E12658" t="str">
        <v/>
      </c>
      <c r="F12658" t="str">
        <v>-</v>
      </c>
      <c r="G12658" t="str">
        <v>-</v>
      </c>
    </row>
    <row r="12659">
      <c r="A12659">
        <v>12658</v>
      </c>
      <c r="B12659" t="str">
        <v>UBND Ủy ban nhân dân xã Thanh Hòa  tỉnh Nghệ An</v>
      </c>
      <c r="C12659" t="str">
        <v>-</v>
      </c>
      <c r="D12659" t="str">
        <v>-</v>
      </c>
      <c r="E12659" t="str">
        <v>-</v>
      </c>
      <c r="F12659" t="str">
        <v>-</v>
      </c>
      <c r="G12659" t="str">
        <v>-</v>
      </c>
    </row>
    <row r="12660">
      <c r="A12660">
        <v>12659</v>
      </c>
      <c r="B12660" t="str">
        <v>Công an xã Phong Thịnh  tỉnh Nghệ An</v>
      </c>
      <c r="C12660" t="str">
        <v>-</v>
      </c>
      <c r="D12660" t="str">
        <v>-</v>
      </c>
      <c r="E12660" t="str">
        <v/>
      </c>
      <c r="F12660" t="str">
        <v>-</v>
      </c>
      <c r="G12660" t="str">
        <v>-</v>
      </c>
    </row>
    <row r="12661">
      <c r="A12661">
        <v>12660</v>
      </c>
      <c r="B12661" t="str">
        <v>UBND Ủy ban nhân dân xã Phong Thịnh  tỉnh Nghệ An</v>
      </c>
      <c r="C12661" t="str">
        <v>-</v>
      </c>
      <c r="D12661" t="str">
        <v>-</v>
      </c>
      <c r="E12661" t="str">
        <v>-</v>
      </c>
      <c r="F12661" t="str">
        <v>-</v>
      </c>
      <c r="G12661" t="str">
        <v>-</v>
      </c>
    </row>
    <row r="12662">
      <c r="A12662">
        <v>12661</v>
      </c>
      <c r="B12662" t="str">
        <v>Công an xã Thanh Phong  tỉnh Nghệ An</v>
      </c>
      <c r="C12662" t="str">
        <v>-</v>
      </c>
      <c r="D12662" t="str">
        <v>-</v>
      </c>
      <c r="E12662" t="str">
        <v/>
      </c>
      <c r="F12662" t="str">
        <v>-</v>
      </c>
      <c r="G12662" t="str">
        <v>-</v>
      </c>
    </row>
    <row r="12663">
      <c r="A12663">
        <v>12662</v>
      </c>
      <c r="B12663" t="str">
        <v>UBND Ủy ban nhân dân xã Thanh Phong  tỉnh Nghệ An</v>
      </c>
      <c r="C12663" t="str">
        <v>-</v>
      </c>
      <c r="D12663" t="str">
        <v>-</v>
      </c>
      <c r="E12663" t="str">
        <v>-</v>
      </c>
      <c r="F12663" t="str">
        <v>-</v>
      </c>
      <c r="G12663" t="str">
        <v>-</v>
      </c>
    </row>
    <row r="12664">
      <c r="A12664">
        <v>12663</v>
      </c>
      <c r="B12664" t="str">
        <v>Công an xã Thanh Mỹ  tỉnh Nghệ An</v>
      </c>
      <c r="C12664" t="str">
        <v>-</v>
      </c>
      <c r="D12664" t="str">
        <v>-</v>
      </c>
      <c r="E12664" t="str">
        <v/>
      </c>
      <c r="F12664" t="str">
        <v>-</v>
      </c>
      <c r="G12664" t="str">
        <v>-</v>
      </c>
    </row>
    <row r="12665">
      <c r="A12665">
        <v>12664</v>
      </c>
      <c r="B12665" t="str">
        <v>UBND Ủy ban nhân dân xã Thanh Mỹ  tỉnh Nghệ An</v>
      </c>
      <c r="C12665" t="str">
        <v>-</v>
      </c>
      <c r="D12665" t="str">
        <v>-</v>
      </c>
      <c r="E12665" t="str">
        <v>-</v>
      </c>
      <c r="F12665" t="str">
        <v>-</v>
      </c>
      <c r="G12665" t="str">
        <v>-</v>
      </c>
    </row>
    <row r="12666">
      <c r="A12666">
        <v>12665</v>
      </c>
      <c r="B12666" t="str">
        <v>Công an xã Thanh Tiên  tỉnh Nghệ An</v>
      </c>
      <c r="C12666" t="str">
        <v>-</v>
      </c>
      <c r="D12666" t="str">
        <v>-</v>
      </c>
      <c r="E12666" t="str">
        <v/>
      </c>
      <c r="F12666" t="str">
        <v>-</v>
      </c>
      <c r="G12666" t="str">
        <v>-</v>
      </c>
    </row>
    <row r="12667">
      <c r="A12667">
        <v>12666</v>
      </c>
      <c r="B12667" t="str">
        <v>UBND Ủy ban nhân dân xã Thanh Tiên  tỉnh Nghệ An</v>
      </c>
      <c r="C12667" t="str">
        <v>-</v>
      </c>
      <c r="D12667" t="str">
        <v>-</v>
      </c>
      <c r="E12667" t="str">
        <v>-</v>
      </c>
      <c r="F12667" t="str">
        <v>-</v>
      </c>
      <c r="G12667" t="str">
        <v>-</v>
      </c>
    </row>
    <row r="12668">
      <c r="A12668">
        <v>12667</v>
      </c>
      <c r="B12668" t="str">
        <v>Công an xã Thanh Hưng  tỉnh Nghệ An</v>
      </c>
      <c r="C12668" t="str">
        <v>-</v>
      </c>
      <c r="D12668" t="str">
        <v>-</v>
      </c>
      <c r="E12668" t="str">
        <v/>
      </c>
      <c r="F12668" t="str">
        <v>-</v>
      </c>
      <c r="G12668" t="str">
        <v>-</v>
      </c>
    </row>
    <row r="12669">
      <c r="A12669">
        <v>12668</v>
      </c>
      <c r="B12669" t="str">
        <v>UBND Ủy ban nhân dân xã Thanh Hưng  tỉnh Nghệ An</v>
      </c>
      <c r="C12669" t="str">
        <v>-</v>
      </c>
      <c r="D12669" t="str">
        <v>-</v>
      </c>
      <c r="E12669" t="str">
        <v>-</v>
      </c>
      <c r="F12669" t="str">
        <v>-</v>
      </c>
      <c r="G12669" t="str">
        <v>-</v>
      </c>
    </row>
    <row r="12670">
      <c r="A12670">
        <v>12669</v>
      </c>
      <c r="B12670" t="str">
        <v>Công an xã Thanh Liên  tỉnh Nghệ An</v>
      </c>
      <c r="C12670" t="str">
        <v>-</v>
      </c>
      <c r="D12670" t="str">
        <v>-</v>
      </c>
      <c r="E12670" t="str">
        <v/>
      </c>
      <c r="F12670" t="str">
        <v>-</v>
      </c>
      <c r="G12670" t="str">
        <v>-</v>
      </c>
    </row>
    <row r="12671">
      <c r="A12671">
        <v>12670</v>
      </c>
      <c r="B12671" t="str">
        <v>UBND Ủy ban nhân dân xã Thanh Liên  tỉnh Nghệ An</v>
      </c>
      <c r="C12671" t="str">
        <v>-</v>
      </c>
      <c r="D12671" t="str">
        <v>-</v>
      </c>
      <c r="E12671" t="str">
        <v>-</v>
      </c>
      <c r="F12671" t="str">
        <v>-</v>
      </c>
      <c r="G12671" t="str">
        <v>-</v>
      </c>
    </row>
    <row r="12672">
      <c r="A12672">
        <v>12671</v>
      </c>
      <c r="B12672" t="str">
        <v>Công an xã Thanh Tường  tỉnh Nghệ An</v>
      </c>
      <c r="C12672" t="str">
        <v>-</v>
      </c>
      <c r="D12672" t="str">
        <v>-</v>
      </c>
      <c r="E12672" t="str">
        <v/>
      </c>
      <c r="F12672" t="str">
        <v>-</v>
      </c>
      <c r="G12672" t="str">
        <v>-</v>
      </c>
    </row>
    <row r="12673">
      <c r="A12673">
        <v>12672</v>
      </c>
      <c r="B12673" t="str">
        <v>UBND Ủy ban nhân dân xã Thanh Tường  tỉnh Nghệ An</v>
      </c>
      <c r="C12673" t="str">
        <v>-</v>
      </c>
      <c r="D12673" t="str">
        <v>-</v>
      </c>
      <c r="E12673" t="str">
        <v>-</v>
      </c>
      <c r="F12673" t="str">
        <v>-</v>
      </c>
      <c r="G12673" t="str">
        <v>-</v>
      </c>
    </row>
    <row r="12674">
      <c r="A12674">
        <v>12673</v>
      </c>
      <c r="B12674" t="str">
        <v>Công an xã Thanh Văn  tỉnh Nghệ An</v>
      </c>
      <c r="C12674" t="str">
        <v>-</v>
      </c>
      <c r="D12674" t="str">
        <v>-</v>
      </c>
      <c r="E12674" t="str">
        <v/>
      </c>
      <c r="F12674" t="str">
        <v>-</v>
      </c>
      <c r="G12674" t="str">
        <v>-</v>
      </c>
    </row>
    <row r="12675">
      <c r="A12675">
        <v>12674</v>
      </c>
      <c r="B12675" t="str">
        <v>UBND Ủy ban nhân dân xã Thanh Văn  tỉnh Nghệ An</v>
      </c>
      <c r="C12675" t="str">
        <v>-</v>
      </c>
      <c r="D12675" t="str">
        <v>-</v>
      </c>
      <c r="E12675" t="str">
        <v>-</v>
      </c>
      <c r="F12675" t="str">
        <v>-</v>
      </c>
      <c r="G12675" t="str">
        <v>-</v>
      </c>
    </row>
    <row r="12676">
      <c r="A12676">
        <v>12675</v>
      </c>
      <c r="B12676" t="str">
        <v>Công an xã Thanh Đồng  tỉnh Nghệ An</v>
      </c>
      <c r="C12676" t="str">
        <v>-</v>
      </c>
      <c r="D12676" t="str">
        <v>-</v>
      </c>
      <c r="E12676" t="str">
        <v/>
      </c>
      <c r="F12676" t="str">
        <v>-</v>
      </c>
      <c r="G12676" t="str">
        <v>-</v>
      </c>
    </row>
    <row r="12677">
      <c r="A12677">
        <v>12676</v>
      </c>
      <c r="B12677" t="str">
        <v>UBND Ủy ban nhân dân xã Thanh Đồng  tỉnh Nghệ An</v>
      </c>
      <c r="C12677" t="str">
        <v>-</v>
      </c>
      <c r="D12677" t="str">
        <v>-</v>
      </c>
      <c r="E12677" t="str">
        <v>-</v>
      </c>
      <c r="F12677" t="str">
        <v>-</v>
      </c>
      <c r="G12677" t="str">
        <v>-</v>
      </c>
    </row>
    <row r="12678">
      <c r="A12678">
        <v>12677</v>
      </c>
      <c r="B12678" t="str">
        <v>Công an xã Thanh Ngọc  tỉnh Nghệ An</v>
      </c>
      <c r="C12678" t="str">
        <v>-</v>
      </c>
      <c r="D12678" t="str">
        <v>-</v>
      </c>
      <c r="E12678" t="str">
        <v/>
      </c>
      <c r="F12678" t="str">
        <v>-</v>
      </c>
      <c r="G12678" t="str">
        <v>-</v>
      </c>
    </row>
    <row r="12679">
      <c r="A12679">
        <v>12678</v>
      </c>
      <c r="B12679" t="str">
        <v>UBND Ủy ban nhân dân xã Thanh Ngọc  tỉnh Nghệ An</v>
      </c>
      <c r="C12679" t="str">
        <v>-</v>
      </c>
      <c r="D12679" t="str">
        <v>-</v>
      </c>
      <c r="E12679" t="str">
        <v>-</v>
      </c>
      <c r="F12679" t="str">
        <v>-</v>
      </c>
      <c r="G12679" t="str">
        <v>-</v>
      </c>
    </row>
    <row r="12680">
      <c r="A12680">
        <v>12679</v>
      </c>
      <c r="B12680" t="str">
        <v>Công an xã Thanh Hương  tỉnh Nghệ An</v>
      </c>
      <c r="C12680" t="str">
        <v>-</v>
      </c>
      <c r="D12680" t="str">
        <v>-</v>
      </c>
      <c r="E12680" t="str">
        <v/>
      </c>
      <c r="F12680" t="str">
        <v>-</v>
      </c>
      <c r="G12680" t="str">
        <v>-</v>
      </c>
    </row>
    <row r="12681">
      <c r="A12681">
        <v>12680</v>
      </c>
      <c r="B12681" t="str">
        <v>UBND Ủy ban nhân dân xã Thanh Hương  tỉnh Nghệ An</v>
      </c>
      <c r="C12681" t="str">
        <v>-</v>
      </c>
      <c r="D12681" t="str">
        <v>-</v>
      </c>
      <c r="E12681" t="str">
        <v>-</v>
      </c>
      <c r="F12681" t="str">
        <v>-</v>
      </c>
      <c r="G12681" t="str">
        <v>-</v>
      </c>
    </row>
    <row r="12682">
      <c r="A12682">
        <v>12681</v>
      </c>
      <c r="B12682" t="str">
        <v>Công an xã Ngọc Lâm  tỉnh Nghệ An</v>
      </c>
      <c r="C12682" t="str">
        <v>-</v>
      </c>
      <c r="D12682" t="str">
        <v>-</v>
      </c>
      <c r="E12682" t="str">
        <v/>
      </c>
      <c r="F12682" t="str">
        <v>-</v>
      </c>
      <c r="G12682" t="str">
        <v>-</v>
      </c>
    </row>
    <row r="12683">
      <c r="A12683">
        <v>12682</v>
      </c>
      <c r="B12683" t="str">
        <v>UBND Ủy ban nhân dân xã Ngọc Lâm  tỉnh Nghệ An</v>
      </c>
      <c r="C12683" t="str">
        <v>-</v>
      </c>
      <c r="D12683" t="str">
        <v>-</v>
      </c>
      <c r="E12683" t="str">
        <v>-</v>
      </c>
      <c r="F12683" t="str">
        <v>-</v>
      </c>
      <c r="G12683" t="str">
        <v>-</v>
      </c>
    </row>
    <row r="12684">
      <c r="A12684">
        <v>12683</v>
      </c>
      <c r="B12684" t="str">
        <v>Công an xã Thanh Lĩnh  tỉnh Nghệ An</v>
      </c>
      <c r="C12684" t="str">
        <v>-</v>
      </c>
      <c r="D12684" t="str">
        <v>-</v>
      </c>
      <c r="E12684" t="str">
        <v/>
      </c>
      <c r="F12684" t="str">
        <v>-</v>
      </c>
      <c r="G12684" t="str">
        <v>-</v>
      </c>
    </row>
    <row r="12685">
      <c r="A12685">
        <v>12684</v>
      </c>
      <c r="B12685" t="str">
        <v>UBND Ủy ban nhân dân xã Thanh Lĩnh  tỉnh Nghệ An</v>
      </c>
      <c r="C12685" t="str">
        <v>-</v>
      </c>
      <c r="D12685" t="str">
        <v>-</v>
      </c>
      <c r="E12685" t="str">
        <v>-</v>
      </c>
      <c r="F12685" t="str">
        <v>-</v>
      </c>
      <c r="G12685" t="str">
        <v>-</v>
      </c>
    </row>
    <row r="12686">
      <c r="A12686">
        <v>12685</v>
      </c>
      <c r="B12686" t="str">
        <v>Công an xã Đồng Văn  tỉnh Nghệ An</v>
      </c>
      <c r="C12686" t="str">
        <v>-</v>
      </c>
      <c r="D12686" t="str">
        <v>-</v>
      </c>
      <c r="E12686" t="str">
        <v/>
      </c>
      <c r="F12686" t="str">
        <v>-</v>
      </c>
      <c r="G12686" t="str">
        <v>-</v>
      </c>
    </row>
    <row r="12687">
      <c r="A12687">
        <v>12686</v>
      </c>
      <c r="B12687" t="str">
        <v>UBND Ủy ban nhân dân xã Đồng Văn  tỉnh Nghệ An</v>
      </c>
      <c r="C12687" t="str">
        <v>-</v>
      </c>
      <c r="D12687" t="str">
        <v>-</v>
      </c>
      <c r="E12687" t="str">
        <v>-</v>
      </c>
      <c r="F12687" t="str">
        <v>-</v>
      </c>
      <c r="G12687" t="str">
        <v>-</v>
      </c>
    </row>
    <row r="12688">
      <c r="A12688">
        <v>12687</v>
      </c>
      <c r="B12688" t="str">
        <v>Công an xã Ngọc Sơn  tỉnh Nghệ An</v>
      </c>
      <c r="C12688" t="str">
        <v>-</v>
      </c>
      <c r="D12688" t="str">
        <v>-</v>
      </c>
      <c r="E12688" t="str">
        <v/>
      </c>
      <c r="F12688" t="str">
        <v>-</v>
      </c>
      <c r="G12688" t="str">
        <v>-</v>
      </c>
    </row>
    <row r="12689">
      <c r="A12689">
        <v>12688</v>
      </c>
      <c r="B12689" t="str">
        <v>UBND Ủy ban nhân dân xã Ngọc Sơn  tỉnh Nghệ An</v>
      </c>
      <c r="C12689" t="str">
        <v>-</v>
      </c>
      <c r="D12689" t="str">
        <v>-</v>
      </c>
      <c r="E12689" t="str">
        <v>-</v>
      </c>
      <c r="F12689" t="str">
        <v>-</v>
      </c>
      <c r="G12689" t="str">
        <v>-</v>
      </c>
    </row>
    <row r="12690">
      <c r="A12690">
        <v>12689</v>
      </c>
      <c r="B12690" t="str">
        <v>Công an xã Thanh Thịnh  tỉnh Nghệ An</v>
      </c>
      <c r="C12690" t="str">
        <v>-</v>
      </c>
      <c r="D12690" t="str">
        <v>-</v>
      </c>
      <c r="E12690" t="str">
        <v/>
      </c>
      <c r="F12690" t="str">
        <v>-</v>
      </c>
      <c r="G12690" t="str">
        <v>-</v>
      </c>
    </row>
    <row r="12691">
      <c r="A12691">
        <v>12690</v>
      </c>
      <c r="B12691" t="str">
        <v>UBND Ủy ban nhân dân xã Thanh Thịnh  tỉnh Nghệ An</v>
      </c>
      <c r="C12691" t="str">
        <v>-</v>
      </c>
      <c r="D12691" t="str">
        <v>-</v>
      </c>
      <c r="E12691" t="str">
        <v>-</v>
      </c>
      <c r="F12691" t="str">
        <v>-</v>
      </c>
      <c r="G12691" t="str">
        <v>-</v>
      </c>
    </row>
    <row r="12692">
      <c r="A12692">
        <v>12691</v>
      </c>
      <c r="B12692" t="str">
        <v>Công an xã Thanh An  tỉnh Nghệ An</v>
      </c>
      <c r="C12692" t="str">
        <v>-</v>
      </c>
      <c r="D12692" t="str">
        <v>-</v>
      </c>
      <c r="E12692" t="str">
        <v/>
      </c>
      <c r="F12692" t="str">
        <v>-</v>
      </c>
      <c r="G12692" t="str">
        <v>-</v>
      </c>
    </row>
    <row r="12693">
      <c r="A12693">
        <v>12692</v>
      </c>
      <c r="B12693" t="str">
        <v>UBND Ủy ban nhân dân xã Thanh An  tỉnh Nghệ An</v>
      </c>
      <c r="C12693" t="str">
        <v>-</v>
      </c>
      <c r="D12693" t="str">
        <v>-</v>
      </c>
      <c r="E12693" t="str">
        <v>-</v>
      </c>
      <c r="F12693" t="str">
        <v>-</v>
      </c>
      <c r="G12693" t="str">
        <v>-</v>
      </c>
    </row>
    <row r="12694">
      <c r="A12694">
        <v>12693</v>
      </c>
      <c r="B12694" t="str">
        <v>Công an xã Thanh Chi  tỉnh Nghệ An</v>
      </c>
      <c r="C12694" t="str">
        <v>-</v>
      </c>
      <c r="D12694" t="str">
        <v>-</v>
      </c>
      <c r="E12694" t="str">
        <v/>
      </c>
      <c r="F12694" t="str">
        <v>-</v>
      </c>
      <c r="G12694" t="str">
        <v>-</v>
      </c>
    </row>
    <row r="12695">
      <c r="A12695">
        <v>12694</v>
      </c>
      <c r="B12695" t="str">
        <v>UBND Ủy ban nhân dân xã Thanh Chi  tỉnh Nghệ An</v>
      </c>
      <c r="C12695" t="str">
        <v>-</v>
      </c>
      <c r="D12695" t="str">
        <v>-</v>
      </c>
      <c r="E12695" t="str">
        <v>-</v>
      </c>
      <c r="F12695" t="str">
        <v>-</v>
      </c>
      <c r="G12695" t="str">
        <v>-</v>
      </c>
    </row>
    <row r="12696">
      <c r="A12696">
        <v>12695</v>
      </c>
      <c r="B12696" t="str">
        <v>Công an xã Xuân Tường  tỉnh Nghệ An</v>
      </c>
      <c r="C12696" t="str">
        <v>-</v>
      </c>
      <c r="D12696" t="str">
        <v>-</v>
      </c>
      <c r="E12696" t="str">
        <v/>
      </c>
      <c r="F12696" t="str">
        <v>-</v>
      </c>
      <c r="G12696" t="str">
        <v>-</v>
      </c>
    </row>
    <row r="12697">
      <c r="A12697">
        <v>12696</v>
      </c>
      <c r="B12697" t="str">
        <v>UBND Ủy ban nhân dân xã Xuân Tường  tỉnh Nghệ An</v>
      </c>
      <c r="C12697" t="str">
        <v>-</v>
      </c>
      <c r="D12697" t="str">
        <v>-</v>
      </c>
      <c r="E12697" t="str">
        <v>-</v>
      </c>
      <c r="F12697" t="str">
        <v>-</v>
      </c>
      <c r="G12697" t="str">
        <v>-</v>
      </c>
    </row>
    <row r="12698">
      <c r="A12698">
        <v>12697</v>
      </c>
      <c r="B12698" t="str">
        <v>Công an xã Thanh Dương  tỉnh Nghệ An</v>
      </c>
      <c r="C12698" t="str">
        <v>-</v>
      </c>
      <c r="D12698" t="str">
        <v>-</v>
      </c>
      <c r="E12698" t="str">
        <v/>
      </c>
      <c r="F12698" t="str">
        <v>-</v>
      </c>
      <c r="G12698" t="str">
        <v>-</v>
      </c>
    </row>
    <row r="12699">
      <c r="A12699">
        <v>12698</v>
      </c>
      <c r="B12699" t="str">
        <v>UBND Ủy ban nhân dân xã Thanh Dương  tỉnh Nghệ An</v>
      </c>
      <c r="C12699" t="str">
        <v>-</v>
      </c>
      <c r="D12699" t="str">
        <v>-</v>
      </c>
      <c r="E12699" t="str">
        <v>-</v>
      </c>
      <c r="F12699" t="str">
        <v>-</v>
      </c>
      <c r="G12699" t="str">
        <v>-</v>
      </c>
    </row>
    <row r="12700">
      <c r="A12700">
        <v>12699</v>
      </c>
      <c r="B12700" t="str">
        <v>Công an xã Thanh Lương  tỉnh Nghệ An</v>
      </c>
      <c r="C12700" t="str">
        <v>-</v>
      </c>
      <c r="D12700" t="str">
        <v>-</v>
      </c>
      <c r="E12700" t="str">
        <v/>
      </c>
      <c r="F12700" t="str">
        <v>-</v>
      </c>
      <c r="G12700" t="str">
        <v>-</v>
      </c>
    </row>
    <row r="12701">
      <c r="A12701">
        <v>12700</v>
      </c>
      <c r="B12701" t="str">
        <v>UBND Ủy ban nhân dân xã Thanh Lương  tỉnh Nghệ An</v>
      </c>
      <c r="C12701" t="str">
        <v>-</v>
      </c>
      <c r="D12701" t="str">
        <v>-</v>
      </c>
      <c r="E12701" t="str">
        <v>-</v>
      </c>
      <c r="F12701" t="str">
        <v>-</v>
      </c>
      <c r="G12701" t="str">
        <v>-</v>
      </c>
    </row>
    <row r="12702">
      <c r="A12702">
        <v>12701</v>
      </c>
      <c r="B12702" t="str">
        <v>Công an xã Thanh Khê  tỉnh Nghệ An</v>
      </c>
      <c r="C12702" t="str">
        <v>-</v>
      </c>
      <c r="D12702" t="str">
        <v>-</v>
      </c>
      <c r="E12702" t="str">
        <v/>
      </c>
      <c r="F12702" t="str">
        <v>-</v>
      </c>
      <c r="G12702" t="str">
        <v>-</v>
      </c>
    </row>
    <row r="12703">
      <c r="A12703">
        <v>12702</v>
      </c>
      <c r="B12703" t="str">
        <v>UBND Ủy ban nhân dân xã Thanh Khê  tỉnh Nghệ An</v>
      </c>
      <c r="C12703" t="str">
        <v>-</v>
      </c>
      <c r="D12703" t="str">
        <v>-</v>
      </c>
      <c r="E12703" t="str">
        <v>-</v>
      </c>
      <c r="F12703" t="str">
        <v>-</v>
      </c>
      <c r="G12703" t="str">
        <v>-</v>
      </c>
    </row>
    <row r="12704">
      <c r="A12704">
        <v>12703</v>
      </c>
      <c r="B12704" t="str">
        <v>Công an xã Võ Liệt  tỉnh Nghệ An</v>
      </c>
      <c r="C12704" t="str">
        <v>-</v>
      </c>
      <c r="D12704" t="str">
        <v>-</v>
      </c>
      <c r="E12704" t="str">
        <v/>
      </c>
      <c r="F12704" t="str">
        <v>-</v>
      </c>
      <c r="G12704" t="str">
        <v>-</v>
      </c>
    </row>
    <row r="12705">
      <c r="A12705">
        <v>12704</v>
      </c>
      <c r="B12705" t="str">
        <v>UBND Ủy ban nhân dân xã Võ Liệt  tỉnh Nghệ An</v>
      </c>
      <c r="C12705" t="str">
        <v>-</v>
      </c>
      <c r="D12705" t="str">
        <v>-</v>
      </c>
      <c r="E12705" t="str">
        <v>-</v>
      </c>
      <c r="F12705" t="str">
        <v>-</v>
      </c>
      <c r="G12705" t="str">
        <v>-</v>
      </c>
    </row>
    <row r="12706">
      <c r="A12706">
        <v>12705</v>
      </c>
      <c r="B12706" t="str">
        <v>Công an xã Thanh Long  tỉnh Nghệ An</v>
      </c>
      <c r="C12706" t="str">
        <v>-</v>
      </c>
      <c r="D12706" t="str">
        <v>-</v>
      </c>
      <c r="E12706" t="str">
        <v/>
      </c>
      <c r="F12706" t="str">
        <v>-</v>
      </c>
      <c r="G12706" t="str">
        <v>-</v>
      </c>
    </row>
    <row r="12707">
      <c r="A12707">
        <v>12706</v>
      </c>
      <c r="B12707" t="str">
        <v>UBND Ủy ban nhân dân xã Thanh Long  tỉnh Nghệ An</v>
      </c>
      <c r="C12707" t="str">
        <v>-</v>
      </c>
      <c r="D12707" t="str">
        <v>-</v>
      </c>
      <c r="E12707" t="str">
        <v>-</v>
      </c>
      <c r="F12707" t="str">
        <v>-</v>
      </c>
      <c r="G12707" t="str">
        <v>-</v>
      </c>
    </row>
    <row r="12708">
      <c r="A12708">
        <v>12707</v>
      </c>
      <c r="B12708" t="str">
        <v>Công an xã Thanh Thủy  tỉnh Nghệ An</v>
      </c>
      <c r="C12708" t="str">
        <v>-</v>
      </c>
      <c r="D12708" t="str">
        <v>-</v>
      </c>
      <c r="E12708" t="str">
        <v/>
      </c>
      <c r="F12708" t="str">
        <v>-</v>
      </c>
      <c r="G12708" t="str">
        <v>-</v>
      </c>
    </row>
    <row r="12709">
      <c r="A12709">
        <v>12708</v>
      </c>
      <c r="B12709" t="str">
        <v>UBND Ủy ban nhân dân xã Thanh Thủy  tỉnh Nghệ An</v>
      </c>
      <c r="C12709" t="str">
        <v>-</v>
      </c>
      <c r="D12709" t="str">
        <v>-</v>
      </c>
      <c r="E12709" t="str">
        <v>-</v>
      </c>
      <c r="F12709" t="str">
        <v>-</v>
      </c>
      <c r="G12709" t="str">
        <v>-</v>
      </c>
    </row>
    <row r="12710">
      <c r="A12710">
        <v>12709</v>
      </c>
      <c r="B12710" t="str">
        <v>Công an xã Thanh Khai  tỉnh Nghệ An</v>
      </c>
      <c r="C12710" t="str">
        <v>-</v>
      </c>
      <c r="D12710" t="str">
        <v>-</v>
      </c>
      <c r="E12710" t="str">
        <v/>
      </c>
      <c r="F12710" t="str">
        <v>-</v>
      </c>
      <c r="G12710" t="str">
        <v>-</v>
      </c>
    </row>
    <row r="12711">
      <c r="A12711">
        <v>12710</v>
      </c>
      <c r="B12711" t="str">
        <v>UBND Ủy ban nhân dân xã Thanh Khai  tỉnh Nghệ An</v>
      </c>
      <c r="C12711" t="str">
        <v>-</v>
      </c>
      <c r="D12711" t="str">
        <v>-</v>
      </c>
      <c r="E12711" t="str">
        <v>-</v>
      </c>
      <c r="F12711" t="str">
        <v>-</v>
      </c>
      <c r="G12711" t="str">
        <v>-</v>
      </c>
    </row>
    <row r="12712">
      <c r="A12712">
        <v>12711</v>
      </c>
      <c r="B12712" t="str">
        <v>Công an xã Thanh Yên  tỉnh Nghệ An</v>
      </c>
      <c r="C12712" t="str">
        <v>-</v>
      </c>
      <c r="D12712" t="str">
        <v>-</v>
      </c>
      <c r="E12712" t="str">
        <v/>
      </c>
      <c r="F12712" t="str">
        <v>-</v>
      </c>
      <c r="G12712" t="str">
        <v>-</v>
      </c>
    </row>
    <row r="12713">
      <c r="A12713">
        <v>12712</v>
      </c>
      <c r="B12713" t="str">
        <v>UBND Ủy ban nhân dân xã Thanh Yên  tỉnh Nghệ An</v>
      </c>
      <c r="C12713" t="str">
        <v>-</v>
      </c>
      <c r="D12713" t="str">
        <v>-</v>
      </c>
      <c r="E12713" t="str">
        <v>-</v>
      </c>
      <c r="F12713" t="str">
        <v>-</v>
      </c>
      <c r="G12713" t="str">
        <v>-</v>
      </c>
    </row>
    <row r="12714">
      <c r="A12714">
        <v>12713</v>
      </c>
      <c r="B12714" t="str">
        <v>Công an xã Thanh Hà  tỉnh Nghệ An</v>
      </c>
      <c r="C12714" t="str">
        <v>-</v>
      </c>
      <c r="D12714" t="str">
        <v>-</v>
      </c>
      <c r="E12714" t="str">
        <v/>
      </c>
      <c r="F12714" t="str">
        <v>-</v>
      </c>
      <c r="G12714" t="str">
        <v>-</v>
      </c>
    </row>
    <row r="12715">
      <c r="A12715">
        <v>12714</v>
      </c>
      <c r="B12715" t="str">
        <v>UBND Ủy ban nhân dân xã Thanh Hà  tỉnh Nghệ An</v>
      </c>
      <c r="C12715" t="str">
        <v>-</v>
      </c>
      <c r="D12715" t="str">
        <v>-</v>
      </c>
      <c r="E12715" t="str">
        <v>-</v>
      </c>
      <c r="F12715" t="str">
        <v>-</v>
      </c>
      <c r="G12715" t="str">
        <v>-</v>
      </c>
    </row>
    <row r="12716">
      <c r="A12716">
        <v>12715</v>
      </c>
      <c r="B12716" t="str">
        <v>Công an xã Thanh Giang  tỉnh Nghệ An</v>
      </c>
      <c r="C12716" t="str">
        <v>-</v>
      </c>
      <c r="D12716" t="str">
        <v>-</v>
      </c>
      <c r="E12716" t="str">
        <v/>
      </c>
      <c r="F12716" t="str">
        <v>-</v>
      </c>
      <c r="G12716" t="str">
        <v>-</v>
      </c>
    </row>
    <row r="12717">
      <c r="A12717">
        <v>12716</v>
      </c>
      <c r="B12717" t="str">
        <v>UBND Ủy ban nhân dân xã Thanh Giang  tỉnh Nghệ An</v>
      </c>
      <c r="C12717" t="str">
        <v>-</v>
      </c>
      <c r="D12717" t="str">
        <v>-</v>
      </c>
      <c r="E12717" t="str">
        <v>-</v>
      </c>
      <c r="F12717" t="str">
        <v>-</v>
      </c>
      <c r="G12717" t="str">
        <v>-</v>
      </c>
    </row>
    <row r="12718">
      <c r="A12718">
        <v>12717</v>
      </c>
      <c r="B12718" t="str">
        <v>Công an xã Thanh Tùng  tỉnh Nghệ An</v>
      </c>
      <c r="C12718" t="str">
        <v>-</v>
      </c>
      <c r="D12718" t="str">
        <v>-</v>
      </c>
      <c r="E12718" t="str">
        <v/>
      </c>
      <c r="F12718" t="str">
        <v>-</v>
      </c>
      <c r="G12718" t="str">
        <v>-</v>
      </c>
    </row>
    <row r="12719">
      <c r="A12719">
        <v>12718</v>
      </c>
      <c r="B12719" t="str">
        <v>UBND Ủy ban nhân dân xã Thanh Tùng  tỉnh Nghệ An</v>
      </c>
      <c r="C12719" t="str">
        <v>-</v>
      </c>
      <c r="D12719" t="str">
        <v>-</v>
      </c>
      <c r="E12719" t="str">
        <v>-</v>
      </c>
      <c r="F12719" t="str">
        <v>-</v>
      </c>
      <c r="G12719" t="str">
        <v>-</v>
      </c>
    </row>
    <row r="12720">
      <c r="A12720">
        <v>12719</v>
      </c>
      <c r="B12720" t="str">
        <v>Công an xã Thanh Lâm  tỉnh Nghệ An</v>
      </c>
      <c r="C12720" t="str">
        <v>-</v>
      </c>
      <c r="D12720" t="str">
        <v>-</v>
      </c>
      <c r="E12720" t="str">
        <v/>
      </c>
      <c r="F12720" t="str">
        <v>-</v>
      </c>
      <c r="G12720" t="str">
        <v>-</v>
      </c>
    </row>
    <row r="12721">
      <c r="A12721">
        <v>12720</v>
      </c>
      <c r="B12721" t="str">
        <v>UBND Ủy ban nhân dân xã Thanh Lâm  tỉnh Nghệ An</v>
      </c>
      <c r="C12721" t="str">
        <v>-</v>
      </c>
      <c r="D12721" t="str">
        <v>-</v>
      </c>
      <c r="E12721" t="str">
        <v>-</v>
      </c>
      <c r="F12721" t="str">
        <v>-</v>
      </c>
      <c r="G12721" t="str">
        <v>-</v>
      </c>
    </row>
    <row r="12722">
      <c r="A12722">
        <v>12721</v>
      </c>
      <c r="B12722" t="str">
        <v>Công an xã Thanh Mai  tỉnh Nghệ An</v>
      </c>
      <c r="C12722" t="str">
        <v>-</v>
      </c>
      <c r="D12722" t="str">
        <v>-</v>
      </c>
      <c r="E12722" t="str">
        <v/>
      </c>
      <c r="F12722" t="str">
        <v>-</v>
      </c>
      <c r="G12722" t="str">
        <v>-</v>
      </c>
    </row>
    <row r="12723">
      <c r="A12723">
        <v>12722</v>
      </c>
      <c r="B12723" t="str">
        <v>UBND Ủy ban nhân dân xã Thanh Mai  tỉnh Nghệ An</v>
      </c>
      <c r="C12723" t="str">
        <v>-</v>
      </c>
      <c r="D12723" t="str">
        <v>-</v>
      </c>
      <c r="E12723" t="str">
        <v>-</v>
      </c>
      <c r="F12723" t="str">
        <v>-</v>
      </c>
      <c r="G12723" t="str">
        <v>-</v>
      </c>
    </row>
    <row r="12724">
      <c r="A12724">
        <v>12723</v>
      </c>
      <c r="B12724" t="str">
        <v>Công an xã Thanh Xuân  tỉnh Nghệ An</v>
      </c>
      <c r="C12724" t="str">
        <v>-</v>
      </c>
      <c r="D12724" t="str">
        <v>-</v>
      </c>
      <c r="E12724" t="str">
        <v/>
      </c>
      <c r="F12724" t="str">
        <v>-</v>
      </c>
      <c r="G12724" t="str">
        <v>-</v>
      </c>
    </row>
    <row r="12725">
      <c r="A12725">
        <v>12724</v>
      </c>
      <c r="B12725" t="str">
        <v>UBND Ủy ban nhân dân xã Thanh Xuân  tỉnh Nghệ An</v>
      </c>
      <c r="C12725" t="str">
        <v>-</v>
      </c>
      <c r="D12725" t="str">
        <v>-</v>
      </c>
      <c r="E12725" t="str">
        <v>-</v>
      </c>
      <c r="F12725" t="str">
        <v>-</v>
      </c>
      <c r="G12725" t="str">
        <v>-</v>
      </c>
    </row>
    <row r="12726">
      <c r="A12726">
        <v>12725</v>
      </c>
      <c r="B12726" t="str">
        <v>Công an xã Thanh Đức  tỉnh Nghệ An</v>
      </c>
      <c r="C12726" t="str">
        <v>-</v>
      </c>
      <c r="D12726" t="str">
        <v>-</v>
      </c>
      <c r="E12726" t="str">
        <v/>
      </c>
      <c r="F12726" t="str">
        <v>-</v>
      </c>
      <c r="G12726" t="str">
        <v>-</v>
      </c>
    </row>
    <row r="12727">
      <c r="A12727">
        <v>12726</v>
      </c>
      <c r="B12727" t="str">
        <v>UBND Ủy ban nhân dân xã Thanh Đức  tỉnh Nghệ An</v>
      </c>
      <c r="C12727" t="str">
        <v>-</v>
      </c>
      <c r="D12727" t="str">
        <v>-</v>
      </c>
      <c r="E12727" t="str">
        <v>-</v>
      </c>
      <c r="F12727" t="str">
        <v>-</v>
      </c>
      <c r="G12727" t="str">
        <v>-</v>
      </c>
    </row>
    <row r="12728">
      <c r="A12728">
        <v>12727</v>
      </c>
      <c r="B12728" t="str">
        <v>Công an thị trấn Quán Hành  tỉnh Nghệ An</v>
      </c>
      <c r="C12728" t="str">
        <v>-</v>
      </c>
      <c r="D12728" t="str">
        <v>-</v>
      </c>
      <c r="E12728" t="str">
        <v/>
      </c>
      <c r="F12728" t="str">
        <v>-</v>
      </c>
      <c r="G12728" t="str">
        <v>-</v>
      </c>
    </row>
    <row r="12729">
      <c r="A12729">
        <v>12728</v>
      </c>
      <c r="B12729" t="str">
        <v>UBND Ủy ban nhân dân thị trấn Quán Hành  tỉnh Nghệ An</v>
      </c>
      <c r="C12729" t="str">
        <v>-</v>
      </c>
      <c r="D12729" t="str">
        <v>-</v>
      </c>
      <c r="E12729" t="str">
        <v>-</v>
      </c>
      <c r="F12729" t="str">
        <v>-</v>
      </c>
      <c r="G12729" t="str">
        <v>-</v>
      </c>
    </row>
    <row r="12730">
      <c r="A12730">
        <v>12729</v>
      </c>
      <c r="B12730" t="str">
        <v>Công an xã Nghi Văn  tỉnh Nghệ An</v>
      </c>
      <c r="C12730" t="str">
        <v>-</v>
      </c>
      <c r="D12730" t="str">
        <v>-</v>
      </c>
      <c r="E12730" t="str">
        <v/>
      </c>
      <c r="F12730" t="str">
        <v>-</v>
      </c>
      <c r="G12730" t="str">
        <v>-</v>
      </c>
    </row>
    <row r="12731">
      <c r="A12731">
        <v>12730</v>
      </c>
      <c r="B12731" t="str">
        <v>UBND Ủy ban nhân dân xã Nghi Văn  tỉnh Nghệ An</v>
      </c>
      <c r="C12731" t="str">
        <v>-</v>
      </c>
      <c r="D12731" t="str">
        <v>-</v>
      </c>
      <c r="E12731" t="str">
        <v>-</v>
      </c>
      <c r="F12731" t="str">
        <v>-</v>
      </c>
      <c r="G12731" t="str">
        <v>-</v>
      </c>
    </row>
    <row r="12732">
      <c r="A12732">
        <v>12731</v>
      </c>
      <c r="B12732" t="str">
        <v>Công an xã Nghi Yên  tỉnh Nghệ An</v>
      </c>
      <c r="C12732" t="str">
        <v>-</v>
      </c>
      <c r="D12732" t="str">
        <v>-</v>
      </c>
      <c r="E12732" t="str">
        <v/>
      </c>
      <c r="F12732" t="str">
        <v>-</v>
      </c>
      <c r="G12732" t="str">
        <v>-</v>
      </c>
    </row>
    <row r="12733">
      <c r="A12733">
        <v>12732</v>
      </c>
      <c r="B12733" t="str">
        <v>UBND Ủy ban nhân dân xã Nghi Yên  tỉnh Nghệ An</v>
      </c>
      <c r="C12733" t="str">
        <v>-</v>
      </c>
      <c r="D12733" t="str">
        <v>-</v>
      </c>
      <c r="E12733" t="str">
        <v>-</v>
      </c>
      <c r="F12733" t="str">
        <v>-</v>
      </c>
      <c r="G12733" t="str">
        <v>-</v>
      </c>
    </row>
    <row r="12734">
      <c r="A12734">
        <v>12733</v>
      </c>
      <c r="B12734" t="str">
        <v>Công an xã Nghi Tiến  tỉnh Nghệ An</v>
      </c>
      <c r="C12734" t="str">
        <v>-</v>
      </c>
      <c r="D12734" t="str">
        <v>-</v>
      </c>
      <c r="E12734" t="str">
        <v/>
      </c>
      <c r="F12734" t="str">
        <v>-</v>
      </c>
      <c r="G12734" t="str">
        <v>-</v>
      </c>
    </row>
    <row r="12735">
      <c r="A12735">
        <v>12734</v>
      </c>
      <c r="B12735" t="str">
        <v>UBND Ủy ban nhân dân xã Nghi Tiến  tỉnh Nghệ An</v>
      </c>
      <c r="C12735" t="str">
        <v>-</v>
      </c>
      <c r="D12735" t="str">
        <v>-</v>
      </c>
      <c r="E12735" t="str">
        <v>-</v>
      </c>
      <c r="F12735" t="str">
        <v>-</v>
      </c>
      <c r="G12735" t="str">
        <v>-</v>
      </c>
    </row>
    <row r="12736">
      <c r="A12736">
        <v>12735</v>
      </c>
      <c r="B12736" t="str">
        <v>Công an xã Nghi Hưng  tỉnh Nghệ An</v>
      </c>
      <c r="C12736" t="str">
        <v>-</v>
      </c>
      <c r="D12736" t="str">
        <v>-</v>
      </c>
      <c r="E12736" t="str">
        <v/>
      </c>
      <c r="F12736" t="str">
        <v>-</v>
      </c>
      <c r="G12736" t="str">
        <v>-</v>
      </c>
    </row>
    <row r="12737">
      <c r="A12737">
        <v>12736</v>
      </c>
      <c r="B12737" t="str">
        <v>UBND Ủy ban nhân dân xã Nghi Hưng  tỉnh Nghệ An</v>
      </c>
      <c r="C12737" t="str">
        <v>-</v>
      </c>
      <c r="D12737" t="str">
        <v>-</v>
      </c>
      <c r="E12737" t="str">
        <v>-</v>
      </c>
      <c r="F12737" t="str">
        <v>-</v>
      </c>
      <c r="G12737" t="str">
        <v>-</v>
      </c>
    </row>
    <row r="12738">
      <c r="A12738">
        <v>12737</v>
      </c>
      <c r="B12738" t="str">
        <v>Công an xã Nghi Đồng  tỉnh Nghệ An</v>
      </c>
      <c r="C12738" t="str">
        <v>-</v>
      </c>
      <c r="D12738" t="str">
        <v>-</v>
      </c>
      <c r="E12738" t="str">
        <v/>
      </c>
      <c r="F12738" t="str">
        <v>-</v>
      </c>
      <c r="G12738" t="str">
        <v>-</v>
      </c>
    </row>
    <row r="12739">
      <c r="A12739">
        <v>12738</v>
      </c>
      <c r="B12739" t="str">
        <v>UBND Ủy ban nhân dân xã Nghi Đồng  tỉnh Nghệ An</v>
      </c>
      <c r="C12739" t="str">
        <v>-</v>
      </c>
      <c r="D12739" t="str">
        <v>-</v>
      </c>
      <c r="E12739" t="str">
        <v>-</v>
      </c>
      <c r="F12739" t="str">
        <v>-</v>
      </c>
      <c r="G12739" t="str">
        <v>-</v>
      </c>
    </row>
    <row r="12740">
      <c r="A12740">
        <v>12739</v>
      </c>
      <c r="B12740" t="str">
        <v>Công an xã Nghi Thiết  tỉnh Nghệ An</v>
      </c>
      <c r="C12740" t="str">
        <v>-</v>
      </c>
      <c r="D12740" t="str">
        <v>-</v>
      </c>
      <c r="E12740" t="str">
        <v/>
      </c>
      <c r="F12740" t="str">
        <v>-</v>
      </c>
      <c r="G12740" t="str">
        <v>-</v>
      </c>
    </row>
    <row r="12741">
      <c r="A12741">
        <v>12740</v>
      </c>
      <c r="B12741" t="str">
        <v>UBND Ủy ban nhân dân xã Nghi Thiết  tỉnh Nghệ An</v>
      </c>
      <c r="C12741" t="str">
        <v>-</v>
      </c>
      <c r="D12741" t="str">
        <v>-</v>
      </c>
      <c r="E12741" t="str">
        <v>-</v>
      </c>
      <c r="F12741" t="str">
        <v>-</v>
      </c>
      <c r="G12741" t="str">
        <v>-</v>
      </c>
    </row>
    <row r="12742">
      <c r="A12742">
        <v>12741</v>
      </c>
      <c r="B12742" t="str">
        <v>Công an xã Nghi Lâm  tỉnh Nghệ An</v>
      </c>
      <c r="C12742" t="str">
        <v>-</v>
      </c>
      <c r="D12742" t="str">
        <v>-</v>
      </c>
      <c r="E12742" t="str">
        <v/>
      </c>
      <c r="F12742" t="str">
        <v>-</v>
      </c>
      <c r="G12742" t="str">
        <v>-</v>
      </c>
    </row>
    <row r="12743">
      <c r="A12743">
        <v>12742</v>
      </c>
      <c r="B12743" t="str">
        <v>UBND Ủy ban nhân dân xã Nghi Lâm  tỉnh Nghệ An</v>
      </c>
      <c r="C12743" t="str">
        <v>-</v>
      </c>
      <c r="D12743" t="str">
        <v>-</v>
      </c>
      <c r="E12743" t="str">
        <v>-</v>
      </c>
      <c r="F12743" t="str">
        <v>-</v>
      </c>
      <c r="G12743" t="str">
        <v>-</v>
      </c>
    </row>
    <row r="12744">
      <c r="A12744">
        <v>12743</v>
      </c>
      <c r="B12744" t="str">
        <v>Công an xã Nghi Quang  tỉnh Nghệ An</v>
      </c>
      <c r="C12744" t="str">
        <v>-</v>
      </c>
      <c r="D12744" t="str">
        <v>-</v>
      </c>
      <c r="E12744" t="str">
        <v/>
      </c>
      <c r="F12744" t="str">
        <v>-</v>
      </c>
      <c r="G12744" t="str">
        <v>-</v>
      </c>
    </row>
    <row r="12745">
      <c r="A12745">
        <v>12744</v>
      </c>
      <c r="B12745" t="str">
        <v>UBND Ủy ban nhân dân xã Nghi Quang  tỉnh Nghệ An</v>
      </c>
      <c r="C12745" t="str">
        <v>-</v>
      </c>
      <c r="D12745" t="str">
        <v>-</v>
      </c>
      <c r="E12745" t="str">
        <v>-</v>
      </c>
      <c r="F12745" t="str">
        <v>-</v>
      </c>
      <c r="G12745" t="str">
        <v>-</v>
      </c>
    </row>
    <row r="12746">
      <c r="A12746">
        <v>12745</v>
      </c>
      <c r="B12746" t="str">
        <v>Công an xã Nghi Kiều  tỉnh Nghệ An</v>
      </c>
      <c r="C12746" t="str">
        <v>-</v>
      </c>
      <c r="D12746" t="str">
        <v>-</v>
      </c>
      <c r="E12746" t="str">
        <v/>
      </c>
      <c r="F12746" t="str">
        <v>-</v>
      </c>
      <c r="G12746" t="str">
        <v>-</v>
      </c>
    </row>
    <row r="12747">
      <c r="A12747">
        <v>12746</v>
      </c>
      <c r="B12747" t="str">
        <v>UBND Ủy ban nhân dân xã Nghi Kiều  tỉnh Nghệ An</v>
      </c>
      <c r="C12747" t="str">
        <v>-</v>
      </c>
      <c r="D12747" t="str">
        <v>-</v>
      </c>
      <c r="E12747" t="str">
        <v>-</v>
      </c>
      <c r="F12747" t="str">
        <v>-</v>
      </c>
      <c r="G12747" t="str">
        <v>-</v>
      </c>
    </row>
    <row r="12748">
      <c r="A12748">
        <v>12747</v>
      </c>
      <c r="B12748" t="str">
        <v>Công an xã Nghi Mỹ  tỉnh Nghệ An</v>
      </c>
      <c r="C12748" t="str">
        <v>-</v>
      </c>
      <c r="D12748" t="str">
        <v>-</v>
      </c>
      <c r="E12748" t="str">
        <v/>
      </c>
      <c r="F12748" t="str">
        <v>-</v>
      </c>
      <c r="G12748" t="str">
        <v>-</v>
      </c>
    </row>
    <row r="12749">
      <c r="A12749">
        <v>12748</v>
      </c>
      <c r="B12749" t="str">
        <v>UBND Ủy ban nhân dân xã Nghi Mỹ  tỉnh Nghệ An</v>
      </c>
      <c r="C12749" t="str">
        <v>-</v>
      </c>
      <c r="D12749" t="str">
        <v>-</v>
      </c>
      <c r="E12749" t="str">
        <v>-</v>
      </c>
      <c r="F12749" t="str">
        <v>-</v>
      </c>
      <c r="G12749" t="str">
        <v>-</v>
      </c>
    </row>
    <row r="12750">
      <c r="A12750">
        <v>12749</v>
      </c>
      <c r="B12750" t="str">
        <v>Công an xã Nghi Phương  tỉnh Nghệ An</v>
      </c>
      <c r="C12750" t="str">
        <v>-</v>
      </c>
      <c r="D12750" t="str">
        <v>-</v>
      </c>
      <c r="E12750" t="str">
        <v/>
      </c>
      <c r="F12750" t="str">
        <v>-</v>
      </c>
      <c r="G12750" t="str">
        <v>-</v>
      </c>
    </row>
    <row r="12751">
      <c r="A12751">
        <v>12750</v>
      </c>
      <c r="B12751" t="str">
        <v>UBND Ủy ban nhân dân xã Nghi Phương  tỉnh Nghệ An</v>
      </c>
      <c r="C12751" t="str">
        <v>-</v>
      </c>
      <c r="D12751" t="str">
        <v>-</v>
      </c>
      <c r="E12751" t="str">
        <v>-</v>
      </c>
      <c r="F12751" t="str">
        <v>-</v>
      </c>
      <c r="G12751" t="str">
        <v>-</v>
      </c>
    </row>
    <row r="12752">
      <c r="A12752">
        <v>12751</v>
      </c>
      <c r="B12752" t="str">
        <v>Công an xã Nghi Thuận  tỉnh Nghệ An</v>
      </c>
      <c r="C12752" t="str">
        <v>-</v>
      </c>
      <c r="D12752" t="str">
        <v>-</v>
      </c>
      <c r="E12752" t="str">
        <v/>
      </c>
      <c r="F12752" t="str">
        <v>-</v>
      </c>
      <c r="G12752" t="str">
        <v>-</v>
      </c>
    </row>
    <row r="12753">
      <c r="A12753">
        <v>12752</v>
      </c>
      <c r="B12753" t="str">
        <v>UBND Ủy ban nhân dân xã Nghi Thuận  tỉnh Nghệ An</v>
      </c>
      <c r="C12753" t="str">
        <v>-</v>
      </c>
      <c r="D12753" t="str">
        <v>-</v>
      </c>
      <c r="E12753" t="str">
        <v>-</v>
      </c>
      <c r="F12753" t="str">
        <v>-</v>
      </c>
      <c r="G12753" t="str">
        <v>-</v>
      </c>
    </row>
    <row r="12754">
      <c r="A12754">
        <v>12753</v>
      </c>
      <c r="B12754" t="str">
        <v>Công an xã Nghi Long  tỉnh Nghệ An</v>
      </c>
      <c r="C12754" t="str">
        <v>-</v>
      </c>
      <c r="D12754" t="str">
        <v>-</v>
      </c>
      <c r="E12754" t="str">
        <v/>
      </c>
      <c r="F12754" t="str">
        <v>-</v>
      </c>
      <c r="G12754" t="str">
        <v>-</v>
      </c>
    </row>
    <row r="12755">
      <c r="A12755">
        <v>12754</v>
      </c>
      <c r="B12755" t="str">
        <v>UBND Ủy ban nhân dân xã Nghi Long  tỉnh Nghệ An</v>
      </c>
      <c r="C12755" t="str">
        <v>-</v>
      </c>
      <c r="D12755" t="str">
        <v>-</v>
      </c>
      <c r="E12755" t="str">
        <v>-</v>
      </c>
      <c r="F12755" t="str">
        <v>-</v>
      </c>
      <c r="G12755" t="str">
        <v>-</v>
      </c>
    </row>
    <row r="12756">
      <c r="A12756">
        <v>12755</v>
      </c>
      <c r="B12756" t="str">
        <v>Công an xã Nghi Xá  tỉnh Nghệ An</v>
      </c>
      <c r="C12756" t="str">
        <v>-</v>
      </c>
      <c r="D12756" t="str">
        <v>-</v>
      </c>
      <c r="E12756" t="str">
        <v/>
      </c>
      <c r="F12756" t="str">
        <v>-</v>
      </c>
      <c r="G12756" t="str">
        <v>-</v>
      </c>
    </row>
    <row r="12757">
      <c r="A12757">
        <v>12756</v>
      </c>
      <c r="B12757" t="str">
        <v>UBND Ủy ban nhân dân xã Nghi Xá  tỉnh Nghệ An</v>
      </c>
      <c r="C12757" t="str">
        <v>-</v>
      </c>
      <c r="D12757" t="str">
        <v>-</v>
      </c>
      <c r="E12757" t="str">
        <v>-</v>
      </c>
      <c r="F12757" t="str">
        <v>-</v>
      </c>
      <c r="G12757" t="str">
        <v>-</v>
      </c>
    </row>
    <row r="12758">
      <c r="A12758">
        <v>12757</v>
      </c>
      <c r="B12758" t="str">
        <v>Công an xã Nghi Hợp  tỉnh Nghệ An</v>
      </c>
      <c r="C12758" t="str">
        <v>-</v>
      </c>
      <c r="D12758" t="str">
        <v>-</v>
      </c>
      <c r="E12758" t="str">
        <v/>
      </c>
      <c r="F12758" t="str">
        <v>-</v>
      </c>
      <c r="G12758" t="str">
        <v>-</v>
      </c>
    </row>
    <row r="12759">
      <c r="A12759">
        <v>12758</v>
      </c>
      <c r="B12759" t="str">
        <v>UBND Ủy ban nhân dân xã Nghi Hợp  tỉnh Nghệ An</v>
      </c>
      <c r="C12759" t="str">
        <v>-</v>
      </c>
      <c r="D12759" t="str">
        <v>-</v>
      </c>
      <c r="E12759" t="str">
        <v>-</v>
      </c>
      <c r="F12759" t="str">
        <v>-</v>
      </c>
      <c r="G12759" t="str">
        <v>-</v>
      </c>
    </row>
    <row r="12760">
      <c r="A12760">
        <v>12759</v>
      </c>
      <c r="B12760" t="str">
        <v>Công an xã Nghi Hoa  tỉnh Nghệ An</v>
      </c>
      <c r="C12760" t="str">
        <v>-</v>
      </c>
      <c r="D12760" t="str">
        <v>-</v>
      </c>
      <c r="E12760" t="str">
        <v/>
      </c>
      <c r="F12760" t="str">
        <v>-</v>
      </c>
      <c r="G12760" t="str">
        <v>-</v>
      </c>
    </row>
    <row r="12761">
      <c r="A12761">
        <v>12760</v>
      </c>
      <c r="B12761" t="str">
        <v>UBND Ủy ban nhân dân xã Nghi Hoa  tỉnh Nghệ An</v>
      </c>
      <c r="C12761" t="str">
        <v>-</v>
      </c>
      <c r="D12761" t="str">
        <v>-</v>
      </c>
      <c r="E12761" t="str">
        <v>-</v>
      </c>
      <c r="F12761" t="str">
        <v>-</v>
      </c>
      <c r="G12761" t="str">
        <v>-</v>
      </c>
    </row>
    <row r="12762">
      <c r="A12762">
        <v>12761</v>
      </c>
      <c r="B12762" t="str">
        <v>Công an xã Nghi Khánh  tỉnh Nghệ An</v>
      </c>
      <c r="C12762" t="str">
        <v>-</v>
      </c>
      <c r="D12762" t="str">
        <v>-</v>
      </c>
      <c r="E12762" t="str">
        <v/>
      </c>
      <c r="F12762" t="str">
        <v>-</v>
      </c>
      <c r="G12762" t="str">
        <v>-</v>
      </c>
    </row>
    <row r="12763">
      <c r="A12763">
        <v>12762</v>
      </c>
      <c r="B12763" t="str">
        <v>UBND Ủy ban nhân dân xã Nghi Khánh  tỉnh Nghệ An</v>
      </c>
      <c r="C12763" t="str">
        <v>-</v>
      </c>
      <c r="D12763" t="str">
        <v>-</v>
      </c>
      <c r="E12763" t="str">
        <v>-</v>
      </c>
      <c r="F12763" t="str">
        <v>-</v>
      </c>
      <c r="G12763" t="str">
        <v>-</v>
      </c>
    </row>
    <row r="12764">
      <c r="A12764">
        <v>12763</v>
      </c>
      <c r="B12764" t="str">
        <v>Công an xã Nghi Thịnh  tỉnh Nghệ An</v>
      </c>
      <c r="C12764" t="str">
        <v>-</v>
      </c>
      <c r="D12764" t="str">
        <v>-</v>
      </c>
      <c r="E12764" t="str">
        <v/>
      </c>
      <c r="F12764" t="str">
        <v>-</v>
      </c>
      <c r="G12764" t="str">
        <v>-</v>
      </c>
    </row>
    <row r="12765">
      <c r="A12765">
        <v>12764</v>
      </c>
      <c r="B12765" t="str">
        <v>UBND Ủy ban nhân dân xã Nghi Thịnh  tỉnh Nghệ An</v>
      </c>
      <c r="C12765" t="str">
        <v>-</v>
      </c>
      <c r="D12765" t="str">
        <v>-</v>
      </c>
      <c r="E12765" t="str">
        <v>-</v>
      </c>
      <c r="F12765" t="str">
        <v>-</v>
      </c>
      <c r="G12765" t="str">
        <v>-</v>
      </c>
    </row>
    <row r="12766">
      <c r="A12766">
        <v>12765</v>
      </c>
      <c r="B12766" t="str">
        <v>Công an xã Nghi Công Bắc  tỉnh Nghệ An</v>
      </c>
      <c r="C12766" t="str">
        <v>-</v>
      </c>
      <c r="D12766" t="str">
        <v>-</v>
      </c>
      <c r="E12766" t="str">
        <v/>
      </c>
      <c r="F12766" t="str">
        <v>-</v>
      </c>
      <c r="G12766" t="str">
        <v>-</v>
      </c>
    </row>
    <row r="12767">
      <c r="A12767">
        <v>12766</v>
      </c>
      <c r="B12767" t="str">
        <v>UBND Ủy ban nhân dân xã Nghi Công Bắc  tỉnh Nghệ An</v>
      </c>
      <c r="C12767" t="str">
        <v>-</v>
      </c>
      <c r="D12767" t="str">
        <v>-</v>
      </c>
      <c r="E12767" t="str">
        <v>-</v>
      </c>
      <c r="F12767" t="str">
        <v>-</v>
      </c>
      <c r="G12767" t="str">
        <v>-</v>
      </c>
    </row>
    <row r="12768">
      <c r="A12768">
        <v>12767</v>
      </c>
      <c r="B12768" t="str">
        <v>Công an xã Nghi Công Nam  tỉnh Nghệ An</v>
      </c>
      <c r="C12768" t="str">
        <v>-</v>
      </c>
      <c r="D12768" t="str">
        <v>-</v>
      </c>
      <c r="E12768" t="str">
        <v/>
      </c>
      <c r="F12768" t="str">
        <v>-</v>
      </c>
      <c r="G12768" t="str">
        <v>-</v>
      </c>
    </row>
    <row r="12769">
      <c r="A12769">
        <v>12768</v>
      </c>
      <c r="B12769" t="str">
        <v>UBND Ủy ban nhân dân xã Nghi Công Nam  tỉnh Nghệ An</v>
      </c>
      <c r="C12769" t="str">
        <v>-</v>
      </c>
      <c r="D12769" t="str">
        <v>-</v>
      </c>
      <c r="E12769" t="str">
        <v>-</v>
      </c>
      <c r="F12769" t="str">
        <v>-</v>
      </c>
      <c r="G12769" t="str">
        <v>-</v>
      </c>
    </row>
    <row r="12770">
      <c r="A12770">
        <v>12769</v>
      </c>
      <c r="B12770" t="str">
        <v>Công an xã Nghi Thạch  tỉnh Nghệ An</v>
      </c>
      <c r="C12770" t="str">
        <v>-</v>
      </c>
      <c r="D12770" t="str">
        <v>-</v>
      </c>
      <c r="E12770" t="str">
        <v/>
      </c>
      <c r="F12770" t="str">
        <v>-</v>
      </c>
      <c r="G12770" t="str">
        <v>-</v>
      </c>
    </row>
    <row r="12771">
      <c r="A12771">
        <v>12770</v>
      </c>
      <c r="B12771" t="str">
        <v>UBND Ủy ban nhân dân xã Nghi Thạch  tỉnh Nghệ An</v>
      </c>
      <c r="C12771" t="str">
        <v>-</v>
      </c>
      <c r="D12771" t="str">
        <v>-</v>
      </c>
      <c r="E12771" t="str">
        <v>-</v>
      </c>
      <c r="F12771" t="str">
        <v>-</v>
      </c>
      <c r="G12771" t="str">
        <v>-</v>
      </c>
    </row>
    <row r="12772">
      <c r="A12772">
        <v>12771</v>
      </c>
      <c r="B12772" t="str">
        <v>Công an xã Nghi Trung  tỉnh Nghệ An</v>
      </c>
      <c r="C12772" t="str">
        <v>-</v>
      </c>
      <c r="D12772" t="str">
        <v>-</v>
      </c>
      <c r="E12772" t="str">
        <v/>
      </c>
      <c r="F12772" t="str">
        <v>-</v>
      </c>
      <c r="G12772" t="str">
        <v>-</v>
      </c>
    </row>
    <row r="12773">
      <c r="A12773">
        <v>12772</v>
      </c>
      <c r="B12773" t="str">
        <v>UBND Ủy ban nhân dân xã Nghi Trung  tỉnh Nghệ An</v>
      </c>
      <c r="C12773" t="str">
        <v>-</v>
      </c>
      <c r="D12773" t="str">
        <v>-</v>
      </c>
      <c r="E12773" t="str">
        <v>-</v>
      </c>
      <c r="F12773" t="str">
        <v>-</v>
      </c>
      <c r="G12773" t="str">
        <v>-</v>
      </c>
    </row>
    <row r="12774">
      <c r="A12774">
        <v>12773</v>
      </c>
      <c r="B12774" t="str">
        <v>Công an xã Nghi Trường  tỉnh Nghệ An</v>
      </c>
      <c r="C12774" t="str">
        <v>-</v>
      </c>
      <c r="D12774" t="str">
        <v>-</v>
      </c>
      <c r="E12774" t="str">
        <v/>
      </c>
      <c r="F12774" t="str">
        <v>-</v>
      </c>
      <c r="G12774" t="str">
        <v>-</v>
      </c>
    </row>
    <row r="12775">
      <c r="A12775">
        <v>12774</v>
      </c>
      <c r="B12775" t="str">
        <v>UBND Ủy ban nhân dân xã Nghi Trường  tỉnh Nghệ An</v>
      </c>
      <c r="C12775" t="str">
        <v>-</v>
      </c>
      <c r="D12775" t="str">
        <v>-</v>
      </c>
      <c r="E12775" t="str">
        <v>-</v>
      </c>
      <c r="F12775" t="str">
        <v>-</v>
      </c>
      <c r="G12775" t="str">
        <v>-</v>
      </c>
    </row>
    <row r="12776">
      <c r="A12776">
        <v>12775</v>
      </c>
      <c r="B12776" t="str">
        <v>Công an xã Nghi Diên  tỉnh Nghệ An</v>
      </c>
      <c r="C12776" t="str">
        <v>-</v>
      </c>
      <c r="D12776" t="str">
        <v>-</v>
      </c>
      <c r="E12776" t="str">
        <v/>
      </c>
      <c r="F12776" t="str">
        <v>-</v>
      </c>
      <c r="G12776" t="str">
        <v>-</v>
      </c>
    </row>
    <row r="12777">
      <c r="A12777">
        <v>12776</v>
      </c>
      <c r="B12777" t="str">
        <v>UBND Ủy ban nhân dân xã Nghi Diên  tỉnh Nghệ An</v>
      </c>
      <c r="C12777" t="str">
        <v>-</v>
      </c>
      <c r="D12777" t="str">
        <v>-</v>
      </c>
      <c r="E12777" t="str">
        <v>-</v>
      </c>
      <c r="F12777" t="str">
        <v>-</v>
      </c>
      <c r="G12777" t="str">
        <v>-</v>
      </c>
    </row>
    <row r="12778">
      <c r="A12778">
        <v>12777</v>
      </c>
      <c r="B12778" t="str">
        <v>Công an xã Nghi Phong  tỉnh Nghệ An</v>
      </c>
      <c r="C12778" t="str">
        <v>-</v>
      </c>
      <c r="D12778" t="str">
        <v>-</v>
      </c>
      <c r="E12778" t="str">
        <v/>
      </c>
      <c r="F12778" t="str">
        <v>-</v>
      </c>
      <c r="G12778" t="str">
        <v>-</v>
      </c>
    </row>
    <row r="12779">
      <c r="A12779">
        <v>12778</v>
      </c>
      <c r="B12779" t="str">
        <v>UBND Ủy ban nhân dân xã Nghi Phong  tỉnh Nghệ An</v>
      </c>
      <c r="C12779" t="str">
        <v>-</v>
      </c>
      <c r="D12779" t="str">
        <v>-</v>
      </c>
      <c r="E12779" t="str">
        <v>-</v>
      </c>
      <c r="F12779" t="str">
        <v>-</v>
      </c>
      <c r="G12779" t="str">
        <v>-</v>
      </c>
    </row>
    <row r="12780">
      <c r="A12780">
        <v>12779</v>
      </c>
      <c r="B12780" t="str">
        <v>Công an xã Nghi Xuân  tỉnh Nghệ An</v>
      </c>
      <c r="C12780" t="str">
        <v>-</v>
      </c>
      <c r="D12780" t="str">
        <v>-</v>
      </c>
      <c r="E12780" t="str">
        <v/>
      </c>
      <c r="F12780" t="str">
        <v>-</v>
      </c>
      <c r="G12780" t="str">
        <v>-</v>
      </c>
    </row>
    <row r="12781">
      <c r="A12781">
        <v>12780</v>
      </c>
      <c r="B12781" t="str">
        <v>UBND Ủy ban nhân dân xã Nghi Xuân  tỉnh Nghệ An</v>
      </c>
      <c r="C12781" t="str">
        <v>-</v>
      </c>
      <c r="D12781" t="str">
        <v>-</v>
      </c>
      <c r="E12781" t="str">
        <v>-</v>
      </c>
      <c r="F12781" t="str">
        <v>-</v>
      </c>
      <c r="G12781" t="str">
        <v>-</v>
      </c>
    </row>
    <row r="12782">
      <c r="A12782">
        <v>12781</v>
      </c>
      <c r="B12782" t="str">
        <v>Công an xã Nghi Vạn  tỉnh Nghệ An</v>
      </c>
      <c r="C12782" t="str">
        <v>-</v>
      </c>
      <c r="D12782" t="str">
        <v>-</v>
      </c>
      <c r="E12782" t="str">
        <v/>
      </c>
      <c r="F12782" t="str">
        <v>-</v>
      </c>
      <c r="G12782" t="str">
        <v>-</v>
      </c>
    </row>
    <row r="12783">
      <c r="A12783">
        <v>12782</v>
      </c>
      <c r="B12783" t="str">
        <v>UBND Ủy ban nhân dân xã Nghi Vạn  tỉnh Nghệ An</v>
      </c>
      <c r="C12783" t="str">
        <v>-</v>
      </c>
      <c r="D12783" t="str">
        <v>-</v>
      </c>
      <c r="E12783" t="str">
        <v>-</v>
      </c>
      <c r="F12783" t="str">
        <v>-</v>
      </c>
      <c r="G12783" t="str">
        <v>-</v>
      </c>
    </row>
    <row r="12784">
      <c r="A12784">
        <v>12783</v>
      </c>
      <c r="B12784" t="str">
        <v>Công an xã Phúc Thọ  tỉnh Nghệ An</v>
      </c>
      <c r="C12784" t="str">
        <v>-</v>
      </c>
      <c r="D12784" t="str">
        <v>-</v>
      </c>
      <c r="E12784" t="str">
        <v/>
      </c>
      <c r="F12784" t="str">
        <v>-</v>
      </c>
      <c r="G12784" t="str">
        <v>-</v>
      </c>
    </row>
    <row r="12785">
      <c r="A12785">
        <v>12784</v>
      </c>
      <c r="B12785" t="str">
        <v>UBND Ủy ban nhân dân xã Phúc Thọ  tỉnh Nghệ An</v>
      </c>
      <c r="C12785" t="str">
        <v>-</v>
      </c>
      <c r="D12785" t="str">
        <v>-</v>
      </c>
      <c r="E12785" t="str">
        <v>-</v>
      </c>
      <c r="F12785" t="str">
        <v>-</v>
      </c>
      <c r="G12785" t="str">
        <v>-</v>
      </c>
    </row>
    <row r="12786">
      <c r="A12786">
        <v>12785</v>
      </c>
      <c r="B12786" t="str">
        <v>Công an xã Nghi Thái  tỉnh Nghệ An</v>
      </c>
      <c r="C12786" t="str">
        <v>-</v>
      </c>
      <c r="D12786" t="str">
        <v>-</v>
      </c>
      <c r="E12786" t="str">
        <v/>
      </c>
      <c r="F12786" t="str">
        <v>-</v>
      </c>
      <c r="G12786" t="str">
        <v>-</v>
      </c>
    </row>
    <row r="12787">
      <c r="A12787">
        <v>12786</v>
      </c>
      <c r="B12787" t="str">
        <v>UBND Ủy ban nhân dân xã Nghi Thái  tỉnh Nghệ An</v>
      </c>
      <c r="C12787" t="str">
        <v>-</v>
      </c>
      <c r="D12787" t="str">
        <v>-</v>
      </c>
      <c r="E12787" t="str">
        <v>-</v>
      </c>
      <c r="F12787" t="str">
        <v>-</v>
      </c>
      <c r="G12787" t="str">
        <v>-</v>
      </c>
    </row>
    <row r="12788">
      <c r="A12788">
        <v>12787</v>
      </c>
      <c r="B12788" t="str">
        <v>Công an thị trấn Nam Đàn  tỉnh Nghệ An</v>
      </c>
      <c r="C12788" t="str">
        <v>-</v>
      </c>
      <c r="D12788" t="str">
        <v>-</v>
      </c>
      <c r="E12788" t="str">
        <v/>
      </c>
      <c r="F12788" t="str">
        <v>-</v>
      </c>
      <c r="G12788" t="str">
        <v>-</v>
      </c>
    </row>
    <row r="12789">
      <c r="A12789">
        <v>12788</v>
      </c>
      <c r="B12789" t="str">
        <v>UBND Ủy ban nhân dân thị trấn Nam Đàn  tỉnh Nghệ An</v>
      </c>
      <c r="C12789" t="str">
        <v>-</v>
      </c>
      <c r="D12789" t="str">
        <v>-</v>
      </c>
      <c r="E12789" t="str">
        <v>-</v>
      </c>
      <c r="F12789" t="str">
        <v>-</v>
      </c>
      <c r="G12789" t="str">
        <v>-</v>
      </c>
    </row>
    <row r="12790">
      <c r="A12790">
        <v>12789</v>
      </c>
      <c r="B12790" t="str">
        <v>Công an xã Nam Hưng  tỉnh Nghệ An</v>
      </c>
      <c r="C12790" t="str">
        <v>-</v>
      </c>
      <c r="D12790" t="str">
        <v>-</v>
      </c>
      <c r="E12790" t="str">
        <v/>
      </c>
      <c r="F12790" t="str">
        <v>-</v>
      </c>
      <c r="G12790" t="str">
        <v>-</v>
      </c>
    </row>
    <row r="12791">
      <c r="A12791">
        <v>12790</v>
      </c>
      <c r="B12791" t="str">
        <v>UBND Ủy ban nhân dân xã Nam Hưng  tỉnh Nghệ An</v>
      </c>
      <c r="C12791" t="str">
        <v>-</v>
      </c>
      <c r="D12791" t="str">
        <v>-</v>
      </c>
      <c r="E12791" t="str">
        <v>-</v>
      </c>
      <c r="F12791" t="str">
        <v>-</v>
      </c>
      <c r="G12791" t="str">
        <v>-</v>
      </c>
    </row>
    <row r="12792">
      <c r="A12792">
        <v>12791</v>
      </c>
      <c r="B12792" t="str">
        <v>Công an xã Nam Nghĩa  tỉnh Nghệ An</v>
      </c>
      <c r="C12792" t="str">
        <v>-</v>
      </c>
      <c r="D12792" t="str">
        <v>-</v>
      </c>
      <c r="E12792" t="str">
        <v/>
      </c>
      <c r="F12792" t="str">
        <v>-</v>
      </c>
      <c r="G12792" t="str">
        <v>-</v>
      </c>
    </row>
    <row r="12793">
      <c r="A12793">
        <v>12792</v>
      </c>
      <c r="B12793" t="str">
        <v>UBND Ủy ban nhân dân xã Nam Nghĩa  tỉnh Nghệ An</v>
      </c>
      <c r="C12793" t="str">
        <v>-</v>
      </c>
      <c r="D12793" t="str">
        <v>-</v>
      </c>
      <c r="E12793" t="str">
        <v>-</v>
      </c>
      <c r="F12793" t="str">
        <v>-</v>
      </c>
      <c r="G12793" t="str">
        <v>-</v>
      </c>
    </row>
    <row r="12794">
      <c r="A12794">
        <v>12793</v>
      </c>
      <c r="B12794" t="str">
        <v>Công an xã Nam Thanh  tỉnh Nghệ An</v>
      </c>
      <c r="C12794" t="str">
        <v>-</v>
      </c>
      <c r="D12794" t="str">
        <v>-</v>
      </c>
      <c r="E12794" t="str">
        <v/>
      </c>
      <c r="F12794" t="str">
        <v>-</v>
      </c>
      <c r="G12794" t="str">
        <v>-</v>
      </c>
    </row>
    <row r="12795">
      <c r="A12795">
        <v>12794</v>
      </c>
      <c r="B12795" t="str">
        <v>UBND Ủy ban nhân dân xã Nam Thanh  tỉnh Nghệ An</v>
      </c>
      <c r="C12795" t="str">
        <v>-</v>
      </c>
      <c r="D12795" t="str">
        <v>-</v>
      </c>
      <c r="E12795" t="str">
        <v>-</v>
      </c>
      <c r="F12795" t="str">
        <v>-</v>
      </c>
      <c r="G12795" t="str">
        <v>-</v>
      </c>
    </row>
    <row r="12796">
      <c r="A12796">
        <v>12795</v>
      </c>
      <c r="B12796" t="str">
        <v>Công an xã Nam Anh  tỉnh Nghệ An</v>
      </c>
      <c r="C12796" t="str">
        <v>-</v>
      </c>
      <c r="D12796" t="str">
        <v>-</v>
      </c>
      <c r="E12796" t="str">
        <v/>
      </c>
      <c r="F12796" t="str">
        <v>-</v>
      </c>
      <c r="G12796" t="str">
        <v>-</v>
      </c>
    </row>
    <row r="12797">
      <c r="A12797">
        <v>12796</v>
      </c>
      <c r="B12797" t="str">
        <v>UBND Ủy ban nhân dân xã Nam Anh  tỉnh Nghệ An</v>
      </c>
      <c r="C12797" t="str">
        <v>-</v>
      </c>
      <c r="D12797" t="str">
        <v>-</v>
      </c>
      <c r="E12797" t="str">
        <v>-</v>
      </c>
      <c r="F12797" t="str">
        <v>-</v>
      </c>
      <c r="G12797" t="str">
        <v>-</v>
      </c>
    </row>
    <row r="12798">
      <c r="A12798">
        <v>12797</v>
      </c>
      <c r="B12798" t="str">
        <v>Công an xã Nam Xuân  tỉnh Nghệ An</v>
      </c>
      <c r="C12798" t="str">
        <v>-</v>
      </c>
      <c r="D12798" t="str">
        <v>-</v>
      </c>
      <c r="E12798" t="str">
        <v/>
      </c>
      <c r="F12798" t="str">
        <v>-</v>
      </c>
      <c r="G12798" t="str">
        <v>-</v>
      </c>
    </row>
    <row r="12799">
      <c r="A12799">
        <v>12798</v>
      </c>
      <c r="B12799" t="str">
        <v>UBND Ủy ban nhân dân xã Nam Xuân  tỉnh Nghệ An</v>
      </c>
      <c r="C12799" t="str">
        <v>-</v>
      </c>
      <c r="D12799" t="str">
        <v>-</v>
      </c>
      <c r="E12799" t="str">
        <v>-</v>
      </c>
      <c r="F12799" t="str">
        <v>-</v>
      </c>
      <c r="G12799" t="str">
        <v>-</v>
      </c>
    </row>
    <row r="12800">
      <c r="A12800">
        <v>12799</v>
      </c>
      <c r="B12800" t="str">
        <v>Công an xã Nam Thái  tỉnh Nghệ An</v>
      </c>
      <c r="C12800" t="str">
        <v>-</v>
      </c>
      <c r="D12800" t="str">
        <v>-</v>
      </c>
      <c r="E12800" t="str">
        <v/>
      </c>
      <c r="F12800" t="str">
        <v>-</v>
      </c>
      <c r="G12800" t="str">
        <v>-</v>
      </c>
    </row>
    <row r="12801">
      <c r="A12801">
        <v>12800</v>
      </c>
      <c r="B12801" t="str">
        <v>UBND Ủy ban nhân dân xã Nam Thái  tỉnh Nghệ An</v>
      </c>
      <c r="C12801" t="str">
        <v>-</v>
      </c>
      <c r="D12801" t="str">
        <v>-</v>
      </c>
      <c r="E12801" t="str">
        <v>-</v>
      </c>
      <c r="F12801" t="str">
        <v>-</v>
      </c>
      <c r="G12801" t="str">
        <v>-</v>
      </c>
    </row>
    <row r="12802">
      <c r="A12802">
        <v>12801</v>
      </c>
      <c r="B12802" t="str">
        <v>Công an xã Vân Diên  tỉnh Nghệ An</v>
      </c>
      <c r="C12802" t="str">
        <v>-</v>
      </c>
      <c r="D12802" t="str">
        <v>-</v>
      </c>
      <c r="E12802" t="str">
        <v/>
      </c>
      <c r="F12802" t="str">
        <v>-</v>
      </c>
      <c r="G12802" t="str">
        <v>-</v>
      </c>
    </row>
    <row r="12803">
      <c r="A12803">
        <v>12802</v>
      </c>
      <c r="B12803" t="str">
        <v>UBND Ủy ban nhân dân xã Vân Diên  tỉnh Nghệ An</v>
      </c>
      <c r="C12803" t="str">
        <v>-</v>
      </c>
      <c r="D12803" t="str">
        <v>-</v>
      </c>
      <c r="E12803" t="str">
        <v>-</v>
      </c>
      <c r="F12803" t="str">
        <v>-</v>
      </c>
      <c r="G12803" t="str">
        <v>-</v>
      </c>
    </row>
    <row r="12804">
      <c r="A12804">
        <v>12803</v>
      </c>
      <c r="B12804" t="str">
        <v>Công an xã Nam Lĩnh  tỉnh Nghệ An</v>
      </c>
      <c r="C12804" t="str">
        <v>-</v>
      </c>
      <c r="D12804" t="str">
        <v>-</v>
      </c>
      <c r="E12804" t="str">
        <v/>
      </c>
      <c r="F12804" t="str">
        <v>-</v>
      </c>
      <c r="G12804" t="str">
        <v>-</v>
      </c>
    </row>
    <row r="12805">
      <c r="A12805">
        <v>12804</v>
      </c>
      <c r="B12805" t="str">
        <v>UBND Ủy ban nhân dân xã Nam Lĩnh  tỉnh Nghệ An</v>
      </c>
      <c r="C12805" t="str">
        <v>-</v>
      </c>
      <c r="D12805" t="str">
        <v>-</v>
      </c>
      <c r="E12805" t="str">
        <v>-</v>
      </c>
      <c r="F12805" t="str">
        <v>-</v>
      </c>
      <c r="G12805" t="str">
        <v>-</v>
      </c>
    </row>
    <row r="12806">
      <c r="A12806">
        <v>12805</v>
      </c>
      <c r="B12806" t="str">
        <v>Công an xã Nam Giang  tỉnh Nghệ An</v>
      </c>
      <c r="C12806" t="str">
        <v>-</v>
      </c>
      <c r="D12806" t="str">
        <v>-</v>
      </c>
      <c r="E12806" t="str">
        <v/>
      </c>
      <c r="F12806" t="str">
        <v>-</v>
      </c>
      <c r="G12806" t="str">
        <v>-</v>
      </c>
    </row>
    <row r="12807">
      <c r="A12807">
        <v>12806</v>
      </c>
      <c r="B12807" t="str">
        <v>UBND Ủy ban nhân dân xã Nam Giang  tỉnh Nghệ An</v>
      </c>
      <c r="C12807" t="str">
        <v>-</v>
      </c>
      <c r="D12807" t="str">
        <v>-</v>
      </c>
      <c r="E12807" t="str">
        <v>-</v>
      </c>
      <c r="F12807" t="str">
        <v>-</v>
      </c>
      <c r="G12807" t="str">
        <v>-</v>
      </c>
    </row>
    <row r="12808">
      <c r="A12808">
        <v>12807</v>
      </c>
      <c r="B12808" t="str">
        <v>Công an xã Xuân Hòa  tỉnh Nghệ An</v>
      </c>
      <c r="C12808" t="str">
        <v>-</v>
      </c>
      <c r="D12808" t="str">
        <v>-</v>
      </c>
      <c r="E12808" t="str">
        <v/>
      </c>
      <c r="F12808" t="str">
        <v>-</v>
      </c>
      <c r="G12808" t="str">
        <v>-</v>
      </c>
    </row>
    <row r="12809">
      <c r="A12809">
        <v>12808</v>
      </c>
      <c r="B12809" t="str">
        <v>UBND Ủy ban nhân dân xã Xuân Hòa  tỉnh Nghệ An</v>
      </c>
      <c r="C12809" t="str">
        <v>-</v>
      </c>
      <c r="D12809" t="str">
        <v>-</v>
      </c>
      <c r="E12809" t="str">
        <v>-</v>
      </c>
      <c r="F12809" t="str">
        <v>-</v>
      </c>
      <c r="G12809" t="str">
        <v>-</v>
      </c>
    </row>
    <row r="12810">
      <c r="A12810">
        <v>12809</v>
      </c>
      <c r="B12810" t="str">
        <v>Công an xã Hùng Tiến  tỉnh Nghệ An</v>
      </c>
      <c r="C12810" t="str">
        <v>-</v>
      </c>
      <c r="D12810" t="str">
        <v>-</v>
      </c>
      <c r="E12810" t="str">
        <v/>
      </c>
      <c r="F12810" t="str">
        <v>-</v>
      </c>
      <c r="G12810" t="str">
        <v>-</v>
      </c>
    </row>
    <row r="12811">
      <c r="A12811">
        <v>12810</v>
      </c>
      <c r="B12811" t="str">
        <v>UBND Ủy ban nhân dân xã Hùng Tiến  tỉnh Nghệ An</v>
      </c>
      <c r="C12811" t="str">
        <v>-</v>
      </c>
      <c r="D12811" t="str">
        <v>-</v>
      </c>
      <c r="E12811" t="str">
        <v>-</v>
      </c>
      <c r="F12811" t="str">
        <v>-</v>
      </c>
      <c r="G12811" t="str">
        <v>-</v>
      </c>
    </row>
    <row r="12812">
      <c r="A12812">
        <v>12811</v>
      </c>
      <c r="B12812" t="str">
        <v>Công an xã Nam Thượng  tỉnh Nghệ An</v>
      </c>
      <c r="C12812" t="str">
        <v>-</v>
      </c>
      <c r="D12812" t="str">
        <v>-</v>
      </c>
      <c r="E12812" t="str">
        <v/>
      </c>
      <c r="F12812" t="str">
        <v>-</v>
      </c>
      <c r="G12812" t="str">
        <v>-</v>
      </c>
    </row>
    <row r="12813">
      <c r="A12813">
        <v>12812</v>
      </c>
      <c r="B12813" t="str">
        <v>UBND Ủy ban nhân dân xã Nam Thượng  tỉnh Nghệ An</v>
      </c>
      <c r="C12813" t="str">
        <v>-</v>
      </c>
      <c r="D12813" t="str">
        <v>-</v>
      </c>
      <c r="E12813" t="str">
        <v>-</v>
      </c>
      <c r="F12813" t="str">
        <v>-</v>
      </c>
      <c r="G12813" t="str">
        <v>-</v>
      </c>
    </row>
    <row r="12814">
      <c r="A12814">
        <v>12813</v>
      </c>
      <c r="B12814" t="str">
        <v>Công an xã Nam Tân  tỉnh Nghệ An</v>
      </c>
      <c r="C12814" t="str">
        <v>-</v>
      </c>
      <c r="D12814" t="str">
        <v>-</v>
      </c>
      <c r="E12814" t="str">
        <v/>
      </c>
      <c r="F12814" t="str">
        <v>-</v>
      </c>
      <c r="G12814" t="str">
        <v>-</v>
      </c>
    </row>
    <row r="12815">
      <c r="A12815">
        <v>12814</v>
      </c>
      <c r="B12815" t="str">
        <v>UBND Ủy ban nhân dân xã Nam Tân  tỉnh Nghệ An</v>
      </c>
      <c r="C12815" t="str">
        <v>-</v>
      </c>
      <c r="D12815" t="str">
        <v>-</v>
      </c>
      <c r="E12815" t="str">
        <v>-</v>
      </c>
      <c r="F12815" t="str">
        <v>-</v>
      </c>
      <c r="G12815" t="str">
        <v>-</v>
      </c>
    </row>
    <row r="12816">
      <c r="A12816">
        <v>12815</v>
      </c>
      <c r="B12816" t="str">
        <v>Công an xã Kim Liên  tỉnh Nghệ An</v>
      </c>
      <c r="C12816" t="str">
        <v>-</v>
      </c>
      <c r="D12816" t="str">
        <v>-</v>
      </c>
      <c r="E12816" t="str">
        <v/>
      </c>
      <c r="F12816" t="str">
        <v>-</v>
      </c>
      <c r="G12816" t="str">
        <v>-</v>
      </c>
    </row>
    <row r="12817">
      <c r="A12817">
        <v>12816</v>
      </c>
      <c r="B12817" t="str">
        <v>UBND Ủy ban nhân dân xã Kim Liên  tỉnh Nghệ An</v>
      </c>
      <c r="C12817" t="str">
        <v>-</v>
      </c>
      <c r="D12817" t="str">
        <v>-</v>
      </c>
      <c r="E12817" t="str">
        <v>-</v>
      </c>
      <c r="F12817" t="str">
        <v>-</v>
      </c>
      <c r="G12817" t="str">
        <v>-</v>
      </c>
    </row>
    <row r="12818">
      <c r="A12818">
        <v>12817</v>
      </c>
      <c r="B12818" t="str">
        <v>Công an xã Nam Lộc  tỉnh Nghệ An</v>
      </c>
      <c r="C12818" t="str">
        <v>-</v>
      </c>
      <c r="D12818" t="str">
        <v>-</v>
      </c>
      <c r="E12818" t="str">
        <v/>
      </c>
      <c r="F12818" t="str">
        <v>-</v>
      </c>
      <c r="G12818" t="str">
        <v>-</v>
      </c>
    </row>
    <row r="12819">
      <c r="A12819">
        <v>12818</v>
      </c>
      <c r="B12819" t="str">
        <v>UBND Ủy ban nhân dân xã Nam Lộc  tỉnh Nghệ An</v>
      </c>
      <c r="C12819" t="str">
        <v>-</v>
      </c>
      <c r="D12819" t="str">
        <v>-</v>
      </c>
      <c r="E12819" t="str">
        <v>-</v>
      </c>
      <c r="F12819" t="str">
        <v>-</v>
      </c>
      <c r="G12819" t="str">
        <v>-</v>
      </c>
    </row>
    <row r="12820">
      <c r="A12820">
        <v>12819</v>
      </c>
      <c r="B12820" t="str">
        <v>Công an xã Hồng Long  tỉnh Nghệ An</v>
      </c>
      <c r="C12820" t="str">
        <v>-</v>
      </c>
      <c r="D12820" t="str">
        <v>-</v>
      </c>
      <c r="E12820" t="str">
        <v/>
      </c>
      <c r="F12820" t="str">
        <v>-</v>
      </c>
      <c r="G12820" t="str">
        <v>-</v>
      </c>
    </row>
    <row r="12821">
      <c r="A12821">
        <v>12820</v>
      </c>
      <c r="B12821" t="str">
        <v>UBND Ủy ban nhân dân xã Hồng Long  tỉnh Nghệ An</v>
      </c>
      <c r="C12821" t="str">
        <v>-</v>
      </c>
      <c r="D12821" t="str">
        <v>-</v>
      </c>
      <c r="E12821" t="str">
        <v>-</v>
      </c>
      <c r="F12821" t="str">
        <v>-</v>
      </c>
      <c r="G12821" t="str">
        <v>-</v>
      </c>
    </row>
    <row r="12822">
      <c r="A12822">
        <v>12821</v>
      </c>
      <c r="B12822" t="str">
        <v>Công an xã Xuân Lâm  tỉnh Nghệ An</v>
      </c>
      <c r="C12822" t="str">
        <v>-</v>
      </c>
      <c r="D12822" t="str">
        <v>-</v>
      </c>
      <c r="E12822" t="str">
        <v/>
      </c>
      <c r="F12822" t="str">
        <v>-</v>
      </c>
      <c r="G12822" t="str">
        <v>-</v>
      </c>
    </row>
    <row r="12823">
      <c r="A12823">
        <v>12822</v>
      </c>
      <c r="B12823" t="str">
        <v>UBND Ủy ban nhân dân xã Xuân Lâm  tỉnh Nghệ An</v>
      </c>
      <c r="C12823" t="str">
        <v>-</v>
      </c>
      <c r="D12823" t="str">
        <v>-</v>
      </c>
      <c r="E12823" t="str">
        <v>-</v>
      </c>
      <c r="F12823" t="str">
        <v>-</v>
      </c>
      <c r="G12823" t="str">
        <v>-</v>
      </c>
    </row>
    <row r="12824">
      <c r="A12824">
        <v>12823</v>
      </c>
      <c r="B12824" t="str">
        <v>Công an xã Nam Cát  tỉnh Nghệ An</v>
      </c>
      <c r="C12824" t="str">
        <v>-</v>
      </c>
      <c r="D12824" t="str">
        <v>-</v>
      </c>
      <c r="E12824" t="str">
        <v/>
      </c>
      <c r="F12824" t="str">
        <v>-</v>
      </c>
      <c r="G12824" t="str">
        <v>-</v>
      </c>
    </row>
    <row r="12825">
      <c r="A12825">
        <v>12824</v>
      </c>
      <c r="B12825" t="str">
        <v>UBND Ủy ban nhân dân xã Nam Cát  tỉnh Nghệ An</v>
      </c>
      <c r="C12825" t="str">
        <v>-</v>
      </c>
      <c r="D12825" t="str">
        <v>-</v>
      </c>
      <c r="E12825" t="str">
        <v>-</v>
      </c>
      <c r="F12825" t="str">
        <v>-</v>
      </c>
      <c r="G12825" t="str">
        <v>-</v>
      </c>
    </row>
    <row r="12826">
      <c r="A12826">
        <v>12825</v>
      </c>
      <c r="B12826" t="str">
        <v>Công an xã Khánh Sơn  tỉnh Nghệ An</v>
      </c>
      <c r="C12826" t="str">
        <v>-</v>
      </c>
      <c r="D12826" t="str">
        <v>-</v>
      </c>
      <c r="E12826" t="str">
        <v/>
      </c>
      <c r="F12826" t="str">
        <v>-</v>
      </c>
      <c r="G12826" t="str">
        <v>-</v>
      </c>
    </row>
    <row r="12827">
      <c r="A12827">
        <v>12826</v>
      </c>
      <c r="B12827" t="str">
        <v>UBND Ủy ban nhân dân xã Khánh Sơn  tỉnh Nghệ An</v>
      </c>
      <c r="C12827" t="str">
        <v>-</v>
      </c>
      <c r="D12827" t="str">
        <v>-</v>
      </c>
      <c r="E12827" t="str">
        <v>-</v>
      </c>
      <c r="F12827" t="str">
        <v>-</v>
      </c>
      <c r="G12827" t="str">
        <v>-</v>
      </c>
    </row>
    <row r="12828">
      <c r="A12828">
        <v>12827</v>
      </c>
      <c r="B12828" t="str">
        <v>Công an xã Nam Phúc  tỉnh Nghệ An</v>
      </c>
      <c r="C12828" t="str">
        <v>-</v>
      </c>
      <c r="D12828" t="str">
        <v>-</v>
      </c>
      <c r="E12828" t="str">
        <v/>
      </c>
      <c r="F12828" t="str">
        <v>-</v>
      </c>
      <c r="G12828" t="str">
        <v>-</v>
      </c>
    </row>
    <row r="12829">
      <c r="A12829">
        <v>12828</v>
      </c>
      <c r="B12829" t="str">
        <v>UBND Ủy ban nhân dân xã Nam Phúc  tỉnh Nghệ An</v>
      </c>
      <c r="C12829" t="str">
        <v>-</v>
      </c>
      <c r="D12829" t="str">
        <v>-</v>
      </c>
      <c r="E12829" t="str">
        <v>-</v>
      </c>
      <c r="F12829" t="str">
        <v>-</v>
      </c>
      <c r="G12829" t="str">
        <v>-</v>
      </c>
    </row>
    <row r="12830">
      <c r="A12830">
        <v>12829</v>
      </c>
      <c r="B12830" t="str">
        <v>Công an xã Nam Cường  tỉnh Nghệ An</v>
      </c>
      <c r="C12830" t="str">
        <v>-</v>
      </c>
      <c r="D12830" t="str">
        <v>-</v>
      </c>
      <c r="E12830" t="str">
        <v/>
      </c>
      <c r="F12830" t="str">
        <v>-</v>
      </c>
      <c r="G12830" t="str">
        <v>-</v>
      </c>
    </row>
    <row r="12831">
      <c r="A12831">
        <v>12830</v>
      </c>
      <c r="B12831" t="str">
        <v>UBND Ủy ban nhân dân xã Nam Cường  tỉnh Nghệ An</v>
      </c>
      <c r="C12831" t="str">
        <v>-</v>
      </c>
      <c r="D12831" t="str">
        <v>-</v>
      </c>
      <c r="E12831" t="str">
        <v>-</v>
      </c>
      <c r="F12831" t="str">
        <v>-</v>
      </c>
      <c r="G12831" t="str">
        <v>-</v>
      </c>
    </row>
    <row r="12832">
      <c r="A12832">
        <v>12831</v>
      </c>
      <c r="B12832" t="str">
        <v>Công an xã Nam Trung  tỉnh Nghệ An</v>
      </c>
      <c r="C12832" t="str">
        <v>-</v>
      </c>
      <c r="D12832" t="str">
        <v>-</v>
      </c>
      <c r="E12832" t="str">
        <v/>
      </c>
      <c r="F12832" t="str">
        <v>-</v>
      </c>
      <c r="G12832" t="str">
        <v>-</v>
      </c>
    </row>
    <row r="12833">
      <c r="A12833">
        <v>12832</v>
      </c>
      <c r="B12833" t="str">
        <v>UBND Ủy ban nhân dân xã Nam Trung  tỉnh Nghệ An</v>
      </c>
      <c r="C12833" t="str">
        <v>-</v>
      </c>
      <c r="D12833" t="str">
        <v>-</v>
      </c>
      <c r="E12833" t="str">
        <v>-</v>
      </c>
      <c r="F12833" t="str">
        <v>-</v>
      </c>
      <c r="G12833" t="str">
        <v>-</v>
      </c>
    </row>
    <row r="12834">
      <c r="A12834">
        <v>12833</v>
      </c>
      <c r="B12834" t="str">
        <v>Công an xã Nam Kim  tỉnh Nghệ An</v>
      </c>
      <c r="C12834" t="str">
        <v>-</v>
      </c>
      <c r="D12834" t="str">
        <v>-</v>
      </c>
      <c r="E12834" t="str">
        <v/>
      </c>
      <c r="F12834" t="str">
        <v>-</v>
      </c>
      <c r="G12834" t="str">
        <v>-</v>
      </c>
    </row>
    <row r="12835">
      <c r="A12835">
        <v>12834</v>
      </c>
      <c r="B12835" t="str">
        <v>UBND Ủy ban nhân dân xã Nam Kim  tỉnh Nghệ An</v>
      </c>
      <c r="C12835" t="str">
        <v>-</v>
      </c>
      <c r="D12835" t="str">
        <v>-</v>
      </c>
      <c r="E12835" t="str">
        <v>-</v>
      </c>
      <c r="F12835" t="str">
        <v>-</v>
      </c>
      <c r="G12835" t="str">
        <v>-</v>
      </c>
    </row>
    <row r="12836">
      <c r="A12836">
        <v>12835</v>
      </c>
      <c r="B12836" t="str">
        <v>Công an thị trấn Hưng Nguyên  tỉnh Nghệ An</v>
      </c>
      <c r="C12836" t="str">
        <v>-</v>
      </c>
      <c r="D12836" t="str">
        <v>-</v>
      </c>
      <c r="E12836" t="str">
        <v/>
      </c>
      <c r="F12836" t="str">
        <v>-</v>
      </c>
      <c r="G12836" t="str">
        <v>-</v>
      </c>
    </row>
    <row r="12837">
      <c r="A12837">
        <v>12836</v>
      </c>
      <c r="B12837" t="str">
        <v>UBND Ủy ban nhân dân thị trấn Hưng Nguyên  tỉnh Nghệ An</v>
      </c>
      <c r="C12837" t="str">
        <v>-</v>
      </c>
      <c r="D12837" t="str">
        <v>-</v>
      </c>
      <c r="E12837" t="str">
        <v>-</v>
      </c>
      <c r="F12837" t="str">
        <v>-</v>
      </c>
      <c r="G12837" t="str">
        <v>-</v>
      </c>
    </row>
    <row r="12838">
      <c r="A12838">
        <v>12837</v>
      </c>
      <c r="B12838" t="str">
        <v>Công an xã Hưng Trung  tỉnh Nghệ An</v>
      </c>
      <c r="C12838" t="str">
        <v>-</v>
      </c>
      <c r="D12838" t="str">
        <v>-</v>
      </c>
      <c r="E12838" t="str">
        <v/>
      </c>
      <c r="F12838" t="str">
        <v>-</v>
      </c>
      <c r="G12838" t="str">
        <v>-</v>
      </c>
    </row>
    <row r="12839">
      <c r="A12839">
        <v>12838</v>
      </c>
      <c r="B12839" t="str">
        <v>UBND Ủy ban nhân dân xã Hưng Trung  tỉnh Nghệ An</v>
      </c>
      <c r="C12839" t="str">
        <v>-</v>
      </c>
      <c r="D12839" t="str">
        <v>-</v>
      </c>
      <c r="E12839" t="str">
        <v>-</v>
      </c>
      <c r="F12839" t="str">
        <v>-</v>
      </c>
      <c r="G12839" t="str">
        <v>-</v>
      </c>
    </row>
    <row r="12840">
      <c r="A12840">
        <v>12839</v>
      </c>
      <c r="B12840" t="str">
        <v>Công an xã Hưng Yên  tỉnh Nghệ An</v>
      </c>
      <c r="C12840" t="str">
        <v>-</v>
      </c>
      <c r="D12840" t="str">
        <v>-</v>
      </c>
      <c r="E12840" t="str">
        <v/>
      </c>
      <c r="F12840" t="str">
        <v>-</v>
      </c>
      <c r="G12840" t="str">
        <v>-</v>
      </c>
    </row>
    <row r="12841">
      <c r="A12841">
        <v>12840</v>
      </c>
      <c r="B12841" t="str">
        <v>UBND Ủy ban nhân dân xã Hưng Yên  tỉnh Nghệ An</v>
      </c>
      <c r="C12841" t="str">
        <v>-</v>
      </c>
      <c r="D12841" t="str">
        <v>-</v>
      </c>
      <c r="E12841" t="str">
        <v>-</v>
      </c>
      <c r="F12841" t="str">
        <v>-</v>
      </c>
      <c r="G12841" t="str">
        <v>-</v>
      </c>
    </row>
    <row r="12842">
      <c r="A12842">
        <v>12841</v>
      </c>
      <c r="B12842" t="str">
        <v>Công an xã Hưng Yên Bắc  tỉnh Nghệ An</v>
      </c>
      <c r="C12842" t="str">
        <v>-</v>
      </c>
      <c r="D12842" t="str">
        <v>-</v>
      </c>
      <c r="E12842" t="str">
        <v/>
      </c>
      <c r="F12842" t="str">
        <v>-</v>
      </c>
      <c r="G12842" t="str">
        <v>-</v>
      </c>
    </row>
    <row r="12843">
      <c r="A12843">
        <v>12842</v>
      </c>
      <c r="B12843" t="str">
        <v>UBND Ủy ban nhân dân xã Hưng Yên Bắc  tỉnh Nghệ An</v>
      </c>
      <c r="C12843" t="str">
        <v>-</v>
      </c>
      <c r="D12843" t="str">
        <v>-</v>
      </c>
      <c r="E12843" t="str">
        <v>-</v>
      </c>
      <c r="F12843" t="str">
        <v>-</v>
      </c>
      <c r="G12843" t="str">
        <v>-</v>
      </c>
    </row>
    <row r="12844">
      <c r="A12844">
        <v>12843</v>
      </c>
      <c r="B12844" t="str">
        <v>Công an xã Hưng Tây  tỉnh Nghệ An</v>
      </c>
      <c r="C12844" t="str">
        <v>-</v>
      </c>
      <c r="D12844" t="str">
        <v>-</v>
      </c>
      <c r="E12844" t="str">
        <v/>
      </c>
      <c r="F12844" t="str">
        <v>-</v>
      </c>
      <c r="G12844" t="str">
        <v>-</v>
      </c>
    </row>
    <row r="12845">
      <c r="A12845">
        <v>12844</v>
      </c>
      <c r="B12845" t="str">
        <v>UBND Ủy ban nhân dân xã Hưng Tây  tỉnh Nghệ An</v>
      </c>
      <c r="C12845" t="str">
        <v>-</v>
      </c>
      <c r="D12845" t="str">
        <v>-</v>
      </c>
      <c r="E12845" t="str">
        <v>-</v>
      </c>
      <c r="F12845" t="str">
        <v>-</v>
      </c>
      <c r="G12845" t="str">
        <v>-</v>
      </c>
    </row>
    <row r="12846">
      <c r="A12846">
        <v>12845</v>
      </c>
      <c r="B12846" t="str">
        <v>Công an xã Hưng Đạo  tỉnh Nghệ An</v>
      </c>
      <c r="C12846" t="str">
        <v>-</v>
      </c>
      <c r="D12846" t="str">
        <v>-</v>
      </c>
      <c r="E12846" t="str">
        <v/>
      </c>
      <c r="F12846" t="str">
        <v>-</v>
      </c>
      <c r="G12846" t="str">
        <v>-</v>
      </c>
    </row>
    <row r="12847">
      <c r="A12847">
        <v>12846</v>
      </c>
      <c r="B12847" t="str">
        <v>UBND Ủy ban nhân dân xã Hưng Đạo  tỉnh Nghệ An</v>
      </c>
      <c r="C12847" t="str">
        <v>-</v>
      </c>
      <c r="D12847" t="str">
        <v>-</v>
      </c>
      <c r="E12847" t="str">
        <v>-</v>
      </c>
      <c r="F12847" t="str">
        <v>-</v>
      </c>
      <c r="G12847" t="str">
        <v>-</v>
      </c>
    </row>
    <row r="12848">
      <c r="A12848">
        <v>12847</v>
      </c>
      <c r="B12848" t="str">
        <v>Công an xã Hưng Mỹ  tỉnh Nghệ An</v>
      </c>
      <c r="C12848" t="str">
        <v>-</v>
      </c>
      <c r="D12848" t="str">
        <v>-</v>
      </c>
      <c r="E12848" t="str">
        <v/>
      </c>
      <c r="F12848" t="str">
        <v>-</v>
      </c>
      <c r="G12848" t="str">
        <v>-</v>
      </c>
    </row>
    <row r="12849">
      <c r="A12849">
        <v>12848</v>
      </c>
      <c r="B12849" t="str">
        <v>UBND Ủy ban nhân dân xã Hưng Mỹ  tỉnh Nghệ An</v>
      </c>
      <c r="C12849" t="str">
        <v>-</v>
      </c>
      <c r="D12849" t="str">
        <v>-</v>
      </c>
      <c r="E12849" t="str">
        <v>-</v>
      </c>
      <c r="F12849" t="str">
        <v>-</v>
      </c>
      <c r="G12849" t="str">
        <v>-</v>
      </c>
    </row>
    <row r="12850">
      <c r="A12850">
        <v>12849</v>
      </c>
      <c r="B12850" t="str">
        <v>Công an xã Hưng Thịnh  tỉnh Nghệ An</v>
      </c>
      <c r="C12850" t="str">
        <v>-</v>
      </c>
      <c r="D12850" t="str">
        <v>-</v>
      </c>
      <c r="E12850" t="str">
        <v/>
      </c>
      <c r="F12850" t="str">
        <v>-</v>
      </c>
      <c r="G12850" t="str">
        <v>-</v>
      </c>
    </row>
    <row r="12851">
      <c r="A12851">
        <v>12850</v>
      </c>
      <c r="B12851" t="str">
        <v>UBND Ủy ban nhân dân xã Hưng Thịnh  tỉnh Nghệ An</v>
      </c>
      <c r="C12851" t="str">
        <v>-</v>
      </c>
      <c r="D12851" t="str">
        <v>-</v>
      </c>
      <c r="E12851" t="str">
        <v>-</v>
      </c>
      <c r="F12851" t="str">
        <v>-</v>
      </c>
      <c r="G12851" t="str">
        <v>-</v>
      </c>
    </row>
    <row r="12852">
      <c r="A12852">
        <v>12851</v>
      </c>
      <c r="B12852" t="str">
        <v>Công an xã Hưng Lĩnh  tỉnh Nghệ An</v>
      </c>
      <c r="C12852" t="str">
        <v>-</v>
      </c>
      <c r="D12852" t="str">
        <v>-</v>
      </c>
      <c r="E12852" t="str">
        <v/>
      </c>
      <c r="F12852" t="str">
        <v>-</v>
      </c>
      <c r="G12852" t="str">
        <v>-</v>
      </c>
    </row>
    <row r="12853">
      <c r="A12853">
        <v>12852</v>
      </c>
      <c r="B12853" t="str">
        <v>UBND Ủy ban nhân dân xã Hưng Lĩnh  tỉnh Nghệ An</v>
      </c>
      <c r="C12853" t="str">
        <v>-</v>
      </c>
      <c r="D12853" t="str">
        <v>-</v>
      </c>
      <c r="E12853" t="str">
        <v>-</v>
      </c>
      <c r="F12853" t="str">
        <v>-</v>
      </c>
      <c r="G12853" t="str">
        <v>-</v>
      </c>
    </row>
    <row r="12854">
      <c r="A12854">
        <v>12853</v>
      </c>
      <c r="B12854" t="str">
        <v>Công an xã Hưng Thông  tỉnh Nghệ An</v>
      </c>
      <c r="C12854" t="str">
        <v>-</v>
      </c>
      <c r="D12854" t="str">
        <v>-</v>
      </c>
      <c r="E12854" t="str">
        <v/>
      </c>
      <c r="F12854" t="str">
        <v>-</v>
      </c>
      <c r="G12854" t="str">
        <v>-</v>
      </c>
    </row>
    <row r="12855">
      <c r="A12855">
        <v>12854</v>
      </c>
      <c r="B12855" t="str">
        <v>UBND Ủy ban nhân dân xã Hưng Thông  tỉnh Nghệ An</v>
      </c>
      <c r="C12855" t="str">
        <v>-</v>
      </c>
      <c r="D12855" t="str">
        <v>-</v>
      </c>
      <c r="E12855" t="str">
        <v>-</v>
      </c>
      <c r="F12855" t="str">
        <v>-</v>
      </c>
      <c r="G12855" t="str">
        <v>-</v>
      </c>
    </row>
    <row r="12856">
      <c r="A12856">
        <v>12855</v>
      </c>
      <c r="B12856" t="str">
        <v>Công an xã Hưng Tân  tỉnh Nghệ An</v>
      </c>
      <c r="C12856" t="str">
        <v>-</v>
      </c>
      <c r="D12856" t="str">
        <v>-</v>
      </c>
      <c r="E12856" t="str">
        <v/>
      </c>
      <c r="F12856" t="str">
        <v>-</v>
      </c>
      <c r="G12856" t="str">
        <v>-</v>
      </c>
    </row>
    <row r="12857">
      <c r="A12857">
        <v>12856</v>
      </c>
      <c r="B12857" t="str">
        <v>UBND Ủy ban nhân dân xã Hưng Tân  tỉnh Nghệ An</v>
      </c>
      <c r="C12857" t="str">
        <v>-</v>
      </c>
      <c r="D12857" t="str">
        <v>-</v>
      </c>
      <c r="E12857" t="str">
        <v>-</v>
      </c>
      <c r="F12857" t="str">
        <v>-</v>
      </c>
      <c r="G12857" t="str">
        <v>-</v>
      </c>
    </row>
    <row r="12858">
      <c r="A12858">
        <v>12857</v>
      </c>
      <c r="B12858" t="str">
        <v>Công an xã Hưng Lợi  tỉnh Nghệ An</v>
      </c>
      <c r="C12858" t="str">
        <v>-</v>
      </c>
      <c r="D12858" t="str">
        <v>-</v>
      </c>
      <c r="E12858" t="str">
        <v/>
      </c>
      <c r="F12858" t="str">
        <v>-</v>
      </c>
      <c r="G12858" t="str">
        <v>-</v>
      </c>
    </row>
    <row r="12859">
      <c r="A12859">
        <v>12858</v>
      </c>
      <c r="B12859" t="str">
        <v>UBND Ủy ban nhân dân xã Hưng Lợi  tỉnh Nghệ An</v>
      </c>
      <c r="C12859" t="str">
        <v>-</v>
      </c>
      <c r="D12859" t="str">
        <v>-</v>
      </c>
      <c r="E12859" t="str">
        <v>-</v>
      </c>
      <c r="F12859" t="str">
        <v>-</v>
      </c>
      <c r="G12859" t="str">
        <v>-</v>
      </c>
    </row>
    <row r="12860">
      <c r="A12860">
        <v>12859</v>
      </c>
      <c r="B12860" t="str">
        <v>Công an xã Hưng Thắng  tỉnh Nghệ An</v>
      </c>
      <c r="C12860" t="str">
        <v>-</v>
      </c>
      <c r="D12860" t="str">
        <v>-</v>
      </c>
      <c r="E12860" t="str">
        <v/>
      </c>
      <c r="F12860" t="str">
        <v>-</v>
      </c>
      <c r="G12860" t="str">
        <v>-</v>
      </c>
    </row>
    <row r="12861">
      <c r="A12861">
        <v>12860</v>
      </c>
      <c r="B12861" t="str">
        <v>UBND Ủy ban nhân dân xã Hưng Thắng  tỉnh Nghệ An</v>
      </c>
      <c r="C12861" t="str">
        <v>-</v>
      </c>
      <c r="D12861" t="str">
        <v>-</v>
      </c>
      <c r="E12861" t="str">
        <v>-</v>
      </c>
      <c r="F12861" t="str">
        <v>-</v>
      </c>
      <c r="G12861" t="str">
        <v>-</v>
      </c>
    </row>
    <row r="12862">
      <c r="A12862">
        <v>12861</v>
      </c>
      <c r="B12862" t="str">
        <v>Công an xã Hưng Phúc  tỉnh Nghệ An</v>
      </c>
      <c r="C12862" t="str">
        <v>-</v>
      </c>
      <c r="D12862" t="str">
        <v>-</v>
      </c>
      <c r="E12862" t="str">
        <v/>
      </c>
      <c r="F12862" t="str">
        <v>-</v>
      </c>
      <c r="G12862" t="str">
        <v>-</v>
      </c>
    </row>
    <row r="12863">
      <c r="A12863">
        <v>12862</v>
      </c>
      <c r="B12863" t="str">
        <v>UBND Ủy ban nhân dân xã Hưng Phúc  tỉnh Nghệ An</v>
      </c>
      <c r="C12863" t="str">
        <v>-</v>
      </c>
      <c r="D12863" t="str">
        <v>-</v>
      </c>
      <c r="E12863" t="str">
        <v>-</v>
      </c>
      <c r="F12863" t="str">
        <v>-</v>
      </c>
      <c r="G12863" t="str">
        <v>-</v>
      </c>
    </row>
    <row r="12864">
      <c r="A12864">
        <v>12863</v>
      </c>
      <c r="B12864" t="str">
        <v>Công an xã Hưng Long  tỉnh Nghệ An</v>
      </c>
      <c r="C12864" t="str">
        <v>-</v>
      </c>
      <c r="D12864" t="str">
        <v>-</v>
      </c>
      <c r="E12864" t="str">
        <v/>
      </c>
      <c r="F12864" t="str">
        <v>-</v>
      </c>
      <c r="G12864" t="str">
        <v>-</v>
      </c>
    </row>
    <row r="12865">
      <c r="A12865">
        <v>12864</v>
      </c>
      <c r="B12865" t="str">
        <v>UBND Ủy ban nhân dân xã Hưng Long  tỉnh Nghệ An</v>
      </c>
      <c r="C12865" t="str">
        <v>-</v>
      </c>
      <c r="D12865" t="str">
        <v>-</v>
      </c>
      <c r="E12865" t="str">
        <v>-</v>
      </c>
      <c r="F12865" t="str">
        <v>-</v>
      </c>
      <c r="G12865" t="str">
        <v>-</v>
      </c>
    </row>
    <row r="12866">
      <c r="A12866">
        <v>12865</v>
      </c>
      <c r="B12866" t="str">
        <v>Công an xã Hưng Tiến  tỉnh Nghệ An</v>
      </c>
      <c r="C12866" t="str">
        <v>-</v>
      </c>
      <c r="D12866" t="str">
        <v>-</v>
      </c>
      <c r="E12866" t="str">
        <v/>
      </c>
      <c r="F12866" t="str">
        <v>-</v>
      </c>
      <c r="G12866" t="str">
        <v>-</v>
      </c>
    </row>
    <row r="12867">
      <c r="A12867">
        <v>12866</v>
      </c>
      <c r="B12867" t="str">
        <v>UBND Ủy ban nhân dân xã Hưng Tiến  tỉnh Nghệ An</v>
      </c>
      <c r="C12867" t="str">
        <v>-</v>
      </c>
      <c r="D12867" t="str">
        <v>-</v>
      </c>
      <c r="E12867" t="str">
        <v>-</v>
      </c>
      <c r="F12867" t="str">
        <v>-</v>
      </c>
      <c r="G12867" t="str">
        <v>-</v>
      </c>
    </row>
    <row r="12868">
      <c r="A12868">
        <v>12867</v>
      </c>
      <c r="B12868" t="str">
        <v>Công an xã Hưng Xá  tỉnh Nghệ An</v>
      </c>
      <c r="C12868" t="str">
        <v>-</v>
      </c>
      <c r="D12868" t="str">
        <v>-</v>
      </c>
      <c r="E12868" t="str">
        <v/>
      </c>
      <c r="F12868" t="str">
        <v>-</v>
      </c>
      <c r="G12868" t="str">
        <v>-</v>
      </c>
    </row>
    <row r="12869">
      <c r="A12869">
        <v>12868</v>
      </c>
      <c r="B12869" t="str">
        <v>UBND Ủy ban nhân dân xã Hưng Xá  tỉnh Nghệ An</v>
      </c>
      <c r="C12869" t="str">
        <v>-</v>
      </c>
      <c r="D12869" t="str">
        <v>-</v>
      </c>
      <c r="E12869" t="str">
        <v>-</v>
      </c>
      <c r="F12869" t="str">
        <v>-</v>
      </c>
      <c r="G12869" t="str">
        <v>-</v>
      </c>
    </row>
    <row r="12870">
      <c r="A12870">
        <v>12869</v>
      </c>
      <c r="B12870" t="str">
        <v>Công an xã Hưng Châu  tỉnh Nghệ An</v>
      </c>
      <c r="C12870" t="str">
        <v>-</v>
      </c>
      <c r="D12870" t="str">
        <v>-</v>
      </c>
      <c r="E12870" t="str">
        <v/>
      </c>
      <c r="F12870" t="str">
        <v>-</v>
      </c>
      <c r="G12870" t="str">
        <v>-</v>
      </c>
    </row>
    <row r="12871">
      <c r="A12871">
        <v>12870</v>
      </c>
      <c r="B12871" t="str">
        <v>UBND Ủy ban nhân dân xã Hưng Châu  tỉnh Nghệ An</v>
      </c>
      <c r="C12871" t="str">
        <v>-</v>
      </c>
      <c r="D12871" t="str">
        <v>-</v>
      </c>
      <c r="E12871" t="str">
        <v>-</v>
      </c>
      <c r="F12871" t="str">
        <v>-</v>
      </c>
      <c r="G12871" t="str">
        <v>-</v>
      </c>
    </row>
    <row r="12872">
      <c r="A12872">
        <v>12871</v>
      </c>
      <c r="B12872" t="str">
        <v>Công an xã Hưng Xuân  tỉnh Nghệ An</v>
      </c>
      <c r="C12872" t="str">
        <v>-</v>
      </c>
      <c r="D12872" t="str">
        <v>-</v>
      </c>
      <c r="E12872" t="str">
        <v/>
      </c>
      <c r="F12872" t="str">
        <v>-</v>
      </c>
      <c r="G12872" t="str">
        <v>-</v>
      </c>
    </row>
    <row r="12873">
      <c r="A12873">
        <v>12872</v>
      </c>
      <c r="B12873" t="str">
        <v>UBND Ủy ban nhân dân xã Hưng Xuân  tỉnh Nghệ An</v>
      </c>
      <c r="C12873" t="str">
        <v>-</v>
      </c>
      <c r="D12873" t="str">
        <v>-</v>
      </c>
      <c r="E12873" t="str">
        <v>-</v>
      </c>
      <c r="F12873" t="str">
        <v>-</v>
      </c>
      <c r="G12873" t="str">
        <v>-</v>
      </c>
    </row>
    <row r="12874">
      <c r="A12874">
        <v>12873</v>
      </c>
      <c r="B12874" t="str">
        <v>Công an xã Hưng Nhân  tỉnh Nghệ An</v>
      </c>
      <c r="C12874" t="str">
        <v>-</v>
      </c>
      <c r="D12874" t="str">
        <v>-</v>
      </c>
      <c r="E12874" t="str">
        <v/>
      </c>
      <c r="F12874" t="str">
        <v>-</v>
      </c>
      <c r="G12874" t="str">
        <v>-</v>
      </c>
    </row>
    <row r="12875">
      <c r="A12875">
        <v>12874</v>
      </c>
      <c r="B12875" t="str">
        <v>UBND Ủy ban nhân dân xã Hưng Nhân  tỉnh Nghệ An</v>
      </c>
      <c r="C12875" t="str">
        <v>-</v>
      </c>
      <c r="D12875" t="str">
        <v>-</v>
      </c>
      <c r="E12875" t="str">
        <v>-</v>
      </c>
      <c r="F12875" t="str">
        <v>-</v>
      </c>
      <c r="G12875" t="str">
        <v>-</v>
      </c>
    </row>
    <row r="12876">
      <c r="A12876">
        <v>12875</v>
      </c>
      <c r="B12876" t="str">
        <v>Công an xã Hưng Phú  tỉnh Nghệ An</v>
      </c>
      <c r="C12876" t="str">
        <v>-</v>
      </c>
      <c r="D12876" t="str">
        <v>-</v>
      </c>
      <c r="E12876" t="str">
        <v/>
      </c>
      <c r="F12876" t="str">
        <v>-</v>
      </c>
      <c r="G12876" t="str">
        <v>-</v>
      </c>
    </row>
    <row r="12877">
      <c r="A12877">
        <v>12876</v>
      </c>
      <c r="B12877" t="str">
        <v>UBND Ủy ban nhân dân xã Hưng Phú  tỉnh Nghệ An</v>
      </c>
      <c r="C12877" t="str">
        <v>-</v>
      </c>
      <c r="D12877" t="str">
        <v>-</v>
      </c>
      <c r="E12877" t="str">
        <v>-</v>
      </c>
      <c r="F12877" t="str">
        <v>-</v>
      </c>
      <c r="G12877" t="str">
        <v>-</v>
      </c>
    </row>
    <row r="12878">
      <c r="A12878">
        <v>12877</v>
      </c>
      <c r="B12878" t="str">
        <v>Công an xã Hưng Khánh  tỉnh Nghệ An</v>
      </c>
      <c r="C12878" t="str">
        <v>-</v>
      </c>
      <c r="D12878" t="str">
        <v>-</v>
      </c>
      <c r="E12878" t="str">
        <v/>
      </c>
      <c r="F12878" t="str">
        <v>-</v>
      </c>
      <c r="G12878" t="str">
        <v>-</v>
      </c>
    </row>
    <row r="12879">
      <c r="A12879">
        <v>12878</v>
      </c>
      <c r="B12879" t="str">
        <v>UBND Ủy ban nhân dân xã Hưng Khánh  tỉnh Nghệ An</v>
      </c>
      <c r="C12879" t="str">
        <v>-</v>
      </c>
      <c r="D12879" t="str">
        <v>-</v>
      </c>
      <c r="E12879" t="str">
        <v>-</v>
      </c>
      <c r="F12879" t="str">
        <v>-</v>
      </c>
      <c r="G12879" t="str">
        <v>-</v>
      </c>
    </row>
    <row r="12880">
      <c r="A12880">
        <v>12879</v>
      </c>
      <c r="B12880" t="str">
        <v>Công an xã Hưng Lam  tỉnh Nghệ An</v>
      </c>
      <c r="C12880" t="str">
        <v>-</v>
      </c>
      <c r="D12880" t="str">
        <v>-</v>
      </c>
      <c r="E12880" t="str">
        <v/>
      </c>
      <c r="F12880" t="str">
        <v>-</v>
      </c>
      <c r="G12880" t="str">
        <v>-</v>
      </c>
    </row>
    <row r="12881">
      <c r="A12881">
        <v>12880</v>
      </c>
      <c r="B12881" t="str">
        <v>UBND Ủy ban nhân dân xã Hưng Lam  tỉnh Nghệ An</v>
      </c>
      <c r="C12881" t="str">
        <v>-</v>
      </c>
      <c r="D12881" t="str">
        <v>-</v>
      </c>
      <c r="E12881" t="str">
        <v>-</v>
      </c>
      <c r="F12881" t="str">
        <v>-</v>
      </c>
      <c r="G12881" t="str">
        <v>-</v>
      </c>
    </row>
    <row r="12882">
      <c r="A12882">
        <v>12881</v>
      </c>
      <c r="B12882" t="str">
        <v>Công an xã Quỳnh Vinh  tỉnh Nghệ An</v>
      </c>
      <c r="C12882" t="str">
        <v>-</v>
      </c>
      <c r="D12882" t="str">
        <v>-</v>
      </c>
      <c r="E12882" t="str">
        <v/>
      </c>
      <c r="F12882" t="str">
        <v>-</v>
      </c>
      <c r="G12882" t="str">
        <v>-</v>
      </c>
    </row>
    <row r="12883">
      <c r="A12883">
        <v>12882</v>
      </c>
      <c r="B12883" t="str">
        <v>UBND Ủy ban nhân dân xã Quỳnh Vinh  tỉnh Nghệ An</v>
      </c>
      <c r="C12883" t="str">
        <v>-</v>
      </c>
      <c r="D12883" t="str">
        <v>-</v>
      </c>
      <c r="E12883" t="str">
        <v>-</v>
      </c>
      <c r="F12883" t="str">
        <v>-</v>
      </c>
      <c r="G12883" t="str">
        <v>-</v>
      </c>
    </row>
    <row r="12884">
      <c r="A12884">
        <v>12883</v>
      </c>
      <c r="B12884" t="str">
        <v>Công an xã Quỳnh Lộc  tỉnh Nghệ An</v>
      </c>
      <c r="C12884" t="str">
        <v>-</v>
      </c>
      <c r="D12884" t="str">
        <v>-</v>
      </c>
      <c r="E12884" t="str">
        <v/>
      </c>
      <c r="F12884" t="str">
        <v>-</v>
      </c>
      <c r="G12884" t="str">
        <v>-</v>
      </c>
    </row>
    <row r="12885">
      <c r="A12885">
        <v>12884</v>
      </c>
      <c r="B12885" t="str">
        <v>UBND Ủy ban nhân dân xã Quỳnh Lộc  tỉnh Nghệ An</v>
      </c>
      <c r="C12885" t="str">
        <v>-</v>
      </c>
      <c r="D12885" t="str">
        <v>-</v>
      </c>
      <c r="E12885" t="str">
        <v>-</v>
      </c>
      <c r="F12885" t="str">
        <v>-</v>
      </c>
      <c r="G12885" t="str">
        <v>-</v>
      </c>
    </row>
    <row r="12886">
      <c r="A12886">
        <v>12885</v>
      </c>
      <c r="B12886" t="str">
        <v>Công an phường Quỳnh Thiện  tỉnh Nghệ An</v>
      </c>
      <c r="C12886" t="str">
        <v>-</v>
      </c>
      <c r="D12886" t="str">
        <v>-</v>
      </c>
      <c r="E12886" t="str">
        <v/>
      </c>
      <c r="F12886" t="str">
        <v>-</v>
      </c>
      <c r="G12886" t="str">
        <v>-</v>
      </c>
    </row>
    <row r="12887">
      <c r="A12887">
        <v>12886</v>
      </c>
      <c r="B12887" t="str">
        <v>UBND Ủy ban nhân dân phường Quỳnh Thiện  tỉnh Nghệ An</v>
      </c>
      <c r="C12887" t="str">
        <v>-</v>
      </c>
      <c r="D12887" t="str">
        <v>-</v>
      </c>
      <c r="E12887" t="str">
        <v>-</v>
      </c>
      <c r="F12887" t="str">
        <v>-</v>
      </c>
      <c r="G12887" t="str">
        <v>-</v>
      </c>
    </row>
    <row r="12888">
      <c r="A12888">
        <v>12887</v>
      </c>
      <c r="B12888" t="str">
        <v>Công an xã Quỳnh Lập  tỉnh Nghệ An</v>
      </c>
      <c r="C12888" t="str">
        <v>-</v>
      </c>
      <c r="D12888" t="str">
        <v>-</v>
      </c>
      <c r="E12888" t="str">
        <v/>
      </c>
      <c r="F12888" t="str">
        <v>-</v>
      </c>
      <c r="G12888" t="str">
        <v>-</v>
      </c>
    </row>
    <row r="12889">
      <c r="A12889">
        <v>12888</v>
      </c>
      <c r="B12889" t="str">
        <v>UBND Ủy ban nhân dân xã Quỳnh Lập  tỉnh Nghệ An</v>
      </c>
      <c r="C12889" t="str">
        <v>-</v>
      </c>
      <c r="D12889" t="str">
        <v>-</v>
      </c>
      <c r="E12889" t="str">
        <v>-</v>
      </c>
      <c r="F12889" t="str">
        <v>-</v>
      </c>
      <c r="G12889" t="str">
        <v>-</v>
      </c>
    </row>
    <row r="12890">
      <c r="A12890">
        <v>12889</v>
      </c>
      <c r="B12890" t="str">
        <v>Công an xã Quỳnh Trang  tỉnh Nghệ An</v>
      </c>
      <c r="C12890" t="str">
        <v>-</v>
      </c>
      <c r="D12890" t="str">
        <v>-</v>
      </c>
      <c r="E12890" t="str">
        <v/>
      </c>
      <c r="F12890" t="str">
        <v>-</v>
      </c>
      <c r="G12890" t="str">
        <v>-</v>
      </c>
    </row>
    <row r="12891">
      <c r="A12891">
        <v>12890</v>
      </c>
      <c r="B12891" t="str">
        <v>UBND Ủy ban nhân dân xã Quỳnh Trang  tỉnh Nghệ An</v>
      </c>
      <c r="C12891" t="str">
        <v>-</v>
      </c>
      <c r="D12891" t="str">
        <v>-</v>
      </c>
      <c r="E12891" t="str">
        <v>-</v>
      </c>
      <c r="F12891" t="str">
        <v>-</v>
      </c>
      <c r="G12891" t="str">
        <v>-</v>
      </c>
    </row>
    <row r="12892">
      <c r="A12892">
        <v>12891</v>
      </c>
      <c r="B12892" t="str">
        <v>Công an phường Mai Hùng  tỉnh Nghệ An</v>
      </c>
      <c r="C12892" t="str">
        <v>-</v>
      </c>
      <c r="D12892" t="str">
        <v>-</v>
      </c>
      <c r="E12892" t="str">
        <v/>
      </c>
      <c r="F12892" t="str">
        <v>-</v>
      </c>
      <c r="G12892" t="str">
        <v>-</v>
      </c>
    </row>
    <row r="12893">
      <c r="A12893">
        <v>12892</v>
      </c>
      <c r="B12893" t="str">
        <v>UBND Ủy ban nhân dân phường Mai Hùng  tỉnh Nghệ An</v>
      </c>
      <c r="C12893" t="str">
        <v>-</v>
      </c>
      <c r="D12893" t="str">
        <v>-</v>
      </c>
      <c r="E12893" t="str">
        <v>-</v>
      </c>
      <c r="F12893" t="str">
        <v>-</v>
      </c>
      <c r="G12893" t="str">
        <v>-</v>
      </c>
    </row>
    <row r="12894">
      <c r="A12894">
        <v>12893</v>
      </c>
      <c r="B12894" t="str">
        <v>Công an phường Quỳnh Dị  tỉnh Nghệ An</v>
      </c>
      <c r="C12894" t="str">
        <v>-</v>
      </c>
      <c r="D12894" t="str">
        <v>-</v>
      </c>
      <c r="E12894" t="str">
        <v/>
      </c>
      <c r="F12894" t="str">
        <v>-</v>
      </c>
      <c r="G12894" t="str">
        <v>-</v>
      </c>
    </row>
    <row r="12895">
      <c r="A12895">
        <v>12894</v>
      </c>
      <c r="B12895" t="str">
        <v>UBND Ủy ban nhân dân phường Quỳnh Dị  tỉnh Nghệ An</v>
      </c>
      <c r="C12895" t="str">
        <v>-</v>
      </c>
      <c r="D12895" t="str">
        <v>-</v>
      </c>
      <c r="E12895" t="str">
        <v>-</v>
      </c>
      <c r="F12895" t="str">
        <v>-</v>
      </c>
      <c r="G12895" t="str">
        <v>-</v>
      </c>
    </row>
    <row r="12896">
      <c r="A12896">
        <v>12895</v>
      </c>
      <c r="B12896" t="str">
        <v>Công an phường Quỳnh Xuân  tỉnh Nghệ An</v>
      </c>
      <c r="C12896" t="str">
        <v>-</v>
      </c>
      <c r="D12896" t="str">
        <v>-</v>
      </c>
      <c r="E12896" t="str">
        <v/>
      </c>
      <c r="F12896" t="str">
        <v>-</v>
      </c>
      <c r="G12896" t="str">
        <v>-</v>
      </c>
    </row>
    <row r="12897">
      <c r="A12897">
        <v>12896</v>
      </c>
      <c r="B12897" t="str">
        <v>UBND Ủy ban nhân dân phường Quỳnh Xuân  tỉnh Nghệ An</v>
      </c>
      <c r="C12897" t="str">
        <v>-</v>
      </c>
      <c r="D12897" t="str">
        <v>-</v>
      </c>
      <c r="E12897" t="str">
        <v>-</v>
      </c>
      <c r="F12897" t="str">
        <v>-</v>
      </c>
      <c r="G12897" t="str">
        <v>-</v>
      </c>
    </row>
    <row r="12898">
      <c r="A12898">
        <v>12897</v>
      </c>
      <c r="B12898" t="str">
        <v>Công an phường Quỳnh Phương  tỉnh Nghệ An</v>
      </c>
      <c r="C12898" t="str">
        <v>-</v>
      </c>
      <c r="D12898" t="str">
        <v>-</v>
      </c>
      <c r="E12898" t="str">
        <v/>
      </c>
      <c r="F12898" t="str">
        <v>-</v>
      </c>
      <c r="G12898" t="str">
        <v>-</v>
      </c>
    </row>
    <row r="12899">
      <c r="A12899">
        <v>12898</v>
      </c>
      <c r="B12899" t="str">
        <v>UBND Ủy ban nhân dân phường Quỳnh Phương  tỉnh Nghệ An</v>
      </c>
      <c r="C12899" t="str">
        <v>-</v>
      </c>
      <c r="D12899" t="str">
        <v>-</v>
      </c>
      <c r="E12899" t="str">
        <v>-</v>
      </c>
      <c r="F12899" t="str">
        <v>-</v>
      </c>
      <c r="G12899" t="str">
        <v>-</v>
      </c>
    </row>
    <row r="12900">
      <c r="A12900">
        <v>12899</v>
      </c>
      <c r="B12900" t="str">
        <v>Công an xã Quỳnh Liên  tỉnh Nghệ An</v>
      </c>
      <c r="C12900" t="str">
        <v>-</v>
      </c>
      <c r="D12900" t="str">
        <v>-</v>
      </c>
      <c r="E12900" t="str">
        <v/>
      </c>
      <c r="F12900" t="str">
        <v>-</v>
      </c>
      <c r="G12900" t="str">
        <v>-</v>
      </c>
    </row>
    <row r="12901">
      <c r="A12901">
        <v>12900</v>
      </c>
      <c r="B12901" t="str">
        <v>UBND Ủy ban nhân dân xã Quỳnh Liên  tỉnh Nghệ An</v>
      </c>
      <c r="C12901" t="str">
        <v>-</v>
      </c>
      <c r="D12901" t="str">
        <v>-</v>
      </c>
      <c r="E12901" t="str">
        <v>-</v>
      </c>
      <c r="F12901" t="str">
        <v>-</v>
      </c>
      <c r="G12901" t="str">
        <v>-</v>
      </c>
    </row>
    <row r="12902">
      <c r="A12902">
        <v>12901</v>
      </c>
      <c r="B12902" t="str">
        <v>Công an phường Trần Phú  tỉnh Hà Tĩnh</v>
      </c>
      <c r="C12902" t="str">
        <v>-</v>
      </c>
      <c r="D12902" t="str">
        <v>-</v>
      </c>
      <c r="E12902" t="str">
        <v/>
      </c>
      <c r="F12902" t="str">
        <v>-</v>
      </c>
      <c r="G12902" t="str">
        <v>-</v>
      </c>
    </row>
    <row r="12903">
      <c r="A12903">
        <v>12902</v>
      </c>
      <c r="B12903" t="str">
        <v>UBND Ủy ban nhân dân phường Trần Phú  tỉnh Hà Tĩnh</v>
      </c>
      <c r="C12903" t="str">
        <v>-</v>
      </c>
      <c r="D12903" t="str">
        <v>-</v>
      </c>
      <c r="E12903" t="str">
        <v>-</v>
      </c>
      <c r="F12903" t="str">
        <v>-</v>
      </c>
      <c r="G12903" t="str">
        <v>-</v>
      </c>
    </row>
    <row r="12904">
      <c r="A12904">
        <v>12903</v>
      </c>
      <c r="B12904" t="str">
        <v>Công an phường Nam Hà  tỉnh Hà Tĩnh</v>
      </c>
      <c r="C12904" t="str">
        <v>-</v>
      </c>
      <c r="D12904" t="str">
        <v>-</v>
      </c>
      <c r="E12904" t="str">
        <v/>
      </c>
      <c r="F12904" t="str">
        <v>-</v>
      </c>
      <c r="G12904" t="str">
        <v>-</v>
      </c>
    </row>
    <row r="12905">
      <c r="A12905">
        <v>12904</v>
      </c>
      <c r="B12905" t="str">
        <v>UBND Ủy ban nhân dân phường Nam Hà  tỉnh Hà Tĩnh</v>
      </c>
      <c r="C12905" t="str">
        <v>-</v>
      </c>
      <c r="D12905" t="str">
        <v>-</v>
      </c>
      <c r="E12905" t="str">
        <v>-</v>
      </c>
      <c r="F12905" t="str">
        <v>-</v>
      </c>
      <c r="G12905" t="str">
        <v>-</v>
      </c>
    </row>
    <row r="12906">
      <c r="A12906">
        <v>12905</v>
      </c>
      <c r="B12906" t="str">
        <v>Công an phường Bắc Hà  tỉnh Hà Tĩnh</v>
      </c>
      <c r="C12906" t="str">
        <v>-</v>
      </c>
      <c r="D12906" t="str">
        <v>-</v>
      </c>
      <c r="E12906" t="str">
        <v/>
      </c>
      <c r="F12906" t="str">
        <v>-</v>
      </c>
      <c r="G12906" t="str">
        <v>-</v>
      </c>
    </row>
    <row r="12907">
      <c r="A12907">
        <v>12906</v>
      </c>
      <c r="B12907" t="str">
        <v>UBND Ủy ban nhân dân phường Bắc Hà  tỉnh Hà Tĩnh</v>
      </c>
      <c r="C12907" t="str">
        <v>-</v>
      </c>
      <c r="D12907" t="str">
        <v>-</v>
      </c>
      <c r="E12907" t="str">
        <v>-</v>
      </c>
      <c r="F12907" t="str">
        <v>-</v>
      </c>
      <c r="G12907" t="str">
        <v>-</v>
      </c>
    </row>
    <row r="12908">
      <c r="A12908">
        <v>12907</v>
      </c>
      <c r="B12908" t="str">
        <v>Công an phường Nguyễn Du  tỉnh Hà Tĩnh</v>
      </c>
      <c r="C12908" t="str">
        <v>-</v>
      </c>
      <c r="D12908" t="str">
        <v>-</v>
      </c>
      <c r="E12908" t="str">
        <v/>
      </c>
      <c r="F12908" t="str">
        <v>-</v>
      </c>
      <c r="G12908" t="str">
        <v>-</v>
      </c>
    </row>
    <row r="12909">
      <c r="A12909">
        <v>12908</v>
      </c>
      <c r="B12909" t="str">
        <v>UBND Ủy ban nhân dân phường Nguyễn Du  tỉnh Hà Tĩnh</v>
      </c>
      <c r="C12909" t="str">
        <v>-</v>
      </c>
      <c r="D12909" t="str">
        <v>-</v>
      </c>
      <c r="E12909" t="str">
        <v>-</v>
      </c>
      <c r="F12909" t="str">
        <v>-</v>
      </c>
      <c r="G12909" t="str">
        <v>-</v>
      </c>
    </row>
    <row r="12910">
      <c r="A12910">
        <v>12909</v>
      </c>
      <c r="B12910" t="str">
        <v>Công an phường Tân Giang  tỉnh Hà Tĩnh</v>
      </c>
      <c r="C12910" t="str">
        <v>-</v>
      </c>
      <c r="D12910" t="str">
        <v>-</v>
      </c>
      <c r="E12910" t="str">
        <v/>
      </c>
      <c r="F12910" t="str">
        <v>-</v>
      </c>
      <c r="G12910" t="str">
        <v>-</v>
      </c>
    </row>
    <row r="12911">
      <c r="A12911">
        <v>12910</v>
      </c>
      <c r="B12911" t="str">
        <v>UBND Ủy ban nhân dân phường Tân Giang  tỉnh Hà Tĩnh</v>
      </c>
      <c r="C12911" t="str">
        <v>-</v>
      </c>
      <c r="D12911" t="str">
        <v>-</v>
      </c>
      <c r="E12911" t="str">
        <v>-</v>
      </c>
      <c r="F12911" t="str">
        <v>-</v>
      </c>
      <c r="G12911" t="str">
        <v>-</v>
      </c>
    </row>
    <row r="12912">
      <c r="A12912">
        <v>12911</v>
      </c>
      <c r="B12912" t="str">
        <v>Công an phường Đại Nài  tỉnh Hà Tĩnh</v>
      </c>
      <c r="C12912" t="str">
        <v>-</v>
      </c>
      <c r="D12912" t="str">
        <v>-</v>
      </c>
      <c r="E12912" t="str">
        <v/>
      </c>
      <c r="F12912" t="str">
        <v>-</v>
      </c>
      <c r="G12912" t="str">
        <v>-</v>
      </c>
    </row>
    <row r="12913">
      <c r="A12913">
        <v>12912</v>
      </c>
      <c r="B12913" t="str">
        <v>UBND Ủy ban nhân dân phường Đại Nài  tỉnh Hà Tĩnh</v>
      </c>
      <c r="C12913" t="str">
        <v>-</v>
      </c>
      <c r="D12913" t="str">
        <v>-</v>
      </c>
      <c r="E12913" t="str">
        <v>-</v>
      </c>
      <c r="F12913" t="str">
        <v>-</v>
      </c>
      <c r="G12913" t="str">
        <v>-</v>
      </c>
    </row>
    <row r="12914">
      <c r="A12914">
        <v>12913</v>
      </c>
      <c r="B12914" t="str">
        <v>Công an phường Hà Huy Tập  tỉnh Hà Tĩnh</v>
      </c>
      <c r="C12914" t="str">
        <v>-</v>
      </c>
      <c r="D12914" t="str">
        <v>-</v>
      </c>
      <c r="E12914" t="str">
        <v/>
      </c>
      <c r="F12914" t="str">
        <v>-</v>
      </c>
      <c r="G12914" t="str">
        <v>-</v>
      </c>
    </row>
    <row r="12915">
      <c r="A12915">
        <v>12914</v>
      </c>
      <c r="B12915" t="str">
        <v>UBND Ủy ban nhân dân phường Hà Huy Tập  tỉnh Hà Tĩnh</v>
      </c>
      <c r="C12915" t="str">
        <v>-</v>
      </c>
      <c r="D12915" t="str">
        <v>-</v>
      </c>
      <c r="E12915" t="str">
        <v>-</v>
      </c>
      <c r="F12915" t="str">
        <v>-</v>
      </c>
      <c r="G12915" t="str">
        <v>-</v>
      </c>
    </row>
    <row r="12916">
      <c r="A12916">
        <v>12915</v>
      </c>
      <c r="B12916" t="str">
        <v>Công an xã Thạch Trung  tỉnh Hà Tĩnh</v>
      </c>
      <c r="C12916" t="str">
        <v>-</v>
      </c>
      <c r="D12916" t="str">
        <v>-</v>
      </c>
      <c r="E12916" t="str">
        <v/>
      </c>
      <c r="F12916" t="str">
        <v>-</v>
      </c>
      <c r="G12916" t="str">
        <v>-</v>
      </c>
    </row>
    <row r="12917">
      <c r="A12917">
        <v>12916</v>
      </c>
      <c r="B12917" t="str">
        <v>UBND Ủy ban nhân dân xã Thạch Trung  tỉnh Hà Tĩnh</v>
      </c>
      <c r="C12917" t="str">
        <v>-</v>
      </c>
      <c r="D12917" t="str">
        <v>-</v>
      </c>
      <c r="E12917" t="str">
        <v>-</v>
      </c>
      <c r="F12917" t="str">
        <v>-</v>
      </c>
      <c r="G12917" t="str">
        <v>-</v>
      </c>
    </row>
    <row r="12918">
      <c r="A12918">
        <v>12917</v>
      </c>
      <c r="B12918" t="str">
        <v>Công an phường Thạch Quý  tỉnh Hà Tĩnh</v>
      </c>
      <c r="C12918" t="str">
        <v>-</v>
      </c>
      <c r="D12918" t="str">
        <v>-</v>
      </c>
      <c r="E12918" t="str">
        <v/>
      </c>
      <c r="F12918" t="str">
        <v>-</v>
      </c>
      <c r="G12918" t="str">
        <v>-</v>
      </c>
    </row>
    <row r="12919">
      <c r="A12919">
        <v>12918</v>
      </c>
      <c r="B12919" t="str">
        <v>UBND Ủy ban nhân dân phường Thạch Quý  tỉnh Hà Tĩnh</v>
      </c>
      <c r="C12919" t="str">
        <v>-</v>
      </c>
      <c r="D12919" t="str">
        <v>-</v>
      </c>
      <c r="E12919" t="str">
        <v>-</v>
      </c>
      <c r="F12919" t="str">
        <v>-</v>
      </c>
      <c r="G12919" t="str">
        <v>-</v>
      </c>
    </row>
    <row r="12920">
      <c r="A12920">
        <v>12919</v>
      </c>
      <c r="B12920" t="str">
        <v>Công an phường Thạch Linh  tỉnh Hà Tĩnh</v>
      </c>
      <c r="C12920" t="str">
        <v>-</v>
      </c>
      <c r="D12920" t="str">
        <v>-</v>
      </c>
      <c r="E12920" t="str">
        <v/>
      </c>
      <c r="F12920" t="str">
        <v>-</v>
      </c>
      <c r="G12920" t="str">
        <v>-</v>
      </c>
    </row>
    <row r="12921">
      <c r="A12921">
        <v>12920</v>
      </c>
      <c r="B12921" t="str">
        <v>UBND Ủy ban nhân dân phường Thạch Linh  tỉnh Hà Tĩnh</v>
      </c>
      <c r="C12921" t="str">
        <v>-</v>
      </c>
      <c r="D12921" t="str">
        <v>-</v>
      </c>
      <c r="E12921" t="str">
        <v>-</v>
      </c>
      <c r="F12921" t="str">
        <v>-</v>
      </c>
      <c r="G12921" t="str">
        <v>-</v>
      </c>
    </row>
    <row r="12922">
      <c r="A12922">
        <v>12921</v>
      </c>
      <c r="B12922" t="str">
        <v>Công an phường Văn Yên  tỉnh Hà Tĩnh</v>
      </c>
      <c r="C12922" t="str">
        <v>-</v>
      </c>
      <c r="D12922" t="str">
        <v>-</v>
      </c>
      <c r="E12922" t="str">
        <v/>
      </c>
      <c r="F12922" t="str">
        <v>-</v>
      </c>
      <c r="G12922" t="str">
        <v>-</v>
      </c>
    </row>
    <row r="12923">
      <c r="A12923">
        <v>12922</v>
      </c>
      <c r="B12923" t="str">
        <v>UBND Ủy ban nhân dân phường Văn Yên  tỉnh Hà Tĩnh</v>
      </c>
      <c r="C12923" t="str">
        <v>-</v>
      </c>
      <c r="D12923" t="str">
        <v>-</v>
      </c>
      <c r="E12923" t="str">
        <v>-</v>
      </c>
      <c r="F12923" t="str">
        <v>-</v>
      </c>
      <c r="G12923" t="str">
        <v>-</v>
      </c>
    </row>
    <row r="12924">
      <c r="A12924">
        <v>12923</v>
      </c>
      <c r="B12924" t="str">
        <v>Công an xã Thạch Hạ  tỉnh Hà Tĩnh</v>
      </c>
      <c r="C12924" t="str">
        <v>-</v>
      </c>
      <c r="D12924" t="str">
        <v>-</v>
      </c>
      <c r="E12924" t="str">
        <v/>
      </c>
      <c r="F12924" t="str">
        <v>-</v>
      </c>
      <c r="G12924" t="str">
        <v>-</v>
      </c>
    </row>
    <row r="12925">
      <c r="A12925">
        <v>12924</v>
      </c>
      <c r="B12925" t="str">
        <v>UBND Ủy ban nhân dân xã Thạch Hạ  tỉnh Hà Tĩnh</v>
      </c>
      <c r="C12925" t="str">
        <v>-</v>
      </c>
      <c r="D12925" t="str">
        <v>-</v>
      </c>
      <c r="E12925" t="str">
        <v>-</v>
      </c>
      <c r="F12925" t="str">
        <v>-</v>
      </c>
      <c r="G12925" t="str">
        <v>-</v>
      </c>
    </row>
    <row r="12926">
      <c r="A12926">
        <v>12925</v>
      </c>
      <c r="B12926" t="str">
        <v>Công an xã Thạch Môn  tỉnh Hà Tĩnh</v>
      </c>
      <c r="C12926" t="str">
        <v>-</v>
      </c>
      <c r="D12926" t="str">
        <v>-</v>
      </c>
      <c r="E12926" t="str">
        <v/>
      </c>
      <c r="F12926" t="str">
        <v>-</v>
      </c>
      <c r="G12926" t="str">
        <v>-</v>
      </c>
    </row>
    <row r="12927">
      <c r="A12927">
        <v>12926</v>
      </c>
      <c r="B12927" t="str">
        <v>UBND Ủy ban nhân dân xã Thạch Môn  tỉnh Hà Tĩnh</v>
      </c>
      <c r="C12927" t="str">
        <v>-</v>
      </c>
      <c r="D12927" t="str">
        <v>-</v>
      </c>
      <c r="E12927" t="str">
        <v>-</v>
      </c>
      <c r="F12927" t="str">
        <v>-</v>
      </c>
      <c r="G12927" t="str">
        <v>-</v>
      </c>
    </row>
    <row r="12928">
      <c r="A12928">
        <v>12927</v>
      </c>
      <c r="B12928" t="str">
        <v>Công an xã Thạch Đồng  tỉnh Hà Tĩnh</v>
      </c>
      <c r="C12928" t="str">
        <v>-</v>
      </c>
      <c r="D12928" t="str">
        <v>-</v>
      </c>
      <c r="E12928" t="str">
        <v/>
      </c>
      <c r="F12928" t="str">
        <v>-</v>
      </c>
      <c r="G12928" t="str">
        <v>-</v>
      </c>
    </row>
    <row r="12929">
      <c r="A12929">
        <v>12928</v>
      </c>
      <c r="B12929" t="str">
        <v>UBND Ủy ban nhân dân xã Thạch Đồng  tỉnh Hà Tĩnh</v>
      </c>
      <c r="C12929" t="str">
        <v>-</v>
      </c>
      <c r="D12929" t="str">
        <v>-</v>
      </c>
      <c r="E12929" t="str">
        <v>-</v>
      </c>
      <c r="F12929" t="str">
        <v>-</v>
      </c>
      <c r="G12929" t="str">
        <v>-</v>
      </c>
    </row>
    <row r="12930">
      <c r="A12930">
        <v>12929</v>
      </c>
      <c r="B12930" t="str">
        <v>Công an xã Thạch Hưng  tỉnh Hà Tĩnh</v>
      </c>
      <c r="C12930" t="str">
        <v>-</v>
      </c>
      <c r="D12930" t="str">
        <v>-</v>
      </c>
      <c r="E12930" t="str">
        <v/>
      </c>
      <c r="F12930" t="str">
        <v>-</v>
      </c>
      <c r="G12930" t="str">
        <v>-</v>
      </c>
    </row>
    <row r="12931">
      <c r="A12931">
        <v>12930</v>
      </c>
      <c r="B12931" t="str">
        <v>UBND Ủy ban nhân dân xã Thạch Hưng  tỉnh Hà Tĩnh</v>
      </c>
      <c r="C12931" t="str">
        <v>-</v>
      </c>
      <c r="D12931" t="str">
        <v>-</v>
      </c>
      <c r="E12931" t="str">
        <v>-</v>
      </c>
      <c r="F12931" t="str">
        <v>-</v>
      </c>
      <c r="G12931" t="str">
        <v>-</v>
      </c>
    </row>
    <row r="12932">
      <c r="A12932">
        <v>12931</v>
      </c>
      <c r="B12932" t="str">
        <v>Công an xã Thạch Bình  tỉnh Hà Tĩnh</v>
      </c>
      <c r="C12932" t="str">
        <v>-</v>
      </c>
      <c r="D12932" t="str">
        <v>-</v>
      </c>
      <c r="E12932" t="str">
        <v/>
      </c>
      <c r="F12932" t="str">
        <v>-</v>
      </c>
      <c r="G12932" t="str">
        <v>-</v>
      </c>
    </row>
    <row r="12933">
      <c r="A12933">
        <v>12932</v>
      </c>
      <c r="B12933" t="str">
        <v>UBND Ủy ban nhân dân xã Thạch Bình  tỉnh Hà Tĩnh</v>
      </c>
      <c r="C12933" t="str">
        <v>-</v>
      </c>
      <c r="D12933" t="str">
        <v>-</v>
      </c>
      <c r="E12933" t="str">
        <v>-</v>
      </c>
      <c r="F12933" t="str">
        <v>-</v>
      </c>
      <c r="G12933" t="str">
        <v>-</v>
      </c>
    </row>
    <row r="12934">
      <c r="A12934">
        <v>12933</v>
      </c>
      <c r="B12934" t="str">
        <v>Công an phường Bắc Hồng  tỉnh Hà Tĩnh</v>
      </c>
      <c r="C12934" t="str">
        <v>-</v>
      </c>
      <c r="D12934" t="str">
        <v>-</v>
      </c>
      <c r="E12934" t="str">
        <v/>
      </c>
      <c r="F12934" t="str">
        <v>-</v>
      </c>
      <c r="G12934" t="str">
        <v>-</v>
      </c>
    </row>
    <row r="12935">
      <c r="A12935">
        <v>12934</v>
      </c>
      <c r="B12935" t="str">
        <v>UBND Ủy ban nhân dân phường Bắc Hồng  tỉnh Hà Tĩnh</v>
      </c>
      <c r="C12935" t="str">
        <v>-</v>
      </c>
      <c r="D12935" t="str">
        <v>-</v>
      </c>
      <c r="E12935" t="str">
        <v>-</v>
      </c>
      <c r="F12935" t="str">
        <v>-</v>
      </c>
      <c r="G12935" t="str">
        <v>-</v>
      </c>
    </row>
    <row r="12936">
      <c r="A12936">
        <v>12935</v>
      </c>
      <c r="B12936" t="str">
        <v>Công an phường Nam Hồng  tỉnh Hà Tĩnh</v>
      </c>
      <c r="C12936" t="str">
        <v>-</v>
      </c>
      <c r="D12936" t="str">
        <v>-</v>
      </c>
      <c r="E12936" t="str">
        <v/>
      </c>
      <c r="F12936" t="str">
        <v>-</v>
      </c>
      <c r="G12936" t="str">
        <v>-</v>
      </c>
    </row>
    <row r="12937">
      <c r="A12937">
        <v>12936</v>
      </c>
      <c r="B12937" t="str">
        <v>UBND Ủy ban nhân dân phường Nam Hồng  tỉnh Hà Tĩnh</v>
      </c>
      <c r="C12937" t="str">
        <v>-</v>
      </c>
      <c r="D12937" t="str">
        <v>-</v>
      </c>
      <c r="E12937" t="str">
        <v>-</v>
      </c>
      <c r="F12937" t="str">
        <v>-</v>
      </c>
      <c r="G12937" t="str">
        <v>-</v>
      </c>
    </row>
    <row r="12938">
      <c r="A12938">
        <v>12937</v>
      </c>
      <c r="B12938" t="str">
        <v>Công an phường Trung Lương  tỉnh Hà Tĩnh</v>
      </c>
      <c r="C12938" t="str">
        <v>-</v>
      </c>
      <c r="D12938" t="str">
        <v>-</v>
      </c>
      <c r="E12938" t="str">
        <v/>
      </c>
      <c r="F12938" t="str">
        <v>-</v>
      </c>
      <c r="G12938" t="str">
        <v>-</v>
      </c>
    </row>
    <row r="12939">
      <c r="A12939">
        <v>12938</v>
      </c>
      <c r="B12939" t="str">
        <v>UBND Ủy ban nhân dân phường Trung Lương  tỉnh Hà Tĩnh</v>
      </c>
      <c r="C12939" t="str">
        <v>-</v>
      </c>
      <c r="D12939" t="str">
        <v>-</v>
      </c>
      <c r="E12939" t="str">
        <v>-</v>
      </c>
      <c r="F12939" t="str">
        <v>-</v>
      </c>
      <c r="G12939" t="str">
        <v>-</v>
      </c>
    </row>
    <row r="12940">
      <c r="A12940">
        <v>12939</v>
      </c>
      <c r="B12940" t="str">
        <v>Công an phường Đức Thuận  tỉnh Hà Tĩnh</v>
      </c>
      <c r="C12940" t="str">
        <v>-</v>
      </c>
      <c r="D12940" t="str">
        <v>-</v>
      </c>
      <c r="E12940" t="str">
        <v/>
      </c>
      <c r="F12940" t="str">
        <v>-</v>
      </c>
      <c r="G12940" t="str">
        <v>-</v>
      </c>
    </row>
    <row r="12941">
      <c r="A12941">
        <v>12940</v>
      </c>
      <c r="B12941" t="str">
        <v>UBND Ủy ban nhân dân phường Đức Thuận  tỉnh Hà Tĩnh</v>
      </c>
      <c r="C12941" t="str">
        <v>-</v>
      </c>
      <c r="D12941" t="str">
        <v>-</v>
      </c>
      <c r="E12941" t="str">
        <v>-</v>
      </c>
      <c r="F12941" t="str">
        <v>-</v>
      </c>
      <c r="G12941" t="str">
        <v>-</v>
      </c>
    </row>
    <row r="12942">
      <c r="A12942">
        <v>12941</v>
      </c>
      <c r="B12942" t="str">
        <v>Công an phường Đậu Liêu  tỉnh Hà Tĩnh</v>
      </c>
      <c r="C12942" t="str">
        <v>-</v>
      </c>
      <c r="D12942" t="str">
        <v>-</v>
      </c>
      <c r="E12942" t="str">
        <v/>
      </c>
      <c r="F12942" t="str">
        <v>-</v>
      </c>
      <c r="G12942" t="str">
        <v>-</v>
      </c>
    </row>
    <row r="12943">
      <c r="A12943">
        <v>12942</v>
      </c>
      <c r="B12943" t="str">
        <v>UBND Ủy ban nhân dân phường Đậu Liêu  tỉnh Hà Tĩnh</v>
      </c>
      <c r="C12943" t="str">
        <v>-</v>
      </c>
      <c r="D12943" t="str">
        <v>-</v>
      </c>
      <c r="E12943" t="str">
        <v>-</v>
      </c>
      <c r="F12943" t="str">
        <v>-</v>
      </c>
      <c r="G12943" t="str">
        <v>-</v>
      </c>
    </row>
    <row r="12944">
      <c r="A12944">
        <v>12943</v>
      </c>
      <c r="B12944" t="str">
        <v>Công an xã Thuận Lộc  tỉnh Hà Tĩnh</v>
      </c>
      <c r="C12944" t="str">
        <v>-</v>
      </c>
      <c r="D12944" t="str">
        <v>-</v>
      </c>
      <c r="E12944" t="str">
        <v/>
      </c>
      <c r="F12944" t="str">
        <v>-</v>
      </c>
      <c r="G12944" t="str">
        <v>-</v>
      </c>
    </row>
    <row r="12945">
      <c r="A12945">
        <v>12944</v>
      </c>
      <c r="B12945" t="str">
        <v>UBND Ủy ban nhân dân xã Thuận Lộc  tỉnh Hà Tĩnh</v>
      </c>
      <c r="C12945" t="str">
        <v>-</v>
      </c>
      <c r="D12945" t="str">
        <v>-</v>
      </c>
      <c r="E12945" t="str">
        <v>-</v>
      </c>
      <c r="F12945" t="str">
        <v>-</v>
      </c>
      <c r="G12945" t="str">
        <v>-</v>
      </c>
    </row>
    <row r="12946">
      <c r="A12946">
        <v>12945</v>
      </c>
      <c r="B12946" t="str">
        <v>Công an thị trấn Phố Châu  tỉnh Hà Tĩnh</v>
      </c>
      <c r="C12946" t="str">
        <v>-</v>
      </c>
      <c r="D12946" t="str">
        <v>-</v>
      </c>
      <c r="E12946" t="str">
        <v/>
      </c>
      <c r="F12946" t="str">
        <v>-</v>
      </c>
      <c r="G12946" t="str">
        <v>-</v>
      </c>
    </row>
    <row r="12947">
      <c r="A12947">
        <v>12946</v>
      </c>
      <c r="B12947" t="str">
        <v>UBND Ủy ban nhân dân thị trấn Phố Châu  tỉnh Hà Tĩnh</v>
      </c>
      <c r="C12947" t="str">
        <v>-</v>
      </c>
      <c r="D12947" t="str">
        <v>-</v>
      </c>
      <c r="E12947" t="str">
        <v>-</v>
      </c>
      <c r="F12947" t="str">
        <v>-</v>
      </c>
      <c r="G12947" t="str">
        <v>-</v>
      </c>
    </row>
    <row r="12948">
      <c r="A12948">
        <v>12947</v>
      </c>
      <c r="B12948" t="str">
        <v>Công an thị trấn  Tây Sơn  tỉnh Hà Tĩnh</v>
      </c>
      <c r="C12948" t="str">
        <v>-</v>
      </c>
      <c r="D12948" t="str">
        <v>-</v>
      </c>
      <c r="E12948" t="str">
        <v/>
      </c>
      <c r="F12948" t="str">
        <v>-</v>
      </c>
      <c r="G12948" t="str">
        <v>-</v>
      </c>
    </row>
    <row r="12949">
      <c r="A12949">
        <v>12948</v>
      </c>
      <c r="B12949" t="str">
        <v>UBND Ủy ban nhân dân thị trấn  Tây Sơn  tỉnh Hà Tĩnh</v>
      </c>
      <c r="C12949" t="str">
        <v>-</v>
      </c>
      <c r="D12949" t="str">
        <v>-</v>
      </c>
      <c r="E12949" t="str">
        <v>-</v>
      </c>
      <c r="F12949" t="str">
        <v>-</v>
      </c>
      <c r="G12949" t="str">
        <v>-</v>
      </c>
    </row>
    <row r="12950">
      <c r="A12950">
        <v>12949</v>
      </c>
      <c r="B12950" t="str">
        <v>Công an xã Sơn Hồng  tỉnh Hà Tĩnh</v>
      </c>
      <c r="C12950" t="str">
        <v>-</v>
      </c>
      <c r="D12950" t="str">
        <v>-</v>
      </c>
      <c r="E12950" t="str">
        <v/>
      </c>
      <c r="F12950" t="str">
        <v>-</v>
      </c>
      <c r="G12950" t="str">
        <v>-</v>
      </c>
    </row>
    <row r="12951">
      <c r="A12951">
        <v>12950</v>
      </c>
      <c r="B12951" t="str">
        <v>UBND Ủy ban nhân dân xã Sơn Hồng  tỉnh Hà Tĩnh</v>
      </c>
      <c r="C12951" t="str">
        <v>-</v>
      </c>
      <c r="D12951" t="str">
        <v>-</v>
      </c>
      <c r="E12951" t="str">
        <v>-</v>
      </c>
      <c r="F12951" t="str">
        <v>-</v>
      </c>
      <c r="G12951" t="str">
        <v>-</v>
      </c>
    </row>
    <row r="12952">
      <c r="A12952">
        <v>12951</v>
      </c>
      <c r="B12952" t="str">
        <v>Công an xã Sơn Tiến  tỉnh Hà Tĩnh</v>
      </c>
      <c r="C12952" t="str">
        <v>-</v>
      </c>
      <c r="D12952" t="str">
        <v>-</v>
      </c>
      <c r="E12952" t="str">
        <v/>
      </c>
      <c r="F12952" t="str">
        <v>-</v>
      </c>
      <c r="G12952" t="str">
        <v>-</v>
      </c>
    </row>
    <row r="12953">
      <c r="A12953">
        <v>12952</v>
      </c>
      <c r="B12953" t="str">
        <v>UBND Ủy ban nhân dân xã Sơn Tiến  tỉnh Hà Tĩnh</v>
      </c>
      <c r="C12953" t="str">
        <v>-</v>
      </c>
      <c r="D12953" t="str">
        <v>-</v>
      </c>
      <c r="E12953" t="str">
        <v>-</v>
      </c>
      <c r="F12953" t="str">
        <v>-</v>
      </c>
      <c r="G12953" t="str">
        <v>-</v>
      </c>
    </row>
    <row r="12954">
      <c r="A12954">
        <v>12953</v>
      </c>
      <c r="B12954" t="str">
        <v>Công an xã Sơn Lâm  tỉnh Hà Tĩnh</v>
      </c>
      <c r="C12954" t="str">
        <v>-</v>
      </c>
      <c r="D12954" t="str">
        <v>-</v>
      </c>
      <c r="E12954" t="str">
        <v/>
      </c>
      <c r="F12954" t="str">
        <v>-</v>
      </c>
      <c r="G12954" t="str">
        <v>-</v>
      </c>
    </row>
    <row r="12955">
      <c r="A12955">
        <v>12954</v>
      </c>
      <c r="B12955" t="str">
        <v>UBND Ủy ban nhân dân xã Sơn Lâm  tỉnh Hà Tĩnh</v>
      </c>
      <c r="C12955" t="str">
        <v>-</v>
      </c>
      <c r="D12955" t="str">
        <v>-</v>
      </c>
      <c r="E12955" t="str">
        <v>-</v>
      </c>
      <c r="F12955" t="str">
        <v>-</v>
      </c>
      <c r="G12955" t="str">
        <v>-</v>
      </c>
    </row>
    <row r="12956">
      <c r="A12956">
        <v>12955</v>
      </c>
      <c r="B12956" t="str">
        <v>Công an xã Sơn Lễ  tỉnh Hà Tĩnh</v>
      </c>
      <c r="C12956" t="str">
        <v>-</v>
      </c>
      <c r="D12956" t="str">
        <v>-</v>
      </c>
      <c r="E12956" t="str">
        <v/>
      </c>
      <c r="F12956" t="str">
        <v>-</v>
      </c>
      <c r="G12956" t="str">
        <v>-</v>
      </c>
    </row>
    <row r="12957">
      <c r="A12957">
        <v>12956</v>
      </c>
      <c r="B12957" t="str">
        <v>UBND Ủy ban nhân dân xã Sơn Lễ  tỉnh Hà Tĩnh</v>
      </c>
      <c r="C12957" t="str">
        <v>-</v>
      </c>
      <c r="D12957" t="str">
        <v>-</v>
      </c>
      <c r="E12957" t="str">
        <v>-</v>
      </c>
      <c r="F12957" t="str">
        <v>-</v>
      </c>
      <c r="G12957" t="str">
        <v>-</v>
      </c>
    </row>
    <row r="12958">
      <c r="A12958">
        <v>12957</v>
      </c>
      <c r="B12958" t="str">
        <v>Công an xã Sơn Thịnh  tỉnh Hà Tĩnh</v>
      </c>
      <c r="C12958" t="str">
        <v>-</v>
      </c>
      <c r="D12958" t="str">
        <v>-</v>
      </c>
      <c r="E12958" t="str">
        <v/>
      </c>
      <c r="F12958" t="str">
        <v>-</v>
      </c>
      <c r="G12958" t="str">
        <v>-</v>
      </c>
    </row>
    <row r="12959">
      <c r="A12959">
        <v>12958</v>
      </c>
      <c r="B12959" t="str">
        <v>UBND Ủy ban nhân dân xã Sơn Thịnh  tỉnh Hà Tĩnh</v>
      </c>
      <c r="C12959" t="str">
        <v>-</v>
      </c>
      <c r="D12959" t="str">
        <v>-</v>
      </c>
      <c r="E12959" t="str">
        <v>-</v>
      </c>
      <c r="F12959" t="str">
        <v>-</v>
      </c>
      <c r="G12959" t="str">
        <v>-</v>
      </c>
    </row>
    <row r="12960">
      <c r="A12960">
        <v>12959</v>
      </c>
      <c r="B12960" t="str">
        <v>Công an xã Sơn An  tỉnh Hà Tĩnh</v>
      </c>
      <c r="C12960" t="str">
        <v>-</v>
      </c>
      <c r="D12960" t="str">
        <v>-</v>
      </c>
      <c r="E12960" t="str">
        <v/>
      </c>
      <c r="F12960" t="str">
        <v>-</v>
      </c>
      <c r="G12960" t="str">
        <v>-</v>
      </c>
    </row>
    <row r="12961">
      <c r="A12961">
        <v>12960</v>
      </c>
      <c r="B12961" t="str">
        <v>UBND Ủy ban nhân dân xã Sơn An  tỉnh Hà Tĩnh</v>
      </c>
      <c r="C12961" t="str">
        <v>-</v>
      </c>
      <c r="D12961" t="str">
        <v>-</v>
      </c>
      <c r="E12961" t="str">
        <v>-</v>
      </c>
      <c r="F12961" t="str">
        <v>-</v>
      </c>
      <c r="G12961" t="str">
        <v>-</v>
      </c>
    </row>
    <row r="12962">
      <c r="A12962">
        <v>12961</v>
      </c>
      <c r="B12962" t="str">
        <v>Công an xã Sơn Giang  tỉnh Hà Tĩnh</v>
      </c>
      <c r="C12962" t="str">
        <v>-</v>
      </c>
      <c r="D12962" t="str">
        <v>-</v>
      </c>
      <c r="E12962" t="str">
        <v/>
      </c>
      <c r="F12962" t="str">
        <v>-</v>
      </c>
      <c r="G12962" t="str">
        <v>-</v>
      </c>
    </row>
    <row r="12963">
      <c r="A12963">
        <v>12962</v>
      </c>
      <c r="B12963" t="str">
        <v>UBND Ủy ban nhân dân xã Sơn Giang  tỉnh Hà Tĩnh</v>
      </c>
      <c r="C12963" t="str">
        <v>-</v>
      </c>
      <c r="D12963" t="str">
        <v>-</v>
      </c>
      <c r="E12963" t="str">
        <v>-</v>
      </c>
      <c r="F12963" t="str">
        <v>-</v>
      </c>
      <c r="G12963" t="str">
        <v>-</v>
      </c>
    </row>
    <row r="12964">
      <c r="A12964">
        <v>12963</v>
      </c>
      <c r="B12964" t="str">
        <v>Công an xã Sơn Lĩnh  tỉnh Hà Tĩnh</v>
      </c>
      <c r="C12964" t="str">
        <v>-</v>
      </c>
      <c r="D12964" t="str">
        <v>-</v>
      </c>
      <c r="E12964" t="str">
        <v/>
      </c>
      <c r="F12964" t="str">
        <v>-</v>
      </c>
      <c r="G12964" t="str">
        <v>-</v>
      </c>
    </row>
    <row r="12965">
      <c r="A12965">
        <v>12964</v>
      </c>
      <c r="B12965" t="str">
        <v>UBND Ủy ban nhân dân xã Sơn Lĩnh  tỉnh Hà Tĩnh</v>
      </c>
      <c r="C12965" t="str">
        <v>-</v>
      </c>
      <c r="D12965" t="str">
        <v>-</v>
      </c>
      <c r="E12965" t="str">
        <v>-</v>
      </c>
      <c r="F12965" t="str">
        <v>-</v>
      </c>
      <c r="G12965" t="str">
        <v>-</v>
      </c>
    </row>
    <row r="12966">
      <c r="A12966">
        <v>12965</v>
      </c>
      <c r="B12966" t="str">
        <v>Công an xã Sơn Hòa  tỉnh Hà Tĩnh</v>
      </c>
      <c r="C12966" t="str">
        <v>-</v>
      </c>
      <c r="D12966" t="str">
        <v>-</v>
      </c>
      <c r="E12966" t="str">
        <v/>
      </c>
      <c r="F12966" t="str">
        <v>-</v>
      </c>
      <c r="G12966" t="str">
        <v>-</v>
      </c>
    </row>
    <row r="12967">
      <c r="A12967">
        <v>12966</v>
      </c>
      <c r="B12967" t="str">
        <v>UBND Ủy ban nhân dân xã Sơn Hòa  tỉnh Hà Tĩnh</v>
      </c>
      <c r="C12967" t="str">
        <v>-</v>
      </c>
      <c r="D12967" t="str">
        <v>-</v>
      </c>
      <c r="E12967" t="str">
        <v>-</v>
      </c>
      <c r="F12967" t="str">
        <v>-</v>
      </c>
      <c r="G12967" t="str">
        <v>-</v>
      </c>
    </row>
    <row r="12968">
      <c r="A12968">
        <v>12967</v>
      </c>
      <c r="B12968" t="str">
        <v>Công an xã Sơn Tân  tỉnh Hà Tĩnh</v>
      </c>
      <c r="C12968" t="str">
        <v>-</v>
      </c>
      <c r="D12968" t="str">
        <v>-</v>
      </c>
      <c r="E12968" t="str">
        <v/>
      </c>
      <c r="F12968" t="str">
        <v>-</v>
      </c>
      <c r="G12968" t="str">
        <v>-</v>
      </c>
    </row>
    <row r="12969">
      <c r="A12969">
        <v>12968</v>
      </c>
      <c r="B12969" t="str">
        <v>UBND Ủy ban nhân dân xã Sơn Tân  tỉnh Hà Tĩnh</v>
      </c>
      <c r="C12969" t="str">
        <v>-</v>
      </c>
      <c r="D12969" t="str">
        <v>-</v>
      </c>
      <c r="E12969" t="str">
        <v>-</v>
      </c>
      <c r="F12969" t="str">
        <v>-</v>
      </c>
      <c r="G12969" t="str">
        <v>-</v>
      </c>
    </row>
    <row r="12970">
      <c r="A12970">
        <v>12969</v>
      </c>
      <c r="B12970" t="str">
        <v>Công an xã Sơn Mỹ  tỉnh Hà Tĩnh</v>
      </c>
      <c r="C12970" t="str">
        <v>-</v>
      </c>
      <c r="D12970" t="str">
        <v>-</v>
      </c>
      <c r="E12970" t="str">
        <v/>
      </c>
      <c r="F12970" t="str">
        <v>-</v>
      </c>
      <c r="G12970" t="str">
        <v>-</v>
      </c>
    </row>
    <row r="12971">
      <c r="A12971">
        <v>12970</v>
      </c>
      <c r="B12971" t="str">
        <v>UBND Ủy ban nhân dân xã Sơn Mỹ  tỉnh Hà Tĩnh</v>
      </c>
      <c r="C12971" t="str">
        <v>-</v>
      </c>
      <c r="D12971" t="str">
        <v>-</v>
      </c>
      <c r="E12971" t="str">
        <v>-</v>
      </c>
      <c r="F12971" t="str">
        <v>-</v>
      </c>
      <c r="G12971" t="str">
        <v>-</v>
      </c>
    </row>
    <row r="12972">
      <c r="A12972">
        <v>12971</v>
      </c>
      <c r="B12972" t="str">
        <v>Công an xã Sơn Tây  tỉnh Hà Tĩnh</v>
      </c>
      <c r="C12972" t="str">
        <v>-</v>
      </c>
      <c r="D12972" t="str">
        <v>-</v>
      </c>
      <c r="E12972" t="str">
        <v/>
      </c>
      <c r="F12972" t="str">
        <v>-</v>
      </c>
      <c r="G12972" t="str">
        <v>-</v>
      </c>
    </row>
    <row r="12973">
      <c r="A12973">
        <v>12972</v>
      </c>
      <c r="B12973" t="str">
        <v>UBND Ủy ban nhân dân xã Sơn Tây  tỉnh Hà Tĩnh</v>
      </c>
      <c r="C12973" t="str">
        <v>-</v>
      </c>
      <c r="D12973" t="str">
        <v>-</v>
      </c>
      <c r="E12973" t="str">
        <v>-</v>
      </c>
      <c r="F12973" t="str">
        <v>-</v>
      </c>
      <c r="G12973" t="str">
        <v>-</v>
      </c>
    </row>
    <row r="12974">
      <c r="A12974">
        <v>12973</v>
      </c>
      <c r="B12974" t="str">
        <v>Công an xã Sơn Ninh  tỉnh Hà Tĩnh</v>
      </c>
      <c r="C12974" t="str">
        <v>-</v>
      </c>
      <c r="D12974" t="str">
        <v>-</v>
      </c>
      <c r="E12974" t="str">
        <v/>
      </c>
      <c r="F12974" t="str">
        <v>-</v>
      </c>
      <c r="G12974" t="str">
        <v>-</v>
      </c>
    </row>
    <row r="12975">
      <c r="A12975">
        <v>12974</v>
      </c>
      <c r="B12975" t="str">
        <v>UBND Ủy ban nhân dân xã Sơn Ninh  tỉnh Hà Tĩnh</v>
      </c>
      <c r="C12975" t="str">
        <v>-</v>
      </c>
      <c r="D12975" t="str">
        <v>-</v>
      </c>
      <c r="E12975" t="str">
        <v>-</v>
      </c>
      <c r="F12975" t="str">
        <v>-</v>
      </c>
      <c r="G12975" t="str">
        <v>-</v>
      </c>
    </row>
    <row r="12976">
      <c r="A12976">
        <v>12975</v>
      </c>
      <c r="B12976" t="str">
        <v>Công an xã Sơn Châu  tỉnh Hà Tĩnh</v>
      </c>
      <c r="C12976" t="str">
        <v>-</v>
      </c>
      <c r="D12976" t="str">
        <v>-</v>
      </c>
      <c r="E12976" t="str">
        <v/>
      </c>
      <c r="F12976" t="str">
        <v>-</v>
      </c>
      <c r="G12976" t="str">
        <v>-</v>
      </c>
    </row>
    <row r="12977">
      <c r="A12977">
        <v>12976</v>
      </c>
      <c r="B12977" t="str">
        <v>UBND Ủy ban nhân dân xã Sơn Châu  tỉnh Hà Tĩnh</v>
      </c>
      <c r="C12977" t="str">
        <v>-</v>
      </c>
      <c r="D12977" t="str">
        <v>-</v>
      </c>
      <c r="E12977" t="str">
        <v>-</v>
      </c>
      <c r="F12977" t="str">
        <v>-</v>
      </c>
      <c r="G12977" t="str">
        <v>-</v>
      </c>
    </row>
    <row r="12978">
      <c r="A12978">
        <v>12977</v>
      </c>
      <c r="B12978" t="str">
        <v>Công an xã Sơn Hà  tỉnh Hà Tĩnh</v>
      </c>
      <c r="C12978" t="str">
        <v>-</v>
      </c>
      <c r="D12978" t="str">
        <v>-</v>
      </c>
      <c r="E12978" t="str">
        <v/>
      </c>
      <c r="F12978" t="str">
        <v>-</v>
      </c>
      <c r="G12978" t="str">
        <v>-</v>
      </c>
    </row>
    <row r="12979">
      <c r="A12979">
        <v>12978</v>
      </c>
      <c r="B12979" t="str">
        <v>UBND Ủy ban nhân dân xã Sơn Hà  tỉnh Hà Tĩnh</v>
      </c>
      <c r="C12979" t="str">
        <v>-</v>
      </c>
      <c r="D12979" t="str">
        <v>-</v>
      </c>
      <c r="E12979" t="str">
        <v>-</v>
      </c>
      <c r="F12979" t="str">
        <v>-</v>
      </c>
      <c r="G12979" t="str">
        <v>-</v>
      </c>
    </row>
    <row r="12980">
      <c r="A12980">
        <v>12979</v>
      </c>
      <c r="B12980" t="str">
        <v>Công an xã Sơn Quang  tỉnh Hà Tĩnh</v>
      </c>
      <c r="C12980" t="str">
        <v>-</v>
      </c>
      <c r="D12980" t="str">
        <v>-</v>
      </c>
      <c r="E12980" t="str">
        <v/>
      </c>
      <c r="F12980" t="str">
        <v>-</v>
      </c>
      <c r="G12980" t="str">
        <v>-</v>
      </c>
    </row>
    <row r="12981">
      <c r="A12981">
        <v>12980</v>
      </c>
      <c r="B12981" t="str">
        <v>UBND Ủy ban nhân dân xã Sơn Quang  tỉnh Hà Tĩnh</v>
      </c>
      <c r="C12981" t="str">
        <v>-</v>
      </c>
      <c r="D12981" t="str">
        <v>-</v>
      </c>
      <c r="E12981" t="str">
        <v>-</v>
      </c>
      <c r="F12981" t="str">
        <v>-</v>
      </c>
      <c r="G12981" t="str">
        <v>-</v>
      </c>
    </row>
    <row r="12982">
      <c r="A12982">
        <v>12981</v>
      </c>
      <c r="B12982" t="str">
        <v>Công an xã Sơn Trung  tỉnh Hà Tĩnh</v>
      </c>
      <c r="C12982" t="str">
        <v>-</v>
      </c>
      <c r="D12982" t="str">
        <v>-</v>
      </c>
      <c r="E12982" t="str">
        <v/>
      </c>
      <c r="F12982" t="str">
        <v>-</v>
      </c>
      <c r="G12982" t="str">
        <v>-</v>
      </c>
    </row>
    <row r="12983">
      <c r="A12983">
        <v>12982</v>
      </c>
      <c r="B12983" t="str">
        <v>UBND Ủy ban nhân dân xã Sơn Trung  tỉnh Hà Tĩnh</v>
      </c>
      <c r="C12983" t="str">
        <v>-</v>
      </c>
      <c r="D12983" t="str">
        <v>-</v>
      </c>
      <c r="E12983" t="str">
        <v>-</v>
      </c>
      <c r="F12983" t="str">
        <v>-</v>
      </c>
      <c r="G12983" t="str">
        <v>-</v>
      </c>
    </row>
    <row r="12984">
      <c r="A12984">
        <v>12983</v>
      </c>
      <c r="B12984" t="str">
        <v>Công an xã Sơn Bằng  tỉnh Hà Tĩnh</v>
      </c>
      <c r="C12984" t="str">
        <v>-</v>
      </c>
      <c r="D12984" t="str">
        <v>-</v>
      </c>
      <c r="E12984" t="str">
        <v/>
      </c>
      <c r="F12984" t="str">
        <v>-</v>
      </c>
      <c r="G12984" t="str">
        <v>-</v>
      </c>
    </row>
    <row r="12985">
      <c r="A12985">
        <v>12984</v>
      </c>
      <c r="B12985" t="str">
        <v>UBND Ủy ban nhân dân xã Sơn Bằng  tỉnh Hà Tĩnh</v>
      </c>
      <c r="C12985" t="str">
        <v>-</v>
      </c>
      <c r="D12985" t="str">
        <v>-</v>
      </c>
      <c r="E12985" t="str">
        <v>-</v>
      </c>
      <c r="F12985" t="str">
        <v>-</v>
      </c>
      <c r="G12985" t="str">
        <v>-</v>
      </c>
    </row>
    <row r="12986">
      <c r="A12986">
        <v>12985</v>
      </c>
      <c r="B12986" t="str">
        <v>Công an xã Sơn Bình  tỉnh Hà Tĩnh</v>
      </c>
      <c r="C12986" t="str">
        <v>-</v>
      </c>
      <c r="D12986" t="str">
        <v>-</v>
      </c>
      <c r="E12986" t="str">
        <v/>
      </c>
      <c r="F12986" t="str">
        <v>-</v>
      </c>
      <c r="G12986" t="str">
        <v>-</v>
      </c>
    </row>
    <row r="12987">
      <c r="A12987">
        <v>12986</v>
      </c>
      <c r="B12987" t="str">
        <v>UBND Ủy ban nhân dân xã Sơn Bình  tỉnh Hà Tĩnh</v>
      </c>
      <c r="C12987" t="str">
        <v>-</v>
      </c>
      <c r="D12987" t="str">
        <v>-</v>
      </c>
      <c r="E12987" t="str">
        <v>-</v>
      </c>
      <c r="F12987" t="str">
        <v>-</v>
      </c>
      <c r="G12987" t="str">
        <v>-</v>
      </c>
    </row>
    <row r="12988">
      <c r="A12988">
        <v>12987</v>
      </c>
      <c r="B12988" t="str">
        <v>Công an xã Sơn Kim 1  tỉnh Hà Tĩnh</v>
      </c>
      <c r="C12988" t="str">
        <v>-</v>
      </c>
      <c r="D12988" t="str">
        <v>-</v>
      </c>
      <c r="E12988" t="str">
        <v/>
      </c>
      <c r="F12988" t="str">
        <v>-</v>
      </c>
      <c r="G12988" t="str">
        <v>-</v>
      </c>
    </row>
    <row r="12989">
      <c r="A12989">
        <v>12988</v>
      </c>
      <c r="B12989" t="str">
        <v>UBND Ủy ban nhân dân xã Sơn Kim 1  tỉnh Hà Tĩnh</v>
      </c>
      <c r="C12989" t="str">
        <v>-</v>
      </c>
      <c r="D12989" t="str">
        <v>-</v>
      </c>
      <c r="E12989" t="str">
        <v>-</v>
      </c>
      <c r="F12989" t="str">
        <v>-</v>
      </c>
      <c r="G12989" t="str">
        <v>-</v>
      </c>
    </row>
    <row r="12990">
      <c r="A12990">
        <v>12989</v>
      </c>
      <c r="B12990" t="str">
        <v>Công an xã Sơn Kim 2  tỉnh Hà Tĩnh</v>
      </c>
      <c r="C12990" t="str">
        <v>-</v>
      </c>
      <c r="D12990" t="str">
        <v>-</v>
      </c>
      <c r="E12990" t="str">
        <v/>
      </c>
      <c r="F12990" t="str">
        <v>-</v>
      </c>
      <c r="G12990" t="str">
        <v>-</v>
      </c>
    </row>
    <row r="12991">
      <c r="A12991">
        <v>12990</v>
      </c>
      <c r="B12991" t="str">
        <v>UBND Ủy ban nhân dân xã Sơn Kim 2  tỉnh Hà Tĩnh</v>
      </c>
      <c r="C12991" t="str">
        <v>-</v>
      </c>
      <c r="D12991" t="str">
        <v>-</v>
      </c>
      <c r="E12991" t="str">
        <v>-</v>
      </c>
      <c r="F12991" t="str">
        <v>-</v>
      </c>
      <c r="G12991" t="str">
        <v>-</v>
      </c>
    </row>
    <row r="12992">
      <c r="A12992">
        <v>12991</v>
      </c>
      <c r="B12992" t="str">
        <v>Công an xã Sơn Trà  tỉnh Hà Tĩnh</v>
      </c>
      <c r="C12992" t="str">
        <v>-</v>
      </c>
      <c r="D12992" t="str">
        <v>-</v>
      </c>
      <c r="E12992" t="str">
        <v/>
      </c>
      <c r="F12992" t="str">
        <v>-</v>
      </c>
      <c r="G12992" t="str">
        <v>-</v>
      </c>
    </row>
    <row r="12993">
      <c r="A12993">
        <v>12992</v>
      </c>
      <c r="B12993" t="str">
        <v>UBND Ủy ban nhân dân xã Sơn Trà  tỉnh Hà Tĩnh</v>
      </c>
      <c r="C12993" t="str">
        <v>-</v>
      </c>
      <c r="D12993" t="str">
        <v>-</v>
      </c>
      <c r="E12993" t="str">
        <v>-</v>
      </c>
      <c r="F12993" t="str">
        <v>-</v>
      </c>
      <c r="G12993" t="str">
        <v>-</v>
      </c>
    </row>
    <row r="12994">
      <c r="A12994">
        <v>12993</v>
      </c>
      <c r="B12994" t="str">
        <v>Công an xã Sơn Long  tỉnh Hà Tĩnh</v>
      </c>
      <c r="C12994" t="str">
        <v>-</v>
      </c>
      <c r="D12994" t="str">
        <v>-</v>
      </c>
      <c r="E12994" t="str">
        <v/>
      </c>
      <c r="F12994" t="str">
        <v>-</v>
      </c>
      <c r="G12994" t="str">
        <v>-</v>
      </c>
    </row>
    <row r="12995">
      <c r="A12995">
        <v>12994</v>
      </c>
      <c r="B12995" t="str">
        <v>UBND Ủy ban nhân dân xã Sơn Long  tỉnh Hà Tĩnh</v>
      </c>
      <c r="C12995" t="str">
        <v>-</v>
      </c>
      <c r="D12995" t="str">
        <v>-</v>
      </c>
      <c r="E12995" t="str">
        <v>-</v>
      </c>
      <c r="F12995" t="str">
        <v>-</v>
      </c>
      <c r="G12995" t="str">
        <v>-</v>
      </c>
    </row>
    <row r="12996">
      <c r="A12996">
        <v>12995</v>
      </c>
      <c r="B12996" t="str">
        <v>Công an xã Sơn Diệm  tỉnh Hà Tĩnh</v>
      </c>
      <c r="C12996" t="str">
        <v>-</v>
      </c>
      <c r="D12996" t="str">
        <v>-</v>
      </c>
      <c r="E12996" t="str">
        <v/>
      </c>
      <c r="F12996" t="str">
        <v>-</v>
      </c>
      <c r="G12996" t="str">
        <v>-</v>
      </c>
    </row>
    <row r="12997">
      <c r="A12997">
        <v>12996</v>
      </c>
      <c r="B12997" t="str">
        <v>UBND Ủy ban nhân dân xã Sơn Diệm  tỉnh Hà Tĩnh</v>
      </c>
      <c r="C12997" t="str">
        <v>-</v>
      </c>
      <c r="D12997" t="str">
        <v>-</v>
      </c>
      <c r="E12997" t="str">
        <v>-</v>
      </c>
      <c r="F12997" t="str">
        <v>-</v>
      </c>
      <c r="G12997" t="str">
        <v>-</v>
      </c>
    </row>
    <row r="12998">
      <c r="A12998">
        <v>12997</v>
      </c>
      <c r="B12998" t="str">
        <v>Công an xã Sơn Thủy  tỉnh Hà Tĩnh</v>
      </c>
      <c r="C12998" t="str">
        <v>-</v>
      </c>
      <c r="D12998" t="str">
        <v>-</v>
      </c>
      <c r="E12998" t="str">
        <v/>
      </c>
      <c r="F12998" t="str">
        <v>-</v>
      </c>
      <c r="G12998" t="str">
        <v>-</v>
      </c>
    </row>
    <row r="12999">
      <c r="A12999">
        <v>12998</v>
      </c>
      <c r="B12999" t="str">
        <v>UBND Ủy ban nhân dân xã Sơn Thủy  tỉnh Hà Tĩnh</v>
      </c>
      <c r="C12999" t="str">
        <v>-</v>
      </c>
      <c r="D12999" t="str">
        <v>-</v>
      </c>
      <c r="E12999" t="str">
        <v>-</v>
      </c>
      <c r="F12999" t="str">
        <v>-</v>
      </c>
      <c r="G12999" t="str">
        <v>-</v>
      </c>
    </row>
    <row r="13000">
      <c r="A13000">
        <v>12999</v>
      </c>
      <c r="B13000" t="str">
        <v>Công an xã Sơn Hàm  tỉnh Hà Tĩnh</v>
      </c>
      <c r="C13000" t="str">
        <v>-</v>
      </c>
      <c r="D13000" t="str">
        <v>-</v>
      </c>
      <c r="E13000" t="str">
        <v/>
      </c>
      <c r="F13000" t="str">
        <v>-</v>
      </c>
      <c r="G13000" t="str">
        <v>-</v>
      </c>
    </row>
    <row r="13001">
      <c r="A13001">
        <v>13000</v>
      </c>
      <c r="B13001" t="str">
        <v>UBND Ủy ban nhân dân xã Sơn Hàm  tỉnh Hà Tĩnh</v>
      </c>
      <c r="C13001" t="str">
        <v>-</v>
      </c>
      <c r="D13001" t="str">
        <v>-</v>
      </c>
      <c r="E13001" t="str">
        <v>-</v>
      </c>
      <c r="F13001" t="str">
        <v>-</v>
      </c>
      <c r="G13001" t="str">
        <v>-</v>
      </c>
    </row>
    <row r="13002">
      <c r="A13002">
        <v>13001</v>
      </c>
      <c r="B13002" t="str">
        <v>Công an xã Sơn Phú  tỉnh Hà Tĩnh</v>
      </c>
      <c r="C13002" t="str">
        <v>-</v>
      </c>
      <c r="D13002" t="str">
        <v>-</v>
      </c>
      <c r="E13002" t="str">
        <v/>
      </c>
      <c r="F13002" t="str">
        <v>-</v>
      </c>
      <c r="G13002" t="str">
        <v>-</v>
      </c>
    </row>
    <row r="13003">
      <c r="A13003">
        <v>13002</v>
      </c>
      <c r="B13003" t="str">
        <v>UBND Ủy ban nhân dân xã Sơn Phú  tỉnh Hà Tĩnh</v>
      </c>
      <c r="C13003" t="str">
        <v>-</v>
      </c>
      <c r="D13003" t="str">
        <v>-</v>
      </c>
      <c r="E13003" t="str">
        <v>-</v>
      </c>
      <c r="F13003" t="str">
        <v>-</v>
      </c>
      <c r="G13003" t="str">
        <v>-</v>
      </c>
    </row>
    <row r="13004">
      <c r="A13004">
        <v>13003</v>
      </c>
      <c r="B13004" t="str">
        <v>Công an xã Sơn Phúc  tỉnh Hà Tĩnh</v>
      </c>
      <c r="C13004" t="str">
        <v>-</v>
      </c>
      <c r="D13004" t="str">
        <v>-</v>
      </c>
      <c r="E13004" t="str">
        <v/>
      </c>
      <c r="F13004" t="str">
        <v>-</v>
      </c>
      <c r="G13004" t="str">
        <v>-</v>
      </c>
    </row>
    <row r="13005">
      <c r="A13005">
        <v>13004</v>
      </c>
      <c r="B13005" t="str">
        <v>UBND Ủy ban nhân dân xã Sơn Phúc  tỉnh Hà Tĩnh</v>
      </c>
      <c r="C13005" t="str">
        <v>-</v>
      </c>
      <c r="D13005" t="str">
        <v>-</v>
      </c>
      <c r="E13005" t="str">
        <v>-</v>
      </c>
      <c r="F13005" t="str">
        <v>-</v>
      </c>
      <c r="G13005" t="str">
        <v>-</v>
      </c>
    </row>
    <row r="13006">
      <c r="A13006">
        <v>13005</v>
      </c>
      <c r="B13006" t="str">
        <v>Công an xã Sơn Trường  tỉnh Hà Tĩnh</v>
      </c>
      <c r="C13006" t="str">
        <v>-</v>
      </c>
      <c r="D13006" t="str">
        <v>-</v>
      </c>
      <c r="E13006" t="str">
        <v/>
      </c>
      <c r="F13006" t="str">
        <v>-</v>
      </c>
      <c r="G13006" t="str">
        <v>-</v>
      </c>
    </row>
    <row r="13007">
      <c r="A13007">
        <v>13006</v>
      </c>
      <c r="B13007" t="str">
        <v>UBND Ủy ban nhân dân xã Sơn Trường  tỉnh Hà Tĩnh</v>
      </c>
      <c r="C13007" t="str">
        <v>-</v>
      </c>
      <c r="D13007" t="str">
        <v>-</v>
      </c>
      <c r="E13007" t="str">
        <v>-</v>
      </c>
      <c r="F13007" t="str">
        <v>-</v>
      </c>
      <c r="G13007" t="str">
        <v>-</v>
      </c>
    </row>
    <row r="13008">
      <c r="A13008">
        <v>13007</v>
      </c>
      <c r="B13008" t="str">
        <v>Công an xã Sơn Mai  tỉnh Hà Tĩnh</v>
      </c>
      <c r="C13008" t="str">
        <v>-</v>
      </c>
      <c r="D13008" t="str">
        <v>-</v>
      </c>
      <c r="E13008" t="str">
        <v/>
      </c>
      <c r="F13008" t="str">
        <v>-</v>
      </c>
      <c r="G13008" t="str">
        <v>-</v>
      </c>
    </row>
    <row r="13009">
      <c r="A13009">
        <v>13008</v>
      </c>
      <c r="B13009" t="str">
        <v>UBND Ủy ban nhân dân xã Sơn Mai  tỉnh Hà Tĩnh</v>
      </c>
      <c r="C13009" t="str">
        <v>-</v>
      </c>
      <c r="D13009" t="str">
        <v>-</v>
      </c>
      <c r="E13009" t="str">
        <v>-</v>
      </c>
      <c r="F13009" t="str">
        <v>-</v>
      </c>
      <c r="G13009" t="str">
        <v>-</v>
      </c>
    </row>
    <row r="13010">
      <c r="A13010">
        <v>13009</v>
      </c>
      <c r="B13010" t="str">
        <v>Công an thị trấn Đức Thọ  tỉnh Hà Tĩnh</v>
      </c>
      <c r="C13010" t="str">
        <v>-</v>
      </c>
      <c r="D13010" t="str">
        <v>-</v>
      </c>
      <c r="E13010" t="str">
        <v/>
      </c>
      <c r="F13010" t="str">
        <v>-</v>
      </c>
      <c r="G13010" t="str">
        <v>-</v>
      </c>
    </row>
    <row r="13011">
      <c r="A13011">
        <v>13010</v>
      </c>
      <c r="B13011" t="str">
        <v>UBND Ủy ban nhân dân thị trấn Đức Thọ  tỉnh Hà Tĩnh</v>
      </c>
      <c r="C13011" t="str">
        <v>-</v>
      </c>
      <c r="D13011" t="str">
        <v>-</v>
      </c>
      <c r="E13011" t="str">
        <v>-</v>
      </c>
      <c r="F13011" t="str">
        <v>-</v>
      </c>
      <c r="G13011" t="str">
        <v>-</v>
      </c>
    </row>
    <row r="13012">
      <c r="A13012">
        <v>13011</v>
      </c>
      <c r="B13012" t="str">
        <v>Công an xã Đức Quang  tỉnh Hà Tĩnh</v>
      </c>
      <c r="C13012" t="str">
        <v>-</v>
      </c>
      <c r="D13012" t="str">
        <v>-</v>
      </c>
      <c r="E13012" t="str">
        <v/>
      </c>
      <c r="F13012" t="str">
        <v>-</v>
      </c>
      <c r="G13012" t="str">
        <v>-</v>
      </c>
    </row>
    <row r="13013">
      <c r="A13013">
        <v>13012</v>
      </c>
      <c r="B13013" t="str">
        <v>UBND Ủy ban nhân dân xã Đức Quang  tỉnh Hà Tĩnh</v>
      </c>
      <c r="C13013" t="str">
        <v>-</v>
      </c>
      <c r="D13013" t="str">
        <v>-</v>
      </c>
      <c r="E13013" t="str">
        <v>-</v>
      </c>
      <c r="F13013" t="str">
        <v>-</v>
      </c>
      <c r="G13013" t="str">
        <v>-</v>
      </c>
    </row>
    <row r="13014">
      <c r="A13014">
        <v>13013</v>
      </c>
      <c r="B13014" t="str">
        <v>Công an xã Đức Vĩnh  tỉnh Hà Tĩnh</v>
      </c>
      <c r="C13014" t="str">
        <v>-</v>
      </c>
      <c r="D13014" t="str">
        <v>-</v>
      </c>
      <c r="E13014" t="str">
        <v/>
      </c>
      <c r="F13014" t="str">
        <v>-</v>
      </c>
      <c r="G13014" t="str">
        <v>-</v>
      </c>
    </row>
    <row r="13015">
      <c r="A13015">
        <v>13014</v>
      </c>
      <c r="B13015" t="str">
        <v>UBND Ủy ban nhân dân xã Đức Vĩnh  tỉnh Hà Tĩnh</v>
      </c>
      <c r="C13015" t="str">
        <v>-</v>
      </c>
      <c r="D13015" t="str">
        <v>-</v>
      </c>
      <c r="E13015" t="str">
        <v>-</v>
      </c>
      <c r="F13015" t="str">
        <v>-</v>
      </c>
      <c r="G13015" t="str">
        <v>-</v>
      </c>
    </row>
    <row r="13016">
      <c r="A13016">
        <v>13015</v>
      </c>
      <c r="B13016" t="str">
        <v>Công an xã Đức Châu  tỉnh Hà Tĩnh</v>
      </c>
      <c r="C13016" t="str">
        <v>-</v>
      </c>
      <c r="D13016" t="str">
        <v>-</v>
      </c>
      <c r="E13016" t="str">
        <v/>
      </c>
      <c r="F13016" t="str">
        <v>-</v>
      </c>
      <c r="G13016" t="str">
        <v>-</v>
      </c>
    </row>
    <row r="13017">
      <c r="A13017">
        <v>13016</v>
      </c>
      <c r="B13017" t="str">
        <v>UBND Ủy ban nhân dân xã Đức Châu  tỉnh Hà Tĩnh</v>
      </c>
      <c r="C13017" t="str">
        <v>-</v>
      </c>
      <c r="D13017" t="str">
        <v>-</v>
      </c>
      <c r="E13017" t="str">
        <v>-</v>
      </c>
      <c r="F13017" t="str">
        <v>-</v>
      </c>
      <c r="G13017" t="str">
        <v>-</v>
      </c>
    </row>
    <row r="13018">
      <c r="A13018">
        <v>13017</v>
      </c>
      <c r="B13018" t="str">
        <v>Công an xã Đức Tùng  tỉnh Hà Tĩnh</v>
      </c>
      <c r="C13018" t="str">
        <v>-</v>
      </c>
      <c r="D13018" t="str">
        <v>-</v>
      </c>
      <c r="E13018" t="str">
        <v/>
      </c>
      <c r="F13018" t="str">
        <v>-</v>
      </c>
      <c r="G13018" t="str">
        <v>-</v>
      </c>
    </row>
    <row r="13019">
      <c r="A13019">
        <v>13018</v>
      </c>
      <c r="B13019" t="str">
        <v>UBND Ủy ban nhân dân xã Đức Tùng  tỉnh Hà Tĩnh</v>
      </c>
      <c r="C13019" t="str">
        <v>-</v>
      </c>
      <c r="D13019" t="str">
        <v>-</v>
      </c>
      <c r="E13019" t="str">
        <v>-</v>
      </c>
      <c r="F13019" t="str">
        <v>-</v>
      </c>
      <c r="G13019" t="str">
        <v>-</v>
      </c>
    </row>
    <row r="13020">
      <c r="A13020">
        <v>13019</v>
      </c>
      <c r="B13020" t="str">
        <v>Công an xã Trường Sơn  tỉnh Hà Tĩnh</v>
      </c>
      <c r="C13020" t="str">
        <v>-</v>
      </c>
      <c r="D13020" t="str">
        <v>-</v>
      </c>
      <c r="E13020" t="str">
        <v/>
      </c>
      <c r="F13020" t="str">
        <v>-</v>
      </c>
      <c r="G13020" t="str">
        <v>-</v>
      </c>
    </row>
    <row r="13021">
      <c r="A13021">
        <v>13020</v>
      </c>
      <c r="B13021" t="str">
        <v>UBND Ủy ban nhân dân xã Trường Sơn  tỉnh Hà Tĩnh</v>
      </c>
      <c r="C13021" t="str">
        <v>-</v>
      </c>
      <c r="D13021" t="str">
        <v>-</v>
      </c>
      <c r="E13021" t="str">
        <v>-</v>
      </c>
      <c r="F13021" t="str">
        <v>-</v>
      </c>
      <c r="G13021" t="str">
        <v>-</v>
      </c>
    </row>
    <row r="13022">
      <c r="A13022">
        <v>13021</v>
      </c>
      <c r="B13022" t="str">
        <v>Công an xã Liên Minh  tỉnh Hà Tĩnh</v>
      </c>
      <c r="C13022" t="str">
        <v>-</v>
      </c>
      <c r="D13022" t="str">
        <v>-</v>
      </c>
      <c r="E13022" t="str">
        <v/>
      </c>
      <c r="F13022" t="str">
        <v>-</v>
      </c>
      <c r="G13022" t="str">
        <v>-</v>
      </c>
    </row>
    <row r="13023">
      <c r="A13023">
        <v>13022</v>
      </c>
      <c r="B13023" t="str">
        <v>UBND Ủy ban nhân dân xã Liên Minh  tỉnh Hà Tĩnh</v>
      </c>
      <c r="C13023" t="str">
        <v>-</v>
      </c>
      <c r="D13023" t="str">
        <v>-</v>
      </c>
      <c r="E13023" t="str">
        <v>-</v>
      </c>
      <c r="F13023" t="str">
        <v>-</v>
      </c>
      <c r="G13023" t="str">
        <v>-</v>
      </c>
    </row>
    <row r="13024">
      <c r="A13024">
        <v>13023</v>
      </c>
      <c r="B13024" t="str">
        <v>Công an xã Đức La  tỉnh Hà Tĩnh</v>
      </c>
      <c r="C13024" t="str">
        <v>-</v>
      </c>
      <c r="D13024" t="str">
        <v>-</v>
      </c>
      <c r="E13024" t="str">
        <v/>
      </c>
      <c r="F13024" t="str">
        <v>-</v>
      </c>
      <c r="G13024" t="str">
        <v>-</v>
      </c>
    </row>
    <row r="13025">
      <c r="A13025">
        <v>13024</v>
      </c>
      <c r="B13025" t="str">
        <v>UBND Ủy ban nhân dân xã Đức La  tỉnh Hà Tĩnh</v>
      </c>
      <c r="C13025" t="str">
        <v>-</v>
      </c>
      <c r="D13025" t="str">
        <v>-</v>
      </c>
      <c r="E13025" t="str">
        <v>-</v>
      </c>
      <c r="F13025" t="str">
        <v>-</v>
      </c>
      <c r="G13025" t="str">
        <v>-</v>
      </c>
    </row>
    <row r="13026">
      <c r="A13026">
        <v>13025</v>
      </c>
      <c r="B13026" t="str">
        <v>Công an xã Yên Hồ  tỉnh Hà Tĩnh</v>
      </c>
      <c r="C13026" t="str">
        <v>-</v>
      </c>
      <c r="D13026" t="str">
        <v>-</v>
      </c>
      <c r="E13026" t="str">
        <v/>
      </c>
      <c r="F13026" t="str">
        <v>-</v>
      </c>
      <c r="G13026" t="str">
        <v>-</v>
      </c>
    </row>
    <row r="13027">
      <c r="A13027">
        <v>13026</v>
      </c>
      <c r="B13027" t="str">
        <v>UBND Ủy ban nhân dân xã Yên Hồ  tỉnh Hà Tĩnh</v>
      </c>
      <c r="C13027" t="str">
        <v>-</v>
      </c>
      <c r="D13027" t="str">
        <v>-</v>
      </c>
      <c r="E13027" t="str">
        <v>-</v>
      </c>
      <c r="F13027" t="str">
        <v>-</v>
      </c>
      <c r="G13027" t="str">
        <v>-</v>
      </c>
    </row>
    <row r="13028">
      <c r="A13028">
        <v>13027</v>
      </c>
      <c r="B13028" t="str">
        <v>Công an xã Đức Nhân  tỉnh Hà Tĩnh</v>
      </c>
      <c r="C13028" t="str">
        <v>-</v>
      </c>
      <c r="D13028" t="str">
        <v>-</v>
      </c>
      <c r="E13028" t="str">
        <v/>
      </c>
      <c r="F13028" t="str">
        <v>-</v>
      </c>
      <c r="G13028" t="str">
        <v>-</v>
      </c>
    </row>
    <row r="13029">
      <c r="A13029">
        <v>13028</v>
      </c>
      <c r="B13029" t="str">
        <v>UBND Ủy ban nhân dân xã Đức Nhân  tỉnh Hà Tĩnh</v>
      </c>
      <c r="C13029" t="str">
        <v>-</v>
      </c>
      <c r="D13029" t="str">
        <v>-</v>
      </c>
      <c r="E13029" t="str">
        <v>-</v>
      </c>
      <c r="F13029" t="str">
        <v>-</v>
      </c>
      <c r="G13029" t="str">
        <v>-</v>
      </c>
    </row>
    <row r="13030">
      <c r="A13030">
        <v>13029</v>
      </c>
      <c r="B13030" t="str">
        <v>Công an xã Tùng Ảnh  tỉnh Hà Tĩnh</v>
      </c>
      <c r="C13030" t="str">
        <v>-</v>
      </c>
      <c r="D13030" t="str">
        <v>-</v>
      </c>
      <c r="E13030" t="str">
        <v/>
      </c>
      <c r="F13030" t="str">
        <v>-</v>
      </c>
      <c r="G13030" t="str">
        <v>-</v>
      </c>
    </row>
    <row r="13031">
      <c r="A13031">
        <v>13030</v>
      </c>
      <c r="B13031" t="str">
        <v>UBND Ủy ban nhân dân xã Tùng Ảnh  tỉnh Hà Tĩnh</v>
      </c>
      <c r="C13031" t="str">
        <v>-</v>
      </c>
      <c r="D13031" t="str">
        <v>-</v>
      </c>
      <c r="E13031" t="str">
        <v>-</v>
      </c>
      <c r="F13031" t="str">
        <v>-</v>
      </c>
      <c r="G13031" t="str">
        <v>-</v>
      </c>
    </row>
    <row r="13032">
      <c r="A13032">
        <v>13031</v>
      </c>
      <c r="B13032" t="str">
        <v>Công an xã Bùi Xá  tỉnh Hà Tĩnh</v>
      </c>
      <c r="C13032" t="str">
        <v>-</v>
      </c>
      <c r="D13032" t="str">
        <v>-</v>
      </c>
      <c r="E13032" t="str">
        <v/>
      </c>
      <c r="F13032" t="str">
        <v>-</v>
      </c>
      <c r="G13032" t="str">
        <v>-</v>
      </c>
    </row>
    <row r="13033">
      <c r="A13033">
        <v>13032</v>
      </c>
      <c r="B13033" t="str">
        <v>UBND Ủy ban nhân dân xã Bùi Xá  tỉnh Hà Tĩnh</v>
      </c>
      <c r="C13033" t="str">
        <v>-</v>
      </c>
      <c r="D13033" t="str">
        <v>-</v>
      </c>
      <c r="E13033" t="str">
        <v>-</v>
      </c>
      <c r="F13033" t="str">
        <v>-</v>
      </c>
      <c r="G13033" t="str">
        <v>-</v>
      </c>
    </row>
    <row r="13034">
      <c r="A13034">
        <v>13033</v>
      </c>
      <c r="B13034" t="str">
        <v>Công an xã Đức Thịnh  tỉnh Hà Tĩnh</v>
      </c>
      <c r="C13034" t="str">
        <v>-</v>
      </c>
      <c r="D13034" t="str">
        <v>-</v>
      </c>
      <c r="E13034" t="str">
        <v/>
      </c>
      <c r="F13034" t="str">
        <v>-</v>
      </c>
      <c r="G13034" t="str">
        <v>-</v>
      </c>
    </row>
    <row r="13035">
      <c r="A13035">
        <v>13034</v>
      </c>
      <c r="B13035" t="str">
        <v>UBND Ủy ban nhân dân xã Đức Thịnh  tỉnh Hà Tĩnh</v>
      </c>
      <c r="C13035" t="str">
        <v>-</v>
      </c>
      <c r="D13035" t="str">
        <v>-</v>
      </c>
      <c r="E13035" t="str">
        <v>-</v>
      </c>
      <c r="F13035" t="str">
        <v>-</v>
      </c>
      <c r="G13035" t="str">
        <v>-</v>
      </c>
    </row>
    <row r="13036">
      <c r="A13036">
        <v>13035</v>
      </c>
      <c r="B13036" t="str">
        <v>Công an xã Đức Yên  tỉnh Hà Tĩnh</v>
      </c>
      <c r="C13036" t="str">
        <v>-</v>
      </c>
      <c r="D13036" t="str">
        <v>-</v>
      </c>
      <c r="E13036" t="str">
        <v/>
      </c>
      <c r="F13036" t="str">
        <v>-</v>
      </c>
      <c r="G13036" t="str">
        <v>-</v>
      </c>
    </row>
    <row r="13037">
      <c r="A13037">
        <v>13036</v>
      </c>
      <c r="B13037" t="str">
        <v>UBND Ủy ban nhân dân xã Đức Yên  tỉnh Hà Tĩnh</v>
      </c>
      <c r="C13037" t="str">
        <v>-</v>
      </c>
      <c r="D13037" t="str">
        <v>-</v>
      </c>
      <c r="E13037" t="str">
        <v>-</v>
      </c>
      <c r="F13037" t="str">
        <v>-</v>
      </c>
      <c r="G13037" t="str">
        <v>-</v>
      </c>
    </row>
    <row r="13038">
      <c r="A13038">
        <v>13037</v>
      </c>
      <c r="B13038" t="str">
        <v>Công an xã Đức Thủy  tỉnh Hà Tĩnh</v>
      </c>
      <c r="C13038" t="str">
        <v>-</v>
      </c>
      <c r="D13038" t="str">
        <v>-</v>
      </c>
      <c r="E13038" t="str">
        <v/>
      </c>
      <c r="F13038" t="str">
        <v>-</v>
      </c>
      <c r="G13038" t="str">
        <v>-</v>
      </c>
    </row>
    <row r="13039">
      <c r="A13039">
        <v>13038</v>
      </c>
      <c r="B13039" t="str">
        <v>UBND Ủy ban nhân dân xã Đức Thủy  tỉnh Hà Tĩnh</v>
      </c>
      <c r="C13039" t="str">
        <v>-</v>
      </c>
      <c r="D13039" t="str">
        <v>-</v>
      </c>
      <c r="E13039" t="str">
        <v>-</v>
      </c>
      <c r="F13039" t="str">
        <v>-</v>
      </c>
      <c r="G13039" t="str">
        <v>-</v>
      </c>
    </row>
    <row r="13040">
      <c r="A13040">
        <v>13039</v>
      </c>
      <c r="B13040" t="str">
        <v>Công an xã Thái Yên  tỉnh Hà Tĩnh</v>
      </c>
      <c r="C13040" t="str">
        <v>-</v>
      </c>
      <c r="D13040" t="str">
        <v>-</v>
      </c>
      <c r="E13040" t="str">
        <v/>
      </c>
      <c r="F13040" t="str">
        <v>-</v>
      </c>
      <c r="G13040" t="str">
        <v>-</v>
      </c>
    </row>
    <row r="13041">
      <c r="A13041">
        <v>13040</v>
      </c>
      <c r="B13041" t="str">
        <v>UBND Ủy ban nhân dân xã Thái Yên  tỉnh Hà Tĩnh</v>
      </c>
      <c r="C13041" t="str">
        <v>-</v>
      </c>
      <c r="D13041" t="str">
        <v>-</v>
      </c>
      <c r="E13041" t="str">
        <v>-</v>
      </c>
      <c r="F13041" t="str">
        <v>-</v>
      </c>
      <c r="G13041" t="str">
        <v>-</v>
      </c>
    </row>
    <row r="13042">
      <c r="A13042">
        <v>13041</v>
      </c>
      <c r="B13042" t="str">
        <v>Công an xã Trung Lễ  tỉnh Hà Tĩnh</v>
      </c>
      <c r="C13042" t="str">
        <v>-</v>
      </c>
      <c r="D13042" t="str">
        <v>-</v>
      </c>
      <c r="E13042" t="str">
        <v/>
      </c>
      <c r="F13042" t="str">
        <v>-</v>
      </c>
      <c r="G13042" t="str">
        <v>-</v>
      </c>
    </row>
    <row r="13043">
      <c r="A13043">
        <v>13042</v>
      </c>
      <c r="B13043" t="str">
        <v>UBND Ủy ban nhân dân xã Trung Lễ  tỉnh Hà Tĩnh</v>
      </c>
      <c r="C13043" t="str">
        <v>-</v>
      </c>
      <c r="D13043" t="str">
        <v>-</v>
      </c>
      <c r="E13043" t="str">
        <v>-</v>
      </c>
      <c r="F13043" t="str">
        <v>-</v>
      </c>
      <c r="G13043" t="str">
        <v>-</v>
      </c>
    </row>
    <row r="13044">
      <c r="A13044">
        <v>13043</v>
      </c>
      <c r="B13044" t="str">
        <v>Công an xã Đức Hòa  tỉnh Hà Tĩnh</v>
      </c>
      <c r="C13044" t="str">
        <v>-</v>
      </c>
      <c r="D13044" t="str">
        <v>-</v>
      </c>
      <c r="E13044" t="str">
        <v/>
      </c>
      <c r="F13044" t="str">
        <v>-</v>
      </c>
      <c r="G13044" t="str">
        <v>-</v>
      </c>
    </row>
    <row r="13045">
      <c r="A13045">
        <v>13044</v>
      </c>
      <c r="B13045" t="str">
        <v>UBND Ủy ban nhân dân xã Đức Hòa  tỉnh Hà Tĩnh</v>
      </c>
      <c r="C13045" t="str">
        <v>-</v>
      </c>
      <c r="D13045" t="str">
        <v>-</v>
      </c>
      <c r="E13045" t="str">
        <v>-</v>
      </c>
      <c r="F13045" t="str">
        <v>-</v>
      </c>
      <c r="G13045" t="str">
        <v>-</v>
      </c>
    </row>
    <row r="13046">
      <c r="A13046">
        <v>13045</v>
      </c>
      <c r="B13046" t="str">
        <v>Công an xã Đức Long  tỉnh Hà Tĩnh</v>
      </c>
      <c r="C13046" t="str">
        <v>-</v>
      </c>
      <c r="D13046" t="str">
        <v>-</v>
      </c>
      <c r="E13046" t="str">
        <v/>
      </c>
      <c r="F13046" t="str">
        <v>-</v>
      </c>
      <c r="G13046" t="str">
        <v>-</v>
      </c>
    </row>
    <row r="13047">
      <c r="A13047">
        <v>13046</v>
      </c>
      <c r="B13047" t="str">
        <v>UBND Ủy ban nhân dân xã Đức Long  tỉnh Hà Tĩnh</v>
      </c>
      <c r="C13047" t="str">
        <v>-</v>
      </c>
      <c r="D13047" t="str">
        <v>-</v>
      </c>
      <c r="E13047" t="str">
        <v>-</v>
      </c>
      <c r="F13047" t="str">
        <v>-</v>
      </c>
      <c r="G13047" t="str">
        <v>-</v>
      </c>
    </row>
    <row r="13048">
      <c r="A13048">
        <v>13047</v>
      </c>
      <c r="B13048" t="str">
        <v>Công an xã Đức Lâm  tỉnh Hà Tĩnh</v>
      </c>
      <c r="C13048" t="str">
        <v>-</v>
      </c>
      <c r="D13048" t="str">
        <v>-</v>
      </c>
      <c r="E13048" t="str">
        <v/>
      </c>
      <c r="F13048" t="str">
        <v>-</v>
      </c>
      <c r="G13048" t="str">
        <v>-</v>
      </c>
    </row>
    <row r="13049">
      <c r="A13049">
        <v>13048</v>
      </c>
      <c r="B13049" t="str">
        <v>UBND Ủy ban nhân dân xã Đức Lâm  tỉnh Hà Tĩnh</v>
      </c>
      <c r="C13049" t="str">
        <v>-</v>
      </c>
      <c r="D13049" t="str">
        <v>-</v>
      </c>
      <c r="E13049" t="str">
        <v>-</v>
      </c>
      <c r="F13049" t="str">
        <v>-</v>
      </c>
      <c r="G13049" t="str">
        <v>-</v>
      </c>
    </row>
    <row r="13050">
      <c r="A13050">
        <v>13049</v>
      </c>
      <c r="B13050" t="str">
        <v>Công an xã Đức Thanh  tỉnh Hà Tĩnh</v>
      </c>
      <c r="C13050" t="str">
        <v>-</v>
      </c>
      <c r="D13050" t="str">
        <v>-</v>
      </c>
      <c r="E13050" t="str">
        <v/>
      </c>
      <c r="F13050" t="str">
        <v>-</v>
      </c>
      <c r="G13050" t="str">
        <v>-</v>
      </c>
    </row>
    <row r="13051">
      <c r="A13051">
        <v>13050</v>
      </c>
      <c r="B13051" t="str">
        <v>UBND Ủy ban nhân dân xã Đức Thanh  tỉnh Hà Tĩnh</v>
      </c>
      <c r="C13051" t="str">
        <v>-</v>
      </c>
      <c r="D13051" t="str">
        <v>-</v>
      </c>
      <c r="E13051" t="str">
        <v>-</v>
      </c>
      <c r="F13051" t="str">
        <v>-</v>
      </c>
      <c r="G13051" t="str">
        <v>-</v>
      </c>
    </row>
    <row r="13052">
      <c r="A13052">
        <v>13051</v>
      </c>
      <c r="B13052" t="str">
        <v>Công an xã Đức Dũng  tỉnh Hà Tĩnh</v>
      </c>
      <c r="C13052" t="str">
        <v>-</v>
      </c>
      <c r="D13052" t="str">
        <v>-</v>
      </c>
      <c r="E13052" t="str">
        <v/>
      </c>
      <c r="F13052" t="str">
        <v>-</v>
      </c>
      <c r="G13052" t="str">
        <v>-</v>
      </c>
    </row>
    <row r="13053">
      <c r="A13053">
        <v>13052</v>
      </c>
      <c r="B13053" t="str">
        <v>UBND Ủy ban nhân dân xã Đức Dũng  tỉnh Hà Tĩnh</v>
      </c>
      <c r="C13053" t="str">
        <v>-</v>
      </c>
      <c r="D13053" t="str">
        <v>-</v>
      </c>
      <c r="E13053" t="str">
        <v>-</v>
      </c>
      <c r="F13053" t="str">
        <v>-</v>
      </c>
      <c r="G13053" t="str">
        <v>-</v>
      </c>
    </row>
    <row r="13054">
      <c r="A13054">
        <v>13053</v>
      </c>
      <c r="B13054" t="str">
        <v>Công an xã Đức Lập  tỉnh Hà Tĩnh</v>
      </c>
      <c r="C13054" t="str">
        <v>-</v>
      </c>
      <c r="D13054" t="str">
        <v>-</v>
      </c>
      <c r="E13054" t="str">
        <v/>
      </c>
      <c r="F13054" t="str">
        <v>-</v>
      </c>
      <c r="G13054" t="str">
        <v>-</v>
      </c>
    </row>
    <row r="13055">
      <c r="A13055">
        <v>13054</v>
      </c>
      <c r="B13055" t="str">
        <v>UBND Ủy ban nhân dân xã Đức Lập  tỉnh Hà Tĩnh</v>
      </c>
      <c r="C13055" t="str">
        <v>-</v>
      </c>
      <c r="D13055" t="str">
        <v>-</v>
      </c>
      <c r="E13055" t="str">
        <v>-</v>
      </c>
      <c r="F13055" t="str">
        <v>-</v>
      </c>
      <c r="G13055" t="str">
        <v>-</v>
      </c>
    </row>
    <row r="13056">
      <c r="A13056">
        <v>13055</v>
      </c>
      <c r="B13056" t="str">
        <v>Công an xã Đức An  tỉnh Hà Tĩnh</v>
      </c>
      <c r="C13056" t="str">
        <v>-</v>
      </c>
      <c r="D13056" t="str">
        <v>-</v>
      </c>
      <c r="E13056" t="str">
        <v/>
      </c>
      <c r="F13056" t="str">
        <v>-</v>
      </c>
      <c r="G13056" t="str">
        <v>-</v>
      </c>
    </row>
    <row r="13057">
      <c r="A13057">
        <v>13056</v>
      </c>
      <c r="B13057" t="str">
        <v>UBND Ủy ban nhân dân xã Đức An  tỉnh Hà Tĩnh</v>
      </c>
      <c r="C13057" t="str">
        <v>-</v>
      </c>
      <c r="D13057" t="str">
        <v>-</v>
      </c>
      <c r="E13057" t="str">
        <v>-</v>
      </c>
      <c r="F13057" t="str">
        <v>-</v>
      </c>
      <c r="G13057" t="str">
        <v>-</v>
      </c>
    </row>
    <row r="13058">
      <c r="A13058">
        <v>13057</v>
      </c>
      <c r="B13058" t="str">
        <v>Công an xã Đức Lạc  tỉnh Hà Tĩnh</v>
      </c>
      <c r="C13058" t="str">
        <v>-</v>
      </c>
      <c r="D13058" t="str">
        <v>-</v>
      </c>
      <c r="E13058" t="str">
        <v/>
      </c>
      <c r="F13058" t="str">
        <v>-</v>
      </c>
      <c r="G13058" t="str">
        <v>-</v>
      </c>
    </row>
    <row r="13059">
      <c r="A13059">
        <v>13058</v>
      </c>
      <c r="B13059" t="str">
        <v>UBND Ủy ban nhân dân xã Đức Lạc  tỉnh Hà Tĩnh</v>
      </c>
      <c r="C13059" t="str">
        <v>-</v>
      </c>
      <c r="D13059" t="str">
        <v>-</v>
      </c>
      <c r="E13059" t="str">
        <v>-</v>
      </c>
      <c r="F13059" t="str">
        <v>-</v>
      </c>
      <c r="G13059" t="str">
        <v>-</v>
      </c>
    </row>
    <row r="13060">
      <c r="A13060">
        <v>13059</v>
      </c>
      <c r="B13060" t="str">
        <v>Công an xã Đức Đồng  tỉnh Hà Tĩnh</v>
      </c>
      <c r="C13060" t="str">
        <v>-</v>
      </c>
      <c r="D13060" t="str">
        <v>-</v>
      </c>
      <c r="E13060" t="str">
        <v/>
      </c>
      <c r="F13060" t="str">
        <v>-</v>
      </c>
      <c r="G13060" t="str">
        <v>-</v>
      </c>
    </row>
    <row r="13061">
      <c r="A13061">
        <v>13060</v>
      </c>
      <c r="B13061" t="str">
        <v>UBND Ủy ban nhân dân xã Đức Đồng  tỉnh Hà Tĩnh</v>
      </c>
      <c r="C13061" t="str">
        <v>-</v>
      </c>
      <c r="D13061" t="str">
        <v>-</v>
      </c>
      <c r="E13061" t="str">
        <v>-</v>
      </c>
      <c r="F13061" t="str">
        <v>-</v>
      </c>
      <c r="G13061" t="str">
        <v>-</v>
      </c>
    </row>
    <row r="13062">
      <c r="A13062">
        <v>13061</v>
      </c>
      <c r="B13062" t="str">
        <v>Công an xã Đức Lạng  tỉnh Hà Tĩnh</v>
      </c>
      <c r="C13062" t="str">
        <v>-</v>
      </c>
      <c r="D13062" t="str">
        <v>-</v>
      </c>
      <c r="E13062" t="str">
        <v/>
      </c>
      <c r="F13062" t="str">
        <v>-</v>
      </c>
      <c r="G13062" t="str">
        <v>-</v>
      </c>
    </row>
    <row r="13063">
      <c r="A13063">
        <v>13062</v>
      </c>
      <c r="B13063" t="str">
        <v>UBND Ủy ban nhân dân xã Đức Lạng  tỉnh Hà Tĩnh</v>
      </c>
      <c r="C13063" t="str">
        <v>-</v>
      </c>
      <c r="D13063" t="str">
        <v>-</v>
      </c>
      <c r="E13063" t="str">
        <v>-</v>
      </c>
      <c r="F13063" t="str">
        <v>-</v>
      </c>
      <c r="G13063" t="str">
        <v>-</v>
      </c>
    </row>
    <row r="13064">
      <c r="A13064">
        <v>13063</v>
      </c>
      <c r="B13064" t="str">
        <v>Công an xã Tân Hương  tỉnh Hà Tĩnh</v>
      </c>
      <c r="C13064" t="str">
        <v>-</v>
      </c>
      <c r="D13064" t="str">
        <v>-</v>
      </c>
      <c r="E13064" t="str">
        <v/>
      </c>
      <c r="F13064" t="str">
        <v>-</v>
      </c>
      <c r="G13064" t="str">
        <v>-</v>
      </c>
    </row>
    <row r="13065">
      <c r="A13065">
        <v>13064</v>
      </c>
      <c r="B13065" t="str">
        <v>UBND Ủy ban nhân dân xã Tân Hương  tỉnh Hà Tĩnh</v>
      </c>
      <c r="C13065" t="str">
        <v>-</v>
      </c>
      <c r="D13065" t="str">
        <v>-</v>
      </c>
      <c r="E13065" t="str">
        <v>-</v>
      </c>
      <c r="F13065" t="str">
        <v>-</v>
      </c>
      <c r="G13065" t="str">
        <v>-</v>
      </c>
    </row>
    <row r="13066">
      <c r="A13066">
        <v>13065</v>
      </c>
      <c r="B13066" t="str">
        <v>Công an thị trấn Vũ Quang  tỉnh Hà Tĩnh</v>
      </c>
      <c r="C13066" t="str">
        <v>-</v>
      </c>
      <c r="D13066" t="str">
        <v>-</v>
      </c>
      <c r="E13066" t="str">
        <v/>
      </c>
      <c r="F13066" t="str">
        <v>-</v>
      </c>
      <c r="G13066" t="str">
        <v>-</v>
      </c>
    </row>
    <row r="13067">
      <c r="A13067">
        <v>13066</v>
      </c>
      <c r="B13067" t="str">
        <v>UBND Ủy ban nhân dân thị trấn Vũ Quang  tỉnh Hà Tĩnh</v>
      </c>
      <c r="C13067" t="str">
        <v>-</v>
      </c>
      <c r="D13067" t="str">
        <v>-</v>
      </c>
      <c r="E13067" t="str">
        <v>-</v>
      </c>
      <c r="F13067" t="str">
        <v>-</v>
      </c>
      <c r="G13067" t="str">
        <v>-</v>
      </c>
    </row>
    <row r="13068">
      <c r="A13068">
        <v>13067</v>
      </c>
      <c r="B13068" t="str">
        <v>Công an xã Ân Phú  tỉnh Hà Tĩnh</v>
      </c>
      <c r="C13068" t="str">
        <v>-</v>
      </c>
      <c r="D13068" t="str">
        <v>-</v>
      </c>
      <c r="E13068" t="str">
        <v/>
      </c>
      <c r="F13068" t="str">
        <v>-</v>
      </c>
      <c r="G13068" t="str">
        <v>-</v>
      </c>
    </row>
    <row r="13069">
      <c r="A13069">
        <v>13068</v>
      </c>
      <c r="B13069" t="str">
        <v>UBND Ủy ban nhân dân xã Ân Phú  tỉnh Hà Tĩnh</v>
      </c>
      <c r="C13069" t="str">
        <v>-</v>
      </c>
      <c r="D13069" t="str">
        <v>-</v>
      </c>
      <c r="E13069" t="str">
        <v>-</v>
      </c>
      <c r="F13069" t="str">
        <v>-</v>
      </c>
      <c r="G13069" t="str">
        <v>-</v>
      </c>
    </row>
    <row r="13070">
      <c r="A13070">
        <v>13069</v>
      </c>
      <c r="B13070" t="str">
        <v>Công an xã Đức Giang  tỉnh Hà Tĩnh</v>
      </c>
      <c r="C13070" t="str">
        <v>-</v>
      </c>
      <c r="D13070" t="str">
        <v>-</v>
      </c>
      <c r="E13070" t="str">
        <v/>
      </c>
      <c r="F13070" t="str">
        <v>-</v>
      </c>
      <c r="G13070" t="str">
        <v>-</v>
      </c>
    </row>
    <row r="13071">
      <c r="A13071">
        <v>13070</v>
      </c>
      <c r="B13071" t="str">
        <v>UBND Ủy ban nhân dân xã Đức Giang  tỉnh Hà Tĩnh</v>
      </c>
      <c r="C13071" t="str">
        <v>-</v>
      </c>
      <c r="D13071" t="str">
        <v>-</v>
      </c>
      <c r="E13071" t="str">
        <v>-</v>
      </c>
      <c r="F13071" t="str">
        <v>-</v>
      </c>
      <c r="G13071" t="str">
        <v>-</v>
      </c>
    </row>
    <row r="13072">
      <c r="A13072">
        <v>13071</v>
      </c>
      <c r="B13072" t="str">
        <v>Công an xã Đức Lĩnh  tỉnh Hà Tĩnh</v>
      </c>
      <c r="C13072" t="str">
        <v>-</v>
      </c>
      <c r="D13072" t="str">
        <v>-</v>
      </c>
      <c r="E13072" t="str">
        <v/>
      </c>
      <c r="F13072" t="str">
        <v>-</v>
      </c>
      <c r="G13072" t="str">
        <v>-</v>
      </c>
    </row>
    <row r="13073">
      <c r="A13073">
        <v>13072</v>
      </c>
      <c r="B13073" t="str">
        <v>UBND Ủy ban nhân dân xã Đức Lĩnh  tỉnh Hà Tĩnh</v>
      </c>
      <c r="C13073" t="str">
        <v>-</v>
      </c>
      <c r="D13073" t="str">
        <v>-</v>
      </c>
      <c r="E13073" t="str">
        <v>-</v>
      </c>
      <c r="F13073" t="str">
        <v>-</v>
      </c>
      <c r="G13073" t="str">
        <v>-</v>
      </c>
    </row>
    <row r="13074">
      <c r="A13074">
        <v>13073</v>
      </c>
      <c r="B13074" t="str">
        <v>Công an xã Sơn Thọ  tỉnh Hà Tĩnh</v>
      </c>
      <c r="C13074" t="str">
        <v>-</v>
      </c>
      <c r="D13074" t="str">
        <v>-</v>
      </c>
      <c r="E13074" t="str">
        <v/>
      </c>
      <c r="F13074" t="str">
        <v>-</v>
      </c>
      <c r="G13074" t="str">
        <v>-</v>
      </c>
    </row>
    <row r="13075">
      <c r="A13075">
        <v>13074</v>
      </c>
      <c r="B13075" t="str">
        <v>UBND Ủy ban nhân dân xã Sơn Thọ  tỉnh Hà Tĩnh</v>
      </c>
      <c r="C13075" t="str">
        <v>-</v>
      </c>
      <c r="D13075" t="str">
        <v>-</v>
      </c>
      <c r="E13075" t="str">
        <v>-</v>
      </c>
      <c r="F13075" t="str">
        <v>-</v>
      </c>
      <c r="G13075" t="str">
        <v>-</v>
      </c>
    </row>
    <row r="13076">
      <c r="A13076">
        <v>13075</v>
      </c>
      <c r="B13076" t="str">
        <v>Công an xã Đức Hương  tỉnh Hà Tĩnh</v>
      </c>
      <c r="C13076" t="str">
        <v>-</v>
      </c>
      <c r="D13076" t="str">
        <v>-</v>
      </c>
      <c r="E13076" t="str">
        <v/>
      </c>
      <c r="F13076" t="str">
        <v>-</v>
      </c>
      <c r="G13076" t="str">
        <v>-</v>
      </c>
    </row>
    <row r="13077">
      <c r="A13077">
        <v>13076</v>
      </c>
      <c r="B13077" t="str">
        <v>UBND Ủy ban nhân dân xã Đức Hương  tỉnh Hà Tĩnh</v>
      </c>
      <c r="C13077" t="str">
        <v>-</v>
      </c>
      <c r="D13077" t="str">
        <v>-</v>
      </c>
      <c r="E13077" t="str">
        <v>-</v>
      </c>
      <c r="F13077" t="str">
        <v>-</v>
      </c>
      <c r="G13077" t="str">
        <v>-</v>
      </c>
    </row>
    <row r="13078">
      <c r="A13078">
        <v>13077</v>
      </c>
      <c r="B13078" t="str">
        <v>Công an xã Đức Bồng  tỉnh Hà Tĩnh</v>
      </c>
      <c r="C13078" t="str">
        <v>-</v>
      </c>
      <c r="D13078" t="str">
        <v>-</v>
      </c>
      <c r="E13078" t="str">
        <v/>
      </c>
      <c r="F13078" t="str">
        <v>-</v>
      </c>
      <c r="G13078" t="str">
        <v>-</v>
      </c>
    </row>
    <row r="13079">
      <c r="A13079">
        <v>13078</v>
      </c>
      <c r="B13079" t="str">
        <v>UBND Ủy ban nhân dân xã Đức Bồng  tỉnh Hà Tĩnh</v>
      </c>
      <c r="C13079" t="str">
        <v>-</v>
      </c>
      <c r="D13079" t="str">
        <v>-</v>
      </c>
      <c r="E13079" t="str">
        <v>-</v>
      </c>
      <c r="F13079" t="str">
        <v>-</v>
      </c>
      <c r="G13079" t="str">
        <v>-</v>
      </c>
    </row>
    <row r="13080">
      <c r="A13080">
        <v>13079</v>
      </c>
      <c r="B13080" t="str">
        <v>Công an xã Đức Liên  tỉnh Hà Tĩnh</v>
      </c>
      <c r="C13080" t="str">
        <v>-</v>
      </c>
      <c r="D13080" t="str">
        <v>-</v>
      </c>
      <c r="E13080" t="str">
        <v/>
      </c>
      <c r="F13080" t="str">
        <v>-</v>
      </c>
      <c r="G13080" t="str">
        <v>-</v>
      </c>
    </row>
    <row r="13081">
      <c r="A13081">
        <v>13080</v>
      </c>
      <c r="B13081" t="str">
        <v>UBND Ủy ban nhân dân xã Đức Liên  tỉnh Hà Tĩnh</v>
      </c>
      <c r="C13081" t="str">
        <v>-</v>
      </c>
      <c r="D13081" t="str">
        <v>-</v>
      </c>
      <c r="E13081" t="str">
        <v>-</v>
      </c>
      <c r="F13081" t="str">
        <v>-</v>
      </c>
      <c r="G13081" t="str">
        <v>-</v>
      </c>
    </row>
    <row r="13082">
      <c r="A13082">
        <v>13081</v>
      </c>
      <c r="B13082" t="str">
        <v>Công an xã Hương Điền  tỉnh Hà Tĩnh</v>
      </c>
      <c r="C13082" t="str">
        <v>-</v>
      </c>
      <c r="D13082" t="str">
        <v>-</v>
      </c>
      <c r="E13082" t="str">
        <v/>
      </c>
      <c r="F13082" t="str">
        <v>-</v>
      </c>
      <c r="G13082" t="str">
        <v>-</v>
      </c>
    </row>
    <row r="13083">
      <c r="A13083">
        <v>13082</v>
      </c>
      <c r="B13083" t="str">
        <v>UBND Ủy ban nhân dân xã Hương Điền  tỉnh Hà Tĩnh</v>
      </c>
      <c r="C13083" t="str">
        <v>-</v>
      </c>
      <c r="D13083" t="str">
        <v>-</v>
      </c>
      <c r="E13083" t="str">
        <v>-</v>
      </c>
      <c r="F13083" t="str">
        <v>-</v>
      </c>
      <c r="G13083" t="str">
        <v>-</v>
      </c>
    </row>
    <row r="13084">
      <c r="A13084">
        <v>13083</v>
      </c>
      <c r="B13084" t="str">
        <v>Công an xã Hương Minh  tỉnh Hà Tĩnh</v>
      </c>
      <c r="C13084" t="str">
        <v>-</v>
      </c>
      <c r="D13084" t="str">
        <v>-</v>
      </c>
      <c r="E13084" t="str">
        <v/>
      </c>
      <c r="F13084" t="str">
        <v>-</v>
      </c>
      <c r="G13084" t="str">
        <v>-</v>
      </c>
    </row>
    <row r="13085">
      <c r="A13085">
        <v>13084</v>
      </c>
      <c r="B13085" t="str">
        <v>UBND Ủy ban nhân dân xã Hương Minh  tỉnh Hà Tĩnh</v>
      </c>
      <c r="C13085" t="str">
        <v>-</v>
      </c>
      <c r="D13085" t="str">
        <v>-</v>
      </c>
      <c r="E13085" t="str">
        <v>-</v>
      </c>
      <c r="F13085" t="str">
        <v>-</v>
      </c>
      <c r="G13085" t="str">
        <v>-</v>
      </c>
    </row>
    <row r="13086">
      <c r="A13086">
        <v>13085</v>
      </c>
      <c r="B13086" t="str">
        <v>Công an xã Hương Thọ  tỉnh Hà Tĩnh</v>
      </c>
      <c r="C13086" t="str">
        <v>-</v>
      </c>
      <c r="D13086" t="str">
        <v>-</v>
      </c>
      <c r="E13086" t="str">
        <v/>
      </c>
      <c r="F13086" t="str">
        <v>-</v>
      </c>
      <c r="G13086" t="str">
        <v>-</v>
      </c>
    </row>
    <row r="13087">
      <c r="A13087">
        <v>13086</v>
      </c>
      <c r="B13087" t="str">
        <v>UBND Ủy ban nhân dân xã Hương Thọ  tỉnh Hà Tĩnh</v>
      </c>
      <c r="C13087" t="str">
        <v>-</v>
      </c>
      <c r="D13087" t="str">
        <v>-</v>
      </c>
      <c r="E13087" t="str">
        <v>-</v>
      </c>
      <c r="F13087" t="str">
        <v>-</v>
      </c>
      <c r="G13087" t="str">
        <v>-</v>
      </c>
    </row>
    <row r="13088">
      <c r="A13088">
        <v>13087</v>
      </c>
      <c r="B13088" t="str">
        <v>Công an xã Hương Quang  tỉnh Hà Tĩnh</v>
      </c>
      <c r="C13088" t="str">
        <v>-</v>
      </c>
      <c r="D13088" t="str">
        <v>-</v>
      </c>
      <c r="E13088" t="str">
        <v/>
      </c>
      <c r="F13088" t="str">
        <v>-</v>
      </c>
      <c r="G13088" t="str">
        <v>-</v>
      </c>
    </row>
    <row r="13089">
      <c r="A13089">
        <v>13088</v>
      </c>
      <c r="B13089" t="str">
        <v>UBND Ủy ban nhân dân xã Hương Quang  tỉnh Hà Tĩnh</v>
      </c>
      <c r="C13089" t="str">
        <v>-</v>
      </c>
      <c r="D13089" t="str">
        <v>-</v>
      </c>
      <c r="E13089" t="str">
        <v>-</v>
      </c>
      <c r="F13089" t="str">
        <v>-</v>
      </c>
      <c r="G13089" t="str">
        <v>-</v>
      </c>
    </row>
    <row r="13090">
      <c r="A13090">
        <v>13089</v>
      </c>
      <c r="B13090" t="str">
        <v>Công an thị trấn Nghi Xuân  tỉnh Hà Tĩnh</v>
      </c>
      <c r="C13090" t="str">
        <v>-</v>
      </c>
      <c r="D13090" t="str">
        <v>-</v>
      </c>
      <c r="E13090" t="str">
        <v/>
      </c>
      <c r="F13090" t="str">
        <v>-</v>
      </c>
      <c r="G13090" t="str">
        <v>-</v>
      </c>
    </row>
    <row r="13091">
      <c r="A13091">
        <v>13090</v>
      </c>
      <c r="B13091" t="str">
        <v>UBND Ủy ban nhân dân thị trấn Nghi Xuân  tỉnh Hà Tĩnh</v>
      </c>
      <c r="C13091" t="str">
        <v>-</v>
      </c>
      <c r="D13091" t="str">
        <v>-</v>
      </c>
      <c r="E13091" t="str">
        <v>-</v>
      </c>
      <c r="F13091" t="str">
        <v>-</v>
      </c>
      <c r="G13091" t="str">
        <v>-</v>
      </c>
    </row>
    <row r="13092">
      <c r="A13092">
        <v>13091</v>
      </c>
      <c r="B13092" t="str">
        <v>Công an thị trấn Xuân An  tỉnh Hà Tĩnh</v>
      </c>
      <c r="C13092" t="str">
        <v>-</v>
      </c>
      <c r="D13092" t="str">
        <v>-</v>
      </c>
      <c r="E13092" t="str">
        <v/>
      </c>
      <c r="F13092" t="str">
        <v>-</v>
      </c>
      <c r="G13092" t="str">
        <v>-</v>
      </c>
    </row>
    <row r="13093">
      <c r="A13093">
        <v>13092</v>
      </c>
      <c r="B13093" t="str">
        <v>UBND Ủy ban nhân dân thị trấn Xuân An  tỉnh Hà Tĩnh</v>
      </c>
      <c r="C13093" t="str">
        <v>-</v>
      </c>
      <c r="D13093" t="str">
        <v>-</v>
      </c>
      <c r="E13093" t="str">
        <v>-</v>
      </c>
      <c r="F13093" t="str">
        <v>-</v>
      </c>
      <c r="G13093" t="str">
        <v>-</v>
      </c>
    </row>
    <row r="13094">
      <c r="A13094">
        <v>13093</v>
      </c>
      <c r="B13094" t="str">
        <v>Công an xã Xuân Hội  tỉnh Hà Tĩnh</v>
      </c>
      <c r="C13094" t="str">
        <v>-</v>
      </c>
      <c r="D13094" t="str">
        <v>-</v>
      </c>
      <c r="E13094" t="str">
        <v/>
      </c>
      <c r="F13094" t="str">
        <v>-</v>
      </c>
      <c r="G13094" t="str">
        <v>-</v>
      </c>
    </row>
    <row r="13095">
      <c r="A13095">
        <v>13094</v>
      </c>
      <c r="B13095" t="str">
        <v>UBND Ủy ban nhân dân xã Xuân Hội  tỉnh Hà Tĩnh</v>
      </c>
      <c r="C13095" t="str">
        <v>-</v>
      </c>
      <c r="D13095" t="str">
        <v>-</v>
      </c>
      <c r="E13095" t="str">
        <v>-</v>
      </c>
      <c r="F13095" t="str">
        <v>-</v>
      </c>
      <c r="G13095" t="str">
        <v>-</v>
      </c>
    </row>
    <row r="13096">
      <c r="A13096">
        <v>13095</v>
      </c>
      <c r="B13096" t="str">
        <v>Công an xã Xuân Trường  tỉnh Hà Tĩnh</v>
      </c>
      <c r="C13096" t="str">
        <v>-</v>
      </c>
      <c r="D13096" t="str">
        <v>-</v>
      </c>
      <c r="E13096" t="str">
        <v/>
      </c>
      <c r="F13096" t="str">
        <v>-</v>
      </c>
      <c r="G13096" t="str">
        <v>-</v>
      </c>
    </row>
    <row r="13097">
      <c r="A13097">
        <v>13096</v>
      </c>
      <c r="B13097" t="str">
        <v>UBND Ủy ban nhân dân xã Xuân Trường  tỉnh Hà Tĩnh</v>
      </c>
      <c r="C13097" t="str">
        <v>-</v>
      </c>
      <c r="D13097" t="str">
        <v>-</v>
      </c>
      <c r="E13097" t="str">
        <v>-</v>
      </c>
      <c r="F13097" t="str">
        <v>-</v>
      </c>
      <c r="G13097" t="str">
        <v>-</v>
      </c>
    </row>
    <row r="13098">
      <c r="A13098">
        <v>13097</v>
      </c>
      <c r="B13098" t="str">
        <v>Công an xã Xuân Đan  tỉnh Hà Tĩnh</v>
      </c>
      <c r="C13098" t="str">
        <v>-</v>
      </c>
      <c r="D13098" t="str">
        <v>-</v>
      </c>
      <c r="E13098" t="str">
        <v/>
      </c>
      <c r="F13098" t="str">
        <v>-</v>
      </c>
      <c r="G13098" t="str">
        <v>-</v>
      </c>
    </row>
    <row r="13099">
      <c r="A13099">
        <v>13098</v>
      </c>
      <c r="B13099" t="str">
        <v>UBND Ủy ban nhân dân xã Xuân Đan  tỉnh Hà Tĩnh</v>
      </c>
      <c r="C13099" t="str">
        <v>-</v>
      </c>
      <c r="D13099" t="str">
        <v>-</v>
      </c>
      <c r="E13099" t="str">
        <v>-</v>
      </c>
      <c r="F13099" t="str">
        <v>-</v>
      </c>
      <c r="G13099" t="str">
        <v>-</v>
      </c>
    </row>
    <row r="13100">
      <c r="A13100">
        <v>13099</v>
      </c>
      <c r="B13100" t="str">
        <v>Công an xã Xuân Phổ  tỉnh Hà Tĩnh</v>
      </c>
      <c r="C13100" t="str">
        <v>-</v>
      </c>
      <c r="D13100" t="str">
        <v>-</v>
      </c>
      <c r="E13100" t="str">
        <v/>
      </c>
      <c r="F13100" t="str">
        <v>-</v>
      </c>
      <c r="G13100" t="str">
        <v>-</v>
      </c>
    </row>
    <row r="13101">
      <c r="A13101">
        <v>13100</v>
      </c>
      <c r="B13101" t="str">
        <v>UBND Ủy ban nhân dân xã Xuân Phổ  tỉnh Hà Tĩnh</v>
      </c>
      <c r="C13101" t="str">
        <v>-</v>
      </c>
      <c r="D13101" t="str">
        <v>-</v>
      </c>
      <c r="E13101" t="str">
        <v>-</v>
      </c>
      <c r="F13101" t="str">
        <v>-</v>
      </c>
      <c r="G13101" t="str">
        <v>-</v>
      </c>
    </row>
    <row r="13102">
      <c r="A13102">
        <v>13101</v>
      </c>
      <c r="B13102" t="str">
        <v>Công an xã Xuân Hải  tỉnh Hà Tĩnh</v>
      </c>
      <c r="C13102" t="str">
        <v>-</v>
      </c>
      <c r="D13102" t="str">
        <v>-</v>
      </c>
      <c r="E13102" t="str">
        <v/>
      </c>
      <c r="F13102" t="str">
        <v>-</v>
      </c>
      <c r="G13102" t="str">
        <v>-</v>
      </c>
    </row>
    <row r="13103">
      <c r="A13103">
        <v>13102</v>
      </c>
      <c r="B13103" t="str">
        <v>UBND Ủy ban nhân dân xã Xuân Hải  tỉnh Hà Tĩnh</v>
      </c>
      <c r="C13103" t="str">
        <v>-</v>
      </c>
      <c r="D13103" t="str">
        <v>-</v>
      </c>
      <c r="E13103" t="str">
        <v>-</v>
      </c>
      <c r="F13103" t="str">
        <v>-</v>
      </c>
      <c r="G13103" t="str">
        <v>-</v>
      </c>
    </row>
    <row r="13104">
      <c r="A13104">
        <v>13103</v>
      </c>
      <c r="B13104" t="str">
        <v>Công an xã Xuân Giang  tỉnh Hà Tĩnh</v>
      </c>
      <c r="C13104" t="str">
        <v>-</v>
      </c>
      <c r="D13104" t="str">
        <v>-</v>
      </c>
      <c r="E13104" t="str">
        <v/>
      </c>
      <c r="F13104" t="str">
        <v>-</v>
      </c>
      <c r="G13104" t="str">
        <v>-</v>
      </c>
    </row>
    <row r="13105">
      <c r="A13105">
        <v>13104</v>
      </c>
      <c r="B13105" t="str">
        <v>UBND Ủy ban nhân dân xã Xuân Giang  tỉnh Hà Tĩnh</v>
      </c>
      <c r="C13105" t="str">
        <v>-</v>
      </c>
      <c r="D13105" t="str">
        <v>-</v>
      </c>
      <c r="E13105" t="str">
        <v>-</v>
      </c>
      <c r="F13105" t="str">
        <v>-</v>
      </c>
      <c r="G13105" t="str">
        <v>-</v>
      </c>
    </row>
    <row r="13106">
      <c r="A13106">
        <v>13105</v>
      </c>
      <c r="B13106" t="str">
        <v>Công an xã Tiên Điền  tỉnh Hà Tĩnh</v>
      </c>
      <c r="C13106" t="str">
        <v>-</v>
      </c>
      <c r="D13106" t="str">
        <v>-</v>
      </c>
      <c r="E13106" t="str">
        <v/>
      </c>
      <c r="F13106" t="str">
        <v>-</v>
      </c>
      <c r="G13106" t="str">
        <v>-</v>
      </c>
    </row>
    <row r="13107">
      <c r="A13107">
        <v>13106</v>
      </c>
      <c r="B13107" t="str">
        <v>UBND Ủy ban nhân dân xã Tiên Điền  tỉnh Hà Tĩnh</v>
      </c>
      <c r="C13107" t="str">
        <v>-</v>
      </c>
      <c r="D13107" t="str">
        <v>-</v>
      </c>
      <c r="E13107" t="str">
        <v>-</v>
      </c>
      <c r="F13107" t="str">
        <v>-</v>
      </c>
      <c r="G13107" t="str">
        <v>-</v>
      </c>
    </row>
    <row r="13108">
      <c r="A13108">
        <v>13107</v>
      </c>
      <c r="B13108" t="str">
        <v>Công an xã Xuân Yên  tỉnh Hà Tĩnh</v>
      </c>
      <c r="C13108" t="str">
        <v>-</v>
      </c>
      <c r="D13108" t="str">
        <v>-</v>
      </c>
      <c r="E13108" t="str">
        <v/>
      </c>
      <c r="F13108" t="str">
        <v>-</v>
      </c>
      <c r="G13108" t="str">
        <v>-</v>
      </c>
    </row>
    <row r="13109">
      <c r="A13109">
        <v>13108</v>
      </c>
      <c r="B13109" t="str">
        <v>UBND Ủy ban nhân dân xã Xuân Yên  tỉnh Hà Tĩnh</v>
      </c>
      <c r="C13109" t="str">
        <v>-</v>
      </c>
      <c r="D13109" t="str">
        <v>-</v>
      </c>
      <c r="E13109" t="str">
        <v>-</v>
      </c>
      <c r="F13109" t="str">
        <v>-</v>
      </c>
      <c r="G13109" t="str">
        <v>-</v>
      </c>
    </row>
    <row r="13110">
      <c r="A13110">
        <v>13109</v>
      </c>
      <c r="B13110" t="str">
        <v>Công an xã Xuân Mỹ  tỉnh Hà Tĩnh</v>
      </c>
      <c r="C13110" t="str">
        <v>-</v>
      </c>
      <c r="D13110" t="str">
        <v>-</v>
      </c>
      <c r="E13110" t="str">
        <v/>
      </c>
      <c r="F13110" t="str">
        <v>-</v>
      </c>
      <c r="G13110" t="str">
        <v>-</v>
      </c>
    </row>
    <row r="13111">
      <c r="A13111">
        <v>13110</v>
      </c>
      <c r="B13111" t="str">
        <v>UBND Ủy ban nhân dân xã Xuân Mỹ  tỉnh Hà Tĩnh</v>
      </c>
      <c r="C13111" t="str">
        <v>-</v>
      </c>
      <c r="D13111" t="str">
        <v>-</v>
      </c>
      <c r="E13111" t="str">
        <v>-</v>
      </c>
      <c r="F13111" t="str">
        <v>-</v>
      </c>
      <c r="G13111" t="str">
        <v>-</v>
      </c>
    </row>
    <row r="13112">
      <c r="A13112">
        <v>13111</v>
      </c>
      <c r="B13112" t="str">
        <v>Công an xã Xuân Thành  tỉnh Hà Tĩnh</v>
      </c>
      <c r="C13112" t="str">
        <v>-</v>
      </c>
      <c r="D13112" t="str">
        <v>-</v>
      </c>
      <c r="E13112" t="str">
        <v/>
      </c>
      <c r="F13112" t="str">
        <v>-</v>
      </c>
      <c r="G13112" t="str">
        <v>-</v>
      </c>
    </row>
    <row r="13113">
      <c r="A13113">
        <v>13112</v>
      </c>
      <c r="B13113" t="str">
        <v>UBND Ủy ban nhân dân xã Xuân Thành  tỉnh Hà Tĩnh</v>
      </c>
      <c r="C13113" t="str">
        <v>-</v>
      </c>
      <c r="D13113" t="str">
        <v>-</v>
      </c>
      <c r="E13113" t="str">
        <v>-</v>
      </c>
      <c r="F13113" t="str">
        <v>-</v>
      </c>
      <c r="G13113" t="str">
        <v>-</v>
      </c>
    </row>
    <row r="13114">
      <c r="A13114">
        <v>13113</v>
      </c>
      <c r="B13114" t="str">
        <v>Công an xã Xuân Viên  tỉnh Hà Tĩnh</v>
      </c>
      <c r="C13114" t="str">
        <v>-</v>
      </c>
      <c r="D13114" t="str">
        <v>-</v>
      </c>
      <c r="E13114" t="str">
        <v/>
      </c>
      <c r="F13114" t="str">
        <v>-</v>
      </c>
      <c r="G13114" t="str">
        <v>-</v>
      </c>
    </row>
    <row r="13115">
      <c r="A13115">
        <v>13114</v>
      </c>
      <c r="B13115" t="str">
        <v>UBND Ủy ban nhân dân xã Xuân Viên  tỉnh Hà Tĩnh</v>
      </c>
      <c r="C13115" t="str">
        <v>-</v>
      </c>
      <c r="D13115" t="str">
        <v>-</v>
      </c>
      <c r="E13115" t="str">
        <v>-</v>
      </c>
      <c r="F13115" t="str">
        <v>-</v>
      </c>
      <c r="G13115" t="str">
        <v>-</v>
      </c>
    </row>
    <row r="13116">
      <c r="A13116">
        <v>13115</v>
      </c>
      <c r="B13116" t="str">
        <v>Công an xã Xuân Hồng  tỉnh Hà Tĩnh</v>
      </c>
      <c r="C13116" t="str">
        <v>-</v>
      </c>
      <c r="D13116" t="str">
        <v>-</v>
      </c>
      <c r="E13116" t="str">
        <v/>
      </c>
      <c r="F13116" t="str">
        <v>-</v>
      </c>
      <c r="G13116" t="str">
        <v>-</v>
      </c>
    </row>
    <row r="13117">
      <c r="A13117">
        <v>13116</v>
      </c>
      <c r="B13117" t="str">
        <v>UBND Ủy ban nhân dân xã Xuân Hồng  tỉnh Hà Tĩnh</v>
      </c>
      <c r="C13117" t="str">
        <v>-</v>
      </c>
      <c r="D13117" t="str">
        <v>-</v>
      </c>
      <c r="E13117" t="str">
        <v>-</v>
      </c>
      <c r="F13117" t="str">
        <v>-</v>
      </c>
      <c r="G13117" t="str">
        <v>-</v>
      </c>
    </row>
    <row r="13118">
      <c r="A13118">
        <v>13117</v>
      </c>
      <c r="B13118" t="str">
        <v>Công an xã Cỗ Đạm  tỉnh Hà Tĩnh</v>
      </c>
      <c r="C13118" t="str">
        <v>-</v>
      </c>
      <c r="D13118" t="str">
        <v>-</v>
      </c>
      <c r="E13118" t="str">
        <v/>
      </c>
      <c r="F13118" t="str">
        <v>-</v>
      </c>
      <c r="G13118" t="str">
        <v>-</v>
      </c>
    </row>
    <row r="13119">
      <c r="A13119">
        <v>13118</v>
      </c>
      <c r="B13119" t="str">
        <v>UBND Ủy ban nhân dân xã Cỗ Đạm  tỉnh Hà Tĩnh</v>
      </c>
      <c r="C13119" t="str">
        <v>-</v>
      </c>
      <c r="D13119" t="str">
        <v>-</v>
      </c>
      <c r="E13119" t="str">
        <v>-</v>
      </c>
      <c r="F13119" t="str">
        <v>-</v>
      </c>
      <c r="G13119" t="str">
        <v>-</v>
      </c>
    </row>
    <row r="13120">
      <c r="A13120">
        <v>13119</v>
      </c>
      <c r="B13120" t="str">
        <v>Công an xã Xuân Liên  tỉnh Hà Tĩnh</v>
      </c>
      <c r="C13120" t="str">
        <v>-</v>
      </c>
      <c r="D13120" t="str">
        <v>-</v>
      </c>
      <c r="E13120" t="str">
        <v/>
      </c>
      <c r="F13120" t="str">
        <v>-</v>
      </c>
      <c r="G13120" t="str">
        <v>-</v>
      </c>
    </row>
    <row r="13121">
      <c r="A13121">
        <v>13120</v>
      </c>
      <c r="B13121" t="str">
        <v>UBND Ủy ban nhân dân xã Xuân Liên  tỉnh Hà Tĩnh</v>
      </c>
      <c r="C13121" t="str">
        <v>-</v>
      </c>
      <c r="D13121" t="str">
        <v>-</v>
      </c>
      <c r="E13121" t="str">
        <v>-</v>
      </c>
      <c r="F13121" t="str">
        <v>-</v>
      </c>
      <c r="G13121" t="str">
        <v>-</v>
      </c>
    </row>
    <row r="13122">
      <c r="A13122">
        <v>13121</v>
      </c>
      <c r="B13122" t="str">
        <v>Công an xã Xuân Lĩnh  tỉnh Hà Tĩnh</v>
      </c>
      <c r="C13122" t="str">
        <v>-</v>
      </c>
      <c r="D13122" t="str">
        <v>-</v>
      </c>
      <c r="E13122" t="str">
        <v/>
      </c>
      <c r="F13122" t="str">
        <v>-</v>
      </c>
      <c r="G13122" t="str">
        <v>-</v>
      </c>
    </row>
    <row r="13123">
      <c r="A13123">
        <v>13122</v>
      </c>
      <c r="B13123" t="str">
        <v>UBND Ủy ban nhân dân xã Xuân Lĩnh  tỉnh Hà Tĩnh</v>
      </c>
      <c r="C13123" t="str">
        <v>-</v>
      </c>
      <c r="D13123" t="str">
        <v>-</v>
      </c>
      <c r="E13123" t="str">
        <v>-</v>
      </c>
      <c r="F13123" t="str">
        <v>-</v>
      </c>
      <c r="G13123" t="str">
        <v>-</v>
      </c>
    </row>
    <row r="13124">
      <c r="A13124">
        <v>13123</v>
      </c>
      <c r="B13124" t="str">
        <v>Công an xã Xuân Lam  tỉnh Hà Tĩnh</v>
      </c>
      <c r="C13124" t="str">
        <v>-</v>
      </c>
      <c r="D13124" t="str">
        <v>-</v>
      </c>
      <c r="E13124" t="str">
        <v/>
      </c>
      <c r="F13124" t="str">
        <v>-</v>
      </c>
      <c r="G13124" t="str">
        <v>-</v>
      </c>
    </row>
    <row r="13125">
      <c r="A13125">
        <v>13124</v>
      </c>
      <c r="B13125" t="str">
        <v>UBND Ủy ban nhân dân xã Xuân Lam  tỉnh Hà Tĩnh</v>
      </c>
      <c r="C13125" t="str">
        <v>-</v>
      </c>
      <c r="D13125" t="str">
        <v>-</v>
      </c>
      <c r="E13125" t="str">
        <v>-</v>
      </c>
      <c r="F13125" t="str">
        <v>-</v>
      </c>
      <c r="G13125" t="str">
        <v>-</v>
      </c>
    </row>
    <row r="13126">
      <c r="A13126">
        <v>13125</v>
      </c>
      <c r="B13126" t="str">
        <v>Công an xã Cương Gián  tỉnh Hà Tĩnh</v>
      </c>
      <c r="C13126" t="str">
        <v>-</v>
      </c>
      <c r="D13126" t="str">
        <v>-</v>
      </c>
      <c r="E13126" t="str">
        <v/>
      </c>
      <c r="F13126" t="str">
        <v>-</v>
      </c>
      <c r="G13126" t="str">
        <v>-</v>
      </c>
    </row>
    <row r="13127">
      <c r="A13127">
        <v>13126</v>
      </c>
      <c r="B13127" t="str">
        <v>UBND Ủy ban nhân dân xã Cương Gián  tỉnh Hà Tĩnh</v>
      </c>
      <c r="C13127" t="str">
        <v>-</v>
      </c>
      <c r="D13127" t="str">
        <v>-</v>
      </c>
      <c r="E13127" t="str">
        <v>-</v>
      </c>
      <c r="F13127" t="str">
        <v>-</v>
      </c>
      <c r="G13127" t="str">
        <v>-</v>
      </c>
    </row>
    <row r="13128">
      <c r="A13128">
        <v>13127</v>
      </c>
      <c r="B13128" t="str">
        <v>Công an thị trấn Nghèn  tỉnh Hà Tĩnh</v>
      </c>
      <c r="C13128" t="str">
        <v>-</v>
      </c>
      <c r="D13128" t="str">
        <v>-</v>
      </c>
      <c r="E13128" t="str">
        <v/>
      </c>
      <c r="F13128" t="str">
        <v>-</v>
      </c>
      <c r="G13128" t="str">
        <v>-</v>
      </c>
    </row>
    <row r="13129">
      <c r="A13129">
        <v>13128</v>
      </c>
      <c r="B13129" t="str">
        <v>UBND Ủy ban nhân dân thị trấn Nghèn  tỉnh Hà Tĩnh</v>
      </c>
      <c r="C13129" t="str">
        <v>-</v>
      </c>
      <c r="D13129" t="str">
        <v>-</v>
      </c>
      <c r="E13129" t="str">
        <v>-</v>
      </c>
      <c r="F13129" t="str">
        <v>-</v>
      </c>
      <c r="G13129" t="str">
        <v>-</v>
      </c>
    </row>
    <row r="13130">
      <c r="A13130">
        <v>13129</v>
      </c>
      <c r="B13130" t="str">
        <v>Công an xã Thiên Lộc  tỉnh Hà Tĩnh</v>
      </c>
      <c r="C13130" t="str">
        <v>-</v>
      </c>
      <c r="D13130" t="str">
        <v>-</v>
      </c>
      <c r="E13130" t="str">
        <v/>
      </c>
      <c r="F13130" t="str">
        <v>-</v>
      </c>
      <c r="G13130" t="str">
        <v>-</v>
      </c>
    </row>
    <row r="13131">
      <c r="A13131">
        <v>13130</v>
      </c>
      <c r="B13131" t="str">
        <v>UBND Ủy ban nhân dân xã Thiên Lộc  tỉnh Hà Tĩnh</v>
      </c>
      <c r="C13131" t="str">
        <v>-</v>
      </c>
      <c r="D13131" t="str">
        <v>-</v>
      </c>
      <c r="E13131" t="str">
        <v>-</v>
      </c>
      <c r="F13131" t="str">
        <v>-</v>
      </c>
      <c r="G13131" t="str">
        <v>-</v>
      </c>
    </row>
    <row r="13132">
      <c r="A13132">
        <v>13131</v>
      </c>
      <c r="B13132" t="str">
        <v>Công an xã Thuần Thiện  tỉnh Hà Tĩnh</v>
      </c>
      <c r="C13132" t="str">
        <v>-</v>
      </c>
      <c r="D13132" t="str">
        <v>-</v>
      </c>
      <c r="E13132" t="str">
        <v/>
      </c>
      <c r="F13132" t="str">
        <v>-</v>
      </c>
      <c r="G13132" t="str">
        <v>-</v>
      </c>
    </row>
    <row r="13133">
      <c r="A13133">
        <v>13132</v>
      </c>
      <c r="B13133" t="str">
        <v>UBND Ủy ban nhân dân xã Thuần Thiện  tỉnh Hà Tĩnh</v>
      </c>
      <c r="C13133" t="str">
        <v>-</v>
      </c>
      <c r="D13133" t="str">
        <v>-</v>
      </c>
      <c r="E13133" t="str">
        <v>-</v>
      </c>
      <c r="F13133" t="str">
        <v>-</v>
      </c>
      <c r="G13133" t="str">
        <v>-</v>
      </c>
    </row>
    <row r="13134">
      <c r="A13134">
        <v>13133</v>
      </c>
      <c r="B13134" t="str">
        <v>Công an xã Kim Lộc  tỉnh Hà Tĩnh</v>
      </c>
      <c r="C13134" t="str">
        <v>-</v>
      </c>
      <c r="D13134" t="str">
        <v>-</v>
      </c>
      <c r="E13134" t="str">
        <v/>
      </c>
      <c r="F13134" t="str">
        <v>-</v>
      </c>
      <c r="G13134" t="str">
        <v>-</v>
      </c>
    </row>
    <row r="13135">
      <c r="A13135">
        <v>13134</v>
      </c>
      <c r="B13135" t="str">
        <v>UBND Ủy ban nhân dân xã Kim Lộc  tỉnh Hà Tĩnh</v>
      </c>
      <c r="C13135" t="str">
        <v>-</v>
      </c>
      <c r="D13135" t="str">
        <v>-</v>
      </c>
      <c r="E13135" t="str">
        <v>-</v>
      </c>
      <c r="F13135" t="str">
        <v>-</v>
      </c>
      <c r="G13135" t="str">
        <v>-</v>
      </c>
    </row>
    <row r="13136">
      <c r="A13136">
        <v>13135</v>
      </c>
      <c r="B13136" t="str">
        <v>Công an xã Vượng Lộc  tỉnh Hà Tĩnh</v>
      </c>
      <c r="C13136" t="str">
        <v>-</v>
      </c>
      <c r="D13136" t="str">
        <v>-</v>
      </c>
      <c r="E13136" t="str">
        <v/>
      </c>
      <c r="F13136" t="str">
        <v>-</v>
      </c>
      <c r="G13136" t="str">
        <v>-</v>
      </c>
    </row>
    <row r="13137">
      <c r="A13137">
        <v>13136</v>
      </c>
      <c r="B13137" t="str">
        <v>UBND Ủy ban nhân dân xã Vượng Lộc  tỉnh Hà Tĩnh</v>
      </c>
      <c r="C13137" t="str">
        <v>-</v>
      </c>
      <c r="D13137" t="str">
        <v>-</v>
      </c>
      <c r="E13137" t="str">
        <v>-</v>
      </c>
      <c r="F13137" t="str">
        <v>-</v>
      </c>
      <c r="G13137" t="str">
        <v>-</v>
      </c>
    </row>
    <row r="13138">
      <c r="A13138">
        <v>13137</v>
      </c>
      <c r="B13138" t="str">
        <v>Công an xã Thanh Lộc  tỉnh Hà Tĩnh</v>
      </c>
      <c r="C13138" t="str">
        <v>-</v>
      </c>
      <c r="D13138" t="str">
        <v>-</v>
      </c>
      <c r="E13138" t="str">
        <v/>
      </c>
      <c r="F13138" t="str">
        <v>-</v>
      </c>
      <c r="G13138" t="str">
        <v>-</v>
      </c>
    </row>
    <row r="13139">
      <c r="A13139">
        <v>13138</v>
      </c>
      <c r="B13139" t="str">
        <v>UBND Ủy ban nhân dân xã Thanh Lộc  tỉnh Hà Tĩnh</v>
      </c>
      <c r="C13139" t="str">
        <v>-</v>
      </c>
      <c r="D13139" t="str">
        <v>-</v>
      </c>
      <c r="E13139" t="str">
        <v>-</v>
      </c>
      <c r="F13139" t="str">
        <v>-</v>
      </c>
      <c r="G13139" t="str">
        <v>-</v>
      </c>
    </row>
    <row r="13140">
      <c r="A13140">
        <v>13139</v>
      </c>
      <c r="B13140" t="str">
        <v>Công an xã Song Lộc  tỉnh Hà Tĩnh</v>
      </c>
      <c r="C13140" t="str">
        <v>-</v>
      </c>
      <c r="D13140" t="str">
        <v>-</v>
      </c>
      <c r="E13140" t="str">
        <v/>
      </c>
      <c r="F13140" t="str">
        <v>-</v>
      </c>
      <c r="G13140" t="str">
        <v>-</v>
      </c>
    </row>
    <row r="13141">
      <c r="A13141">
        <v>13140</v>
      </c>
      <c r="B13141" t="str">
        <v>UBND Ủy ban nhân dân xã Song Lộc  tỉnh Hà Tĩnh</v>
      </c>
      <c r="C13141" t="str">
        <v>-</v>
      </c>
      <c r="D13141" t="str">
        <v>-</v>
      </c>
      <c r="E13141" t="str">
        <v>-</v>
      </c>
      <c r="F13141" t="str">
        <v>-</v>
      </c>
      <c r="G13141" t="str">
        <v>-</v>
      </c>
    </row>
    <row r="13142">
      <c r="A13142">
        <v>13141</v>
      </c>
      <c r="B13142" t="str">
        <v>Công an xã Thường Nga  tỉnh Hà Tĩnh</v>
      </c>
      <c r="C13142" t="str">
        <v>-</v>
      </c>
      <c r="D13142" t="str">
        <v>-</v>
      </c>
      <c r="E13142" t="str">
        <v/>
      </c>
      <c r="F13142" t="str">
        <v>-</v>
      </c>
      <c r="G13142" t="str">
        <v>-</v>
      </c>
    </row>
    <row r="13143">
      <c r="A13143">
        <v>13142</v>
      </c>
      <c r="B13143" t="str">
        <v>UBND Ủy ban nhân dân xã Thường Nga  tỉnh Hà Tĩnh</v>
      </c>
      <c r="C13143" t="str">
        <v>-</v>
      </c>
      <c r="D13143" t="str">
        <v>-</v>
      </c>
      <c r="E13143" t="str">
        <v>-</v>
      </c>
      <c r="F13143" t="str">
        <v>-</v>
      </c>
      <c r="G13143" t="str">
        <v>-</v>
      </c>
    </row>
    <row r="13144">
      <c r="A13144">
        <v>13143</v>
      </c>
      <c r="B13144" t="str">
        <v>Công an xã Trường Lộc  tỉnh Hà Tĩnh</v>
      </c>
      <c r="C13144" t="str">
        <v>-</v>
      </c>
      <c r="D13144" t="str">
        <v>-</v>
      </c>
      <c r="E13144" t="str">
        <v/>
      </c>
      <c r="F13144" t="str">
        <v>-</v>
      </c>
      <c r="G13144" t="str">
        <v>-</v>
      </c>
    </row>
    <row r="13145">
      <c r="A13145">
        <v>13144</v>
      </c>
      <c r="B13145" t="str">
        <v>UBND Ủy ban nhân dân xã Trường Lộc  tỉnh Hà Tĩnh</v>
      </c>
      <c r="C13145" t="str">
        <v>-</v>
      </c>
      <c r="D13145" t="str">
        <v>-</v>
      </c>
      <c r="E13145" t="str">
        <v>-</v>
      </c>
      <c r="F13145" t="str">
        <v>-</v>
      </c>
      <c r="G13145" t="str">
        <v>-</v>
      </c>
    </row>
    <row r="13146">
      <c r="A13146">
        <v>13145</v>
      </c>
      <c r="B13146" t="str">
        <v>Công an xã Tùng Lộc  tỉnh Hà Tĩnh</v>
      </c>
      <c r="C13146" t="str">
        <v>-</v>
      </c>
      <c r="D13146" t="str">
        <v>-</v>
      </c>
      <c r="E13146" t="str">
        <v/>
      </c>
      <c r="F13146" t="str">
        <v>-</v>
      </c>
      <c r="G13146" t="str">
        <v>-</v>
      </c>
    </row>
    <row r="13147">
      <c r="A13147">
        <v>13146</v>
      </c>
      <c r="B13147" t="str">
        <v>UBND Ủy ban nhân dân xã Tùng Lộc  tỉnh Hà Tĩnh</v>
      </c>
      <c r="C13147" t="str">
        <v>-</v>
      </c>
      <c r="D13147" t="str">
        <v>-</v>
      </c>
      <c r="E13147" t="str">
        <v>-</v>
      </c>
      <c r="F13147" t="str">
        <v>-</v>
      </c>
      <c r="G13147" t="str">
        <v>-</v>
      </c>
    </row>
    <row r="13148">
      <c r="A13148">
        <v>13147</v>
      </c>
      <c r="B13148" t="str">
        <v>Công an xã Yên Lộc  tỉnh Hà Tĩnh</v>
      </c>
      <c r="C13148" t="str">
        <v>-</v>
      </c>
      <c r="D13148" t="str">
        <v>-</v>
      </c>
      <c r="E13148" t="str">
        <v/>
      </c>
      <c r="F13148" t="str">
        <v>-</v>
      </c>
      <c r="G13148" t="str">
        <v>-</v>
      </c>
    </row>
    <row r="13149">
      <c r="A13149">
        <v>13148</v>
      </c>
      <c r="B13149" t="str">
        <v>UBND Ủy ban nhân dân xã Yên Lộc  tỉnh Hà Tĩnh</v>
      </c>
      <c r="C13149" t="str">
        <v>-</v>
      </c>
      <c r="D13149" t="str">
        <v>-</v>
      </c>
      <c r="E13149" t="str">
        <v>-</v>
      </c>
      <c r="F13149" t="str">
        <v>-</v>
      </c>
      <c r="G13149" t="str">
        <v>-</v>
      </c>
    </row>
    <row r="13150">
      <c r="A13150">
        <v>13149</v>
      </c>
      <c r="B13150" t="str">
        <v>Công an xã Phú Lộc  tỉnh Hà Tĩnh</v>
      </c>
      <c r="C13150" t="str">
        <v>-</v>
      </c>
      <c r="D13150" t="str">
        <v>-</v>
      </c>
      <c r="E13150" t="str">
        <v/>
      </c>
      <c r="F13150" t="str">
        <v>-</v>
      </c>
      <c r="G13150" t="str">
        <v>-</v>
      </c>
    </row>
    <row r="13151">
      <c r="A13151">
        <v>13150</v>
      </c>
      <c r="B13151" t="str">
        <v>UBND Ủy ban nhân dân xã Phú Lộc  tỉnh Hà Tĩnh</v>
      </c>
      <c r="C13151" t="str">
        <v>-</v>
      </c>
      <c r="D13151" t="str">
        <v>-</v>
      </c>
      <c r="E13151" t="str">
        <v>-</v>
      </c>
      <c r="F13151" t="str">
        <v>-</v>
      </c>
      <c r="G13151" t="str">
        <v>-</v>
      </c>
    </row>
    <row r="13152">
      <c r="A13152">
        <v>13151</v>
      </c>
      <c r="B13152" t="str">
        <v>Công an xã Khánh Lộc  tỉnh Hà Tĩnh</v>
      </c>
      <c r="C13152" t="str">
        <v>-</v>
      </c>
      <c r="D13152" t="str">
        <v>-</v>
      </c>
      <c r="E13152" t="str">
        <v/>
      </c>
      <c r="F13152" t="str">
        <v>-</v>
      </c>
      <c r="G13152" t="str">
        <v>-</v>
      </c>
    </row>
    <row r="13153">
      <c r="A13153">
        <v>13152</v>
      </c>
      <c r="B13153" t="str">
        <v>UBND Ủy ban nhân dân xã Khánh Lộc  tỉnh Hà Tĩnh</v>
      </c>
      <c r="C13153" t="str">
        <v>-</v>
      </c>
      <c r="D13153" t="str">
        <v>-</v>
      </c>
      <c r="E13153" t="str">
        <v>-</v>
      </c>
      <c r="F13153" t="str">
        <v>-</v>
      </c>
      <c r="G13153" t="str">
        <v>-</v>
      </c>
    </row>
    <row r="13154">
      <c r="A13154">
        <v>13153</v>
      </c>
      <c r="B13154" t="str">
        <v>Công an xã Gia Hanh  tỉnh Hà Tĩnh</v>
      </c>
      <c r="C13154" t="str">
        <v>-</v>
      </c>
      <c r="D13154" t="str">
        <v>-</v>
      </c>
      <c r="E13154" t="str">
        <v/>
      </c>
      <c r="F13154" t="str">
        <v>-</v>
      </c>
      <c r="G13154" t="str">
        <v>-</v>
      </c>
    </row>
    <row r="13155">
      <c r="A13155">
        <v>13154</v>
      </c>
      <c r="B13155" t="str">
        <v>UBND Ủy ban nhân dân xã Gia Hanh  tỉnh Hà Tĩnh</v>
      </c>
      <c r="C13155" t="str">
        <v>-</v>
      </c>
      <c r="D13155" t="str">
        <v>-</v>
      </c>
      <c r="E13155" t="str">
        <v>-</v>
      </c>
      <c r="F13155" t="str">
        <v>-</v>
      </c>
      <c r="G13155" t="str">
        <v>-</v>
      </c>
    </row>
    <row r="13156">
      <c r="A13156">
        <v>13155</v>
      </c>
      <c r="B13156" t="str">
        <v>Công an xã Vĩnh Lộc  tỉnh Hà Tĩnh</v>
      </c>
      <c r="C13156" t="str">
        <v>-</v>
      </c>
      <c r="D13156" t="str">
        <v>-</v>
      </c>
      <c r="E13156" t="str">
        <v/>
      </c>
      <c r="F13156" t="str">
        <v>-</v>
      </c>
      <c r="G13156" t="str">
        <v>-</v>
      </c>
    </row>
    <row r="13157">
      <c r="A13157">
        <v>13156</v>
      </c>
      <c r="B13157" t="str">
        <v>UBND Ủy ban nhân dân xã Vĩnh Lộc  tỉnh Hà Tĩnh</v>
      </c>
      <c r="C13157" t="str">
        <v>-</v>
      </c>
      <c r="D13157" t="str">
        <v>-</v>
      </c>
      <c r="E13157" t="str">
        <v>-</v>
      </c>
      <c r="F13157" t="str">
        <v>-</v>
      </c>
      <c r="G13157" t="str">
        <v>-</v>
      </c>
    </row>
    <row r="13158">
      <c r="A13158">
        <v>13157</v>
      </c>
      <c r="B13158" t="str">
        <v>Công an xã Tiến Lộc  tỉnh Hà Tĩnh</v>
      </c>
      <c r="C13158" t="str">
        <v>-</v>
      </c>
      <c r="D13158" t="str">
        <v>-</v>
      </c>
      <c r="E13158" t="str">
        <v/>
      </c>
      <c r="F13158" t="str">
        <v>-</v>
      </c>
      <c r="G13158" t="str">
        <v>-</v>
      </c>
    </row>
    <row r="13159">
      <c r="A13159">
        <v>13158</v>
      </c>
      <c r="B13159" t="str">
        <v>UBND Ủy ban nhân dân xã Tiến Lộc  tỉnh Hà Tĩnh</v>
      </c>
      <c r="C13159" t="str">
        <v>-</v>
      </c>
      <c r="D13159" t="str">
        <v>-</v>
      </c>
      <c r="E13159" t="str">
        <v>-</v>
      </c>
      <c r="F13159" t="str">
        <v>-</v>
      </c>
      <c r="G13159" t="str">
        <v>-</v>
      </c>
    </row>
    <row r="13160">
      <c r="A13160">
        <v>13159</v>
      </c>
      <c r="B13160" t="str">
        <v>Công an xã Trung Lộc  tỉnh Hà Tĩnh</v>
      </c>
      <c r="C13160" t="str">
        <v>-</v>
      </c>
      <c r="D13160" t="str">
        <v>-</v>
      </c>
      <c r="E13160" t="str">
        <v/>
      </c>
      <c r="F13160" t="str">
        <v>-</v>
      </c>
      <c r="G13160" t="str">
        <v>-</v>
      </c>
    </row>
    <row r="13161">
      <c r="A13161">
        <v>13160</v>
      </c>
      <c r="B13161" t="str">
        <v>UBND Ủy ban nhân dân xã Trung Lộc  tỉnh Hà Tĩnh</v>
      </c>
      <c r="C13161" t="str">
        <v>-</v>
      </c>
      <c r="D13161" t="str">
        <v>-</v>
      </c>
      <c r="E13161" t="str">
        <v>-</v>
      </c>
      <c r="F13161" t="str">
        <v>-</v>
      </c>
      <c r="G13161" t="str">
        <v>-</v>
      </c>
    </row>
    <row r="13162">
      <c r="A13162">
        <v>13161</v>
      </c>
      <c r="B13162" t="str">
        <v>Công an xã Xuân Lộc  tỉnh Hà Tĩnh</v>
      </c>
      <c r="C13162" t="str">
        <v>-</v>
      </c>
      <c r="D13162" t="str">
        <v>-</v>
      </c>
      <c r="E13162" t="str">
        <v/>
      </c>
      <c r="F13162" t="str">
        <v>-</v>
      </c>
      <c r="G13162" t="str">
        <v>-</v>
      </c>
    </row>
    <row r="13163">
      <c r="A13163">
        <v>13162</v>
      </c>
      <c r="B13163" t="str">
        <v>UBND Ủy ban nhân dân xã Xuân Lộc  tỉnh Hà Tĩnh</v>
      </c>
      <c r="C13163" t="str">
        <v>-</v>
      </c>
      <c r="D13163" t="str">
        <v>-</v>
      </c>
      <c r="E13163" t="str">
        <v>-</v>
      </c>
      <c r="F13163" t="str">
        <v>-</v>
      </c>
      <c r="G13163" t="str">
        <v>-</v>
      </c>
    </row>
    <row r="13164">
      <c r="A13164">
        <v>13163</v>
      </c>
      <c r="B13164" t="str">
        <v>Công an xã Thượng Lộc  tỉnh Hà Tĩnh</v>
      </c>
      <c r="C13164" t="str">
        <v>-</v>
      </c>
      <c r="D13164" t="str">
        <v>-</v>
      </c>
      <c r="E13164" t="str">
        <v/>
      </c>
      <c r="F13164" t="str">
        <v>-</v>
      </c>
      <c r="G13164" t="str">
        <v>-</v>
      </c>
    </row>
    <row r="13165">
      <c r="A13165">
        <v>13164</v>
      </c>
      <c r="B13165" t="str">
        <v>UBND Ủy ban nhân dân xã Thượng Lộc  tỉnh Hà Tĩnh</v>
      </c>
      <c r="C13165" t="str">
        <v>-</v>
      </c>
      <c r="D13165" t="str">
        <v>-</v>
      </c>
      <c r="E13165" t="str">
        <v>-</v>
      </c>
      <c r="F13165" t="str">
        <v>-</v>
      </c>
      <c r="G13165" t="str">
        <v>-</v>
      </c>
    </row>
    <row r="13166">
      <c r="A13166">
        <v>13165</v>
      </c>
      <c r="B13166" t="str">
        <v>Công an xã Quang Lộc  tỉnh Hà Tĩnh</v>
      </c>
      <c r="C13166" t="str">
        <v>-</v>
      </c>
      <c r="D13166" t="str">
        <v>-</v>
      </c>
      <c r="E13166" t="str">
        <v/>
      </c>
      <c r="F13166" t="str">
        <v>-</v>
      </c>
      <c r="G13166" t="str">
        <v>-</v>
      </c>
    </row>
    <row r="13167">
      <c r="A13167">
        <v>13166</v>
      </c>
      <c r="B13167" t="str">
        <v>UBND Ủy ban nhân dân xã Quang Lộc  tỉnh Hà Tĩnh</v>
      </c>
      <c r="C13167" t="str">
        <v>-</v>
      </c>
      <c r="D13167" t="str">
        <v>-</v>
      </c>
      <c r="E13167" t="str">
        <v>-</v>
      </c>
      <c r="F13167" t="str">
        <v>-</v>
      </c>
      <c r="G13167" t="str">
        <v>-</v>
      </c>
    </row>
    <row r="13168">
      <c r="A13168">
        <v>13167</v>
      </c>
      <c r="B13168" t="str">
        <v>Công an xã Đồng Lộc  tỉnh Hà Tĩnh</v>
      </c>
      <c r="C13168" t="str">
        <v>-</v>
      </c>
      <c r="D13168" t="str">
        <v>-</v>
      </c>
      <c r="E13168" t="str">
        <v/>
      </c>
      <c r="F13168" t="str">
        <v>-</v>
      </c>
      <c r="G13168" t="str">
        <v>-</v>
      </c>
    </row>
    <row r="13169">
      <c r="A13169">
        <v>13168</v>
      </c>
      <c r="B13169" t="str">
        <v>UBND Ủy ban nhân dân xã Đồng Lộc  tỉnh Hà Tĩnh</v>
      </c>
      <c r="C13169" t="str">
        <v>-</v>
      </c>
      <c r="D13169" t="str">
        <v>-</v>
      </c>
      <c r="E13169" t="str">
        <v>-</v>
      </c>
      <c r="F13169" t="str">
        <v>-</v>
      </c>
      <c r="G13169" t="str">
        <v>-</v>
      </c>
    </row>
    <row r="13170">
      <c r="A13170">
        <v>13169</v>
      </c>
      <c r="B13170" t="str">
        <v>Công an xã Mỹ Lộc  tỉnh Hà Tĩnh</v>
      </c>
      <c r="C13170" t="str">
        <v>-</v>
      </c>
      <c r="D13170" t="str">
        <v>-</v>
      </c>
      <c r="E13170" t="str">
        <v/>
      </c>
      <c r="F13170" t="str">
        <v>-</v>
      </c>
      <c r="G13170" t="str">
        <v>-</v>
      </c>
    </row>
    <row r="13171">
      <c r="A13171">
        <v>13170</v>
      </c>
      <c r="B13171" t="str">
        <v>UBND Ủy ban nhân dân xã Mỹ Lộc  tỉnh Hà Tĩnh</v>
      </c>
      <c r="C13171" t="str">
        <v>-</v>
      </c>
      <c r="D13171" t="str">
        <v>-</v>
      </c>
      <c r="E13171" t="str">
        <v>-</v>
      </c>
      <c r="F13171" t="str">
        <v>-</v>
      </c>
      <c r="G13171" t="str">
        <v>-</v>
      </c>
    </row>
    <row r="13172">
      <c r="A13172">
        <v>13171</v>
      </c>
      <c r="B13172" t="str">
        <v>Công an xã Sơn Lộc  tỉnh Hà Tĩnh</v>
      </c>
      <c r="C13172" t="str">
        <v>-</v>
      </c>
      <c r="D13172" t="str">
        <v>-</v>
      </c>
      <c r="E13172" t="str">
        <v/>
      </c>
      <c r="F13172" t="str">
        <v>-</v>
      </c>
      <c r="G13172" t="str">
        <v>-</v>
      </c>
    </row>
    <row r="13173">
      <c r="A13173">
        <v>13172</v>
      </c>
      <c r="B13173" t="str">
        <v>UBND Ủy ban nhân dân xã Sơn Lộc  tỉnh Hà Tĩnh</v>
      </c>
      <c r="C13173" t="str">
        <v>-</v>
      </c>
      <c r="D13173" t="str">
        <v>-</v>
      </c>
      <c r="E13173" t="str">
        <v>-</v>
      </c>
      <c r="F13173" t="str">
        <v>-</v>
      </c>
      <c r="G13173" t="str">
        <v>-</v>
      </c>
    </row>
    <row r="13174">
      <c r="A13174">
        <v>13173</v>
      </c>
      <c r="B13174" t="str">
        <v>Công an thị trấn Hương Khê  tỉnh Hà Tĩnh</v>
      </c>
      <c r="C13174" t="str">
        <v>-</v>
      </c>
      <c r="D13174" t="str">
        <v>-</v>
      </c>
      <c r="E13174" t="str">
        <v/>
      </c>
      <c r="F13174" t="str">
        <v>-</v>
      </c>
      <c r="G13174" t="str">
        <v>-</v>
      </c>
    </row>
    <row r="13175">
      <c r="A13175">
        <v>13174</v>
      </c>
      <c r="B13175" t="str">
        <v>UBND Ủy ban nhân dân thị trấn Hương Khê  tỉnh Hà Tĩnh</v>
      </c>
      <c r="C13175" t="str">
        <v>-</v>
      </c>
      <c r="D13175" t="str">
        <v>-</v>
      </c>
      <c r="E13175" t="str">
        <v>-</v>
      </c>
      <c r="F13175" t="str">
        <v>-</v>
      </c>
      <c r="G13175" t="str">
        <v>-</v>
      </c>
    </row>
    <row r="13176">
      <c r="A13176">
        <v>13175</v>
      </c>
      <c r="B13176" t="str">
        <v>Công an xã Phương Mỹ  tỉnh Hà Tĩnh</v>
      </c>
      <c r="C13176" t="str">
        <v>-</v>
      </c>
      <c r="D13176" t="str">
        <v>-</v>
      </c>
      <c r="E13176" t="str">
        <v/>
      </c>
      <c r="F13176" t="str">
        <v>-</v>
      </c>
      <c r="G13176" t="str">
        <v>-</v>
      </c>
    </row>
    <row r="13177">
      <c r="A13177">
        <v>13176</v>
      </c>
      <c r="B13177" t="str">
        <v>UBND Ủy ban nhân dân xã Phương Mỹ  tỉnh Hà Tĩnh</v>
      </c>
      <c r="C13177" t="str">
        <v>-</v>
      </c>
      <c r="D13177" t="str">
        <v>-</v>
      </c>
      <c r="E13177" t="str">
        <v>-</v>
      </c>
      <c r="F13177" t="str">
        <v>-</v>
      </c>
      <c r="G13177" t="str">
        <v>-</v>
      </c>
    </row>
    <row r="13178">
      <c r="A13178">
        <v>13177</v>
      </c>
      <c r="B13178" t="str">
        <v>Công an xã Hà Linh  tỉnh Hà Tĩnh</v>
      </c>
      <c r="C13178" t="str">
        <v>-</v>
      </c>
      <c r="D13178" t="str">
        <v>-</v>
      </c>
      <c r="E13178" t="str">
        <v/>
      </c>
      <c r="F13178" t="str">
        <v>-</v>
      </c>
      <c r="G13178" t="str">
        <v>-</v>
      </c>
    </row>
    <row r="13179">
      <c r="A13179">
        <v>13178</v>
      </c>
      <c r="B13179" t="str">
        <v>UBND Ủy ban nhân dân xã Hà Linh  tỉnh Hà Tĩnh</v>
      </c>
      <c r="C13179" t="str">
        <v>-</v>
      </c>
      <c r="D13179" t="str">
        <v>-</v>
      </c>
      <c r="E13179" t="str">
        <v>-</v>
      </c>
      <c r="F13179" t="str">
        <v>-</v>
      </c>
      <c r="G13179" t="str">
        <v>-</v>
      </c>
    </row>
    <row r="13180">
      <c r="A13180">
        <v>13179</v>
      </c>
      <c r="B13180" t="str">
        <v>Công an xã Hương Thủy  tỉnh Hà Tĩnh</v>
      </c>
      <c r="C13180" t="str">
        <v>-</v>
      </c>
      <c r="D13180" t="str">
        <v>-</v>
      </c>
      <c r="E13180" t="str">
        <v/>
      </c>
      <c r="F13180" t="str">
        <v>-</v>
      </c>
      <c r="G13180" t="str">
        <v>-</v>
      </c>
    </row>
    <row r="13181">
      <c r="A13181">
        <v>13180</v>
      </c>
      <c r="B13181" t="str">
        <v>UBND Ủy ban nhân dân xã Hương Thủy  tỉnh Hà Tĩnh</v>
      </c>
      <c r="C13181" t="str">
        <v>-</v>
      </c>
      <c r="D13181" t="str">
        <v>-</v>
      </c>
      <c r="E13181" t="str">
        <v>-</v>
      </c>
      <c r="F13181" t="str">
        <v>-</v>
      </c>
      <c r="G13181" t="str">
        <v>-</v>
      </c>
    </row>
    <row r="13182">
      <c r="A13182">
        <v>13181</v>
      </c>
      <c r="B13182" t="str">
        <v>Công an xã Hòa Hải  tỉnh Hà Tĩnh</v>
      </c>
      <c r="C13182" t="str">
        <v>-</v>
      </c>
      <c r="D13182" t="str">
        <v>-</v>
      </c>
      <c r="E13182" t="str">
        <v/>
      </c>
      <c r="F13182" t="str">
        <v>-</v>
      </c>
      <c r="G13182" t="str">
        <v>-</v>
      </c>
    </row>
    <row r="13183">
      <c r="A13183">
        <v>13182</v>
      </c>
      <c r="B13183" t="str">
        <v>UBND Ủy ban nhân dân xã Hòa Hải  tỉnh Hà Tĩnh</v>
      </c>
      <c r="C13183" t="str">
        <v>-</v>
      </c>
      <c r="D13183" t="str">
        <v>-</v>
      </c>
      <c r="E13183" t="str">
        <v>-</v>
      </c>
      <c r="F13183" t="str">
        <v>-</v>
      </c>
      <c r="G13183" t="str">
        <v>-</v>
      </c>
    </row>
    <row r="13184">
      <c r="A13184">
        <v>13183</v>
      </c>
      <c r="B13184" t="str">
        <v>Công an xã Phương Điền  tỉnh Hà Tĩnh</v>
      </c>
      <c r="C13184" t="str">
        <v>-</v>
      </c>
      <c r="D13184" t="str">
        <v>-</v>
      </c>
      <c r="E13184" t="str">
        <v/>
      </c>
      <c r="F13184" t="str">
        <v>-</v>
      </c>
      <c r="G13184" t="str">
        <v>-</v>
      </c>
    </row>
    <row r="13185">
      <c r="A13185">
        <v>13184</v>
      </c>
      <c r="B13185" t="str">
        <v>UBND Ủy ban nhân dân xã Phương Điền  tỉnh Hà Tĩnh</v>
      </c>
      <c r="C13185" t="str">
        <v>-</v>
      </c>
      <c r="D13185" t="str">
        <v>-</v>
      </c>
      <c r="E13185" t="str">
        <v>-</v>
      </c>
      <c r="F13185" t="str">
        <v>-</v>
      </c>
      <c r="G13185" t="str">
        <v>-</v>
      </c>
    </row>
    <row r="13186">
      <c r="A13186">
        <v>13185</v>
      </c>
      <c r="B13186" t="str">
        <v>Công an xã Phúc Đồng  tỉnh Hà Tĩnh</v>
      </c>
      <c r="C13186" t="str">
        <v>-</v>
      </c>
      <c r="D13186" t="str">
        <v>-</v>
      </c>
      <c r="E13186" t="str">
        <v/>
      </c>
      <c r="F13186" t="str">
        <v>-</v>
      </c>
      <c r="G13186" t="str">
        <v>-</v>
      </c>
    </row>
    <row r="13187">
      <c r="A13187">
        <v>13186</v>
      </c>
      <c r="B13187" t="str">
        <v>UBND Ủy ban nhân dân xã Phúc Đồng  tỉnh Hà Tĩnh</v>
      </c>
      <c r="C13187" t="str">
        <v>-</v>
      </c>
      <c r="D13187" t="str">
        <v>-</v>
      </c>
      <c r="E13187" t="str">
        <v>-</v>
      </c>
      <c r="F13187" t="str">
        <v>-</v>
      </c>
      <c r="G13187" t="str">
        <v>-</v>
      </c>
    </row>
    <row r="13188">
      <c r="A13188">
        <v>13187</v>
      </c>
      <c r="B13188" t="str">
        <v>Công an xã Hương Giang  tỉnh Hà Tĩnh</v>
      </c>
      <c r="C13188" t="str">
        <v>-</v>
      </c>
      <c r="D13188" t="str">
        <v>-</v>
      </c>
      <c r="E13188" t="str">
        <v/>
      </c>
      <c r="F13188" t="str">
        <v>-</v>
      </c>
      <c r="G13188" t="str">
        <v>-</v>
      </c>
    </row>
    <row r="13189">
      <c r="A13189">
        <v>13188</v>
      </c>
      <c r="B13189" t="str">
        <v>UBND Ủy ban nhân dân xã Hương Giang  tỉnh Hà Tĩnh</v>
      </c>
      <c r="C13189" t="str">
        <v>-</v>
      </c>
      <c r="D13189" t="str">
        <v>-</v>
      </c>
      <c r="E13189" t="str">
        <v>-</v>
      </c>
      <c r="F13189" t="str">
        <v>-</v>
      </c>
      <c r="G13189" t="str">
        <v>-</v>
      </c>
    </row>
    <row r="13190">
      <c r="A13190">
        <v>13189</v>
      </c>
      <c r="B13190" t="str">
        <v>Công an xã Lộc Yên  tỉnh Hà Tĩnh</v>
      </c>
      <c r="C13190" t="str">
        <v>-</v>
      </c>
      <c r="D13190" t="str">
        <v>-</v>
      </c>
      <c r="E13190" t="str">
        <v/>
      </c>
      <c r="F13190" t="str">
        <v>-</v>
      </c>
      <c r="G13190" t="str">
        <v>-</v>
      </c>
    </row>
    <row r="13191">
      <c r="A13191">
        <v>13190</v>
      </c>
      <c r="B13191" t="str">
        <v>UBND Ủy ban nhân dân xã Lộc Yên  tỉnh Hà Tĩnh</v>
      </c>
      <c r="C13191" t="str">
        <v>-</v>
      </c>
      <c r="D13191" t="str">
        <v>-</v>
      </c>
      <c r="E13191" t="str">
        <v>-</v>
      </c>
      <c r="F13191" t="str">
        <v>-</v>
      </c>
      <c r="G13191" t="str">
        <v>-</v>
      </c>
    </row>
    <row r="13192">
      <c r="A13192">
        <v>13191</v>
      </c>
      <c r="B13192" t="str">
        <v>Công an xã Hương Bình  tỉnh Hà Tĩnh</v>
      </c>
      <c r="C13192" t="str">
        <v>-</v>
      </c>
      <c r="D13192" t="str">
        <v>-</v>
      </c>
      <c r="E13192" t="str">
        <v/>
      </c>
      <c r="F13192" t="str">
        <v>-</v>
      </c>
      <c r="G13192" t="str">
        <v>-</v>
      </c>
    </row>
    <row r="13193">
      <c r="A13193">
        <v>13192</v>
      </c>
      <c r="B13193" t="str">
        <v>UBND Ủy ban nhân dân xã Hương Bình  tỉnh Hà Tĩnh</v>
      </c>
      <c r="C13193" t="str">
        <v>-</v>
      </c>
      <c r="D13193" t="str">
        <v>-</v>
      </c>
      <c r="E13193" t="str">
        <v>-</v>
      </c>
      <c r="F13193" t="str">
        <v>-</v>
      </c>
      <c r="G13193" t="str">
        <v>-</v>
      </c>
    </row>
    <row r="13194">
      <c r="A13194">
        <v>13193</v>
      </c>
      <c r="B13194" t="str">
        <v>Công an xã Hương Long  tỉnh Hà Tĩnh</v>
      </c>
      <c r="C13194" t="str">
        <v>-</v>
      </c>
      <c r="D13194" t="str">
        <v>-</v>
      </c>
      <c r="E13194" t="str">
        <v/>
      </c>
      <c r="F13194" t="str">
        <v>-</v>
      </c>
      <c r="G13194" t="str">
        <v>-</v>
      </c>
    </row>
    <row r="13195">
      <c r="A13195">
        <v>13194</v>
      </c>
      <c r="B13195" t="str">
        <v>UBND Ủy ban nhân dân xã Hương Long  tỉnh Hà Tĩnh</v>
      </c>
      <c r="C13195" t="str">
        <v>-</v>
      </c>
      <c r="D13195" t="str">
        <v>-</v>
      </c>
      <c r="E13195" t="str">
        <v>-</v>
      </c>
      <c r="F13195" t="str">
        <v>-</v>
      </c>
      <c r="G13195" t="str">
        <v>-</v>
      </c>
    </row>
    <row r="13196">
      <c r="A13196">
        <v>13195</v>
      </c>
      <c r="B13196" t="str">
        <v>Công an xã Phú Gia  tỉnh Hà Tĩnh</v>
      </c>
      <c r="C13196" t="str">
        <v>-</v>
      </c>
      <c r="D13196" t="str">
        <v>-</v>
      </c>
      <c r="E13196" t="str">
        <v/>
      </c>
      <c r="F13196" t="str">
        <v>-</v>
      </c>
      <c r="G13196" t="str">
        <v>-</v>
      </c>
    </row>
    <row r="13197">
      <c r="A13197">
        <v>13196</v>
      </c>
      <c r="B13197" t="str">
        <v>UBND Ủy ban nhân dân xã Phú Gia  tỉnh Hà Tĩnh</v>
      </c>
      <c r="C13197" t="str">
        <v>-</v>
      </c>
      <c r="D13197" t="str">
        <v>-</v>
      </c>
      <c r="E13197" t="str">
        <v>-</v>
      </c>
      <c r="F13197" t="str">
        <v>-</v>
      </c>
      <c r="G13197" t="str">
        <v>-</v>
      </c>
    </row>
    <row r="13198">
      <c r="A13198">
        <v>13197</v>
      </c>
      <c r="B13198" t="str">
        <v>Công an xã Gia Phố  tỉnh Hà Tĩnh</v>
      </c>
      <c r="C13198" t="str">
        <v>-</v>
      </c>
      <c r="D13198" t="str">
        <v>-</v>
      </c>
      <c r="E13198" t="str">
        <v/>
      </c>
      <c r="F13198" t="str">
        <v>-</v>
      </c>
      <c r="G13198" t="str">
        <v>-</v>
      </c>
    </row>
    <row r="13199">
      <c r="A13199">
        <v>13198</v>
      </c>
      <c r="B13199" t="str">
        <v>UBND Ủy ban nhân dân xã Gia Phố  tỉnh Hà Tĩnh</v>
      </c>
      <c r="C13199" t="str">
        <v>-</v>
      </c>
      <c r="D13199" t="str">
        <v>-</v>
      </c>
      <c r="E13199" t="str">
        <v>-</v>
      </c>
      <c r="F13199" t="str">
        <v>-</v>
      </c>
      <c r="G13199" t="str">
        <v>-</v>
      </c>
    </row>
    <row r="13200">
      <c r="A13200">
        <v>13199</v>
      </c>
      <c r="B13200" t="str">
        <v>Công an xã Phú Phong  tỉnh Hà Tĩnh</v>
      </c>
      <c r="C13200" t="str">
        <v>-</v>
      </c>
      <c r="D13200" t="str">
        <v>-</v>
      </c>
      <c r="E13200" t="str">
        <v/>
      </c>
      <c r="F13200" t="str">
        <v>-</v>
      </c>
      <c r="G13200" t="str">
        <v>-</v>
      </c>
    </row>
    <row r="13201">
      <c r="A13201">
        <v>13200</v>
      </c>
      <c r="B13201" t="str">
        <v>UBND Ủy ban nhân dân xã Phú Phong  tỉnh Hà Tĩnh</v>
      </c>
      <c r="C13201" t="str">
        <v>-</v>
      </c>
      <c r="D13201" t="str">
        <v>-</v>
      </c>
      <c r="E13201" t="str">
        <v>-</v>
      </c>
      <c r="F13201" t="str">
        <v>-</v>
      </c>
      <c r="G13201" t="str">
        <v>-</v>
      </c>
    </row>
    <row r="13202">
      <c r="A13202">
        <v>13201</v>
      </c>
      <c r="B13202" t="str">
        <v>Công an xã Hương Đô  tỉnh Hà Tĩnh</v>
      </c>
      <c r="C13202" t="str">
        <v>-</v>
      </c>
      <c r="D13202" t="str">
        <v>-</v>
      </c>
      <c r="E13202" t="str">
        <v/>
      </c>
      <c r="F13202" t="str">
        <v>-</v>
      </c>
      <c r="G13202" t="str">
        <v>-</v>
      </c>
    </row>
    <row r="13203">
      <c r="A13203">
        <v>13202</v>
      </c>
      <c r="B13203" t="str">
        <v>UBND Ủy ban nhân dân xã Hương Đô  tỉnh Hà Tĩnh</v>
      </c>
      <c r="C13203" t="str">
        <v>-</v>
      </c>
      <c r="D13203" t="str">
        <v>-</v>
      </c>
      <c r="E13203" t="str">
        <v>-</v>
      </c>
      <c r="F13203" t="str">
        <v>-</v>
      </c>
      <c r="G13203" t="str">
        <v>-</v>
      </c>
    </row>
    <row r="13204">
      <c r="A13204">
        <v>13203</v>
      </c>
      <c r="B13204" t="str">
        <v>Công an xã Hương Vĩnh  tỉnh Hà Tĩnh</v>
      </c>
      <c r="C13204" t="str">
        <v>-</v>
      </c>
      <c r="D13204" t="str">
        <v>-</v>
      </c>
      <c r="E13204" t="str">
        <v/>
      </c>
      <c r="F13204" t="str">
        <v>-</v>
      </c>
      <c r="G13204" t="str">
        <v>-</v>
      </c>
    </row>
    <row r="13205">
      <c r="A13205">
        <v>13204</v>
      </c>
      <c r="B13205" t="str">
        <v>UBND Ủy ban nhân dân xã Hương Vĩnh  tỉnh Hà Tĩnh</v>
      </c>
      <c r="C13205" t="str">
        <v>-</v>
      </c>
      <c r="D13205" t="str">
        <v>-</v>
      </c>
      <c r="E13205" t="str">
        <v>-</v>
      </c>
      <c r="F13205" t="str">
        <v>-</v>
      </c>
      <c r="G13205" t="str">
        <v>-</v>
      </c>
    </row>
    <row r="13206">
      <c r="A13206">
        <v>13205</v>
      </c>
      <c r="B13206" t="str">
        <v>Công an xã Hương Xuân  tỉnh Hà Tĩnh</v>
      </c>
      <c r="C13206" t="str">
        <v>-</v>
      </c>
      <c r="D13206" t="str">
        <v>-</v>
      </c>
      <c r="E13206" t="str">
        <v/>
      </c>
      <c r="F13206" t="str">
        <v>-</v>
      </c>
      <c r="G13206" t="str">
        <v>-</v>
      </c>
    </row>
    <row r="13207">
      <c r="A13207">
        <v>13206</v>
      </c>
      <c r="B13207" t="str">
        <v>UBND Ủy ban nhân dân xã Hương Xuân  tỉnh Hà Tĩnh</v>
      </c>
      <c r="C13207" t="str">
        <v>-</v>
      </c>
      <c r="D13207" t="str">
        <v>-</v>
      </c>
      <c r="E13207" t="str">
        <v>-</v>
      </c>
      <c r="F13207" t="str">
        <v>-</v>
      </c>
      <c r="G13207" t="str">
        <v>-</v>
      </c>
    </row>
    <row r="13208">
      <c r="A13208">
        <v>13207</v>
      </c>
      <c r="B13208" t="str">
        <v>Công an xã Phúc Trạch  tỉnh Hà Tĩnh</v>
      </c>
      <c r="C13208" t="str">
        <v>-</v>
      </c>
      <c r="D13208" t="str">
        <v>-</v>
      </c>
      <c r="E13208" t="str">
        <v/>
      </c>
      <c r="F13208" t="str">
        <v>-</v>
      </c>
      <c r="G13208" t="str">
        <v>-</v>
      </c>
    </row>
    <row r="13209">
      <c r="A13209">
        <v>13208</v>
      </c>
      <c r="B13209" t="str">
        <v>UBND Ủy ban nhân dân xã Phúc Trạch  tỉnh Hà Tĩnh</v>
      </c>
      <c r="C13209" t="str">
        <v>-</v>
      </c>
      <c r="D13209" t="str">
        <v>-</v>
      </c>
      <c r="E13209" t="str">
        <v>-</v>
      </c>
      <c r="F13209" t="str">
        <v>-</v>
      </c>
      <c r="G13209" t="str">
        <v>-</v>
      </c>
    </row>
    <row r="13210">
      <c r="A13210">
        <v>13209</v>
      </c>
      <c r="B13210" t="str">
        <v>Công an xã Hương Trà  tỉnh Hà Tĩnh</v>
      </c>
      <c r="C13210" t="str">
        <v>-</v>
      </c>
      <c r="D13210" t="str">
        <v>-</v>
      </c>
      <c r="E13210" t="str">
        <v/>
      </c>
      <c r="F13210" t="str">
        <v>-</v>
      </c>
      <c r="G13210" t="str">
        <v>-</v>
      </c>
    </row>
    <row r="13211">
      <c r="A13211">
        <v>13210</v>
      </c>
      <c r="B13211" t="str">
        <v>UBND Ủy ban nhân dân xã Hương Trà  tỉnh Hà Tĩnh</v>
      </c>
      <c r="C13211" t="str">
        <v>-</v>
      </c>
      <c r="D13211" t="str">
        <v>-</v>
      </c>
      <c r="E13211" t="str">
        <v>-</v>
      </c>
      <c r="F13211" t="str">
        <v>-</v>
      </c>
      <c r="G13211" t="str">
        <v>-</v>
      </c>
    </row>
    <row r="13212">
      <c r="A13212">
        <v>13211</v>
      </c>
      <c r="B13212" t="str">
        <v>Công an xã Hương Trạch  tỉnh Hà Tĩnh</v>
      </c>
      <c r="C13212" t="str">
        <v>-</v>
      </c>
      <c r="D13212" t="str">
        <v>-</v>
      </c>
      <c r="E13212" t="str">
        <v/>
      </c>
      <c r="F13212" t="str">
        <v>-</v>
      </c>
      <c r="G13212" t="str">
        <v>-</v>
      </c>
    </row>
    <row r="13213">
      <c r="A13213">
        <v>13212</v>
      </c>
      <c r="B13213" t="str">
        <v>UBND Ủy ban nhân dân xã Hương Trạch  tỉnh Hà Tĩnh</v>
      </c>
      <c r="C13213" t="str">
        <v>-</v>
      </c>
      <c r="D13213" t="str">
        <v>-</v>
      </c>
      <c r="E13213" t="str">
        <v>-</v>
      </c>
      <c r="F13213" t="str">
        <v>-</v>
      </c>
      <c r="G13213" t="str">
        <v>-</v>
      </c>
    </row>
    <row r="13214">
      <c r="A13214">
        <v>13213</v>
      </c>
      <c r="B13214" t="str">
        <v>Công an xã Hương Lâm  tỉnh Hà Tĩnh</v>
      </c>
      <c r="C13214" t="str">
        <v>-</v>
      </c>
      <c r="D13214" t="str">
        <v>-</v>
      </c>
      <c r="E13214" t="str">
        <v/>
      </c>
      <c r="F13214" t="str">
        <v>-</v>
      </c>
      <c r="G13214" t="str">
        <v>-</v>
      </c>
    </row>
    <row r="13215">
      <c r="A13215">
        <v>13214</v>
      </c>
      <c r="B13215" t="str">
        <v>UBND Ủy ban nhân dân xã Hương Lâm  tỉnh Hà Tĩnh</v>
      </c>
      <c r="C13215" t="str">
        <v>-</v>
      </c>
      <c r="D13215" t="str">
        <v>-</v>
      </c>
      <c r="E13215" t="str">
        <v>-</v>
      </c>
      <c r="F13215" t="str">
        <v>-</v>
      </c>
      <c r="G13215" t="str">
        <v>-</v>
      </c>
    </row>
    <row r="13216">
      <c r="A13216">
        <v>13215</v>
      </c>
      <c r="B13216" t="str">
        <v>Công an xã Hương Liên  tỉnh Hà Tĩnh</v>
      </c>
      <c r="C13216" t="str">
        <v>-</v>
      </c>
      <c r="D13216" t="str">
        <v>-</v>
      </c>
      <c r="E13216" t="str">
        <v/>
      </c>
      <c r="F13216" t="str">
        <v>-</v>
      </c>
      <c r="G13216" t="str">
        <v>-</v>
      </c>
    </row>
    <row r="13217">
      <c r="A13217">
        <v>13216</v>
      </c>
      <c r="B13217" t="str">
        <v>UBND Ủy ban nhân dân xã Hương Liên  tỉnh Hà Tĩnh</v>
      </c>
      <c r="C13217" t="str">
        <v>-</v>
      </c>
      <c r="D13217" t="str">
        <v>-</v>
      </c>
      <c r="E13217" t="str">
        <v>-</v>
      </c>
      <c r="F13217" t="str">
        <v>-</v>
      </c>
      <c r="G13217" t="str">
        <v>-</v>
      </c>
    </row>
    <row r="13218">
      <c r="A13218">
        <v>13217</v>
      </c>
      <c r="B13218" t="str">
        <v>Công an thị trấn Thạch Hà  tỉnh Hà Tĩnh</v>
      </c>
      <c r="C13218" t="str">
        <v>-</v>
      </c>
      <c r="D13218" t="str">
        <v>-</v>
      </c>
      <c r="E13218" t="str">
        <v/>
      </c>
      <c r="F13218" t="str">
        <v>-</v>
      </c>
      <c r="G13218" t="str">
        <v>-</v>
      </c>
    </row>
    <row r="13219">
      <c r="A13219">
        <v>13218</v>
      </c>
      <c r="B13219" t="str">
        <v>UBND Ủy ban nhân dân thị trấn Thạch Hà  tỉnh Hà Tĩnh</v>
      </c>
      <c r="C13219" t="str">
        <v>-</v>
      </c>
      <c r="D13219" t="str">
        <v>-</v>
      </c>
      <c r="E13219" t="str">
        <v>-</v>
      </c>
      <c r="F13219" t="str">
        <v>-</v>
      </c>
      <c r="G13219" t="str">
        <v>-</v>
      </c>
    </row>
    <row r="13220">
      <c r="A13220">
        <v>13219</v>
      </c>
      <c r="B13220" t="str">
        <v>Công an xã Ngọc Sơn  tỉnh Hà Tĩnh</v>
      </c>
      <c r="C13220" t="str">
        <v>-</v>
      </c>
      <c r="D13220" t="str">
        <v>-</v>
      </c>
      <c r="E13220" t="str">
        <v/>
      </c>
      <c r="F13220" t="str">
        <v>-</v>
      </c>
      <c r="G13220" t="str">
        <v>-</v>
      </c>
    </row>
    <row r="13221">
      <c r="A13221">
        <v>13220</v>
      </c>
      <c r="B13221" t="str">
        <v>UBND Ủy ban nhân dân xã Ngọc Sơn  tỉnh Hà Tĩnh</v>
      </c>
      <c r="C13221" t="str">
        <v>-</v>
      </c>
      <c r="D13221" t="str">
        <v>-</v>
      </c>
      <c r="E13221" t="str">
        <v>-</v>
      </c>
      <c r="F13221" t="str">
        <v>-</v>
      </c>
      <c r="G13221" t="str">
        <v>-</v>
      </c>
    </row>
    <row r="13222">
      <c r="A13222">
        <v>13221</v>
      </c>
      <c r="B13222" t="str">
        <v>Công an xã Thạch Hải  tỉnh Hà Tĩnh</v>
      </c>
      <c r="C13222" t="str">
        <v>-</v>
      </c>
      <c r="D13222" t="str">
        <v>-</v>
      </c>
      <c r="E13222" t="str">
        <v/>
      </c>
      <c r="F13222" t="str">
        <v>-</v>
      </c>
      <c r="G13222" t="str">
        <v>-</v>
      </c>
    </row>
    <row r="13223">
      <c r="A13223">
        <v>13222</v>
      </c>
      <c r="B13223" t="str">
        <v>UBND Ủy ban nhân dân xã Thạch Hải  tỉnh Hà Tĩnh</v>
      </c>
      <c r="C13223" t="str">
        <v>-</v>
      </c>
      <c r="D13223" t="str">
        <v>-</v>
      </c>
      <c r="E13223" t="str">
        <v>-</v>
      </c>
      <c r="F13223" t="str">
        <v>-</v>
      </c>
      <c r="G13223" t="str">
        <v>-</v>
      </c>
    </row>
    <row r="13224">
      <c r="A13224">
        <v>13223</v>
      </c>
      <c r="B13224" t="str">
        <v>Công an xã Thạch Bàn  tỉnh Hà Tĩnh</v>
      </c>
      <c r="C13224" t="str">
        <v>-</v>
      </c>
      <c r="D13224" t="str">
        <v>-</v>
      </c>
      <c r="E13224" t="str">
        <v/>
      </c>
      <c r="F13224" t="str">
        <v>-</v>
      </c>
      <c r="G13224" t="str">
        <v>-</v>
      </c>
    </row>
    <row r="13225">
      <c r="A13225">
        <v>13224</v>
      </c>
      <c r="B13225" t="str">
        <v>UBND Ủy ban nhân dân xã Thạch Bàn  tỉnh Hà Tĩnh</v>
      </c>
      <c r="C13225" t="str">
        <v>-</v>
      </c>
      <c r="D13225" t="str">
        <v>-</v>
      </c>
      <c r="E13225" t="str">
        <v>-</v>
      </c>
      <c r="F13225" t="str">
        <v>-</v>
      </c>
      <c r="G13225" t="str">
        <v>-</v>
      </c>
    </row>
    <row r="13226">
      <c r="A13226">
        <v>13225</v>
      </c>
      <c r="B13226" t="str">
        <v>Công an xã Thạch Kênh  tỉnh Hà Tĩnh</v>
      </c>
      <c r="C13226" t="str">
        <v>-</v>
      </c>
      <c r="D13226" t="str">
        <v>-</v>
      </c>
      <c r="E13226" t="str">
        <v/>
      </c>
      <c r="F13226" t="str">
        <v>-</v>
      </c>
      <c r="G13226" t="str">
        <v>-</v>
      </c>
    </row>
    <row r="13227">
      <c r="A13227">
        <v>13226</v>
      </c>
      <c r="B13227" t="str">
        <v>UBND Ủy ban nhân dân xã Thạch Kênh  tỉnh Hà Tĩnh</v>
      </c>
      <c r="C13227" t="str">
        <v>-</v>
      </c>
      <c r="D13227" t="str">
        <v>-</v>
      </c>
      <c r="E13227" t="str">
        <v>-</v>
      </c>
      <c r="F13227" t="str">
        <v>-</v>
      </c>
      <c r="G13227" t="str">
        <v>-</v>
      </c>
    </row>
    <row r="13228">
      <c r="A13228">
        <v>13227</v>
      </c>
      <c r="B13228" t="str">
        <v>Công an xã Thạch Sơn  tỉnh Hà Tĩnh</v>
      </c>
      <c r="C13228" t="str">
        <v>-</v>
      </c>
      <c r="D13228" t="str">
        <v>-</v>
      </c>
      <c r="E13228" t="str">
        <v/>
      </c>
      <c r="F13228" t="str">
        <v>-</v>
      </c>
      <c r="G13228" t="str">
        <v>-</v>
      </c>
    </row>
    <row r="13229">
      <c r="A13229">
        <v>13228</v>
      </c>
      <c r="B13229" t="str">
        <v>UBND Ủy ban nhân dân xã Thạch Sơn  tỉnh Hà Tĩnh</v>
      </c>
      <c r="C13229" t="str">
        <v>-</v>
      </c>
      <c r="D13229" t="str">
        <v>-</v>
      </c>
      <c r="E13229" t="str">
        <v>-</v>
      </c>
      <c r="F13229" t="str">
        <v>-</v>
      </c>
      <c r="G13229" t="str">
        <v>-</v>
      </c>
    </row>
    <row r="13230">
      <c r="A13230">
        <v>13229</v>
      </c>
      <c r="B13230" t="str">
        <v>Công an xã Thạch Liên  tỉnh Hà Tĩnh</v>
      </c>
      <c r="C13230" t="str">
        <v>-</v>
      </c>
      <c r="D13230" t="str">
        <v>-</v>
      </c>
      <c r="E13230" t="str">
        <v/>
      </c>
      <c r="F13230" t="str">
        <v>-</v>
      </c>
      <c r="G13230" t="str">
        <v>-</v>
      </c>
    </row>
    <row r="13231">
      <c r="A13231">
        <v>13230</v>
      </c>
      <c r="B13231" t="str">
        <v>UBND Ủy ban nhân dân xã Thạch Liên  tỉnh Hà Tĩnh</v>
      </c>
      <c r="C13231" t="str">
        <v>-</v>
      </c>
      <c r="D13231" t="str">
        <v>-</v>
      </c>
      <c r="E13231" t="str">
        <v>-</v>
      </c>
      <c r="F13231" t="str">
        <v>-</v>
      </c>
      <c r="G13231" t="str">
        <v>-</v>
      </c>
    </row>
    <row r="13232">
      <c r="A13232">
        <v>13231</v>
      </c>
      <c r="B13232" t="str">
        <v>Công an xã Thạch Đỉnh  tỉnh Hà Tĩnh</v>
      </c>
      <c r="C13232" t="str">
        <v>-</v>
      </c>
      <c r="D13232" t="str">
        <v>-</v>
      </c>
      <c r="E13232" t="str">
        <v/>
      </c>
      <c r="F13232" t="str">
        <v>-</v>
      </c>
      <c r="G13232" t="str">
        <v>-</v>
      </c>
    </row>
    <row r="13233">
      <c r="A13233">
        <v>13232</v>
      </c>
      <c r="B13233" t="str">
        <v>UBND Ủy ban nhân dân xã Thạch Đỉnh  tỉnh Hà Tĩnh</v>
      </c>
      <c r="C13233" t="str">
        <v>-</v>
      </c>
      <c r="D13233" t="str">
        <v>-</v>
      </c>
      <c r="E13233" t="str">
        <v>-</v>
      </c>
      <c r="F13233" t="str">
        <v>-</v>
      </c>
      <c r="G13233" t="str">
        <v>-</v>
      </c>
    </row>
    <row r="13234">
      <c r="A13234">
        <v>13233</v>
      </c>
      <c r="B13234" t="str">
        <v>Công an xã Phù Việt  tỉnh Hà Tĩnh</v>
      </c>
      <c r="C13234" t="str">
        <v>-</v>
      </c>
      <c r="D13234" t="str">
        <v>-</v>
      </c>
      <c r="E13234" t="str">
        <v/>
      </c>
      <c r="F13234" t="str">
        <v>-</v>
      </c>
      <c r="G13234" t="str">
        <v>-</v>
      </c>
    </row>
    <row r="13235">
      <c r="A13235">
        <v>13234</v>
      </c>
      <c r="B13235" t="str">
        <v>UBND Ủy ban nhân dân xã Phù Việt  tỉnh Hà Tĩnh</v>
      </c>
      <c r="C13235" t="str">
        <v>-</v>
      </c>
      <c r="D13235" t="str">
        <v>-</v>
      </c>
      <c r="E13235" t="str">
        <v>-</v>
      </c>
      <c r="F13235" t="str">
        <v>-</v>
      </c>
      <c r="G13235" t="str">
        <v>-</v>
      </c>
    </row>
    <row r="13236">
      <c r="A13236">
        <v>13235</v>
      </c>
      <c r="B13236" t="str">
        <v>Công an xã Thạch Khê  tỉnh Hà Tĩnh</v>
      </c>
      <c r="C13236" t="str">
        <v>-</v>
      </c>
      <c r="D13236" t="str">
        <v>-</v>
      </c>
      <c r="E13236" t="str">
        <v/>
      </c>
      <c r="F13236" t="str">
        <v>-</v>
      </c>
      <c r="G13236" t="str">
        <v>-</v>
      </c>
    </row>
    <row r="13237">
      <c r="A13237">
        <v>13236</v>
      </c>
      <c r="B13237" t="str">
        <v>UBND Ủy ban nhân dân xã Thạch Khê  tỉnh Hà Tĩnh</v>
      </c>
      <c r="C13237" t="str">
        <v>-</v>
      </c>
      <c r="D13237" t="str">
        <v>-</v>
      </c>
      <c r="E13237" t="str">
        <v>-</v>
      </c>
      <c r="F13237" t="str">
        <v>-</v>
      </c>
      <c r="G13237" t="str">
        <v>-</v>
      </c>
    </row>
    <row r="13238">
      <c r="A13238">
        <v>13237</v>
      </c>
      <c r="B13238" t="str">
        <v>Công an xã Thạch Long  tỉnh Hà Tĩnh</v>
      </c>
      <c r="C13238" t="str">
        <v>-</v>
      </c>
      <c r="D13238" t="str">
        <v>-</v>
      </c>
      <c r="E13238" t="str">
        <v/>
      </c>
      <c r="F13238" t="str">
        <v>-</v>
      </c>
      <c r="G13238" t="str">
        <v>-</v>
      </c>
    </row>
    <row r="13239">
      <c r="A13239">
        <v>13238</v>
      </c>
      <c r="B13239" t="str">
        <v>UBND Ủy ban nhân dân xã Thạch Long  tỉnh Hà Tĩnh</v>
      </c>
      <c r="C13239" t="str">
        <v>-</v>
      </c>
      <c r="D13239" t="str">
        <v>-</v>
      </c>
      <c r="E13239" t="str">
        <v>-</v>
      </c>
      <c r="F13239" t="str">
        <v>-</v>
      </c>
      <c r="G13239" t="str">
        <v>-</v>
      </c>
    </row>
    <row r="13240">
      <c r="A13240">
        <v>13239</v>
      </c>
      <c r="B13240" t="str">
        <v>Công an xã Việt Xuyên  tỉnh Hà Tĩnh</v>
      </c>
      <c r="C13240" t="str">
        <v>-</v>
      </c>
      <c r="D13240" t="str">
        <v>-</v>
      </c>
      <c r="E13240" t="str">
        <v/>
      </c>
      <c r="F13240" t="str">
        <v>-</v>
      </c>
      <c r="G13240" t="str">
        <v>-</v>
      </c>
    </row>
    <row r="13241">
      <c r="A13241">
        <v>13240</v>
      </c>
      <c r="B13241" t="str">
        <v>UBND Ủy ban nhân dân xã Việt Xuyên  tỉnh Hà Tĩnh</v>
      </c>
      <c r="C13241" t="str">
        <v>-</v>
      </c>
      <c r="D13241" t="str">
        <v>-</v>
      </c>
      <c r="E13241" t="str">
        <v>-</v>
      </c>
      <c r="F13241" t="str">
        <v>-</v>
      </c>
      <c r="G13241" t="str">
        <v>-</v>
      </c>
    </row>
    <row r="13242">
      <c r="A13242">
        <v>13241</v>
      </c>
      <c r="B13242" t="str">
        <v>Công an xã Thạch Tiến  tỉnh Hà Tĩnh</v>
      </c>
      <c r="C13242" t="str">
        <v>-</v>
      </c>
      <c r="D13242" t="str">
        <v>-</v>
      </c>
      <c r="E13242" t="str">
        <v/>
      </c>
      <c r="F13242" t="str">
        <v>-</v>
      </c>
      <c r="G13242" t="str">
        <v>-</v>
      </c>
    </row>
    <row r="13243">
      <c r="A13243">
        <v>13242</v>
      </c>
      <c r="B13243" t="str">
        <v>UBND Ủy ban nhân dân xã Thạch Tiến  tỉnh Hà Tĩnh</v>
      </c>
      <c r="C13243" t="str">
        <v>-</v>
      </c>
      <c r="D13243" t="str">
        <v>-</v>
      </c>
      <c r="E13243" t="str">
        <v>-</v>
      </c>
      <c r="F13243" t="str">
        <v>-</v>
      </c>
      <c r="G13243" t="str">
        <v>-</v>
      </c>
    </row>
    <row r="13244">
      <c r="A13244">
        <v>13243</v>
      </c>
      <c r="B13244" t="str">
        <v>Công an xã Thạch Thanh  tỉnh Hà Tĩnh</v>
      </c>
      <c r="C13244" t="str">
        <v>-</v>
      </c>
      <c r="D13244" t="str">
        <v>-</v>
      </c>
      <c r="E13244" t="str">
        <v/>
      </c>
      <c r="F13244" t="str">
        <v>-</v>
      </c>
      <c r="G13244" t="str">
        <v>-</v>
      </c>
    </row>
    <row r="13245">
      <c r="A13245">
        <v>13244</v>
      </c>
      <c r="B13245" t="str">
        <v>UBND Ủy ban nhân dân xã Thạch Thanh  tỉnh Hà Tĩnh</v>
      </c>
      <c r="C13245" t="str">
        <v>-</v>
      </c>
      <c r="D13245" t="str">
        <v>-</v>
      </c>
      <c r="E13245" t="str">
        <v>-</v>
      </c>
      <c r="F13245" t="str">
        <v>-</v>
      </c>
      <c r="G13245" t="str">
        <v>-</v>
      </c>
    </row>
    <row r="13246">
      <c r="A13246">
        <v>13245</v>
      </c>
      <c r="B13246" t="str">
        <v>Công an xã Thạch Trị  tỉnh Hà Tĩnh</v>
      </c>
      <c r="C13246" t="str">
        <v>-</v>
      </c>
      <c r="D13246" t="str">
        <v>-</v>
      </c>
      <c r="E13246" t="str">
        <v/>
      </c>
      <c r="F13246" t="str">
        <v>-</v>
      </c>
      <c r="G13246" t="str">
        <v>-</v>
      </c>
    </row>
    <row r="13247">
      <c r="A13247">
        <v>13246</v>
      </c>
      <c r="B13247" t="str">
        <v>UBND Ủy ban nhân dân xã Thạch Trị  tỉnh Hà Tĩnh</v>
      </c>
      <c r="C13247" t="str">
        <v>-</v>
      </c>
      <c r="D13247" t="str">
        <v>-</v>
      </c>
      <c r="E13247" t="str">
        <v>-</v>
      </c>
      <c r="F13247" t="str">
        <v>-</v>
      </c>
      <c r="G13247" t="str">
        <v>-</v>
      </c>
    </row>
    <row r="13248">
      <c r="A13248">
        <v>13247</v>
      </c>
      <c r="B13248" t="str">
        <v>Công an xã Thạch Lạc  tỉnh Hà Tĩnh</v>
      </c>
      <c r="C13248" t="str">
        <v>-</v>
      </c>
      <c r="D13248" t="str">
        <v>-</v>
      </c>
      <c r="E13248" t="str">
        <v/>
      </c>
      <c r="F13248" t="str">
        <v>-</v>
      </c>
      <c r="G13248" t="str">
        <v>-</v>
      </c>
    </row>
    <row r="13249">
      <c r="A13249">
        <v>13248</v>
      </c>
      <c r="B13249" t="str">
        <v>UBND Ủy ban nhân dân xã Thạch Lạc  tỉnh Hà Tĩnh</v>
      </c>
      <c r="C13249" t="str">
        <v>-</v>
      </c>
      <c r="D13249" t="str">
        <v>-</v>
      </c>
      <c r="E13249" t="str">
        <v>-</v>
      </c>
      <c r="F13249" t="str">
        <v>-</v>
      </c>
      <c r="G13249" t="str">
        <v>-</v>
      </c>
    </row>
    <row r="13250">
      <c r="A13250">
        <v>13249</v>
      </c>
      <c r="B13250" t="str">
        <v>Công an xã Thạch Ngọc  tỉnh Hà Tĩnh</v>
      </c>
      <c r="C13250" t="str">
        <v>-</v>
      </c>
      <c r="D13250" t="str">
        <v>-</v>
      </c>
      <c r="E13250" t="str">
        <v/>
      </c>
      <c r="F13250" t="str">
        <v>-</v>
      </c>
      <c r="G13250" t="str">
        <v>-</v>
      </c>
    </row>
    <row r="13251">
      <c r="A13251">
        <v>13250</v>
      </c>
      <c r="B13251" t="str">
        <v>UBND Ủy ban nhân dân xã Thạch Ngọc  tỉnh Hà Tĩnh</v>
      </c>
      <c r="C13251" t="str">
        <v>-</v>
      </c>
      <c r="D13251" t="str">
        <v>-</v>
      </c>
      <c r="E13251" t="str">
        <v>-</v>
      </c>
      <c r="F13251" t="str">
        <v>-</v>
      </c>
      <c r="G13251" t="str">
        <v>-</v>
      </c>
    </row>
    <row r="13252">
      <c r="A13252">
        <v>13251</v>
      </c>
      <c r="B13252" t="str">
        <v>Công an xã Tượng Sơn  tỉnh Hà Tĩnh</v>
      </c>
      <c r="C13252" t="str">
        <v>-</v>
      </c>
      <c r="D13252" t="str">
        <v>-</v>
      </c>
      <c r="E13252" t="str">
        <v/>
      </c>
      <c r="F13252" t="str">
        <v>-</v>
      </c>
      <c r="G13252" t="str">
        <v>-</v>
      </c>
    </row>
    <row r="13253">
      <c r="A13253">
        <v>13252</v>
      </c>
      <c r="B13253" t="str">
        <v>UBND Ủy ban nhân dân xã Tượng Sơn  tỉnh Hà Tĩnh</v>
      </c>
      <c r="C13253" t="str">
        <v>-</v>
      </c>
      <c r="D13253" t="str">
        <v>-</v>
      </c>
      <c r="E13253" t="str">
        <v>-</v>
      </c>
      <c r="F13253" t="str">
        <v>-</v>
      </c>
      <c r="G13253" t="str">
        <v>-</v>
      </c>
    </row>
    <row r="13254">
      <c r="A13254">
        <v>13253</v>
      </c>
      <c r="B13254" t="str">
        <v>Công an xã Thạch Văn  tỉnh Hà Tĩnh</v>
      </c>
      <c r="C13254" t="str">
        <v>-</v>
      </c>
      <c r="D13254" t="str">
        <v>-</v>
      </c>
      <c r="E13254" t="str">
        <v/>
      </c>
      <c r="F13254" t="str">
        <v>-</v>
      </c>
      <c r="G13254" t="str">
        <v>-</v>
      </c>
    </row>
    <row r="13255">
      <c r="A13255">
        <v>13254</v>
      </c>
      <c r="B13255" t="str">
        <v>UBND Ủy ban nhân dân xã Thạch Văn  tỉnh Hà Tĩnh</v>
      </c>
      <c r="C13255" t="str">
        <v>-</v>
      </c>
      <c r="D13255" t="str">
        <v>-</v>
      </c>
      <c r="E13255" t="str">
        <v>-</v>
      </c>
      <c r="F13255" t="str">
        <v>-</v>
      </c>
      <c r="G13255" t="str">
        <v>-</v>
      </c>
    </row>
    <row r="13256">
      <c r="A13256">
        <v>13255</v>
      </c>
      <c r="B13256" t="str">
        <v>Công an xã Thạch Vĩnh  tỉnh Hà Tĩnh</v>
      </c>
      <c r="C13256" t="str">
        <v>-</v>
      </c>
      <c r="D13256" t="str">
        <v>-</v>
      </c>
      <c r="E13256" t="str">
        <v/>
      </c>
      <c r="F13256" t="str">
        <v>-</v>
      </c>
      <c r="G13256" t="str">
        <v>-</v>
      </c>
    </row>
    <row r="13257">
      <c r="A13257">
        <v>13256</v>
      </c>
      <c r="B13257" t="str">
        <v>UBND Ủy ban nhân dân xã Thạch Vĩnh  tỉnh Hà Tĩnh</v>
      </c>
      <c r="C13257" t="str">
        <v>-</v>
      </c>
      <c r="D13257" t="str">
        <v>-</v>
      </c>
      <c r="E13257" t="str">
        <v>-</v>
      </c>
      <c r="F13257" t="str">
        <v>-</v>
      </c>
      <c r="G13257" t="str">
        <v>-</v>
      </c>
    </row>
    <row r="13258">
      <c r="A13258">
        <v>13257</v>
      </c>
      <c r="B13258" t="str">
        <v>Công an xã Thạch Thắng  tỉnh Hà Tĩnh</v>
      </c>
      <c r="C13258" t="str">
        <v>-</v>
      </c>
      <c r="D13258" t="str">
        <v>-</v>
      </c>
      <c r="E13258" t="str">
        <v/>
      </c>
      <c r="F13258" t="str">
        <v>-</v>
      </c>
      <c r="G13258" t="str">
        <v>-</v>
      </c>
    </row>
    <row r="13259">
      <c r="A13259">
        <v>13258</v>
      </c>
      <c r="B13259" t="str">
        <v>UBND Ủy ban nhân dân xã Thạch Thắng  tỉnh Hà Tĩnh</v>
      </c>
      <c r="C13259" t="str">
        <v>-</v>
      </c>
      <c r="D13259" t="str">
        <v>-</v>
      </c>
      <c r="E13259" t="str">
        <v>-</v>
      </c>
      <c r="F13259" t="str">
        <v>-</v>
      </c>
      <c r="G13259" t="str">
        <v>-</v>
      </c>
    </row>
    <row r="13260">
      <c r="A13260">
        <v>13259</v>
      </c>
      <c r="B13260" t="str">
        <v>Công an xã Thạch Lưu  tỉnh Hà Tĩnh</v>
      </c>
      <c r="C13260" t="str">
        <v>-</v>
      </c>
      <c r="D13260" t="str">
        <v>-</v>
      </c>
      <c r="E13260" t="str">
        <v/>
      </c>
      <c r="F13260" t="str">
        <v>-</v>
      </c>
      <c r="G13260" t="str">
        <v>-</v>
      </c>
    </row>
    <row r="13261">
      <c r="A13261">
        <v>13260</v>
      </c>
      <c r="B13261" t="str">
        <v>UBND Ủy ban nhân dân xã Thạch Lưu  tỉnh Hà Tĩnh</v>
      </c>
      <c r="C13261" t="str">
        <v>-</v>
      </c>
      <c r="D13261" t="str">
        <v>-</v>
      </c>
      <c r="E13261" t="str">
        <v>-</v>
      </c>
      <c r="F13261" t="str">
        <v>-</v>
      </c>
      <c r="G13261" t="str">
        <v>-</v>
      </c>
    </row>
    <row r="13262">
      <c r="A13262">
        <v>13261</v>
      </c>
      <c r="B13262" t="str">
        <v>Công an xã Thạch Đài  tỉnh Hà Tĩnh</v>
      </c>
      <c r="C13262" t="str">
        <v>-</v>
      </c>
      <c r="D13262" t="str">
        <v>-</v>
      </c>
      <c r="E13262" t="str">
        <v/>
      </c>
      <c r="F13262" t="str">
        <v>-</v>
      </c>
      <c r="G13262" t="str">
        <v>-</v>
      </c>
    </row>
    <row r="13263">
      <c r="A13263">
        <v>13262</v>
      </c>
      <c r="B13263" t="str">
        <v>UBND Ủy ban nhân dân xã Thạch Đài  tỉnh Hà Tĩnh</v>
      </c>
      <c r="C13263" t="str">
        <v>-</v>
      </c>
      <c r="D13263" t="str">
        <v>-</v>
      </c>
      <c r="E13263" t="str">
        <v>-</v>
      </c>
      <c r="F13263" t="str">
        <v>-</v>
      </c>
      <c r="G13263" t="str">
        <v>-</v>
      </c>
    </row>
    <row r="13264">
      <c r="A13264">
        <v>13263</v>
      </c>
      <c r="B13264" t="str">
        <v>Công an xã Bắc Sơn  tỉnh Hà Tĩnh</v>
      </c>
      <c r="C13264" t="str">
        <v>-</v>
      </c>
      <c r="D13264" t="str">
        <v>-</v>
      </c>
      <c r="E13264" t="str">
        <v/>
      </c>
      <c r="F13264" t="str">
        <v>-</v>
      </c>
      <c r="G13264" t="str">
        <v>-</v>
      </c>
    </row>
    <row r="13265">
      <c r="A13265">
        <v>13264</v>
      </c>
      <c r="B13265" t="str">
        <v>UBND Ủy ban nhân dân xã Bắc Sơn  tỉnh Hà Tĩnh</v>
      </c>
      <c r="C13265" t="str">
        <v>-</v>
      </c>
      <c r="D13265" t="str">
        <v>-</v>
      </c>
      <c r="E13265" t="str">
        <v>-</v>
      </c>
      <c r="F13265" t="str">
        <v>-</v>
      </c>
      <c r="G13265" t="str">
        <v>-</v>
      </c>
    </row>
    <row r="13266">
      <c r="A13266">
        <v>13265</v>
      </c>
      <c r="B13266" t="str">
        <v>Công an xã Thạch Hội  tỉnh Hà Tĩnh</v>
      </c>
      <c r="C13266" t="str">
        <v>-</v>
      </c>
      <c r="D13266" t="str">
        <v>-</v>
      </c>
      <c r="E13266" t="str">
        <v/>
      </c>
      <c r="F13266" t="str">
        <v>-</v>
      </c>
      <c r="G13266" t="str">
        <v>-</v>
      </c>
    </row>
    <row r="13267">
      <c r="A13267">
        <v>13266</v>
      </c>
      <c r="B13267" t="str">
        <v>UBND Ủy ban nhân dân xã Thạch Hội  tỉnh Hà Tĩnh</v>
      </c>
      <c r="C13267" t="str">
        <v>-</v>
      </c>
      <c r="D13267" t="str">
        <v>-</v>
      </c>
      <c r="E13267" t="str">
        <v>-</v>
      </c>
      <c r="F13267" t="str">
        <v>-</v>
      </c>
      <c r="G13267" t="str">
        <v>-</v>
      </c>
    </row>
    <row r="13268">
      <c r="A13268">
        <v>13267</v>
      </c>
      <c r="B13268" t="str">
        <v>Công an xã Thạch Tân  tỉnh Hà Tĩnh</v>
      </c>
      <c r="C13268" t="str">
        <v>-</v>
      </c>
      <c r="D13268" t="str">
        <v>-</v>
      </c>
      <c r="E13268" t="str">
        <v/>
      </c>
      <c r="F13268" t="str">
        <v>-</v>
      </c>
      <c r="G13268" t="str">
        <v>-</v>
      </c>
    </row>
    <row r="13269">
      <c r="A13269">
        <v>13268</v>
      </c>
      <c r="B13269" t="str">
        <v>UBND Ủy ban nhân dân xã Thạch Tân  tỉnh Hà Tĩnh</v>
      </c>
      <c r="C13269" t="str">
        <v>-</v>
      </c>
      <c r="D13269" t="str">
        <v>-</v>
      </c>
      <c r="E13269" t="str">
        <v>-</v>
      </c>
      <c r="F13269" t="str">
        <v>-</v>
      </c>
      <c r="G13269" t="str">
        <v>-</v>
      </c>
    </row>
    <row r="13270">
      <c r="A13270">
        <v>13269</v>
      </c>
      <c r="B13270" t="str">
        <v>Công an xã Thạch Lâm  tỉnh Hà Tĩnh</v>
      </c>
      <c r="C13270" t="str">
        <v>-</v>
      </c>
      <c r="D13270" t="str">
        <v>-</v>
      </c>
      <c r="E13270" t="str">
        <v/>
      </c>
      <c r="F13270" t="str">
        <v>-</v>
      </c>
      <c r="G13270" t="str">
        <v>-</v>
      </c>
    </row>
    <row r="13271">
      <c r="A13271">
        <v>13270</v>
      </c>
      <c r="B13271" t="str">
        <v>UBND Ủy ban nhân dân xã Thạch Lâm  tỉnh Hà Tĩnh</v>
      </c>
      <c r="C13271" t="str">
        <v>-</v>
      </c>
      <c r="D13271" t="str">
        <v>-</v>
      </c>
      <c r="E13271" t="str">
        <v>-</v>
      </c>
      <c r="F13271" t="str">
        <v>-</v>
      </c>
      <c r="G13271" t="str">
        <v>-</v>
      </c>
    </row>
    <row r="13272">
      <c r="A13272">
        <v>13271</v>
      </c>
      <c r="B13272" t="str">
        <v>Công an xã Thạch Xuân  tỉnh Hà Tĩnh</v>
      </c>
      <c r="C13272" t="str">
        <v>-</v>
      </c>
      <c r="D13272" t="str">
        <v>-</v>
      </c>
      <c r="E13272" t="str">
        <v/>
      </c>
      <c r="F13272" t="str">
        <v>-</v>
      </c>
      <c r="G13272" t="str">
        <v>-</v>
      </c>
    </row>
    <row r="13273">
      <c r="A13273">
        <v>13272</v>
      </c>
      <c r="B13273" t="str">
        <v>UBND Ủy ban nhân dân xã Thạch Xuân  tỉnh Hà Tĩnh</v>
      </c>
      <c r="C13273" t="str">
        <v>-</v>
      </c>
      <c r="D13273" t="str">
        <v>-</v>
      </c>
      <c r="E13273" t="str">
        <v>-</v>
      </c>
      <c r="F13273" t="str">
        <v>-</v>
      </c>
      <c r="G13273" t="str">
        <v>-</v>
      </c>
    </row>
    <row r="13274">
      <c r="A13274">
        <v>13273</v>
      </c>
      <c r="B13274" t="str">
        <v>Công an xã Thạch Hương  tỉnh Hà Tĩnh</v>
      </c>
      <c r="C13274" t="str">
        <v>-</v>
      </c>
      <c r="D13274" t="str">
        <v>-</v>
      </c>
      <c r="E13274" t="str">
        <v/>
      </c>
      <c r="F13274" t="str">
        <v>-</v>
      </c>
      <c r="G13274" t="str">
        <v>-</v>
      </c>
    </row>
    <row r="13275">
      <c r="A13275">
        <v>13274</v>
      </c>
      <c r="B13275" t="str">
        <v>UBND Ủy ban nhân dân xã Thạch Hương  tỉnh Hà Tĩnh</v>
      </c>
      <c r="C13275" t="str">
        <v>-</v>
      </c>
      <c r="D13275" t="str">
        <v>-</v>
      </c>
      <c r="E13275" t="str">
        <v>-</v>
      </c>
      <c r="F13275" t="str">
        <v>-</v>
      </c>
      <c r="G13275" t="str">
        <v>-</v>
      </c>
    </row>
    <row r="13276">
      <c r="A13276">
        <v>13275</v>
      </c>
      <c r="B13276" t="str">
        <v>Công an xã Nam Hương  tỉnh Hà Tĩnh</v>
      </c>
      <c r="C13276" t="str">
        <v>-</v>
      </c>
      <c r="D13276" t="str">
        <v>-</v>
      </c>
      <c r="E13276" t="str">
        <v/>
      </c>
      <c r="F13276" t="str">
        <v>-</v>
      </c>
      <c r="G13276" t="str">
        <v>-</v>
      </c>
    </row>
    <row r="13277">
      <c r="A13277">
        <v>13276</v>
      </c>
      <c r="B13277" t="str">
        <v>UBND Ủy ban nhân dân xã Nam Hương  tỉnh Hà Tĩnh</v>
      </c>
      <c r="C13277" t="str">
        <v>-</v>
      </c>
      <c r="D13277" t="str">
        <v>-</v>
      </c>
      <c r="E13277" t="str">
        <v>-</v>
      </c>
      <c r="F13277" t="str">
        <v>-</v>
      </c>
      <c r="G13277" t="str">
        <v>-</v>
      </c>
    </row>
    <row r="13278">
      <c r="A13278">
        <v>13277</v>
      </c>
      <c r="B13278" t="str">
        <v>Công an xã Thạch Điền  tỉnh Hà Tĩnh</v>
      </c>
      <c r="C13278" t="str">
        <v>-</v>
      </c>
      <c r="D13278" t="str">
        <v>-</v>
      </c>
      <c r="E13278" t="str">
        <v/>
      </c>
      <c r="F13278" t="str">
        <v>-</v>
      </c>
      <c r="G13278" t="str">
        <v>-</v>
      </c>
    </row>
    <row r="13279">
      <c r="A13279">
        <v>13278</v>
      </c>
      <c r="B13279" t="str">
        <v>UBND Ủy ban nhân dân xã Thạch Điền  tỉnh Hà Tĩnh</v>
      </c>
      <c r="C13279" t="str">
        <v>-</v>
      </c>
      <c r="D13279" t="str">
        <v>-</v>
      </c>
      <c r="E13279" t="str">
        <v>-</v>
      </c>
      <c r="F13279" t="str">
        <v>-</v>
      </c>
      <c r="G13279" t="str">
        <v>-</v>
      </c>
    </row>
    <row r="13280">
      <c r="A13280">
        <v>13279</v>
      </c>
      <c r="B13280" t="str">
        <v>Công an thị trấn Cẩm Xuyên  tỉnh Hà Tĩnh</v>
      </c>
      <c r="C13280" t="str">
        <v>-</v>
      </c>
      <c r="D13280" t="str">
        <v>-</v>
      </c>
      <c r="E13280" t="str">
        <v/>
      </c>
      <c r="F13280" t="str">
        <v>-</v>
      </c>
      <c r="G13280" t="str">
        <v>-</v>
      </c>
    </row>
    <row r="13281">
      <c r="A13281">
        <v>13280</v>
      </c>
      <c r="B13281" t="str">
        <v>UBND Ủy ban nhân dân thị trấn Cẩm Xuyên  tỉnh Hà Tĩnh</v>
      </c>
      <c r="C13281" t="str">
        <v>-</v>
      </c>
      <c r="D13281" t="str">
        <v>-</v>
      </c>
      <c r="E13281" t="str">
        <v>-</v>
      </c>
      <c r="F13281" t="str">
        <v>-</v>
      </c>
      <c r="G13281" t="str">
        <v>-</v>
      </c>
    </row>
    <row r="13282">
      <c r="A13282">
        <v>13281</v>
      </c>
      <c r="B13282" t="str">
        <v>Công an thị trấn Thiên Cầm  tỉnh Hà Tĩnh</v>
      </c>
      <c r="C13282" t="str">
        <v>-</v>
      </c>
      <c r="D13282" t="str">
        <v>-</v>
      </c>
      <c r="E13282" t="str">
        <v/>
      </c>
      <c r="F13282" t="str">
        <v>-</v>
      </c>
      <c r="G13282" t="str">
        <v>-</v>
      </c>
    </row>
    <row r="13283">
      <c r="A13283">
        <v>13282</v>
      </c>
      <c r="B13283" t="str">
        <v>UBND Ủy ban nhân dân thị trấn Thiên Cầm  tỉnh Hà Tĩnh</v>
      </c>
      <c r="C13283" t="str">
        <v>-</v>
      </c>
      <c r="D13283" t="str">
        <v>-</v>
      </c>
      <c r="E13283" t="str">
        <v>-</v>
      </c>
      <c r="F13283" t="str">
        <v>-</v>
      </c>
      <c r="G13283" t="str">
        <v>-</v>
      </c>
    </row>
    <row r="13284">
      <c r="A13284">
        <v>13283</v>
      </c>
      <c r="B13284" t="str">
        <v>Công an xã Cẩm Hòa  tỉnh Hà Tĩnh</v>
      </c>
      <c r="C13284" t="str">
        <v>-</v>
      </c>
      <c r="D13284" t="str">
        <v>-</v>
      </c>
      <c r="E13284" t="str">
        <v/>
      </c>
      <c r="F13284" t="str">
        <v>-</v>
      </c>
      <c r="G13284" t="str">
        <v>-</v>
      </c>
    </row>
    <row r="13285">
      <c r="A13285">
        <v>13284</v>
      </c>
      <c r="B13285" t="str">
        <v>UBND Ủy ban nhân dân xã Cẩm Hòa  tỉnh Hà Tĩnh</v>
      </c>
      <c r="C13285" t="str">
        <v>-</v>
      </c>
      <c r="D13285" t="str">
        <v>-</v>
      </c>
      <c r="E13285" t="str">
        <v>-</v>
      </c>
      <c r="F13285" t="str">
        <v>-</v>
      </c>
      <c r="G13285" t="str">
        <v>-</v>
      </c>
    </row>
    <row r="13286">
      <c r="A13286">
        <v>13285</v>
      </c>
      <c r="B13286" t="str">
        <v>Công an xã Cẩm Dương  tỉnh Hà Tĩnh</v>
      </c>
      <c r="C13286" t="str">
        <v>-</v>
      </c>
      <c r="D13286" t="str">
        <v>-</v>
      </c>
      <c r="E13286" t="str">
        <v/>
      </c>
      <c r="F13286" t="str">
        <v>-</v>
      </c>
      <c r="G13286" t="str">
        <v>-</v>
      </c>
    </row>
    <row r="13287">
      <c r="A13287">
        <v>13286</v>
      </c>
      <c r="B13287" t="str">
        <v>UBND Ủy ban nhân dân xã Cẩm Dương  tỉnh Hà Tĩnh</v>
      </c>
      <c r="C13287" t="str">
        <v>-</v>
      </c>
      <c r="D13287" t="str">
        <v>-</v>
      </c>
      <c r="E13287" t="str">
        <v>-</v>
      </c>
      <c r="F13287" t="str">
        <v>-</v>
      </c>
      <c r="G13287" t="str">
        <v>-</v>
      </c>
    </row>
    <row r="13288">
      <c r="A13288">
        <v>13287</v>
      </c>
      <c r="B13288" t="str">
        <v>Công an xã Cẩm Bình  tỉnh Hà Tĩnh</v>
      </c>
      <c r="C13288" t="str">
        <v>-</v>
      </c>
      <c r="D13288" t="str">
        <v>-</v>
      </c>
      <c r="E13288" t="str">
        <v/>
      </c>
      <c r="F13288" t="str">
        <v>-</v>
      </c>
      <c r="G13288" t="str">
        <v>-</v>
      </c>
    </row>
    <row r="13289">
      <c r="A13289">
        <v>13288</v>
      </c>
      <c r="B13289" t="str">
        <v>UBND Ủy ban nhân dân xã Cẩm Bình  tỉnh Hà Tĩnh</v>
      </c>
      <c r="C13289" t="str">
        <v>-</v>
      </c>
      <c r="D13289" t="str">
        <v>-</v>
      </c>
      <c r="E13289" t="str">
        <v>-</v>
      </c>
      <c r="F13289" t="str">
        <v>-</v>
      </c>
      <c r="G13289" t="str">
        <v>-</v>
      </c>
    </row>
    <row r="13290">
      <c r="A13290">
        <v>13289</v>
      </c>
      <c r="B13290" t="str">
        <v>Công an xã Cẩm Yên  tỉnh Hà Tĩnh</v>
      </c>
      <c r="C13290" t="str">
        <v>-</v>
      </c>
      <c r="D13290" t="str">
        <v>-</v>
      </c>
      <c r="E13290" t="str">
        <v/>
      </c>
      <c r="F13290" t="str">
        <v>-</v>
      </c>
      <c r="G13290" t="str">
        <v>-</v>
      </c>
    </row>
    <row r="13291">
      <c r="A13291">
        <v>13290</v>
      </c>
      <c r="B13291" t="str">
        <v>UBND Ủy ban nhân dân xã Cẩm Yên  tỉnh Hà Tĩnh</v>
      </c>
      <c r="C13291" t="str">
        <v>-</v>
      </c>
      <c r="D13291" t="str">
        <v>-</v>
      </c>
      <c r="E13291" t="str">
        <v>-</v>
      </c>
      <c r="F13291" t="str">
        <v>-</v>
      </c>
      <c r="G13291" t="str">
        <v>-</v>
      </c>
    </row>
    <row r="13292">
      <c r="A13292">
        <v>13291</v>
      </c>
      <c r="B13292" t="str">
        <v>Công an xã Cẩm Vĩnh  tỉnh Hà Tĩnh</v>
      </c>
      <c r="C13292" t="str">
        <v>-</v>
      </c>
      <c r="D13292" t="str">
        <v>-</v>
      </c>
      <c r="E13292" t="str">
        <v/>
      </c>
      <c r="F13292" t="str">
        <v>-</v>
      </c>
      <c r="G13292" t="str">
        <v>-</v>
      </c>
    </row>
    <row r="13293">
      <c r="A13293">
        <v>13292</v>
      </c>
      <c r="B13293" t="str">
        <v>UBND Ủy ban nhân dân xã Cẩm Vĩnh  tỉnh Hà Tĩnh</v>
      </c>
      <c r="C13293" t="str">
        <v>-</v>
      </c>
      <c r="D13293" t="str">
        <v>-</v>
      </c>
      <c r="E13293" t="str">
        <v>-</v>
      </c>
      <c r="F13293" t="str">
        <v>-</v>
      </c>
      <c r="G13293" t="str">
        <v>-</v>
      </c>
    </row>
    <row r="13294">
      <c r="A13294">
        <v>13293</v>
      </c>
      <c r="B13294" t="str">
        <v>Công an xã Cẩm Thành  tỉnh Hà Tĩnh</v>
      </c>
      <c r="C13294" t="str">
        <v>-</v>
      </c>
      <c r="D13294" t="str">
        <v>-</v>
      </c>
      <c r="E13294" t="str">
        <v/>
      </c>
      <c r="F13294" t="str">
        <v>-</v>
      </c>
      <c r="G13294" t="str">
        <v>-</v>
      </c>
    </row>
    <row r="13295">
      <c r="A13295">
        <v>13294</v>
      </c>
      <c r="B13295" t="str">
        <v>UBND Ủy ban nhân dân xã Cẩm Thành  tỉnh Hà Tĩnh</v>
      </c>
      <c r="C13295" t="str">
        <v>-</v>
      </c>
      <c r="D13295" t="str">
        <v>-</v>
      </c>
      <c r="E13295" t="str">
        <v>-</v>
      </c>
      <c r="F13295" t="str">
        <v>-</v>
      </c>
      <c r="G13295" t="str">
        <v>-</v>
      </c>
    </row>
    <row r="13296">
      <c r="A13296">
        <v>13295</v>
      </c>
      <c r="B13296" t="str">
        <v>Công an xã Cẩm Quang  tỉnh Hà Tĩnh</v>
      </c>
      <c r="C13296" t="str">
        <v>-</v>
      </c>
      <c r="D13296" t="str">
        <v>-</v>
      </c>
      <c r="E13296" t="str">
        <v/>
      </c>
      <c r="F13296" t="str">
        <v>-</v>
      </c>
      <c r="G13296" t="str">
        <v>-</v>
      </c>
    </row>
    <row r="13297">
      <c r="A13297">
        <v>13296</v>
      </c>
      <c r="B13297" t="str">
        <v>UBND Ủy ban nhân dân xã Cẩm Quang  tỉnh Hà Tĩnh</v>
      </c>
      <c r="C13297" t="str">
        <v>-</v>
      </c>
      <c r="D13297" t="str">
        <v>-</v>
      </c>
      <c r="E13297" t="str">
        <v>-</v>
      </c>
      <c r="F13297" t="str">
        <v>-</v>
      </c>
      <c r="G13297" t="str">
        <v>-</v>
      </c>
    </row>
    <row r="13298">
      <c r="A13298">
        <v>13297</v>
      </c>
      <c r="B13298" t="str">
        <v>Công an xã Cẩm Nam  tỉnh Hà Tĩnh</v>
      </c>
      <c r="C13298" t="str">
        <v>-</v>
      </c>
      <c r="D13298" t="str">
        <v>-</v>
      </c>
      <c r="E13298" t="str">
        <v/>
      </c>
      <c r="F13298" t="str">
        <v>-</v>
      </c>
      <c r="G13298" t="str">
        <v>-</v>
      </c>
    </row>
    <row r="13299">
      <c r="A13299">
        <v>13298</v>
      </c>
      <c r="B13299" t="str">
        <v>UBND Ủy ban nhân dân xã Cẩm Nam  tỉnh Hà Tĩnh</v>
      </c>
      <c r="C13299" t="str">
        <v>-</v>
      </c>
      <c r="D13299" t="str">
        <v>-</v>
      </c>
      <c r="E13299" t="str">
        <v>-</v>
      </c>
      <c r="F13299" t="str">
        <v>-</v>
      </c>
      <c r="G13299" t="str">
        <v>-</v>
      </c>
    </row>
    <row r="13300">
      <c r="A13300">
        <v>13299</v>
      </c>
      <c r="B13300" t="str">
        <v>Công an xã Cẩm Huy  tỉnh Hà Tĩnh</v>
      </c>
      <c r="C13300" t="str">
        <v>-</v>
      </c>
      <c r="D13300" t="str">
        <v>-</v>
      </c>
      <c r="E13300" t="str">
        <v/>
      </c>
      <c r="F13300" t="str">
        <v>-</v>
      </c>
      <c r="G13300" t="str">
        <v>-</v>
      </c>
    </row>
    <row r="13301">
      <c r="A13301">
        <v>13300</v>
      </c>
      <c r="B13301" t="str">
        <v>UBND Ủy ban nhân dân xã Cẩm Huy  tỉnh Hà Tĩnh</v>
      </c>
      <c r="C13301" t="str">
        <v>-</v>
      </c>
      <c r="D13301" t="str">
        <v>-</v>
      </c>
      <c r="E13301" t="str">
        <v>-</v>
      </c>
      <c r="F13301" t="str">
        <v>-</v>
      </c>
      <c r="G13301" t="str">
        <v>-</v>
      </c>
    </row>
    <row r="13302">
      <c r="A13302">
        <v>13301</v>
      </c>
      <c r="B13302" t="str">
        <v>Công an xã Cẩm Thạch  tỉnh Hà Tĩnh</v>
      </c>
      <c r="C13302" t="str">
        <v>-</v>
      </c>
      <c r="D13302" t="str">
        <v>-</v>
      </c>
      <c r="E13302" t="str">
        <v/>
      </c>
      <c r="F13302" t="str">
        <v>-</v>
      </c>
      <c r="G13302" t="str">
        <v>-</v>
      </c>
    </row>
    <row r="13303">
      <c r="A13303">
        <v>13302</v>
      </c>
      <c r="B13303" t="str">
        <v>UBND Ủy ban nhân dân xã Cẩm Thạch  tỉnh Hà Tĩnh</v>
      </c>
      <c r="C13303" t="str">
        <v>-</v>
      </c>
      <c r="D13303" t="str">
        <v>-</v>
      </c>
      <c r="E13303" t="str">
        <v>-</v>
      </c>
      <c r="F13303" t="str">
        <v>-</v>
      </c>
      <c r="G13303" t="str">
        <v>-</v>
      </c>
    </row>
    <row r="13304">
      <c r="A13304">
        <v>13303</v>
      </c>
      <c r="B13304" t="str">
        <v>Công an xã Cẩm Nhượng  tỉnh Hà Tĩnh</v>
      </c>
      <c r="C13304" t="str">
        <v>-</v>
      </c>
      <c r="D13304" t="str">
        <v>-</v>
      </c>
      <c r="E13304" t="str">
        <v/>
      </c>
      <c r="F13304" t="str">
        <v>-</v>
      </c>
      <c r="G13304" t="str">
        <v>-</v>
      </c>
    </row>
    <row r="13305">
      <c r="A13305">
        <v>13304</v>
      </c>
      <c r="B13305" t="str">
        <v>UBND Ủy ban nhân dân xã Cẩm Nhượng  tỉnh Hà Tĩnh</v>
      </c>
      <c r="C13305" t="str">
        <v>-</v>
      </c>
      <c r="D13305" t="str">
        <v>-</v>
      </c>
      <c r="E13305" t="str">
        <v>-</v>
      </c>
      <c r="F13305" t="str">
        <v>-</v>
      </c>
      <c r="G13305" t="str">
        <v>-</v>
      </c>
    </row>
    <row r="13306">
      <c r="A13306">
        <v>13305</v>
      </c>
      <c r="B13306" t="str">
        <v>Công an xã Cẩm Thăng  tỉnh Hà Tĩnh</v>
      </c>
      <c r="C13306" t="str">
        <v>-</v>
      </c>
      <c r="D13306" t="str">
        <v>-</v>
      </c>
      <c r="E13306" t="str">
        <v/>
      </c>
      <c r="F13306" t="str">
        <v>-</v>
      </c>
      <c r="G13306" t="str">
        <v>-</v>
      </c>
    </row>
    <row r="13307">
      <c r="A13307">
        <v>13306</v>
      </c>
      <c r="B13307" t="str">
        <v>UBND Ủy ban nhân dân xã Cẩm Thăng  tỉnh Hà Tĩnh</v>
      </c>
      <c r="C13307" t="str">
        <v>-</v>
      </c>
      <c r="D13307" t="str">
        <v>-</v>
      </c>
      <c r="E13307" t="str">
        <v>-</v>
      </c>
      <c r="F13307" t="str">
        <v>-</v>
      </c>
      <c r="G13307" t="str">
        <v>-</v>
      </c>
    </row>
    <row r="13308">
      <c r="A13308">
        <v>13307</v>
      </c>
      <c r="B13308" t="str">
        <v>Công an xã Cẩm Duệ  tỉnh Hà Tĩnh</v>
      </c>
      <c r="C13308" t="str">
        <v>-</v>
      </c>
      <c r="D13308" t="str">
        <v>-</v>
      </c>
      <c r="E13308" t="str">
        <v/>
      </c>
      <c r="F13308" t="str">
        <v>-</v>
      </c>
      <c r="G13308" t="str">
        <v>-</v>
      </c>
    </row>
    <row r="13309">
      <c r="A13309">
        <v>13308</v>
      </c>
      <c r="B13309" t="str">
        <v>UBND Ủy ban nhân dân xã Cẩm Duệ  tỉnh Hà Tĩnh</v>
      </c>
      <c r="C13309" t="str">
        <v>-</v>
      </c>
      <c r="D13309" t="str">
        <v>-</v>
      </c>
      <c r="E13309" t="str">
        <v>-</v>
      </c>
      <c r="F13309" t="str">
        <v>-</v>
      </c>
      <c r="G13309" t="str">
        <v>-</v>
      </c>
    </row>
    <row r="13310">
      <c r="A13310">
        <v>13309</v>
      </c>
      <c r="B13310" t="str">
        <v>Công an xã Cẩm Phúc  tỉnh Hà Tĩnh</v>
      </c>
      <c r="C13310" t="str">
        <v>-</v>
      </c>
      <c r="D13310" t="str">
        <v>-</v>
      </c>
      <c r="E13310" t="str">
        <v/>
      </c>
      <c r="F13310" t="str">
        <v>-</v>
      </c>
      <c r="G13310" t="str">
        <v>-</v>
      </c>
    </row>
    <row r="13311">
      <c r="A13311">
        <v>13310</v>
      </c>
      <c r="B13311" t="str">
        <v>UBND Ủy ban nhân dân xã Cẩm Phúc  tỉnh Hà Tĩnh</v>
      </c>
      <c r="C13311" t="str">
        <v>-</v>
      </c>
      <c r="D13311" t="str">
        <v>-</v>
      </c>
      <c r="E13311" t="str">
        <v>-</v>
      </c>
      <c r="F13311" t="str">
        <v>-</v>
      </c>
      <c r="G13311" t="str">
        <v>-</v>
      </c>
    </row>
    <row r="13312">
      <c r="A13312">
        <v>13311</v>
      </c>
      <c r="B13312" t="str">
        <v>Công an xã Cẩm Lĩnh  tỉnh Hà Tĩnh</v>
      </c>
      <c r="C13312" t="str">
        <v>-</v>
      </c>
      <c r="D13312" t="str">
        <v>-</v>
      </c>
      <c r="E13312" t="str">
        <v/>
      </c>
      <c r="F13312" t="str">
        <v>-</v>
      </c>
      <c r="G13312" t="str">
        <v>-</v>
      </c>
    </row>
    <row r="13313">
      <c r="A13313">
        <v>13312</v>
      </c>
      <c r="B13313" t="str">
        <v>UBND Ủy ban nhân dân xã Cẩm Lĩnh  tỉnh Hà Tĩnh</v>
      </c>
      <c r="C13313" t="str">
        <v>-</v>
      </c>
      <c r="D13313" t="str">
        <v>-</v>
      </c>
      <c r="E13313" t="str">
        <v>-</v>
      </c>
      <c r="F13313" t="str">
        <v>-</v>
      </c>
      <c r="G13313" t="str">
        <v>-</v>
      </c>
    </row>
    <row r="13314">
      <c r="A13314">
        <v>13313</v>
      </c>
      <c r="B13314" t="str">
        <v>Công an xã Cẩm Quan  tỉnh Hà Tĩnh</v>
      </c>
      <c r="C13314" t="str">
        <v>-</v>
      </c>
      <c r="D13314" t="str">
        <v>-</v>
      </c>
      <c r="E13314" t="str">
        <v/>
      </c>
      <c r="F13314" t="str">
        <v>-</v>
      </c>
      <c r="G13314" t="str">
        <v>-</v>
      </c>
    </row>
    <row r="13315">
      <c r="A13315">
        <v>13314</v>
      </c>
      <c r="B13315" t="str">
        <v>UBND Ủy ban nhân dân xã Cẩm Quan  tỉnh Hà Tĩnh</v>
      </c>
      <c r="C13315" t="str">
        <v>-</v>
      </c>
      <c r="D13315" t="str">
        <v>-</v>
      </c>
      <c r="E13315" t="str">
        <v>-</v>
      </c>
      <c r="F13315" t="str">
        <v>-</v>
      </c>
      <c r="G13315" t="str">
        <v>-</v>
      </c>
    </row>
    <row r="13316">
      <c r="A13316">
        <v>13315</v>
      </c>
      <c r="B13316" t="str">
        <v>Công an xã Cẩm Hà  tỉnh Hà Tĩnh</v>
      </c>
      <c r="C13316" t="str">
        <v>-</v>
      </c>
      <c r="D13316" t="str">
        <v>-</v>
      </c>
      <c r="E13316" t="str">
        <v/>
      </c>
      <c r="F13316" t="str">
        <v>-</v>
      </c>
      <c r="G13316" t="str">
        <v>-</v>
      </c>
    </row>
    <row r="13317">
      <c r="A13317">
        <v>13316</v>
      </c>
      <c r="B13317" t="str">
        <v>UBND Ủy ban nhân dân xã Cẩm Hà  tỉnh Hà Tĩnh</v>
      </c>
      <c r="C13317" t="str">
        <v>-</v>
      </c>
      <c r="D13317" t="str">
        <v>-</v>
      </c>
      <c r="E13317" t="str">
        <v>-</v>
      </c>
      <c r="F13317" t="str">
        <v>-</v>
      </c>
      <c r="G13317" t="str">
        <v>-</v>
      </c>
    </row>
    <row r="13318">
      <c r="A13318">
        <v>13317</v>
      </c>
      <c r="B13318" t="str">
        <v>Công an xã Cẩm Lộc  tỉnh Hà Tĩnh</v>
      </c>
      <c r="C13318" t="str">
        <v>-</v>
      </c>
      <c r="D13318" t="str">
        <v>-</v>
      </c>
      <c r="E13318" t="str">
        <v/>
      </c>
      <c r="F13318" t="str">
        <v>-</v>
      </c>
      <c r="G13318" t="str">
        <v>-</v>
      </c>
    </row>
    <row r="13319">
      <c r="A13319">
        <v>13318</v>
      </c>
      <c r="B13319" t="str">
        <v>UBND Ủy ban nhân dân xã Cẩm Lộc  tỉnh Hà Tĩnh</v>
      </c>
      <c r="C13319" t="str">
        <v>-</v>
      </c>
      <c r="D13319" t="str">
        <v>-</v>
      </c>
      <c r="E13319" t="str">
        <v>-</v>
      </c>
      <c r="F13319" t="str">
        <v>-</v>
      </c>
      <c r="G13319" t="str">
        <v>-</v>
      </c>
    </row>
    <row r="13320">
      <c r="A13320">
        <v>13319</v>
      </c>
      <c r="B13320" t="str">
        <v>Công an xã Cẩm Hưng  tỉnh Hà Tĩnh</v>
      </c>
      <c r="C13320" t="str">
        <v>-</v>
      </c>
      <c r="D13320" t="str">
        <v>-</v>
      </c>
      <c r="E13320" t="str">
        <v/>
      </c>
      <c r="F13320" t="str">
        <v>-</v>
      </c>
      <c r="G13320" t="str">
        <v>-</v>
      </c>
    </row>
    <row r="13321">
      <c r="A13321">
        <v>13320</v>
      </c>
      <c r="B13321" t="str">
        <v>UBND Ủy ban nhân dân xã Cẩm Hưng  tỉnh Hà Tĩnh</v>
      </c>
      <c r="C13321" t="str">
        <v>-</v>
      </c>
      <c r="D13321" t="str">
        <v>-</v>
      </c>
      <c r="E13321" t="str">
        <v>-</v>
      </c>
      <c r="F13321" t="str">
        <v>-</v>
      </c>
      <c r="G13321" t="str">
        <v>-</v>
      </c>
    </row>
    <row r="13322">
      <c r="A13322">
        <v>13321</v>
      </c>
      <c r="B13322" t="str">
        <v>Công an xã Cẩm Thịnh  tỉnh Hà Tĩnh</v>
      </c>
      <c r="C13322" t="str">
        <v>-</v>
      </c>
      <c r="D13322" t="str">
        <v>-</v>
      </c>
      <c r="E13322" t="str">
        <v/>
      </c>
      <c r="F13322" t="str">
        <v>-</v>
      </c>
      <c r="G13322" t="str">
        <v>-</v>
      </c>
    </row>
    <row r="13323">
      <c r="A13323">
        <v>13322</v>
      </c>
      <c r="B13323" t="str">
        <v>UBND Ủy ban nhân dân xã Cẩm Thịnh  tỉnh Hà Tĩnh</v>
      </c>
      <c r="C13323" t="str">
        <v>-</v>
      </c>
      <c r="D13323" t="str">
        <v>-</v>
      </c>
      <c r="E13323" t="str">
        <v>-</v>
      </c>
      <c r="F13323" t="str">
        <v>-</v>
      </c>
      <c r="G13323" t="str">
        <v>-</v>
      </c>
    </row>
    <row r="13324">
      <c r="A13324">
        <v>13323</v>
      </c>
      <c r="B13324" t="str">
        <v>Công an xã Cẩm Mỹ  tỉnh Hà Tĩnh</v>
      </c>
      <c r="C13324" t="str">
        <v>-</v>
      </c>
      <c r="D13324" t="str">
        <v>-</v>
      </c>
      <c r="E13324" t="str">
        <v/>
      </c>
      <c r="F13324" t="str">
        <v>-</v>
      </c>
      <c r="G13324" t="str">
        <v>-</v>
      </c>
    </row>
    <row r="13325">
      <c r="A13325">
        <v>13324</v>
      </c>
      <c r="B13325" t="str">
        <v>UBND Ủy ban nhân dân xã Cẩm Mỹ  tỉnh Hà Tĩnh</v>
      </c>
      <c r="C13325" t="str">
        <v>-</v>
      </c>
      <c r="D13325" t="str">
        <v>-</v>
      </c>
      <c r="E13325" t="str">
        <v>-</v>
      </c>
      <c r="F13325" t="str">
        <v>-</v>
      </c>
      <c r="G13325" t="str">
        <v>-</v>
      </c>
    </row>
    <row r="13326">
      <c r="A13326">
        <v>13325</v>
      </c>
      <c r="B13326" t="str">
        <v>Công an xã Cẩm Trung  tỉnh Hà Tĩnh</v>
      </c>
      <c r="C13326" t="str">
        <v>-</v>
      </c>
      <c r="D13326" t="str">
        <v>-</v>
      </c>
      <c r="E13326" t="str">
        <v/>
      </c>
      <c r="F13326" t="str">
        <v>-</v>
      </c>
      <c r="G13326" t="str">
        <v>-</v>
      </c>
    </row>
    <row r="13327">
      <c r="A13327">
        <v>13326</v>
      </c>
      <c r="B13327" t="str">
        <v>UBND Ủy ban nhân dân xã Cẩm Trung  tỉnh Hà Tĩnh</v>
      </c>
      <c r="C13327" t="str">
        <v>-</v>
      </c>
      <c r="D13327" t="str">
        <v>-</v>
      </c>
      <c r="E13327" t="str">
        <v>-</v>
      </c>
      <c r="F13327" t="str">
        <v>-</v>
      </c>
      <c r="G13327" t="str">
        <v>-</v>
      </c>
    </row>
    <row r="13328">
      <c r="A13328">
        <v>13327</v>
      </c>
      <c r="B13328" t="str">
        <v>Công an xã Cẩm Sơn  tỉnh Hà Tĩnh</v>
      </c>
      <c r="C13328" t="str">
        <v>-</v>
      </c>
      <c r="D13328" t="str">
        <v>-</v>
      </c>
      <c r="E13328" t="str">
        <v/>
      </c>
      <c r="F13328" t="str">
        <v>-</v>
      </c>
      <c r="G13328" t="str">
        <v>-</v>
      </c>
    </row>
    <row r="13329">
      <c r="A13329">
        <v>13328</v>
      </c>
      <c r="B13329" t="str">
        <v>UBND Ủy ban nhân dân xã Cẩm Sơn  tỉnh Hà Tĩnh</v>
      </c>
      <c r="C13329" t="str">
        <v>-</v>
      </c>
      <c r="D13329" t="str">
        <v>-</v>
      </c>
      <c r="E13329" t="str">
        <v>-</v>
      </c>
      <c r="F13329" t="str">
        <v>-</v>
      </c>
      <c r="G13329" t="str">
        <v>-</v>
      </c>
    </row>
    <row r="13330">
      <c r="A13330">
        <v>13329</v>
      </c>
      <c r="B13330" t="str">
        <v>Công an xã Cẩm Lạc  tỉnh Hà Tĩnh</v>
      </c>
      <c r="C13330" t="str">
        <v>-</v>
      </c>
      <c r="D13330" t="str">
        <v>-</v>
      </c>
      <c r="E13330" t="str">
        <v/>
      </c>
      <c r="F13330" t="str">
        <v>-</v>
      </c>
      <c r="G13330" t="str">
        <v>-</v>
      </c>
    </row>
    <row r="13331">
      <c r="A13331">
        <v>13330</v>
      </c>
      <c r="B13331" t="str">
        <v>UBND Ủy ban nhân dân xã Cẩm Lạc  tỉnh Hà Tĩnh</v>
      </c>
      <c r="C13331" t="str">
        <v>-</v>
      </c>
      <c r="D13331" t="str">
        <v>-</v>
      </c>
      <c r="E13331" t="str">
        <v>-</v>
      </c>
      <c r="F13331" t="str">
        <v>-</v>
      </c>
      <c r="G13331" t="str">
        <v>-</v>
      </c>
    </row>
    <row r="13332">
      <c r="A13332">
        <v>13331</v>
      </c>
      <c r="B13332" t="str">
        <v>Công an xã Cẩm Minh  tỉnh Hà Tĩnh</v>
      </c>
      <c r="C13332" t="str">
        <v>-</v>
      </c>
      <c r="D13332" t="str">
        <v>-</v>
      </c>
      <c r="E13332" t="str">
        <v/>
      </c>
      <c r="F13332" t="str">
        <v>-</v>
      </c>
      <c r="G13332" t="str">
        <v>-</v>
      </c>
    </row>
    <row r="13333">
      <c r="A13333">
        <v>13332</v>
      </c>
      <c r="B13333" t="str">
        <v>UBND Ủy ban nhân dân xã Cẩm Minh  tỉnh Hà Tĩnh</v>
      </c>
      <c r="C13333" t="str">
        <v>-</v>
      </c>
      <c r="D13333" t="str">
        <v>-</v>
      </c>
      <c r="E13333" t="str">
        <v>-</v>
      </c>
      <c r="F13333" t="str">
        <v>-</v>
      </c>
      <c r="G13333" t="str">
        <v>-</v>
      </c>
    </row>
    <row r="13334">
      <c r="A13334">
        <v>13333</v>
      </c>
      <c r="B13334" t="str">
        <v>Công an xã Kỳ Xuân  tỉnh Hà Tĩnh</v>
      </c>
      <c r="C13334" t="str">
        <v>-</v>
      </c>
      <c r="D13334" t="str">
        <v>-</v>
      </c>
      <c r="E13334" t="str">
        <v/>
      </c>
      <c r="F13334" t="str">
        <v>-</v>
      </c>
      <c r="G13334" t="str">
        <v>-</v>
      </c>
    </row>
    <row r="13335">
      <c r="A13335">
        <v>13334</v>
      </c>
      <c r="B13335" t="str">
        <v>UBND Ủy ban nhân dân xã Kỳ Xuân  tỉnh Hà Tĩnh</v>
      </c>
      <c r="C13335" t="str">
        <v>-</v>
      </c>
      <c r="D13335" t="str">
        <v>-</v>
      </c>
      <c r="E13335" t="str">
        <v>-</v>
      </c>
      <c r="F13335" t="str">
        <v>-</v>
      </c>
      <c r="G13335" t="str">
        <v>-</v>
      </c>
    </row>
    <row r="13336">
      <c r="A13336">
        <v>13335</v>
      </c>
      <c r="B13336" t="str">
        <v>Công an xã Kỳ Bắc  tỉnh Hà Tĩnh</v>
      </c>
      <c r="C13336" t="str">
        <v>-</v>
      </c>
      <c r="D13336" t="str">
        <v>-</v>
      </c>
      <c r="E13336" t="str">
        <v/>
      </c>
      <c r="F13336" t="str">
        <v>-</v>
      </c>
      <c r="G13336" t="str">
        <v>-</v>
      </c>
    </row>
    <row r="13337">
      <c r="A13337">
        <v>13336</v>
      </c>
      <c r="B13337" t="str">
        <v>UBND Ủy ban nhân dân xã Kỳ Bắc  tỉnh Hà Tĩnh</v>
      </c>
      <c r="C13337" t="str">
        <v>-</v>
      </c>
      <c r="D13337" t="str">
        <v>-</v>
      </c>
      <c r="E13337" t="str">
        <v>-</v>
      </c>
      <c r="F13337" t="str">
        <v>-</v>
      </c>
      <c r="G13337" t="str">
        <v>-</v>
      </c>
    </row>
    <row r="13338">
      <c r="A13338">
        <v>13337</v>
      </c>
      <c r="B13338" t="str">
        <v>Công an xã Kỳ Phú  tỉnh Hà Tĩnh</v>
      </c>
      <c r="C13338" t="str">
        <v>-</v>
      </c>
      <c r="D13338" t="str">
        <v>-</v>
      </c>
      <c r="E13338" t="str">
        <v/>
      </c>
      <c r="F13338" t="str">
        <v>-</v>
      </c>
      <c r="G13338" t="str">
        <v>-</v>
      </c>
    </row>
    <row r="13339">
      <c r="A13339">
        <v>13338</v>
      </c>
      <c r="B13339" t="str">
        <v>UBND Ủy ban nhân dân xã Kỳ Phú  tỉnh Hà Tĩnh</v>
      </c>
      <c r="C13339" t="str">
        <v>-</v>
      </c>
      <c r="D13339" t="str">
        <v>-</v>
      </c>
      <c r="E13339" t="str">
        <v>-</v>
      </c>
      <c r="F13339" t="str">
        <v>-</v>
      </c>
      <c r="G13339" t="str">
        <v>-</v>
      </c>
    </row>
    <row r="13340">
      <c r="A13340">
        <v>13339</v>
      </c>
      <c r="B13340" t="str">
        <v>Công an xã Kỳ Phong  tỉnh Hà Tĩnh</v>
      </c>
      <c r="C13340" t="str">
        <v>-</v>
      </c>
      <c r="D13340" t="str">
        <v>-</v>
      </c>
      <c r="E13340" t="str">
        <v/>
      </c>
      <c r="F13340" t="str">
        <v>-</v>
      </c>
      <c r="G13340" t="str">
        <v>-</v>
      </c>
    </row>
    <row r="13341">
      <c r="A13341">
        <v>13340</v>
      </c>
      <c r="B13341" t="str">
        <v>UBND Ủy ban nhân dân xã Kỳ Phong  tỉnh Hà Tĩnh</v>
      </c>
      <c r="C13341" t="str">
        <v>-</v>
      </c>
      <c r="D13341" t="str">
        <v>-</v>
      </c>
      <c r="E13341" t="str">
        <v>-</v>
      </c>
      <c r="F13341" t="str">
        <v>-</v>
      </c>
      <c r="G13341" t="str">
        <v>-</v>
      </c>
    </row>
    <row r="13342">
      <c r="A13342">
        <v>13341</v>
      </c>
      <c r="B13342" t="str">
        <v>Công an xã Kỳ Tiến  tỉnh Hà Tĩnh</v>
      </c>
      <c r="C13342" t="str">
        <v>-</v>
      </c>
      <c r="D13342" t="str">
        <v>-</v>
      </c>
      <c r="E13342" t="str">
        <v/>
      </c>
      <c r="F13342" t="str">
        <v>-</v>
      </c>
      <c r="G13342" t="str">
        <v>-</v>
      </c>
    </row>
    <row r="13343">
      <c r="A13343">
        <v>13342</v>
      </c>
      <c r="B13343" t="str">
        <v>UBND Ủy ban nhân dân xã Kỳ Tiến  tỉnh Hà Tĩnh</v>
      </c>
      <c r="C13343" t="str">
        <v>-</v>
      </c>
      <c r="D13343" t="str">
        <v>-</v>
      </c>
      <c r="E13343" t="str">
        <v>-</v>
      </c>
      <c r="F13343" t="str">
        <v>-</v>
      </c>
      <c r="G13343" t="str">
        <v>-</v>
      </c>
    </row>
    <row r="13344">
      <c r="A13344">
        <v>13343</v>
      </c>
      <c r="B13344" t="str">
        <v>Công an xã Kỳ Giang  tỉnh Hà Tĩnh</v>
      </c>
      <c r="C13344" t="str">
        <v>-</v>
      </c>
      <c r="D13344" t="str">
        <v>-</v>
      </c>
      <c r="E13344" t="str">
        <v/>
      </c>
      <c r="F13344" t="str">
        <v>-</v>
      </c>
      <c r="G13344" t="str">
        <v>-</v>
      </c>
    </row>
    <row r="13345">
      <c r="A13345">
        <v>13344</v>
      </c>
      <c r="B13345" t="str">
        <v>UBND Ủy ban nhân dân xã Kỳ Giang  tỉnh Hà Tĩnh</v>
      </c>
      <c r="C13345" t="str">
        <v>-</v>
      </c>
      <c r="D13345" t="str">
        <v>-</v>
      </c>
      <c r="E13345" t="str">
        <v>-</v>
      </c>
      <c r="F13345" t="str">
        <v>-</v>
      </c>
      <c r="G13345" t="str">
        <v>-</v>
      </c>
    </row>
    <row r="13346">
      <c r="A13346">
        <v>13345</v>
      </c>
      <c r="B13346" t="str">
        <v>Công an xã Kỳ Đồng  tỉnh Hà Tĩnh</v>
      </c>
      <c r="C13346" t="str">
        <v>-</v>
      </c>
      <c r="D13346" t="str">
        <v>-</v>
      </c>
      <c r="E13346" t="str">
        <v/>
      </c>
      <c r="F13346" t="str">
        <v>-</v>
      </c>
      <c r="G13346" t="str">
        <v>-</v>
      </c>
    </row>
    <row r="13347">
      <c r="A13347">
        <v>13346</v>
      </c>
      <c r="B13347" t="str">
        <v>UBND Ủy ban nhân dân xã Kỳ Đồng  tỉnh Hà Tĩnh</v>
      </c>
      <c r="C13347" t="str">
        <v>-</v>
      </c>
      <c r="D13347" t="str">
        <v>-</v>
      </c>
      <c r="E13347" t="str">
        <v>-</v>
      </c>
      <c r="F13347" t="str">
        <v>-</v>
      </c>
      <c r="G13347" t="str">
        <v>-</v>
      </c>
    </row>
    <row r="13348">
      <c r="A13348">
        <v>13347</v>
      </c>
      <c r="B13348" t="str">
        <v>Công an xã Kỳ Khang  tỉnh Hà Tĩnh</v>
      </c>
      <c r="C13348" t="str">
        <v>-</v>
      </c>
      <c r="D13348" t="str">
        <v>-</v>
      </c>
      <c r="E13348" t="str">
        <v/>
      </c>
      <c r="F13348" t="str">
        <v>-</v>
      </c>
      <c r="G13348" t="str">
        <v>-</v>
      </c>
    </row>
    <row r="13349">
      <c r="A13349">
        <v>13348</v>
      </c>
      <c r="B13349" t="str">
        <v>UBND Ủy ban nhân dân xã Kỳ Khang  tỉnh Hà Tĩnh</v>
      </c>
      <c r="C13349" t="str">
        <v>-</v>
      </c>
      <c r="D13349" t="str">
        <v>-</v>
      </c>
      <c r="E13349" t="str">
        <v>-</v>
      </c>
      <c r="F13349" t="str">
        <v>-</v>
      </c>
      <c r="G13349" t="str">
        <v>-</v>
      </c>
    </row>
    <row r="13350">
      <c r="A13350">
        <v>13349</v>
      </c>
      <c r="B13350" t="str">
        <v>Công an xã Kỳ Văn  tỉnh Hà Tĩnh</v>
      </c>
      <c r="C13350" t="str">
        <v>-</v>
      </c>
      <c r="D13350" t="str">
        <v>-</v>
      </c>
      <c r="E13350" t="str">
        <v/>
      </c>
      <c r="F13350" t="str">
        <v>-</v>
      </c>
      <c r="G13350" t="str">
        <v>-</v>
      </c>
    </row>
    <row r="13351">
      <c r="A13351">
        <v>13350</v>
      </c>
      <c r="B13351" t="str">
        <v>UBND Ủy ban nhân dân xã Kỳ Văn  tỉnh Hà Tĩnh</v>
      </c>
      <c r="C13351" t="str">
        <v>-</v>
      </c>
      <c r="D13351" t="str">
        <v>-</v>
      </c>
      <c r="E13351" t="str">
        <v>-</v>
      </c>
      <c r="F13351" t="str">
        <v>-</v>
      </c>
      <c r="G13351" t="str">
        <v>-</v>
      </c>
    </row>
    <row r="13352">
      <c r="A13352">
        <v>13351</v>
      </c>
      <c r="B13352" t="str">
        <v>Công an xã Kỳ Trung  tỉnh Hà Tĩnh</v>
      </c>
      <c r="C13352" t="str">
        <v>-</v>
      </c>
      <c r="D13352" t="str">
        <v>-</v>
      </c>
      <c r="E13352" t="str">
        <v/>
      </c>
      <c r="F13352" t="str">
        <v>-</v>
      </c>
      <c r="G13352" t="str">
        <v>-</v>
      </c>
    </row>
    <row r="13353">
      <c r="A13353">
        <v>13352</v>
      </c>
      <c r="B13353" t="str">
        <v>UBND Ủy ban nhân dân xã Kỳ Trung  tỉnh Hà Tĩnh</v>
      </c>
      <c r="C13353" t="str">
        <v>-</v>
      </c>
      <c r="D13353" t="str">
        <v>-</v>
      </c>
      <c r="E13353" t="str">
        <v>-</v>
      </c>
      <c r="F13353" t="str">
        <v>-</v>
      </c>
      <c r="G13353" t="str">
        <v>-</v>
      </c>
    </row>
    <row r="13354">
      <c r="A13354">
        <v>13353</v>
      </c>
      <c r="B13354" t="str">
        <v>Công an xã Kỳ Thọ  tỉnh Hà Tĩnh</v>
      </c>
      <c r="C13354" t="str">
        <v>-</v>
      </c>
      <c r="D13354" t="str">
        <v>-</v>
      </c>
      <c r="E13354" t="str">
        <v/>
      </c>
      <c r="F13354" t="str">
        <v>-</v>
      </c>
      <c r="G13354" t="str">
        <v>-</v>
      </c>
    </row>
    <row r="13355">
      <c r="A13355">
        <v>13354</v>
      </c>
      <c r="B13355" t="str">
        <v>UBND Ủy ban nhân dân xã Kỳ Thọ  tỉnh Hà Tĩnh</v>
      </c>
      <c r="C13355" t="str">
        <v>-</v>
      </c>
      <c r="D13355" t="str">
        <v>-</v>
      </c>
      <c r="E13355" t="str">
        <v>-</v>
      </c>
      <c r="F13355" t="str">
        <v>-</v>
      </c>
      <c r="G13355" t="str">
        <v>-</v>
      </c>
    </row>
    <row r="13356">
      <c r="A13356">
        <v>13355</v>
      </c>
      <c r="B13356" t="str">
        <v>Công an xã Kỳ Tây  tỉnh Hà Tĩnh</v>
      </c>
      <c r="C13356" t="str">
        <v>-</v>
      </c>
      <c r="D13356" t="str">
        <v>-</v>
      </c>
      <c r="E13356" t="str">
        <v/>
      </c>
      <c r="F13356" t="str">
        <v>-</v>
      </c>
      <c r="G13356" t="str">
        <v>-</v>
      </c>
    </row>
    <row r="13357">
      <c r="A13357">
        <v>13356</v>
      </c>
      <c r="B13357" t="str">
        <v>UBND Ủy ban nhân dân xã Kỳ Tây  tỉnh Hà Tĩnh</v>
      </c>
      <c r="C13357" t="str">
        <v>-</v>
      </c>
      <c r="D13357" t="str">
        <v>-</v>
      </c>
      <c r="E13357" t="str">
        <v>-</v>
      </c>
      <c r="F13357" t="str">
        <v>-</v>
      </c>
      <c r="G13357" t="str">
        <v>-</v>
      </c>
    </row>
    <row r="13358">
      <c r="A13358">
        <v>13357</v>
      </c>
      <c r="B13358" t="str">
        <v>Công an xã Kỳ Thượng  tỉnh Hà Tĩnh</v>
      </c>
      <c r="C13358" t="str">
        <v>-</v>
      </c>
      <c r="D13358" t="str">
        <v>-</v>
      </c>
      <c r="E13358" t="str">
        <v/>
      </c>
      <c r="F13358" t="str">
        <v>-</v>
      </c>
      <c r="G13358" t="str">
        <v>-</v>
      </c>
    </row>
    <row r="13359">
      <c r="A13359">
        <v>13358</v>
      </c>
      <c r="B13359" t="str">
        <v>UBND Ủy ban nhân dân xã Kỳ Thượng  tỉnh Hà Tĩnh</v>
      </c>
      <c r="C13359" t="str">
        <v>-</v>
      </c>
      <c r="D13359" t="str">
        <v>-</v>
      </c>
      <c r="E13359" t="str">
        <v>-</v>
      </c>
      <c r="F13359" t="str">
        <v>-</v>
      </c>
      <c r="G13359" t="str">
        <v>-</v>
      </c>
    </row>
    <row r="13360">
      <c r="A13360">
        <v>13359</v>
      </c>
      <c r="B13360" t="str">
        <v>Công an xã Kỳ Hải  tỉnh Hà Tĩnh</v>
      </c>
      <c r="C13360" t="str">
        <v>-</v>
      </c>
      <c r="D13360" t="str">
        <v>-</v>
      </c>
      <c r="E13360" t="str">
        <v/>
      </c>
      <c r="F13360" t="str">
        <v>-</v>
      </c>
      <c r="G13360" t="str">
        <v>-</v>
      </c>
    </row>
    <row r="13361">
      <c r="A13361">
        <v>13360</v>
      </c>
      <c r="B13361" t="str">
        <v>UBND Ủy ban nhân dân xã Kỳ Hải  tỉnh Hà Tĩnh</v>
      </c>
      <c r="C13361" t="str">
        <v>-</v>
      </c>
      <c r="D13361" t="str">
        <v>-</v>
      </c>
      <c r="E13361" t="str">
        <v>-</v>
      </c>
      <c r="F13361" t="str">
        <v>-</v>
      </c>
      <c r="G13361" t="str">
        <v>-</v>
      </c>
    </row>
    <row r="13362">
      <c r="A13362">
        <v>13361</v>
      </c>
      <c r="B13362" t="str">
        <v>Công an xã Kỳ Thư  tỉnh Hà Tĩnh</v>
      </c>
      <c r="C13362" t="str">
        <v>-</v>
      </c>
      <c r="D13362" t="str">
        <v>-</v>
      </c>
      <c r="E13362" t="str">
        <v/>
      </c>
      <c r="F13362" t="str">
        <v>-</v>
      </c>
      <c r="G13362" t="str">
        <v>-</v>
      </c>
    </row>
    <row r="13363">
      <c r="A13363">
        <v>13362</v>
      </c>
      <c r="B13363" t="str">
        <v>UBND Ủy ban nhân dân xã Kỳ Thư  tỉnh Hà Tĩnh</v>
      </c>
      <c r="C13363" t="str">
        <v>-</v>
      </c>
      <c r="D13363" t="str">
        <v>-</v>
      </c>
      <c r="E13363" t="str">
        <v>-</v>
      </c>
      <c r="F13363" t="str">
        <v>-</v>
      </c>
      <c r="G13363" t="str">
        <v>-</v>
      </c>
    </row>
    <row r="13364">
      <c r="A13364">
        <v>13363</v>
      </c>
      <c r="B13364" t="str">
        <v>Công an xã Kỳ Châu  tỉnh Hà Tĩnh</v>
      </c>
      <c r="C13364" t="str">
        <v>-</v>
      </c>
      <c r="D13364" t="str">
        <v>-</v>
      </c>
      <c r="E13364" t="str">
        <v/>
      </c>
      <c r="F13364" t="str">
        <v>-</v>
      </c>
      <c r="G13364" t="str">
        <v>-</v>
      </c>
    </row>
    <row r="13365">
      <c r="A13365">
        <v>13364</v>
      </c>
      <c r="B13365" t="str">
        <v>UBND Ủy ban nhân dân xã Kỳ Châu  tỉnh Hà Tĩnh</v>
      </c>
      <c r="C13365" t="str">
        <v>-</v>
      </c>
      <c r="D13365" t="str">
        <v>-</v>
      </c>
      <c r="E13365" t="str">
        <v>-</v>
      </c>
      <c r="F13365" t="str">
        <v>-</v>
      </c>
      <c r="G13365" t="str">
        <v>-</v>
      </c>
    </row>
    <row r="13366">
      <c r="A13366">
        <v>13365</v>
      </c>
      <c r="B13366" t="str">
        <v>Công an xã Kỳ Tân  tỉnh Hà Tĩnh</v>
      </c>
      <c r="C13366" t="str">
        <v>-</v>
      </c>
      <c r="D13366" t="str">
        <v>-</v>
      </c>
      <c r="E13366" t="str">
        <v/>
      </c>
      <c r="F13366" t="str">
        <v>-</v>
      </c>
      <c r="G13366" t="str">
        <v>-</v>
      </c>
    </row>
    <row r="13367">
      <c r="A13367">
        <v>13366</v>
      </c>
      <c r="B13367" t="str">
        <v>UBND Ủy ban nhân dân xã Kỳ Tân  tỉnh Hà Tĩnh</v>
      </c>
      <c r="C13367" t="str">
        <v>-</v>
      </c>
      <c r="D13367" t="str">
        <v>-</v>
      </c>
      <c r="E13367" t="str">
        <v>-</v>
      </c>
      <c r="F13367" t="str">
        <v>-</v>
      </c>
      <c r="G13367" t="str">
        <v>-</v>
      </c>
    </row>
    <row r="13368">
      <c r="A13368">
        <v>13367</v>
      </c>
      <c r="B13368" t="str">
        <v>Công an xã Kỳ Hợp  tỉnh Hà Tĩnh</v>
      </c>
      <c r="C13368" t="str">
        <v>-</v>
      </c>
      <c r="D13368" t="str">
        <v>-</v>
      </c>
      <c r="E13368" t="str">
        <v/>
      </c>
      <c r="F13368" t="str">
        <v>-</v>
      </c>
      <c r="G13368" t="str">
        <v>-</v>
      </c>
    </row>
    <row r="13369">
      <c r="A13369">
        <v>13368</v>
      </c>
      <c r="B13369" t="str">
        <v>UBND Ủy ban nhân dân xã Kỳ Hợp  tỉnh Hà Tĩnh</v>
      </c>
      <c r="C13369" t="str">
        <v>-</v>
      </c>
      <c r="D13369" t="str">
        <v>-</v>
      </c>
      <c r="E13369" t="str">
        <v>-</v>
      </c>
      <c r="F13369" t="str">
        <v>-</v>
      </c>
      <c r="G13369" t="str">
        <v>-</v>
      </c>
    </row>
    <row r="13370">
      <c r="A13370">
        <v>13369</v>
      </c>
      <c r="B13370" t="str">
        <v>Công an xã Kỳ Lâm  tỉnh Hà Tĩnh</v>
      </c>
      <c r="C13370" t="str">
        <v>-</v>
      </c>
      <c r="D13370" t="str">
        <v>-</v>
      </c>
      <c r="E13370" t="str">
        <v/>
      </c>
      <c r="F13370" t="str">
        <v>-</v>
      </c>
      <c r="G13370" t="str">
        <v>-</v>
      </c>
    </row>
    <row r="13371">
      <c r="A13371">
        <v>13370</v>
      </c>
      <c r="B13371" t="str">
        <v>UBND Ủy ban nhân dân xã Kỳ Lâm  tỉnh Hà Tĩnh</v>
      </c>
      <c r="C13371" t="str">
        <v>-</v>
      </c>
      <c r="D13371" t="str">
        <v>-</v>
      </c>
      <c r="E13371" t="str">
        <v>-</v>
      </c>
      <c r="F13371" t="str">
        <v>-</v>
      </c>
      <c r="G13371" t="str">
        <v>-</v>
      </c>
    </row>
    <row r="13372">
      <c r="A13372">
        <v>13371</v>
      </c>
      <c r="B13372" t="str">
        <v>Công an xã Kỳ Sơn  tỉnh Hà Tĩnh</v>
      </c>
      <c r="C13372" t="str">
        <v>-</v>
      </c>
      <c r="D13372" t="str">
        <v>-</v>
      </c>
      <c r="E13372" t="str">
        <v/>
      </c>
      <c r="F13372" t="str">
        <v>-</v>
      </c>
      <c r="G13372" t="str">
        <v>-</v>
      </c>
    </row>
    <row r="13373">
      <c r="A13373">
        <v>13372</v>
      </c>
      <c r="B13373" t="str">
        <v>UBND Ủy ban nhân dân xã Kỳ Sơn  tỉnh Hà Tĩnh</v>
      </c>
      <c r="C13373" t="str">
        <v>-</v>
      </c>
      <c r="D13373" t="str">
        <v>-</v>
      </c>
      <c r="E13373" t="str">
        <v>-</v>
      </c>
      <c r="F13373" t="str">
        <v>-</v>
      </c>
      <c r="G13373" t="str">
        <v>-</v>
      </c>
    </row>
    <row r="13374">
      <c r="A13374">
        <v>13373</v>
      </c>
      <c r="B13374" t="str">
        <v>Công an xã Kỳ Lạc  tỉnh Hà Tĩnh</v>
      </c>
      <c r="C13374" t="str">
        <v>-</v>
      </c>
      <c r="D13374" t="str">
        <v>-</v>
      </c>
      <c r="E13374" t="str">
        <v/>
      </c>
      <c r="F13374" t="str">
        <v>-</v>
      </c>
      <c r="G13374" t="str">
        <v>-</v>
      </c>
    </row>
    <row r="13375">
      <c r="A13375">
        <v>13374</v>
      </c>
      <c r="B13375" t="str">
        <v>UBND Ủy ban nhân dân xã Kỳ Lạc  tỉnh Hà Tĩnh</v>
      </c>
      <c r="C13375" t="str">
        <v>-</v>
      </c>
      <c r="D13375" t="str">
        <v>-</v>
      </c>
      <c r="E13375" t="str">
        <v>-</v>
      </c>
      <c r="F13375" t="str">
        <v>-</v>
      </c>
      <c r="G13375" t="str">
        <v>-</v>
      </c>
    </row>
    <row r="13376">
      <c r="A13376">
        <v>13375</v>
      </c>
      <c r="B13376" t="str">
        <v>Công an xã Tân Lộc  tỉnh Hà Tĩnh</v>
      </c>
      <c r="C13376" t="str">
        <v>-</v>
      </c>
      <c r="D13376" t="str">
        <v>-</v>
      </c>
      <c r="E13376" t="str">
        <v/>
      </c>
      <c r="F13376" t="str">
        <v>-</v>
      </c>
      <c r="G13376" t="str">
        <v>-</v>
      </c>
    </row>
    <row r="13377">
      <c r="A13377">
        <v>13376</v>
      </c>
      <c r="B13377" t="str">
        <v>UBND Ủy ban nhân dân xã Tân Lộc  tỉnh Hà Tĩnh</v>
      </c>
      <c r="C13377" t="str">
        <v>-</v>
      </c>
      <c r="D13377" t="str">
        <v>-</v>
      </c>
      <c r="E13377" t="str">
        <v>-</v>
      </c>
      <c r="F13377" t="str">
        <v>-</v>
      </c>
      <c r="G13377" t="str">
        <v>-</v>
      </c>
    </row>
    <row r="13378">
      <c r="A13378">
        <v>13377</v>
      </c>
      <c r="B13378" t="str">
        <v>Công an xã Hồng Lộc  tỉnh Hà Tĩnh</v>
      </c>
      <c r="C13378" t="str">
        <v>-</v>
      </c>
      <c r="D13378" t="str">
        <v>-</v>
      </c>
      <c r="E13378" t="str">
        <v/>
      </c>
      <c r="F13378" t="str">
        <v>-</v>
      </c>
      <c r="G13378" t="str">
        <v>-</v>
      </c>
    </row>
    <row r="13379">
      <c r="A13379">
        <v>13378</v>
      </c>
      <c r="B13379" t="str">
        <v>UBND Ủy ban nhân dân xã Hồng Lộc  tỉnh Hà Tĩnh</v>
      </c>
      <c r="C13379" t="str">
        <v>-</v>
      </c>
      <c r="D13379" t="str">
        <v>-</v>
      </c>
      <c r="E13379" t="str">
        <v>-</v>
      </c>
      <c r="F13379" t="str">
        <v>-</v>
      </c>
      <c r="G13379" t="str">
        <v>-</v>
      </c>
    </row>
    <row r="13380">
      <c r="A13380">
        <v>13379</v>
      </c>
      <c r="B13380" t="str">
        <v>Công an xã Thịnh Lộc  tỉnh Hà Tĩnh</v>
      </c>
      <c r="C13380" t="str">
        <v>-</v>
      </c>
      <c r="D13380" t="str">
        <v>-</v>
      </c>
      <c r="E13380" t="str">
        <v/>
      </c>
      <c r="F13380" t="str">
        <v>-</v>
      </c>
      <c r="G13380" t="str">
        <v>-</v>
      </c>
    </row>
    <row r="13381">
      <c r="A13381">
        <v>13380</v>
      </c>
      <c r="B13381" t="str">
        <v>UBND Ủy ban nhân dân xã Thịnh Lộc  tỉnh Hà Tĩnh</v>
      </c>
      <c r="C13381" t="str">
        <v>-</v>
      </c>
      <c r="D13381" t="str">
        <v>-</v>
      </c>
      <c r="E13381" t="str">
        <v>-</v>
      </c>
      <c r="F13381" t="str">
        <v>-</v>
      </c>
      <c r="G13381" t="str">
        <v>-</v>
      </c>
    </row>
    <row r="13382">
      <c r="A13382">
        <v>13381</v>
      </c>
      <c r="B13382" t="str">
        <v>Công an xã An Lộc  tỉnh Hà Tĩnh</v>
      </c>
      <c r="C13382" t="str">
        <v>-</v>
      </c>
      <c r="D13382" t="str">
        <v>-</v>
      </c>
      <c r="E13382" t="str">
        <v/>
      </c>
      <c r="F13382" t="str">
        <v>-</v>
      </c>
      <c r="G13382" t="str">
        <v>-</v>
      </c>
    </row>
    <row r="13383">
      <c r="A13383">
        <v>13382</v>
      </c>
      <c r="B13383" t="str">
        <v>UBND Ủy ban nhân dân xã An Lộc  tỉnh Hà Tĩnh</v>
      </c>
      <c r="C13383" t="str">
        <v>-</v>
      </c>
      <c r="D13383" t="str">
        <v>-</v>
      </c>
      <c r="E13383" t="str">
        <v>-</v>
      </c>
      <c r="F13383" t="str">
        <v>-</v>
      </c>
      <c r="G13383" t="str">
        <v>-</v>
      </c>
    </row>
    <row r="13384">
      <c r="A13384">
        <v>13383</v>
      </c>
      <c r="B13384" t="str">
        <v>Công an xã Bình Lộc  tỉnh Hà Tĩnh</v>
      </c>
      <c r="C13384" t="str">
        <v>-</v>
      </c>
      <c r="D13384" t="str">
        <v>-</v>
      </c>
      <c r="E13384" t="str">
        <v/>
      </c>
      <c r="F13384" t="str">
        <v>-</v>
      </c>
      <c r="G13384" t="str">
        <v>-</v>
      </c>
    </row>
    <row r="13385">
      <c r="A13385">
        <v>13384</v>
      </c>
      <c r="B13385" t="str">
        <v>UBND Ủy ban nhân dân xã Bình Lộc  tỉnh Hà Tĩnh</v>
      </c>
      <c r="C13385" t="str">
        <v>-</v>
      </c>
      <c r="D13385" t="str">
        <v>-</v>
      </c>
      <c r="E13385" t="str">
        <v>-</v>
      </c>
      <c r="F13385" t="str">
        <v>-</v>
      </c>
      <c r="G13385" t="str">
        <v>-</v>
      </c>
    </row>
    <row r="13386">
      <c r="A13386">
        <v>13385</v>
      </c>
      <c r="B13386" t="str">
        <v>Công an xã Ích Hậu  tỉnh Hà Tĩnh</v>
      </c>
      <c r="C13386" t="str">
        <v>-</v>
      </c>
      <c r="D13386" t="str">
        <v>-</v>
      </c>
      <c r="E13386" t="str">
        <v/>
      </c>
      <c r="F13386" t="str">
        <v>-</v>
      </c>
      <c r="G13386" t="str">
        <v>-</v>
      </c>
    </row>
    <row r="13387">
      <c r="A13387">
        <v>13386</v>
      </c>
      <c r="B13387" t="str">
        <v>UBND Ủy ban nhân dân xã Ích Hậu  tỉnh Hà Tĩnh</v>
      </c>
      <c r="C13387" t="str">
        <v>-</v>
      </c>
      <c r="D13387" t="str">
        <v>-</v>
      </c>
      <c r="E13387" t="str">
        <v>-</v>
      </c>
      <c r="F13387" t="str">
        <v>-</v>
      </c>
      <c r="G13387" t="str">
        <v>-</v>
      </c>
    </row>
    <row r="13388">
      <c r="A13388">
        <v>13387</v>
      </c>
      <c r="B13388" t="str">
        <v>Công an xã Phù Lưu  tỉnh Hà Tĩnh</v>
      </c>
      <c r="C13388" t="str">
        <v>-</v>
      </c>
      <c r="D13388" t="str">
        <v>-</v>
      </c>
      <c r="E13388" t="str">
        <v/>
      </c>
      <c r="F13388" t="str">
        <v>-</v>
      </c>
      <c r="G13388" t="str">
        <v>-</v>
      </c>
    </row>
    <row r="13389">
      <c r="A13389">
        <v>13388</v>
      </c>
      <c r="B13389" t="str">
        <v>UBND Ủy ban nhân dân xã Phù Lưu  tỉnh Hà Tĩnh</v>
      </c>
      <c r="C13389" t="str">
        <v>-</v>
      </c>
      <c r="D13389" t="str">
        <v>-</v>
      </c>
      <c r="E13389" t="str">
        <v>-</v>
      </c>
      <c r="F13389" t="str">
        <v>-</v>
      </c>
      <c r="G13389" t="str">
        <v>-</v>
      </c>
    </row>
    <row r="13390">
      <c r="A13390">
        <v>13389</v>
      </c>
      <c r="B13390" t="str">
        <v>Công an xã Thạch Bằng  tỉnh Hà Tĩnh</v>
      </c>
      <c r="C13390" t="str">
        <v>-</v>
      </c>
      <c r="D13390" t="str">
        <v>-</v>
      </c>
      <c r="E13390" t="str">
        <v/>
      </c>
      <c r="F13390" t="str">
        <v>-</v>
      </c>
      <c r="G13390" t="str">
        <v>-</v>
      </c>
    </row>
    <row r="13391">
      <c r="A13391">
        <v>13390</v>
      </c>
      <c r="B13391" t="str">
        <v>UBND Ủy ban nhân dân xã Thạch Bằng  tỉnh Hà Tĩnh</v>
      </c>
      <c r="C13391" t="str">
        <v>-</v>
      </c>
      <c r="D13391" t="str">
        <v>-</v>
      </c>
      <c r="E13391" t="str">
        <v>-</v>
      </c>
      <c r="F13391" t="str">
        <v>-</v>
      </c>
      <c r="G13391" t="str">
        <v>-</v>
      </c>
    </row>
    <row r="13392">
      <c r="A13392">
        <v>13391</v>
      </c>
      <c r="B13392" t="str">
        <v>Công an xã Thạch Mỹ  tỉnh Hà Tĩnh</v>
      </c>
      <c r="C13392" t="str">
        <v>-</v>
      </c>
      <c r="D13392" t="str">
        <v>-</v>
      </c>
      <c r="E13392" t="str">
        <v/>
      </c>
      <c r="F13392" t="str">
        <v>-</v>
      </c>
      <c r="G13392" t="str">
        <v>-</v>
      </c>
    </row>
    <row r="13393">
      <c r="A13393">
        <v>13392</v>
      </c>
      <c r="B13393" t="str">
        <v>UBND Ủy ban nhân dân xã Thạch Mỹ  tỉnh Hà Tĩnh</v>
      </c>
      <c r="C13393" t="str">
        <v>-</v>
      </c>
      <c r="D13393" t="str">
        <v>-</v>
      </c>
      <c r="E13393" t="str">
        <v>-</v>
      </c>
      <c r="F13393" t="str">
        <v>-</v>
      </c>
      <c r="G13393" t="str">
        <v>-</v>
      </c>
    </row>
    <row r="13394">
      <c r="A13394">
        <v>13393</v>
      </c>
      <c r="B13394" t="str">
        <v>Công an xã Thạch Kim  tỉnh Hà Tĩnh</v>
      </c>
      <c r="C13394" t="str">
        <v>-</v>
      </c>
      <c r="D13394" t="str">
        <v>-</v>
      </c>
      <c r="E13394" t="str">
        <v/>
      </c>
      <c r="F13394" t="str">
        <v>-</v>
      </c>
      <c r="G13394" t="str">
        <v>-</v>
      </c>
    </row>
    <row r="13395">
      <c r="A13395">
        <v>13394</v>
      </c>
      <c r="B13395" t="str">
        <v>UBND Ủy ban nhân dân xã Thạch Kim  tỉnh Hà Tĩnh</v>
      </c>
      <c r="C13395" t="str">
        <v>-</v>
      </c>
      <c r="D13395" t="str">
        <v>-</v>
      </c>
      <c r="E13395" t="str">
        <v>-</v>
      </c>
      <c r="F13395" t="str">
        <v>-</v>
      </c>
      <c r="G13395" t="str">
        <v>-</v>
      </c>
    </row>
    <row r="13396">
      <c r="A13396">
        <v>13395</v>
      </c>
      <c r="B13396" t="str">
        <v>Công an xã Thạch Châu  tỉnh Hà Tĩnh</v>
      </c>
      <c r="C13396" t="str">
        <v>-</v>
      </c>
      <c r="D13396" t="str">
        <v>-</v>
      </c>
      <c r="E13396" t="str">
        <v/>
      </c>
      <c r="F13396" t="str">
        <v>-</v>
      </c>
      <c r="G13396" t="str">
        <v>-</v>
      </c>
    </row>
    <row r="13397">
      <c r="A13397">
        <v>13396</v>
      </c>
      <c r="B13397" t="str">
        <v>UBND Ủy ban nhân dân xã Thạch Châu  tỉnh Hà Tĩnh</v>
      </c>
      <c r="C13397" t="str">
        <v>-</v>
      </c>
      <c r="D13397" t="str">
        <v>-</v>
      </c>
      <c r="E13397" t="str">
        <v>-</v>
      </c>
      <c r="F13397" t="str">
        <v>-</v>
      </c>
      <c r="G13397" t="str">
        <v>-</v>
      </c>
    </row>
    <row r="13398">
      <c r="A13398">
        <v>13397</v>
      </c>
      <c r="B13398" t="str">
        <v>Công an xã Hộ Độ  tỉnh Hà Tĩnh</v>
      </c>
      <c r="C13398" t="str">
        <v>-</v>
      </c>
      <c r="D13398" t="str">
        <v>-</v>
      </c>
      <c r="E13398" t="str">
        <v/>
      </c>
      <c r="F13398" t="str">
        <v>-</v>
      </c>
      <c r="G13398" t="str">
        <v>-</v>
      </c>
    </row>
    <row r="13399">
      <c r="A13399">
        <v>13398</v>
      </c>
      <c r="B13399" t="str">
        <v>UBND Ủy ban nhân dân xã Hộ Độ  tỉnh Hà Tĩnh</v>
      </c>
      <c r="C13399" t="str">
        <v>-</v>
      </c>
      <c r="D13399" t="str">
        <v>-</v>
      </c>
      <c r="E13399" t="str">
        <v>-</v>
      </c>
      <c r="F13399" t="str">
        <v>-</v>
      </c>
      <c r="G13399" t="str">
        <v>-</v>
      </c>
    </row>
    <row r="13400">
      <c r="A13400">
        <v>13399</v>
      </c>
      <c r="B13400" t="str">
        <v>Công an xã Mai Phụ  tỉnh Hà Tĩnh</v>
      </c>
      <c r="C13400" t="str">
        <v>-</v>
      </c>
      <c r="D13400" t="str">
        <v>-</v>
      </c>
      <c r="E13400" t="str">
        <v/>
      </c>
      <c r="F13400" t="str">
        <v>-</v>
      </c>
      <c r="G13400" t="str">
        <v>-</v>
      </c>
    </row>
    <row r="13401">
      <c r="A13401">
        <v>13400</v>
      </c>
      <c r="B13401" t="str">
        <v>UBND Ủy ban nhân dân xã Mai Phụ  tỉnh Hà Tĩnh</v>
      </c>
      <c r="C13401" t="str">
        <v>-</v>
      </c>
      <c r="D13401" t="str">
        <v>-</v>
      </c>
      <c r="E13401" t="str">
        <v>-</v>
      </c>
      <c r="F13401" t="str">
        <v>-</v>
      </c>
      <c r="G13401" t="str">
        <v>-</v>
      </c>
    </row>
    <row r="13402">
      <c r="A13402">
        <v>13401</v>
      </c>
      <c r="B13402" t="str">
        <v>Công an phường Sông Trí  tỉnh Hà Tĩnh</v>
      </c>
      <c r="C13402" t="str">
        <v>-</v>
      </c>
      <c r="D13402" t="str">
        <v>-</v>
      </c>
      <c r="E13402" t="str">
        <v/>
      </c>
      <c r="F13402" t="str">
        <v>-</v>
      </c>
      <c r="G13402" t="str">
        <v>-</v>
      </c>
    </row>
    <row r="13403">
      <c r="A13403">
        <v>13402</v>
      </c>
      <c r="B13403" t="str">
        <v>UBND Ủy ban nhân dân phường Sông Trí  tỉnh Hà Tĩnh</v>
      </c>
      <c r="C13403" t="str">
        <v>-</v>
      </c>
      <c r="D13403" t="str">
        <v>-</v>
      </c>
      <c r="E13403" t="str">
        <v>-</v>
      </c>
      <c r="F13403" t="str">
        <v>-</v>
      </c>
      <c r="G13403" t="str">
        <v>-</v>
      </c>
    </row>
    <row r="13404">
      <c r="A13404">
        <v>13403</v>
      </c>
      <c r="B13404" t="str">
        <v>Công an xã Kỳ Ninh  tỉnh Hà Tĩnh</v>
      </c>
      <c r="C13404" t="str">
        <v>-</v>
      </c>
      <c r="D13404" t="str">
        <v>-</v>
      </c>
      <c r="E13404" t="str">
        <v/>
      </c>
      <c r="F13404" t="str">
        <v>-</v>
      </c>
      <c r="G13404" t="str">
        <v>-</v>
      </c>
    </row>
    <row r="13405">
      <c r="A13405">
        <v>13404</v>
      </c>
      <c r="B13405" t="str">
        <v>UBND Ủy ban nhân dân xã Kỳ Ninh  tỉnh Hà Tĩnh</v>
      </c>
      <c r="C13405" t="str">
        <v>-</v>
      </c>
      <c r="D13405" t="str">
        <v>-</v>
      </c>
      <c r="E13405" t="str">
        <v>-</v>
      </c>
      <c r="F13405" t="str">
        <v>-</v>
      </c>
      <c r="G13405" t="str">
        <v>-</v>
      </c>
    </row>
    <row r="13406">
      <c r="A13406">
        <v>13405</v>
      </c>
      <c r="B13406" t="str">
        <v>Công an xã Kỳ Lợi  tỉnh Hà Tĩnh</v>
      </c>
      <c r="C13406" t="str">
        <v>-</v>
      </c>
      <c r="D13406" t="str">
        <v>-</v>
      </c>
      <c r="E13406" t="str">
        <v/>
      </c>
      <c r="F13406" t="str">
        <v>-</v>
      </c>
      <c r="G13406" t="str">
        <v>-</v>
      </c>
    </row>
    <row r="13407">
      <c r="A13407">
        <v>13406</v>
      </c>
      <c r="B13407" t="str">
        <v>UBND Ủy ban nhân dân xã Kỳ Lợi  tỉnh Hà Tĩnh</v>
      </c>
      <c r="C13407" t="str">
        <v>-</v>
      </c>
      <c r="D13407" t="str">
        <v>-</v>
      </c>
      <c r="E13407" t="str">
        <v>-</v>
      </c>
      <c r="F13407" t="str">
        <v>-</v>
      </c>
      <c r="G13407" t="str">
        <v>-</v>
      </c>
    </row>
    <row r="13408">
      <c r="A13408">
        <v>13407</v>
      </c>
      <c r="B13408" t="str">
        <v>Công an xã Kỳ Hà  tỉnh Hà Tĩnh</v>
      </c>
      <c r="C13408" t="str">
        <v>-</v>
      </c>
      <c r="D13408" t="str">
        <v>-</v>
      </c>
      <c r="E13408" t="str">
        <v/>
      </c>
      <c r="F13408" t="str">
        <v>-</v>
      </c>
      <c r="G13408" t="str">
        <v>-</v>
      </c>
    </row>
    <row r="13409">
      <c r="A13409">
        <v>13408</v>
      </c>
      <c r="B13409" t="str">
        <v>UBND Ủy ban nhân dân xã Kỳ Hà  tỉnh Hà Tĩnh</v>
      </c>
      <c r="C13409" t="str">
        <v>-</v>
      </c>
      <c r="D13409" t="str">
        <v>-</v>
      </c>
      <c r="E13409" t="str">
        <v>-</v>
      </c>
      <c r="F13409" t="str">
        <v>-</v>
      </c>
      <c r="G13409" t="str">
        <v>-</v>
      </c>
    </row>
    <row r="13410">
      <c r="A13410">
        <v>13409</v>
      </c>
      <c r="B13410" t="str">
        <v>Công an xã Kỳ Hưng  tỉnh Hà Tĩnh</v>
      </c>
      <c r="C13410" t="str">
        <v>-</v>
      </c>
      <c r="D13410" t="str">
        <v>-</v>
      </c>
      <c r="E13410" t="str">
        <v/>
      </c>
      <c r="F13410" t="str">
        <v>-</v>
      </c>
      <c r="G13410" t="str">
        <v>-</v>
      </c>
    </row>
    <row r="13411">
      <c r="A13411">
        <v>13410</v>
      </c>
      <c r="B13411" t="str">
        <v>UBND Ủy ban nhân dân xã Kỳ Hưng  tỉnh Hà Tĩnh</v>
      </c>
      <c r="C13411" t="str">
        <v>-</v>
      </c>
      <c r="D13411" t="str">
        <v>-</v>
      </c>
      <c r="E13411" t="str">
        <v>-</v>
      </c>
      <c r="F13411" t="str">
        <v>-</v>
      </c>
      <c r="G13411" t="str">
        <v>-</v>
      </c>
    </row>
    <row r="13412">
      <c r="A13412">
        <v>13411</v>
      </c>
      <c r="B13412" t="str">
        <v>Công an phường Kỳ Trinh  tỉnh Hà Tĩnh</v>
      </c>
      <c r="C13412" t="str">
        <v>-</v>
      </c>
      <c r="D13412" t="str">
        <v>-</v>
      </c>
      <c r="E13412" t="str">
        <v/>
      </c>
      <c r="F13412" t="str">
        <v>-</v>
      </c>
      <c r="G13412" t="str">
        <v>-</v>
      </c>
    </row>
    <row r="13413">
      <c r="A13413">
        <v>13412</v>
      </c>
      <c r="B13413" t="str">
        <v>UBND Ủy ban nhân dân phường Kỳ Trinh  tỉnh Hà Tĩnh</v>
      </c>
      <c r="C13413" t="str">
        <v>-</v>
      </c>
      <c r="D13413" t="str">
        <v>-</v>
      </c>
      <c r="E13413" t="str">
        <v>-</v>
      </c>
      <c r="F13413" t="str">
        <v>-</v>
      </c>
      <c r="G13413" t="str">
        <v>-</v>
      </c>
    </row>
    <row r="13414">
      <c r="A13414">
        <v>13413</v>
      </c>
      <c r="B13414" t="str">
        <v>Công an phường Kỳ Thịnh  tỉnh Hà Tĩnh</v>
      </c>
      <c r="C13414" t="str">
        <v>-</v>
      </c>
      <c r="D13414" t="str">
        <v>-</v>
      </c>
      <c r="E13414" t="str">
        <v/>
      </c>
      <c r="F13414" t="str">
        <v>-</v>
      </c>
      <c r="G13414" t="str">
        <v>-</v>
      </c>
    </row>
    <row r="13415">
      <c r="A13415">
        <v>13414</v>
      </c>
      <c r="B13415" t="str">
        <v>UBND Ủy ban nhân dân phường Kỳ Thịnh  tỉnh Hà Tĩnh</v>
      </c>
      <c r="C13415" t="str">
        <v>-</v>
      </c>
      <c r="D13415" t="str">
        <v>-</v>
      </c>
      <c r="E13415" t="str">
        <v>-</v>
      </c>
      <c r="F13415" t="str">
        <v>-</v>
      </c>
      <c r="G13415" t="str">
        <v>-</v>
      </c>
    </row>
    <row r="13416">
      <c r="A13416">
        <v>13415</v>
      </c>
      <c r="B13416" t="str">
        <v>Công an xã Kỳ Hoa  tỉnh Hà Tĩnh</v>
      </c>
      <c r="C13416" t="str">
        <v>-</v>
      </c>
      <c r="D13416" t="str">
        <v>-</v>
      </c>
      <c r="E13416" t="str">
        <v/>
      </c>
      <c r="F13416" t="str">
        <v>-</v>
      </c>
      <c r="G13416" t="str">
        <v>-</v>
      </c>
    </row>
    <row r="13417">
      <c r="A13417">
        <v>13416</v>
      </c>
      <c r="B13417" t="str">
        <v>UBND Ủy ban nhân dân xã Kỳ Hoa  tỉnh Hà Tĩnh</v>
      </c>
      <c r="C13417" t="str">
        <v>-</v>
      </c>
      <c r="D13417" t="str">
        <v>-</v>
      </c>
      <c r="E13417" t="str">
        <v>-</v>
      </c>
      <c r="F13417" t="str">
        <v>-</v>
      </c>
      <c r="G13417" t="str">
        <v>-</v>
      </c>
    </row>
    <row r="13418">
      <c r="A13418">
        <v>13417</v>
      </c>
      <c r="B13418" t="str">
        <v>Công an phường Kỳ Phương  tỉnh Hà Tĩnh</v>
      </c>
      <c r="C13418" t="str">
        <v>-</v>
      </c>
      <c r="D13418" t="str">
        <v>-</v>
      </c>
      <c r="E13418" t="str">
        <v/>
      </c>
      <c r="F13418" t="str">
        <v>-</v>
      </c>
      <c r="G13418" t="str">
        <v>-</v>
      </c>
    </row>
    <row r="13419">
      <c r="A13419">
        <v>13418</v>
      </c>
      <c r="B13419" t="str">
        <v>UBND Ủy ban nhân dân phường Kỳ Phương  tỉnh Hà Tĩnh</v>
      </c>
      <c r="C13419" t="str">
        <v>-</v>
      </c>
      <c r="D13419" t="str">
        <v>-</v>
      </c>
      <c r="E13419" t="str">
        <v>-</v>
      </c>
      <c r="F13419" t="str">
        <v>-</v>
      </c>
      <c r="G13419" t="str">
        <v>-</v>
      </c>
    </row>
    <row r="13420">
      <c r="A13420">
        <v>13419</v>
      </c>
      <c r="B13420" t="str">
        <v>Công an phường Kỳ Long  tỉnh Hà Tĩnh</v>
      </c>
      <c r="C13420" t="str">
        <v>-</v>
      </c>
      <c r="D13420" t="str">
        <v>-</v>
      </c>
      <c r="E13420" t="str">
        <v/>
      </c>
      <c r="F13420" t="str">
        <v>-</v>
      </c>
      <c r="G13420" t="str">
        <v>-</v>
      </c>
    </row>
    <row r="13421">
      <c r="A13421">
        <v>13420</v>
      </c>
      <c r="B13421" t="str">
        <v>UBND Ủy ban nhân dân phường Kỳ Long  tỉnh Hà Tĩnh</v>
      </c>
      <c r="C13421" t="str">
        <v>-</v>
      </c>
      <c r="D13421" t="str">
        <v>-</v>
      </c>
      <c r="E13421" t="str">
        <v>-</v>
      </c>
      <c r="F13421" t="str">
        <v>-</v>
      </c>
      <c r="G13421" t="str">
        <v>-</v>
      </c>
    </row>
    <row r="13422">
      <c r="A13422">
        <v>13421</v>
      </c>
      <c r="B13422" t="str">
        <v>Công an phường Kỳ Liên  tỉnh Hà Tĩnh</v>
      </c>
      <c r="C13422" t="str">
        <v>-</v>
      </c>
      <c r="D13422" t="str">
        <v>-</v>
      </c>
      <c r="E13422" t="str">
        <v/>
      </c>
      <c r="F13422" t="str">
        <v>-</v>
      </c>
      <c r="G13422" t="str">
        <v>-</v>
      </c>
    </row>
    <row r="13423">
      <c r="A13423">
        <v>13422</v>
      </c>
      <c r="B13423" t="str">
        <v>UBND Ủy ban nhân dân phường Kỳ Liên  tỉnh Hà Tĩnh</v>
      </c>
      <c r="C13423" t="str">
        <v>-</v>
      </c>
      <c r="D13423" t="str">
        <v>-</v>
      </c>
      <c r="E13423" t="str">
        <v>-</v>
      </c>
      <c r="F13423" t="str">
        <v>-</v>
      </c>
      <c r="G13423" t="str">
        <v>-</v>
      </c>
    </row>
    <row r="13424">
      <c r="A13424">
        <v>13423</v>
      </c>
      <c r="B13424" t="str">
        <v>Công an xã Kỳ Nam  tỉnh Hà Tĩnh</v>
      </c>
      <c r="C13424" t="str">
        <v>-</v>
      </c>
      <c r="D13424" t="str">
        <v>-</v>
      </c>
      <c r="E13424" t="str">
        <v/>
      </c>
      <c r="F13424" t="str">
        <v>-</v>
      </c>
      <c r="G13424" t="str">
        <v>-</v>
      </c>
    </row>
    <row r="13425">
      <c r="A13425">
        <v>13424</v>
      </c>
      <c r="B13425" t="str">
        <v>UBND Ủy ban nhân dân xã Kỳ Nam  tỉnh Hà Tĩnh</v>
      </c>
      <c r="C13425" t="str">
        <v>-</v>
      </c>
      <c r="D13425" t="str">
        <v>-</v>
      </c>
      <c r="E13425" t="str">
        <v>-</v>
      </c>
      <c r="F13425" t="str">
        <v>-</v>
      </c>
      <c r="G13425" t="str">
        <v>-</v>
      </c>
    </row>
    <row r="13426">
      <c r="A13426">
        <v>13425</v>
      </c>
      <c r="B13426" t="str">
        <v>Công An thị xã Sơn Tây  thành phố Hà Nội</v>
      </c>
    </row>
    <row r="13427">
      <c r="A13427">
        <v>13426</v>
      </c>
      <c r="B13427" t="str">
        <v>UBND Ủy ban nhân dân thị xã Sơn Tây  thành phố Hà Nội</v>
      </c>
      <c r="C13427" t="str">
        <v>-</v>
      </c>
      <c r="D13427" t="str">
        <v>-</v>
      </c>
      <c r="E13427" t="str">
        <v>-</v>
      </c>
      <c r="F13427" t="str">
        <v>-</v>
      </c>
      <c r="G13427" t="str">
        <v>-</v>
      </c>
    </row>
    <row r="13428">
      <c r="A13428">
        <v>13427</v>
      </c>
      <c r="B13428" t="str">
        <v>Công An thị xã Mường Lay  tỉnh Điện Biên</v>
      </c>
    </row>
    <row r="13429">
      <c r="A13429">
        <v>13428</v>
      </c>
      <c r="B13429" t="str">
        <v>UBND Ủy ban nhân dân thị xã Mường Lay  tỉnh Điện Biên</v>
      </c>
      <c r="C13429" t="str">
        <v>-</v>
      </c>
      <c r="D13429" t="str">
        <v>-</v>
      </c>
      <c r="E13429" t="str">
        <v>-</v>
      </c>
      <c r="F13429" t="str">
        <v>-</v>
      </c>
      <c r="G13429" t="str">
        <v>-</v>
      </c>
    </row>
    <row r="13430">
      <c r="A13430">
        <v>13429</v>
      </c>
      <c r="B13430" t="str">
        <v>Công An thị xã Nghĩa Lộ  tỉnh Yên Bái</v>
      </c>
    </row>
    <row r="13431">
      <c r="A13431">
        <v>13430</v>
      </c>
      <c r="B13431" t="str">
        <v>UBND Ủy ban nhân dân thị xã Nghĩa Lộ  tỉnh Yên Bái</v>
      </c>
      <c r="C13431" t="str">
        <v>-</v>
      </c>
      <c r="D13431" t="str">
        <v>-</v>
      </c>
      <c r="E13431" t="str">
        <v>-</v>
      </c>
      <c r="F13431" t="str">
        <v>-</v>
      </c>
      <c r="G13431" t="str">
        <v>-</v>
      </c>
    </row>
    <row r="13432">
      <c r="A13432">
        <v>13431</v>
      </c>
      <c r="B13432" t="str">
        <v>Công An thị xã Phổ Yên  tỉnh Thái Nguyên</v>
      </c>
    </row>
    <row r="13433">
      <c r="A13433">
        <v>13432</v>
      </c>
      <c r="B13433" t="str">
        <v>UBND Ủy ban nhân dân thị xã Phổ Yên  tỉnh Thái Nguyên</v>
      </c>
      <c r="C13433" t="str">
        <v>-</v>
      </c>
      <c r="D13433" t="str">
        <v>-</v>
      </c>
      <c r="E13433" t="str">
        <v>-</v>
      </c>
      <c r="F13433" t="str">
        <v>-</v>
      </c>
      <c r="G13433" t="str">
        <v>-</v>
      </c>
    </row>
    <row r="13434">
      <c r="A13434">
        <v>13433</v>
      </c>
      <c r="B13434" t="str">
        <v>Công An thị xã Đông Triều  tỉnh Quảng Ninh</v>
      </c>
    </row>
    <row r="13435">
      <c r="A13435">
        <v>13434</v>
      </c>
      <c r="B13435" t="str">
        <v>UBND Ủy ban nhân dân thị xã Đông Triều  tỉnh Quảng Ninh</v>
      </c>
      <c r="C13435" t="str">
        <v>-</v>
      </c>
      <c r="D13435" t="str">
        <v>-</v>
      </c>
      <c r="E13435" t="str">
        <v>-</v>
      </c>
      <c r="F13435" t="str">
        <v>-</v>
      </c>
      <c r="G13435" t="str">
        <v>-</v>
      </c>
    </row>
    <row r="13436">
      <c r="A13436">
        <v>13435</v>
      </c>
      <c r="B13436" t="str">
        <v>Công An thị xã Quảng Yên  tỉnh Quảng Ninh</v>
      </c>
    </row>
    <row r="13437">
      <c r="A13437">
        <v>13436</v>
      </c>
      <c r="B13437" t="str">
        <v>UBND Ủy ban nhân dân thị xã Quảng Yên  tỉnh Quảng Ninh</v>
      </c>
      <c r="C13437" t="str">
        <v>-</v>
      </c>
      <c r="D13437" t="str">
        <v>-</v>
      </c>
      <c r="E13437" t="str">
        <v>-</v>
      </c>
      <c r="F13437" t="str">
        <v>-</v>
      </c>
      <c r="G13437" t="str">
        <v>-</v>
      </c>
    </row>
    <row r="13438">
      <c r="A13438">
        <v>13437</v>
      </c>
      <c r="B13438" t="str">
        <v>Công An thị xã Phú Thọ  tỉnh Phú Thọ</v>
      </c>
    </row>
    <row r="13439">
      <c r="A13439">
        <v>13438</v>
      </c>
      <c r="B13439" t="str">
        <v>UBND Ủy ban nhân dân thị xã Phú Thọ  tỉnh Phú Thọ</v>
      </c>
      <c r="C13439" t="str">
        <v>-</v>
      </c>
      <c r="D13439" t="str">
        <v>-</v>
      </c>
      <c r="E13439" t="str">
        <v>-</v>
      </c>
      <c r="F13439" t="str">
        <v>-</v>
      </c>
      <c r="G13439" t="str">
        <v>-</v>
      </c>
    </row>
    <row r="13440">
      <c r="A13440">
        <v>13439</v>
      </c>
      <c r="B13440" t="str">
        <v>Công An thị xã Phúc Yên  tỉnh Vĩnh Phúc</v>
      </c>
    </row>
    <row r="13441">
      <c r="A13441">
        <v>13440</v>
      </c>
      <c r="B13441" t="str">
        <v>UBND Ủy ban nhân dân thị xã Phúc Yên  tỉnh Vĩnh Phúc</v>
      </c>
      <c r="C13441" t="str">
        <v>-</v>
      </c>
      <c r="D13441" t="str">
        <v>-</v>
      </c>
      <c r="E13441" t="str">
        <v>-</v>
      </c>
      <c r="F13441" t="str">
        <v>-</v>
      </c>
      <c r="G13441" t="str">
        <v>-</v>
      </c>
    </row>
    <row r="13442">
      <c r="A13442">
        <v>13441</v>
      </c>
      <c r="B13442" t="str">
        <v>Công An thị xã Từ Sơn  tỉnh Bắc Ninh</v>
      </c>
    </row>
    <row r="13443">
      <c r="A13443">
        <v>13442</v>
      </c>
      <c r="B13443" t="str">
        <v>UBND Ủy ban nhân dân thị xã Từ Sơn  tỉnh Bắc Ninh</v>
      </c>
      <c r="C13443" t="str">
        <v>-</v>
      </c>
      <c r="D13443" t="str">
        <v>-</v>
      </c>
      <c r="E13443" t="str">
        <v>-</v>
      </c>
      <c r="F13443" t="str">
        <v>-</v>
      </c>
      <c r="G13443" t="str">
        <v>-</v>
      </c>
    </row>
    <row r="13444">
      <c r="A13444">
        <v>13443</v>
      </c>
      <c r="B13444" t="str">
        <v>Công An thị xã Chí Linh  tỉnh Hải Dương</v>
      </c>
    </row>
    <row r="13445">
      <c r="A13445">
        <v>13444</v>
      </c>
      <c r="B13445" t="str">
        <v>UBND Ủy ban nhân dân thị xã Chí Linh  tỉnh Hải Dương</v>
      </c>
      <c r="C13445" t="str">
        <v>-</v>
      </c>
      <c r="D13445" t="str">
        <v>-</v>
      </c>
      <c r="E13445" t="str">
        <v>-</v>
      </c>
      <c r="F13445" t="str">
        <v>-</v>
      </c>
      <c r="G13445" t="str">
        <v>-</v>
      </c>
    </row>
    <row r="13446">
      <c r="A13446">
        <v>13445</v>
      </c>
      <c r="B13446" t="str">
        <v>Công An thị xã Bỉm Sơn  tỉnh Thanh Hóa</v>
      </c>
    </row>
    <row r="13447">
      <c r="A13447">
        <v>13446</v>
      </c>
      <c r="B13447" t="str">
        <v>UBND Ủy ban nhân dân thị xã Bỉm Sơn  tỉnh Thanh Hóa</v>
      </c>
      <c r="C13447" t="str">
        <v>-</v>
      </c>
      <c r="D13447" t="str">
        <v>-</v>
      </c>
      <c r="E13447" t="str">
        <v>-</v>
      </c>
      <c r="F13447" t="str">
        <v>-</v>
      </c>
      <c r="G13447" t="str">
        <v>-</v>
      </c>
    </row>
    <row r="13448">
      <c r="A13448">
        <v>13447</v>
      </c>
      <c r="B13448" t="str">
        <v>Công An thị xã Cửa Lò  tỉnh Nghệ An</v>
      </c>
    </row>
    <row r="13449">
      <c r="A13449">
        <v>13448</v>
      </c>
      <c r="B13449" t="str">
        <v>UBND Ủy ban nhân dân thị xã Cửa Lò  tỉnh Nghệ An</v>
      </c>
      <c r="C13449" t="str">
        <v>-</v>
      </c>
      <c r="D13449" t="str">
        <v>-</v>
      </c>
      <c r="E13449" t="str">
        <v>-</v>
      </c>
      <c r="F13449" t="str">
        <v>-</v>
      </c>
      <c r="G13449" t="str">
        <v>-</v>
      </c>
    </row>
    <row r="13450">
      <c r="A13450">
        <v>13449</v>
      </c>
      <c r="B13450" t="str">
        <v>Công An thị xã Thái Hoà  tỉnh Nghệ An</v>
      </c>
    </row>
    <row r="13451">
      <c r="A13451">
        <v>13450</v>
      </c>
      <c r="B13451" t="str">
        <v>UBND Ủy ban nhân dân thị xã Thái Hoà  tỉnh Nghệ An</v>
      </c>
      <c r="C13451" t="str">
        <v>-</v>
      </c>
      <c r="D13451" t="str">
        <v>-</v>
      </c>
      <c r="E13451" t="str">
        <v>-</v>
      </c>
      <c r="F13451" t="str">
        <v>-</v>
      </c>
      <c r="G13451" t="str">
        <v>-</v>
      </c>
    </row>
    <row r="13452">
      <c r="A13452">
        <v>13451</v>
      </c>
      <c r="B13452" t="str">
        <v>Công An thị xã Hoàng Mai  tỉnh Nghệ An</v>
      </c>
    </row>
    <row r="13453">
      <c r="A13453">
        <v>13452</v>
      </c>
      <c r="B13453" t="str">
        <v>UBND Ủy ban nhân dân thị xã Hoàng Mai  tỉnh Nghệ An</v>
      </c>
      <c r="C13453" t="str">
        <v>-</v>
      </c>
      <c r="D13453" t="str">
        <v>-</v>
      </c>
      <c r="E13453" t="str">
        <v>-</v>
      </c>
      <c r="F13453" t="str">
        <v>-</v>
      </c>
      <c r="G13453" t="str">
        <v>-</v>
      </c>
    </row>
    <row r="13454">
      <c r="A13454">
        <v>13453</v>
      </c>
      <c r="B13454" t="str">
        <v>Công An thị xã Hồng Lĩnh  tỉnh Hà Tĩnh</v>
      </c>
    </row>
    <row r="13455">
      <c r="A13455">
        <v>13454</v>
      </c>
      <c r="B13455" t="str">
        <v>UBND Ủy ban nhân dân thị xã Hồng Lĩnh  tỉnh Hà Tĩnh</v>
      </c>
      <c r="C13455" t="str">
        <v>-</v>
      </c>
      <c r="D13455" t="str">
        <v>-</v>
      </c>
      <c r="E13455" t="str">
        <v>-</v>
      </c>
      <c r="F13455" t="str">
        <v>-</v>
      </c>
      <c r="G13455" t="str">
        <v>-</v>
      </c>
    </row>
    <row r="13456">
      <c r="A13456">
        <v>13455</v>
      </c>
      <c r="B13456" t="str">
        <v>Công An thị xã Kỳ Anh  tỉnh Hà Tĩnh</v>
      </c>
    </row>
    <row r="13457">
      <c r="A13457">
        <v>13456</v>
      </c>
      <c r="B13457" t="str">
        <v>UBND Ủy ban nhân dân thị xã Kỳ Anh  tỉnh Hà Tĩnh</v>
      </c>
      <c r="C13457" t="str">
        <v>-</v>
      </c>
      <c r="D13457" t="str">
        <v>-</v>
      </c>
      <c r="E13457" t="str">
        <v>-</v>
      </c>
      <c r="F13457" t="str">
        <v>-</v>
      </c>
      <c r="G13457" t="str">
        <v>-</v>
      </c>
    </row>
    <row r="13458">
      <c r="A13458">
        <v>13457</v>
      </c>
      <c r="B13458" t="str">
        <v>Công an thị trấn Sóc Sơn  thành phố Hà Nội</v>
      </c>
      <c r="C13458" t="str">
        <v>-</v>
      </c>
      <c r="D13458" t="str">
        <v>-</v>
      </c>
      <c r="E13458" t="str">
        <v/>
      </c>
      <c r="F13458" t="str">
        <v>-</v>
      </c>
      <c r="G13458" t="str">
        <v>-</v>
      </c>
    </row>
    <row r="13459">
      <c r="A13459">
        <v>13458</v>
      </c>
      <c r="B13459" t="str">
        <v>UBND Ủy ban nhân dân thị trấn Sóc Sơn  thành phố Hà Nội</v>
      </c>
      <c r="C13459" t="str">
        <v>-</v>
      </c>
      <c r="D13459" t="str">
        <v>-</v>
      </c>
      <c r="E13459" t="str">
        <v>-</v>
      </c>
      <c r="F13459" t="str">
        <v>-</v>
      </c>
      <c r="G13459" t="str">
        <v>-</v>
      </c>
    </row>
    <row r="13460">
      <c r="A13460">
        <v>13459</v>
      </c>
      <c r="B13460" t="str">
        <v>Công an thị trấn Đông Anh  thành phố Hà Nội</v>
      </c>
      <c r="C13460" t="str">
        <v>-</v>
      </c>
      <c r="D13460" t="str">
        <v>-</v>
      </c>
      <c r="E13460" t="str">
        <v/>
      </c>
      <c r="F13460" t="str">
        <v>-</v>
      </c>
      <c r="G13460" t="str">
        <v>-</v>
      </c>
    </row>
    <row r="13461">
      <c r="A13461">
        <v>13460</v>
      </c>
      <c r="B13461" t="str">
        <v>UBND Ủy ban nhân dân thị trấn Đông Anh  thành phố Hà Nội</v>
      </c>
      <c r="C13461" t="str">
        <v>-</v>
      </c>
      <c r="D13461" t="str">
        <v>-</v>
      </c>
      <c r="E13461" t="str">
        <v>-</v>
      </c>
      <c r="F13461" t="str">
        <v>-</v>
      </c>
      <c r="G13461" t="str">
        <v>-</v>
      </c>
    </row>
    <row r="13462">
      <c r="A13462">
        <v>13461</v>
      </c>
      <c r="B13462" t="str">
        <v>Công an thị trấn Yên Viên  thành phố Hà Nội</v>
      </c>
      <c r="C13462" t="str">
        <v>-</v>
      </c>
      <c r="D13462" t="str">
        <v>-</v>
      </c>
      <c r="E13462" t="str">
        <v/>
      </c>
      <c r="F13462" t="str">
        <v>-</v>
      </c>
      <c r="G13462" t="str">
        <v>-</v>
      </c>
    </row>
    <row r="13463">
      <c r="A13463">
        <v>13462</v>
      </c>
      <c r="B13463" t="str">
        <v>UBND Ủy ban nhân dân thị trấn Yên Viên  thành phố Hà Nội</v>
      </c>
      <c r="C13463" t="str">
        <v>-</v>
      </c>
      <c r="D13463" t="str">
        <v>-</v>
      </c>
      <c r="E13463" t="str">
        <v>-</v>
      </c>
      <c r="F13463" t="str">
        <v>-</v>
      </c>
      <c r="G13463" t="str">
        <v>-</v>
      </c>
    </row>
    <row r="13464">
      <c r="A13464">
        <v>13463</v>
      </c>
      <c r="B13464" t="str">
        <v>Công an thị trấn Trâu Quỳ  thành phố Hà Nội</v>
      </c>
      <c r="C13464" t="str">
        <v>-</v>
      </c>
      <c r="D13464" t="str">
        <v>-</v>
      </c>
      <c r="E13464" t="str">
        <v/>
      </c>
      <c r="F13464" t="str">
        <v>-</v>
      </c>
      <c r="G13464" t="str">
        <v>-</v>
      </c>
    </row>
    <row r="13465">
      <c r="A13465">
        <v>13464</v>
      </c>
      <c r="B13465" t="str">
        <v>UBND Ủy ban nhân dân thị trấn Trâu Quỳ  thành phố Hà Nội</v>
      </c>
      <c r="C13465" t="str">
        <v>-</v>
      </c>
      <c r="D13465" t="str">
        <v>-</v>
      </c>
      <c r="E13465" t="str">
        <v>-</v>
      </c>
      <c r="F13465" t="str">
        <v>-</v>
      </c>
      <c r="G13465" t="str">
        <v>-</v>
      </c>
    </row>
    <row r="13466">
      <c r="A13466">
        <v>13465</v>
      </c>
      <c r="B13466" t="str">
        <v>Công an thị trấn Văn Điển  thành phố Hà Nội</v>
      </c>
      <c r="C13466" t="str">
        <v>-</v>
      </c>
      <c r="D13466" t="str">
        <v>-</v>
      </c>
      <c r="E13466" t="str">
        <v/>
      </c>
      <c r="F13466" t="str">
        <v>-</v>
      </c>
      <c r="G13466" t="str">
        <v>-</v>
      </c>
    </row>
    <row r="13467">
      <c r="A13467">
        <v>13466</v>
      </c>
      <c r="B13467" t="str">
        <v>UBND Ủy ban nhân dân thị trấn Văn Điển  thành phố Hà Nội</v>
      </c>
      <c r="C13467" t="str">
        <v>-</v>
      </c>
      <c r="D13467" t="str">
        <v>-</v>
      </c>
      <c r="E13467" t="str">
        <v>-</v>
      </c>
      <c r="F13467" t="str">
        <v>-</v>
      </c>
      <c r="G13467" t="str">
        <v>-</v>
      </c>
    </row>
    <row r="13468">
      <c r="A13468">
        <v>13467</v>
      </c>
      <c r="B13468" t="str">
        <v>Công an thị trấn Chi Đông  thành phố Hà Nội</v>
      </c>
      <c r="C13468" t="str">
        <v>-</v>
      </c>
      <c r="D13468" t="str">
        <v>-</v>
      </c>
      <c r="E13468" t="str">
        <v/>
      </c>
      <c r="F13468" t="str">
        <v>-</v>
      </c>
      <c r="G13468" t="str">
        <v>-</v>
      </c>
    </row>
    <row r="13469">
      <c r="A13469">
        <v>13468</v>
      </c>
      <c r="B13469" t="str">
        <v>UBND Ủy ban nhân dân thị trấn Chi Đông  thành phố Hà Nội</v>
      </c>
      <c r="C13469" t="str">
        <v>-</v>
      </c>
      <c r="D13469" t="str">
        <v>-</v>
      </c>
      <c r="E13469" t="str">
        <v>-</v>
      </c>
      <c r="F13469" t="str">
        <v>-</v>
      </c>
      <c r="G13469" t="str">
        <v>-</v>
      </c>
    </row>
    <row r="13470">
      <c r="A13470">
        <v>13469</v>
      </c>
      <c r="B13470" t="str">
        <v>Công an thị trấn Quang Minh  thành phố Hà Nội</v>
      </c>
      <c r="C13470" t="str">
        <v>-</v>
      </c>
      <c r="D13470" t="str">
        <v>-</v>
      </c>
      <c r="E13470" t="str">
        <v/>
      </c>
      <c r="F13470" t="str">
        <v>-</v>
      </c>
      <c r="G13470" t="str">
        <v>-</v>
      </c>
    </row>
    <row r="13471">
      <c r="A13471">
        <v>13470</v>
      </c>
      <c r="B13471" t="str">
        <v>UBND Ủy ban nhân dân thị trấn Quang Minh  thành phố Hà Nội</v>
      </c>
      <c r="C13471" t="str">
        <v>-</v>
      </c>
      <c r="D13471" t="str">
        <v>-</v>
      </c>
      <c r="E13471" t="str">
        <v>-</v>
      </c>
      <c r="F13471" t="str">
        <v>-</v>
      </c>
      <c r="G13471" t="str">
        <v>-</v>
      </c>
    </row>
    <row r="13472">
      <c r="A13472">
        <v>13471</v>
      </c>
      <c r="B13472" t="str">
        <v>Công an thị trấn Tây Đằng  thành phố Hà Nội</v>
      </c>
      <c r="C13472" t="str">
        <v>-</v>
      </c>
      <c r="D13472" t="str">
        <v>-</v>
      </c>
      <c r="E13472" t="str">
        <v/>
      </c>
      <c r="F13472" t="str">
        <v>-</v>
      </c>
      <c r="G13472" t="str">
        <v>-</v>
      </c>
    </row>
    <row r="13473">
      <c r="A13473">
        <v>13472</v>
      </c>
      <c r="B13473" t="str">
        <v>UBND Ủy ban nhân dân thị trấn Tây Đằng  thành phố Hà Nội</v>
      </c>
      <c r="C13473" t="str">
        <v>-</v>
      </c>
      <c r="D13473" t="str">
        <v>-</v>
      </c>
      <c r="E13473" t="str">
        <v>-</v>
      </c>
      <c r="F13473" t="str">
        <v>-</v>
      </c>
      <c r="G13473" t="str">
        <v>-</v>
      </c>
    </row>
    <row r="13474">
      <c r="A13474">
        <v>13473</v>
      </c>
      <c r="B13474" t="str">
        <v>Công an thị trấn Phúc Thọ  thành phố Hà Nội</v>
      </c>
      <c r="C13474" t="str">
        <v>-</v>
      </c>
      <c r="D13474" t="str">
        <v>-</v>
      </c>
      <c r="E13474" t="str">
        <v/>
      </c>
      <c r="F13474" t="str">
        <v>-</v>
      </c>
      <c r="G13474" t="str">
        <v>-</v>
      </c>
    </row>
    <row r="13475">
      <c r="A13475">
        <v>13474</v>
      </c>
      <c r="B13475" t="str">
        <v>UBND Ủy ban nhân dân thị trấn Phúc Thọ  thành phố Hà Nội</v>
      </c>
      <c r="C13475" t="str">
        <v>-</v>
      </c>
      <c r="D13475" t="str">
        <v>-</v>
      </c>
      <c r="E13475" t="str">
        <v>-</v>
      </c>
      <c r="F13475" t="str">
        <v>-</v>
      </c>
      <c r="G13475" t="str">
        <v>-</v>
      </c>
    </row>
    <row r="13476">
      <c r="A13476">
        <v>13475</v>
      </c>
      <c r="B13476" t="str">
        <v>Công an thị trấn Phùng  thành phố Hà Nội</v>
      </c>
      <c r="C13476" t="str">
        <v>-</v>
      </c>
      <c r="D13476" t="str">
        <v>-</v>
      </c>
      <c r="E13476" t="str">
        <v/>
      </c>
      <c r="F13476" t="str">
        <v>-</v>
      </c>
      <c r="G13476" t="str">
        <v>-</v>
      </c>
    </row>
    <row r="13477">
      <c r="A13477">
        <v>13476</v>
      </c>
      <c r="B13477" t="str">
        <v>UBND Ủy ban nhân dân thị trấn Phùng  thành phố Hà Nội</v>
      </c>
      <c r="C13477" t="str">
        <v>-</v>
      </c>
      <c r="D13477" t="str">
        <v>-</v>
      </c>
      <c r="E13477" t="str">
        <v>-</v>
      </c>
      <c r="F13477" t="str">
        <v>-</v>
      </c>
      <c r="G13477" t="str">
        <v>-</v>
      </c>
    </row>
    <row r="13478">
      <c r="A13478">
        <v>13477</v>
      </c>
      <c r="B13478" t="str">
        <v>Công an thị trấn Trạm Trôi  thành phố Hà Nội</v>
      </c>
      <c r="C13478" t="str">
        <v>-</v>
      </c>
      <c r="D13478" t="str">
        <v>-</v>
      </c>
      <c r="E13478" t="str">
        <v/>
      </c>
      <c r="F13478" t="str">
        <v>-</v>
      </c>
      <c r="G13478" t="str">
        <v>-</v>
      </c>
    </row>
    <row r="13479">
      <c r="A13479">
        <v>13478</v>
      </c>
      <c r="B13479" t="str">
        <v>UBND Ủy ban nhân dân thị trấn Trạm Trôi  thành phố Hà Nội</v>
      </c>
      <c r="C13479" t="str">
        <v>-</v>
      </c>
      <c r="D13479" t="str">
        <v>-</v>
      </c>
      <c r="E13479" t="str">
        <v>-</v>
      </c>
      <c r="F13479" t="str">
        <v>-</v>
      </c>
      <c r="G13479" t="str">
        <v>-</v>
      </c>
    </row>
    <row r="13480">
      <c r="A13480">
        <v>13479</v>
      </c>
      <c r="B13480" t="str">
        <v>Công an thị trấn Quốc Oai  thành phố Hà Nội</v>
      </c>
      <c r="C13480" t="str">
        <v>-</v>
      </c>
      <c r="D13480" t="str">
        <v>-</v>
      </c>
      <c r="E13480" t="str">
        <v/>
      </c>
      <c r="F13480" t="str">
        <v>-</v>
      </c>
      <c r="G13480" t="str">
        <v>-</v>
      </c>
    </row>
    <row r="13481">
      <c r="A13481">
        <v>13480</v>
      </c>
      <c r="B13481" t="str">
        <v>UBND Ủy ban nhân dân thị trấn Quốc Oai  thành phố Hà Nội</v>
      </c>
      <c r="C13481" t="str">
        <v>-</v>
      </c>
      <c r="D13481" t="str">
        <v>-</v>
      </c>
      <c r="E13481" t="str">
        <v>-</v>
      </c>
      <c r="F13481" t="str">
        <v>-</v>
      </c>
      <c r="G13481" t="str">
        <v>-</v>
      </c>
    </row>
    <row r="13482">
      <c r="A13482">
        <v>13481</v>
      </c>
      <c r="B13482" t="str">
        <v>Công an thị trấn Liên Quan  thành phố Hà Nội</v>
      </c>
      <c r="C13482" t="str">
        <v>-</v>
      </c>
      <c r="D13482" t="str">
        <v>-</v>
      </c>
      <c r="E13482" t="str">
        <v/>
      </c>
      <c r="F13482" t="str">
        <v>-</v>
      </c>
      <c r="G13482" t="str">
        <v>-</v>
      </c>
    </row>
    <row r="13483">
      <c r="A13483">
        <v>13482</v>
      </c>
      <c r="B13483" t="str">
        <v>UBND Ủy ban nhân dân thị trấn Liên Quan  thành phố Hà Nội</v>
      </c>
      <c r="C13483" t="str">
        <v>-</v>
      </c>
      <c r="D13483" t="str">
        <v>-</v>
      </c>
      <c r="E13483" t="str">
        <v>-</v>
      </c>
      <c r="F13483" t="str">
        <v>-</v>
      </c>
      <c r="G13483" t="str">
        <v>-</v>
      </c>
    </row>
    <row r="13484">
      <c r="A13484">
        <v>13483</v>
      </c>
      <c r="B13484" t="str">
        <v>Công an thị trấn Chúc Sơn  thành phố Hà Nội</v>
      </c>
      <c r="C13484" t="str">
        <v>-</v>
      </c>
      <c r="D13484" t="str">
        <v>-</v>
      </c>
      <c r="E13484" t="str">
        <v/>
      </c>
      <c r="F13484" t="str">
        <v>-</v>
      </c>
      <c r="G13484" t="str">
        <v>-</v>
      </c>
    </row>
    <row r="13485">
      <c r="A13485">
        <v>13484</v>
      </c>
      <c r="B13485" t="str">
        <v>UBND Ủy ban nhân dân thị trấn Chúc Sơn  thành phố Hà Nội</v>
      </c>
      <c r="C13485" t="str">
        <v>-</v>
      </c>
      <c r="D13485" t="str">
        <v>-</v>
      </c>
      <c r="E13485" t="str">
        <v>-</v>
      </c>
      <c r="F13485" t="str">
        <v>-</v>
      </c>
      <c r="G13485" t="str">
        <v>-</v>
      </c>
    </row>
    <row r="13486">
      <c r="A13486">
        <v>13485</v>
      </c>
      <c r="B13486" t="str">
        <v>Công an thị trấn Xuân Mai  thành phố Hà Nội</v>
      </c>
      <c r="C13486" t="str">
        <v>-</v>
      </c>
      <c r="D13486" t="str">
        <v>-</v>
      </c>
      <c r="E13486" t="str">
        <v/>
      </c>
      <c r="F13486" t="str">
        <v>-</v>
      </c>
      <c r="G13486" t="str">
        <v>-</v>
      </c>
    </row>
    <row r="13487">
      <c r="A13487">
        <v>13486</v>
      </c>
      <c r="B13487" t="str">
        <v>UBND Ủy ban nhân dân thị trấn Xuân Mai  thành phố Hà Nội</v>
      </c>
      <c r="C13487" t="str">
        <v>-</v>
      </c>
      <c r="D13487" t="str">
        <v>-</v>
      </c>
      <c r="E13487" t="str">
        <v>-</v>
      </c>
      <c r="F13487" t="str">
        <v>-</v>
      </c>
      <c r="G13487" t="str">
        <v>-</v>
      </c>
    </row>
    <row r="13488">
      <c r="A13488">
        <v>13487</v>
      </c>
      <c r="B13488" t="str">
        <v>Công an thị trấn Kim Bài  thành phố Hà Nội</v>
      </c>
      <c r="C13488" t="str">
        <v>-</v>
      </c>
      <c r="D13488" t="str">
        <v>-</v>
      </c>
      <c r="E13488" t="str">
        <v/>
      </c>
      <c r="F13488" t="str">
        <v>-</v>
      </c>
      <c r="G13488" t="str">
        <v>-</v>
      </c>
    </row>
    <row r="13489">
      <c r="A13489">
        <v>13488</v>
      </c>
      <c r="B13489" t="str">
        <v>UBND Ủy ban nhân dân thị trấn Kim Bài  thành phố Hà Nội</v>
      </c>
      <c r="C13489" t="str">
        <v>-</v>
      </c>
      <c r="D13489" t="str">
        <v>-</v>
      </c>
      <c r="E13489" t="str">
        <v>-</v>
      </c>
      <c r="F13489" t="str">
        <v>-</v>
      </c>
      <c r="G13489" t="str">
        <v>-</v>
      </c>
    </row>
    <row r="13490">
      <c r="A13490">
        <v>13489</v>
      </c>
      <c r="B13490" t="str">
        <v>Công an thị trấn Thường Tín  thành phố Hà Nội</v>
      </c>
      <c r="C13490" t="str">
        <v>-</v>
      </c>
      <c r="D13490" t="str">
        <v>-</v>
      </c>
      <c r="E13490" t="str">
        <v/>
      </c>
      <c r="F13490" t="str">
        <v>-</v>
      </c>
      <c r="G13490" t="str">
        <v>-</v>
      </c>
    </row>
    <row r="13491">
      <c r="A13491">
        <v>13490</v>
      </c>
      <c r="B13491" t="str">
        <v>UBND Ủy ban nhân dân thị trấn Thường Tín  thành phố Hà Nội</v>
      </c>
      <c r="C13491" t="str">
        <v>-</v>
      </c>
      <c r="D13491" t="str">
        <v>-</v>
      </c>
      <c r="E13491" t="str">
        <v>-</v>
      </c>
      <c r="F13491" t="str">
        <v>-</v>
      </c>
      <c r="G13491" t="str">
        <v>-</v>
      </c>
    </row>
    <row r="13492">
      <c r="A13492">
        <v>13491</v>
      </c>
      <c r="B13492" t="str">
        <v>Công an thị trấn Phú Minh  thành phố Hà Nội</v>
      </c>
      <c r="C13492" t="str">
        <v>-</v>
      </c>
      <c r="D13492" t="str">
        <v>-</v>
      </c>
      <c r="E13492" t="str">
        <v/>
      </c>
      <c r="F13492" t="str">
        <v>-</v>
      </c>
      <c r="G13492" t="str">
        <v>-</v>
      </c>
    </row>
    <row r="13493">
      <c r="A13493">
        <v>13492</v>
      </c>
      <c r="B13493" t="str">
        <v>UBND Ủy ban nhân dân thị trấn Phú Minh  thành phố Hà Nội</v>
      </c>
      <c r="C13493" t="str">
        <v>-</v>
      </c>
      <c r="D13493" t="str">
        <v>-</v>
      </c>
      <c r="E13493" t="str">
        <v>-</v>
      </c>
      <c r="F13493" t="str">
        <v>-</v>
      </c>
      <c r="G13493" t="str">
        <v>-</v>
      </c>
    </row>
    <row r="13494">
      <c r="A13494">
        <v>13493</v>
      </c>
      <c r="B13494" t="str">
        <v>Công an thị trấn Phú Xuyên  thành phố Hà Nội</v>
      </c>
      <c r="C13494" t="str">
        <v>-</v>
      </c>
      <c r="D13494" t="str">
        <v>-</v>
      </c>
      <c r="E13494" t="str">
        <v/>
      </c>
      <c r="F13494" t="str">
        <v>-</v>
      </c>
      <c r="G13494" t="str">
        <v>-</v>
      </c>
    </row>
    <row r="13495">
      <c r="A13495">
        <v>13494</v>
      </c>
      <c r="B13495" t="str">
        <v>UBND Ủy ban nhân dân thị trấn Phú Xuyên  thành phố Hà Nội</v>
      </c>
      <c r="C13495" t="str">
        <v>-</v>
      </c>
      <c r="D13495" t="str">
        <v>-</v>
      </c>
      <c r="E13495" t="str">
        <v>-</v>
      </c>
      <c r="F13495" t="str">
        <v>-</v>
      </c>
      <c r="G13495" t="str">
        <v>-</v>
      </c>
    </row>
    <row r="13496">
      <c r="A13496">
        <v>13495</v>
      </c>
      <c r="B13496" t="str">
        <v>Công an thị trấn Vân Đình  thành phố Hà Nội</v>
      </c>
      <c r="C13496" t="str">
        <v>-</v>
      </c>
      <c r="D13496" t="str">
        <v>-</v>
      </c>
      <c r="E13496" t="str">
        <v/>
      </c>
      <c r="F13496" t="str">
        <v>-</v>
      </c>
      <c r="G13496" t="str">
        <v>-</v>
      </c>
    </row>
    <row r="13497">
      <c r="A13497">
        <v>13496</v>
      </c>
      <c r="B13497" t="str">
        <v>UBND Ủy ban nhân dân thị trấn Vân Đình  thành phố Hà Nội</v>
      </c>
      <c r="C13497" t="str">
        <v>-</v>
      </c>
      <c r="D13497" t="str">
        <v>-</v>
      </c>
      <c r="E13497" t="str">
        <v>-</v>
      </c>
      <c r="F13497" t="str">
        <v>-</v>
      </c>
      <c r="G13497" t="str">
        <v>-</v>
      </c>
    </row>
    <row r="13498">
      <c r="A13498">
        <v>13497</v>
      </c>
      <c r="B13498" t="str">
        <v>Công an thị trấn Đại Nghĩa  thành phố Hà Nội</v>
      </c>
      <c r="C13498" t="str">
        <v>-</v>
      </c>
      <c r="D13498" t="str">
        <v>-</v>
      </c>
      <c r="E13498" t="str">
        <v/>
      </c>
      <c r="F13498" t="str">
        <v>-</v>
      </c>
      <c r="G13498" t="str">
        <v>-</v>
      </c>
    </row>
    <row r="13499">
      <c r="A13499">
        <v>13498</v>
      </c>
      <c r="B13499" t="str">
        <v>UBND Ủy ban nhân dân thị trấn Đại Nghĩa  thành phố Hà Nội</v>
      </c>
      <c r="C13499" t="str">
        <v>-</v>
      </c>
      <c r="D13499" t="str">
        <v>-</v>
      </c>
      <c r="E13499" t="str">
        <v>-</v>
      </c>
      <c r="F13499" t="str">
        <v>-</v>
      </c>
      <c r="G13499" t="str">
        <v>-</v>
      </c>
    </row>
    <row r="13500">
      <c r="A13500">
        <v>13499</v>
      </c>
      <c r="B13500" t="str">
        <v>Công an thị trấn Phó Bảng  tỉnh Hà Giang</v>
      </c>
      <c r="C13500" t="str">
        <v>-</v>
      </c>
      <c r="D13500" t="str">
        <v>-</v>
      </c>
      <c r="E13500" t="str">
        <v/>
      </c>
      <c r="F13500" t="str">
        <v>-</v>
      </c>
      <c r="G13500" t="str">
        <v>-</v>
      </c>
    </row>
    <row r="13501">
      <c r="A13501">
        <v>13500</v>
      </c>
      <c r="B13501" t="str">
        <v>UBND Ủy ban nhân dân thị trấn Phó Bảng  tỉnh Hà Giang</v>
      </c>
      <c r="C13501" t="str">
        <v>-</v>
      </c>
      <c r="D13501" t="str">
        <v>-</v>
      </c>
      <c r="E13501" t="str">
        <v>-</v>
      </c>
      <c r="F13501" t="str">
        <v>-</v>
      </c>
      <c r="G13501" t="str">
        <v>-</v>
      </c>
    </row>
    <row r="13502">
      <c r="A13502">
        <v>13501</v>
      </c>
      <c r="B13502" t="str">
        <v>Công an thị trấn Đồng Văn  tỉnh Hà Giang</v>
      </c>
      <c r="C13502" t="str">
        <v>-</v>
      </c>
      <c r="D13502" t="str">
        <v>-</v>
      </c>
      <c r="E13502" t="str">
        <v/>
      </c>
      <c r="F13502" t="str">
        <v>-</v>
      </c>
      <c r="G13502" t="str">
        <v>-</v>
      </c>
    </row>
    <row r="13503">
      <c r="A13503">
        <v>13502</v>
      </c>
      <c r="B13503" t="str">
        <v>UBND Ủy ban nhân dân thị trấn Đồng Văn  tỉnh Hà Giang</v>
      </c>
      <c r="C13503" t="str">
        <v>-</v>
      </c>
      <c r="D13503" t="str">
        <v>-</v>
      </c>
      <c r="E13503" t="str">
        <v>-</v>
      </c>
      <c r="F13503" t="str">
        <v>-</v>
      </c>
      <c r="G13503" t="str">
        <v>-</v>
      </c>
    </row>
    <row r="13504">
      <c r="A13504">
        <v>13503</v>
      </c>
      <c r="B13504" t="str">
        <v>Công an thị trấn Mèo Vạc  tỉnh Hà Giang</v>
      </c>
      <c r="C13504" t="str">
        <v>-</v>
      </c>
      <c r="D13504" t="str">
        <v>-</v>
      </c>
      <c r="E13504" t="str">
        <v/>
      </c>
      <c r="F13504" t="str">
        <v>-</v>
      </c>
      <c r="G13504" t="str">
        <v>-</v>
      </c>
    </row>
    <row r="13505">
      <c r="A13505">
        <v>13504</v>
      </c>
      <c r="B13505" t="str">
        <v>UBND Ủy ban nhân dân thị trấn Mèo Vạc  tỉnh Hà Giang</v>
      </c>
      <c r="C13505" t="str">
        <v>-</v>
      </c>
      <c r="D13505" t="str">
        <v>-</v>
      </c>
      <c r="E13505" t="str">
        <v>-</v>
      </c>
      <c r="F13505" t="str">
        <v>-</v>
      </c>
      <c r="G13505" t="str">
        <v>-</v>
      </c>
    </row>
    <row r="13506">
      <c r="A13506">
        <v>13505</v>
      </c>
      <c r="B13506" t="str">
        <v>Công an thị trấn Yên Minh  tỉnh Hà Giang</v>
      </c>
      <c r="C13506" t="str">
        <v>-</v>
      </c>
      <c r="D13506" t="str">
        <v>-</v>
      </c>
      <c r="E13506" t="str">
        <v/>
      </c>
      <c r="F13506" t="str">
        <v>-</v>
      </c>
      <c r="G13506" t="str">
        <v>-</v>
      </c>
    </row>
    <row r="13507">
      <c r="A13507">
        <v>13506</v>
      </c>
      <c r="B13507" t="str">
        <v>UBND Ủy ban nhân dân thị trấn Yên Minh  tỉnh Hà Giang</v>
      </c>
      <c r="C13507" t="str">
        <v>-</v>
      </c>
      <c r="D13507" t="str">
        <v>-</v>
      </c>
      <c r="E13507" t="str">
        <v>-</v>
      </c>
      <c r="F13507" t="str">
        <v>-</v>
      </c>
      <c r="G13507" t="str">
        <v>-</v>
      </c>
    </row>
    <row r="13508">
      <c r="A13508">
        <v>13507</v>
      </c>
      <c r="B13508" t="str">
        <v>Công an thị trấn Tam Sơn  tỉnh Hà Giang</v>
      </c>
      <c r="C13508" t="str">
        <v>-</v>
      </c>
      <c r="D13508" t="str">
        <v>-</v>
      </c>
      <c r="E13508" t="str">
        <v/>
      </c>
      <c r="F13508" t="str">
        <v>-</v>
      </c>
      <c r="G13508" t="str">
        <v>-</v>
      </c>
    </row>
    <row r="13509">
      <c r="A13509">
        <v>13508</v>
      </c>
      <c r="B13509" t="str">
        <v>UBND Ủy ban nhân dân thị trấn Tam Sơn  tỉnh Hà Giang</v>
      </c>
      <c r="C13509" t="str">
        <v>-</v>
      </c>
      <c r="D13509" t="str">
        <v>-</v>
      </c>
      <c r="E13509" t="str">
        <v>-</v>
      </c>
      <c r="F13509" t="str">
        <v>-</v>
      </c>
      <c r="G13509" t="str">
        <v>-</v>
      </c>
    </row>
    <row r="13510">
      <c r="A13510">
        <v>13509</v>
      </c>
      <c r="B13510" t="str">
        <v>Công an thị trấn Vị Xuyên  tỉnh Hà Giang</v>
      </c>
      <c r="C13510" t="str">
        <v>-</v>
      </c>
      <c r="D13510" t="str">
        <v>-</v>
      </c>
      <c r="E13510" t="str">
        <v/>
      </c>
      <c r="F13510" t="str">
        <v>-</v>
      </c>
      <c r="G13510" t="str">
        <v>-</v>
      </c>
    </row>
    <row r="13511">
      <c r="A13511">
        <v>13510</v>
      </c>
      <c r="B13511" t="str">
        <v>UBND Ủy ban nhân dân thị trấn Vị Xuyên  tỉnh Hà Giang</v>
      </c>
      <c r="C13511" t="str">
        <v>-</v>
      </c>
      <c r="D13511" t="str">
        <v>-</v>
      </c>
      <c r="E13511" t="str">
        <v>-</v>
      </c>
      <c r="F13511" t="str">
        <v>-</v>
      </c>
      <c r="G13511" t="str">
        <v>-</v>
      </c>
    </row>
    <row r="13512">
      <c r="A13512">
        <v>13511</v>
      </c>
      <c r="B13512" t="str">
        <v>Công an thị trấn Nông Trường Việt Lâm  tỉnh Hà Giang</v>
      </c>
      <c r="C13512" t="str">
        <v>-</v>
      </c>
      <c r="D13512" t="str">
        <v>-</v>
      </c>
      <c r="E13512" t="str">
        <v/>
      </c>
      <c r="F13512" t="str">
        <v>-</v>
      </c>
      <c r="G13512" t="str">
        <v>-</v>
      </c>
    </row>
    <row r="13513">
      <c r="A13513">
        <v>13512</v>
      </c>
      <c r="B13513" t="str">
        <v>UBND Ủy ban nhân dân thị trấn Nông Trường Việt Lâm  tỉnh Hà Giang</v>
      </c>
      <c r="C13513" t="str">
        <v>-</v>
      </c>
      <c r="D13513" t="str">
        <v>-</v>
      </c>
      <c r="E13513" t="str">
        <v>-</v>
      </c>
      <c r="F13513" t="str">
        <v>-</v>
      </c>
      <c r="G13513" t="str">
        <v>-</v>
      </c>
    </row>
    <row r="13514">
      <c r="A13514">
        <v>13513</v>
      </c>
      <c r="B13514" t="str">
        <v>Công an thị trấn Yên Phú  tỉnh Hà Giang</v>
      </c>
      <c r="C13514" t="str">
        <v>-</v>
      </c>
      <c r="D13514" t="str">
        <v>-</v>
      </c>
      <c r="E13514" t="str">
        <v/>
      </c>
      <c r="F13514" t="str">
        <v>-</v>
      </c>
      <c r="G13514" t="str">
        <v>-</v>
      </c>
    </row>
    <row r="13515">
      <c r="A13515">
        <v>13514</v>
      </c>
      <c r="B13515" t="str">
        <v>UBND Ủy ban nhân dân thị trấn Yên Phú  tỉnh Hà Giang</v>
      </c>
      <c r="C13515" t="str">
        <v>-</v>
      </c>
      <c r="D13515" t="str">
        <v>-</v>
      </c>
      <c r="E13515" t="str">
        <v>-</v>
      </c>
      <c r="F13515" t="str">
        <v>-</v>
      </c>
      <c r="G13515" t="str">
        <v>-</v>
      </c>
    </row>
    <row r="13516">
      <c r="A13516">
        <v>13515</v>
      </c>
      <c r="B13516" t="str">
        <v>Công an thị trấn Vinh Quang  tỉnh Hà Giang</v>
      </c>
      <c r="C13516" t="str">
        <v>-</v>
      </c>
      <c r="D13516" t="str">
        <v>-</v>
      </c>
      <c r="E13516" t="str">
        <v/>
      </c>
      <c r="F13516" t="str">
        <v>-</v>
      </c>
      <c r="G13516" t="str">
        <v>-</v>
      </c>
    </row>
    <row r="13517">
      <c r="A13517">
        <v>13516</v>
      </c>
      <c r="B13517" t="str">
        <v>UBND Ủy ban nhân dân thị trấn Vinh Quang  tỉnh Hà Giang</v>
      </c>
      <c r="C13517" t="str">
        <v>-</v>
      </c>
      <c r="D13517" t="str">
        <v>-</v>
      </c>
      <c r="E13517" t="str">
        <v>-</v>
      </c>
      <c r="F13517" t="str">
        <v>-</v>
      </c>
      <c r="G13517" t="str">
        <v>-</v>
      </c>
    </row>
    <row r="13518">
      <c r="A13518">
        <v>13517</v>
      </c>
      <c r="B13518" t="str">
        <v>Công an thị trấn Cốc Pài  tỉnh Hà Giang</v>
      </c>
      <c r="C13518" t="str">
        <v>-</v>
      </c>
      <c r="D13518" t="str">
        <v>-</v>
      </c>
      <c r="E13518" t="str">
        <v/>
      </c>
      <c r="F13518" t="str">
        <v>-</v>
      </c>
      <c r="G13518" t="str">
        <v>-</v>
      </c>
    </row>
    <row r="13519">
      <c r="A13519">
        <v>13518</v>
      </c>
      <c r="B13519" t="str">
        <v>UBND Ủy ban nhân dân thị trấn Cốc Pài  tỉnh Hà Giang</v>
      </c>
      <c r="C13519" t="str">
        <v>-</v>
      </c>
      <c r="D13519" t="str">
        <v>-</v>
      </c>
      <c r="E13519" t="str">
        <v>-</v>
      </c>
      <c r="F13519" t="str">
        <v>-</v>
      </c>
      <c r="G13519" t="str">
        <v>-</v>
      </c>
    </row>
    <row r="13520">
      <c r="A13520">
        <v>13519</v>
      </c>
      <c r="B13520" t="str">
        <v>Công an thị trấn Việt Quang  tỉnh Hà Giang</v>
      </c>
      <c r="C13520" t="str">
        <v>-</v>
      </c>
      <c r="D13520" t="str">
        <v>-</v>
      </c>
      <c r="E13520" t="str">
        <v/>
      </c>
      <c r="F13520" t="str">
        <v>-</v>
      </c>
      <c r="G13520" t="str">
        <v>-</v>
      </c>
    </row>
    <row r="13521">
      <c r="A13521">
        <v>13520</v>
      </c>
      <c r="B13521" t="str">
        <v>UBND Ủy ban nhân dân thị trấn Việt Quang  tỉnh Hà Giang</v>
      </c>
      <c r="C13521" t="str">
        <v>-</v>
      </c>
      <c r="D13521" t="str">
        <v>-</v>
      </c>
      <c r="E13521" t="str">
        <v>-</v>
      </c>
      <c r="F13521" t="str">
        <v>-</v>
      </c>
      <c r="G13521" t="str">
        <v>-</v>
      </c>
    </row>
    <row r="13522">
      <c r="A13522">
        <v>13521</v>
      </c>
      <c r="B13522" t="str">
        <v>Công an thị trấn Vĩnh Tuy  tỉnh Hà Giang</v>
      </c>
      <c r="C13522" t="str">
        <v>-</v>
      </c>
      <c r="D13522" t="str">
        <v>-</v>
      </c>
      <c r="E13522" t="str">
        <v/>
      </c>
      <c r="F13522" t="str">
        <v>-</v>
      </c>
      <c r="G13522" t="str">
        <v>-</v>
      </c>
    </row>
    <row r="13523">
      <c r="A13523">
        <v>13522</v>
      </c>
      <c r="B13523" t="str">
        <v>UBND Ủy ban nhân dân thị trấn Vĩnh Tuy  tỉnh Hà Giang</v>
      </c>
      <c r="C13523" t="str">
        <v>-</v>
      </c>
      <c r="D13523" t="str">
        <v>-</v>
      </c>
      <c r="E13523" t="str">
        <v>-</v>
      </c>
      <c r="F13523" t="str">
        <v>-</v>
      </c>
      <c r="G13523" t="str">
        <v>-</v>
      </c>
    </row>
    <row r="13524">
      <c r="A13524">
        <v>13523</v>
      </c>
      <c r="B13524" t="str">
        <v>Công an thị trấn Yên Bình  tỉnh Hà Giang</v>
      </c>
      <c r="C13524" t="str">
        <v>-</v>
      </c>
      <c r="D13524" t="str">
        <v>-</v>
      </c>
      <c r="E13524" t="str">
        <v/>
      </c>
      <c r="F13524" t="str">
        <v>-</v>
      </c>
      <c r="G13524" t="str">
        <v>-</v>
      </c>
    </row>
    <row r="13525">
      <c r="A13525">
        <v>13524</v>
      </c>
      <c r="B13525" t="str">
        <v>UBND Ủy ban nhân dân thị trấn Yên Bình  tỉnh Hà Giang</v>
      </c>
      <c r="C13525" t="str">
        <v>-</v>
      </c>
      <c r="D13525" t="str">
        <v>-</v>
      </c>
      <c r="E13525" t="str">
        <v>-</v>
      </c>
      <c r="F13525" t="str">
        <v>-</v>
      </c>
      <c r="G13525" t="str">
        <v>-</v>
      </c>
    </row>
    <row r="13526">
      <c r="A13526">
        <v>13525</v>
      </c>
      <c r="B13526" t="str">
        <v>Công an thị trấn Pác Miầu  tỉnh Cao Bằng</v>
      </c>
      <c r="C13526" t="str">
        <v>-</v>
      </c>
      <c r="D13526" t="str">
        <v>-</v>
      </c>
      <c r="E13526" t="str">
        <v/>
      </c>
      <c r="F13526" t="str">
        <v>-</v>
      </c>
      <c r="G13526" t="str">
        <v>-</v>
      </c>
    </row>
    <row r="13527">
      <c r="A13527">
        <v>13526</v>
      </c>
      <c r="B13527" t="str">
        <v>UBND Ủy ban nhân dân thị trấn Pác Miầu  tỉnh Cao Bằng</v>
      </c>
      <c r="C13527" t="str">
        <v>-</v>
      </c>
      <c r="D13527" t="str">
        <v>-</v>
      </c>
      <c r="E13527" t="str">
        <v>-</v>
      </c>
      <c r="F13527" t="str">
        <v>-</v>
      </c>
      <c r="G13527" t="str">
        <v>-</v>
      </c>
    </row>
    <row r="13528">
      <c r="A13528">
        <v>13527</v>
      </c>
      <c r="B13528" t="str">
        <v>Công an thị trấn Bảo Lạc  tỉnh Cao Bằng</v>
      </c>
      <c r="C13528" t="str">
        <v>-</v>
      </c>
      <c r="D13528" t="str">
        <v>-</v>
      </c>
      <c r="E13528" t="str">
        <v/>
      </c>
      <c r="F13528" t="str">
        <v>-</v>
      </c>
      <c r="G13528" t="str">
        <v>-</v>
      </c>
    </row>
    <row r="13529">
      <c r="A13529">
        <v>13528</v>
      </c>
      <c r="B13529" t="str">
        <v>UBND Ủy ban nhân dân thị trấn Bảo Lạc  tỉnh Cao Bằng</v>
      </c>
      <c r="C13529" t="str">
        <v>-</v>
      </c>
      <c r="D13529" t="str">
        <v>-</v>
      </c>
      <c r="E13529" t="str">
        <v>-</v>
      </c>
      <c r="F13529" t="str">
        <v>-</v>
      </c>
      <c r="G13529" t="str">
        <v>-</v>
      </c>
    </row>
    <row r="13530">
      <c r="A13530">
        <v>13529</v>
      </c>
      <c r="B13530" t="str">
        <v>Công an thị trấn Thông Nông  tỉnh Cao Bằng</v>
      </c>
      <c r="C13530" t="str">
        <v>-</v>
      </c>
      <c r="D13530" t="str">
        <v>-</v>
      </c>
      <c r="E13530" t="str">
        <v/>
      </c>
      <c r="F13530" t="str">
        <v>-</v>
      </c>
      <c r="G13530" t="str">
        <v>-</v>
      </c>
    </row>
    <row r="13531">
      <c r="A13531">
        <v>13530</v>
      </c>
      <c r="B13531" t="str">
        <v>UBND Ủy ban nhân dân thị trấn Thông Nông  tỉnh Cao Bằng</v>
      </c>
      <c r="C13531" t="str">
        <v>-</v>
      </c>
      <c r="D13531" t="str">
        <v>-</v>
      </c>
      <c r="E13531" t="str">
        <v>-</v>
      </c>
      <c r="F13531" t="str">
        <v>-</v>
      </c>
      <c r="G13531" t="str">
        <v>-</v>
      </c>
    </row>
    <row r="13532">
      <c r="A13532">
        <v>13531</v>
      </c>
      <c r="B13532" t="str">
        <v>Công an thị trấn Xuân Hòa  tỉnh Cao Bằng</v>
      </c>
      <c r="C13532" t="str">
        <v>-</v>
      </c>
      <c r="D13532" t="str">
        <v>-</v>
      </c>
      <c r="E13532" t="str">
        <v/>
      </c>
      <c r="F13532" t="str">
        <v>-</v>
      </c>
      <c r="G13532" t="str">
        <v>-</v>
      </c>
    </row>
    <row r="13533">
      <c r="A13533">
        <v>13532</v>
      </c>
      <c r="B13533" t="str">
        <v>UBND Ủy ban nhân dân thị trấn Xuân Hòa  tỉnh Cao Bằng</v>
      </c>
      <c r="C13533" t="str">
        <v>-</v>
      </c>
      <c r="D13533" t="str">
        <v>-</v>
      </c>
      <c r="E13533" t="str">
        <v>-</v>
      </c>
      <c r="F13533" t="str">
        <v>-</v>
      </c>
      <c r="G13533" t="str">
        <v>-</v>
      </c>
    </row>
    <row r="13534">
      <c r="A13534">
        <v>13533</v>
      </c>
      <c r="B13534" t="str">
        <v>Công an thị trấn Hùng Quốc  tỉnh Cao Bằng</v>
      </c>
      <c r="C13534" t="str">
        <v>-</v>
      </c>
      <c r="D13534" t="str">
        <v>-</v>
      </c>
      <c r="E13534" t="str">
        <v/>
      </c>
      <c r="F13534" t="str">
        <v>-</v>
      </c>
      <c r="G13534" t="str">
        <v>-</v>
      </c>
    </row>
    <row r="13535">
      <c r="A13535">
        <v>13534</v>
      </c>
      <c r="B13535" t="str">
        <v>UBND Ủy ban nhân dân thị trấn Hùng Quốc  tỉnh Cao Bằng</v>
      </c>
      <c r="C13535" t="str">
        <v>-</v>
      </c>
      <c r="D13535" t="str">
        <v>-</v>
      </c>
      <c r="E13535" t="str">
        <v>-</v>
      </c>
      <c r="F13535" t="str">
        <v>-</v>
      </c>
      <c r="G13535" t="str">
        <v>-</v>
      </c>
    </row>
    <row r="13536">
      <c r="A13536">
        <v>13535</v>
      </c>
      <c r="B13536" t="str">
        <v>Công an thị trấn Trùng Khánh  tỉnh Cao Bằng</v>
      </c>
      <c r="C13536" t="str">
        <v>-</v>
      </c>
      <c r="D13536" t="str">
        <v>-</v>
      </c>
      <c r="E13536" t="str">
        <v/>
      </c>
      <c r="F13536" t="str">
        <v>-</v>
      </c>
      <c r="G13536" t="str">
        <v>-</v>
      </c>
    </row>
    <row r="13537">
      <c r="A13537">
        <v>13536</v>
      </c>
      <c r="B13537" t="str">
        <v>UBND Ủy ban nhân dân thị trấn Trùng Khánh  tỉnh Cao Bằng</v>
      </c>
      <c r="C13537" t="str">
        <v>-</v>
      </c>
      <c r="D13537" t="str">
        <v>-</v>
      </c>
      <c r="E13537" t="str">
        <v>-</v>
      </c>
      <c r="F13537" t="str">
        <v>-</v>
      </c>
      <c r="G13537" t="str">
        <v>-</v>
      </c>
    </row>
    <row r="13538">
      <c r="A13538">
        <v>13537</v>
      </c>
      <c r="B13538" t="str">
        <v>Công an thị trấn Thanh Nhật  tỉnh Cao Bằng</v>
      </c>
      <c r="C13538" t="str">
        <v>-</v>
      </c>
      <c r="D13538" t="str">
        <v>-</v>
      </c>
      <c r="E13538" t="str">
        <v/>
      </c>
      <c r="F13538" t="str">
        <v>-</v>
      </c>
      <c r="G13538" t="str">
        <v>-</v>
      </c>
    </row>
    <row r="13539">
      <c r="A13539">
        <v>13538</v>
      </c>
      <c r="B13539" t="str">
        <v>UBND Ủy ban nhân dân thị trấn Thanh Nhật  tỉnh Cao Bằng</v>
      </c>
      <c r="C13539" t="str">
        <v>-</v>
      </c>
      <c r="D13539" t="str">
        <v>-</v>
      </c>
      <c r="E13539" t="str">
        <v>-</v>
      </c>
      <c r="F13539" t="str">
        <v>-</v>
      </c>
      <c r="G13539" t="str">
        <v>-</v>
      </c>
    </row>
    <row r="13540">
      <c r="A13540">
        <v>13539</v>
      </c>
      <c r="B13540" t="str">
        <v>Công an thị trấn Quảng Uyên  tỉnh Cao Bằng</v>
      </c>
      <c r="C13540" t="str">
        <v>-</v>
      </c>
      <c r="D13540" t="str">
        <v>-</v>
      </c>
      <c r="E13540" t="str">
        <v/>
      </c>
      <c r="F13540" t="str">
        <v>-</v>
      </c>
      <c r="G13540" t="str">
        <v>-</v>
      </c>
    </row>
    <row r="13541">
      <c r="A13541">
        <v>13540</v>
      </c>
      <c r="B13541" t="str">
        <v>UBND Ủy ban nhân dân thị trấn Quảng Uyên  tỉnh Cao Bằng</v>
      </c>
      <c r="C13541" t="str">
        <v>-</v>
      </c>
      <c r="D13541" t="str">
        <v>-</v>
      </c>
      <c r="E13541" t="str">
        <v>-</v>
      </c>
      <c r="F13541" t="str">
        <v>-</v>
      </c>
      <c r="G13541" t="str">
        <v>-</v>
      </c>
    </row>
    <row r="13542">
      <c r="A13542">
        <v>13541</v>
      </c>
      <c r="B13542" t="str">
        <v>Công an thị trấn Tà Lùng  tỉnh Cao Bằng</v>
      </c>
      <c r="C13542" t="str">
        <v>-</v>
      </c>
      <c r="D13542" t="str">
        <v>-</v>
      </c>
      <c r="E13542" t="str">
        <v/>
      </c>
      <c r="F13542" t="str">
        <v>-</v>
      </c>
      <c r="G13542" t="str">
        <v>-</v>
      </c>
    </row>
    <row r="13543">
      <c r="A13543">
        <v>13542</v>
      </c>
      <c r="B13543" t="str">
        <v>UBND Ủy ban nhân dân thị trấn Tà Lùng  tỉnh Cao Bằng</v>
      </c>
      <c r="C13543" t="str">
        <v>-</v>
      </c>
      <c r="D13543" t="str">
        <v>-</v>
      </c>
      <c r="E13543" t="str">
        <v>-</v>
      </c>
      <c r="F13543" t="str">
        <v>-</v>
      </c>
      <c r="G13543" t="str">
        <v>-</v>
      </c>
    </row>
    <row r="13544">
      <c r="A13544">
        <v>13543</v>
      </c>
      <c r="B13544" t="str">
        <v>Công an thị trấn Hoà Thuận  tỉnh Cao Bằng</v>
      </c>
      <c r="C13544" t="str">
        <v>-</v>
      </c>
      <c r="D13544" t="str">
        <v>-</v>
      </c>
      <c r="E13544" t="str">
        <v/>
      </c>
      <c r="F13544" t="str">
        <v>-</v>
      </c>
      <c r="G13544" t="str">
        <v>-</v>
      </c>
    </row>
    <row r="13545">
      <c r="A13545">
        <v>13544</v>
      </c>
      <c r="B13545" t="str">
        <v>UBND Ủy ban nhân dân thị trấn Hoà Thuận  tỉnh Cao Bằng</v>
      </c>
      <c r="C13545" t="str">
        <v>-</v>
      </c>
      <c r="D13545" t="str">
        <v>-</v>
      </c>
      <c r="E13545" t="str">
        <v>-</v>
      </c>
      <c r="F13545" t="str">
        <v>-</v>
      </c>
      <c r="G13545" t="str">
        <v>-</v>
      </c>
    </row>
    <row r="13546">
      <c r="A13546">
        <v>13545</v>
      </c>
      <c r="B13546" t="str">
        <v>Công an thị trấn Nước Hai  tỉnh Cao Bằng</v>
      </c>
      <c r="C13546" t="str">
        <v>-</v>
      </c>
      <c r="D13546" t="str">
        <v>-</v>
      </c>
      <c r="E13546" t="str">
        <v/>
      </c>
      <c r="F13546" t="str">
        <v>-</v>
      </c>
      <c r="G13546" t="str">
        <v>-</v>
      </c>
    </row>
    <row r="13547">
      <c r="A13547">
        <v>13546</v>
      </c>
      <c r="B13547" t="str">
        <v>UBND Ủy ban nhân dân thị trấn Nước Hai  tỉnh Cao Bằng</v>
      </c>
      <c r="C13547" t="str">
        <v>-</v>
      </c>
      <c r="D13547" t="str">
        <v>-</v>
      </c>
      <c r="E13547" t="str">
        <v>-</v>
      </c>
      <c r="F13547" t="str">
        <v>-</v>
      </c>
      <c r="G13547" t="str">
        <v>-</v>
      </c>
    </row>
    <row r="13548">
      <c r="A13548">
        <v>13547</v>
      </c>
      <c r="B13548" t="str">
        <v>Công an thị trấn Nguyên Bình  tỉnh Cao Bằng</v>
      </c>
      <c r="C13548" t="str">
        <v>-</v>
      </c>
      <c r="D13548" t="str">
        <v>-</v>
      </c>
      <c r="E13548" t="str">
        <v/>
      </c>
      <c r="F13548" t="str">
        <v>-</v>
      </c>
      <c r="G13548" t="str">
        <v>-</v>
      </c>
    </row>
    <row r="13549">
      <c r="A13549">
        <v>13548</v>
      </c>
      <c r="B13549" t="str">
        <v>UBND Ủy ban nhân dân thị trấn Nguyên Bình  tỉnh Cao Bằng</v>
      </c>
      <c r="C13549" t="str">
        <v>-</v>
      </c>
      <c r="D13549" t="str">
        <v>-</v>
      </c>
      <c r="E13549" t="str">
        <v>-</v>
      </c>
      <c r="F13549" t="str">
        <v>-</v>
      </c>
      <c r="G13549" t="str">
        <v>-</v>
      </c>
    </row>
    <row r="13550">
      <c r="A13550">
        <v>13549</v>
      </c>
      <c r="B13550" t="str">
        <v>Công an thị trấn Tĩnh Túc  tỉnh Cao Bằng</v>
      </c>
      <c r="C13550" t="str">
        <v>-</v>
      </c>
      <c r="D13550" t="str">
        <v>-</v>
      </c>
      <c r="E13550" t="str">
        <v/>
      </c>
      <c r="F13550" t="str">
        <v>-</v>
      </c>
      <c r="G13550" t="str">
        <v>-</v>
      </c>
    </row>
    <row r="13551">
      <c r="A13551">
        <v>13550</v>
      </c>
      <c r="B13551" t="str">
        <v>UBND Ủy ban nhân dân thị trấn Tĩnh Túc  tỉnh Cao Bằng</v>
      </c>
      <c r="C13551" t="str">
        <v>-</v>
      </c>
      <c r="D13551" t="str">
        <v>-</v>
      </c>
      <c r="E13551" t="str">
        <v>-</v>
      </c>
      <c r="F13551" t="str">
        <v>-</v>
      </c>
      <c r="G13551" t="str">
        <v>-</v>
      </c>
    </row>
    <row r="13552">
      <c r="A13552">
        <v>13551</v>
      </c>
      <c r="B13552" t="str">
        <v>Công an thị trấn Đông Khê  tỉnh Cao Bằng</v>
      </c>
      <c r="C13552" t="str">
        <v>-</v>
      </c>
      <c r="D13552" t="str">
        <v>-</v>
      </c>
      <c r="E13552" t="str">
        <v/>
      </c>
      <c r="F13552" t="str">
        <v>-</v>
      </c>
      <c r="G13552" t="str">
        <v>-</v>
      </c>
    </row>
    <row r="13553">
      <c r="A13553">
        <v>13552</v>
      </c>
      <c r="B13553" t="str">
        <v>UBND Ủy ban nhân dân thị trấn Đông Khê  tỉnh Cao Bằng</v>
      </c>
      <c r="C13553" t="str">
        <v>-</v>
      </c>
      <c r="D13553" t="str">
        <v>-</v>
      </c>
      <c r="E13553" t="str">
        <v>-</v>
      </c>
      <c r="F13553" t="str">
        <v>-</v>
      </c>
      <c r="G13553" t="str">
        <v>-</v>
      </c>
    </row>
    <row r="13554">
      <c r="A13554">
        <v>13553</v>
      </c>
      <c r="B13554" t="str">
        <v>Công an thị trấn Chợ Rã  tỉnh Bắc Kạn</v>
      </c>
      <c r="C13554" t="str">
        <v>-</v>
      </c>
      <c r="D13554" t="str">
        <v>-</v>
      </c>
      <c r="E13554" t="str">
        <v/>
      </c>
      <c r="F13554" t="str">
        <v>-</v>
      </c>
      <c r="G13554" t="str">
        <v>-</v>
      </c>
    </row>
    <row r="13555">
      <c r="A13555">
        <v>13554</v>
      </c>
      <c r="B13555" t="str">
        <v>UBND Ủy ban nhân dân thị trấn Chợ Rã  tỉnh Bắc Kạn</v>
      </c>
      <c r="C13555" t="str">
        <v>-</v>
      </c>
      <c r="D13555" t="str">
        <v>-</v>
      </c>
      <c r="E13555" t="str">
        <v>-</v>
      </c>
      <c r="F13555" t="str">
        <v>-</v>
      </c>
      <c r="G13555" t="str">
        <v>-</v>
      </c>
    </row>
    <row r="13556">
      <c r="A13556">
        <v>13555</v>
      </c>
      <c r="B13556" t="str">
        <v>Công an thị trấn Nà Phặc  tỉnh Bắc Kạn</v>
      </c>
      <c r="C13556" t="str">
        <v>-</v>
      </c>
      <c r="D13556" t="str">
        <v>-</v>
      </c>
      <c r="E13556" t="str">
        <v/>
      </c>
      <c r="F13556" t="str">
        <v>-</v>
      </c>
      <c r="G13556" t="str">
        <v>-</v>
      </c>
    </row>
    <row r="13557">
      <c r="A13557">
        <v>13556</v>
      </c>
      <c r="B13557" t="str">
        <v>UBND Ủy ban nhân dân thị trấn Nà Phặc  tỉnh Bắc Kạn</v>
      </c>
      <c r="C13557" t="str">
        <v>-</v>
      </c>
      <c r="D13557" t="str">
        <v>-</v>
      </c>
      <c r="E13557" t="str">
        <v>-</v>
      </c>
      <c r="F13557" t="str">
        <v>-</v>
      </c>
      <c r="G13557" t="str">
        <v>-</v>
      </c>
    </row>
    <row r="13558">
      <c r="A13558">
        <v>13557</v>
      </c>
      <c r="B13558" t="str">
        <v>Công an thị trấn Phủ Thông  tỉnh Bắc Kạn</v>
      </c>
      <c r="C13558" t="str">
        <v>-</v>
      </c>
      <c r="D13558" t="str">
        <v>-</v>
      </c>
      <c r="E13558" t="str">
        <v/>
      </c>
      <c r="F13558" t="str">
        <v>-</v>
      </c>
      <c r="G13558" t="str">
        <v>-</v>
      </c>
    </row>
    <row r="13559">
      <c r="A13559">
        <v>13558</v>
      </c>
      <c r="B13559" t="str">
        <v>UBND Ủy ban nhân dân thị trấn Phủ Thông  tỉnh Bắc Kạn</v>
      </c>
      <c r="C13559" t="str">
        <v>-</v>
      </c>
      <c r="D13559" t="str">
        <v>-</v>
      </c>
      <c r="E13559" t="str">
        <v>-</v>
      </c>
      <c r="F13559" t="str">
        <v>-</v>
      </c>
      <c r="G13559" t="str">
        <v>-</v>
      </c>
    </row>
    <row r="13560">
      <c r="A13560">
        <v>13559</v>
      </c>
      <c r="B13560" t="str">
        <v>Công an thị trấn Bằng Lũng  tỉnh Bắc Kạn</v>
      </c>
      <c r="C13560" t="str">
        <v>-</v>
      </c>
      <c r="D13560" t="str">
        <v>-</v>
      </c>
      <c r="E13560" t="str">
        <v/>
      </c>
      <c r="F13560" t="str">
        <v>-</v>
      </c>
      <c r="G13560" t="str">
        <v>-</v>
      </c>
    </row>
    <row r="13561">
      <c r="A13561">
        <v>13560</v>
      </c>
      <c r="B13561" t="str">
        <v>UBND Ủy ban nhân dân thị trấn Bằng Lũng  tỉnh Bắc Kạn</v>
      </c>
      <c r="C13561" t="str">
        <v>-</v>
      </c>
      <c r="D13561" t="str">
        <v>-</v>
      </c>
      <c r="E13561" t="str">
        <v>-</v>
      </c>
      <c r="F13561" t="str">
        <v>-</v>
      </c>
      <c r="G13561" t="str">
        <v>-</v>
      </c>
    </row>
    <row r="13562">
      <c r="A13562">
        <v>13561</v>
      </c>
      <c r="B13562" t="str">
        <v>Công an thị trấn Chợ Mới  tỉnh Bắc Kạn</v>
      </c>
      <c r="C13562" t="str">
        <v>-</v>
      </c>
      <c r="D13562" t="str">
        <v>-</v>
      </c>
      <c r="E13562" t="str">
        <v/>
      </c>
      <c r="F13562" t="str">
        <v>-</v>
      </c>
      <c r="G13562" t="str">
        <v>-</v>
      </c>
    </row>
    <row r="13563">
      <c r="A13563">
        <v>13562</v>
      </c>
      <c r="B13563" t="str">
        <v>UBND Ủy ban nhân dân thị trấn Chợ Mới  tỉnh Bắc Kạn</v>
      </c>
      <c r="C13563" t="str">
        <v>-</v>
      </c>
      <c r="D13563" t="str">
        <v>-</v>
      </c>
      <c r="E13563" t="str">
        <v>-</v>
      </c>
      <c r="F13563" t="str">
        <v>-</v>
      </c>
      <c r="G13563" t="str">
        <v>-</v>
      </c>
    </row>
    <row r="13564">
      <c r="A13564">
        <v>13563</v>
      </c>
      <c r="B13564" t="str">
        <v>Công an thị trấn Yến Lạc  tỉnh Bắc Kạn</v>
      </c>
      <c r="C13564" t="str">
        <v>-</v>
      </c>
      <c r="D13564" t="str">
        <v>-</v>
      </c>
      <c r="E13564" t="str">
        <v/>
      </c>
      <c r="F13564" t="str">
        <v>-</v>
      </c>
      <c r="G13564" t="str">
        <v>-</v>
      </c>
    </row>
    <row r="13565">
      <c r="A13565">
        <v>13564</v>
      </c>
      <c r="B13565" t="str">
        <v>UBND Ủy ban nhân dân thị trấn Yến Lạc  tỉnh Bắc Kạn</v>
      </c>
      <c r="C13565" t="str">
        <v>-</v>
      </c>
      <c r="D13565" t="str">
        <v>-</v>
      </c>
      <c r="E13565" t="str">
        <v>-</v>
      </c>
      <c r="F13565" t="str">
        <v>-</v>
      </c>
      <c r="G13565" t="str">
        <v>-</v>
      </c>
    </row>
    <row r="13566">
      <c r="A13566">
        <v>13565</v>
      </c>
      <c r="B13566" t="str">
        <v>Công an thị trấn Na Hang  tỉnh Tuyên Quang</v>
      </c>
      <c r="C13566" t="str">
        <v>-</v>
      </c>
      <c r="D13566" t="str">
        <v>-</v>
      </c>
      <c r="E13566" t="str">
        <v/>
      </c>
      <c r="F13566" t="str">
        <v>-</v>
      </c>
      <c r="G13566" t="str">
        <v>-</v>
      </c>
    </row>
    <row r="13567">
      <c r="A13567">
        <v>13566</v>
      </c>
      <c r="B13567" t="str">
        <v>UBND Ủy ban nhân dân thị trấn Na Hang  tỉnh Tuyên Quang</v>
      </c>
      <c r="C13567" t="str">
        <v>-</v>
      </c>
      <c r="D13567" t="str">
        <v>-</v>
      </c>
      <c r="E13567" t="str">
        <v>-</v>
      </c>
      <c r="F13567" t="str">
        <v>-</v>
      </c>
      <c r="G13567" t="str">
        <v>-</v>
      </c>
    </row>
    <row r="13568">
      <c r="A13568">
        <v>13567</v>
      </c>
      <c r="B13568" t="str">
        <v>Công an thị trấn Vĩnh Lộc  tỉnh Tuyên Quang</v>
      </c>
      <c r="C13568" t="str">
        <v>-</v>
      </c>
      <c r="D13568" t="str">
        <v>-</v>
      </c>
      <c r="E13568" t="str">
        <v/>
      </c>
      <c r="F13568" t="str">
        <v>-</v>
      </c>
      <c r="G13568" t="str">
        <v>-</v>
      </c>
    </row>
    <row r="13569">
      <c r="A13569">
        <v>13568</v>
      </c>
      <c r="B13569" t="str">
        <v>UBND Ủy ban nhân dân thị trấn Vĩnh Lộc  tỉnh Tuyên Quang</v>
      </c>
      <c r="C13569" t="str">
        <v>-</v>
      </c>
      <c r="D13569" t="str">
        <v>-</v>
      </c>
      <c r="E13569" t="str">
        <v>-</v>
      </c>
      <c r="F13569" t="str">
        <v>-</v>
      </c>
      <c r="G13569" t="str">
        <v>-</v>
      </c>
    </row>
    <row r="13570">
      <c r="A13570">
        <v>13569</v>
      </c>
      <c r="B13570" t="str">
        <v>Công an thị trấn Tân Yên  tỉnh Tuyên Quang</v>
      </c>
      <c r="C13570" t="str">
        <v>-</v>
      </c>
      <c r="D13570" t="str">
        <v>-</v>
      </c>
      <c r="E13570" t="str">
        <v/>
      </c>
      <c r="F13570" t="str">
        <v>-</v>
      </c>
      <c r="G13570" t="str">
        <v>-</v>
      </c>
    </row>
    <row r="13571">
      <c r="A13571">
        <v>13570</v>
      </c>
      <c r="B13571" t="str">
        <v>UBND Ủy ban nhân dân thị trấn Tân Yên  tỉnh Tuyên Quang</v>
      </c>
      <c r="C13571" t="str">
        <v>-</v>
      </c>
      <c r="D13571" t="str">
        <v>-</v>
      </c>
      <c r="E13571" t="str">
        <v>-</v>
      </c>
      <c r="F13571" t="str">
        <v>-</v>
      </c>
      <c r="G13571" t="str">
        <v>-</v>
      </c>
    </row>
    <row r="13572">
      <c r="A13572">
        <v>13571</v>
      </c>
      <c r="B13572" t="str">
        <v>Công an thị trấn Tân Bình  tỉnh Tuyên Quang</v>
      </c>
      <c r="C13572" t="str">
        <v>-</v>
      </c>
      <c r="D13572" t="str">
        <v>-</v>
      </c>
      <c r="E13572" t="str">
        <v/>
      </c>
      <c r="F13572" t="str">
        <v>-</v>
      </c>
      <c r="G13572" t="str">
        <v>-</v>
      </c>
    </row>
    <row r="13573">
      <c r="A13573">
        <v>13572</v>
      </c>
      <c r="B13573" t="str">
        <v>UBND Ủy ban nhân dân thị trấn Tân Bình  tỉnh Tuyên Quang</v>
      </c>
      <c r="C13573" t="str">
        <v>-</v>
      </c>
      <c r="D13573" t="str">
        <v>-</v>
      </c>
      <c r="E13573" t="str">
        <v>-</v>
      </c>
      <c r="F13573" t="str">
        <v>-</v>
      </c>
      <c r="G13573" t="str">
        <v>-</v>
      </c>
    </row>
    <row r="13574">
      <c r="A13574">
        <v>13573</v>
      </c>
      <c r="B13574" t="str">
        <v>Công an thị trấn Sơn Dương  tỉnh Tuyên Quang</v>
      </c>
      <c r="C13574" t="str">
        <v>-</v>
      </c>
      <c r="D13574" t="str">
        <v>-</v>
      </c>
      <c r="E13574" t="str">
        <v/>
      </c>
      <c r="F13574" t="str">
        <v>-</v>
      </c>
      <c r="G13574" t="str">
        <v>-</v>
      </c>
    </row>
    <row r="13575">
      <c r="A13575">
        <v>13574</v>
      </c>
      <c r="B13575" t="str">
        <v>UBND Ủy ban nhân dân thị trấn Sơn Dương  tỉnh Tuyên Quang</v>
      </c>
      <c r="C13575" t="str">
        <v>-</v>
      </c>
      <c r="D13575" t="str">
        <v>-</v>
      </c>
      <c r="E13575" t="str">
        <v>-</v>
      </c>
      <c r="F13575" t="str">
        <v>-</v>
      </c>
      <c r="G13575" t="str">
        <v>-</v>
      </c>
    </row>
    <row r="13576">
      <c r="A13576">
        <v>13575</v>
      </c>
      <c r="B13576" t="str">
        <v>Công an thị trấn Bát Xát  tỉnh Lào Cai</v>
      </c>
      <c r="C13576" t="str">
        <v>-</v>
      </c>
      <c r="D13576" t="str">
        <v>-</v>
      </c>
      <c r="E13576" t="str">
        <v/>
      </c>
      <c r="F13576" t="str">
        <v>-</v>
      </c>
      <c r="G13576" t="str">
        <v>-</v>
      </c>
    </row>
    <row r="13577">
      <c r="A13577">
        <v>13576</v>
      </c>
      <c r="B13577" t="str">
        <v>UBND Ủy ban nhân dân thị trấn Bát Xát  tỉnh Lào Cai</v>
      </c>
      <c r="C13577" t="str">
        <v>-</v>
      </c>
      <c r="D13577" t="str">
        <v>-</v>
      </c>
      <c r="E13577" t="str">
        <v>-</v>
      </c>
      <c r="F13577" t="str">
        <v>-</v>
      </c>
      <c r="G13577" t="str">
        <v>-</v>
      </c>
    </row>
    <row r="13578">
      <c r="A13578">
        <v>13577</v>
      </c>
      <c r="B13578" t="str">
        <v>Công an thị trấn Mường Khương  tỉnh Lào Cai</v>
      </c>
      <c r="C13578" t="str">
        <v>-</v>
      </c>
      <c r="D13578" t="str">
        <v>-</v>
      </c>
      <c r="E13578" t="str">
        <v/>
      </c>
      <c r="F13578" t="str">
        <v>-</v>
      </c>
      <c r="G13578" t="str">
        <v>-</v>
      </c>
    </row>
    <row r="13579">
      <c r="A13579">
        <v>13578</v>
      </c>
      <c r="B13579" t="str">
        <v>UBND Ủy ban nhân dân thị trấn Mường Khương  tỉnh Lào Cai</v>
      </c>
      <c r="C13579" t="str">
        <v>-</v>
      </c>
      <c r="D13579" t="str">
        <v>-</v>
      </c>
      <c r="E13579" t="str">
        <v>-</v>
      </c>
      <c r="F13579" t="str">
        <v>-</v>
      </c>
      <c r="G13579" t="str">
        <v>-</v>
      </c>
    </row>
    <row r="13580">
      <c r="A13580">
        <v>13579</v>
      </c>
      <c r="B13580" t="str">
        <v>Công an thị trấn Bắc Hà  tỉnh Lào Cai</v>
      </c>
      <c r="C13580" t="str">
        <v>-</v>
      </c>
      <c r="D13580" t="str">
        <v>-</v>
      </c>
      <c r="E13580" t="str">
        <v/>
      </c>
      <c r="F13580" t="str">
        <v>-</v>
      </c>
      <c r="G13580" t="str">
        <v>-</v>
      </c>
    </row>
    <row r="13581">
      <c r="A13581">
        <v>13580</v>
      </c>
      <c r="B13581" t="str">
        <v>UBND Ủy ban nhân dân thị trấn Bắc Hà  tỉnh Lào Cai</v>
      </c>
      <c r="C13581" t="str">
        <v>-</v>
      </c>
      <c r="D13581" t="str">
        <v>-</v>
      </c>
      <c r="E13581" t="str">
        <v>-</v>
      </c>
      <c r="F13581" t="str">
        <v>-</v>
      </c>
      <c r="G13581" t="str">
        <v>-</v>
      </c>
    </row>
    <row r="13582">
      <c r="A13582">
        <v>13581</v>
      </c>
      <c r="B13582" t="str">
        <v>Công an thị trấn N.T Phong Hải  tỉnh Lào Cai</v>
      </c>
      <c r="C13582" t="str">
        <v>-</v>
      </c>
      <c r="D13582" t="str">
        <v>-</v>
      </c>
      <c r="E13582" t="str">
        <v/>
      </c>
      <c r="F13582" t="str">
        <v>-</v>
      </c>
      <c r="G13582" t="str">
        <v>-</v>
      </c>
    </row>
    <row r="13583">
      <c r="A13583">
        <v>13582</v>
      </c>
      <c r="B13583" t="str">
        <v>UBND Ủy ban nhân dân thị trấn N.T Phong Hải  tỉnh Lào Cai</v>
      </c>
      <c r="C13583" t="str">
        <v>-</v>
      </c>
      <c r="D13583" t="str">
        <v>-</v>
      </c>
      <c r="E13583" t="str">
        <v>-</v>
      </c>
      <c r="F13583" t="str">
        <v>-</v>
      </c>
      <c r="G13583" t="str">
        <v>-</v>
      </c>
    </row>
    <row r="13584">
      <c r="A13584">
        <v>13583</v>
      </c>
      <c r="B13584" t="str">
        <v>Công an thị trấn Phố Lu  tỉnh Lào Cai</v>
      </c>
      <c r="C13584" t="str">
        <v>-</v>
      </c>
      <c r="D13584" t="str">
        <v>-</v>
      </c>
      <c r="E13584" t="str">
        <v/>
      </c>
      <c r="F13584" t="str">
        <v>-</v>
      </c>
      <c r="G13584" t="str">
        <v>-</v>
      </c>
    </row>
    <row r="13585">
      <c r="A13585">
        <v>13584</v>
      </c>
      <c r="B13585" t="str">
        <v>UBND Ủy ban nhân dân thị trấn Phố Lu  tỉnh Lào Cai</v>
      </c>
      <c r="C13585" t="str">
        <v>-</v>
      </c>
      <c r="D13585" t="str">
        <v>-</v>
      </c>
      <c r="E13585" t="str">
        <v>-</v>
      </c>
      <c r="F13585" t="str">
        <v>-</v>
      </c>
      <c r="G13585" t="str">
        <v>-</v>
      </c>
    </row>
    <row r="13586">
      <c r="A13586">
        <v>13585</v>
      </c>
      <c r="B13586" t="str">
        <v>Công an thị trấn Tằng Loỏng  tỉnh Lào Cai</v>
      </c>
      <c r="C13586" t="str">
        <v>-</v>
      </c>
      <c r="D13586" t="str">
        <v>-</v>
      </c>
      <c r="E13586" t="str">
        <v/>
      </c>
      <c r="F13586" t="str">
        <v>-</v>
      </c>
      <c r="G13586" t="str">
        <v>-</v>
      </c>
    </row>
    <row r="13587">
      <c r="A13587">
        <v>13586</v>
      </c>
      <c r="B13587" t="str">
        <v>UBND Ủy ban nhân dân thị trấn Tằng Loỏng  tỉnh Lào Cai</v>
      </c>
      <c r="C13587" t="str">
        <v>-</v>
      </c>
      <c r="D13587" t="str">
        <v>-</v>
      </c>
      <c r="E13587" t="str">
        <v>-</v>
      </c>
      <c r="F13587" t="str">
        <v>-</v>
      </c>
      <c r="G13587" t="str">
        <v>-</v>
      </c>
    </row>
    <row r="13588">
      <c r="A13588">
        <v>13587</v>
      </c>
      <c r="B13588" t="str">
        <v>Công an thị trấn Phố Ràng  tỉnh Lào Cai</v>
      </c>
      <c r="C13588" t="str">
        <v>-</v>
      </c>
      <c r="D13588" t="str">
        <v>-</v>
      </c>
      <c r="E13588" t="str">
        <v/>
      </c>
      <c r="F13588" t="str">
        <v>-</v>
      </c>
      <c r="G13588" t="str">
        <v>-</v>
      </c>
    </row>
    <row r="13589">
      <c r="A13589">
        <v>13588</v>
      </c>
      <c r="B13589" t="str">
        <v>UBND Ủy ban nhân dân thị trấn Phố Ràng  tỉnh Lào Cai</v>
      </c>
      <c r="C13589" t="str">
        <v>-</v>
      </c>
      <c r="D13589" t="str">
        <v>-</v>
      </c>
      <c r="E13589" t="str">
        <v>-</v>
      </c>
      <c r="F13589" t="str">
        <v>-</v>
      </c>
      <c r="G13589" t="str">
        <v>-</v>
      </c>
    </row>
    <row r="13590">
      <c r="A13590">
        <v>13589</v>
      </c>
      <c r="B13590" t="str">
        <v>Công an thị trấn Sa Pa  tỉnh Lào Cai</v>
      </c>
      <c r="C13590" t="str">
        <v>-</v>
      </c>
      <c r="D13590" t="str">
        <v>-</v>
      </c>
      <c r="E13590" t="str">
        <v/>
      </c>
      <c r="F13590" t="str">
        <v>-</v>
      </c>
      <c r="G13590" t="str">
        <v>-</v>
      </c>
    </row>
    <row r="13591">
      <c r="A13591">
        <v>13590</v>
      </c>
      <c r="B13591" t="str">
        <v>UBND Ủy ban nhân dân thị trấn Sa Pa  tỉnh Lào Cai</v>
      </c>
      <c r="C13591" t="str">
        <v>-</v>
      </c>
      <c r="D13591" t="str">
        <v>-</v>
      </c>
      <c r="E13591" t="str">
        <v>-</v>
      </c>
      <c r="F13591" t="str">
        <v>-</v>
      </c>
      <c r="G13591" t="str">
        <v>-</v>
      </c>
    </row>
    <row r="13592">
      <c r="A13592">
        <v>13591</v>
      </c>
      <c r="B13592" t="str">
        <v>Công an thị trấn Khánh Yên  tỉnh Lào Cai</v>
      </c>
      <c r="C13592" t="str">
        <v>-</v>
      </c>
      <c r="D13592" t="str">
        <v>-</v>
      </c>
      <c r="E13592" t="str">
        <v/>
      </c>
      <c r="F13592" t="str">
        <v>-</v>
      </c>
      <c r="G13592" t="str">
        <v>-</v>
      </c>
    </row>
    <row r="13593">
      <c r="A13593">
        <v>13592</v>
      </c>
      <c r="B13593" t="str">
        <v>UBND Ủy ban nhân dân thị trấn Khánh Yên  tỉnh Lào Cai</v>
      </c>
      <c r="C13593" t="str">
        <v>-</v>
      </c>
      <c r="D13593" t="str">
        <v>-</v>
      </c>
      <c r="E13593" t="str">
        <v>-</v>
      </c>
      <c r="F13593" t="str">
        <v>-</v>
      </c>
      <c r="G13593" t="str">
        <v>-</v>
      </c>
    </row>
    <row r="13594">
      <c r="A13594">
        <v>13593</v>
      </c>
      <c r="B13594" t="str">
        <v>Công an thị trấn Mường Chà  tỉnh Điện Biên</v>
      </c>
      <c r="C13594" t="str">
        <v>-</v>
      </c>
      <c r="D13594" t="str">
        <v>-</v>
      </c>
      <c r="E13594" t="str">
        <v/>
      </c>
      <c r="F13594" t="str">
        <v>-</v>
      </c>
      <c r="G13594" t="str">
        <v>-</v>
      </c>
    </row>
    <row r="13595">
      <c r="A13595">
        <v>13594</v>
      </c>
      <c r="B13595" t="str">
        <v>UBND Ủy ban nhân dân thị trấn Mường Chà  tỉnh Điện Biên</v>
      </c>
      <c r="C13595" t="str">
        <v>-</v>
      </c>
      <c r="D13595" t="str">
        <v>-</v>
      </c>
      <c r="E13595" t="str">
        <v>-</v>
      </c>
      <c r="F13595" t="str">
        <v>-</v>
      </c>
      <c r="G13595" t="str">
        <v>-</v>
      </c>
    </row>
    <row r="13596">
      <c r="A13596">
        <v>13595</v>
      </c>
      <c r="B13596" t="str">
        <v>Công an thị trấn Tủa Chùa  tỉnh Điện Biên</v>
      </c>
      <c r="C13596" t="str">
        <v>-</v>
      </c>
      <c r="D13596" t="str">
        <v>-</v>
      </c>
      <c r="E13596" t="str">
        <v/>
      </c>
      <c r="F13596" t="str">
        <v>-</v>
      </c>
      <c r="G13596" t="str">
        <v>-</v>
      </c>
    </row>
    <row r="13597">
      <c r="A13597">
        <v>13596</v>
      </c>
      <c r="B13597" t="str">
        <v>UBND Ủy ban nhân dân thị trấn Tủa Chùa  tỉnh Điện Biên</v>
      </c>
      <c r="C13597" t="str">
        <v>-</v>
      </c>
      <c r="D13597" t="str">
        <v>-</v>
      </c>
      <c r="E13597" t="str">
        <v>-</v>
      </c>
      <c r="F13597" t="str">
        <v>-</v>
      </c>
      <c r="G13597" t="str">
        <v>-</v>
      </c>
    </row>
    <row r="13598">
      <c r="A13598">
        <v>13597</v>
      </c>
      <c r="B13598" t="str">
        <v>Công an thị trấn Tuần Giáo  tỉnh Điện Biên</v>
      </c>
      <c r="C13598" t="str">
        <v>-</v>
      </c>
      <c r="D13598" t="str">
        <v>-</v>
      </c>
      <c r="E13598" t="str">
        <v/>
      </c>
      <c r="F13598" t="str">
        <v>-</v>
      </c>
      <c r="G13598" t="str">
        <v>-</v>
      </c>
    </row>
    <row r="13599">
      <c r="A13599">
        <v>13598</v>
      </c>
      <c r="B13599" t="str">
        <v>UBND Ủy ban nhân dân thị trấn Tuần Giáo  tỉnh Điện Biên</v>
      </c>
      <c r="C13599" t="str">
        <v>-</v>
      </c>
      <c r="D13599" t="str">
        <v>-</v>
      </c>
      <c r="E13599" t="str">
        <v>-</v>
      </c>
      <c r="F13599" t="str">
        <v>-</v>
      </c>
      <c r="G13599" t="str">
        <v>-</v>
      </c>
    </row>
    <row r="13600">
      <c r="A13600">
        <v>13599</v>
      </c>
      <c r="B13600" t="str">
        <v>Công an thị trấn Điện Biên Đông  tỉnh Điện Biên</v>
      </c>
      <c r="C13600" t="str">
        <v>-</v>
      </c>
      <c r="D13600" t="str">
        <v>-</v>
      </c>
      <c r="E13600" t="str">
        <v/>
      </c>
      <c r="F13600" t="str">
        <v>-</v>
      </c>
      <c r="G13600" t="str">
        <v>-</v>
      </c>
    </row>
    <row r="13601">
      <c r="A13601">
        <v>13600</v>
      </c>
      <c r="B13601" t="str">
        <v>UBND Ủy ban nhân dân thị trấn Điện Biên Đông  tỉnh Điện Biên</v>
      </c>
      <c r="C13601" t="str">
        <v>-</v>
      </c>
      <c r="D13601" t="str">
        <v>-</v>
      </c>
      <c r="E13601" t="str">
        <v>-</v>
      </c>
      <c r="F13601" t="str">
        <v>-</v>
      </c>
      <c r="G13601" t="str">
        <v>-</v>
      </c>
    </row>
    <row r="13602">
      <c r="A13602">
        <v>13601</v>
      </c>
      <c r="B13602" t="str">
        <v>Công an thị trấn Mường Ảng  tỉnh Điện Biên</v>
      </c>
      <c r="C13602" t="str">
        <v>-</v>
      </c>
      <c r="D13602" t="str">
        <v>-</v>
      </c>
      <c r="E13602" t="str">
        <v/>
      </c>
      <c r="F13602" t="str">
        <v>-</v>
      </c>
      <c r="G13602" t="str">
        <v>-</v>
      </c>
    </row>
    <row r="13603">
      <c r="A13603">
        <v>13602</v>
      </c>
      <c r="B13603" t="str">
        <v>UBND Ủy ban nhân dân thị trấn Mường Ảng  tỉnh Điện Biên</v>
      </c>
      <c r="C13603" t="str">
        <v>-</v>
      </c>
      <c r="D13603" t="str">
        <v>-</v>
      </c>
      <c r="E13603" t="str">
        <v>-</v>
      </c>
      <c r="F13603" t="str">
        <v>-</v>
      </c>
      <c r="G13603" t="str">
        <v>-</v>
      </c>
    </row>
    <row r="13604">
      <c r="A13604">
        <v>13603</v>
      </c>
      <c r="B13604" t="str">
        <v>Công an thị trấn Tam Đường  tỉnh Lai Châu</v>
      </c>
      <c r="C13604" t="str">
        <v>-</v>
      </c>
      <c r="D13604" t="str">
        <v>-</v>
      </c>
      <c r="E13604" t="str">
        <v/>
      </c>
      <c r="F13604" t="str">
        <v>-</v>
      </c>
      <c r="G13604" t="str">
        <v>-</v>
      </c>
    </row>
    <row r="13605">
      <c r="A13605">
        <v>13604</v>
      </c>
      <c r="B13605" t="str">
        <v>UBND Ủy ban nhân dân thị trấn Tam Đường  tỉnh Lai Châu</v>
      </c>
      <c r="C13605" t="str">
        <v>-</v>
      </c>
      <c r="D13605" t="str">
        <v>-</v>
      </c>
      <c r="E13605" t="str">
        <v>-</v>
      </c>
      <c r="F13605" t="str">
        <v>-</v>
      </c>
      <c r="G13605" t="str">
        <v>-</v>
      </c>
    </row>
    <row r="13606">
      <c r="A13606">
        <v>13605</v>
      </c>
      <c r="B13606" t="str">
        <v>Công an thị trấn Mường Tè  tỉnh Lai Châu</v>
      </c>
      <c r="C13606" t="str">
        <v>-</v>
      </c>
      <c r="D13606" t="str">
        <v>-</v>
      </c>
      <c r="E13606" t="str">
        <v/>
      </c>
      <c r="F13606" t="str">
        <v>-</v>
      </c>
      <c r="G13606" t="str">
        <v>-</v>
      </c>
    </row>
    <row r="13607">
      <c r="A13607">
        <v>13606</v>
      </c>
      <c r="B13607" t="str">
        <v>UBND Ủy ban nhân dân thị trấn Mường Tè  tỉnh Lai Châu</v>
      </c>
      <c r="C13607" t="str">
        <v>-</v>
      </c>
      <c r="D13607" t="str">
        <v>-</v>
      </c>
      <c r="E13607" t="str">
        <v>-</v>
      </c>
      <c r="F13607" t="str">
        <v>-</v>
      </c>
      <c r="G13607" t="str">
        <v>-</v>
      </c>
    </row>
    <row r="13608">
      <c r="A13608">
        <v>13607</v>
      </c>
      <c r="B13608" t="str">
        <v>Công an thị trấn Sìn Hồ  tỉnh Lai Châu</v>
      </c>
      <c r="C13608" t="str">
        <v>-</v>
      </c>
      <c r="D13608" t="str">
        <v>-</v>
      </c>
      <c r="E13608" t="str">
        <v/>
      </c>
      <c r="F13608" t="str">
        <v>-</v>
      </c>
      <c r="G13608" t="str">
        <v>-</v>
      </c>
    </row>
    <row r="13609">
      <c r="A13609">
        <v>13608</v>
      </c>
      <c r="B13609" t="str">
        <v>UBND Ủy ban nhân dân thị trấn Sìn Hồ  tỉnh Lai Châu</v>
      </c>
      <c r="C13609" t="str">
        <v>-</v>
      </c>
      <c r="D13609" t="str">
        <v>-</v>
      </c>
      <c r="E13609" t="str">
        <v>-</v>
      </c>
      <c r="F13609" t="str">
        <v>-</v>
      </c>
      <c r="G13609" t="str">
        <v>-</v>
      </c>
    </row>
    <row r="13610">
      <c r="A13610">
        <v>13609</v>
      </c>
      <c r="B13610" t="str">
        <v>Công an thị trấn Phong Thổ  tỉnh Lai Châu</v>
      </c>
      <c r="C13610" t="str">
        <v>-</v>
      </c>
      <c r="D13610" t="str">
        <v>-</v>
      </c>
      <c r="E13610" t="str">
        <v/>
      </c>
      <c r="F13610" t="str">
        <v>-</v>
      </c>
      <c r="G13610" t="str">
        <v>-</v>
      </c>
    </row>
    <row r="13611">
      <c r="A13611">
        <v>13610</v>
      </c>
      <c r="B13611" t="str">
        <v>UBND Ủy ban nhân dân thị trấn Phong Thổ  tỉnh Lai Châu</v>
      </c>
      <c r="C13611" t="str">
        <v>-</v>
      </c>
      <c r="D13611" t="str">
        <v>-</v>
      </c>
      <c r="E13611" t="str">
        <v>-</v>
      </c>
      <c r="F13611" t="str">
        <v>-</v>
      </c>
      <c r="G13611" t="str">
        <v>-</v>
      </c>
    </row>
    <row r="13612">
      <c r="A13612">
        <v>13611</v>
      </c>
      <c r="B13612" t="str">
        <v>Công an thị trấn Than Uyên  tỉnh Lai Châu</v>
      </c>
      <c r="C13612" t="str">
        <v>-</v>
      </c>
      <c r="D13612" t="str">
        <v>-</v>
      </c>
      <c r="E13612" t="str">
        <v/>
      </c>
      <c r="F13612" t="str">
        <v>-</v>
      </c>
      <c r="G13612" t="str">
        <v>-</v>
      </c>
    </row>
    <row r="13613">
      <c r="A13613">
        <v>13612</v>
      </c>
      <c r="B13613" t="str">
        <v>UBND Ủy ban nhân dân thị trấn Than Uyên  tỉnh Lai Châu</v>
      </c>
      <c r="C13613" t="str">
        <v>-</v>
      </c>
      <c r="D13613" t="str">
        <v>-</v>
      </c>
      <c r="E13613" t="str">
        <v>-</v>
      </c>
      <c r="F13613" t="str">
        <v>-</v>
      </c>
      <c r="G13613" t="str">
        <v>-</v>
      </c>
    </row>
    <row r="13614">
      <c r="A13614">
        <v>13613</v>
      </c>
      <c r="B13614" t="str">
        <v>Công an thị trấn Tân Uyên  tỉnh Lai Châu</v>
      </c>
      <c r="C13614" t="str">
        <v>-</v>
      </c>
      <c r="D13614" t="str">
        <v>-</v>
      </c>
      <c r="E13614" t="str">
        <v/>
      </c>
      <c r="F13614" t="str">
        <v>-</v>
      </c>
      <c r="G13614" t="str">
        <v>-</v>
      </c>
    </row>
    <row r="13615">
      <c r="A13615">
        <v>13614</v>
      </c>
      <c r="B13615" t="str">
        <v>UBND Ủy ban nhân dân thị trấn Tân Uyên  tỉnh Lai Châu</v>
      </c>
      <c r="C13615" t="str">
        <v>-</v>
      </c>
      <c r="D13615" t="str">
        <v>-</v>
      </c>
      <c r="E13615" t="str">
        <v>-</v>
      </c>
      <c r="F13615" t="str">
        <v>-</v>
      </c>
      <c r="G13615" t="str">
        <v>-</v>
      </c>
    </row>
    <row r="13616">
      <c r="A13616">
        <v>13615</v>
      </c>
      <c r="B13616" t="str">
        <v>Công an thị trấn Nậm Nhùn  tỉnh Lai Châu</v>
      </c>
      <c r="C13616" t="str">
        <v>-</v>
      </c>
      <c r="D13616" t="str">
        <v>-</v>
      </c>
      <c r="E13616" t="str">
        <v/>
      </c>
      <c r="F13616" t="str">
        <v>-</v>
      </c>
      <c r="G13616" t="str">
        <v>-</v>
      </c>
    </row>
    <row r="13617">
      <c r="A13617">
        <v>13616</v>
      </c>
      <c r="B13617" t="str">
        <v>UBND Ủy ban nhân dân thị trấn Nậm Nhùn  tỉnh Lai Châu</v>
      </c>
      <c r="C13617" t="str">
        <v>-</v>
      </c>
      <c r="D13617" t="str">
        <v>-</v>
      </c>
      <c r="E13617" t="str">
        <v>-</v>
      </c>
      <c r="F13617" t="str">
        <v>-</v>
      </c>
      <c r="G13617" t="str">
        <v>-</v>
      </c>
    </row>
    <row r="13618">
      <c r="A13618">
        <v>13617</v>
      </c>
      <c r="B13618" t="str">
        <v>Công an thị trấn Thuận Châu  tỉnh Sơn La</v>
      </c>
      <c r="C13618" t="str">
        <v>-</v>
      </c>
      <c r="D13618" t="str">
        <v>-</v>
      </c>
      <c r="E13618" t="str">
        <v/>
      </c>
      <c r="F13618" t="str">
        <v>-</v>
      </c>
      <c r="G13618" t="str">
        <v>-</v>
      </c>
    </row>
    <row r="13619">
      <c r="A13619">
        <v>13618</v>
      </c>
      <c r="B13619" t="str">
        <v>UBND Ủy ban nhân dân thị trấn Thuận Châu  tỉnh Sơn La</v>
      </c>
      <c r="C13619" t="str">
        <v>-</v>
      </c>
      <c r="D13619" t="str">
        <v>-</v>
      </c>
      <c r="E13619" t="str">
        <v>-</v>
      </c>
      <c r="F13619" t="str">
        <v>-</v>
      </c>
      <c r="G13619" t="str">
        <v>-</v>
      </c>
    </row>
    <row r="13620">
      <c r="A13620">
        <v>13619</v>
      </c>
      <c r="B13620" t="str">
        <v>Công an thị trấn Ít Ong  tỉnh Sơn La</v>
      </c>
      <c r="C13620" t="str">
        <v>-</v>
      </c>
      <c r="D13620" t="str">
        <v>-</v>
      </c>
      <c r="E13620" t="str">
        <v/>
      </c>
      <c r="F13620" t="str">
        <v>-</v>
      </c>
      <c r="G13620" t="str">
        <v>-</v>
      </c>
    </row>
    <row r="13621">
      <c r="A13621">
        <v>13620</v>
      </c>
      <c r="B13621" t="str">
        <v>UBND Ủy ban nhân dân thị trấn Ít Ong  tỉnh Sơn La</v>
      </c>
      <c r="C13621" t="str">
        <v>-</v>
      </c>
      <c r="D13621" t="str">
        <v>-</v>
      </c>
      <c r="E13621" t="str">
        <v>-</v>
      </c>
      <c r="F13621" t="str">
        <v>-</v>
      </c>
      <c r="G13621" t="str">
        <v>-</v>
      </c>
    </row>
    <row r="13622">
      <c r="A13622">
        <v>13621</v>
      </c>
      <c r="B13622" t="str">
        <v>Công an thị trấn Bắc Yên  tỉnh Sơn La</v>
      </c>
      <c r="C13622" t="str">
        <v>-</v>
      </c>
      <c r="D13622" t="str">
        <v>-</v>
      </c>
      <c r="E13622" t="str">
        <v/>
      </c>
      <c r="F13622" t="str">
        <v>-</v>
      </c>
      <c r="G13622" t="str">
        <v>-</v>
      </c>
    </row>
    <row r="13623">
      <c r="A13623">
        <v>13622</v>
      </c>
      <c r="B13623" t="str">
        <v>UBND Ủy ban nhân dân thị trấn Bắc Yên  tỉnh Sơn La</v>
      </c>
      <c r="C13623" t="str">
        <v>-</v>
      </c>
      <c r="D13623" t="str">
        <v>-</v>
      </c>
      <c r="E13623" t="str">
        <v>-</v>
      </c>
      <c r="F13623" t="str">
        <v>-</v>
      </c>
      <c r="G13623" t="str">
        <v>-</v>
      </c>
    </row>
    <row r="13624">
      <c r="A13624">
        <v>13623</v>
      </c>
      <c r="B13624" t="str">
        <v>Công an thị trấn Phù Yên  tỉnh Sơn La</v>
      </c>
      <c r="C13624" t="str">
        <v>-</v>
      </c>
      <c r="D13624" t="str">
        <v>-</v>
      </c>
      <c r="E13624" t="str">
        <v/>
      </c>
      <c r="F13624" t="str">
        <v>-</v>
      </c>
      <c r="G13624" t="str">
        <v>-</v>
      </c>
    </row>
    <row r="13625">
      <c r="A13625">
        <v>13624</v>
      </c>
      <c r="B13625" t="str">
        <v>UBND Ủy ban nhân dân thị trấn Phù Yên  tỉnh Sơn La</v>
      </c>
      <c r="C13625" t="str">
        <v>-</v>
      </c>
      <c r="D13625" t="str">
        <v>-</v>
      </c>
      <c r="E13625" t="str">
        <v>-</v>
      </c>
      <c r="F13625" t="str">
        <v>-</v>
      </c>
      <c r="G13625" t="str">
        <v>-</v>
      </c>
    </row>
    <row r="13626">
      <c r="A13626">
        <v>13625</v>
      </c>
      <c r="B13626" t="str">
        <v>Công an thị trấn Mộc Châu  tỉnh Sơn La</v>
      </c>
      <c r="C13626" t="str">
        <v>-</v>
      </c>
      <c r="D13626" t="str">
        <v>-</v>
      </c>
      <c r="E13626" t="str">
        <v/>
      </c>
      <c r="F13626" t="str">
        <v>-</v>
      </c>
      <c r="G13626" t="str">
        <v>-</v>
      </c>
    </row>
    <row r="13627">
      <c r="A13627">
        <v>13626</v>
      </c>
      <c r="B13627" t="str">
        <v>UBND Ủy ban nhân dân thị trấn Mộc Châu  tỉnh Sơn La</v>
      </c>
      <c r="C13627" t="str">
        <v>-</v>
      </c>
      <c r="D13627" t="str">
        <v>-</v>
      </c>
      <c r="E13627" t="str">
        <v>-</v>
      </c>
      <c r="F13627" t="str">
        <v>-</v>
      </c>
      <c r="G13627" t="str">
        <v>-</v>
      </c>
    </row>
    <row r="13628">
      <c r="A13628">
        <v>13627</v>
      </c>
      <c r="B13628" t="str">
        <v>Công an thị trấn NT Mộc Châu  tỉnh Sơn La</v>
      </c>
      <c r="C13628" t="str">
        <v>-</v>
      </c>
      <c r="D13628" t="str">
        <v>-</v>
      </c>
      <c r="E13628" t="str">
        <v/>
      </c>
      <c r="F13628" t="str">
        <v>-</v>
      </c>
      <c r="G13628" t="str">
        <v>-</v>
      </c>
    </row>
    <row r="13629">
      <c r="A13629">
        <v>13628</v>
      </c>
      <c r="B13629" t="str">
        <v>UBND Ủy ban nhân dân thị trấn NT Mộc Châu  tỉnh Sơn La</v>
      </c>
      <c r="C13629" t="str">
        <v>-</v>
      </c>
      <c r="D13629" t="str">
        <v>-</v>
      </c>
      <c r="E13629" t="str">
        <v>-</v>
      </c>
      <c r="F13629" t="str">
        <v>-</v>
      </c>
      <c r="G13629" t="str">
        <v>-</v>
      </c>
    </row>
    <row r="13630">
      <c r="A13630">
        <v>13629</v>
      </c>
      <c r="B13630" t="str">
        <v>Công an thị trấn Yên Châu  tỉnh Sơn La</v>
      </c>
      <c r="C13630" t="str">
        <v>-</v>
      </c>
      <c r="D13630" t="str">
        <v>-</v>
      </c>
      <c r="E13630" t="str">
        <v/>
      </c>
      <c r="F13630" t="str">
        <v>-</v>
      </c>
      <c r="G13630" t="str">
        <v>-</v>
      </c>
    </row>
    <row r="13631">
      <c r="A13631">
        <v>13630</v>
      </c>
      <c r="B13631" t="str">
        <v>UBND Ủy ban nhân dân thị trấn Yên Châu  tỉnh Sơn La</v>
      </c>
      <c r="C13631" t="str">
        <v>-</v>
      </c>
      <c r="D13631" t="str">
        <v>-</v>
      </c>
      <c r="E13631" t="str">
        <v>-</v>
      </c>
      <c r="F13631" t="str">
        <v>-</v>
      </c>
      <c r="G13631" t="str">
        <v>-</v>
      </c>
    </row>
    <row r="13632">
      <c r="A13632">
        <v>13631</v>
      </c>
      <c r="B13632" t="str">
        <v>Công an thị trấn Hát Lót  tỉnh Sơn La</v>
      </c>
      <c r="C13632" t="str">
        <v>-</v>
      </c>
      <c r="D13632" t="str">
        <v>-</v>
      </c>
      <c r="E13632" t="str">
        <v/>
      </c>
      <c r="F13632" t="str">
        <v>-</v>
      </c>
      <c r="G13632" t="str">
        <v>-</v>
      </c>
    </row>
    <row r="13633">
      <c r="A13633">
        <v>13632</v>
      </c>
      <c r="B13633" t="str">
        <v>UBND Ủy ban nhân dân thị trấn Hát Lót  tỉnh Sơn La</v>
      </c>
      <c r="C13633" t="str">
        <v>-</v>
      </c>
      <c r="D13633" t="str">
        <v>-</v>
      </c>
      <c r="E13633" t="str">
        <v>-</v>
      </c>
      <c r="F13633" t="str">
        <v>-</v>
      </c>
      <c r="G13633" t="str">
        <v>-</v>
      </c>
    </row>
    <row r="13634">
      <c r="A13634">
        <v>13633</v>
      </c>
      <c r="B13634" t="str">
        <v>Công an thị trấn Sông Mã  tỉnh Sơn La</v>
      </c>
      <c r="C13634" t="str">
        <v>-</v>
      </c>
      <c r="D13634" t="str">
        <v>-</v>
      </c>
      <c r="E13634" t="str">
        <v/>
      </c>
      <c r="F13634" t="str">
        <v>-</v>
      </c>
      <c r="G13634" t="str">
        <v>-</v>
      </c>
    </row>
    <row r="13635">
      <c r="A13635">
        <v>13634</v>
      </c>
      <c r="B13635" t="str">
        <v>UBND Ủy ban nhân dân thị trấn Sông Mã  tỉnh Sơn La</v>
      </c>
      <c r="C13635" t="str">
        <v>-</v>
      </c>
      <c r="D13635" t="str">
        <v>-</v>
      </c>
      <c r="E13635" t="str">
        <v>-</v>
      </c>
      <c r="F13635" t="str">
        <v>-</v>
      </c>
      <c r="G13635" t="str">
        <v>-</v>
      </c>
    </row>
    <row r="13636">
      <c r="A13636">
        <v>13635</v>
      </c>
      <c r="B13636" t="str">
        <v>Công an thị trấn Yên Thế  tỉnh Yên Bái</v>
      </c>
      <c r="C13636" t="str">
        <v>-</v>
      </c>
      <c r="D13636" t="str">
        <v>-</v>
      </c>
      <c r="E13636" t="str">
        <v/>
      </c>
      <c r="F13636" t="str">
        <v>-</v>
      </c>
      <c r="G13636" t="str">
        <v>-</v>
      </c>
    </row>
    <row r="13637">
      <c r="A13637">
        <v>13636</v>
      </c>
      <c r="B13637" t="str">
        <v>UBND Ủy ban nhân dân thị trấn Yên Thế  tỉnh Yên Bái</v>
      </c>
      <c r="C13637" t="str">
        <v>-</v>
      </c>
      <c r="D13637" t="str">
        <v>-</v>
      </c>
      <c r="E13637" t="str">
        <v>-</v>
      </c>
      <c r="F13637" t="str">
        <v>-</v>
      </c>
      <c r="G13637" t="str">
        <v>-</v>
      </c>
    </row>
    <row r="13638">
      <c r="A13638">
        <v>13637</v>
      </c>
      <c r="B13638" t="str">
        <v>Công an thị trấn Mậu A  tỉnh Yên Bái</v>
      </c>
      <c r="C13638" t="str">
        <v>-</v>
      </c>
      <c r="D13638" t="str">
        <v>-</v>
      </c>
      <c r="E13638" t="str">
        <v/>
      </c>
      <c r="F13638" t="str">
        <v>-</v>
      </c>
      <c r="G13638" t="str">
        <v>-</v>
      </c>
    </row>
    <row r="13639">
      <c r="A13639">
        <v>13638</v>
      </c>
      <c r="B13639" t="str">
        <v>UBND Ủy ban nhân dân thị trấn Mậu A  tỉnh Yên Bái</v>
      </c>
      <c r="C13639" t="str">
        <v>-</v>
      </c>
      <c r="D13639" t="str">
        <v>-</v>
      </c>
      <c r="E13639" t="str">
        <v>-</v>
      </c>
      <c r="F13639" t="str">
        <v>-</v>
      </c>
      <c r="G13639" t="str">
        <v>-</v>
      </c>
    </row>
    <row r="13640">
      <c r="A13640">
        <v>13639</v>
      </c>
      <c r="B13640" t="str">
        <v>Công an thị trấn Mù Căng Chải  tỉnh Yên Bái</v>
      </c>
      <c r="C13640" t="str">
        <v>-</v>
      </c>
      <c r="D13640" t="str">
        <v>-</v>
      </c>
      <c r="E13640" t="str">
        <v/>
      </c>
      <c r="F13640" t="str">
        <v>-</v>
      </c>
      <c r="G13640" t="str">
        <v>-</v>
      </c>
    </row>
    <row r="13641">
      <c r="A13641">
        <v>13640</v>
      </c>
      <c r="B13641" t="str">
        <v>UBND Ủy ban nhân dân thị trấn Mù Căng Chải  tỉnh Yên Bái</v>
      </c>
      <c r="C13641" t="str">
        <v>-</v>
      </c>
      <c r="D13641" t="str">
        <v>-</v>
      </c>
      <c r="E13641" t="str">
        <v>-</v>
      </c>
      <c r="F13641" t="str">
        <v>-</v>
      </c>
      <c r="G13641" t="str">
        <v>-</v>
      </c>
    </row>
    <row r="13642">
      <c r="A13642">
        <v>13641</v>
      </c>
      <c r="B13642" t="str">
        <v>Công an thị trấn Cổ Phúc  tỉnh Yên Bái</v>
      </c>
      <c r="C13642" t="str">
        <v>-</v>
      </c>
      <c r="D13642" t="str">
        <v>-</v>
      </c>
      <c r="E13642" t="str">
        <v/>
      </c>
      <c r="F13642" t="str">
        <v>-</v>
      </c>
      <c r="G13642" t="str">
        <v>-</v>
      </c>
    </row>
    <row r="13643">
      <c r="A13643">
        <v>13642</v>
      </c>
      <c r="B13643" t="str">
        <v>UBND Ủy ban nhân dân thị trấn Cổ Phúc  tỉnh Yên Bái</v>
      </c>
      <c r="C13643" t="str">
        <v>-</v>
      </c>
      <c r="D13643" t="str">
        <v>-</v>
      </c>
      <c r="E13643" t="str">
        <v>-</v>
      </c>
      <c r="F13643" t="str">
        <v>-</v>
      </c>
      <c r="G13643" t="str">
        <v>-</v>
      </c>
    </row>
    <row r="13644">
      <c r="A13644">
        <v>13643</v>
      </c>
      <c r="B13644" t="str">
        <v>Công an thị trấn Trạm Tấu  tỉnh Yên Bái</v>
      </c>
      <c r="C13644" t="str">
        <v>-</v>
      </c>
      <c r="D13644" t="str">
        <v>-</v>
      </c>
      <c r="E13644" t="str">
        <v/>
      </c>
      <c r="F13644" t="str">
        <v>-</v>
      </c>
      <c r="G13644" t="str">
        <v>-</v>
      </c>
    </row>
    <row r="13645">
      <c r="A13645">
        <v>13644</v>
      </c>
      <c r="B13645" t="str">
        <v>UBND Ủy ban nhân dân thị trấn Trạm Tấu  tỉnh Yên Bái</v>
      </c>
      <c r="C13645" t="str">
        <v>-</v>
      </c>
      <c r="D13645" t="str">
        <v>-</v>
      </c>
      <c r="E13645" t="str">
        <v>-</v>
      </c>
      <c r="F13645" t="str">
        <v>-</v>
      </c>
      <c r="G13645" t="str">
        <v>-</v>
      </c>
    </row>
    <row r="13646">
      <c r="A13646">
        <v>13645</v>
      </c>
      <c r="B13646" t="str">
        <v>Công an thị trấn NT Liên Sơn  tỉnh Yên Bái</v>
      </c>
      <c r="C13646" t="str">
        <v>-</v>
      </c>
      <c r="D13646" t="str">
        <v>-</v>
      </c>
      <c r="E13646" t="str">
        <v/>
      </c>
      <c r="F13646" t="str">
        <v>-</v>
      </c>
      <c r="G13646" t="str">
        <v>-</v>
      </c>
    </row>
    <row r="13647">
      <c r="A13647">
        <v>13646</v>
      </c>
      <c r="B13647" t="str">
        <v>UBND Ủy ban nhân dân thị trấn NT Liên Sơn  tỉnh Yên Bái</v>
      </c>
      <c r="C13647" t="str">
        <v>-</v>
      </c>
      <c r="D13647" t="str">
        <v>-</v>
      </c>
      <c r="E13647" t="str">
        <v>-</v>
      </c>
      <c r="F13647" t="str">
        <v>-</v>
      </c>
      <c r="G13647" t="str">
        <v>-</v>
      </c>
    </row>
    <row r="13648">
      <c r="A13648">
        <v>13647</v>
      </c>
      <c r="B13648" t="str">
        <v>Công an thị trấn NT Nghĩa Lộ  tỉnh Yên Bái</v>
      </c>
      <c r="C13648" t="str">
        <v>-</v>
      </c>
      <c r="D13648" t="str">
        <v>-</v>
      </c>
      <c r="E13648" t="str">
        <v/>
      </c>
      <c r="F13648" t="str">
        <v>-</v>
      </c>
      <c r="G13648" t="str">
        <v>-</v>
      </c>
    </row>
    <row r="13649">
      <c r="A13649">
        <v>13648</v>
      </c>
      <c r="B13649" t="str">
        <v>UBND Ủy ban nhân dân thị trấn NT Nghĩa Lộ  tỉnh Yên Bái</v>
      </c>
      <c r="C13649" t="str">
        <v>-</v>
      </c>
      <c r="D13649" t="str">
        <v>-</v>
      </c>
      <c r="E13649" t="str">
        <v>-</v>
      </c>
      <c r="F13649" t="str">
        <v>-</v>
      </c>
      <c r="G13649" t="str">
        <v>-</v>
      </c>
    </row>
    <row r="13650">
      <c r="A13650">
        <v>13649</v>
      </c>
      <c r="B13650" t="str">
        <v>Công an thị trấn NT Trần Phú  tỉnh Yên Bái</v>
      </c>
      <c r="C13650" t="str">
        <v>-</v>
      </c>
      <c r="D13650" t="str">
        <v>-</v>
      </c>
      <c r="E13650" t="str">
        <v/>
      </c>
      <c r="F13650" t="str">
        <v>-</v>
      </c>
      <c r="G13650" t="str">
        <v>-</v>
      </c>
    </row>
    <row r="13651">
      <c r="A13651">
        <v>13650</v>
      </c>
      <c r="B13651" t="str">
        <v>UBND Ủy ban nhân dân thị trấn NT Trần Phú  tỉnh Yên Bái</v>
      </c>
      <c r="C13651" t="str">
        <v>-</v>
      </c>
      <c r="D13651" t="str">
        <v>-</v>
      </c>
      <c r="E13651" t="str">
        <v>-</v>
      </c>
      <c r="F13651" t="str">
        <v>-</v>
      </c>
      <c r="G13651" t="str">
        <v>-</v>
      </c>
    </row>
    <row r="13652">
      <c r="A13652">
        <v>13651</v>
      </c>
      <c r="B13652" t="str">
        <v>Công an thị trấn Yên Bình  tỉnh Yên Bái</v>
      </c>
      <c r="C13652" t="str">
        <v>-</v>
      </c>
      <c r="D13652" t="str">
        <v>-</v>
      </c>
      <c r="E13652" t="str">
        <v/>
      </c>
      <c r="F13652" t="str">
        <v>-</v>
      </c>
      <c r="G13652" t="str">
        <v>-</v>
      </c>
    </row>
    <row r="13653">
      <c r="A13653">
        <v>13652</v>
      </c>
      <c r="B13653" t="str">
        <v>UBND Ủy ban nhân dân thị trấn Yên Bình  tỉnh Yên Bái</v>
      </c>
      <c r="C13653" t="str">
        <v>-</v>
      </c>
      <c r="D13653" t="str">
        <v>-</v>
      </c>
      <c r="E13653" t="str">
        <v>-</v>
      </c>
      <c r="F13653" t="str">
        <v>-</v>
      </c>
      <c r="G13653" t="str">
        <v>-</v>
      </c>
    </row>
    <row r="13654">
      <c r="A13654">
        <v>13653</v>
      </c>
      <c r="B13654" t="str">
        <v>Công an thị trấn Thác Bà  tỉnh Yên Bái</v>
      </c>
      <c r="C13654" t="str">
        <v>-</v>
      </c>
      <c r="D13654" t="str">
        <v>-</v>
      </c>
      <c r="E13654" t="str">
        <v/>
      </c>
      <c r="F13654" t="str">
        <v>-</v>
      </c>
      <c r="G13654" t="str">
        <v>-</v>
      </c>
    </row>
    <row r="13655">
      <c r="A13655">
        <v>13654</v>
      </c>
      <c r="B13655" t="str">
        <v>UBND Ủy ban nhân dân thị trấn Thác Bà  tỉnh Yên Bái</v>
      </c>
      <c r="C13655" t="str">
        <v>-</v>
      </c>
      <c r="D13655" t="str">
        <v>-</v>
      </c>
      <c r="E13655" t="str">
        <v>-</v>
      </c>
      <c r="F13655" t="str">
        <v>-</v>
      </c>
      <c r="G13655" t="str">
        <v>-</v>
      </c>
    </row>
    <row r="13656">
      <c r="A13656">
        <v>13655</v>
      </c>
      <c r="B13656" t="str">
        <v>Công an thị trấn Đà Bắc  tỉnh Hòa Bình</v>
      </c>
      <c r="C13656" t="str">
        <v>-</v>
      </c>
      <c r="D13656" t="str">
        <v>-</v>
      </c>
      <c r="E13656" t="str">
        <v/>
      </c>
      <c r="F13656" t="str">
        <v>-</v>
      </c>
      <c r="G13656" t="str">
        <v>-</v>
      </c>
    </row>
    <row r="13657">
      <c r="A13657">
        <v>13656</v>
      </c>
      <c r="B13657" t="str">
        <v>UBND Ủy ban nhân dân thị trấn Đà Bắc  tỉnh Hòa Bình</v>
      </c>
      <c r="C13657" t="str">
        <v>-</v>
      </c>
      <c r="D13657" t="str">
        <v>-</v>
      </c>
      <c r="E13657" t="str">
        <v>-</v>
      </c>
      <c r="F13657" t="str">
        <v>-</v>
      </c>
      <c r="G13657" t="str">
        <v>-</v>
      </c>
    </row>
    <row r="13658">
      <c r="A13658">
        <v>13657</v>
      </c>
      <c r="B13658" t="str">
        <v>Công an thị trấn Kỳ Sơn  tỉnh Hòa Bình</v>
      </c>
      <c r="C13658" t="str">
        <v>-</v>
      </c>
      <c r="D13658" t="str">
        <v>-</v>
      </c>
      <c r="E13658" t="str">
        <v/>
      </c>
      <c r="F13658" t="str">
        <v>-</v>
      </c>
      <c r="G13658" t="str">
        <v>-</v>
      </c>
    </row>
    <row r="13659">
      <c r="A13659">
        <v>13658</v>
      </c>
      <c r="B13659" t="str">
        <v>UBND Ủy ban nhân dân thị trấn Kỳ Sơn  tỉnh Hòa Bình</v>
      </c>
      <c r="C13659" t="str">
        <v>-</v>
      </c>
      <c r="D13659" t="str">
        <v>-</v>
      </c>
      <c r="E13659" t="str">
        <v>-</v>
      </c>
      <c r="F13659" t="str">
        <v>-</v>
      </c>
      <c r="G13659" t="str">
        <v>-</v>
      </c>
    </row>
    <row r="13660">
      <c r="A13660">
        <v>13659</v>
      </c>
      <c r="B13660" t="str">
        <v>Công an thị trấn Lương Sơn  tỉnh Hòa Bình</v>
      </c>
      <c r="C13660" t="str">
        <v>-</v>
      </c>
      <c r="D13660" t="str">
        <v>-</v>
      </c>
      <c r="E13660" t="str">
        <v/>
      </c>
      <c r="F13660" t="str">
        <v>-</v>
      </c>
      <c r="G13660" t="str">
        <v>-</v>
      </c>
    </row>
    <row r="13661">
      <c r="A13661">
        <v>13660</v>
      </c>
      <c r="B13661" t="str">
        <v>UBND Ủy ban nhân dân thị trấn Lương Sơn  tỉnh Hòa Bình</v>
      </c>
      <c r="C13661" t="str">
        <v>-</v>
      </c>
      <c r="D13661" t="str">
        <v>-</v>
      </c>
      <c r="E13661" t="str">
        <v>-</v>
      </c>
      <c r="F13661" t="str">
        <v>-</v>
      </c>
      <c r="G13661" t="str">
        <v>-</v>
      </c>
    </row>
    <row r="13662">
      <c r="A13662">
        <v>13661</v>
      </c>
      <c r="B13662" t="str">
        <v>Công an thị trấn Bo  tỉnh Hòa Bình</v>
      </c>
      <c r="C13662" t="str">
        <v>-</v>
      </c>
      <c r="D13662" t="str">
        <v>-</v>
      </c>
      <c r="E13662" t="str">
        <v/>
      </c>
      <c r="F13662" t="str">
        <v>-</v>
      </c>
      <c r="G13662" t="str">
        <v>-</v>
      </c>
    </row>
    <row r="13663">
      <c r="A13663">
        <v>13662</v>
      </c>
      <c r="B13663" t="str">
        <v>UBND Ủy ban nhân dân thị trấn Bo  tỉnh Hòa Bình</v>
      </c>
      <c r="C13663" t="str">
        <v>-</v>
      </c>
      <c r="D13663" t="str">
        <v>-</v>
      </c>
      <c r="E13663" t="str">
        <v>-</v>
      </c>
      <c r="F13663" t="str">
        <v>-</v>
      </c>
      <c r="G13663" t="str">
        <v>-</v>
      </c>
    </row>
    <row r="13664">
      <c r="A13664">
        <v>13663</v>
      </c>
      <c r="B13664" t="str">
        <v>Công an thị trấn Cao Phong  tỉnh Hòa Bình</v>
      </c>
      <c r="C13664" t="str">
        <v>-</v>
      </c>
      <c r="D13664" t="str">
        <v>-</v>
      </c>
      <c r="E13664" t="str">
        <v/>
      </c>
      <c r="F13664" t="str">
        <v>-</v>
      </c>
      <c r="G13664" t="str">
        <v>-</v>
      </c>
    </row>
    <row r="13665">
      <c r="A13665">
        <v>13664</v>
      </c>
      <c r="B13665" t="str">
        <v>UBND Ủy ban nhân dân thị trấn Cao Phong  tỉnh Hòa Bình</v>
      </c>
      <c r="C13665" t="str">
        <v>-</v>
      </c>
      <c r="D13665" t="str">
        <v>-</v>
      </c>
      <c r="E13665" t="str">
        <v>-</v>
      </c>
      <c r="F13665" t="str">
        <v>-</v>
      </c>
      <c r="G13665" t="str">
        <v>-</v>
      </c>
    </row>
    <row r="13666">
      <c r="A13666">
        <v>13665</v>
      </c>
      <c r="B13666" t="str">
        <v>Công an thị trấn Mường Khến  tỉnh Hòa Bình</v>
      </c>
      <c r="C13666" t="str">
        <v>-</v>
      </c>
      <c r="D13666" t="str">
        <v>-</v>
      </c>
      <c r="E13666" t="str">
        <v/>
      </c>
      <c r="F13666" t="str">
        <v>-</v>
      </c>
      <c r="G13666" t="str">
        <v>-</v>
      </c>
    </row>
    <row r="13667">
      <c r="A13667">
        <v>13666</v>
      </c>
      <c r="B13667" t="str">
        <v>UBND Ủy ban nhân dân thị trấn Mường Khến  tỉnh Hòa Bình</v>
      </c>
      <c r="C13667" t="str">
        <v>-</v>
      </c>
      <c r="D13667" t="str">
        <v>-</v>
      </c>
      <c r="E13667" t="str">
        <v>-</v>
      </c>
      <c r="F13667" t="str">
        <v>-</v>
      </c>
      <c r="G13667" t="str">
        <v>-</v>
      </c>
    </row>
    <row r="13668">
      <c r="A13668">
        <v>13667</v>
      </c>
      <c r="B13668" t="str">
        <v>Công an thị trấn Mai Châu  tỉnh Hòa Bình</v>
      </c>
      <c r="C13668" t="str">
        <v>-</v>
      </c>
      <c r="D13668" t="str">
        <v>-</v>
      </c>
      <c r="E13668" t="str">
        <v/>
      </c>
      <c r="F13668" t="str">
        <v>-</v>
      </c>
      <c r="G13668" t="str">
        <v>-</v>
      </c>
    </row>
    <row r="13669">
      <c r="A13669">
        <v>13668</v>
      </c>
      <c r="B13669" t="str">
        <v>UBND Ủy ban nhân dân thị trấn Mai Châu  tỉnh Hòa Bình</v>
      </c>
      <c r="C13669" t="str">
        <v>-</v>
      </c>
      <c r="D13669" t="str">
        <v>-</v>
      </c>
      <c r="E13669" t="str">
        <v>-</v>
      </c>
      <c r="F13669" t="str">
        <v>-</v>
      </c>
      <c r="G13669" t="str">
        <v>-</v>
      </c>
    </row>
    <row r="13670">
      <c r="A13670">
        <v>13669</v>
      </c>
      <c r="B13670" t="str">
        <v>Công an thị trấn Vụ Bản  tỉnh Hòa Bình</v>
      </c>
      <c r="C13670" t="str">
        <v>-</v>
      </c>
      <c r="D13670" t="str">
        <v>-</v>
      </c>
      <c r="E13670" t="str">
        <v/>
      </c>
      <c r="F13670" t="str">
        <v>-</v>
      </c>
      <c r="G13670" t="str">
        <v>-</v>
      </c>
    </row>
    <row r="13671">
      <c r="A13671">
        <v>13670</v>
      </c>
      <c r="B13671" t="str">
        <v>UBND Ủy ban nhân dân thị trấn Vụ Bản  tỉnh Hòa Bình</v>
      </c>
      <c r="C13671" t="str">
        <v>-</v>
      </c>
      <c r="D13671" t="str">
        <v>-</v>
      </c>
      <c r="E13671" t="str">
        <v>-</v>
      </c>
      <c r="F13671" t="str">
        <v>-</v>
      </c>
      <c r="G13671" t="str">
        <v>-</v>
      </c>
    </row>
    <row r="13672">
      <c r="A13672">
        <v>13671</v>
      </c>
      <c r="B13672" t="str">
        <v>Công an thị trấn Hàng Trạm  tỉnh Hòa Bình</v>
      </c>
      <c r="C13672" t="str">
        <v>-</v>
      </c>
      <c r="D13672" t="str">
        <v>-</v>
      </c>
      <c r="E13672" t="str">
        <v/>
      </c>
      <c r="F13672" t="str">
        <v>-</v>
      </c>
      <c r="G13672" t="str">
        <v>-</v>
      </c>
    </row>
    <row r="13673">
      <c r="A13673">
        <v>13672</v>
      </c>
      <c r="B13673" t="str">
        <v>UBND Ủy ban nhân dân thị trấn Hàng Trạm  tỉnh Hòa Bình</v>
      </c>
      <c r="C13673" t="str">
        <v>-</v>
      </c>
      <c r="D13673" t="str">
        <v>-</v>
      </c>
      <c r="E13673" t="str">
        <v>-</v>
      </c>
      <c r="F13673" t="str">
        <v>-</v>
      </c>
      <c r="G13673" t="str">
        <v>-</v>
      </c>
    </row>
    <row r="13674">
      <c r="A13674">
        <v>13673</v>
      </c>
      <c r="B13674" t="str">
        <v>Công an thị trấn Thanh Hà  tỉnh Hòa Bình</v>
      </c>
      <c r="C13674" t="str">
        <v>-</v>
      </c>
      <c r="D13674" t="str">
        <v>-</v>
      </c>
      <c r="E13674" t="str">
        <v/>
      </c>
      <c r="F13674" t="str">
        <v>-</v>
      </c>
      <c r="G13674" t="str">
        <v>-</v>
      </c>
    </row>
    <row r="13675">
      <c r="A13675">
        <v>13674</v>
      </c>
      <c r="B13675" t="str">
        <v>UBND Ủy ban nhân dân thị trấn Thanh Hà  tỉnh Hòa Bình</v>
      </c>
      <c r="C13675" t="str">
        <v>-</v>
      </c>
      <c r="D13675" t="str">
        <v>-</v>
      </c>
      <c r="E13675" t="str">
        <v>-</v>
      </c>
      <c r="F13675" t="str">
        <v>-</v>
      </c>
      <c r="G13675" t="str">
        <v>-</v>
      </c>
    </row>
    <row r="13676">
      <c r="A13676">
        <v>13675</v>
      </c>
      <c r="B13676" t="str">
        <v>Công an thị trấn Chi Nê  tỉnh Hòa Bình</v>
      </c>
      <c r="C13676" t="str">
        <v>-</v>
      </c>
      <c r="D13676" t="str">
        <v>-</v>
      </c>
      <c r="E13676" t="str">
        <v/>
      </c>
      <c r="F13676" t="str">
        <v>-</v>
      </c>
      <c r="G13676" t="str">
        <v>-</v>
      </c>
    </row>
    <row r="13677">
      <c r="A13677">
        <v>13676</v>
      </c>
      <c r="B13677" t="str">
        <v>UBND Ủy ban nhân dân thị trấn Chi Nê  tỉnh Hòa Bình</v>
      </c>
      <c r="C13677" t="str">
        <v>-</v>
      </c>
      <c r="D13677" t="str">
        <v>-</v>
      </c>
      <c r="E13677" t="str">
        <v>-</v>
      </c>
      <c r="F13677" t="str">
        <v>-</v>
      </c>
      <c r="G13677" t="str">
        <v>-</v>
      </c>
    </row>
    <row r="13678">
      <c r="A13678">
        <v>13677</v>
      </c>
      <c r="B13678" t="str">
        <v>Công an thị trấn Chợ Chu  tỉnh Thái Nguyên</v>
      </c>
      <c r="C13678" t="str">
        <v>-</v>
      </c>
      <c r="D13678" t="str">
        <v>-</v>
      </c>
      <c r="E13678" t="str">
        <v/>
      </c>
      <c r="F13678" t="str">
        <v>-</v>
      </c>
      <c r="G13678" t="str">
        <v>-</v>
      </c>
    </row>
    <row r="13679">
      <c r="A13679">
        <v>13678</v>
      </c>
      <c r="B13679" t="str">
        <v>UBND Ủy ban nhân dân thị trấn Chợ Chu  tỉnh Thái Nguyên</v>
      </c>
      <c r="C13679" t="str">
        <v>-</v>
      </c>
      <c r="D13679" t="str">
        <v>-</v>
      </c>
      <c r="E13679" t="str">
        <v>-</v>
      </c>
      <c r="F13679" t="str">
        <v>-</v>
      </c>
      <c r="G13679" t="str">
        <v>-</v>
      </c>
    </row>
    <row r="13680">
      <c r="A13680">
        <v>13679</v>
      </c>
      <c r="B13680" t="str">
        <v>Công an thị trấn Giang Tiên  tỉnh Thái Nguyên</v>
      </c>
      <c r="C13680" t="str">
        <v>-</v>
      </c>
      <c r="D13680" t="str">
        <v>-</v>
      </c>
      <c r="E13680" t="str">
        <v/>
      </c>
      <c r="F13680" t="str">
        <v>-</v>
      </c>
      <c r="G13680" t="str">
        <v>-</v>
      </c>
    </row>
    <row r="13681">
      <c r="A13681">
        <v>13680</v>
      </c>
      <c r="B13681" t="str">
        <v>UBND Ủy ban nhân dân thị trấn Giang Tiên  tỉnh Thái Nguyên</v>
      </c>
      <c r="C13681" t="str">
        <v>-</v>
      </c>
      <c r="D13681" t="str">
        <v>-</v>
      </c>
      <c r="E13681" t="str">
        <v>-</v>
      </c>
      <c r="F13681" t="str">
        <v>-</v>
      </c>
      <c r="G13681" t="str">
        <v>-</v>
      </c>
    </row>
    <row r="13682">
      <c r="A13682">
        <v>13681</v>
      </c>
      <c r="B13682" t="str">
        <v>Công an thị trấn Đu  tỉnh Thái Nguyên</v>
      </c>
      <c r="C13682" t="str">
        <v>-</v>
      </c>
      <c r="D13682" t="str">
        <v>-</v>
      </c>
      <c r="E13682" t="str">
        <v/>
      </c>
      <c r="F13682" t="str">
        <v>-</v>
      </c>
      <c r="G13682" t="str">
        <v>-</v>
      </c>
    </row>
    <row r="13683">
      <c r="A13683">
        <v>13682</v>
      </c>
      <c r="B13683" t="str">
        <v>UBND Ủy ban nhân dân thị trấn Đu  tỉnh Thái Nguyên</v>
      </c>
      <c r="C13683" t="str">
        <v>-</v>
      </c>
      <c r="D13683" t="str">
        <v>-</v>
      </c>
      <c r="E13683" t="str">
        <v>-</v>
      </c>
      <c r="F13683" t="str">
        <v>-</v>
      </c>
      <c r="G13683" t="str">
        <v>-</v>
      </c>
    </row>
    <row r="13684">
      <c r="A13684">
        <v>13683</v>
      </c>
      <c r="B13684" t="str">
        <v>Công an thị trấn Sông Cầu  tỉnh Thái Nguyên</v>
      </c>
      <c r="C13684" t="str">
        <v>-</v>
      </c>
      <c r="D13684" t="str">
        <v>-</v>
      </c>
      <c r="E13684" t="str">
        <v/>
      </c>
      <c r="F13684" t="str">
        <v>-</v>
      </c>
      <c r="G13684" t="str">
        <v>-</v>
      </c>
    </row>
    <row r="13685">
      <c r="A13685">
        <v>13684</v>
      </c>
      <c r="B13685" t="str">
        <v>UBND Ủy ban nhân dân thị trấn Sông Cầu  tỉnh Thái Nguyên</v>
      </c>
      <c r="C13685" t="str">
        <v>-</v>
      </c>
      <c r="D13685" t="str">
        <v>-</v>
      </c>
      <c r="E13685" t="str">
        <v>-</v>
      </c>
      <c r="F13685" t="str">
        <v>-</v>
      </c>
      <c r="G13685" t="str">
        <v>-</v>
      </c>
    </row>
    <row r="13686">
      <c r="A13686">
        <v>13685</v>
      </c>
      <c r="B13686" t="str">
        <v>Công an thị trấn Trại Cau  tỉnh Thái Nguyên</v>
      </c>
      <c r="C13686" t="str">
        <v>-</v>
      </c>
      <c r="D13686" t="str">
        <v>-</v>
      </c>
      <c r="E13686" t="str">
        <v/>
      </c>
      <c r="F13686" t="str">
        <v>-</v>
      </c>
      <c r="G13686" t="str">
        <v>-</v>
      </c>
    </row>
    <row r="13687">
      <c r="A13687">
        <v>13686</v>
      </c>
      <c r="B13687" t="str">
        <v>UBND Ủy ban nhân dân thị trấn Trại Cau  tỉnh Thái Nguyên</v>
      </c>
      <c r="C13687" t="str">
        <v>-</v>
      </c>
      <c r="D13687" t="str">
        <v>-</v>
      </c>
      <c r="E13687" t="str">
        <v>-</v>
      </c>
      <c r="F13687" t="str">
        <v>-</v>
      </c>
      <c r="G13687" t="str">
        <v>-</v>
      </c>
    </row>
    <row r="13688">
      <c r="A13688">
        <v>13687</v>
      </c>
      <c r="B13688" t="str">
        <v>Công an thị trấn Đình Cả  tỉnh Thái Nguyên</v>
      </c>
      <c r="C13688" t="str">
        <v>-</v>
      </c>
      <c r="D13688" t="str">
        <v>-</v>
      </c>
      <c r="E13688" t="str">
        <v/>
      </c>
      <c r="F13688" t="str">
        <v>-</v>
      </c>
      <c r="G13688" t="str">
        <v>-</v>
      </c>
    </row>
    <row r="13689">
      <c r="A13689">
        <v>13688</v>
      </c>
      <c r="B13689" t="str">
        <v>UBND Ủy ban nhân dân thị trấn Đình Cả  tỉnh Thái Nguyên</v>
      </c>
      <c r="C13689" t="str">
        <v>-</v>
      </c>
      <c r="D13689" t="str">
        <v>-</v>
      </c>
      <c r="E13689" t="str">
        <v>-</v>
      </c>
      <c r="F13689" t="str">
        <v>-</v>
      </c>
      <c r="G13689" t="str">
        <v>-</v>
      </c>
    </row>
    <row r="13690">
      <c r="A13690">
        <v>13689</v>
      </c>
      <c r="B13690" t="str">
        <v>Công an thị trấn Hùng Sơn  tỉnh Thái Nguyên</v>
      </c>
      <c r="C13690" t="str">
        <v>-</v>
      </c>
      <c r="D13690" t="str">
        <v>-</v>
      </c>
      <c r="E13690" t="str">
        <v/>
      </c>
      <c r="F13690" t="str">
        <v>-</v>
      </c>
      <c r="G13690" t="str">
        <v>-</v>
      </c>
    </row>
    <row r="13691">
      <c r="A13691">
        <v>13690</v>
      </c>
      <c r="B13691" t="str">
        <v>UBND Ủy ban nhân dân thị trấn Hùng Sơn  tỉnh Thái Nguyên</v>
      </c>
      <c r="C13691" t="str">
        <v>-</v>
      </c>
      <c r="D13691" t="str">
        <v>-</v>
      </c>
      <c r="E13691" t="str">
        <v>-</v>
      </c>
      <c r="F13691" t="str">
        <v>-</v>
      </c>
      <c r="G13691" t="str">
        <v>-</v>
      </c>
    </row>
    <row r="13692">
      <c r="A13692">
        <v>13691</v>
      </c>
      <c r="B13692" t="str">
        <v>Công an thị trấn Quân Chu  tỉnh Thái Nguyên</v>
      </c>
      <c r="C13692" t="str">
        <v>-</v>
      </c>
      <c r="D13692" t="str">
        <v>-</v>
      </c>
      <c r="E13692" t="str">
        <v/>
      </c>
      <c r="F13692" t="str">
        <v>-</v>
      </c>
      <c r="G13692" t="str">
        <v>-</v>
      </c>
    </row>
    <row r="13693">
      <c r="A13693">
        <v>13692</v>
      </c>
      <c r="B13693" t="str">
        <v>UBND Ủy ban nhân dân thị trấn Quân Chu  tỉnh Thái Nguyên</v>
      </c>
      <c r="C13693" t="str">
        <v>-</v>
      </c>
      <c r="D13693" t="str">
        <v>-</v>
      </c>
      <c r="E13693" t="str">
        <v>-</v>
      </c>
      <c r="F13693" t="str">
        <v>-</v>
      </c>
      <c r="G13693" t="str">
        <v>-</v>
      </c>
    </row>
    <row r="13694">
      <c r="A13694">
        <v>13693</v>
      </c>
      <c r="B13694" t="str">
        <v>Công an thị trấn Hương Sơn  tỉnh Thái Nguyên</v>
      </c>
      <c r="C13694" t="str">
        <v>-</v>
      </c>
      <c r="D13694" t="str">
        <v>-</v>
      </c>
      <c r="E13694" t="str">
        <v/>
      </c>
      <c r="F13694" t="str">
        <v>-</v>
      </c>
      <c r="G13694" t="str">
        <v>-</v>
      </c>
    </row>
    <row r="13695">
      <c r="A13695">
        <v>13694</v>
      </c>
      <c r="B13695" t="str">
        <v>UBND Ủy ban nhân dân thị trấn Hương Sơn  tỉnh Thái Nguyên</v>
      </c>
      <c r="C13695" t="str">
        <v>-</v>
      </c>
      <c r="D13695" t="str">
        <v>-</v>
      </c>
      <c r="E13695" t="str">
        <v>-</v>
      </c>
      <c r="F13695" t="str">
        <v>-</v>
      </c>
      <c r="G13695" t="str">
        <v>-</v>
      </c>
    </row>
    <row r="13696">
      <c r="A13696">
        <v>13695</v>
      </c>
      <c r="B13696" t="str">
        <v>Công an thị trấn Thất Khê  tỉnh Lạng Sơn</v>
      </c>
      <c r="C13696" t="str">
        <v>-</v>
      </c>
      <c r="D13696" t="str">
        <v>-</v>
      </c>
      <c r="E13696" t="str">
        <v/>
      </c>
      <c r="F13696" t="str">
        <v>-</v>
      </c>
      <c r="G13696" t="str">
        <v>-</v>
      </c>
    </row>
    <row r="13697">
      <c r="A13697">
        <v>13696</v>
      </c>
      <c r="B13697" t="str">
        <v>UBND Ủy ban nhân dân thị trấn Thất Khê  tỉnh Lạng Sơn</v>
      </c>
      <c r="C13697" t="str">
        <v>-</v>
      </c>
      <c r="D13697" t="str">
        <v>-</v>
      </c>
      <c r="E13697" t="str">
        <v>-</v>
      </c>
      <c r="F13697" t="str">
        <v>-</v>
      </c>
      <c r="G13697" t="str">
        <v>-</v>
      </c>
    </row>
    <row r="13698">
      <c r="A13698">
        <v>13697</v>
      </c>
      <c r="B13698" t="str">
        <v>Công an thị trấn Na Sầm  tỉnh Lạng Sơn</v>
      </c>
      <c r="C13698" t="str">
        <v>-</v>
      </c>
      <c r="D13698" t="str">
        <v>-</v>
      </c>
      <c r="E13698" t="str">
        <v/>
      </c>
      <c r="F13698" t="str">
        <v>-</v>
      </c>
      <c r="G13698" t="str">
        <v>-</v>
      </c>
    </row>
    <row r="13699">
      <c r="A13699">
        <v>13698</v>
      </c>
      <c r="B13699" t="str">
        <v>UBND Ủy ban nhân dân thị trấn Na Sầm  tỉnh Lạng Sơn</v>
      </c>
      <c r="C13699" t="str">
        <v>-</v>
      </c>
      <c r="D13699" t="str">
        <v>-</v>
      </c>
      <c r="E13699" t="str">
        <v>-</v>
      </c>
      <c r="F13699" t="str">
        <v>-</v>
      </c>
      <c r="G13699" t="str">
        <v>-</v>
      </c>
    </row>
    <row r="13700">
      <c r="A13700">
        <v>13699</v>
      </c>
      <c r="B13700" t="str">
        <v>Công an thị trấn Đồng Đăng  tỉnh Lạng Sơn</v>
      </c>
      <c r="C13700" t="str">
        <v>-</v>
      </c>
      <c r="D13700" t="str">
        <v>-</v>
      </c>
      <c r="E13700" t="str">
        <v/>
      </c>
      <c r="F13700" t="str">
        <v>-</v>
      </c>
      <c r="G13700" t="str">
        <v>-</v>
      </c>
    </row>
    <row r="13701">
      <c r="A13701">
        <v>13700</v>
      </c>
      <c r="B13701" t="str">
        <v>UBND Ủy ban nhân dân thị trấn Đồng Đăng  tỉnh Lạng Sơn</v>
      </c>
      <c r="C13701" t="str">
        <v>-</v>
      </c>
      <c r="D13701" t="str">
        <v>-</v>
      </c>
      <c r="E13701" t="str">
        <v>-</v>
      </c>
      <c r="F13701" t="str">
        <v>-</v>
      </c>
      <c r="G13701" t="str">
        <v>-</v>
      </c>
    </row>
    <row r="13702">
      <c r="A13702">
        <v>13701</v>
      </c>
      <c r="B13702" t="str">
        <v>Công an thị trấn Cao Lộc  tỉnh Lạng Sơn</v>
      </c>
      <c r="C13702" t="str">
        <v>-</v>
      </c>
      <c r="D13702" t="str">
        <v>-</v>
      </c>
      <c r="E13702" t="str">
        <v/>
      </c>
      <c r="F13702" t="str">
        <v>-</v>
      </c>
      <c r="G13702" t="str">
        <v>-</v>
      </c>
    </row>
    <row r="13703">
      <c r="A13703">
        <v>13702</v>
      </c>
      <c r="B13703" t="str">
        <v>UBND Ủy ban nhân dân thị trấn Cao Lộc  tỉnh Lạng Sơn</v>
      </c>
      <c r="C13703" t="str">
        <v>-</v>
      </c>
      <c r="D13703" t="str">
        <v>-</v>
      </c>
      <c r="E13703" t="str">
        <v>-</v>
      </c>
      <c r="F13703" t="str">
        <v>-</v>
      </c>
      <c r="G13703" t="str">
        <v>-</v>
      </c>
    </row>
    <row r="13704">
      <c r="A13704">
        <v>13703</v>
      </c>
      <c r="B13704" t="str">
        <v>Công an thị trấn Văn Quan  tỉnh Lạng Sơn</v>
      </c>
      <c r="C13704" t="str">
        <v>-</v>
      </c>
      <c r="D13704" t="str">
        <v>-</v>
      </c>
      <c r="E13704" t="str">
        <v/>
      </c>
      <c r="F13704" t="str">
        <v>-</v>
      </c>
      <c r="G13704" t="str">
        <v>-</v>
      </c>
    </row>
    <row r="13705">
      <c r="A13705">
        <v>13704</v>
      </c>
      <c r="B13705" t="str">
        <v>UBND Ủy ban nhân dân thị trấn Văn Quan  tỉnh Lạng Sơn</v>
      </c>
      <c r="C13705" t="str">
        <v>-</v>
      </c>
      <c r="D13705" t="str">
        <v>-</v>
      </c>
      <c r="E13705" t="str">
        <v>-</v>
      </c>
      <c r="F13705" t="str">
        <v>-</v>
      </c>
      <c r="G13705" t="str">
        <v>-</v>
      </c>
    </row>
    <row r="13706">
      <c r="A13706">
        <v>13705</v>
      </c>
      <c r="B13706" t="str">
        <v>Công an thị trấn Bắc Sơn  tỉnh Lạng Sơn</v>
      </c>
      <c r="C13706" t="str">
        <v>-</v>
      </c>
      <c r="D13706" t="str">
        <v>-</v>
      </c>
      <c r="E13706" t="str">
        <v/>
      </c>
      <c r="F13706" t="str">
        <v>-</v>
      </c>
      <c r="G13706" t="str">
        <v>-</v>
      </c>
    </row>
    <row r="13707">
      <c r="A13707">
        <v>13706</v>
      </c>
      <c r="B13707" t="str">
        <v>UBND Ủy ban nhân dân thị trấn Bắc Sơn  tỉnh Lạng Sơn</v>
      </c>
      <c r="C13707" t="str">
        <v>-</v>
      </c>
      <c r="D13707" t="str">
        <v>-</v>
      </c>
      <c r="E13707" t="str">
        <v>-</v>
      </c>
      <c r="F13707" t="str">
        <v>-</v>
      </c>
      <c r="G13707" t="str">
        <v>-</v>
      </c>
    </row>
    <row r="13708">
      <c r="A13708">
        <v>13707</v>
      </c>
      <c r="B13708" t="str">
        <v>Công an thị trấn Hữu Lũng  tỉnh Lạng Sơn</v>
      </c>
      <c r="C13708" t="str">
        <v>-</v>
      </c>
      <c r="D13708" t="str">
        <v>-</v>
      </c>
      <c r="E13708" t="str">
        <v/>
      </c>
      <c r="F13708" t="str">
        <v>-</v>
      </c>
      <c r="G13708" t="str">
        <v>-</v>
      </c>
    </row>
    <row r="13709">
      <c r="A13709">
        <v>13708</v>
      </c>
      <c r="B13709" t="str">
        <v>UBND Ủy ban nhân dân thị trấn Hữu Lũng  tỉnh Lạng Sơn</v>
      </c>
      <c r="C13709" t="str">
        <v>-</v>
      </c>
      <c r="D13709" t="str">
        <v>-</v>
      </c>
      <c r="E13709" t="str">
        <v>-</v>
      </c>
      <c r="F13709" t="str">
        <v>-</v>
      </c>
      <c r="G13709" t="str">
        <v>-</v>
      </c>
    </row>
    <row r="13710">
      <c r="A13710">
        <v>13709</v>
      </c>
      <c r="B13710" t="str">
        <v>Công an thị trấn Đồng Mỏ  tỉnh Lạng Sơn</v>
      </c>
      <c r="C13710" t="str">
        <v>-</v>
      </c>
      <c r="D13710" t="str">
        <v>-</v>
      </c>
      <c r="E13710" t="str">
        <v/>
      </c>
      <c r="F13710" t="str">
        <v>-</v>
      </c>
      <c r="G13710" t="str">
        <v>-</v>
      </c>
    </row>
    <row r="13711">
      <c r="A13711">
        <v>13710</v>
      </c>
      <c r="B13711" t="str">
        <v>UBND Ủy ban nhân dân thị trấn Đồng Mỏ  tỉnh Lạng Sơn</v>
      </c>
      <c r="C13711" t="str">
        <v>-</v>
      </c>
      <c r="D13711" t="str">
        <v>-</v>
      </c>
      <c r="E13711" t="str">
        <v>-</v>
      </c>
      <c r="F13711" t="str">
        <v>-</v>
      </c>
      <c r="G13711" t="str">
        <v>-</v>
      </c>
    </row>
    <row r="13712">
      <c r="A13712">
        <v>13711</v>
      </c>
      <c r="B13712" t="str">
        <v>Công an thị trấn Chi Lăng  tỉnh Lạng Sơn</v>
      </c>
      <c r="C13712" t="str">
        <v>-</v>
      </c>
      <c r="D13712" t="str">
        <v>-</v>
      </c>
      <c r="E13712" t="str">
        <v/>
      </c>
      <c r="F13712" t="str">
        <v>-</v>
      </c>
      <c r="G13712" t="str">
        <v>-</v>
      </c>
    </row>
    <row r="13713">
      <c r="A13713">
        <v>13712</v>
      </c>
      <c r="B13713" t="str">
        <v>UBND Ủy ban nhân dân thị trấn Chi Lăng  tỉnh Lạng Sơn</v>
      </c>
      <c r="C13713" t="str">
        <v>-</v>
      </c>
      <c r="D13713" t="str">
        <v>-</v>
      </c>
      <c r="E13713" t="str">
        <v>-</v>
      </c>
      <c r="F13713" t="str">
        <v>-</v>
      </c>
      <c r="G13713" t="str">
        <v>-</v>
      </c>
    </row>
    <row r="13714">
      <c r="A13714">
        <v>13713</v>
      </c>
      <c r="B13714" t="str">
        <v>Công an thị trấn Na Dương  tỉnh Lạng Sơn</v>
      </c>
      <c r="C13714" t="str">
        <v>-</v>
      </c>
      <c r="D13714" t="str">
        <v>-</v>
      </c>
      <c r="E13714" t="str">
        <v/>
      </c>
      <c r="F13714" t="str">
        <v>-</v>
      </c>
      <c r="G13714" t="str">
        <v>-</v>
      </c>
    </row>
    <row r="13715">
      <c r="A13715">
        <v>13714</v>
      </c>
      <c r="B13715" t="str">
        <v>UBND Ủy ban nhân dân thị trấn Na Dương  tỉnh Lạng Sơn</v>
      </c>
      <c r="C13715" t="str">
        <v>-</v>
      </c>
      <c r="D13715" t="str">
        <v>-</v>
      </c>
      <c r="E13715" t="str">
        <v>-</v>
      </c>
      <c r="F13715" t="str">
        <v>-</v>
      </c>
      <c r="G13715" t="str">
        <v>-</v>
      </c>
    </row>
    <row r="13716">
      <c r="A13716">
        <v>13715</v>
      </c>
      <c r="B13716" t="str">
        <v>Công an thị trấn Lộc Bình  tỉnh Lạng Sơn</v>
      </c>
      <c r="C13716" t="str">
        <v>-</v>
      </c>
      <c r="D13716" t="str">
        <v>-</v>
      </c>
      <c r="E13716" t="str">
        <v/>
      </c>
      <c r="F13716" t="str">
        <v>-</v>
      </c>
      <c r="G13716" t="str">
        <v>-</v>
      </c>
    </row>
    <row r="13717">
      <c r="A13717">
        <v>13716</v>
      </c>
      <c r="B13717" t="str">
        <v>UBND Ủy ban nhân dân thị trấn Lộc Bình  tỉnh Lạng Sơn</v>
      </c>
      <c r="C13717" t="str">
        <v>-</v>
      </c>
      <c r="D13717" t="str">
        <v>-</v>
      </c>
      <c r="E13717" t="str">
        <v>-</v>
      </c>
      <c r="F13717" t="str">
        <v>-</v>
      </c>
      <c r="G13717" t="str">
        <v>-</v>
      </c>
    </row>
    <row r="13718">
      <c r="A13718">
        <v>13717</v>
      </c>
      <c r="B13718" t="str">
        <v>Công an thị trấn Đình Lập  tỉnh Lạng Sơn</v>
      </c>
      <c r="C13718" t="str">
        <v>-</v>
      </c>
      <c r="D13718" t="str">
        <v>-</v>
      </c>
      <c r="E13718" t="str">
        <v/>
      </c>
      <c r="F13718" t="str">
        <v>-</v>
      </c>
      <c r="G13718" t="str">
        <v>-</v>
      </c>
    </row>
    <row r="13719">
      <c r="A13719">
        <v>13718</v>
      </c>
      <c r="B13719" t="str">
        <v>UBND Ủy ban nhân dân thị trấn Đình Lập  tỉnh Lạng Sơn</v>
      </c>
      <c r="C13719" t="str">
        <v>-</v>
      </c>
      <c r="D13719" t="str">
        <v>-</v>
      </c>
      <c r="E13719" t="str">
        <v>-</v>
      </c>
      <c r="F13719" t="str">
        <v>-</v>
      </c>
      <c r="G13719" t="str">
        <v>-</v>
      </c>
    </row>
    <row r="13720">
      <c r="A13720">
        <v>13719</v>
      </c>
      <c r="B13720" t="str">
        <v>Công an thị trấn NT Thái Bình  tỉnh Lạng Sơn</v>
      </c>
      <c r="C13720" t="str">
        <v>-</v>
      </c>
      <c r="D13720" t="str">
        <v>-</v>
      </c>
      <c r="E13720" t="str">
        <v/>
      </c>
      <c r="F13720" t="str">
        <v>-</v>
      </c>
      <c r="G13720" t="str">
        <v>-</v>
      </c>
    </row>
    <row r="13721">
      <c r="A13721">
        <v>13720</v>
      </c>
      <c r="B13721" t="str">
        <v>UBND Ủy ban nhân dân thị trấn NT Thái Bình  tỉnh Lạng Sơn</v>
      </c>
      <c r="C13721" t="str">
        <v>-</v>
      </c>
      <c r="D13721" t="str">
        <v>-</v>
      </c>
      <c r="E13721" t="str">
        <v>-</v>
      </c>
      <c r="F13721" t="str">
        <v>-</v>
      </c>
      <c r="G13721" t="str">
        <v>-</v>
      </c>
    </row>
    <row r="13722">
      <c r="A13722">
        <v>13721</v>
      </c>
      <c r="B13722" t="str">
        <v>Công an thị trấn Bình Liêu  tỉnh Quảng Ninh</v>
      </c>
      <c r="C13722" t="str">
        <v>-</v>
      </c>
      <c r="D13722" t="str">
        <v>-</v>
      </c>
      <c r="E13722" t="str">
        <v/>
      </c>
      <c r="F13722" t="str">
        <v>-</v>
      </c>
      <c r="G13722" t="str">
        <v>-</v>
      </c>
    </row>
    <row r="13723">
      <c r="A13723">
        <v>13722</v>
      </c>
      <c r="B13723" t="str">
        <v>UBND Ủy ban nhân dân thị trấn Bình Liêu  tỉnh Quảng Ninh</v>
      </c>
      <c r="C13723" t="str">
        <v>-</v>
      </c>
      <c r="D13723" t="str">
        <v>-</v>
      </c>
      <c r="E13723" t="str">
        <v>-</v>
      </c>
      <c r="F13723" t="str">
        <v>-</v>
      </c>
      <c r="G13723" t="str">
        <v>-</v>
      </c>
    </row>
    <row r="13724">
      <c r="A13724">
        <v>13723</v>
      </c>
      <c r="B13724" t="str">
        <v>Công an thị trấn Tiên Yên  tỉnh Quảng Ninh</v>
      </c>
      <c r="C13724" t="str">
        <v>-</v>
      </c>
      <c r="D13724" t="str">
        <v>-</v>
      </c>
      <c r="E13724" t="str">
        <v/>
      </c>
      <c r="F13724" t="str">
        <v>-</v>
      </c>
      <c r="G13724" t="str">
        <v>-</v>
      </c>
    </row>
    <row r="13725">
      <c r="A13725">
        <v>13724</v>
      </c>
      <c r="B13725" t="str">
        <v>UBND Ủy ban nhân dân thị trấn Tiên Yên  tỉnh Quảng Ninh</v>
      </c>
      <c r="C13725" t="str">
        <v>-</v>
      </c>
      <c r="D13725" t="str">
        <v>-</v>
      </c>
      <c r="E13725" t="str">
        <v>-</v>
      </c>
      <c r="F13725" t="str">
        <v>-</v>
      </c>
      <c r="G13725" t="str">
        <v>-</v>
      </c>
    </row>
    <row r="13726">
      <c r="A13726">
        <v>13725</v>
      </c>
      <c r="B13726" t="str">
        <v>Công an thị trấn Đầm Hà  tỉnh Quảng Ninh</v>
      </c>
      <c r="C13726" t="str">
        <v>-</v>
      </c>
      <c r="D13726" t="str">
        <v>-</v>
      </c>
      <c r="E13726" t="str">
        <v/>
      </c>
      <c r="F13726" t="str">
        <v>-</v>
      </c>
      <c r="G13726" t="str">
        <v>-</v>
      </c>
    </row>
    <row r="13727">
      <c r="A13727">
        <v>13726</v>
      </c>
      <c r="B13727" t="str">
        <v>UBND Ủy ban nhân dân thị trấn Đầm Hà  tỉnh Quảng Ninh</v>
      </c>
      <c r="C13727" t="str">
        <v>-</v>
      </c>
      <c r="D13727" t="str">
        <v>-</v>
      </c>
      <c r="E13727" t="str">
        <v>-</v>
      </c>
      <c r="F13727" t="str">
        <v>-</v>
      </c>
      <c r="G13727" t="str">
        <v>-</v>
      </c>
    </row>
    <row r="13728">
      <c r="A13728">
        <v>13727</v>
      </c>
      <c r="B13728" t="str">
        <v>Công an thị trấn Quảng Hà  tỉnh Quảng Ninh</v>
      </c>
      <c r="C13728" t="str">
        <v>-</v>
      </c>
      <c r="D13728" t="str">
        <v>-</v>
      </c>
      <c r="E13728" t="str">
        <v/>
      </c>
      <c r="F13728" t="str">
        <v>-</v>
      </c>
      <c r="G13728" t="str">
        <v>-</v>
      </c>
    </row>
    <row r="13729">
      <c r="A13729">
        <v>13728</v>
      </c>
      <c r="B13729" t="str">
        <v>UBND Ủy ban nhân dân thị trấn Quảng Hà  tỉnh Quảng Ninh</v>
      </c>
      <c r="C13729" t="str">
        <v>-</v>
      </c>
      <c r="D13729" t="str">
        <v>-</v>
      </c>
      <c r="E13729" t="str">
        <v>-</v>
      </c>
      <c r="F13729" t="str">
        <v>-</v>
      </c>
      <c r="G13729" t="str">
        <v>-</v>
      </c>
    </row>
    <row r="13730">
      <c r="A13730">
        <v>13729</v>
      </c>
      <c r="B13730" t="str">
        <v>Công an thị trấn Ba Chẽ  tỉnh Quảng Ninh</v>
      </c>
      <c r="C13730" t="str">
        <v>-</v>
      </c>
      <c r="D13730" t="str">
        <v>-</v>
      </c>
      <c r="E13730" t="str">
        <v/>
      </c>
      <c r="F13730" t="str">
        <v>-</v>
      </c>
      <c r="G13730" t="str">
        <v>-</v>
      </c>
    </row>
    <row r="13731">
      <c r="A13731">
        <v>13730</v>
      </c>
      <c r="B13731" t="str">
        <v>UBND Ủy ban nhân dân thị trấn Ba Chẽ  tỉnh Quảng Ninh</v>
      </c>
      <c r="C13731" t="str">
        <v>-</v>
      </c>
      <c r="D13731" t="str">
        <v>-</v>
      </c>
      <c r="E13731" t="str">
        <v>-</v>
      </c>
      <c r="F13731" t="str">
        <v>-</v>
      </c>
      <c r="G13731" t="str">
        <v>-</v>
      </c>
    </row>
    <row r="13732">
      <c r="A13732">
        <v>13731</v>
      </c>
      <c r="B13732" t="str">
        <v>Công an thị trấn Cái Rồng  tỉnh Quảng Ninh</v>
      </c>
      <c r="C13732" t="str">
        <v>-</v>
      </c>
      <c r="D13732" t="str">
        <v>-</v>
      </c>
      <c r="E13732" t="str">
        <v/>
      </c>
      <c r="F13732" t="str">
        <v>-</v>
      </c>
      <c r="G13732" t="str">
        <v>-</v>
      </c>
    </row>
    <row r="13733">
      <c r="A13733">
        <v>13732</v>
      </c>
      <c r="B13733" t="str">
        <v>UBND Ủy ban nhân dân thị trấn Cái Rồng  tỉnh Quảng Ninh</v>
      </c>
      <c r="C13733" t="str">
        <v>-</v>
      </c>
      <c r="D13733" t="str">
        <v>-</v>
      </c>
      <c r="E13733" t="str">
        <v>-</v>
      </c>
      <c r="F13733" t="str">
        <v>-</v>
      </c>
      <c r="G13733" t="str">
        <v>-</v>
      </c>
    </row>
    <row r="13734">
      <c r="A13734">
        <v>13733</v>
      </c>
      <c r="B13734" t="str">
        <v>Công an thị trấn Trới  tỉnh Quảng Ninh</v>
      </c>
      <c r="C13734" t="str">
        <v>-</v>
      </c>
      <c r="D13734" t="str">
        <v>-</v>
      </c>
      <c r="E13734" t="str">
        <v/>
      </c>
      <c r="F13734" t="str">
        <v>-</v>
      </c>
      <c r="G13734" t="str">
        <v>-</v>
      </c>
    </row>
    <row r="13735">
      <c r="A13735">
        <v>13734</v>
      </c>
      <c r="B13735" t="str">
        <v>UBND Ủy ban nhân dân thị trấn Trới  tỉnh Quảng Ninh</v>
      </c>
      <c r="C13735" t="str">
        <v>-</v>
      </c>
      <c r="D13735" t="str">
        <v>-</v>
      </c>
      <c r="E13735" t="str">
        <v>-</v>
      </c>
      <c r="F13735" t="str">
        <v>-</v>
      </c>
      <c r="G13735" t="str">
        <v>-</v>
      </c>
    </row>
    <row r="13736">
      <c r="A13736">
        <v>13735</v>
      </c>
      <c r="B13736" t="str">
        <v>Công an thị trấn Cô Tô  tỉnh Quảng Ninh</v>
      </c>
      <c r="C13736" t="str">
        <v>-</v>
      </c>
      <c r="D13736" t="str">
        <v>-</v>
      </c>
      <c r="E13736" t="str">
        <v/>
      </c>
      <c r="F13736" t="str">
        <v>-</v>
      </c>
      <c r="G13736" t="str">
        <v>-</v>
      </c>
    </row>
    <row r="13737">
      <c r="A13737">
        <v>13736</v>
      </c>
      <c r="B13737" t="str">
        <v>UBND Ủy ban nhân dân thị trấn Cô Tô  tỉnh Quảng Ninh</v>
      </c>
      <c r="C13737" t="str">
        <v>-</v>
      </c>
      <c r="D13737" t="str">
        <v>-</v>
      </c>
      <c r="E13737" t="str">
        <v>-</v>
      </c>
      <c r="F13737" t="str">
        <v>-</v>
      </c>
      <c r="G13737" t="str">
        <v>-</v>
      </c>
    </row>
    <row r="13738">
      <c r="A13738">
        <v>13737</v>
      </c>
      <c r="B13738" t="str">
        <v>Công an thị trấn Cầu Gồ  tỉnh Bắc Giang</v>
      </c>
      <c r="C13738" t="str">
        <v>-</v>
      </c>
      <c r="D13738" t="str">
        <v>-</v>
      </c>
      <c r="E13738" t="str">
        <v/>
      </c>
      <c r="F13738" t="str">
        <v>-</v>
      </c>
      <c r="G13738" t="str">
        <v>-</v>
      </c>
    </row>
    <row r="13739">
      <c r="A13739">
        <v>13738</v>
      </c>
      <c r="B13739" t="str">
        <v>UBND Ủy ban nhân dân thị trấn Cầu Gồ  tỉnh Bắc Giang</v>
      </c>
      <c r="C13739" t="str">
        <v>-</v>
      </c>
      <c r="D13739" t="str">
        <v>-</v>
      </c>
      <c r="E13739" t="str">
        <v>-</v>
      </c>
      <c r="F13739" t="str">
        <v>-</v>
      </c>
      <c r="G13739" t="str">
        <v>-</v>
      </c>
    </row>
    <row r="13740">
      <c r="A13740">
        <v>13739</v>
      </c>
      <c r="B13740" t="str">
        <v>Công an thị trấn Bố Hạ  tỉnh Bắc Giang</v>
      </c>
      <c r="C13740" t="str">
        <v>-</v>
      </c>
      <c r="D13740" t="str">
        <v>-</v>
      </c>
      <c r="E13740" t="str">
        <v/>
      </c>
      <c r="F13740" t="str">
        <v>-</v>
      </c>
      <c r="G13740" t="str">
        <v>-</v>
      </c>
    </row>
    <row r="13741">
      <c r="A13741">
        <v>13740</v>
      </c>
      <c r="B13741" t="str">
        <v>UBND Ủy ban nhân dân thị trấn Bố Hạ  tỉnh Bắc Giang</v>
      </c>
      <c r="C13741" t="str">
        <v>-</v>
      </c>
      <c r="D13741" t="str">
        <v>-</v>
      </c>
      <c r="E13741" t="str">
        <v>-</v>
      </c>
      <c r="F13741" t="str">
        <v>-</v>
      </c>
      <c r="G13741" t="str">
        <v>-</v>
      </c>
    </row>
    <row r="13742">
      <c r="A13742">
        <v>13741</v>
      </c>
      <c r="B13742" t="str">
        <v>Công an thị trấn Cao Thượng  tỉnh Bắc Giang</v>
      </c>
      <c r="C13742" t="str">
        <v>-</v>
      </c>
      <c r="D13742" t="str">
        <v>-</v>
      </c>
      <c r="E13742" t="str">
        <v/>
      </c>
      <c r="F13742" t="str">
        <v>-</v>
      </c>
      <c r="G13742" t="str">
        <v>-</v>
      </c>
    </row>
    <row r="13743">
      <c r="A13743">
        <v>13742</v>
      </c>
      <c r="B13743" t="str">
        <v>UBND Ủy ban nhân dân thị trấn Cao Thượng  tỉnh Bắc Giang</v>
      </c>
      <c r="C13743" t="str">
        <v>-</v>
      </c>
      <c r="D13743" t="str">
        <v>-</v>
      </c>
      <c r="E13743" t="str">
        <v>-</v>
      </c>
      <c r="F13743" t="str">
        <v>-</v>
      </c>
      <c r="G13743" t="str">
        <v>-</v>
      </c>
    </row>
    <row r="13744">
      <c r="A13744">
        <v>13743</v>
      </c>
      <c r="B13744" t="str">
        <v>Công an thị trấn Nhã Nam  tỉnh Bắc Giang</v>
      </c>
      <c r="C13744" t="str">
        <v>-</v>
      </c>
      <c r="D13744" t="str">
        <v>-</v>
      </c>
      <c r="E13744" t="str">
        <v/>
      </c>
      <c r="F13744" t="str">
        <v>-</v>
      </c>
      <c r="G13744" t="str">
        <v>-</v>
      </c>
    </row>
    <row r="13745">
      <c r="A13745">
        <v>13744</v>
      </c>
      <c r="B13745" t="str">
        <v>UBND Ủy ban nhân dân thị trấn Nhã Nam  tỉnh Bắc Giang</v>
      </c>
      <c r="C13745" t="str">
        <v>-</v>
      </c>
      <c r="D13745" t="str">
        <v>-</v>
      </c>
      <c r="E13745" t="str">
        <v>-</v>
      </c>
      <c r="F13745" t="str">
        <v>-</v>
      </c>
      <c r="G13745" t="str">
        <v>-</v>
      </c>
    </row>
    <row r="13746">
      <c r="A13746">
        <v>13745</v>
      </c>
      <c r="B13746" t="str">
        <v>Công an thị trấn Kép  tỉnh Bắc Giang</v>
      </c>
      <c r="C13746" t="str">
        <v>-</v>
      </c>
      <c r="D13746" t="str">
        <v>-</v>
      </c>
      <c r="E13746" t="str">
        <v/>
      </c>
      <c r="F13746" t="str">
        <v>-</v>
      </c>
      <c r="G13746" t="str">
        <v>-</v>
      </c>
    </row>
    <row r="13747">
      <c r="A13747">
        <v>13746</v>
      </c>
      <c r="B13747" t="str">
        <v>UBND Ủy ban nhân dân thị trấn Kép  tỉnh Bắc Giang</v>
      </c>
      <c r="C13747" t="str">
        <v>-</v>
      </c>
      <c r="D13747" t="str">
        <v>-</v>
      </c>
      <c r="E13747" t="str">
        <v>-</v>
      </c>
      <c r="F13747" t="str">
        <v>-</v>
      </c>
      <c r="G13747" t="str">
        <v>-</v>
      </c>
    </row>
    <row r="13748">
      <c r="A13748">
        <v>13747</v>
      </c>
      <c r="B13748" t="str">
        <v>Công an thị trấn Vôi  tỉnh Bắc Giang</v>
      </c>
      <c r="C13748" t="str">
        <v>-</v>
      </c>
      <c r="D13748" t="str">
        <v>-</v>
      </c>
      <c r="E13748" t="str">
        <v/>
      </c>
      <c r="F13748" t="str">
        <v>-</v>
      </c>
      <c r="G13748" t="str">
        <v>-</v>
      </c>
    </row>
    <row r="13749">
      <c r="A13749">
        <v>13748</v>
      </c>
      <c r="B13749" t="str">
        <v>UBND Ủy ban nhân dân thị trấn Vôi  tỉnh Bắc Giang</v>
      </c>
      <c r="C13749" t="str">
        <v>-</v>
      </c>
      <c r="D13749" t="str">
        <v>-</v>
      </c>
      <c r="E13749" t="str">
        <v>-</v>
      </c>
      <c r="F13749" t="str">
        <v>-</v>
      </c>
      <c r="G13749" t="str">
        <v>-</v>
      </c>
    </row>
    <row r="13750">
      <c r="A13750">
        <v>13749</v>
      </c>
      <c r="B13750" t="str">
        <v>Công an thị trấn Đồi Ngô  tỉnh Bắc Giang</v>
      </c>
      <c r="C13750" t="str">
        <v>-</v>
      </c>
      <c r="D13750" t="str">
        <v>-</v>
      </c>
      <c r="E13750" t="str">
        <v/>
      </c>
      <c r="F13750" t="str">
        <v>-</v>
      </c>
      <c r="G13750" t="str">
        <v>-</v>
      </c>
    </row>
    <row r="13751">
      <c r="A13751">
        <v>13750</v>
      </c>
      <c r="B13751" t="str">
        <v>UBND Ủy ban nhân dân thị trấn Đồi Ngô  tỉnh Bắc Giang</v>
      </c>
      <c r="C13751" t="str">
        <v>-</v>
      </c>
      <c r="D13751" t="str">
        <v>-</v>
      </c>
      <c r="E13751" t="str">
        <v>-</v>
      </c>
      <c r="F13751" t="str">
        <v>-</v>
      </c>
      <c r="G13751" t="str">
        <v>-</v>
      </c>
    </row>
    <row r="13752">
      <c r="A13752">
        <v>13751</v>
      </c>
      <c r="B13752" t="str">
        <v>Công an thị trấn Lục Nam  tỉnh Bắc Giang</v>
      </c>
      <c r="C13752" t="str">
        <v>-</v>
      </c>
      <c r="D13752" t="str">
        <v>-</v>
      </c>
      <c r="E13752" t="str">
        <v/>
      </c>
      <c r="F13752" t="str">
        <v>-</v>
      </c>
      <c r="G13752" t="str">
        <v>-</v>
      </c>
    </row>
    <row r="13753">
      <c r="A13753">
        <v>13752</v>
      </c>
      <c r="B13753" t="str">
        <v>UBND Ủy ban nhân dân thị trấn Lục Nam  tỉnh Bắc Giang</v>
      </c>
      <c r="C13753" t="str">
        <v>-</v>
      </c>
      <c r="D13753" t="str">
        <v>-</v>
      </c>
      <c r="E13753" t="str">
        <v>-</v>
      </c>
      <c r="F13753" t="str">
        <v>-</v>
      </c>
      <c r="G13753" t="str">
        <v>-</v>
      </c>
    </row>
    <row r="13754">
      <c r="A13754">
        <v>13753</v>
      </c>
      <c r="B13754" t="str">
        <v>Công an thị trấn Chũ  tỉnh Bắc Giang</v>
      </c>
      <c r="C13754" t="str">
        <v>-</v>
      </c>
      <c r="D13754" t="str">
        <v>-</v>
      </c>
      <c r="E13754" t="str">
        <v/>
      </c>
      <c r="F13754" t="str">
        <v>-</v>
      </c>
      <c r="G13754" t="str">
        <v>-</v>
      </c>
    </row>
    <row r="13755">
      <c r="A13755">
        <v>13754</v>
      </c>
      <c r="B13755" t="str">
        <v>UBND Ủy ban nhân dân thị trấn Chũ  tỉnh Bắc Giang</v>
      </c>
      <c r="C13755" t="str">
        <v>-</v>
      </c>
      <c r="D13755" t="str">
        <v>-</v>
      </c>
      <c r="E13755" t="str">
        <v>-</v>
      </c>
      <c r="F13755" t="str">
        <v>-</v>
      </c>
      <c r="G13755" t="str">
        <v>-</v>
      </c>
    </row>
    <row r="13756">
      <c r="A13756">
        <v>13755</v>
      </c>
      <c r="B13756" t="str">
        <v>Công an thị trấn An Châu  tỉnh Bắc Giang</v>
      </c>
      <c r="C13756" t="str">
        <v>-</v>
      </c>
      <c r="D13756" t="str">
        <v>-</v>
      </c>
      <c r="E13756" t="str">
        <v/>
      </c>
      <c r="F13756" t="str">
        <v>-</v>
      </c>
      <c r="G13756" t="str">
        <v>-</v>
      </c>
    </row>
    <row r="13757">
      <c r="A13757">
        <v>13756</v>
      </c>
      <c r="B13757" t="str">
        <v>UBND Ủy ban nhân dân thị trấn An Châu  tỉnh Bắc Giang</v>
      </c>
      <c r="C13757" t="str">
        <v>-</v>
      </c>
      <c r="D13757" t="str">
        <v>-</v>
      </c>
      <c r="E13757" t="str">
        <v>-</v>
      </c>
      <c r="F13757" t="str">
        <v>-</v>
      </c>
      <c r="G13757" t="str">
        <v>-</v>
      </c>
    </row>
    <row r="13758">
      <c r="A13758">
        <v>13757</v>
      </c>
      <c r="B13758" t="str">
        <v>Công an thị trấn Thanh Sơn  tỉnh Bắc Giang</v>
      </c>
      <c r="C13758" t="str">
        <v>-</v>
      </c>
      <c r="D13758" t="str">
        <v>-</v>
      </c>
      <c r="E13758" t="str">
        <v/>
      </c>
      <c r="F13758" t="str">
        <v>-</v>
      </c>
      <c r="G13758" t="str">
        <v>-</v>
      </c>
    </row>
    <row r="13759">
      <c r="A13759">
        <v>13758</v>
      </c>
      <c r="B13759" t="str">
        <v>UBND Ủy ban nhân dân thị trấn Thanh Sơn  tỉnh Bắc Giang</v>
      </c>
      <c r="C13759" t="str">
        <v>-</v>
      </c>
      <c r="D13759" t="str">
        <v>-</v>
      </c>
      <c r="E13759" t="str">
        <v>-</v>
      </c>
      <c r="F13759" t="str">
        <v>-</v>
      </c>
      <c r="G13759" t="str">
        <v>-</v>
      </c>
    </row>
    <row r="13760">
      <c r="A13760">
        <v>13759</v>
      </c>
      <c r="B13760" t="str">
        <v>Công an thị trấn Neo  tỉnh Bắc Giang</v>
      </c>
      <c r="C13760" t="str">
        <v>-</v>
      </c>
      <c r="D13760" t="str">
        <v>-</v>
      </c>
      <c r="E13760" t="str">
        <v/>
      </c>
      <c r="F13760" t="str">
        <v>-</v>
      </c>
      <c r="G13760" t="str">
        <v>-</v>
      </c>
    </row>
    <row r="13761">
      <c r="A13761">
        <v>13760</v>
      </c>
      <c r="B13761" t="str">
        <v>UBND Ủy ban nhân dân thị trấn Neo  tỉnh Bắc Giang</v>
      </c>
      <c r="C13761" t="str">
        <v>-</v>
      </c>
      <c r="D13761" t="str">
        <v>-</v>
      </c>
      <c r="E13761" t="str">
        <v>-</v>
      </c>
      <c r="F13761" t="str">
        <v>-</v>
      </c>
      <c r="G13761" t="str">
        <v>-</v>
      </c>
    </row>
    <row r="13762">
      <c r="A13762">
        <v>13761</v>
      </c>
      <c r="B13762" t="str">
        <v>Công an thị trấn Tân Dân  tỉnh Bắc Giang</v>
      </c>
      <c r="C13762" t="str">
        <v>-</v>
      </c>
      <c r="D13762" t="str">
        <v>-</v>
      </c>
      <c r="E13762" t="str">
        <v/>
      </c>
      <c r="F13762" t="str">
        <v>-</v>
      </c>
      <c r="G13762" t="str">
        <v>-</v>
      </c>
    </row>
    <row r="13763">
      <c r="A13763">
        <v>13762</v>
      </c>
      <c r="B13763" t="str">
        <v>UBND Ủy ban nhân dân thị trấn Tân Dân  tỉnh Bắc Giang</v>
      </c>
      <c r="C13763" t="str">
        <v>-</v>
      </c>
      <c r="D13763" t="str">
        <v>-</v>
      </c>
      <c r="E13763" t="str">
        <v>-</v>
      </c>
      <c r="F13763" t="str">
        <v>-</v>
      </c>
      <c r="G13763" t="str">
        <v>-</v>
      </c>
    </row>
    <row r="13764">
      <c r="A13764">
        <v>13763</v>
      </c>
      <c r="B13764" t="str">
        <v>Công an thị trấn  Bích Động  tỉnh Bắc Giang</v>
      </c>
      <c r="C13764" t="str">
        <v>-</v>
      </c>
      <c r="D13764" t="str">
        <v>-</v>
      </c>
      <c r="E13764" t="str">
        <v/>
      </c>
      <c r="F13764" t="str">
        <v>-</v>
      </c>
      <c r="G13764" t="str">
        <v>-</v>
      </c>
    </row>
    <row r="13765">
      <c r="A13765">
        <v>13764</v>
      </c>
      <c r="B13765" t="str">
        <v>UBND Ủy ban nhân dân thị trấn  Bích Động  tỉnh Bắc Giang</v>
      </c>
      <c r="C13765" t="str">
        <v>-</v>
      </c>
      <c r="D13765" t="str">
        <v>-</v>
      </c>
      <c r="E13765" t="str">
        <v>-</v>
      </c>
      <c r="F13765" t="str">
        <v>-</v>
      </c>
      <c r="G13765" t="str">
        <v>-</v>
      </c>
    </row>
    <row r="13766">
      <c r="A13766">
        <v>13765</v>
      </c>
      <c r="B13766" t="str">
        <v>Công an thị trấn Nếnh  tỉnh Bắc Giang</v>
      </c>
      <c r="C13766" t="str">
        <v>-</v>
      </c>
      <c r="D13766" t="str">
        <v>-</v>
      </c>
      <c r="E13766" t="str">
        <v/>
      </c>
      <c r="F13766" t="str">
        <v>-</v>
      </c>
      <c r="G13766" t="str">
        <v>-</v>
      </c>
    </row>
    <row r="13767">
      <c r="A13767">
        <v>13766</v>
      </c>
      <c r="B13767" t="str">
        <v>UBND Ủy ban nhân dân thị trấn Nếnh  tỉnh Bắc Giang</v>
      </c>
      <c r="C13767" t="str">
        <v>-</v>
      </c>
      <c r="D13767" t="str">
        <v>-</v>
      </c>
      <c r="E13767" t="str">
        <v>-</v>
      </c>
      <c r="F13767" t="str">
        <v>-</v>
      </c>
      <c r="G13767" t="str">
        <v>-</v>
      </c>
    </row>
    <row r="13768">
      <c r="A13768">
        <v>13767</v>
      </c>
      <c r="B13768" t="str">
        <v>Công an thị trấn Thắng  tỉnh Bắc Giang</v>
      </c>
      <c r="C13768" t="str">
        <v>-</v>
      </c>
      <c r="D13768" t="str">
        <v>-</v>
      </c>
      <c r="E13768" t="str">
        <v/>
      </c>
      <c r="F13768" t="str">
        <v>-</v>
      </c>
      <c r="G13768" t="str">
        <v>-</v>
      </c>
    </row>
    <row r="13769">
      <c r="A13769">
        <v>13768</v>
      </c>
      <c r="B13769" t="str">
        <v>UBND Ủy ban nhân dân thị trấn Thắng  tỉnh Bắc Giang</v>
      </c>
      <c r="C13769" t="str">
        <v>-</v>
      </c>
      <c r="D13769" t="str">
        <v>-</v>
      </c>
      <c r="E13769" t="str">
        <v>-</v>
      </c>
      <c r="F13769" t="str">
        <v>-</v>
      </c>
      <c r="G13769" t="str">
        <v>-</v>
      </c>
    </row>
    <row r="13770">
      <c r="A13770">
        <v>13769</v>
      </c>
      <c r="B13770" t="str">
        <v>Công an thị trấn Đoan Hùng  tỉnh Phú Thọ</v>
      </c>
      <c r="C13770" t="str">
        <v>-</v>
      </c>
      <c r="D13770" t="str">
        <v>-</v>
      </c>
      <c r="E13770" t="str">
        <v/>
      </c>
      <c r="F13770" t="str">
        <v>-</v>
      </c>
      <c r="G13770" t="str">
        <v>-</v>
      </c>
    </row>
    <row r="13771">
      <c r="A13771">
        <v>13770</v>
      </c>
      <c r="B13771" t="str">
        <v>UBND Ủy ban nhân dân thị trấn Đoan Hùng  tỉnh Phú Thọ</v>
      </c>
      <c r="C13771" t="str">
        <v>-</v>
      </c>
      <c r="D13771" t="str">
        <v>-</v>
      </c>
      <c r="E13771" t="str">
        <v>-</v>
      </c>
      <c r="F13771" t="str">
        <v>-</v>
      </c>
      <c r="G13771" t="str">
        <v>-</v>
      </c>
    </row>
    <row r="13772">
      <c r="A13772">
        <v>13771</v>
      </c>
      <c r="B13772" t="str">
        <v>Công an thị trấn Hạ Hoà  tỉnh Phú Thọ</v>
      </c>
      <c r="C13772" t="str">
        <v>-</v>
      </c>
      <c r="D13772" t="str">
        <v>-</v>
      </c>
      <c r="E13772" t="str">
        <v/>
      </c>
      <c r="F13772" t="str">
        <v>-</v>
      </c>
      <c r="G13772" t="str">
        <v>-</v>
      </c>
    </row>
    <row r="13773">
      <c r="A13773">
        <v>13772</v>
      </c>
      <c r="B13773" t="str">
        <v>UBND Ủy ban nhân dân thị trấn Hạ Hoà  tỉnh Phú Thọ</v>
      </c>
      <c r="C13773" t="str">
        <v>-</v>
      </c>
      <c r="D13773" t="str">
        <v>-</v>
      </c>
      <c r="E13773" t="str">
        <v>-</v>
      </c>
      <c r="F13773" t="str">
        <v>-</v>
      </c>
      <c r="G13773" t="str">
        <v>-</v>
      </c>
    </row>
    <row r="13774">
      <c r="A13774">
        <v>13773</v>
      </c>
      <c r="B13774" t="str">
        <v>Công an thị trấn Thanh Ba  tỉnh Phú Thọ</v>
      </c>
      <c r="C13774" t="str">
        <v>-</v>
      </c>
      <c r="D13774" t="str">
        <v>-</v>
      </c>
      <c r="E13774" t="str">
        <v/>
      </c>
      <c r="F13774" t="str">
        <v>-</v>
      </c>
      <c r="G13774" t="str">
        <v>-</v>
      </c>
    </row>
    <row r="13775">
      <c r="A13775">
        <v>13774</v>
      </c>
      <c r="B13775" t="str">
        <v>UBND Ủy ban nhân dân thị trấn Thanh Ba  tỉnh Phú Thọ</v>
      </c>
      <c r="C13775" t="str">
        <v>-</v>
      </c>
      <c r="D13775" t="str">
        <v>-</v>
      </c>
      <c r="E13775" t="str">
        <v>-</v>
      </c>
      <c r="F13775" t="str">
        <v>-</v>
      </c>
      <c r="G13775" t="str">
        <v>-</v>
      </c>
    </row>
    <row r="13776">
      <c r="A13776">
        <v>13775</v>
      </c>
      <c r="B13776" t="str">
        <v>Công an thị trấn Phong Châu  tỉnh Phú Thọ</v>
      </c>
      <c r="C13776" t="str">
        <v>-</v>
      </c>
      <c r="D13776" t="str">
        <v>-</v>
      </c>
      <c r="E13776" t="str">
        <v/>
      </c>
      <c r="F13776" t="str">
        <v>-</v>
      </c>
      <c r="G13776" t="str">
        <v>-</v>
      </c>
    </row>
    <row r="13777">
      <c r="A13777">
        <v>13776</v>
      </c>
      <c r="B13777" t="str">
        <v>UBND Ủy ban nhân dân thị trấn Phong Châu  tỉnh Phú Thọ</v>
      </c>
      <c r="C13777" t="str">
        <v>-</v>
      </c>
      <c r="D13777" t="str">
        <v>-</v>
      </c>
      <c r="E13777" t="str">
        <v>-</v>
      </c>
      <c r="F13777" t="str">
        <v>-</v>
      </c>
      <c r="G13777" t="str">
        <v>-</v>
      </c>
    </row>
    <row r="13778">
      <c r="A13778">
        <v>13777</v>
      </c>
      <c r="B13778" t="str">
        <v>Công an thị trấn Yên Lập  tỉnh Phú Thọ</v>
      </c>
      <c r="C13778" t="str">
        <v>-</v>
      </c>
      <c r="D13778" t="str">
        <v>-</v>
      </c>
      <c r="E13778" t="str">
        <v/>
      </c>
      <c r="F13778" t="str">
        <v>-</v>
      </c>
      <c r="G13778" t="str">
        <v>-</v>
      </c>
    </row>
    <row r="13779">
      <c r="A13779">
        <v>13778</v>
      </c>
      <c r="B13779" t="str">
        <v>UBND Ủy ban nhân dân thị trấn Yên Lập  tỉnh Phú Thọ</v>
      </c>
      <c r="C13779" t="str">
        <v>-</v>
      </c>
      <c r="D13779" t="str">
        <v>-</v>
      </c>
      <c r="E13779" t="str">
        <v>-</v>
      </c>
      <c r="F13779" t="str">
        <v>-</v>
      </c>
      <c r="G13779" t="str">
        <v>-</v>
      </c>
    </row>
    <row r="13780">
      <c r="A13780">
        <v>13779</v>
      </c>
      <c r="B13780" t="str">
        <v>Công an thị trấn Sông Thao  tỉnh Phú Thọ</v>
      </c>
      <c r="C13780" t="str">
        <v>-</v>
      </c>
      <c r="D13780" t="str">
        <v>-</v>
      </c>
      <c r="E13780" t="str">
        <v/>
      </c>
      <c r="F13780" t="str">
        <v>-</v>
      </c>
      <c r="G13780" t="str">
        <v>-</v>
      </c>
    </row>
    <row r="13781">
      <c r="A13781">
        <v>13780</v>
      </c>
      <c r="B13781" t="str">
        <v>UBND Ủy ban nhân dân thị trấn Sông Thao  tỉnh Phú Thọ</v>
      </c>
      <c r="C13781" t="str">
        <v>-</v>
      </c>
      <c r="D13781" t="str">
        <v>-</v>
      </c>
      <c r="E13781" t="str">
        <v>-</v>
      </c>
      <c r="F13781" t="str">
        <v>-</v>
      </c>
      <c r="G13781" t="str">
        <v>-</v>
      </c>
    </row>
    <row r="13782">
      <c r="A13782">
        <v>13781</v>
      </c>
      <c r="B13782" t="str">
        <v>Công an thị trấn Hưng Hoá  tỉnh Phú Thọ</v>
      </c>
      <c r="C13782" t="str">
        <v>-</v>
      </c>
      <c r="D13782" t="str">
        <v>-</v>
      </c>
      <c r="E13782" t="str">
        <v/>
      </c>
      <c r="F13782" t="str">
        <v>-</v>
      </c>
      <c r="G13782" t="str">
        <v>-</v>
      </c>
    </row>
    <row r="13783">
      <c r="A13783">
        <v>13782</v>
      </c>
      <c r="B13783" t="str">
        <v>UBND Ủy ban nhân dân thị trấn Hưng Hoá  tỉnh Phú Thọ</v>
      </c>
      <c r="C13783" t="str">
        <v>-</v>
      </c>
      <c r="D13783" t="str">
        <v>-</v>
      </c>
      <c r="E13783" t="str">
        <v>-</v>
      </c>
      <c r="F13783" t="str">
        <v>-</v>
      </c>
      <c r="G13783" t="str">
        <v>-</v>
      </c>
    </row>
    <row r="13784">
      <c r="A13784">
        <v>13783</v>
      </c>
      <c r="B13784" t="str">
        <v>Công an thị trấn Lâm Thao  tỉnh Phú Thọ</v>
      </c>
      <c r="C13784" t="str">
        <v>-</v>
      </c>
      <c r="D13784" t="str">
        <v>-</v>
      </c>
      <c r="E13784" t="str">
        <v/>
      </c>
      <c r="F13784" t="str">
        <v>-</v>
      </c>
      <c r="G13784" t="str">
        <v>-</v>
      </c>
    </row>
    <row r="13785">
      <c r="A13785">
        <v>13784</v>
      </c>
      <c r="B13785" t="str">
        <v>UBND Ủy ban nhân dân thị trấn Lâm Thao  tỉnh Phú Thọ</v>
      </c>
      <c r="C13785" t="str">
        <v>-</v>
      </c>
      <c r="D13785" t="str">
        <v>-</v>
      </c>
      <c r="E13785" t="str">
        <v>-</v>
      </c>
      <c r="F13785" t="str">
        <v>-</v>
      </c>
      <c r="G13785" t="str">
        <v>-</v>
      </c>
    </row>
    <row r="13786">
      <c r="A13786">
        <v>13785</v>
      </c>
      <c r="B13786" t="str">
        <v>Công an thị trấn Hùng Sơn  tỉnh Phú Thọ</v>
      </c>
      <c r="C13786" t="str">
        <v>-</v>
      </c>
      <c r="D13786" t="str">
        <v>-</v>
      </c>
      <c r="E13786" t="str">
        <v/>
      </c>
      <c r="F13786" t="str">
        <v>-</v>
      </c>
      <c r="G13786" t="str">
        <v>-</v>
      </c>
    </row>
    <row r="13787">
      <c r="A13787">
        <v>13786</v>
      </c>
      <c r="B13787" t="str">
        <v>UBND Ủy ban nhân dân thị trấn Hùng Sơn  tỉnh Phú Thọ</v>
      </c>
      <c r="C13787" t="str">
        <v>-</v>
      </c>
      <c r="D13787" t="str">
        <v>-</v>
      </c>
      <c r="E13787" t="str">
        <v>-</v>
      </c>
      <c r="F13787" t="str">
        <v>-</v>
      </c>
      <c r="G13787" t="str">
        <v>-</v>
      </c>
    </row>
    <row r="13788">
      <c r="A13788">
        <v>13787</v>
      </c>
      <c r="B13788" t="str">
        <v>Công an thị trấn Thanh Sơn  tỉnh Phú Thọ</v>
      </c>
      <c r="C13788" t="str">
        <v>-</v>
      </c>
      <c r="D13788" t="str">
        <v>-</v>
      </c>
      <c r="E13788" t="str">
        <v/>
      </c>
      <c r="F13788" t="str">
        <v>-</v>
      </c>
      <c r="G13788" t="str">
        <v>-</v>
      </c>
    </row>
    <row r="13789">
      <c r="A13789">
        <v>13788</v>
      </c>
      <c r="B13789" t="str">
        <v>UBND Ủy ban nhân dân thị trấn Thanh Sơn  tỉnh Phú Thọ</v>
      </c>
      <c r="C13789" t="str">
        <v>-</v>
      </c>
      <c r="D13789" t="str">
        <v>-</v>
      </c>
      <c r="E13789" t="str">
        <v>-</v>
      </c>
      <c r="F13789" t="str">
        <v>-</v>
      </c>
      <c r="G13789" t="str">
        <v>-</v>
      </c>
    </row>
    <row r="13790">
      <c r="A13790">
        <v>13789</v>
      </c>
      <c r="B13790" t="str">
        <v>Công an thị trấn Thanh Thủy  tỉnh Phú Thọ</v>
      </c>
      <c r="C13790" t="str">
        <v>-</v>
      </c>
      <c r="D13790" t="str">
        <v>-</v>
      </c>
      <c r="E13790" t="str">
        <v/>
      </c>
      <c r="F13790" t="str">
        <v>-</v>
      </c>
      <c r="G13790" t="str">
        <v>-</v>
      </c>
    </row>
    <row r="13791">
      <c r="A13791">
        <v>13790</v>
      </c>
      <c r="B13791" t="str">
        <v>UBND Ủy ban nhân dân thị trấn Thanh Thủy  tỉnh Phú Thọ</v>
      </c>
      <c r="C13791" t="str">
        <v>-</v>
      </c>
      <c r="D13791" t="str">
        <v>-</v>
      </c>
      <c r="E13791" t="str">
        <v>-</v>
      </c>
      <c r="F13791" t="str">
        <v>-</v>
      </c>
      <c r="G13791" t="str">
        <v>-</v>
      </c>
    </row>
    <row r="13792">
      <c r="A13792">
        <v>13791</v>
      </c>
      <c r="B13792" t="str">
        <v>Công an thị trấn Lập Thạch  tỉnh Vĩnh Phúc</v>
      </c>
      <c r="C13792" t="str">
        <v>-</v>
      </c>
      <c r="D13792" t="str">
        <v>-</v>
      </c>
      <c r="E13792" t="str">
        <v/>
      </c>
      <c r="F13792" t="str">
        <v>-</v>
      </c>
      <c r="G13792" t="str">
        <v>-</v>
      </c>
    </row>
    <row r="13793">
      <c r="A13793">
        <v>13792</v>
      </c>
      <c r="B13793" t="str">
        <v>UBND Ủy ban nhân dân thị trấn Lập Thạch  tỉnh Vĩnh Phúc</v>
      </c>
      <c r="C13793" t="str">
        <v>-</v>
      </c>
      <c r="D13793" t="str">
        <v>-</v>
      </c>
      <c r="E13793" t="str">
        <v>-</v>
      </c>
      <c r="F13793" t="str">
        <v>-</v>
      </c>
      <c r="G13793" t="str">
        <v>-</v>
      </c>
    </row>
    <row r="13794">
      <c r="A13794">
        <v>13793</v>
      </c>
      <c r="B13794" t="str">
        <v>Công an thị trấn Hoa Sơn  tỉnh Vĩnh Phúc</v>
      </c>
      <c r="C13794" t="str">
        <v>-</v>
      </c>
      <c r="D13794" t="str">
        <v>-</v>
      </c>
      <c r="E13794" t="str">
        <v/>
      </c>
      <c r="F13794" t="str">
        <v>-</v>
      </c>
      <c r="G13794" t="str">
        <v>-</v>
      </c>
    </row>
    <row r="13795">
      <c r="A13795">
        <v>13794</v>
      </c>
      <c r="B13795" t="str">
        <v>UBND Ủy ban nhân dân thị trấn Hoa Sơn  tỉnh Vĩnh Phúc</v>
      </c>
      <c r="C13795" t="str">
        <v>-</v>
      </c>
      <c r="D13795" t="str">
        <v>-</v>
      </c>
      <c r="E13795" t="str">
        <v>-</v>
      </c>
      <c r="F13795" t="str">
        <v>-</v>
      </c>
      <c r="G13795" t="str">
        <v>-</v>
      </c>
    </row>
    <row r="13796">
      <c r="A13796">
        <v>13795</v>
      </c>
      <c r="B13796" t="str">
        <v>Công an thị trấn Hợp Hòa  tỉnh Vĩnh Phúc</v>
      </c>
      <c r="C13796" t="str">
        <v>-</v>
      </c>
      <c r="D13796" t="str">
        <v>-</v>
      </c>
      <c r="E13796" t="str">
        <v/>
      </c>
      <c r="F13796" t="str">
        <v>-</v>
      </c>
      <c r="G13796" t="str">
        <v>-</v>
      </c>
    </row>
    <row r="13797">
      <c r="A13797">
        <v>13796</v>
      </c>
      <c r="B13797" t="str">
        <v>UBND Ủy ban nhân dân thị trấn Hợp Hòa  tỉnh Vĩnh Phúc</v>
      </c>
      <c r="C13797" t="str">
        <v>-</v>
      </c>
      <c r="D13797" t="str">
        <v>-</v>
      </c>
      <c r="E13797" t="str">
        <v>-</v>
      </c>
      <c r="F13797" t="str">
        <v>-</v>
      </c>
      <c r="G13797" t="str">
        <v>-</v>
      </c>
    </row>
    <row r="13798">
      <c r="A13798">
        <v>13797</v>
      </c>
      <c r="B13798" t="str">
        <v>Công an thị trấn Tam Đảo  tỉnh Vĩnh Phúc</v>
      </c>
      <c r="C13798" t="str">
        <v>-</v>
      </c>
      <c r="D13798" t="str">
        <v>-</v>
      </c>
      <c r="E13798" t="str">
        <v/>
      </c>
      <c r="F13798" t="str">
        <v>-</v>
      </c>
      <c r="G13798" t="str">
        <v>-</v>
      </c>
    </row>
    <row r="13799">
      <c r="A13799">
        <v>13798</v>
      </c>
      <c r="B13799" t="str">
        <v>UBND Ủy ban nhân dân thị trấn Tam Đảo  tỉnh Vĩnh Phúc</v>
      </c>
      <c r="C13799" t="str">
        <v>-</v>
      </c>
      <c r="D13799" t="str">
        <v>-</v>
      </c>
      <c r="E13799" t="str">
        <v>-</v>
      </c>
      <c r="F13799" t="str">
        <v>-</v>
      </c>
      <c r="G13799" t="str">
        <v>-</v>
      </c>
    </row>
    <row r="13800">
      <c r="A13800">
        <v>13799</v>
      </c>
      <c r="B13800" t="str">
        <v>Công an thị trấn Hương Canh  tỉnh Vĩnh Phúc</v>
      </c>
      <c r="C13800" t="str">
        <v>-</v>
      </c>
      <c r="D13800" t="str">
        <v>-</v>
      </c>
      <c r="E13800" t="str">
        <v/>
      </c>
      <c r="F13800" t="str">
        <v>-</v>
      </c>
      <c r="G13800" t="str">
        <v>-</v>
      </c>
    </row>
    <row r="13801">
      <c r="A13801">
        <v>13800</v>
      </c>
      <c r="B13801" t="str">
        <v>UBND Ủy ban nhân dân thị trấn Hương Canh  tỉnh Vĩnh Phúc</v>
      </c>
      <c r="C13801" t="str">
        <v>-</v>
      </c>
      <c r="D13801" t="str">
        <v>-</v>
      </c>
      <c r="E13801" t="str">
        <v>-</v>
      </c>
      <c r="F13801" t="str">
        <v>-</v>
      </c>
      <c r="G13801" t="str">
        <v>-</v>
      </c>
    </row>
    <row r="13802">
      <c r="A13802">
        <v>13801</v>
      </c>
      <c r="B13802" t="str">
        <v>Công an thị trấn Gia Khánh  tỉnh Vĩnh Phúc</v>
      </c>
      <c r="C13802" t="str">
        <v>-</v>
      </c>
      <c r="D13802" t="str">
        <v>-</v>
      </c>
      <c r="E13802" t="str">
        <v/>
      </c>
      <c r="F13802" t="str">
        <v>-</v>
      </c>
      <c r="G13802" t="str">
        <v>-</v>
      </c>
    </row>
    <row r="13803">
      <c r="A13803">
        <v>13802</v>
      </c>
      <c r="B13803" t="str">
        <v>UBND Ủy ban nhân dân thị trấn Gia Khánh  tỉnh Vĩnh Phúc</v>
      </c>
      <c r="C13803" t="str">
        <v>-</v>
      </c>
      <c r="D13803" t="str">
        <v>-</v>
      </c>
      <c r="E13803" t="str">
        <v>-</v>
      </c>
      <c r="F13803" t="str">
        <v>-</v>
      </c>
      <c r="G13803" t="str">
        <v>-</v>
      </c>
    </row>
    <row r="13804">
      <c r="A13804">
        <v>13803</v>
      </c>
      <c r="B13804" t="str">
        <v>Công an thị trấn Thanh Lãng  tỉnh Vĩnh Phúc</v>
      </c>
      <c r="C13804" t="str">
        <v>-</v>
      </c>
      <c r="D13804" t="str">
        <v>-</v>
      </c>
      <c r="E13804" t="str">
        <v/>
      </c>
      <c r="F13804" t="str">
        <v>-</v>
      </c>
      <c r="G13804" t="str">
        <v>-</v>
      </c>
    </row>
    <row r="13805">
      <c r="A13805">
        <v>13804</v>
      </c>
      <c r="B13805" t="str">
        <v>UBND Ủy ban nhân dân thị trấn Thanh Lãng  tỉnh Vĩnh Phúc</v>
      </c>
      <c r="C13805" t="str">
        <v>-</v>
      </c>
      <c r="D13805" t="str">
        <v>-</v>
      </c>
      <c r="E13805" t="str">
        <v>-</v>
      </c>
      <c r="F13805" t="str">
        <v>-</v>
      </c>
      <c r="G13805" t="str">
        <v>-</v>
      </c>
    </row>
    <row r="13806">
      <c r="A13806">
        <v>13805</v>
      </c>
      <c r="B13806" t="str">
        <v>Công an thị trấn Yên Lạc  tỉnh Vĩnh Phúc</v>
      </c>
      <c r="C13806" t="str">
        <v>-</v>
      </c>
      <c r="D13806" t="str">
        <v>-</v>
      </c>
      <c r="E13806" t="str">
        <v/>
      </c>
      <c r="F13806" t="str">
        <v>-</v>
      </c>
      <c r="G13806" t="str">
        <v>-</v>
      </c>
    </row>
    <row r="13807">
      <c r="A13807">
        <v>13806</v>
      </c>
      <c r="B13807" t="str">
        <v>UBND Ủy ban nhân dân thị trấn Yên Lạc  tỉnh Vĩnh Phúc</v>
      </c>
      <c r="C13807" t="str">
        <v>-</v>
      </c>
      <c r="D13807" t="str">
        <v>-</v>
      </c>
      <c r="E13807" t="str">
        <v>-</v>
      </c>
      <c r="F13807" t="str">
        <v>-</v>
      </c>
      <c r="G13807" t="str">
        <v>-</v>
      </c>
    </row>
    <row r="13808">
      <c r="A13808">
        <v>13807</v>
      </c>
      <c r="B13808" t="str">
        <v>Công an thị trấn Vĩnh Tường  tỉnh Vĩnh Phúc</v>
      </c>
      <c r="C13808" t="str">
        <v>-</v>
      </c>
      <c r="D13808" t="str">
        <v>-</v>
      </c>
      <c r="E13808" t="str">
        <v/>
      </c>
      <c r="F13808" t="str">
        <v>-</v>
      </c>
      <c r="G13808" t="str">
        <v>-</v>
      </c>
    </row>
    <row r="13809">
      <c r="A13809">
        <v>13808</v>
      </c>
      <c r="B13809" t="str">
        <v>UBND Ủy ban nhân dân thị trấn Vĩnh Tường  tỉnh Vĩnh Phúc</v>
      </c>
      <c r="C13809" t="str">
        <v>-</v>
      </c>
      <c r="D13809" t="str">
        <v>-</v>
      </c>
      <c r="E13809" t="str">
        <v>-</v>
      </c>
      <c r="F13809" t="str">
        <v>-</v>
      </c>
      <c r="G13809" t="str">
        <v>-</v>
      </c>
    </row>
    <row r="13810">
      <c r="A13810">
        <v>13809</v>
      </c>
      <c r="B13810" t="str">
        <v>Công an thị trấn Thổ Tang  tỉnh Vĩnh Phúc</v>
      </c>
      <c r="C13810" t="str">
        <v>-</v>
      </c>
      <c r="D13810" t="str">
        <v>-</v>
      </c>
      <c r="E13810" t="str">
        <v/>
      </c>
      <c r="F13810" t="str">
        <v>-</v>
      </c>
      <c r="G13810" t="str">
        <v>-</v>
      </c>
    </row>
    <row r="13811">
      <c r="A13811">
        <v>13810</v>
      </c>
      <c r="B13811" t="str">
        <v>UBND Ủy ban nhân dân thị trấn Thổ Tang  tỉnh Vĩnh Phúc</v>
      </c>
      <c r="C13811" t="str">
        <v>-</v>
      </c>
      <c r="D13811" t="str">
        <v>-</v>
      </c>
      <c r="E13811" t="str">
        <v>-</v>
      </c>
      <c r="F13811" t="str">
        <v>-</v>
      </c>
      <c r="G13811" t="str">
        <v>-</v>
      </c>
    </row>
    <row r="13812">
      <c r="A13812">
        <v>13811</v>
      </c>
      <c r="B13812" t="str">
        <v>Công an thị trấn Tứ Trưng  tỉnh Vĩnh Phúc</v>
      </c>
      <c r="C13812" t="str">
        <v>-</v>
      </c>
      <c r="D13812" t="str">
        <v>-</v>
      </c>
      <c r="E13812" t="str">
        <v/>
      </c>
      <c r="F13812" t="str">
        <v>-</v>
      </c>
      <c r="G13812" t="str">
        <v>-</v>
      </c>
    </row>
    <row r="13813">
      <c r="A13813">
        <v>13812</v>
      </c>
      <c r="B13813" t="str">
        <v>UBND Ủy ban nhân dân thị trấn Tứ Trưng  tỉnh Vĩnh Phúc</v>
      </c>
      <c r="C13813" t="str">
        <v>-</v>
      </c>
      <c r="D13813" t="str">
        <v>-</v>
      </c>
      <c r="E13813" t="str">
        <v>-</v>
      </c>
      <c r="F13813" t="str">
        <v>-</v>
      </c>
      <c r="G13813" t="str">
        <v>-</v>
      </c>
    </row>
    <row r="13814">
      <c r="A13814">
        <v>13813</v>
      </c>
      <c r="B13814" t="str">
        <v>Công an thị trấn Tam Sơn  tỉnh Vĩnh Phúc</v>
      </c>
      <c r="C13814" t="str">
        <v>-</v>
      </c>
      <c r="D13814" t="str">
        <v>-</v>
      </c>
      <c r="E13814" t="str">
        <v/>
      </c>
      <c r="F13814" t="str">
        <v>-</v>
      </c>
      <c r="G13814" t="str">
        <v>-</v>
      </c>
    </row>
    <row r="13815">
      <c r="A13815">
        <v>13814</v>
      </c>
      <c r="B13815" t="str">
        <v>UBND Ủy ban nhân dân thị trấn Tam Sơn  tỉnh Vĩnh Phúc</v>
      </c>
      <c r="C13815" t="str">
        <v>-</v>
      </c>
      <c r="D13815" t="str">
        <v>-</v>
      </c>
      <c r="E13815" t="str">
        <v>-</v>
      </c>
      <c r="F13815" t="str">
        <v>-</v>
      </c>
      <c r="G13815" t="str">
        <v>-</v>
      </c>
    </row>
    <row r="13816">
      <c r="A13816">
        <v>13815</v>
      </c>
      <c r="B13816" t="str">
        <v>Công an thị trấn Chờ  tỉnh Bắc Ninh</v>
      </c>
      <c r="C13816" t="str">
        <v>-</v>
      </c>
      <c r="D13816" t="str">
        <v>-</v>
      </c>
      <c r="E13816" t="str">
        <v/>
      </c>
      <c r="F13816" t="str">
        <v>-</v>
      </c>
      <c r="G13816" t="str">
        <v>-</v>
      </c>
    </row>
    <row r="13817">
      <c r="A13817">
        <v>13816</v>
      </c>
      <c r="B13817" t="str">
        <v>UBND Ủy ban nhân dân thị trấn Chờ  tỉnh Bắc Ninh</v>
      </c>
      <c r="C13817" t="str">
        <v>-</v>
      </c>
      <c r="D13817" t="str">
        <v>-</v>
      </c>
      <c r="E13817" t="str">
        <v>-</v>
      </c>
      <c r="F13817" t="str">
        <v>-</v>
      </c>
      <c r="G13817" t="str">
        <v>-</v>
      </c>
    </row>
    <row r="13818">
      <c r="A13818">
        <v>13817</v>
      </c>
      <c r="B13818" t="str">
        <v>Công an thị trấn Phố Mới  tỉnh Bắc Ninh</v>
      </c>
      <c r="C13818" t="str">
        <v>-</v>
      </c>
      <c r="D13818" t="str">
        <v>-</v>
      </c>
      <c r="E13818" t="str">
        <v/>
      </c>
      <c r="F13818" t="str">
        <v>-</v>
      </c>
      <c r="G13818" t="str">
        <v>-</v>
      </c>
    </row>
    <row r="13819">
      <c r="A13819">
        <v>13818</v>
      </c>
      <c r="B13819" t="str">
        <v>UBND Ủy ban nhân dân thị trấn Phố Mới  tỉnh Bắc Ninh</v>
      </c>
      <c r="C13819" t="str">
        <v>-</v>
      </c>
      <c r="D13819" t="str">
        <v>-</v>
      </c>
      <c r="E13819" t="str">
        <v>-</v>
      </c>
      <c r="F13819" t="str">
        <v>-</v>
      </c>
      <c r="G13819" t="str">
        <v>-</v>
      </c>
    </row>
    <row r="13820">
      <c r="A13820">
        <v>13819</v>
      </c>
      <c r="B13820" t="str">
        <v>Công an thị trấn Lim  tỉnh Bắc Ninh</v>
      </c>
      <c r="C13820" t="str">
        <v>-</v>
      </c>
      <c r="D13820" t="str">
        <v>-</v>
      </c>
      <c r="E13820" t="str">
        <v/>
      </c>
      <c r="F13820" t="str">
        <v>-</v>
      </c>
      <c r="G13820" t="str">
        <v>-</v>
      </c>
    </row>
    <row r="13821">
      <c r="A13821">
        <v>13820</v>
      </c>
      <c r="B13821" t="str">
        <v>UBND Ủy ban nhân dân thị trấn Lim  tỉnh Bắc Ninh</v>
      </c>
      <c r="C13821" t="str">
        <v>-</v>
      </c>
      <c r="D13821" t="str">
        <v>-</v>
      </c>
      <c r="E13821" t="str">
        <v>-</v>
      </c>
      <c r="F13821" t="str">
        <v>-</v>
      </c>
      <c r="G13821" t="str">
        <v>-</v>
      </c>
    </row>
    <row r="13822">
      <c r="A13822">
        <v>13821</v>
      </c>
      <c r="B13822" t="str">
        <v>Công an thị trấn Hồ  tỉnh Bắc Ninh</v>
      </c>
      <c r="C13822" t="str">
        <v>-</v>
      </c>
      <c r="D13822" t="str">
        <v>-</v>
      </c>
      <c r="E13822" t="str">
        <v/>
      </c>
      <c r="F13822" t="str">
        <v>-</v>
      </c>
      <c r="G13822" t="str">
        <v>-</v>
      </c>
    </row>
    <row r="13823">
      <c r="A13823">
        <v>13822</v>
      </c>
      <c r="B13823" t="str">
        <v>UBND Ủy ban nhân dân thị trấn Hồ  tỉnh Bắc Ninh</v>
      </c>
      <c r="C13823" t="str">
        <v>-</v>
      </c>
      <c r="D13823" t="str">
        <v>-</v>
      </c>
      <c r="E13823" t="str">
        <v>-</v>
      </c>
      <c r="F13823" t="str">
        <v>-</v>
      </c>
      <c r="G13823" t="str">
        <v>-</v>
      </c>
    </row>
    <row r="13824">
      <c r="A13824">
        <v>13823</v>
      </c>
      <c r="B13824" t="str">
        <v>Công an thị trấn Gia Bình  tỉnh Bắc Ninh</v>
      </c>
      <c r="C13824" t="str">
        <v>-</v>
      </c>
      <c r="D13824" t="str">
        <v>-</v>
      </c>
      <c r="E13824" t="str">
        <v/>
      </c>
      <c r="F13824" t="str">
        <v>-</v>
      </c>
      <c r="G13824" t="str">
        <v>-</v>
      </c>
    </row>
    <row r="13825">
      <c r="A13825">
        <v>13824</v>
      </c>
      <c r="B13825" t="str">
        <v>UBND Ủy ban nhân dân thị trấn Gia Bình  tỉnh Bắc Ninh</v>
      </c>
      <c r="C13825" t="str">
        <v>-</v>
      </c>
      <c r="D13825" t="str">
        <v>-</v>
      </c>
      <c r="E13825" t="str">
        <v>-</v>
      </c>
      <c r="F13825" t="str">
        <v>-</v>
      </c>
      <c r="G13825" t="str">
        <v>-</v>
      </c>
    </row>
    <row r="13826">
      <c r="A13826">
        <v>13825</v>
      </c>
      <c r="B13826" t="str">
        <v>Công an thị trấn Thứa  tỉnh Bắc Ninh</v>
      </c>
      <c r="C13826" t="str">
        <v>-</v>
      </c>
      <c r="D13826" t="str">
        <v>-</v>
      </c>
      <c r="E13826" t="str">
        <v/>
      </c>
      <c r="F13826" t="str">
        <v>-</v>
      </c>
      <c r="G13826" t="str">
        <v>-</v>
      </c>
    </row>
    <row r="13827">
      <c r="A13827">
        <v>13826</v>
      </c>
      <c r="B13827" t="str">
        <v>UBND Ủy ban nhân dân thị trấn Thứa  tỉnh Bắc Ninh</v>
      </c>
      <c r="C13827" t="str">
        <v>-</v>
      </c>
      <c r="D13827" t="str">
        <v>-</v>
      </c>
      <c r="E13827" t="str">
        <v>-</v>
      </c>
      <c r="F13827" t="str">
        <v>-</v>
      </c>
      <c r="G13827" t="str">
        <v>-</v>
      </c>
    </row>
    <row r="13828">
      <c r="A13828">
        <v>13827</v>
      </c>
      <c r="B13828" t="str">
        <v>Công an thị trấn Nam Sách  tỉnh Hải Dương</v>
      </c>
      <c r="C13828" t="str">
        <v>-</v>
      </c>
      <c r="D13828" t="str">
        <v>-</v>
      </c>
      <c r="E13828" t="str">
        <v/>
      </c>
      <c r="F13828" t="str">
        <v>-</v>
      </c>
      <c r="G13828" t="str">
        <v>-</v>
      </c>
    </row>
    <row r="13829">
      <c r="A13829">
        <v>13828</v>
      </c>
      <c r="B13829" t="str">
        <v>UBND Ủy ban nhân dân thị trấn Nam Sách  tỉnh Hải Dương</v>
      </c>
      <c r="C13829" t="str">
        <v>-</v>
      </c>
      <c r="D13829" t="str">
        <v>-</v>
      </c>
      <c r="E13829" t="str">
        <v>-</v>
      </c>
      <c r="F13829" t="str">
        <v>-</v>
      </c>
      <c r="G13829" t="str">
        <v>-</v>
      </c>
    </row>
    <row r="13830">
      <c r="A13830">
        <v>13829</v>
      </c>
      <c r="B13830" t="str">
        <v>Công an thị trấn Kinh Môn  tỉnh Hải Dương</v>
      </c>
      <c r="C13830" t="str">
        <v>-</v>
      </c>
      <c r="D13830" t="str">
        <v>-</v>
      </c>
      <c r="E13830" t="str">
        <v/>
      </c>
      <c r="F13830" t="str">
        <v>-</v>
      </c>
      <c r="G13830" t="str">
        <v>-</v>
      </c>
    </row>
    <row r="13831">
      <c r="A13831">
        <v>13830</v>
      </c>
      <c r="B13831" t="str">
        <v>UBND Ủy ban nhân dân thị trấn Kinh Môn  tỉnh Hải Dương</v>
      </c>
      <c r="C13831" t="str">
        <v>-</v>
      </c>
      <c r="D13831" t="str">
        <v>-</v>
      </c>
      <c r="E13831" t="str">
        <v>-</v>
      </c>
      <c r="F13831" t="str">
        <v>-</v>
      </c>
      <c r="G13831" t="str">
        <v>-</v>
      </c>
    </row>
    <row r="13832">
      <c r="A13832">
        <v>13831</v>
      </c>
      <c r="B13832" t="str">
        <v>Công an thị trấn Minh Tân  tỉnh Hải Dương</v>
      </c>
      <c r="C13832" t="str">
        <v>-</v>
      </c>
      <c r="D13832" t="str">
        <v>-</v>
      </c>
      <c r="E13832" t="str">
        <v/>
      </c>
      <c r="F13832" t="str">
        <v>-</v>
      </c>
      <c r="G13832" t="str">
        <v>-</v>
      </c>
    </row>
    <row r="13833">
      <c r="A13833">
        <v>13832</v>
      </c>
      <c r="B13833" t="str">
        <v>UBND Ủy ban nhân dân thị trấn Minh Tân  tỉnh Hải Dương</v>
      </c>
      <c r="C13833" t="str">
        <v>-</v>
      </c>
      <c r="D13833" t="str">
        <v>-</v>
      </c>
      <c r="E13833" t="str">
        <v>-</v>
      </c>
      <c r="F13833" t="str">
        <v>-</v>
      </c>
      <c r="G13833" t="str">
        <v>-</v>
      </c>
    </row>
    <row r="13834">
      <c r="A13834">
        <v>13833</v>
      </c>
      <c r="B13834" t="str">
        <v>Công an thị trấn Phú Thứ  tỉnh Hải Dương</v>
      </c>
      <c r="C13834" t="str">
        <v>-</v>
      </c>
      <c r="D13834" t="str">
        <v>-</v>
      </c>
      <c r="E13834" t="str">
        <v/>
      </c>
      <c r="F13834" t="str">
        <v>-</v>
      </c>
      <c r="G13834" t="str">
        <v>-</v>
      </c>
    </row>
    <row r="13835">
      <c r="A13835">
        <v>13834</v>
      </c>
      <c r="B13835" t="str">
        <v>UBND Ủy ban nhân dân thị trấn Phú Thứ  tỉnh Hải Dương</v>
      </c>
      <c r="C13835" t="str">
        <v>-</v>
      </c>
      <c r="D13835" t="str">
        <v>-</v>
      </c>
      <c r="E13835" t="str">
        <v>-</v>
      </c>
      <c r="F13835" t="str">
        <v>-</v>
      </c>
      <c r="G13835" t="str">
        <v>-</v>
      </c>
    </row>
    <row r="13836">
      <c r="A13836">
        <v>13835</v>
      </c>
      <c r="B13836" t="str">
        <v>Công an thị trấn Phú Thái  tỉnh Hải Dương</v>
      </c>
      <c r="C13836" t="str">
        <v>-</v>
      </c>
      <c r="D13836" t="str">
        <v>-</v>
      </c>
      <c r="E13836" t="str">
        <v/>
      </c>
      <c r="F13836" t="str">
        <v>-</v>
      </c>
      <c r="G13836" t="str">
        <v>-</v>
      </c>
    </row>
    <row r="13837">
      <c r="A13837">
        <v>13836</v>
      </c>
      <c r="B13837" t="str">
        <v>UBND Ủy ban nhân dân thị trấn Phú Thái  tỉnh Hải Dương</v>
      </c>
      <c r="C13837" t="str">
        <v>-</v>
      </c>
      <c r="D13837" t="str">
        <v>-</v>
      </c>
      <c r="E13837" t="str">
        <v>-</v>
      </c>
      <c r="F13837" t="str">
        <v>-</v>
      </c>
      <c r="G13837" t="str">
        <v>-</v>
      </c>
    </row>
    <row r="13838">
      <c r="A13838">
        <v>13837</v>
      </c>
      <c r="B13838" t="str">
        <v>Công an thị trấn Thanh Hà  tỉnh Hải Dương</v>
      </c>
      <c r="C13838" t="str">
        <v>-</v>
      </c>
      <c r="D13838" t="str">
        <v>-</v>
      </c>
      <c r="E13838" t="str">
        <v/>
      </c>
      <c r="F13838" t="str">
        <v>-</v>
      </c>
      <c r="G13838" t="str">
        <v>-</v>
      </c>
    </row>
    <row r="13839">
      <c r="A13839">
        <v>13838</v>
      </c>
      <c r="B13839" t="str">
        <v>UBND Ủy ban nhân dân thị trấn Thanh Hà  tỉnh Hải Dương</v>
      </c>
      <c r="C13839" t="str">
        <v>-</v>
      </c>
      <c r="D13839" t="str">
        <v>-</v>
      </c>
      <c r="E13839" t="str">
        <v>-</v>
      </c>
      <c r="F13839" t="str">
        <v>-</v>
      </c>
      <c r="G13839" t="str">
        <v>-</v>
      </c>
    </row>
    <row r="13840">
      <c r="A13840">
        <v>13839</v>
      </c>
      <c r="B13840" t="str">
        <v>Công an thị trấn Cẩm Giàng  tỉnh Hải Dương</v>
      </c>
      <c r="C13840" t="str">
        <v>-</v>
      </c>
      <c r="D13840" t="str">
        <v>-</v>
      </c>
      <c r="E13840" t="str">
        <v/>
      </c>
      <c r="F13840" t="str">
        <v>-</v>
      </c>
      <c r="G13840" t="str">
        <v>-</v>
      </c>
    </row>
    <row r="13841">
      <c r="A13841">
        <v>13840</v>
      </c>
      <c r="B13841" t="str">
        <v>UBND Ủy ban nhân dân thị trấn Cẩm Giàng  tỉnh Hải Dương</v>
      </c>
      <c r="C13841" t="str">
        <v>-</v>
      </c>
      <c r="D13841" t="str">
        <v>-</v>
      </c>
      <c r="E13841" t="str">
        <v>-</v>
      </c>
      <c r="F13841" t="str">
        <v>-</v>
      </c>
      <c r="G13841" t="str">
        <v>-</v>
      </c>
    </row>
    <row r="13842">
      <c r="A13842">
        <v>13841</v>
      </c>
      <c r="B13842" t="str">
        <v>Công an thị trấn Lai Cách  tỉnh Hải Dương</v>
      </c>
      <c r="C13842" t="str">
        <v>-</v>
      </c>
      <c r="D13842" t="str">
        <v>-</v>
      </c>
      <c r="E13842" t="str">
        <v/>
      </c>
      <c r="F13842" t="str">
        <v>-</v>
      </c>
      <c r="G13842" t="str">
        <v>-</v>
      </c>
    </row>
    <row r="13843">
      <c r="A13843">
        <v>13842</v>
      </c>
      <c r="B13843" t="str">
        <v>UBND Ủy ban nhân dân thị trấn Lai Cách  tỉnh Hải Dương</v>
      </c>
      <c r="C13843" t="str">
        <v>-</v>
      </c>
      <c r="D13843" t="str">
        <v>-</v>
      </c>
      <c r="E13843" t="str">
        <v>-</v>
      </c>
      <c r="F13843" t="str">
        <v>-</v>
      </c>
      <c r="G13843" t="str">
        <v>-</v>
      </c>
    </row>
    <row r="13844">
      <c r="A13844">
        <v>13843</v>
      </c>
      <c r="B13844" t="str">
        <v>Công an thị trấn Kẻ Sặt  tỉnh Hải Dương</v>
      </c>
      <c r="C13844" t="str">
        <v>-</v>
      </c>
      <c r="D13844" t="str">
        <v>-</v>
      </c>
      <c r="E13844" t="str">
        <v/>
      </c>
      <c r="F13844" t="str">
        <v>-</v>
      </c>
      <c r="G13844" t="str">
        <v>-</v>
      </c>
    </row>
    <row r="13845">
      <c r="A13845">
        <v>13844</v>
      </c>
      <c r="B13845" t="str">
        <v>UBND Ủy ban nhân dân thị trấn Kẻ Sặt  tỉnh Hải Dương</v>
      </c>
      <c r="C13845" t="str">
        <v>-</v>
      </c>
      <c r="D13845" t="str">
        <v>-</v>
      </c>
      <c r="E13845" t="str">
        <v>-</v>
      </c>
      <c r="F13845" t="str">
        <v>-</v>
      </c>
      <c r="G13845" t="str">
        <v>-</v>
      </c>
    </row>
    <row r="13846">
      <c r="A13846">
        <v>13845</v>
      </c>
      <c r="B13846" t="str">
        <v>Công an thị trấn Gia Lộc  tỉnh Hải Dương</v>
      </c>
      <c r="C13846" t="str">
        <v>-</v>
      </c>
      <c r="D13846" t="str">
        <v>-</v>
      </c>
      <c r="E13846" t="str">
        <v/>
      </c>
      <c r="F13846" t="str">
        <v>-</v>
      </c>
      <c r="G13846" t="str">
        <v>-</v>
      </c>
    </row>
    <row r="13847">
      <c r="A13847">
        <v>13846</v>
      </c>
      <c r="B13847" t="str">
        <v>UBND Ủy ban nhân dân thị trấn Gia Lộc  tỉnh Hải Dương</v>
      </c>
      <c r="C13847" t="str">
        <v>-</v>
      </c>
      <c r="D13847" t="str">
        <v>-</v>
      </c>
      <c r="E13847" t="str">
        <v>-</v>
      </c>
      <c r="F13847" t="str">
        <v>-</v>
      </c>
      <c r="G13847" t="str">
        <v>-</v>
      </c>
    </row>
    <row r="13848">
      <c r="A13848">
        <v>13847</v>
      </c>
      <c r="B13848" t="str">
        <v>Công an thị trấn Tứ Kỳ  tỉnh Hải Dương</v>
      </c>
      <c r="C13848" t="str">
        <v>-</v>
      </c>
      <c r="D13848" t="str">
        <v>-</v>
      </c>
      <c r="E13848" t="str">
        <v/>
      </c>
      <c r="F13848" t="str">
        <v>-</v>
      </c>
      <c r="G13848" t="str">
        <v>-</v>
      </c>
    </row>
    <row r="13849">
      <c r="A13849">
        <v>13848</v>
      </c>
      <c r="B13849" t="str">
        <v>UBND Ủy ban nhân dân thị trấn Tứ Kỳ  tỉnh Hải Dương</v>
      </c>
      <c r="C13849" t="str">
        <v>-</v>
      </c>
      <c r="D13849" t="str">
        <v>-</v>
      </c>
      <c r="E13849" t="str">
        <v>-</v>
      </c>
      <c r="F13849" t="str">
        <v>-</v>
      </c>
      <c r="G13849" t="str">
        <v>-</v>
      </c>
    </row>
    <row r="13850">
      <c r="A13850">
        <v>13849</v>
      </c>
      <c r="B13850" t="str">
        <v>Công an thị trấn Ninh Giang  tỉnh Hải Dương</v>
      </c>
      <c r="C13850" t="str">
        <v>-</v>
      </c>
      <c r="D13850" t="str">
        <v>-</v>
      </c>
      <c r="E13850" t="str">
        <v/>
      </c>
      <c r="F13850" t="str">
        <v>-</v>
      </c>
      <c r="G13850" t="str">
        <v>-</v>
      </c>
    </row>
    <row r="13851">
      <c r="A13851">
        <v>13850</v>
      </c>
      <c r="B13851" t="str">
        <v>UBND Ủy ban nhân dân thị trấn Ninh Giang  tỉnh Hải Dương</v>
      </c>
      <c r="C13851" t="str">
        <v>-</v>
      </c>
      <c r="D13851" t="str">
        <v>-</v>
      </c>
      <c r="E13851" t="str">
        <v>-</v>
      </c>
      <c r="F13851" t="str">
        <v>-</v>
      </c>
      <c r="G13851" t="str">
        <v>-</v>
      </c>
    </row>
    <row r="13852">
      <c r="A13852">
        <v>13851</v>
      </c>
      <c r="B13852" t="str">
        <v>Công an thị trấn Thanh Miện  tỉnh Hải Dương</v>
      </c>
      <c r="C13852" t="str">
        <v>-</v>
      </c>
      <c r="D13852" t="str">
        <v>-</v>
      </c>
      <c r="E13852" t="str">
        <v/>
      </c>
      <c r="F13852" t="str">
        <v>-</v>
      </c>
      <c r="G13852" t="str">
        <v>-</v>
      </c>
    </row>
    <row r="13853">
      <c r="A13853">
        <v>13852</v>
      </c>
      <c r="B13853" t="str">
        <v>UBND Ủy ban nhân dân thị trấn Thanh Miện  tỉnh Hải Dương</v>
      </c>
      <c r="C13853" t="str">
        <v>-</v>
      </c>
      <c r="D13853" t="str">
        <v>-</v>
      </c>
      <c r="E13853" t="str">
        <v>-</v>
      </c>
      <c r="F13853" t="str">
        <v>-</v>
      </c>
      <c r="G13853" t="str">
        <v>-</v>
      </c>
    </row>
    <row r="13854">
      <c r="A13854">
        <v>13853</v>
      </c>
      <c r="B13854" t="str">
        <v>Công an thị trấn Núi Đèo thành phố Hải Phòng</v>
      </c>
      <c r="C13854" t="str">
        <v>-</v>
      </c>
      <c r="D13854" t="str">
        <v>-</v>
      </c>
      <c r="E13854" t="str">
        <v/>
      </c>
      <c r="F13854" t="str">
        <v>-</v>
      </c>
      <c r="G13854" t="str">
        <v>-</v>
      </c>
    </row>
    <row r="13855">
      <c r="A13855">
        <v>13854</v>
      </c>
      <c r="B13855" t="str">
        <v>UBND Ủy ban nhân dân thị trấn Núi Đèo thành phố Hải Phòng</v>
      </c>
      <c r="C13855" t="str">
        <v>-</v>
      </c>
      <c r="D13855" t="str">
        <v>-</v>
      </c>
      <c r="E13855" t="str">
        <v>-</v>
      </c>
      <c r="F13855" t="str">
        <v>-</v>
      </c>
      <c r="G13855" t="str">
        <v>-</v>
      </c>
    </row>
    <row r="13856">
      <c r="A13856">
        <v>13855</v>
      </c>
      <c r="B13856" t="str">
        <v>Công an thị trấn Minh Đức thành phố Hải Phòng</v>
      </c>
      <c r="C13856" t="str">
        <v>-</v>
      </c>
      <c r="D13856" t="str">
        <v>-</v>
      </c>
      <c r="E13856" t="str">
        <v/>
      </c>
      <c r="F13856" t="str">
        <v>-</v>
      </c>
      <c r="G13856" t="str">
        <v>-</v>
      </c>
    </row>
    <row r="13857">
      <c r="A13857">
        <v>13856</v>
      </c>
      <c r="B13857" t="str">
        <v>UBND Ủy ban nhân dân thị trấn Minh Đức thành phố Hải Phòng</v>
      </c>
      <c r="C13857" t="str">
        <v>-</v>
      </c>
      <c r="D13857" t="str">
        <v>-</v>
      </c>
      <c r="E13857" t="str">
        <v>-</v>
      </c>
      <c r="F13857" t="str">
        <v>-</v>
      </c>
      <c r="G13857" t="str">
        <v>-</v>
      </c>
    </row>
    <row r="13858">
      <c r="A13858">
        <v>13857</v>
      </c>
      <c r="B13858" t="str">
        <v>Công an thị trấn An Dương thành phố Hải Phòng</v>
      </c>
      <c r="C13858" t="str">
        <v>-</v>
      </c>
      <c r="D13858" t="str">
        <v>-</v>
      </c>
      <c r="E13858" t="str">
        <v/>
      </c>
      <c r="F13858" t="str">
        <v>-</v>
      </c>
      <c r="G13858" t="str">
        <v>-</v>
      </c>
    </row>
    <row r="13859">
      <c r="A13859">
        <v>13858</v>
      </c>
      <c r="B13859" t="str">
        <v>UBND Ủy ban nhân dân thị trấn An Dương thành phố Hải Phòng</v>
      </c>
      <c r="C13859" t="str">
        <v>-</v>
      </c>
      <c r="D13859" t="str">
        <v>-</v>
      </c>
      <c r="E13859" t="str">
        <v>-</v>
      </c>
      <c r="F13859" t="str">
        <v>-</v>
      </c>
      <c r="G13859" t="str">
        <v>-</v>
      </c>
    </row>
    <row r="13860">
      <c r="A13860">
        <v>13859</v>
      </c>
      <c r="B13860" t="str">
        <v>Công an thị trấn An Lão thành phố Hải Phòng</v>
      </c>
      <c r="C13860" t="str">
        <v>-</v>
      </c>
      <c r="D13860" t="str">
        <v>-</v>
      </c>
      <c r="E13860" t="str">
        <v/>
      </c>
      <c r="F13860" t="str">
        <v>-</v>
      </c>
      <c r="G13860" t="str">
        <v>-</v>
      </c>
    </row>
    <row r="13861">
      <c r="A13861">
        <v>13860</v>
      </c>
      <c r="B13861" t="str">
        <v>UBND Ủy ban nhân dân thị trấn An Lão thành phố Hải Phòng</v>
      </c>
      <c r="C13861" t="str">
        <v>-</v>
      </c>
      <c r="D13861" t="str">
        <v>-</v>
      </c>
      <c r="E13861" t="str">
        <v>-</v>
      </c>
      <c r="F13861" t="str">
        <v>-</v>
      </c>
      <c r="G13861" t="str">
        <v>-</v>
      </c>
    </row>
    <row r="13862">
      <c r="A13862">
        <v>13861</v>
      </c>
      <c r="B13862" t="str">
        <v>Công an thị trấn Trường Sơn thành phố Hải Phòng</v>
      </c>
      <c r="C13862" t="str">
        <v>-</v>
      </c>
      <c r="D13862" t="str">
        <v>-</v>
      </c>
      <c r="E13862" t="str">
        <v/>
      </c>
      <c r="F13862" t="str">
        <v>-</v>
      </c>
      <c r="G13862" t="str">
        <v>-</v>
      </c>
    </row>
    <row r="13863">
      <c r="A13863">
        <v>13862</v>
      </c>
      <c r="B13863" t="str">
        <v>UBND Ủy ban nhân dân thị trấn Trường Sơn thành phố Hải Phòng</v>
      </c>
      <c r="C13863" t="str">
        <v>-</v>
      </c>
      <c r="D13863" t="str">
        <v>-</v>
      </c>
      <c r="E13863" t="str">
        <v>-</v>
      </c>
      <c r="F13863" t="str">
        <v>-</v>
      </c>
      <c r="G13863" t="str">
        <v>-</v>
      </c>
    </row>
    <row r="13864">
      <c r="A13864">
        <v>13863</v>
      </c>
      <c r="B13864" t="str">
        <v>Công an thị trấn Núi Đối thành phố Hải Phòng</v>
      </c>
      <c r="C13864" t="str">
        <v>-</v>
      </c>
      <c r="D13864" t="str">
        <v>-</v>
      </c>
      <c r="E13864" t="str">
        <v/>
      </c>
      <c r="F13864" t="str">
        <v>-</v>
      </c>
      <c r="G13864" t="str">
        <v>-</v>
      </c>
    </row>
    <row r="13865">
      <c r="A13865">
        <v>13864</v>
      </c>
      <c r="B13865" t="str">
        <v>UBND Ủy ban nhân dân thị trấn Núi Đối thành phố Hải Phòng</v>
      </c>
      <c r="C13865" t="str">
        <v>-</v>
      </c>
      <c r="D13865" t="str">
        <v>-</v>
      </c>
      <c r="E13865" t="str">
        <v>-</v>
      </c>
      <c r="F13865" t="str">
        <v>-</v>
      </c>
      <c r="G13865" t="str">
        <v>-</v>
      </c>
    </row>
    <row r="13866">
      <c r="A13866">
        <v>13865</v>
      </c>
      <c r="B13866" t="str">
        <v>Công an thị trấn Tiên Lãng thành phố Hải Phòng</v>
      </c>
      <c r="C13866" t="str">
        <v>-</v>
      </c>
      <c r="D13866" t="str">
        <v>-</v>
      </c>
      <c r="E13866" t="str">
        <v/>
      </c>
      <c r="F13866" t="str">
        <v>-</v>
      </c>
      <c r="G13866" t="str">
        <v>-</v>
      </c>
    </row>
    <row r="13867">
      <c r="A13867">
        <v>13866</v>
      </c>
      <c r="B13867" t="str">
        <v>UBND Ủy ban nhân dân thị trấn Tiên Lãng thành phố Hải Phòng</v>
      </c>
      <c r="C13867" t="str">
        <v>-</v>
      </c>
      <c r="D13867" t="str">
        <v>-</v>
      </c>
      <c r="E13867" t="str">
        <v>-</v>
      </c>
      <c r="F13867" t="str">
        <v>-</v>
      </c>
      <c r="G13867" t="str">
        <v>-</v>
      </c>
    </row>
    <row r="13868">
      <c r="A13868">
        <v>13867</v>
      </c>
      <c r="B13868" t="str">
        <v>Công an thị trấn Vĩnh Bảo thành phố Hải Phòng</v>
      </c>
      <c r="C13868" t="str">
        <v>-</v>
      </c>
      <c r="D13868" t="str">
        <v>-</v>
      </c>
      <c r="E13868" t="str">
        <v/>
      </c>
      <c r="F13868" t="str">
        <v>-</v>
      </c>
      <c r="G13868" t="str">
        <v>-</v>
      </c>
    </row>
    <row r="13869">
      <c r="A13869">
        <v>13868</v>
      </c>
      <c r="B13869" t="str">
        <v>UBND Ủy ban nhân dân thị trấn Vĩnh Bảo thành phố Hải Phòng</v>
      </c>
      <c r="C13869" t="str">
        <v>-</v>
      </c>
      <c r="D13869" t="str">
        <v>-</v>
      </c>
      <c r="E13869" t="str">
        <v>-</v>
      </c>
      <c r="F13869" t="str">
        <v>-</v>
      </c>
      <c r="G13869" t="str">
        <v>-</v>
      </c>
    </row>
    <row r="13870">
      <c r="A13870">
        <v>13869</v>
      </c>
      <c r="B13870" t="str">
        <v>Công an thị trấn Cát Bà thành phố Hải Phòng</v>
      </c>
      <c r="C13870" t="str">
        <v>-</v>
      </c>
      <c r="D13870" t="str">
        <v>-</v>
      </c>
      <c r="E13870" t="str">
        <v/>
      </c>
      <c r="F13870" t="str">
        <v>-</v>
      </c>
      <c r="G13870" t="str">
        <v>-</v>
      </c>
    </row>
    <row r="13871">
      <c r="A13871">
        <v>13870</v>
      </c>
      <c r="B13871" t="str">
        <v>UBND Ủy ban nhân dân thị trấn Cát Bà thành phố Hải Phòng</v>
      </c>
      <c r="C13871" t="str">
        <v>-</v>
      </c>
      <c r="D13871" t="str">
        <v>-</v>
      </c>
      <c r="E13871" t="str">
        <v>-</v>
      </c>
      <c r="F13871" t="str">
        <v>-</v>
      </c>
      <c r="G13871" t="str">
        <v>-</v>
      </c>
    </row>
    <row r="13872">
      <c r="A13872">
        <v>13871</v>
      </c>
      <c r="B13872" t="str">
        <v>Công an thị trấn Cát Hải thành phố Hải Phòng</v>
      </c>
      <c r="C13872" t="str">
        <v>-</v>
      </c>
      <c r="D13872" t="str">
        <v>-</v>
      </c>
      <c r="E13872" t="str">
        <v/>
      </c>
      <c r="F13872" t="str">
        <v>-</v>
      </c>
      <c r="G13872" t="str">
        <v>-</v>
      </c>
    </row>
    <row r="13873">
      <c r="A13873">
        <v>13872</v>
      </c>
      <c r="B13873" t="str">
        <v>UBND Ủy ban nhân dân thị trấn Cát Hải thành phố Hải Phòng</v>
      </c>
      <c r="C13873" t="str">
        <v>-</v>
      </c>
      <c r="D13873" t="str">
        <v>-</v>
      </c>
      <c r="E13873" t="str">
        <v>-</v>
      </c>
      <c r="F13873" t="str">
        <v>-</v>
      </c>
      <c r="G13873" t="str">
        <v>-</v>
      </c>
    </row>
    <row r="13874">
      <c r="A13874">
        <v>13873</v>
      </c>
      <c r="B13874" t="str">
        <v>Công an thị trấn Như Quỳnh  tỉnh Hưng Yên</v>
      </c>
      <c r="C13874" t="str">
        <v>-</v>
      </c>
      <c r="D13874" t="str">
        <v>-</v>
      </c>
      <c r="E13874" t="str">
        <v/>
      </c>
      <c r="F13874" t="str">
        <v>-</v>
      </c>
      <c r="G13874" t="str">
        <v>-</v>
      </c>
    </row>
    <row r="13875">
      <c r="A13875">
        <v>13874</v>
      </c>
      <c r="B13875" t="str">
        <v>UBND Ủy ban nhân dân thị trấn Như Quỳnh  tỉnh Hưng Yên</v>
      </c>
      <c r="C13875" t="str">
        <v>-</v>
      </c>
      <c r="D13875" t="str">
        <v>-</v>
      </c>
      <c r="E13875" t="str">
        <v>-</v>
      </c>
      <c r="F13875" t="str">
        <v>-</v>
      </c>
      <c r="G13875" t="str">
        <v>-</v>
      </c>
    </row>
    <row r="13876">
      <c r="A13876">
        <v>13875</v>
      </c>
      <c r="B13876" t="str">
        <v>Công an thị trấn Văn Giang  tỉnh Hưng Yên</v>
      </c>
      <c r="C13876" t="str">
        <v>-</v>
      </c>
      <c r="D13876" t="str">
        <v>-</v>
      </c>
      <c r="E13876" t="str">
        <v/>
      </c>
      <c r="F13876" t="str">
        <v>-</v>
      </c>
      <c r="G13876" t="str">
        <v>-</v>
      </c>
    </row>
    <row r="13877">
      <c r="A13877">
        <v>13876</v>
      </c>
      <c r="B13877" t="str">
        <v>UBND Ủy ban nhân dân thị trấn Văn Giang  tỉnh Hưng Yên</v>
      </c>
      <c r="C13877" t="str">
        <v>-</v>
      </c>
      <c r="D13877" t="str">
        <v>-</v>
      </c>
      <c r="E13877" t="str">
        <v>-</v>
      </c>
      <c r="F13877" t="str">
        <v>-</v>
      </c>
      <c r="G13877" t="str">
        <v>-</v>
      </c>
    </row>
    <row r="13878">
      <c r="A13878">
        <v>13877</v>
      </c>
      <c r="B13878" t="str">
        <v>Công an thị trấn Yên Mỹ  tỉnh Hưng Yên</v>
      </c>
      <c r="C13878" t="str">
        <v>-</v>
      </c>
      <c r="D13878" t="str">
        <v>-</v>
      </c>
      <c r="E13878" t="str">
        <v/>
      </c>
      <c r="F13878" t="str">
        <v>-</v>
      </c>
      <c r="G13878" t="str">
        <v>-</v>
      </c>
    </row>
    <row r="13879">
      <c r="A13879">
        <v>13878</v>
      </c>
      <c r="B13879" t="str">
        <v>UBND Ủy ban nhân dân thị trấn Yên Mỹ  tỉnh Hưng Yên</v>
      </c>
      <c r="C13879" t="str">
        <v>-</v>
      </c>
      <c r="D13879" t="str">
        <v>-</v>
      </c>
      <c r="E13879" t="str">
        <v>-</v>
      </c>
      <c r="F13879" t="str">
        <v>-</v>
      </c>
      <c r="G13879" t="str">
        <v>-</v>
      </c>
    </row>
    <row r="13880">
      <c r="A13880">
        <v>13879</v>
      </c>
      <c r="B13880" t="str">
        <v>Công an thị trấn Bần Yên Nhân  tỉnh Hưng Yên</v>
      </c>
      <c r="C13880" t="str">
        <v>-</v>
      </c>
      <c r="D13880" t="str">
        <v>-</v>
      </c>
      <c r="E13880" t="str">
        <v/>
      </c>
      <c r="F13880" t="str">
        <v>-</v>
      </c>
      <c r="G13880" t="str">
        <v>-</v>
      </c>
    </row>
    <row r="13881">
      <c r="A13881">
        <v>13880</v>
      </c>
      <c r="B13881" t="str">
        <v>UBND Ủy ban nhân dân thị trấn Bần Yên Nhân  tỉnh Hưng Yên</v>
      </c>
      <c r="C13881" t="str">
        <v>-</v>
      </c>
      <c r="D13881" t="str">
        <v>-</v>
      </c>
      <c r="E13881" t="str">
        <v>-</v>
      </c>
      <c r="F13881" t="str">
        <v>-</v>
      </c>
      <c r="G13881" t="str">
        <v>-</v>
      </c>
    </row>
    <row r="13882">
      <c r="A13882">
        <v>13881</v>
      </c>
      <c r="B13882" t="str">
        <v>Công an thị trấn Ân Thi  tỉnh Hưng Yên</v>
      </c>
      <c r="C13882" t="str">
        <v>-</v>
      </c>
      <c r="D13882" t="str">
        <v>-</v>
      </c>
      <c r="E13882" t="str">
        <v/>
      </c>
      <c r="F13882" t="str">
        <v>-</v>
      </c>
      <c r="G13882" t="str">
        <v>-</v>
      </c>
    </row>
    <row r="13883">
      <c r="A13883">
        <v>13882</v>
      </c>
      <c r="B13883" t="str">
        <v>UBND Ủy ban nhân dân thị trấn Ân Thi  tỉnh Hưng Yên</v>
      </c>
      <c r="C13883" t="str">
        <v>-</v>
      </c>
      <c r="D13883" t="str">
        <v>-</v>
      </c>
      <c r="E13883" t="str">
        <v>-</v>
      </c>
      <c r="F13883" t="str">
        <v>-</v>
      </c>
      <c r="G13883" t="str">
        <v>-</v>
      </c>
    </row>
    <row r="13884">
      <c r="A13884">
        <v>13883</v>
      </c>
      <c r="B13884" t="str">
        <v>Công an thị trấn Khoái Châu  tỉnh Hưng Yên</v>
      </c>
      <c r="C13884" t="str">
        <v>-</v>
      </c>
      <c r="D13884" t="str">
        <v>-</v>
      </c>
      <c r="E13884" t="str">
        <v/>
      </c>
      <c r="F13884" t="str">
        <v>-</v>
      </c>
      <c r="G13884" t="str">
        <v>-</v>
      </c>
    </row>
    <row r="13885">
      <c r="A13885">
        <v>13884</v>
      </c>
      <c r="B13885" t="str">
        <v>UBND Ủy ban nhân dân thị trấn Khoái Châu  tỉnh Hưng Yên</v>
      </c>
      <c r="C13885" t="str">
        <v>-</v>
      </c>
      <c r="D13885" t="str">
        <v>-</v>
      </c>
      <c r="E13885" t="str">
        <v>-</v>
      </c>
      <c r="F13885" t="str">
        <v>-</v>
      </c>
      <c r="G13885" t="str">
        <v>-</v>
      </c>
    </row>
    <row r="13886">
      <c r="A13886">
        <v>13885</v>
      </c>
      <c r="B13886" t="str">
        <v>Công an thị trấn Lương Bằng  tỉnh Hưng Yên</v>
      </c>
      <c r="C13886" t="str">
        <v>-</v>
      </c>
      <c r="D13886" t="str">
        <v>-</v>
      </c>
      <c r="E13886" t="str">
        <v/>
      </c>
      <c r="F13886" t="str">
        <v>-</v>
      </c>
      <c r="G13886" t="str">
        <v>-</v>
      </c>
    </row>
    <row r="13887">
      <c r="A13887">
        <v>13886</v>
      </c>
      <c r="B13887" t="str">
        <v>UBND Ủy ban nhân dân thị trấn Lương Bằng  tỉnh Hưng Yên</v>
      </c>
      <c r="C13887" t="str">
        <v>-</v>
      </c>
      <c r="D13887" t="str">
        <v>-</v>
      </c>
      <c r="E13887" t="str">
        <v>-</v>
      </c>
      <c r="F13887" t="str">
        <v>-</v>
      </c>
      <c r="G13887" t="str">
        <v>-</v>
      </c>
    </row>
    <row r="13888">
      <c r="A13888">
        <v>13887</v>
      </c>
      <c r="B13888" t="str">
        <v>Công an thị trấn Vương  tỉnh Hưng Yên</v>
      </c>
      <c r="C13888" t="str">
        <v>-</v>
      </c>
      <c r="D13888" t="str">
        <v>-</v>
      </c>
      <c r="E13888" t="str">
        <v/>
      </c>
      <c r="F13888" t="str">
        <v>-</v>
      </c>
      <c r="G13888" t="str">
        <v>-</v>
      </c>
    </row>
    <row r="13889">
      <c r="A13889">
        <v>13888</v>
      </c>
      <c r="B13889" t="str">
        <v>UBND Ủy ban nhân dân thị trấn Vương  tỉnh Hưng Yên</v>
      </c>
      <c r="C13889" t="str">
        <v>-</v>
      </c>
      <c r="D13889" t="str">
        <v>-</v>
      </c>
      <c r="E13889" t="str">
        <v>-</v>
      </c>
      <c r="F13889" t="str">
        <v>-</v>
      </c>
      <c r="G13889" t="str">
        <v>-</v>
      </c>
    </row>
    <row r="13890">
      <c r="A13890">
        <v>13889</v>
      </c>
      <c r="B13890" t="str">
        <v>Công an thị trấn Trần Cao  tỉnh Hưng Yên</v>
      </c>
      <c r="C13890" t="str">
        <v>-</v>
      </c>
      <c r="D13890" t="str">
        <v>-</v>
      </c>
      <c r="E13890" t="str">
        <v/>
      </c>
      <c r="F13890" t="str">
        <v>-</v>
      </c>
      <c r="G13890" t="str">
        <v>-</v>
      </c>
    </row>
    <row r="13891">
      <c r="A13891">
        <v>13890</v>
      </c>
      <c r="B13891" t="str">
        <v>UBND Ủy ban nhân dân thị trấn Trần Cao  tỉnh Hưng Yên</v>
      </c>
      <c r="C13891" t="str">
        <v>-</v>
      </c>
      <c r="D13891" t="str">
        <v>-</v>
      </c>
      <c r="E13891" t="str">
        <v>-</v>
      </c>
      <c r="F13891" t="str">
        <v>-</v>
      </c>
      <c r="G13891" t="str">
        <v>-</v>
      </c>
    </row>
    <row r="13892">
      <c r="A13892">
        <v>13891</v>
      </c>
      <c r="B13892" t="str">
        <v>Công an thị trấn Quỳnh Côi  tỉnh Thái Bình</v>
      </c>
      <c r="C13892" t="str">
        <v>-</v>
      </c>
      <c r="D13892" t="str">
        <v>-</v>
      </c>
      <c r="E13892" t="str">
        <v/>
      </c>
      <c r="F13892" t="str">
        <v>-</v>
      </c>
      <c r="G13892" t="str">
        <v>-</v>
      </c>
    </row>
    <row r="13893">
      <c r="A13893">
        <v>13892</v>
      </c>
      <c r="B13893" t="str">
        <v>UBND Ủy ban nhân dân thị trấn Quỳnh Côi  tỉnh Thái Bình</v>
      </c>
      <c r="C13893" t="str">
        <v>-</v>
      </c>
      <c r="D13893" t="str">
        <v>-</v>
      </c>
      <c r="E13893" t="str">
        <v>-</v>
      </c>
      <c r="F13893" t="str">
        <v>-</v>
      </c>
      <c r="G13893" t="str">
        <v>-</v>
      </c>
    </row>
    <row r="13894">
      <c r="A13894">
        <v>13893</v>
      </c>
      <c r="B13894" t="str">
        <v>Công an thị trấn An Bài  tỉnh Thái Bình</v>
      </c>
      <c r="C13894" t="str">
        <v>-</v>
      </c>
      <c r="D13894" t="str">
        <v>-</v>
      </c>
      <c r="E13894" t="str">
        <v/>
      </c>
      <c r="F13894" t="str">
        <v>-</v>
      </c>
      <c r="G13894" t="str">
        <v>-</v>
      </c>
    </row>
    <row r="13895">
      <c r="A13895">
        <v>13894</v>
      </c>
      <c r="B13895" t="str">
        <v>UBND Ủy ban nhân dân thị trấn An Bài  tỉnh Thái Bình</v>
      </c>
      <c r="C13895" t="str">
        <v>-</v>
      </c>
      <c r="D13895" t="str">
        <v>-</v>
      </c>
      <c r="E13895" t="str">
        <v>-</v>
      </c>
      <c r="F13895" t="str">
        <v>-</v>
      </c>
      <c r="G13895" t="str">
        <v>-</v>
      </c>
    </row>
    <row r="13896">
      <c r="A13896">
        <v>13895</v>
      </c>
      <c r="B13896" t="str">
        <v>Công an thị trấn Hưng Hà  tỉnh Thái Bình</v>
      </c>
      <c r="C13896" t="str">
        <v>-</v>
      </c>
      <c r="D13896" t="str">
        <v>-</v>
      </c>
      <c r="E13896" t="str">
        <v/>
      </c>
      <c r="F13896" t="str">
        <v>-</v>
      </c>
      <c r="G13896" t="str">
        <v>-</v>
      </c>
    </row>
    <row r="13897">
      <c r="A13897">
        <v>13896</v>
      </c>
      <c r="B13897" t="str">
        <v>UBND Ủy ban nhân dân thị trấn Hưng Hà  tỉnh Thái Bình</v>
      </c>
      <c r="C13897" t="str">
        <v>-</v>
      </c>
      <c r="D13897" t="str">
        <v>-</v>
      </c>
      <c r="E13897" t="str">
        <v>-</v>
      </c>
      <c r="F13897" t="str">
        <v>-</v>
      </c>
      <c r="G13897" t="str">
        <v>-</v>
      </c>
    </row>
    <row r="13898">
      <c r="A13898">
        <v>13897</v>
      </c>
      <c r="B13898" t="str">
        <v>Công an thị trấn Hưng Nhân  tỉnh Thái Bình</v>
      </c>
      <c r="C13898" t="str">
        <v>-</v>
      </c>
      <c r="D13898" t="str">
        <v>-</v>
      </c>
      <c r="E13898" t="str">
        <v/>
      </c>
      <c r="F13898" t="str">
        <v>-</v>
      </c>
      <c r="G13898" t="str">
        <v>-</v>
      </c>
    </row>
    <row r="13899">
      <c r="A13899">
        <v>13898</v>
      </c>
      <c r="B13899" t="str">
        <v>UBND Ủy ban nhân dân thị trấn Hưng Nhân  tỉnh Thái Bình</v>
      </c>
      <c r="C13899" t="str">
        <v>-</v>
      </c>
      <c r="D13899" t="str">
        <v>-</v>
      </c>
      <c r="E13899" t="str">
        <v>-</v>
      </c>
      <c r="F13899" t="str">
        <v>-</v>
      </c>
      <c r="G13899" t="str">
        <v>-</v>
      </c>
    </row>
    <row r="13900">
      <c r="A13900">
        <v>13899</v>
      </c>
      <c r="B13900" t="str">
        <v>Công an thị trấn Đông Hưng  tỉnh Thái Bình</v>
      </c>
      <c r="C13900" t="str">
        <v>-</v>
      </c>
      <c r="D13900" t="str">
        <v>-</v>
      </c>
      <c r="E13900" t="str">
        <v/>
      </c>
      <c r="F13900" t="str">
        <v>-</v>
      </c>
      <c r="G13900" t="str">
        <v>-</v>
      </c>
    </row>
    <row r="13901">
      <c r="A13901">
        <v>13900</v>
      </c>
      <c r="B13901" t="str">
        <v>UBND Ủy ban nhân dân thị trấn Đông Hưng  tỉnh Thái Bình</v>
      </c>
      <c r="C13901" t="str">
        <v>-</v>
      </c>
      <c r="D13901" t="str">
        <v>-</v>
      </c>
      <c r="E13901" t="str">
        <v>-</v>
      </c>
      <c r="F13901" t="str">
        <v>-</v>
      </c>
      <c r="G13901" t="str">
        <v>-</v>
      </c>
    </row>
    <row r="13902">
      <c r="A13902">
        <v>13901</v>
      </c>
      <c r="B13902" t="str">
        <v>Công an thị trấn Diêm Điền  tỉnh Thái Bình</v>
      </c>
      <c r="C13902" t="str">
        <v>-</v>
      </c>
      <c r="D13902" t="str">
        <v>-</v>
      </c>
      <c r="E13902" t="str">
        <v/>
      </c>
      <c r="F13902" t="str">
        <v>-</v>
      </c>
      <c r="G13902" t="str">
        <v>-</v>
      </c>
    </row>
    <row r="13903">
      <c r="A13903">
        <v>13902</v>
      </c>
      <c r="B13903" t="str">
        <v>UBND Ủy ban nhân dân thị trấn Diêm Điền  tỉnh Thái Bình</v>
      </c>
      <c r="C13903" t="str">
        <v>-</v>
      </c>
      <c r="D13903" t="str">
        <v>-</v>
      </c>
      <c r="E13903" t="str">
        <v>-</v>
      </c>
      <c r="F13903" t="str">
        <v>-</v>
      </c>
      <c r="G13903" t="str">
        <v>-</v>
      </c>
    </row>
    <row r="13904">
      <c r="A13904">
        <v>13903</v>
      </c>
      <c r="B13904" t="str">
        <v>Công an thị trấn Tiền Hải  tỉnh Thái Bình</v>
      </c>
      <c r="C13904" t="str">
        <v>-</v>
      </c>
      <c r="D13904" t="str">
        <v>-</v>
      </c>
      <c r="E13904" t="str">
        <v/>
      </c>
      <c r="F13904" t="str">
        <v>-</v>
      </c>
      <c r="G13904" t="str">
        <v>-</v>
      </c>
    </row>
    <row r="13905">
      <c r="A13905">
        <v>13904</v>
      </c>
      <c r="B13905" t="str">
        <v>UBND Ủy ban nhân dân thị trấn Tiền Hải  tỉnh Thái Bình</v>
      </c>
      <c r="C13905" t="str">
        <v>-</v>
      </c>
      <c r="D13905" t="str">
        <v>-</v>
      </c>
      <c r="E13905" t="str">
        <v>-</v>
      </c>
      <c r="F13905" t="str">
        <v>-</v>
      </c>
      <c r="G13905" t="str">
        <v>-</v>
      </c>
    </row>
    <row r="13906">
      <c r="A13906">
        <v>13905</v>
      </c>
      <c r="B13906" t="str">
        <v>Công an thị trấn Thanh Nê  tỉnh Thái Bình</v>
      </c>
      <c r="C13906" t="str">
        <v>-</v>
      </c>
      <c r="D13906" t="str">
        <v>-</v>
      </c>
      <c r="E13906" t="str">
        <v/>
      </c>
      <c r="F13906" t="str">
        <v>-</v>
      </c>
      <c r="G13906" t="str">
        <v>-</v>
      </c>
    </row>
    <row r="13907">
      <c r="A13907">
        <v>13906</v>
      </c>
      <c r="B13907" t="str">
        <v>UBND Ủy ban nhân dân thị trấn Thanh Nê  tỉnh Thái Bình</v>
      </c>
      <c r="C13907" t="str">
        <v>-</v>
      </c>
      <c r="D13907" t="str">
        <v>-</v>
      </c>
      <c r="E13907" t="str">
        <v>-</v>
      </c>
      <c r="F13907" t="str">
        <v>-</v>
      </c>
      <c r="G13907" t="str">
        <v>-</v>
      </c>
    </row>
    <row r="13908">
      <c r="A13908">
        <v>13907</v>
      </c>
      <c r="B13908" t="str">
        <v>Công an thị trấn Vũ Thư  tỉnh Thái Bình</v>
      </c>
      <c r="C13908" t="str">
        <v>-</v>
      </c>
      <c r="D13908" t="str">
        <v>-</v>
      </c>
      <c r="E13908" t="str">
        <v/>
      </c>
      <c r="F13908" t="str">
        <v>-</v>
      </c>
      <c r="G13908" t="str">
        <v>-</v>
      </c>
    </row>
    <row r="13909">
      <c r="A13909">
        <v>13908</v>
      </c>
      <c r="B13909" t="str">
        <v>UBND Ủy ban nhân dân thị trấn Vũ Thư  tỉnh Thái Bình</v>
      </c>
      <c r="C13909" t="str">
        <v>-</v>
      </c>
      <c r="D13909" t="str">
        <v>-</v>
      </c>
      <c r="E13909" t="str">
        <v>-</v>
      </c>
      <c r="F13909" t="str">
        <v>-</v>
      </c>
      <c r="G13909" t="str">
        <v>-</v>
      </c>
    </row>
    <row r="13910">
      <c r="A13910">
        <v>13909</v>
      </c>
      <c r="B13910" t="str">
        <v>Công an thị trấn Đồng Văn  tỉnh Hà Nam</v>
      </c>
      <c r="C13910" t="str">
        <v>-</v>
      </c>
      <c r="D13910" t="str">
        <v>-</v>
      </c>
      <c r="E13910" t="str">
        <v/>
      </c>
      <c r="F13910" t="str">
        <v>-</v>
      </c>
      <c r="G13910" t="str">
        <v>-</v>
      </c>
    </row>
    <row r="13911">
      <c r="A13911">
        <v>13910</v>
      </c>
      <c r="B13911" t="str">
        <v>UBND Ủy ban nhân dân thị trấn Đồng Văn  tỉnh Hà Nam</v>
      </c>
      <c r="C13911" t="str">
        <v>-</v>
      </c>
      <c r="D13911" t="str">
        <v>-</v>
      </c>
      <c r="E13911" t="str">
        <v>-</v>
      </c>
      <c r="F13911" t="str">
        <v>-</v>
      </c>
      <c r="G13911" t="str">
        <v>-</v>
      </c>
    </row>
    <row r="13912">
      <c r="A13912">
        <v>13911</v>
      </c>
      <c r="B13912" t="str">
        <v>Công an thị trấn Hòa Mạc  tỉnh Hà Nam</v>
      </c>
      <c r="C13912" t="str">
        <v>-</v>
      </c>
      <c r="D13912" t="str">
        <v>-</v>
      </c>
      <c r="E13912" t="str">
        <v/>
      </c>
      <c r="F13912" t="str">
        <v>-</v>
      </c>
      <c r="G13912" t="str">
        <v>-</v>
      </c>
    </row>
    <row r="13913">
      <c r="A13913">
        <v>13912</v>
      </c>
      <c r="B13913" t="str">
        <v>UBND Ủy ban nhân dân thị trấn Hòa Mạc  tỉnh Hà Nam</v>
      </c>
      <c r="C13913" t="str">
        <v>-</v>
      </c>
      <c r="D13913" t="str">
        <v>-</v>
      </c>
      <c r="E13913" t="str">
        <v>-</v>
      </c>
      <c r="F13913" t="str">
        <v>-</v>
      </c>
      <c r="G13913" t="str">
        <v>-</v>
      </c>
    </row>
    <row r="13914">
      <c r="A13914">
        <v>13913</v>
      </c>
      <c r="B13914" t="str">
        <v>Công an thị trấn Quế  tỉnh Hà Nam</v>
      </c>
      <c r="C13914" t="str">
        <v>-</v>
      </c>
      <c r="D13914" t="str">
        <v>-</v>
      </c>
      <c r="E13914" t="str">
        <v/>
      </c>
      <c r="F13914" t="str">
        <v>-</v>
      </c>
      <c r="G13914" t="str">
        <v>-</v>
      </c>
    </row>
    <row r="13915">
      <c r="A13915">
        <v>13914</v>
      </c>
      <c r="B13915" t="str">
        <v>UBND Ủy ban nhân dân thị trấn Quế  tỉnh Hà Nam</v>
      </c>
      <c r="C13915" t="str">
        <v>-</v>
      </c>
      <c r="D13915" t="str">
        <v>-</v>
      </c>
      <c r="E13915" t="str">
        <v>-</v>
      </c>
      <c r="F13915" t="str">
        <v>-</v>
      </c>
      <c r="G13915" t="str">
        <v>-</v>
      </c>
    </row>
    <row r="13916">
      <c r="A13916">
        <v>13915</v>
      </c>
      <c r="B13916" t="str">
        <v>Công an thị trấn Ba Sao  tỉnh Hà Nam</v>
      </c>
      <c r="C13916" t="str">
        <v>-</v>
      </c>
      <c r="D13916" t="str">
        <v>-</v>
      </c>
      <c r="E13916" t="str">
        <v/>
      </c>
      <c r="F13916" t="str">
        <v>-</v>
      </c>
      <c r="G13916" t="str">
        <v>-</v>
      </c>
    </row>
    <row r="13917">
      <c r="A13917">
        <v>13916</v>
      </c>
      <c r="B13917" t="str">
        <v>UBND Ủy ban nhân dân thị trấn Ba Sao  tỉnh Hà Nam</v>
      </c>
      <c r="C13917" t="str">
        <v>-</v>
      </c>
      <c r="D13917" t="str">
        <v>-</v>
      </c>
      <c r="E13917" t="str">
        <v>-</v>
      </c>
      <c r="F13917" t="str">
        <v>-</v>
      </c>
      <c r="G13917" t="str">
        <v>-</v>
      </c>
    </row>
    <row r="13918">
      <c r="A13918">
        <v>13917</v>
      </c>
      <c r="B13918" t="str">
        <v>Công an thị trấn Kiện Khê  tỉnh Hà Nam</v>
      </c>
      <c r="C13918" t="str">
        <v>-</v>
      </c>
      <c r="D13918" t="str">
        <v>-</v>
      </c>
      <c r="E13918" t="str">
        <v/>
      </c>
      <c r="F13918" t="str">
        <v>-</v>
      </c>
      <c r="G13918" t="str">
        <v>-</v>
      </c>
    </row>
    <row r="13919">
      <c r="A13919">
        <v>13918</v>
      </c>
      <c r="B13919" t="str">
        <v>UBND Ủy ban nhân dân thị trấn Kiện Khê  tỉnh Hà Nam</v>
      </c>
      <c r="C13919" t="str">
        <v>-</v>
      </c>
      <c r="D13919" t="str">
        <v>-</v>
      </c>
      <c r="E13919" t="str">
        <v>-</v>
      </c>
      <c r="F13919" t="str">
        <v>-</v>
      </c>
      <c r="G13919" t="str">
        <v>-</v>
      </c>
    </row>
    <row r="13920">
      <c r="A13920">
        <v>13919</v>
      </c>
      <c r="B13920" t="str">
        <v>Công an thị trấn Bình Mỹ  tỉnh Hà Nam</v>
      </c>
      <c r="C13920" t="str">
        <v>-</v>
      </c>
      <c r="D13920" t="str">
        <v>-</v>
      </c>
      <c r="E13920" t="str">
        <v/>
      </c>
      <c r="F13920" t="str">
        <v>-</v>
      </c>
      <c r="G13920" t="str">
        <v>-</v>
      </c>
    </row>
    <row r="13921">
      <c r="A13921">
        <v>13920</v>
      </c>
      <c r="B13921" t="str">
        <v>UBND Ủy ban nhân dân thị trấn Bình Mỹ  tỉnh Hà Nam</v>
      </c>
      <c r="C13921" t="str">
        <v>-</v>
      </c>
      <c r="D13921" t="str">
        <v>-</v>
      </c>
      <c r="E13921" t="str">
        <v>-</v>
      </c>
      <c r="F13921" t="str">
        <v>-</v>
      </c>
      <c r="G13921" t="str">
        <v>-</v>
      </c>
    </row>
    <row r="13922">
      <c r="A13922">
        <v>13921</v>
      </c>
      <c r="B13922" t="str">
        <v>Công an thị trấn Vĩnh Trụ  tỉnh Hà Nam</v>
      </c>
      <c r="C13922" t="str">
        <v>-</v>
      </c>
      <c r="D13922" t="str">
        <v>-</v>
      </c>
      <c r="E13922" t="str">
        <v/>
      </c>
      <c r="F13922" t="str">
        <v>-</v>
      </c>
      <c r="G13922" t="str">
        <v>-</v>
      </c>
    </row>
    <row r="13923">
      <c r="A13923">
        <v>13922</v>
      </c>
      <c r="B13923" t="str">
        <v>UBND Ủy ban nhân dân thị trấn Vĩnh Trụ  tỉnh Hà Nam</v>
      </c>
      <c r="C13923" t="str">
        <v>-</v>
      </c>
      <c r="D13923" t="str">
        <v>-</v>
      </c>
      <c r="E13923" t="str">
        <v>-</v>
      </c>
      <c r="F13923" t="str">
        <v>-</v>
      </c>
      <c r="G13923" t="str">
        <v>-</v>
      </c>
    </row>
    <row r="13924">
      <c r="A13924">
        <v>13923</v>
      </c>
      <c r="B13924" t="str">
        <v>Công an thị trấn Mỹ Lộc  tỉnh Nam Định</v>
      </c>
      <c r="C13924" t="str">
        <v>-</v>
      </c>
      <c r="D13924" t="str">
        <v>-</v>
      </c>
      <c r="E13924" t="str">
        <v/>
      </c>
      <c r="F13924" t="str">
        <v>-</v>
      </c>
      <c r="G13924" t="str">
        <v>-</v>
      </c>
    </row>
    <row r="13925">
      <c r="A13925">
        <v>13924</v>
      </c>
      <c r="B13925" t="str">
        <v>UBND Ủy ban nhân dân thị trấn Mỹ Lộc  tỉnh Nam Định</v>
      </c>
      <c r="C13925" t="str">
        <v>-</v>
      </c>
      <c r="D13925" t="str">
        <v>-</v>
      </c>
      <c r="E13925" t="str">
        <v>-</v>
      </c>
      <c r="F13925" t="str">
        <v>-</v>
      </c>
      <c r="G13925" t="str">
        <v>-</v>
      </c>
    </row>
    <row r="13926">
      <c r="A13926">
        <v>13925</v>
      </c>
      <c r="B13926" t="str">
        <v>Công an thị trấn Gôi  tỉnh Nam Định</v>
      </c>
      <c r="C13926" t="str">
        <v>-</v>
      </c>
      <c r="D13926" t="str">
        <v>-</v>
      </c>
      <c r="E13926" t="str">
        <v/>
      </c>
      <c r="F13926" t="str">
        <v>-</v>
      </c>
      <c r="G13926" t="str">
        <v>-</v>
      </c>
    </row>
    <row r="13927">
      <c r="A13927">
        <v>13926</v>
      </c>
      <c r="B13927" t="str">
        <v>UBND Ủy ban nhân dân thị trấn Gôi  tỉnh Nam Định</v>
      </c>
      <c r="C13927" t="str">
        <v>-</v>
      </c>
      <c r="D13927" t="str">
        <v>-</v>
      </c>
      <c r="E13927" t="str">
        <v>-</v>
      </c>
      <c r="F13927" t="str">
        <v>-</v>
      </c>
      <c r="G13927" t="str">
        <v>-</v>
      </c>
    </row>
    <row r="13928">
      <c r="A13928">
        <v>13927</v>
      </c>
      <c r="B13928" t="str">
        <v>Công an thị trấn Lâm  tỉnh Nam Định</v>
      </c>
      <c r="C13928" t="str">
        <v>-</v>
      </c>
      <c r="D13928" t="str">
        <v>-</v>
      </c>
      <c r="E13928" t="str">
        <v/>
      </c>
      <c r="F13928" t="str">
        <v>-</v>
      </c>
      <c r="G13928" t="str">
        <v>-</v>
      </c>
    </row>
    <row r="13929">
      <c r="A13929">
        <v>13928</v>
      </c>
      <c r="B13929" t="str">
        <v>UBND Ủy ban nhân dân thị trấn Lâm  tỉnh Nam Định</v>
      </c>
      <c r="C13929" t="str">
        <v>-</v>
      </c>
      <c r="D13929" t="str">
        <v>-</v>
      </c>
      <c r="E13929" t="str">
        <v>-</v>
      </c>
      <c r="F13929" t="str">
        <v>-</v>
      </c>
      <c r="G13929" t="str">
        <v>-</v>
      </c>
    </row>
    <row r="13930">
      <c r="A13930">
        <v>13929</v>
      </c>
      <c r="B13930" t="str">
        <v>Công an thị trấn Liễu Đề  tỉnh Nam Định</v>
      </c>
      <c r="C13930" t="str">
        <v>-</v>
      </c>
      <c r="D13930" t="str">
        <v>-</v>
      </c>
      <c r="E13930" t="str">
        <v/>
      </c>
      <c r="F13930" t="str">
        <v>-</v>
      </c>
      <c r="G13930" t="str">
        <v>-</v>
      </c>
    </row>
    <row r="13931">
      <c r="A13931">
        <v>13930</v>
      </c>
      <c r="B13931" t="str">
        <v>UBND Ủy ban nhân dân thị trấn Liễu Đề  tỉnh Nam Định</v>
      </c>
      <c r="C13931" t="str">
        <v>-</v>
      </c>
      <c r="D13931" t="str">
        <v>-</v>
      </c>
      <c r="E13931" t="str">
        <v>-</v>
      </c>
      <c r="F13931" t="str">
        <v>-</v>
      </c>
      <c r="G13931" t="str">
        <v>-</v>
      </c>
    </row>
    <row r="13932">
      <c r="A13932">
        <v>13931</v>
      </c>
      <c r="B13932" t="str">
        <v>Công an thị trấn Rạng Đông  tỉnh Nam Định</v>
      </c>
      <c r="C13932" t="str">
        <v>-</v>
      </c>
      <c r="D13932" t="str">
        <v>-</v>
      </c>
      <c r="E13932" t="str">
        <v/>
      </c>
      <c r="F13932" t="str">
        <v>-</v>
      </c>
      <c r="G13932" t="str">
        <v>-</v>
      </c>
    </row>
    <row r="13933">
      <c r="A13933">
        <v>13932</v>
      </c>
      <c r="B13933" t="str">
        <v>UBND Ủy ban nhân dân thị trấn Rạng Đông  tỉnh Nam Định</v>
      </c>
      <c r="C13933" t="str">
        <v>-</v>
      </c>
      <c r="D13933" t="str">
        <v>-</v>
      </c>
      <c r="E13933" t="str">
        <v>-</v>
      </c>
      <c r="F13933" t="str">
        <v>-</v>
      </c>
      <c r="G13933" t="str">
        <v>-</v>
      </c>
    </row>
    <row r="13934">
      <c r="A13934">
        <v>13933</v>
      </c>
      <c r="B13934" t="str">
        <v>Công an thị trấn Quỹ Nhất  tỉnh Nam Định</v>
      </c>
      <c r="C13934" t="str">
        <v>-</v>
      </c>
      <c r="D13934" t="str">
        <v>-</v>
      </c>
      <c r="E13934" t="str">
        <v/>
      </c>
      <c r="F13934" t="str">
        <v>-</v>
      </c>
      <c r="G13934" t="str">
        <v>-</v>
      </c>
    </row>
    <row r="13935">
      <c r="A13935">
        <v>13934</v>
      </c>
      <c r="B13935" t="str">
        <v>UBND Ủy ban nhân dân thị trấn Quỹ Nhất  tỉnh Nam Định</v>
      </c>
      <c r="C13935" t="str">
        <v>-</v>
      </c>
      <c r="D13935" t="str">
        <v>-</v>
      </c>
      <c r="E13935" t="str">
        <v>-</v>
      </c>
      <c r="F13935" t="str">
        <v>-</v>
      </c>
      <c r="G13935" t="str">
        <v>-</v>
      </c>
    </row>
    <row r="13936">
      <c r="A13936">
        <v>13935</v>
      </c>
      <c r="B13936" t="str">
        <v>Công an thị trấn Nam Giang  tỉnh Nam Định</v>
      </c>
      <c r="C13936" t="str">
        <v>-</v>
      </c>
      <c r="D13936" t="str">
        <v>-</v>
      </c>
      <c r="E13936" t="str">
        <v/>
      </c>
      <c r="F13936" t="str">
        <v>-</v>
      </c>
      <c r="G13936" t="str">
        <v>-</v>
      </c>
    </row>
    <row r="13937">
      <c r="A13937">
        <v>13936</v>
      </c>
      <c r="B13937" t="str">
        <v>UBND Ủy ban nhân dân thị trấn Nam Giang  tỉnh Nam Định</v>
      </c>
      <c r="C13937" t="str">
        <v>-</v>
      </c>
      <c r="D13937" t="str">
        <v>-</v>
      </c>
      <c r="E13937" t="str">
        <v>-</v>
      </c>
      <c r="F13937" t="str">
        <v>-</v>
      </c>
      <c r="G13937" t="str">
        <v>-</v>
      </c>
    </row>
    <row r="13938">
      <c r="A13938">
        <v>13937</v>
      </c>
      <c r="B13938" t="str">
        <v>Công an thị trấn Cổ Lễ  tỉnh Nam Định</v>
      </c>
      <c r="C13938" t="str">
        <v>-</v>
      </c>
      <c r="D13938" t="str">
        <v>-</v>
      </c>
      <c r="E13938" t="str">
        <v/>
      </c>
      <c r="F13938" t="str">
        <v>-</v>
      </c>
      <c r="G13938" t="str">
        <v>-</v>
      </c>
    </row>
    <row r="13939">
      <c r="A13939">
        <v>13938</v>
      </c>
      <c r="B13939" t="str">
        <v>UBND Ủy ban nhân dân thị trấn Cổ Lễ  tỉnh Nam Định</v>
      </c>
      <c r="C13939" t="str">
        <v>-</v>
      </c>
      <c r="D13939" t="str">
        <v>-</v>
      </c>
      <c r="E13939" t="str">
        <v>-</v>
      </c>
      <c r="F13939" t="str">
        <v>-</v>
      </c>
      <c r="G13939" t="str">
        <v>-</v>
      </c>
    </row>
    <row r="13940">
      <c r="A13940">
        <v>13939</v>
      </c>
      <c r="B13940" t="str">
        <v>Công an thị trấn Cát Thành  tỉnh Nam Định</v>
      </c>
      <c r="C13940" t="str">
        <v>-</v>
      </c>
      <c r="D13940" t="str">
        <v>-</v>
      </c>
      <c r="E13940" t="str">
        <v/>
      </c>
      <c r="F13940" t="str">
        <v>-</v>
      </c>
      <c r="G13940" t="str">
        <v>-</v>
      </c>
    </row>
    <row r="13941">
      <c r="A13941">
        <v>13940</v>
      </c>
      <c r="B13941" t="str">
        <v>UBND Ủy ban nhân dân thị trấn Cát Thành  tỉnh Nam Định</v>
      </c>
      <c r="C13941" t="str">
        <v>-</v>
      </c>
      <c r="D13941" t="str">
        <v>-</v>
      </c>
      <c r="E13941" t="str">
        <v>-</v>
      </c>
      <c r="F13941" t="str">
        <v>-</v>
      </c>
      <c r="G13941" t="str">
        <v>-</v>
      </c>
    </row>
    <row r="13942">
      <c r="A13942">
        <v>13941</v>
      </c>
      <c r="B13942" t="str">
        <v>Công an thị trấn Xuân Trường  tỉnh Nam Định</v>
      </c>
      <c r="C13942" t="str">
        <v>-</v>
      </c>
      <c r="D13942" t="str">
        <v>-</v>
      </c>
      <c r="E13942" t="str">
        <v/>
      </c>
      <c r="F13942" t="str">
        <v>-</v>
      </c>
      <c r="G13942" t="str">
        <v>-</v>
      </c>
    </row>
    <row r="13943">
      <c r="A13943">
        <v>13942</v>
      </c>
      <c r="B13943" t="str">
        <v>UBND Ủy ban nhân dân thị trấn Xuân Trường  tỉnh Nam Định</v>
      </c>
      <c r="C13943" t="str">
        <v>-</v>
      </c>
      <c r="D13943" t="str">
        <v>-</v>
      </c>
      <c r="E13943" t="str">
        <v>-</v>
      </c>
      <c r="F13943" t="str">
        <v>-</v>
      </c>
      <c r="G13943" t="str">
        <v>-</v>
      </c>
    </row>
    <row r="13944">
      <c r="A13944">
        <v>13943</v>
      </c>
      <c r="B13944" t="str">
        <v>Công an thị trấn Ngô Đồng  tỉnh Nam Định</v>
      </c>
      <c r="C13944" t="str">
        <v>-</v>
      </c>
      <c r="D13944" t="str">
        <v>-</v>
      </c>
      <c r="E13944" t="str">
        <v/>
      </c>
      <c r="F13944" t="str">
        <v>-</v>
      </c>
      <c r="G13944" t="str">
        <v>-</v>
      </c>
    </row>
    <row r="13945">
      <c r="A13945">
        <v>13944</v>
      </c>
      <c r="B13945" t="str">
        <v>UBND Ủy ban nhân dân thị trấn Ngô Đồng  tỉnh Nam Định</v>
      </c>
      <c r="C13945" t="str">
        <v>-</v>
      </c>
      <c r="D13945" t="str">
        <v>-</v>
      </c>
      <c r="E13945" t="str">
        <v>-</v>
      </c>
      <c r="F13945" t="str">
        <v>-</v>
      </c>
      <c r="G13945" t="str">
        <v>-</v>
      </c>
    </row>
    <row r="13946">
      <c r="A13946">
        <v>13945</v>
      </c>
      <c r="B13946" t="str">
        <v>Công an thị trấn Quất Lâm  tỉnh Nam Định</v>
      </c>
      <c r="C13946" t="str">
        <v>-</v>
      </c>
      <c r="D13946" t="str">
        <v>-</v>
      </c>
      <c r="E13946" t="str">
        <v/>
      </c>
      <c r="F13946" t="str">
        <v>-</v>
      </c>
      <c r="G13946" t="str">
        <v>-</v>
      </c>
    </row>
    <row r="13947">
      <c r="A13947">
        <v>13946</v>
      </c>
      <c r="B13947" t="str">
        <v>UBND Ủy ban nhân dân thị trấn Quất Lâm  tỉnh Nam Định</v>
      </c>
      <c r="C13947" t="str">
        <v>-</v>
      </c>
      <c r="D13947" t="str">
        <v>-</v>
      </c>
      <c r="E13947" t="str">
        <v>-</v>
      </c>
      <c r="F13947" t="str">
        <v>-</v>
      </c>
      <c r="G13947" t="str">
        <v>-</v>
      </c>
    </row>
    <row r="13948">
      <c r="A13948">
        <v>13947</v>
      </c>
      <c r="B13948" t="str">
        <v>Công an thị trấn Yên Định  tỉnh Nam Định</v>
      </c>
      <c r="C13948" t="str">
        <v>-</v>
      </c>
      <c r="D13948" t="str">
        <v>-</v>
      </c>
      <c r="E13948" t="str">
        <v/>
      </c>
      <c r="F13948" t="str">
        <v>-</v>
      </c>
      <c r="G13948" t="str">
        <v>-</v>
      </c>
    </row>
    <row r="13949">
      <c r="A13949">
        <v>13948</v>
      </c>
      <c r="B13949" t="str">
        <v>UBND Ủy ban nhân dân thị trấn Yên Định  tỉnh Nam Định</v>
      </c>
      <c r="C13949" t="str">
        <v>-</v>
      </c>
      <c r="D13949" t="str">
        <v>-</v>
      </c>
      <c r="E13949" t="str">
        <v>-</v>
      </c>
      <c r="F13949" t="str">
        <v>-</v>
      </c>
      <c r="G13949" t="str">
        <v>-</v>
      </c>
    </row>
    <row r="13950">
      <c r="A13950">
        <v>13949</v>
      </c>
      <c r="B13950" t="str">
        <v>Công an thị trấn Cồn  tỉnh Nam Định</v>
      </c>
      <c r="C13950" t="str">
        <v>-</v>
      </c>
      <c r="D13950" t="str">
        <v>-</v>
      </c>
      <c r="E13950" t="str">
        <v/>
      </c>
      <c r="F13950" t="str">
        <v>-</v>
      </c>
      <c r="G13950" t="str">
        <v>-</v>
      </c>
    </row>
    <row r="13951">
      <c r="A13951">
        <v>13950</v>
      </c>
      <c r="B13951" t="str">
        <v>UBND Ủy ban nhân dân thị trấn Cồn  tỉnh Nam Định</v>
      </c>
      <c r="C13951" t="str">
        <v>-</v>
      </c>
      <c r="D13951" t="str">
        <v>-</v>
      </c>
      <c r="E13951" t="str">
        <v>-</v>
      </c>
      <c r="F13951" t="str">
        <v>-</v>
      </c>
      <c r="G13951" t="str">
        <v>-</v>
      </c>
    </row>
    <row r="13952">
      <c r="A13952">
        <v>13951</v>
      </c>
      <c r="B13952" t="str">
        <v>Công an thị trấn Thịnh Long  tỉnh Nam Định</v>
      </c>
      <c r="C13952" t="str">
        <v>-</v>
      </c>
      <c r="D13952" t="str">
        <v>-</v>
      </c>
      <c r="E13952" t="str">
        <v/>
      </c>
      <c r="F13952" t="str">
        <v>-</v>
      </c>
      <c r="G13952" t="str">
        <v>-</v>
      </c>
    </row>
    <row r="13953">
      <c r="A13953">
        <v>13952</v>
      </c>
      <c r="B13953" t="str">
        <v>UBND Ủy ban nhân dân thị trấn Thịnh Long  tỉnh Nam Định</v>
      </c>
      <c r="C13953" t="str">
        <v>-</v>
      </c>
      <c r="D13953" t="str">
        <v>-</v>
      </c>
      <c r="E13953" t="str">
        <v>-</v>
      </c>
      <c r="F13953" t="str">
        <v>-</v>
      </c>
      <c r="G13953" t="str">
        <v>-</v>
      </c>
    </row>
    <row r="13954">
      <c r="A13954">
        <v>13953</v>
      </c>
      <c r="B13954" t="str">
        <v>Công an thị trấn Nho Quan  tỉnh Ninh Bình</v>
      </c>
      <c r="C13954" t="str">
        <v>-</v>
      </c>
      <c r="D13954" t="str">
        <v>-</v>
      </c>
      <c r="E13954" t="str">
        <v/>
      </c>
      <c r="F13954" t="str">
        <v>-</v>
      </c>
      <c r="G13954" t="str">
        <v>-</v>
      </c>
    </row>
    <row r="13955">
      <c r="A13955">
        <v>13954</v>
      </c>
      <c r="B13955" t="str">
        <v>UBND Ủy ban nhân dân thị trấn Nho Quan  tỉnh Ninh Bình</v>
      </c>
      <c r="C13955" t="str">
        <v>-</v>
      </c>
      <c r="D13955" t="str">
        <v>-</v>
      </c>
      <c r="E13955" t="str">
        <v>-</v>
      </c>
      <c r="F13955" t="str">
        <v>-</v>
      </c>
      <c r="G13955" t="str">
        <v>-</v>
      </c>
    </row>
    <row r="13956">
      <c r="A13956">
        <v>13955</v>
      </c>
      <c r="B13956" t="str">
        <v>Công an thị trấn Me  tỉnh Ninh Bình</v>
      </c>
      <c r="C13956" t="str">
        <v>-</v>
      </c>
      <c r="D13956" t="str">
        <v>-</v>
      </c>
      <c r="E13956" t="str">
        <v/>
      </c>
      <c r="F13956" t="str">
        <v>-</v>
      </c>
      <c r="G13956" t="str">
        <v>-</v>
      </c>
    </row>
    <row r="13957">
      <c r="A13957">
        <v>13956</v>
      </c>
      <c r="B13957" t="str">
        <v>UBND Ủy ban nhân dân thị trấn Me  tỉnh Ninh Bình</v>
      </c>
      <c r="C13957" t="str">
        <v>-</v>
      </c>
      <c r="D13957" t="str">
        <v>-</v>
      </c>
      <c r="E13957" t="str">
        <v>-</v>
      </c>
      <c r="F13957" t="str">
        <v>-</v>
      </c>
      <c r="G13957" t="str">
        <v>-</v>
      </c>
    </row>
    <row r="13958">
      <c r="A13958">
        <v>13957</v>
      </c>
      <c r="B13958" t="str">
        <v>Công an thị trấn Thiên Tôn  tỉnh Ninh Bình</v>
      </c>
      <c r="C13958" t="str">
        <v>-</v>
      </c>
      <c r="D13958" t="str">
        <v>-</v>
      </c>
      <c r="E13958" t="str">
        <v/>
      </c>
      <c r="F13958" t="str">
        <v>-</v>
      </c>
      <c r="G13958" t="str">
        <v>-</v>
      </c>
    </row>
    <row r="13959">
      <c r="A13959">
        <v>13958</v>
      </c>
      <c r="B13959" t="str">
        <v>UBND Ủy ban nhân dân thị trấn Thiên Tôn  tỉnh Ninh Bình</v>
      </c>
      <c r="C13959" t="str">
        <v>-</v>
      </c>
      <c r="D13959" t="str">
        <v>-</v>
      </c>
      <c r="E13959" t="str">
        <v>-</v>
      </c>
      <c r="F13959" t="str">
        <v>-</v>
      </c>
      <c r="G13959" t="str">
        <v>-</v>
      </c>
    </row>
    <row r="13960">
      <c r="A13960">
        <v>13959</v>
      </c>
      <c r="B13960" t="str">
        <v>Công an thị trấn Yên Ninh  tỉnh Ninh Bình</v>
      </c>
      <c r="C13960" t="str">
        <v>-</v>
      </c>
      <c r="D13960" t="str">
        <v>-</v>
      </c>
      <c r="E13960" t="str">
        <v/>
      </c>
      <c r="F13960" t="str">
        <v>-</v>
      </c>
      <c r="G13960" t="str">
        <v>-</v>
      </c>
    </row>
    <row r="13961">
      <c r="A13961">
        <v>13960</v>
      </c>
      <c r="B13961" t="str">
        <v>UBND Ủy ban nhân dân thị trấn Yên Ninh  tỉnh Ninh Bình</v>
      </c>
      <c r="C13961" t="str">
        <v>-</v>
      </c>
      <c r="D13961" t="str">
        <v>-</v>
      </c>
      <c r="E13961" t="str">
        <v>-</v>
      </c>
      <c r="F13961" t="str">
        <v>-</v>
      </c>
      <c r="G13961" t="str">
        <v>-</v>
      </c>
    </row>
    <row r="13962">
      <c r="A13962">
        <v>13961</v>
      </c>
      <c r="B13962" t="str">
        <v>Công an thị trấn Phát Diệm  tỉnh Ninh Bình</v>
      </c>
      <c r="C13962" t="str">
        <v>-</v>
      </c>
      <c r="D13962" t="str">
        <v>-</v>
      </c>
      <c r="E13962" t="str">
        <v/>
      </c>
      <c r="F13962" t="str">
        <v>-</v>
      </c>
      <c r="G13962" t="str">
        <v>-</v>
      </c>
    </row>
    <row r="13963">
      <c r="A13963">
        <v>13962</v>
      </c>
      <c r="B13963" t="str">
        <v>UBND Ủy ban nhân dân thị trấn Phát Diệm  tỉnh Ninh Bình</v>
      </c>
      <c r="C13963" t="str">
        <v>-</v>
      </c>
      <c r="D13963" t="str">
        <v>-</v>
      </c>
      <c r="E13963" t="str">
        <v>-</v>
      </c>
      <c r="F13963" t="str">
        <v>-</v>
      </c>
      <c r="G13963" t="str">
        <v>-</v>
      </c>
    </row>
    <row r="13964">
      <c r="A13964">
        <v>13963</v>
      </c>
      <c r="B13964" t="str">
        <v>Công an thị trấn Bình Minh  tỉnh Ninh Bình</v>
      </c>
      <c r="C13964" t="str">
        <v>-</v>
      </c>
      <c r="D13964" t="str">
        <v>-</v>
      </c>
      <c r="E13964" t="str">
        <v/>
      </c>
      <c r="F13964" t="str">
        <v>-</v>
      </c>
      <c r="G13964" t="str">
        <v>-</v>
      </c>
    </row>
    <row r="13965">
      <c r="A13965">
        <v>13964</v>
      </c>
      <c r="B13965" t="str">
        <v>UBND Ủy ban nhân dân thị trấn Bình Minh  tỉnh Ninh Bình</v>
      </c>
      <c r="C13965" t="str">
        <v>-</v>
      </c>
      <c r="D13965" t="str">
        <v>-</v>
      </c>
      <c r="E13965" t="str">
        <v>-</v>
      </c>
      <c r="F13965" t="str">
        <v>-</v>
      </c>
      <c r="G13965" t="str">
        <v>-</v>
      </c>
    </row>
    <row r="13966">
      <c r="A13966">
        <v>13965</v>
      </c>
      <c r="B13966" t="str">
        <v>Công an thị trấn Yên Thịnh  tỉnh Ninh Bình</v>
      </c>
      <c r="C13966" t="str">
        <v>-</v>
      </c>
      <c r="D13966" t="str">
        <v>-</v>
      </c>
      <c r="E13966" t="str">
        <v/>
      </c>
      <c r="F13966" t="str">
        <v>-</v>
      </c>
      <c r="G13966" t="str">
        <v>-</v>
      </c>
    </row>
    <row r="13967">
      <c r="A13967">
        <v>13966</v>
      </c>
      <c r="B13967" t="str">
        <v>UBND Ủy ban nhân dân thị trấn Yên Thịnh  tỉnh Ninh Bình</v>
      </c>
      <c r="C13967" t="str">
        <v>-</v>
      </c>
      <c r="D13967" t="str">
        <v>-</v>
      </c>
      <c r="E13967" t="str">
        <v>-</v>
      </c>
      <c r="F13967" t="str">
        <v>-</v>
      </c>
      <c r="G13967" t="str">
        <v>-</v>
      </c>
    </row>
    <row r="13968">
      <c r="A13968">
        <v>13967</v>
      </c>
      <c r="B13968" t="str">
        <v>Công an thị trấn Mường Lát  tỉnh Thanh Hóa</v>
      </c>
      <c r="C13968" t="str">
        <v>-</v>
      </c>
      <c r="D13968" t="str">
        <v>-</v>
      </c>
      <c r="E13968" t="str">
        <v/>
      </c>
      <c r="F13968" t="str">
        <v>-</v>
      </c>
      <c r="G13968" t="str">
        <v>-</v>
      </c>
    </row>
    <row r="13969">
      <c r="A13969">
        <v>13968</v>
      </c>
      <c r="B13969" t="str">
        <v>UBND Ủy ban nhân dân thị trấn Mường Lát  tỉnh Thanh Hóa</v>
      </c>
      <c r="C13969" t="str">
        <v>-</v>
      </c>
      <c r="D13969" t="str">
        <v>-</v>
      </c>
      <c r="E13969" t="str">
        <v>-</v>
      </c>
      <c r="F13969" t="str">
        <v>-</v>
      </c>
      <c r="G13969" t="str">
        <v>-</v>
      </c>
    </row>
    <row r="13970">
      <c r="A13970">
        <v>13969</v>
      </c>
      <c r="B13970" t="str">
        <v>Công an thị trấn Quan Hóa  tỉnh Thanh Hóa</v>
      </c>
      <c r="C13970" t="str">
        <v>-</v>
      </c>
      <c r="D13970" t="str">
        <v>-</v>
      </c>
      <c r="E13970" t="str">
        <v/>
      </c>
      <c r="F13970" t="str">
        <v>-</v>
      </c>
      <c r="G13970" t="str">
        <v>-</v>
      </c>
    </row>
    <row r="13971">
      <c r="A13971">
        <v>13970</v>
      </c>
      <c r="B13971" t="str">
        <v>UBND Ủy ban nhân dân thị trấn Quan Hóa  tỉnh Thanh Hóa</v>
      </c>
      <c r="C13971" t="str">
        <v>-</v>
      </c>
      <c r="D13971" t="str">
        <v>-</v>
      </c>
      <c r="E13971" t="str">
        <v>-</v>
      </c>
      <c r="F13971" t="str">
        <v>-</v>
      </c>
      <c r="G13971" t="str">
        <v>-</v>
      </c>
    </row>
    <row r="13972">
      <c r="A13972">
        <v>13971</v>
      </c>
      <c r="B13972" t="str">
        <v>Công an thị trấn Cành Nàng  tỉnh Thanh Hóa</v>
      </c>
      <c r="C13972" t="str">
        <v>-</v>
      </c>
      <c r="D13972" t="str">
        <v>-</v>
      </c>
      <c r="E13972" t="str">
        <v/>
      </c>
      <c r="F13972" t="str">
        <v>-</v>
      </c>
      <c r="G13972" t="str">
        <v>-</v>
      </c>
    </row>
    <row r="13973">
      <c r="A13973">
        <v>13972</v>
      </c>
      <c r="B13973" t="str">
        <v>UBND Ủy ban nhân dân thị trấn Cành Nàng  tỉnh Thanh Hóa</v>
      </c>
      <c r="C13973" t="str">
        <v>-</v>
      </c>
      <c r="D13973" t="str">
        <v>-</v>
      </c>
      <c r="E13973" t="str">
        <v>-</v>
      </c>
      <c r="F13973" t="str">
        <v>-</v>
      </c>
      <c r="G13973" t="str">
        <v>-</v>
      </c>
    </row>
    <row r="13974">
      <c r="A13974">
        <v>13973</v>
      </c>
      <c r="B13974" t="str">
        <v>Công an thị trấn Quan Sơn  tỉnh Thanh Hóa</v>
      </c>
      <c r="C13974" t="str">
        <v>-</v>
      </c>
      <c r="D13974" t="str">
        <v>-</v>
      </c>
      <c r="E13974" t="str">
        <v/>
      </c>
      <c r="F13974" t="str">
        <v>-</v>
      </c>
      <c r="G13974" t="str">
        <v>-</v>
      </c>
    </row>
    <row r="13975">
      <c r="A13975">
        <v>13974</v>
      </c>
      <c r="B13975" t="str">
        <v>UBND Ủy ban nhân dân thị trấn Quan Sơn  tỉnh Thanh Hóa</v>
      </c>
      <c r="C13975" t="str">
        <v>-</v>
      </c>
      <c r="D13975" t="str">
        <v>-</v>
      </c>
      <c r="E13975" t="str">
        <v>-</v>
      </c>
      <c r="F13975" t="str">
        <v>-</v>
      </c>
      <c r="G13975" t="str">
        <v>-</v>
      </c>
    </row>
    <row r="13976">
      <c r="A13976">
        <v>13975</v>
      </c>
      <c r="B13976" t="str">
        <v>Công an thị trấn Lang Chánh  tỉnh Thanh Hóa</v>
      </c>
      <c r="C13976" t="str">
        <v>-</v>
      </c>
      <c r="D13976" t="str">
        <v>-</v>
      </c>
      <c r="E13976" t="str">
        <v/>
      </c>
      <c r="F13976" t="str">
        <v>-</v>
      </c>
      <c r="G13976" t="str">
        <v>-</v>
      </c>
    </row>
    <row r="13977">
      <c r="A13977">
        <v>13976</v>
      </c>
      <c r="B13977" t="str">
        <v>UBND Ủy ban nhân dân thị trấn Lang Chánh  tỉnh Thanh Hóa</v>
      </c>
      <c r="C13977" t="str">
        <v>-</v>
      </c>
      <c r="D13977" t="str">
        <v>-</v>
      </c>
      <c r="E13977" t="str">
        <v>-</v>
      </c>
      <c r="F13977" t="str">
        <v>-</v>
      </c>
      <c r="G13977" t="str">
        <v>-</v>
      </c>
    </row>
    <row r="13978">
      <c r="A13978">
        <v>13977</v>
      </c>
      <c r="B13978" t="str">
        <v>Công an thị trấn Ngọc Lặc  tỉnh Thanh Hóa</v>
      </c>
      <c r="C13978" t="str">
        <v>-</v>
      </c>
      <c r="D13978" t="str">
        <v>-</v>
      </c>
      <c r="E13978" t="str">
        <v/>
      </c>
      <c r="F13978" t="str">
        <v>-</v>
      </c>
      <c r="G13978" t="str">
        <v>-</v>
      </c>
    </row>
    <row r="13979">
      <c r="A13979">
        <v>13978</v>
      </c>
      <c r="B13979" t="str">
        <v>UBND Ủy ban nhân dân thị trấn Ngọc Lặc  tỉnh Thanh Hóa</v>
      </c>
      <c r="C13979" t="str">
        <v>-</v>
      </c>
      <c r="D13979" t="str">
        <v>-</v>
      </c>
      <c r="E13979" t="str">
        <v>-</v>
      </c>
      <c r="F13979" t="str">
        <v>-</v>
      </c>
      <c r="G13979" t="str">
        <v>-</v>
      </c>
    </row>
    <row r="13980">
      <c r="A13980">
        <v>13979</v>
      </c>
      <c r="B13980" t="str">
        <v>Công an thị trấn Cẩm Thủy  tỉnh Thanh Hóa</v>
      </c>
      <c r="C13980" t="str">
        <v>-</v>
      </c>
      <c r="D13980" t="str">
        <v>-</v>
      </c>
      <c r="E13980" t="str">
        <v/>
      </c>
      <c r="F13980" t="str">
        <v>-</v>
      </c>
      <c r="G13980" t="str">
        <v>-</v>
      </c>
    </row>
    <row r="13981">
      <c r="A13981">
        <v>13980</v>
      </c>
      <c r="B13981" t="str">
        <v>UBND Ủy ban nhân dân thị trấn Cẩm Thủy  tỉnh Thanh Hóa</v>
      </c>
      <c r="C13981" t="str">
        <v>-</v>
      </c>
      <c r="D13981" t="str">
        <v>-</v>
      </c>
      <c r="E13981" t="str">
        <v>-</v>
      </c>
      <c r="F13981" t="str">
        <v>-</v>
      </c>
      <c r="G13981" t="str">
        <v>-</v>
      </c>
    </row>
    <row r="13982">
      <c r="A13982">
        <v>13981</v>
      </c>
      <c r="B13982" t="str">
        <v>Công an thị trấn Kim Tân  tỉnh Thanh Hóa</v>
      </c>
      <c r="C13982" t="str">
        <v>-</v>
      </c>
      <c r="D13982" t="str">
        <v>-</v>
      </c>
      <c r="E13982" t="str">
        <v/>
      </c>
      <c r="F13982" t="str">
        <v>-</v>
      </c>
      <c r="G13982" t="str">
        <v>-</v>
      </c>
    </row>
    <row r="13983">
      <c r="A13983">
        <v>13982</v>
      </c>
      <c r="B13983" t="str">
        <v>UBND Ủy ban nhân dân thị trấn Kim Tân  tỉnh Thanh Hóa</v>
      </c>
      <c r="C13983" t="str">
        <v>-</v>
      </c>
      <c r="D13983" t="str">
        <v>-</v>
      </c>
      <c r="E13983" t="str">
        <v>-</v>
      </c>
      <c r="F13983" t="str">
        <v>-</v>
      </c>
      <c r="G13983" t="str">
        <v>-</v>
      </c>
    </row>
    <row r="13984">
      <c r="A13984">
        <v>13983</v>
      </c>
      <c r="B13984" t="str">
        <v>Công an thị trấn Vân Du  tỉnh Thanh Hóa</v>
      </c>
      <c r="C13984" t="str">
        <v>-</v>
      </c>
      <c r="D13984" t="str">
        <v>-</v>
      </c>
      <c r="E13984" t="str">
        <v/>
      </c>
      <c r="F13984" t="str">
        <v>-</v>
      </c>
      <c r="G13984" t="str">
        <v>-</v>
      </c>
    </row>
    <row r="13985">
      <c r="A13985">
        <v>13984</v>
      </c>
      <c r="B13985" t="str">
        <v>UBND Ủy ban nhân dân thị trấn Vân Du  tỉnh Thanh Hóa</v>
      </c>
      <c r="C13985" t="str">
        <v>-</v>
      </c>
      <c r="D13985" t="str">
        <v>-</v>
      </c>
      <c r="E13985" t="str">
        <v>-</v>
      </c>
      <c r="F13985" t="str">
        <v>-</v>
      </c>
      <c r="G13985" t="str">
        <v>-</v>
      </c>
    </row>
    <row r="13986">
      <c r="A13986">
        <v>13985</v>
      </c>
      <c r="B13986" t="str">
        <v>Công an thị trấn Hà Trung  tỉnh Thanh Hóa</v>
      </c>
      <c r="C13986" t="str">
        <v>-</v>
      </c>
      <c r="D13986" t="str">
        <v>-</v>
      </c>
      <c r="E13986" t="str">
        <v/>
      </c>
      <c r="F13986" t="str">
        <v>-</v>
      </c>
      <c r="G13986" t="str">
        <v>-</v>
      </c>
    </row>
    <row r="13987">
      <c r="A13987">
        <v>13986</v>
      </c>
      <c r="B13987" t="str">
        <v>UBND Ủy ban nhân dân thị trấn Hà Trung  tỉnh Thanh Hóa</v>
      </c>
      <c r="C13987" t="str">
        <v>-</v>
      </c>
      <c r="D13987" t="str">
        <v>-</v>
      </c>
      <c r="E13987" t="str">
        <v>-</v>
      </c>
      <c r="F13987" t="str">
        <v>-</v>
      </c>
      <c r="G13987" t="str">
        <v>-</v>
      </c>
    </row>
    <row r="13988">
      <c r="A13988">
        <v>13987</v>
      </c>
      <c r="B13988" t="str">
        <v>Công an thị trấn Vĩnh Lộc  tỉnh Thanh Hóa</v>
      </c>
      <c r="C13988" t="str">
        <v>-</v>
      </c>
      <c r="D13988" t="str">
        <v>-</v>
      </c>
      <c r="E13988" t="str">
        <v/>
      </c>
      <c r="F13988" t="str">
        <v>-</v>
      </c>
      <c r="G13988" t="str">
        <v>-</v>
      </c>
    </row>
    <row r="13989">
      <c r="A13989">
        <v>13988</v>
      </c>
      <c r="B13989" t="str">
        <v>UBND Ủy ban nhân dân thị trấn Vĩnh Lộc  tỉnh Thanh Hóa</v>
      </c>
      <c r="C13989" t="str">
        <v>-</v>
      </c>
      <c r="D13989" t="str">
        <v>-</v>
      </c>
      <c r="E13989" t="str">
        <v>-</v>
      </c>
      <c r="F13989" t="str">
        <v>-</v>
      </c>
      <c r="G13989" t="str">
        <v>-</v>
      </c>
    </row>
    <row r="13990">
      <c r="A13990">
        <v>13989</v>
      </c>
      <c r="B13990" t="str">
        <v>Công an thị trấn Quán Lào  tỉnh Thanh Hóa</v>
      </c>
      <c r="C13990" t="str">
        <v>-</v>
      </c>
      <c r="D13990" t="str">
        <v>-</v>
      </c>
      <c r="E13990" t="str">
        <v/>
      </c>
      <c r="F13990" t="str">
        <v>-</v>
      </c>
      <c r="G13990" t="str">
        <v>-</v>
      </c>
    </row>
    <row r="13991">
      <c r="A13991">
        <v>13990</v>
      </c>
      <c r="B13991" t="str">
        <v>UBND Ủy ban nhân dân thị trấn Quán Lào  tỉnh Thanh Hóa</v>
      </c>
      <c r="C13991" t="str">
        <v>-</v>
      </c>
      <c r="D13991" t="str">
        <v>-</v>
      </c>
      <c r="E13991" t="str">
        <v>-</v>
      </c>
      <c r="F13991" t="str">
        <v>-</v>
      </c>
      <c r="G13991" t="str">
        <v>-</v>
      </c>
    </row>
    <row r="13992">
      <c r="A13992">
        <v>13991</v>
      </c>
      <c r="B13992" t="str">
        <v>Công an thị trấn Thống Nhất  tỉnh Thanh Hóa</v>
      </c>
      <c r="C13992" t="str">
        <v>-</v>
      </c>
      <c r="D13992" t="str">
        <v>-</v>
      </c>
      <c r="E13992" t="str">
        <v/>
      </c>
      <c r="F13992" t="str">
        <v>-</v>
      </c>
      <c r="G13992" t="str">
        <v>-</v>
      </c>
    </row>
    <row r="13993">
      <c r="A13993">
        <v>13992</v>
      </c>
      <c r="B13993" t="str">
        <v>UBND Ủy ban nhân dân thị trấn Thống Nhất  tỉnh Thanh Hóa</v>
      </c>
      <c r="C13993" t="str">
        <v>-</v>
      </c>
      <c r="D13993" t="str">
        <v>-</v>
      </c>
      <c r="E13993" t="str">
        <v>-</v>
      </c>
      <c r="F13993" t="str">
        <v>-</v>
      </c>
      <c r="G13993" t="str">
        <v>-</v>
      </c>
    </row>
    <row r="13994">
      <c r="A13994">
        <v>13993</v>
      </c>
      <c r="B13994" t="str">
        <v>Công an thị trấn Thọ Xuân  tỉnh Thanh Hóa</v>
      </c>
      <c r="C13994" t="str">
        <v>-</v>
      </c>
      <c r="D13994" t="str">
        <v>-</v>
      </c>
      <c r="E13994" t="str">
        <v/>
      </c>
      <c r="F13994" t="str">
        <v>-</v>
      </c>
      <c r="G13994" t="str">
        <v>-</v>
      </c>
    </row>
    <row r="13995">
      <c r="A13995">
        <v>13994</v>
      </c>
      <c r="B13995" t="str">
        <v>UBND Ủy ban nhân dân thị trấn Thọ Xuân  tỉnh Thanh Hóa</v>
      </c>
      <c r="C13995" t="str">
        <v>-</v>
      </c>
      <c r="D13995" t="str">
        <v>-</v>
      </c>
      <c r="E13995" t="str">
        <v>-</v>
      </c>
      <c r="F13995" t="str">
        <v>-</v>
      </c>
      <c r="G13995" t="str">
        <v>-</v>
      </c>
    </row>
    <row r="13996">
      <c r="A13996">
        <v>13995</v>
      </c>
      <c r="B13996" t="str">
        <v>Công an thị trấn Lam Sơn  tỉnh Thanh Hóa</v>
      </c>
      <c r="C13996" t="str">
        <v>-</v>
      </c>
      <c r="D13996" t="str">
        <v>-</v>
      </c>
      <c r="E13996" t="str">
        <v/>
      </c>
      <c r="F13996" t="str">
        <v>-</v>
      </c>
      <c r="G13996" t="str">
        <v>-</v>
      </c>
    </row>
    <row r="13997">
      <c r="A13997">
        <v>13996</v>
      </c>
      <c r="B13997" t="str">
        <v>UBND Ủy ban nhân dân thị trấn Lam Sơn  tỉnh Thanh Hóa</v>
      </c>
      <c r="C13997" t="str">
        <v>-</v>
      </c>
      <c r="D13997" t="str">
        <v>-</v>
      </c>
      <c r="E13997" t="str">
        <v>-</v>
      </c>
      <c r="F13997" t="str">
        <v>-</v>
      </c>
      <c r="G13997" t="str">
        <v>-</v>
      </c>
    </row>
    <row r="13998">
      <c r="A13998">
        <v>13997</v>
      </c>
      <c r="B13998" t="str">
        <v>Công an thị trấn Sao Vàng  tỉnh Thanh Hóa</v>
      </c>
      <c r="C13998" t="str">
        <v>-</v>
      </c>
      <c r="D13998" t="str">
        <v>-</v>
      </c>
      <c r="E13998" t="str">
        <v/>
      </c>
      <c r="F13998" t="str">
        <v>-</v>
      </c>
      <c r="G13998" t="str">
        <v>-</v>
      </c>
    </row>
    <row r="13999">
      <c r="A13999">
        <v>13998</v>
      </c>
      <c r="B13999" t="str">
        <v>UBND Ủy ban nhân dân thị trấn Sao Vàng  tỉnh Thanh Hóa</v>
      </c>
      <c r="C13999" t="str">
        <v>-</v>
      </c>
      <c r="D13999" t="str">
        <v>-</v>
      </c>
      <c r="E13999" t="str">
        <v>-</v>
      </c>
      <c r="F13999" t="str">
        <v>-</v>
      </c>
      <c r="G13999" t="str">
        <v>-</v>
      </c>
    </row>
    <row r="14000">
      <c r="A14000">
        <v>13999</v>
      </c>
      <c r="B14000" t="str">
        <v>Công an thị trấn Thường Xuân  tỉnh Thanh Hóa</v>
      </c>
      <c r="C14000" t="str">
        <v>-</v>
      </c>
      <c r="D14000" t="str">
        <v>-</v>
      </c>
      <c r="E14000" t="str">
        <v/>
      </c>
      <c r="F14000" t="str">
        <v>-</v>
      </c>
      <c r="G14000" t="str">
        <v>-</v>
      </c>
    </row>
    <row r="14001">
      <c r="A14001">
        <v>14000</v>
      </c>
      <c r="B14001" t="str">
        <v>UBND Ủy ban nhân dân thị trấn Thường Xuân  tỉnh Thanh Hóa</v>
      </c>
      <c r="C14001" t="str">
        <v>-</v>
      </c>
      <c r="D14001" t="str">
        <v>-</v>
      </c>
      <c r="E14001" t="str">
        <v>-</v>
      </c>
      <c r="F14001" t="str">
        <v>-</v>
      </c>
      <c r="G14001" t="str">
        <v>-</v>
      </c>
    </row>
    <row r="14002">
      <c r="A14002">
        <v>14001</v>
      </c>
      <c r="B14002" t="str">
        <v>Công an thị trấn Triệu Sơn  tỉnh Thanh Hóa</v>
      </c>
      <c r="C14002" t="str">
        <v>-</v>
      </c>
      <c r="D14002" t="str">
        <v>-</v>
      </c>
      <c r="E14002" t="str">
        <v/>
      </c>
      <c r="F14002" t="str">
        <v>-</v>
      </c>
      <c r="G14002" t="str">
        <v>-</v>
      </c>
    </row>
    <row r="14003">
      <c r="A14003">
        <v>14002</v>
      </c>
      <c r="B14003" t="str">
        <v>UBND Ủy ban nhân dân thị trấn Triệu Sơn  tỉnh Thanh Hóa</v>
      </c>
      <c r="C14003" t="str">
        <v>-</v>
      </c>
      <c r="D14003" t="str">
        <v>-</v>
      </c>
      <c r="E14003" t="str">
        <v>-</v>
      </c>
      <c r="F14003" t="str">
        <v>-</v>
      </c>
      <c r="G14003" t="str">
        <v>-</v>
      </c>
    </row>
    <row r="14004">
      <c r="A14004">
        <v>14003</v>
      </c>
      <c r="B14004" t="str">
        <v>Công an thị trấn Vạn Hà  tỉnh Thanh Hóa</v>
      </c>
      <c r="C14004" t="str">
        <v>-</v>
      </c>
      <c r="D14004" t="str">
        <v>-</v>
      </c>
      <c r="E14004" t="str">
        <v/>
      </c>
      <c r="F14004" t="str">
        <v>-</v>
      </c>
      <c r="G14004" t="str">
        <v>-</v>
      </c>
    </row>
    <row r="14005">
      <c r="A14005">
        <v>14004</v>
      </c>
      <c r="B14005" t="str">
        <v>UBND Ủy ban nhân dân thị trấn Vạn Hà  tỉnh Thanh Hóa</v>
      </c>
      <c r="C14005" t="str">
        <v>-</v>
      </c>
      <c r="D14005" t="str">
        <v>-</v>
      </c>
      <c r="E14005" t="str">
        <v>-</v>
      </c>
      <c r="F14005" t="str">
        <v>-</v>
      </c>
      <c r="G14005" t="str">
        <v>-</v>
      </c>
    </row>
    <row r="14006">
      <c r="A14006">
        <v>14005</v>
      </c>
      <c r="B14006" t="str">
        <v>Công an thị trấn Bút Sơn  tỉnh Thanh Hóa</v>
      </c>
      <c r="C14006" t="str">
        <v>-</v>
      </c>
      <c r="D14006" t="str">
        <v>-</v>
      </c>
      <c r="E14006" t="str">
        <v/>
      </c>
      <c r="F14006" t="str">
        <v>-</v>
      </c>
      <c r="G14006" t="str">
        <v>-</v>
      </c>
    </row>
    <row r="14007">
      <c r="A14007">
        <v>14006</v>
      </c>
      <c r="B14007" t="str">
        <v>UBND Ủy ban nhân dân thị trấn Bút Sơn  tỉnh Thanh Hóa</v>
      </c>
      <c r="C14007" t="str">
        <v>-</v>
      </c>
      <c r="D14007" t="str">
        <v>-</v>
      </c>
      <c r="E14007" t="str">
        <v>-</v>
      </c>
      <c r="F14007" t="str">
        <v>-</v>
      </c>
      <c r="G14007" t="str">
        <v>-</v>
      </c>
    </row>
    <row r="14008">
      <c r="A14008">
        <v>14007</v>
      </c>
      <c r="B14008" t="str">
        <v>Công an thị trấn Hậu Lộc  tỉnh Thanh Hóa</v>
      </c>
      <c r="C14008" t="str">
        <v>-</v>
      </c>
      <c r="D14008" t="str">
        <v>-</v>
      </c>
      <c r="E14008" t="str">
        <v/>
      </c>
      <c r="F14008" t="str">
        <v>-</v>
      </c>
      <c r="G14008" t="str">
        <v>-</v>
      </c>
    </row>
    <row r="14009">
      <c r="A14009">
        <v>14008</v>
      </c>
      <c r="B14009" t="str">
        <v>UBND Ủy ban nhân dân thị trấn Hậu Lộc  tỉnh Thanh Hóa</v>
      </c>
      <c r="C14009" t="str">
        <v>-</v>
      </c>
      <c r="D14009" t="str">
        <v>-</v>
      </c>
      <c r="E14009" t="str">
        <v>-</v>
      </c>
      <c r="F14009" t="str">
        <v>-</v>
      </c>
      <c r="G14009" t="str">
        <v>-</v>
      </c>
    </row>
    <row r="14010">
      <c r="A14010">
        <v>14009</v>
      </c>
      <c r="B14010" t="str">
        <v>Công an thị trấn Nga Sơn  tỉnh Thanh Hóa</v>
      </c>
      <c r="C14010" t="str">
        <v>-</v>
      </c>
      <c r="D14010" t="str">
        <v>-</v>
      </c>
      <c r="E14010" t="str">
        <v/>
      </c>
      <c r="F14010" t="str">
        <v>-</v>
      </c>
      <c r="G14010" t="str">
        <v>-</v>
      </c>
    </row>
    <row r="14011">
      <c r="A14011">
        <v>14010</v>
      </c>
      <c r="B14011" t="str">
        <v>UBND Ủy ban nhân dân thị trấn Nga Sơn  tỉnh Thanh Hóa</v>
      </c>
      <c r="C14011" t="str">
        <v>-</v>
      </c>
      <c r="D14011" t="str">
        <v>-</v>
      </c>
      <c r="E14011" t="str">
        <v>-</v>
      </c>
      <c r="F14011" t="str">
        <v>-</v>
      </c>
      <c r="G14011" t="str">
        <v>-</v>
      </c>
    </row>
    <row r="14012">
      <c r="A14012">
        <v>14011</v>
      </c>
      <c r="B14012" t="str">
        <v>Công an thị trấn Yên Cát  tỉnh Thanh Hóa</v>
      </c>
      <c r="C14012" t="str">
        <v>-</v>
      </c>
      <c r="D14012" t="str">
        <v>-</v>
      </c>
      <c r="E14012" t="str">
        <v/>
      </c>
      <c r="F14012" t="str">
        <v>-</v>
      </c>
      <c r="G14012" t="str">
        <v>-</v>
      </c>
    </row>
    <row r="14013">
      <c r="A14013">
        <v>14012</v>
      </c>
      <c r="B14013" t="str">
        <v>UBND Ủy ban nhân dân thị trấn Yên Cát  tỉnh Thanh Hóa</v>
      </c>
      <c r="C14013" t="str">
        <v>-</v>
      </c>
      <c r="D14013" t="str">
        <v>-</v>
      </c>
      <c r="E14013" t="str">
        <v>-</v>
      </c>
      <c r="F14013" t="str">
        <v>-</v>
      </c>
      <c r="G14013" t="str">
        <v>-</v>
      </c>
    </row>
    <row r="14014">
      <c r="A14014">
        <v>14013</v>
      </c>
      <c r="B14014" t="str">
        <v>Công an thị trấn Bến Sung  tỉnh Thanh Hóa</v>
      </c>
      <c r="C14014" t="str">
        <v>-</v>
      </c>
      <c r="D14014" t="str">
        <v>-</v>
      </c>
      <c r="E14014" t="str">
        <v/>
      </c>
      <c r="F14014" t="str">
        <v>-</v>
      </c>
      <c r="G14014" t="str">
        <v>-</v>
      </c>
    </row>
    <row r="14015">
      <c r="A14015">
        <v>14014</v>
      </c>
      <c r="B14015" t="str">
        <v>UBND Ủy ban nhân dân thị trấn Bến Sung  tỉnh Thanh Hóa</v>
      </c>
      <c r="C14015" t="str">
        <v>-</v>
      </c>
      <c r="D14015" t="str">
        <v>-</v>
      </c>
      <c r="E14015" t="str">
        <v>-</v>
      </c>
      <c r="F14015" t="str">
        <v>-</v>
      </c>
      <c r="G14015" t="str">
        <v>-</v>
      </c>
    </row>
    <row r="14016">
      <c r="A14016">
        <v>14015</v>
      </c>
      <c r="B14016" t="str">
        <v>Công an thị trấn Nông Cống  tỉnh Thanh Hóa</v>
      </c>
      <c r="C14016" t="str">
        <v>-</v>
      </c>
      <c r="D14016" t="str">
        <v>-</v>
      </c>
      <c r="E14016" t="str">
        <v/>
      </c>
      <c r="F14016" t="str">
        <v>-</v>
      </c>
      <c r="G14016" t="str">
        <v>-</v>
      </c>
    </row>
    <row r="14017">
      <c r="A14017">
        <v>14016</v>
      </c>
      <c r="B14017" t="str">
        <v>UBND Ủy ban nhân dân thị trấn Nông Cống  tỉnh Thanh Hóa</v>
      </c>
      <c r="C14017" t="str">
        <v>-</v>
      </c>
      <c r="D14017" t="str">
        <v>-</v>
      </c>
      <c r="E14017" t="str">
        <v>-</v>
      </c>
      <c r="F14017" t="str">
        <v>-</v>
      </c>
      <c r="G14017" t="str">
        <v>-</v>
      </c>
    </row>
    <row r="14018">
      <c r="A14018">
        <v>14017</v>
      </c>
      <c r="B14018" t="str">
        <v>Công an thị trấn Rừng Thông  tỉnh Thanh Hóa</v>
      </c>
      <c r="C14018" t="str">
        <v>-</v>
      </c>
      <c r="D14018" t="str">
        <v>-</v>
      </c>
      <c r="E14018" t="str">
        <v/>
      </c>
      <c r="F14018" t="str">
        <v>-</v>
      </c>
      <c r="G14018" t="str">
        <v>-</v>
      </c>
    </row>
    <row r="14019">
      <c r="A14019">
        <v>14018</v>
      </c>
      <c r="B14019" t="str">
        <v>UBND Ủy ban nhân dân thị trấn Rừng Thông  tỉnh Thanh Hóa</v>
      </c>
      <c r="C14019" t="str">
        <v>-</v>
      </c>
      <c r="D14019" t="str">
        <v>-</v>
      </c>
      <c r="E14019" t="str">
        <v>-</v>
      </c>
      <c r="F14019" t="str">
        <v>-</v>
      </c>
      <c r="G14019" t="str">
        <v>-</v>
      </c>
    </row>
    <row r="14020">
      <c r="A14020">
        <v>14019</v>
      </c>
      <c r="B14020" t="str">
        <v>Công an thị trấn Quảng Xương  tỉnh Thanh Hóa</v>
      </c>
      <c r="C14020" t="str">
        <v>-</v>
      </c>
      <c r="D14020" t="str">
        <v>-</v>
      </c>
      <c r="E14020" t="str">
        <v/>
      </c>
      <c r="F14020" t="str">
        <v>-</v>
      </c>
      <c r="G14020" t="str">
        <v>-</v>
      </c>
    </row>
    <row r="14021">
      <c r="A14021">
        <v>14020</v>
      </c>
      <c r="B14021" t="str">
        <v>UBND Ủy ban nhân dân thị trấn Quảng Xương  tỉnh Thanh Hóa</v>
      </c>
      <c r="C14021" t="str">
        <v>-</v>
      </c>
      <c r="D14021" t="str">
        <v>-</v>
      </c>
      <c r="E14021" t="str">
        <v>-</v>
      </c>
      <c r="F14021" t="str">
        <v>-</v>
      </c>
      <c r="G14021" t="str">
        <v>-</v>
      </c>
    </row>
    <row r="14022">
      <c r="A14022">
        <v>14021</v>
      </c>
      <c r="B14022" t="str">
        <v>Công an thị trấn Tĩnh Gia  tỉnh Thanh Hóa</v>
      </c>
      <c r="C14022" t="str">
        <v>-</v>
      </c>
      <c r="D14022" t="str">
        <v>-</v>
      </c>
      <c r="E14022" t="str">
        <v/>
      </c>
      <c r="F14022" t="str">
        <v>-</v>
      </c>
      <c r="G14022" t="str">
        <v>-</v>
      </c>
    </row>
    <row r="14023">
      <c r="A14023">
        <v>14022</v>
      </c>
      <c r="B14023" t="str">
        <v>UBND Ủy ban nhân dân thị trấn Tĩnh Gia  tỉnh Thanh Hóa</v>
      </c>
      <c r="C14023" t="str">
        <v>-</v>
      </c>
      <c r="D14023" t="str">
        <v>-</v>
      </c>
      <c r="E14023" t="str">
        <v>-</v>
      </c>
      <c r="F14023" t="str">
        <v>-</v>
      </c>
      <c r="G14023" t="str">
        <v>-</v>
      </c>
    </row>
    <row r="14024">
      <c r="A14024">
        <v>14023</v>
      </c>
      <c r="B14024" t="str">
        <v>Công an thị trấn Kim Sơn  tỉnh Nghệ An</v>
      </c>
      <c r="C14024" t="str">
        <v>-</v>
      </c>
      <c r="D14024" t="str">
        <v>-</v>
      </c>
      <c r="E14024" t="str">
        <v/>
      </c>
      <c r="F14024" t="str">
        <v>-</v>
      </c>
      <c r="G14024" t="str">
        <v>-</v>
      </c>
    </row>
    <row r="14025">
      <c r="A14025">
        <v>14024</v>
      </c>
      <c r="B14025" t="str">
        <v>UBND Ủy ban nhân dân thị trấn Kim Sơn  tỉnh Nghệ An</v>
      </c>
      <c r="C14025" t="str">
        <v>-</v>
      </c>
      <c r="D14025" t="str">
        <v>-</v>
      </c>
      <c r="E14025" t="str">
        <v>-</v>
      </c>
      <c r="F14025" t="str">
        <v>-</v>
      </c>
      <c r="G14025" t="str">
        <v>-</v>
      </c>
    </row>
    <row r="14026">
      <c r="A14026">
        <v>14025</v>
      </c>
      <c r="B14026" t="str">
        <v>Công an thị trấn Tân Lạc  tỉnh Nghệ An</v>
      </c>
      <c r="C14026" t="str">
        <v>-</v>
      </c>
      <c r="D14026" t="str">
        <v>-</v>
      </c>
      <c r="E14026" t="str">
        <v/>
      </c>
      <c r="F14026" t="str">
        <v>-</v>
      </c>
      <c r="G14026" t="str">
        <v>-</v>
      </c>
    </row>
    <row r="14027">
      <c r="A14027">
        <v>14026</v>
      </c>
      <c r="B14027" t="str">
        <v>UBND Ủy ban nhân dân thị trấn Tân Lạc  tỉnh Nghệ An</v>
      </c>
      <c r="C14027" t="str">
        <v>-</v>
      </c>
      <c r="D14027" t="str">
        <v>-</v>
      </c>
      <c r="E14027" t="str">
        <v>-</v>
      </c>
      <c r="F14027" t="str">
        <v>-</v>
      </c>
      <c r="G14027" t="str">
        <v>-</v>
      </c>
    </row>
    <row r="14028">
      <c r="A14028">
        <v>14027</v>
      </c>
      <c r="B14028" t="str">
        <v>Công an thị trấn Mường Xén  tỉnh Nghệ An</v>
      </c>
      <c r="C14028" t="str">
        <v>-</v>
      </c>
      <c r="D14028" t="str">
        <v>-</v>
      </c>
      <c r="E14028" t="str">
        <v/>
      </c>
      <c r="F14028" t="str">
        <v>-</v>
      </c>
      <c r="G14028" t="str">
        <v>-</v>
      </c>
    </row>
    <row r="14029">
      <c r="A14029">
        <v>14028</v>
      </c>
      <c r="B14029" t="str">
        <v>UBND Ủy ban nhân dân thị trấn Mường Xén  tỉnh Nghệ An</v>
      </c>
      <c r="C14029" t="str">
        <v>-</v>
      </c>
      <c r="D14029" t="str">
        <v>-</v>
      </c>
      <c r="E14029" t="str">
        <v>-</v>
      </c>
      <c r="F14029" t="str">
        <v>-</v>
      </c>
      <c r="G14029" t="str">
        <v>-</v>
      </c>
    </row>
    <row r="14030">
      <c r="A14030">
        <v>14029</v>
      </c>
      <c r="B14030" t="str">
        <v>Công an thị trấn Hòa Bình  tỉnh Nghệ An</v>
      </c>
      <c r="C14030" t="str">
        <v>-</v>
      </c>
      <c r="D14030" t="str">
        <v>-</v>
      </c>
      <c r="E14030" t="str">
        <v/>
      </c>
      <c r="F14030" t="str">
        <v>-</v>
      </c>
      <c r="G14030" t="str">
        <v>-</v>
      </c>
    </row>
    <row r="14031">
      <c r="A14031">
        <v>14030</v>
      </c>
      <c r="B14031" t="str">
        <v>UBND Ủy ban nhân dân thị trấn Hòa Bình  tỉnh Nghệ An</v>
      </c>
      <c r="C14031" t="str">
        <v>-</v>
      </c>
      <c r="D14031" t="str">
        <v>-</v>
      </c>
      <c r="E14031" t="str">
        <v>-</v>
      </c>
      <c r="F14031" t="str">
        <v>-</v>
      </c>
      <c r="G14031" t="str">
        <v>-</v>
      </c>
    </row>
    <row r="14032">
      <c r="A14032">
        <v>14031</v>
      </c>
      <c r="B14032" t="str">
        <v>Công an thị trấn Nghĩa Đàn  tỉnh Nghệ An</v>
      </c>
      <c r="C14032" t="str">
        <v>-</v>
      </c>
      <c r="D14032" t="str">
        <v>-</v>
      </c>
      <c r="E14032" t="str">
        <v/>
      </c>
      <c r="F14032" t="str">
        <v>-</v>
      </c>
      <c r="G14032" t="str">
        <v>-</v>
      </c>
    </row>
    <row r="14033">
      <c r="A14033">
        <v>14032</v>
      </c>
      <c r="B14033" t="str">
        <v>UBND Ủy ban nhân dân thị trấn Nghĩa Đàn  tỉnh Nghệ An</v>
      </c>
      <c r="C14033" t="str">
        <v>-</v>
      </c>
      <c r="D14033" t="str">
        <v>-</v>
      </c>
      <c r="E14033" t="str">
        <v>-</v>
      </c>
      <c r="F14033" t="str">
        <v>-</v>
      </c>
      <c r="G14033" t="str">
        <v>-</v>
      </c>
    </row>
    <row r="14034">
      <c r="A14034">
        <v>14033</v>
      </c>
      <c r="B14034" t="str">
        <v>Công an thị trấn Quỳ Hợp  tỉnh Nghệ An</v>
      </c>
      <c r="C14034" t="str">
        <v>-</v>
      </c>
      <c r="D14034" t="str">
        <v>-</v>
      </c>
      <c r="E14034" t="str">
        <v/>
      </c>
      <c r="F14034" t="str">
        <v>-</v>
      </c>
      <c r="G14034" t="str">
        <v>-</v>
      </c>
    </row>
    <row r="14035">
      <c r="A14035">
        <v>14034</v>
      </c>
      <c r="B14035" t="str">
        <v>UBND Ủy ban nhân dân thị trấn Quỳ Hợp  tỉnh Nghệ An</v>
      </c>
      <c r="C14035" t="str">
        <v>-</v>
      </c>
      <c r="D14035" t="str">
        <v>-</v>
      </c>
      <c r="E14035" t="str">
        <v>-</v>
      </c>
      <c r="F14035" t="str">
        <v>-</v>
      </c>
      <c r="G14035" t="str">
        <v>-</v>
      </c>
    </row>
    <row r="14036">
      <c r="A14036">
        <v>14035</v>
      </c>
      <c r="B14036" t="str">
        <v>Công an thị trấn Cầu Giát  tỉnh Nghệ An</v>
      </c>
      <c r="C14036" t="str">
        <v>-</v>
      </c>
      <c r="D14036" t="str">
        <v>-</v>
      </c>
      <c r="E14036" t="str">
        <v/>
      </c>
      <c r="F14036" t="str">
        <v>-</v>
      </c>
      <c r="G14036" t="str">
        <v>-</v>
      </c>
    </row>
    <row r="14037">
      <c r="A14037">
        <v>14036</v>
      </c>
      <c r="B14037" t="str">
        <v>UBND Ủy ban nhân dân thị trấn Cầu Giát  tỉnh Nghệ An</v>
      </c>
      <c r="C14037" t="str">
        <v>-</v>
      </c>
      <c r="D14037" t="str">
        <v>-</v>
      </c>
      <c r="E14037" t="str">
        <v>-</v>
      </c>
      <c r="F14037" t="str">
        <v>-</v>
      </c>
      <c r="G14037" t="str">
        <v>-</v>
      </c>
    </row>
    <row r="14038">
      <c r="A14038">
        <v>14037</v>
      </c>
      <c r="B14038" t="str">
        <v>Công an thị trấn Con Cuông  tỉnh Nghệ An</v>
      </c>
      <c r="C14038" t="str">
        <v>-</v>
      </c>
      <c r="D14038" t="str">
        <v>-</v>
      </c>
      <c r="E14038" t="str">
        <v/>
      </c>
      <c r="F14038" t="str">
        <v>-</v>
      </c>
      <c r="G14038" t="str">
        <v>-</v>
      </c>
    </row>
    <row r="14039">
      <c r="A14039">
        <v>14038</v>
      </c>
      <c r="B14039" t="str">
        <v>UBND Ủy ban nhân dân thị trấn Con Cuông  tỉnh Nghệ An</v>
      </c>
      <c r="C14039" t="str">
        <v>-</v>
      </c>
      <c r="D14039" t="str">
        <v>-</v>
      </c>
      <c r="E14039" t="str">
        <v>-</v>
      </c>
      <c r="F14039" t="str">
        <v>-</v>
      </c>
      <c r="G14039" t="str">
        <v>-</v>
      </c>
    </row>
    <row r="14040">
      <c r="A14040">
        <v>14039</v>
      </c>
      <c r="B14040" t="str">
        <v>Công an thị trấn Tân Kỳ  tỉnh Nghệ An</v>
      </c>
      <c r="C14040" t="str">
        <v>-</v>
      </c>
      <c r="D14040" t="str">
        <v>-</v>
      </c>
      <c r="E14040" t="str">
        <v/>
      </c>
      <c r="F14040" t="str">
        <v>-</v>
      </c>
      <c r="G14040" t="str">
        <v>-</v>
      </c>
    </row>
    <row r="14041">
      <c r="A14041">
        <v>14040</v>
      </c>
      <c r="B14041" t="str">
        <v>UBND Ủy ban nhân dân thị trấn Tân Kỳ  tỉnh Nghệ An</v>
      </c>
      <c r="C14041" t="str">
        <v>-</v>
      </c>
      <c r="D14041" t="str">
        <v>-</v>
      </c>
      <c r="E14041" t="str">
        <v>-</v>
      </c>
      <c r="F14041" t="str">
        <v>-</v>
      </c>
      <c r="G14041" t="str">
        <v>-</v>
      </c>
    </row>
    <row r="14042">
      <c r="A14042">
        <v>14041</v>
      </c>
      <c r="B14042" t="str">
        <v>Công an thị trấn Anh Sơn  tỉnh Nghệ An</v>
      </c>
      <c r="C14042" t="str">
        <v>-</v>
      </c>
      <c r="D14042" t="str">
        <v>-</v>
      </c>
      <c r="E14042" t="str">
        <v/>
      </c>
      <c r="F14042" t="str">
        <v>-</v>
      </c>
      <c r="G14042" t="str">
        <v>-</v>
      </c>
    </row>
    <row r="14043">
      <c r="A14043">
        <v>14042</v>
      </c>
      <c r="B14043" t="str">
        <v>UBND Ủy ban nhân dân thị trấn Anh Sơn  tỉnh Nghệ An</v>
      </c>
      <c r="C14043" t="str">
        <v>-</v>
      </c>
      <c r="D14043" t="str">
        <v>-</v>
      </c>
      <c r="E14043" t="str">
        <v>-</v>
      </c>
      <c r="F14043" t="str">
        <v>-</v>
      </c>
      <c r="G14043" t="str">
        <v>-</v>
      </c>
    </row>
    <row r="14044">
      <c r="A14044">
        <v>14043</v>
      </c>
      <c r="B14044" t="str">
        <v>Công an thị trấn Diễn Châu  tỉnh Nghệ An</v>
      </c>
      <c r="C14044" t="str">
        <v>-</v>
      </c>
      <c r="D14044" t="str">
        <v>-</v>
      </c>
      <c r="E14044" t="str">
        <v/>
      </c>
      <c r="F14044" t="str">
        <v>-</v>
      </c>
      <c r="G14044" t="str">
        <v>-</v>
      </c>
    </row>
    <row r="14045">
      <c r="A14045">
        <v>14044</v>
      </c>
      <c r="B14045" t="str">
        <v>UBND Ủy ban nhân dân thị trấn Diễn Châu  tỉnh Nghệ An</v>
      </c>
      <c r="C14045" t="str">
        <v>-</v>
      </c>
      <c r="D14045" t="str">
        <v>-</v>
      </c>
      <c r="E14045" t="str">
        <v>-</v>
      </c>
      <c r="F14045" t="str">
        <v>-</v>
      </c>
      <c r="G14045" t="str">
        <v>-</v>
      </c>
    </row>
    <row r="14046">
      <c r="A14046">
        <v>14045</v>
      </c>
      <c r="B14046" t="str">
        <v>Công an thị trấn Yên Thành  tỉnh Nghệ An</v>
      </c>
      <c r="C14046" t="str">
        <v>-</v>
      </c>
      <c r="D14046" t="str">
        <v>-</v>
      </c>
      <c r="E14046" t="str">
        <v/>
      </c>
      <c r="F14046" t="str">
        <v>-</v>
      </c>
      <c r="G14046" t="str">
        <v>-</v>
      </c>
    </row>
    <row r="14047">
      <c r="A14047">
        <v>14046</v>
      </c>
      <c r="B14047" t="str">
        <v>UBND Ủy ban nhân dân thị trấn Yên Thành  tỉnh Nghệ An</v>
      </c>
      <c r="C14047" t="str">
        <v>-</v>
      </c>
      <c r="D14047" t="str">
        <v>-</v>
      </c>
      <c r="E14047" t="str">
        <v>-</v>
      </c>
      <c r="F14047" t="str">
        <v>-</v>
      </c>
      <c r="G14047" t="str">
        <v>-</v>
      </c>
    </row>
    <row r="14048">
      <c r="A14048">
        <v>14047</v>
      </c>
      <c r="B14048" t="str">
        <v>Công an thị trấn Đô Lương  tỉnh Nghệ An</v>
      </c>
      <c r="C14048" t="str">
        <v>-</v>
      </c>
      <c r="D14048" t="str">
        <v>-</v>
      </c>
      <c r="E14048" t="str">
        <v/>
      </c>
      <c r="F14048" t="str">
        <v>-</v>
      </c>
      <c r="G14048" t="str">
        <v>-</v>
      </c>
    </row>
    <row r="14049">
      <c r="A14049">
        <v>14048</v>
      </c>
      <c r="B14049" t="str">
        <v>UBND Ủy ban nhân dân thị trấn Đô Lương  tỉnh Nghệ An</v>
      </c>
      <c r="C14049" t="str">
        <v>-</v>
      </c>
      <c r="D14049" t="str">
        <v>-</v>
      </c>
      <c r="E14049" t="str">
        <v>-</v>
      </c>
      <c r="F14049" t="str">
        <v>-</v>
      </c>
      <c r="G14049" t="str">
        <v>-</v>
      </c>
    </row>
    <row r="14050">
      <c r="A14050">
        <v>14049</v>
      </c>
      <c r="B14050" t="str">
        <v>Công an thị trấn Thanh Chương  tỉnh Nghệ An</v>
      </c>
      <c r="C14050" t="str">
        <v>-</v>
      </c>
      <c r="D14050" t="str">
        <v>-</v>
      </c>
      <c r="E14050" t="str">
        <v/>
      </c>
      <c r="F14050" t="str">
        <v>-</v>
      </c>
      <c r="G14050" t="str">
        <v>-</v>
      </c>
    </row>
    <row r="14051">
      <c r="A14051">
        <v>14050</v>
      </c>
      <c r="B14051" t="str">
        <v>UBND Ủy ban nhân dân thị trấn Thanh Chương  tỉnh Nghệ An</v>
      </c>
      <c r="C14051" t="str">
        <v>-</v>
      </c>
      <c r="D14051" t="str">
        <v>-</v>
      </c>
      <c r="E14051" t="str">
        <v>-</v>
      </c>
      <c r="F14051" t="str">
        <v>-</v>
      </c>
      <c r="G14051" t="str">
        <v>-</v>
      </c>
    </row>
    <row r="14052">
      <c r="A14052">
        <v>14051</v>
      </c>
      <c r="B14052" t="str">
        <v>Công an thị trấn Quán Hành  tỉnh Nghệ An</v>
      </c>
      <c r="C14052" t="str">
        <v>-</v>
      </c>
      <c r="D14052" t="str">
        <v>-</v>
      </c>
      <c r="E14052" t="str">
        <v/>
      </c>
      <c r="F14052" t="str">
        <v>-</v>
      </c>
      <c r="G14052" t="str">
        <v>-</v>
      </c>
    </row>
    <row r="14053">
      <c r="A14053">
        <v>14052</v>
      </c>
      <c r="B14053" t="str">
        <v>UBND Ủy ban nhân dân thị trấn Quán Hành  tỉnh Nghệ An</v>
      </c>
      <c r="C14053" t="str">
        <v>-</v>
      </c>
      <c r="D14053" t="str">
        <v>-</v>
      </c>
      <c r="E14053" t="str">
        <v>-</v>
      </c>
      <c r="F14053" t="str">
        <v>-</v>
      </c>
      <c r="G14053" t="str">
        <v>-</v>
      </c>
    </row>
    <row r="14054">
      <c r="A14054">
        <v>14053</v>
      </c>
      <c r="B14054" t="str">
        <v>Công an thị trấn Nam Đàn  tỉnh Nghệ An</v>
      </c>
      <c r="C14054" t="str">
        <v>-</v>
      </c>
      <c r="D14054" t="str">
        <v>-</v>
      </c>
      <c r="E14054" t="str">
        <v/>
      </c>
      <c r="F14054" t="str">
        <v>-</v>
      </c>
      <c r="G14054" t="str">
        <v>-</v>
      </c>
    </row>
    <row r="14055">
      <c r="A14055">
        <v>14054</v>
      </c>
      <c r="B14055" t="str">
        <v>UBND Ủy ban nhân dân thị trấn Nam Đàn  tỉnh Nghệ An</v>
      </c>
      <c r="C14055" t="str">
        <v>-</v>
      </c>
      <c r="D14055" t="str">
        <v>-</v>
      </c>
      <c r="E14055" t="str">
        <v>-</v>
      </c>
      <c r="F14055" t="str">
        <v>-</v>
      </c>
      <c r="G14055" t="str">
        <v>-</v>
      </c>
    </row>
    <row r="14056">
      <c r="A14056">
        <v>14055</v>
      </c>
      <c r="B14056" t="str">
        <v>Công an thị trấn Hưng Nguyên  tỉnh Nghệ An</v>
      </c>
      <c r="C14056" t="str">
        <v>-</v>
      </c>
      <c r="D14056" t="str">
        <v>-</v>
      </c>
      <c r="E14056" t="str">
        <v/>
      </c>
      <c r="F14056" t="str">
        <v>-</v>
      </c>
      <c r="G14056" t="str">
        <v>-</v>
      </c>
    </row>
    <row r="14057">
      <c r="A14057">
        <v>14056</v>
      </c>
      <c r="B14057" t="str">
        <v>UBND Ủy ban nhân dân thị trấn Hưng Nguyên  tỉnh Nghệ An</v>
      </c>
      <c r="C14057" t="str">
        <v>-</v>
      </c>
      <c r="D14057" t="str">
        <v>-</v>
      </c>
      <c r="E14057" t="str">
        <v>-</v>
      </c>
      <c r="F14057" t="str">
        <v>-</v>
      </c>
      <c r="G14057" t="str">
        <v>-</v>
      </c>
    </row>
    <row r="14058">
      <c r="A14058">
        <v>14057</v>
      </c>
      <c r="B14058" t="str">
        <v>Công an thị trấn Phố Châu  tỉnh Hà Tĩnh</v>
      </c>
      <c r="C14058" t="str">
        <v>-</v>
      </c>
      <c r="D14058" t="str">
        <v>-</v>
      </c>
      <c r="E14058" t="str">
        <v/>
      </c>
      <c r="F14058" t="str">
        <v>-</v>
      </c>
      <c r="G14058" t="str">
        <v>-</v>
      </c>
    </row>
    <row r="14059">
      <c r="A14059">
        <v>14058</v>
      </c>
      <c r="B14059" t="str">
        <v>UBND Ủy ban nhân dân thị trấn Phố Châu  tỉnh Hà Tĩnh</v>
      </c>
      <c r="C14059" t="str">
        <v>-</v>
      </c>
      <c r="D14059" t="str">
        <v>-</v>
      </c>
      <c r="E14059" t="str">
        <v>-</v>
      </c>
      <c r="F14059" t="str">
        <v>-</v>
      </c>
      <c r="G14059" t="str">
        <v>-</v>
      </c>
    </row>
    <row r="14060">
      <c r="A14060">
        <v>14059</v>
      </c>
      <c r="B14060" t="str">
        <v>Công an thị trấn  Tây Sơn  tỉnh Hà Tĩnh</v>
      </c>
      <c r="C14060" t="str">
        <v>-</v>
      </c>
      <c r="D14060" t="str">
        <v>-</v>
      </c>
      <c r="E14060" t="str">
        <v/>
      </c>
      <c r="F14060" t="str">
        <v>-</v>
      </c>
      <c r="G14060" t="str">
        <v>-</v>
      </c>
    </row>
    <row r="14061">
      <c r="A14061">
        <v>14060</v>
      </c>
      <c r="B14061" t="str">
        <v>UBND Ủy ban nhân dân thị trấn  Tây Sơn  tỉnh Hà Tĩnh</v>
      </c>
      <c r="C14061" t="str">
        <v>-</v>
      </c>
      <c r="D14061" t="str">
        <v>-</v>
      </c>
      <c r="E14061" t="str">
        <v>-</v>
      </c>
      <c r="F14061" t="str">
        <v>-</v>
      </c>
      <c r="G14061" t="str">
        <v>-</v>
      </c>
    </row>
    <row r="14062">
      <c r="A14062">
        <v>14061</v>
      </c>
      <c r="B14062" t="str">
        <v>Công an thị trấn Đức Thọ  tỉnh Hà Tĩnh</v>
      </c>
      <c r="C14062" t="str">
        <v>-</v>
      </c>
      <c r="D14062" t="str">
        <v>-</v>
      </c>
      <c r="E14062" t="str">
        <v/>
      </c>
      <c r="F14062" t="str">
        <v>-</v>
      </c>
      <c r="G14062" t="str">
        <v>-</v>
      </c>
    </row>
    <row r="14063">
      <c r="A14063">
        <v>14062</v>
      </c>
      <c r="B14063" t="str">
        <v>UBND Ủy ban nhân dân thị trấn Đức Thọ  tỉnh Hà Tĩnh</v>
      </c>
      <c r="C14063" t="str">
        <v>-</v>
      </c>
      <c r="D14063" t="str">
        <v>-</v>
      </c>
      <c r="E14063" t="str">
        <v>-</v>
      </c>
      <c r="F14063" t="str">
        <v>-</v>
      </c>
      <c r="G14063" t="str">
        <v>-</v>
      </c>
    </row>
    <row r="14064">
      <c r="A14064">
        <v>14063</v>
      </c>
      <c r="B14064" t="str">
        <v>Công an thị trấn Vũ Quang  tỉnh Hà Tĩnh</v>
      </c>
      <c r="C14064" t="str">
        <v>-</v>
      </c>
      <c r="D14064" t="str">
        <v>-</v>
      </c>
      <c r="E14064" t="str">
        <v/>
      </c>
      <c r="F14064" t="str">
        <v>-</v>
      </c>
      <c r="G14064" t="str">
        <v>-</v>
      </c>
    </row>
    <row r="14065">
      <c r="A14065">
        <v>14064</v>
      </c>
      <c r="B14065" t="str">
        <v>UBND Ủy ban nhân dân thị trấn Vũ Quang  tỉnh Hà Tĩnh</v>
      </c>
      <c r="C14065" t="str">
        <v>-</v>
      </c>
      <c r="D14065" t="str">
        <v>-</v>
      </c>
      <c r="E14065" t="str">
        <v>-</v>
      </c>
      <c r="F14065" t="str">
        <v>-</v>
      </c>
      <c r="G14065" t="str">
        <v>-</v>
      </c>
    </row>
    <row r="14066">
      <c r="A14066">
        <v>14065</v>
      </c>
      <c r="B14066" t="str">
        <v>Công an thị trấn Nghi Xuân  tỉnh Hà Tĩnh</v>
      </c>
      <c r="C14066" t="str">
        <v>-</v>
      </c>
      <c r="D14066" t="str">
        <v>-</v>
      </c>
      <c r="E14066" t="str">
        <v/>
      </c>
      <c r="F14066" t="str">
        <v>-</v>
      </c>
      <c r="G14066" t="str">
        <v>-</v>
      </c>
    </row>
    <row r="14067">
      <c r="A14067">
        <v>14066</v>
      </c>
      <c r="B14067" t="str">
        <v>UBND Ủy ban nhân dân thị trấn Nghi Xuân  tỉnh Hà Tĩnh</v>
      </c>
      <c r="C14067" t="str">
        <v>-</v>
      </c>
      <c r="D14067" t="str">
        <v>-</v>
      </c>
      <c r="E14067" t="str">
        <v>-</v>
      </c>
      <c r="F14067" t="str">
        <v>-</v>
      </c>
      <c r="G14067" t="str">
        <v>-</v>
      </c>
    </row>
    <row r="14068">
      <c r="A14068">
        <v>14067</v>
      </c>
      <c r="B14068" t="str">
        <v>Công an thị trấn Xuân An  tỉnh Hà Tĩnh</v>
      </c>
      <c r="C14068" t="str">
        <v>-</v>
      </c>
      <c r="D14068" t="str">
        <v>-</v>
      </c>
      <c r="E14068" t="str">
        <v/>
      </c>
      <c r="F14068" t="str">
        <v>-</v>
      </c>
      <c r="G14068" t="str">
        <v>-</v>
      </c>
    </row>
    <row r="14069">
      <c r="A14069">
        <v>14068</v>
      </c>
      <c r="B14069" t="str">
        <v>UBND Ủy ban nhân dân thị trấn Xuân An  tỉnh Hà Tĩnh</v>
      </c>
      <c r="C14069" t="str">
        <v>-</v>
      </c>
      <c r="D14069" t="str">
        <v>-</v>
      </c>
      <c r="E14069" t="str">
        <v>-</v>
      </c>
      <c r="F14069" t="str">
        <v>-</v>
      </c>
      <c r="G14069" t="str">
        <v>-</v>
      </c>
    </row>
    <row r="14070">
      <c r="A14070">
        <v>14069</v>
      </c>
      <c r="B14070" t="str">
        <v>Công an thị trấn Nghèn  tỉnh Hà Tĩnh</v>
      </c>
      <c r="C14070" t="str">
        <v>-</v>
      </c>
      <c r="D14070" t="str">
        <v>-</v>
      </c>
      <c r="E14070" t="str">
        <v/>
      </c>
      <c r="F14070" t="str">
        <v>-</v>
      </c>
      <c r="G14070" t="str">
        <v>-</v>
      </c>
    </row>
    <row r="14071">
      <c r="A14071">
        <v>14070</v>
      </c>
      <c r="B14071" t="str">
        <v>UBND Ủy ban nhân dân thị trấn Nghèn  tỉnh Hà Tĩnh</v>
      </c>
      <c r="C14071" t="str">
        <v>-</v>
      </c>
      <c r="D14071" t="str">
        <v>-</v>
      </c>
      <c r="E14071" t="str">
        <v>-</v>
      </c>
      <c r="F14071" t="str">
        <v>-</v>
      </c>
      <c r="G14071" t="str">
        <v>-</v>
      </c>
    </row>
    <row r="14072">
      <c r="A14072">
        <v>14071</v>
      </c>
      <c r="B14072" t="str">
        <v>Công an thị trấn Hương Khê  tỉnh Hà Tĩnh</v>
      </c>
      <c r="C14072" t="str">
        <v>-</v>
      </c>
      <c r="D14072" t="str">
        <v>-</v>
      </c>
      <c r="E14072" t="str">
        <v/>
      </c>
      <c r="F14072" t="str">
        <v>-</v>
      </c>
      <c r="G14072" t="str">
        <v>-</v>
      </c>
    </row>
    <row r="14073">
      <c r="A14073">
        <v>14072</v>
      </c>
      <c r="B14073" t="str">
        <v>UBND Ủy ban nhân dân thị trấn Hương Khê  tỉnh Hà Tĩnh</v>
      </c>
      <c r="C14073" t="str">
        <v>-</v>
      </c>
      <c r="D14073" t="str">
        <v>-</v>
      </c>
      <c r="E14073" t="str">
        <v>-</v>
      </c>
      <c r="F14073" t="str">
        <v>-</v>
      </c>
      <c r="G14073" t="str">
        <v>-</v>
      </c>
    </row>
    <row r="14074">
      <c r="A14074">
        <v>14073</v>
      </c>
      <c r="B14074" t="str">
        <v>Công an thị trấn Thạch Hà  tỉnh Hà Tĩnh</v>
      </c>
      <c r="C14074" t="str">
        <v>-</v>
      </c>
      <c r="D14074" t="str">
        <v>-</v>
      </c>
      <c r="E14074" t="str">
        <v/>
      </c>
      <c r="F14074" t="str">
        <v>-</v>
      </c>
      <c r="G14074" t="str">
        <v>-</v>
      </c>
    </row>
    <row r="14075">
      <c r="A14075">
        <v>14074</v>
      </c>
      <c r="B14075" t="str">
        <v>UBND Ủy ban nhân dân thị trấn Thạch Hà  tỉnh Hà Tĩnh</v>
      </c>
      <c r="C14075" t="str">
        <v>-</v>
      </c>
      <c r="D14075" t="str">
        <v>-</v>
      </c>
      <c r="E14075" t="str">
        <v>-</v>
      </c>
      <c r="F14075" t="str">
        <v>-</v>
      </c>
      <c r="G14075" t="str">
        <v>-</v>
      </c>
    </row>
    <row r="14076">
      <c r="A14076">
        <v>14075</v>
      </c>
      <c r="B14076" t="str">
        <v>Công an thị trấn Cẩm Xuyên  tỉnh Hà Tĩnh</v>
      </c>
      <c r="C14076" t="str">
        <v>-</v>
      </c>
      <c r="D14076" t="str">
        <v>-</v>
      </c>
      <c r="E14076" t="str">
        <v/>
      </c>
      <c r="F14076" t="str">
        <v>-</v>
      </c>
      <c r="G14076" t="str">
        <v>-</v>
      </c>
    </row>
    <row r="14077">
      <c r="A14077">
        <v>14076</v>
      </c>
      <c r="B14077" t="str">
        <v>UBND Ủy ban nhân dân thị trấn Cẩm Xuyên  tỉnh Hà Tĩnh</v>
      </c>
      <c r="C14077" t="str">
        <v>-</v>
      </c>
      <c r="D14077" t="str">
        <v>-</v>
      </c>
      <c r="E14077" t="str">
        <v>-</v>
      </c>
      <c r="F14077" t="str">
        <v>-</v>
      </c>
      <c r="G14077" t="str">
        <v>-</v>
      </c>
    </row>
    <row r="14078">
      <c r="A14078">
        <v>14077</v>
      </c>
      <c r="B14078" t="str">
        <v>Công an thị trấn Thiên Cầm  tỉnh Hà Tĩnh</v>
      </c>
      <c r="C14078" t="str">
        <v>-</v>
      </c>
      <c r="D14078" t="str">
        <v>-</v>
      </c>
      <c r="E14078" t="str">
        <v/>
      </c>
      <c r="F14078" t="str">
        <v>-</v>
      </c>
      <c r="G14078" t="str">
        <v>-</v>
      </c>
    </row>
    <row r="14079">
      <c r="A14079">
        <v>14078</v>
      </c>
      <c r="B14079" t="str">
        <v>UBND Ủy ban nhân dân thị trấn Thiên Cầm  tỉnh Hà Tĩnh</v>
      </c>
      <c r="C14079" t="str">
        <v>-</v>
      </c>
      <c r="D14079" t="str">
        <v>-</v>
      </c>
      <c r="E14079" t="str">
        <v>-</v>
      </c>
      <c r="F14079" t="str">
        <v>-</v>
      </c>
      <c r="G14079" t="str">
        <v>-</v>
      </c>
    </row>
    <row r="14080">
      <c r="A14080">
        <v>14079</v>
      </c>
      <c r="B14080" t="str">
        <v>Công an thành phố Đồng Hới  tỉnh Quảng Bình</v>
      </c>
      <c r="C14080" t="str">
        <v>-</v>
      </c>
      <c r="D14080" t="str">
        <v>-</v>
      </c>
      <c r="E14080" t="str">
        <v/>
      </c>
      <c r="F14080" t="str">
        <v>-</v>
      </c>
      <c r="G14080" t="str">
        <v>-</v>
      </c>
    </row>
    <row r="14081">
      <c r="A14081">
        <v>14080</v>
      </c>
      <c r="B14081" t="str">
        <v>UBND Ủy ban nhân dân thành phố Đồng Hới  tỉnh Quảng Bình</v>
      </c>
      <c r="C14081" t="str">
        <v>-</v>
      </c>
      <c r="D14081" t="str">
        <v>-</v>
      </c>
      <c r="E14081" t="str">
        <v>-</v>
      </c>
      <c r="F14081" t="str">
        <v>-</v>
      </c>
      <c r="G14081" t="str">
        <v>-</v>
      </c>
    </row>
    <row r="14082">
      <c r="A14082">
        <v>14081</v>
      </c>
      <c r="B14082" t="str">
        <v>Công an huyện Minh Hóa  tỉnh Quảng Bình</v>
      </c>
      <c r="C14082" t="str">
        <v>-</v>
      </c>
      <c r="D14082" t="str">
        <v>-</v>
      </c>
      <c r="E14082" t="str">
        <v/>
      </c>
      <c r="F14082" t="str">
        <v>-</v>
      </c>
      <c r="G14082" t="str">
        <v>-</v>
      </c>
    </row>
    <row r="14083">
      <c r="A14083">
        <v>14082</v>
      </c>
      <c r="B14083" t="str">
        <v>UBND Ủy ban nhân dân huyện Minh Hóa  tỉnh Quảng Bình</v>
      </c>
      <c r="C14083" t="str">
        <v>-</v>
      </c>
      <c r="D14083" t="str">
        <v>-</v>
      </c>
      <c r="E14083" t="str">
        <v>-</v>
      </c>
      <c r="F14083" t="str">
        <v>-</v>
      </c>
      <c r="G14083" t="str">
        <v>-</v>
      </c>
    </row>
    <row r="14084">
      <c r="A14084">
        <v>14083</v>
      </c>
      <c r="B14084" t="str">
        <v>Công an huyện Tuyên Hóa  tỉnh Quảng Bình</v>
      </c>
      <c r="C14084" t="str">
        <v>-</v>
      </c>
      <c r="D14084" t="str">
        <v>-</v>
      </c>
      <c r="E14084" t="str">
        <v/>
      </c>
      <c r="F14084" t="str">
        <v>-</v>
      </c>
      <c r="G14084" t="str">
        <v>-</v>
      </c>
    </row>
    <row r="14085">
      <c r="A14085">
        <v>14084</v>
      </c>
      <c r="B14085" t="str">
        <v>UBND Ủy ban nhân dân huyện Tuyên Hóa  tỉnh Quảng Bình</v>
      </c>
      <c r="C14085" t="str">
        <v>-</v>
      </c>
      <c r="D14085" t="str">
        <v>-</v>
      </c>
      <c r="E14085" t="str">
        <v>-</v>
      </c>
      <c r="F14085" t="str">
        <v>-</v>
      </c>
      <c r="G14085" t="str">
        <v>-</v>
      </c>
    </row>
    <row r="14086">
      <c r="A14086">
        <v>14085</v>
      </c>
      <c r="B14086" t="str">
        <v>Công an huyện Quảng Trạch  tỉnh Quảng Bình</v>
      </c>
      <c r="C14086" t="str">
        <v>-</v>
      </c>
      <c r="D14086" t="str">
        <v>-</v>
      </c>
      <c r="E14086" t="str">
        <v/>
      </c>
      <c r="F14086" t="str">
        <v>-</v>
      </c>
      <c r="G14086" t="str">
        <v>-</v>
      </c>
    </row>
    <row r="14087">
      <c r="A14087">
        <v>14086</v>
      </c>
      <c r="B14087" t="str">
        <v>UBND Ủy ban nhân dân huyện Quảng Trạch  tỉnh Quảng Bình</v>
      </c>
      <c r="C14087" t="str">
        <v>-</v>
      </c>
      <c r="D14087" t="str">
        <v>-</v>
      </c>
      <c r="E14087" t="str">
        <v>-</v>
      </c>
      <c r="F14087" t="str">
        <v>-</v>
      </c>
      <c r="G14087" t="str">
        <v>-</v>
      </c>
    </row>
    <row r="14088">
      <c r="A14088">
        <v>14087</v>
      </c>
      <c r="B14088" t="str">
        <v>Công an huyện Bố Trạch  tỉnh Quảng Bình</v>
      </c>
      <c r="C14088" t="str">
        <v>-</v>
      </c>
      <c r="D14088" t="str">
        <v>-</v>
      </c>
      <c r="E14088" t="str">
        <v/>
      </c>
      <c r="F14088" t="str">
        <v>-</v>
      </c>
      <c r="G14088" t="str">
        <v>-</v>
      </c>
    </row>
    <row r="14089">
      <c r="A14089">
        <v>14088</v>
      </c>
      <c r="B14089" t="str">
        <v>UBND Ủy ban nhân dân huyện Bố Trạch  tỉnh Quảng Bình</v>
      </c>
      <c r="C14089" t="str">
        <v>-</v>
      </c>
      <c r="D14089" t="str">
        <v>-</v>
      </c>
      <c r="E14089" t="str">
        <v>-</v>
      </c>
      <c r="F14089" t="str">
        <v>-</v>
      </c>
      <c r="G14089" t="str">
        <v>-</v>
      </c>
    </row>
    <row r="14090">
      <c r="A14090">
        <v>14089</v>
      </c>
      <c r="B14090" t="str">
        <v>Công an huyện Quảng Ninh  tỉnh Quảng Bình</v>
      </c>
      <c r="C14090" t="str">
        <v>-</v>
      </c>
      <c r="D14090" t="str">
        <v>-</v>
      </c>
      <c r="E14090" t="str">
        <v/>
      </c>
      <c r="F14090" t="str">
        <v>-</v>
      </c>
      <c r="G14090" t="str">
        <v>-</v>
      </c>
    </row>
    <row r="14091">
      <c r="A14091">
        <v>14090</v>
      </c>
      <c r="B14091" t="str">
        <v>UBND Ủy ban nhân dân huyện Quảng Ninh  tỉnh Quảng Bình</v>
      </c>
      <c r="C14091" t="str">
        <v>-</v>
      </c>
      <c r="D14091" t="str">
        <v>-</v>
      </c>
      <c r="E14091" t="str">
        <v>-</v>
      </c>
      <c r="F14091" t="str">
        <v>-</v>
      </c>
      <c r="G14091" t="str">
        <v>-</v>
      </c>
    </row>
    <row r="14092">
      <c r="A14092">
        <v>14091</v>
      </c>
      <c r="B14092" t="str">
        <v>Công an huyện Lệ Thủy  tỉnh Quảng Bình</v>
      </c>
      <c r="C14092" t="str">
        <v>-</v>
      </c>
      <c r="D14092" t="str">
        <v>-</v>
      </c>
      <c r="E14092" t="str">
        <v/>
      </c>
      <c r="F14092" t="str">
        <v>-</v>
      </c>
      <c r="G14092" t="str">
        <v>-</v>
      </c>
    </row>
    <row r="14093">
      <c r="A14093">
        <v>14092</v>
      </c>
      <c r="B14093" t="str">
        <v>UBND Ủy ban nhân dân huyện Lệ Thủy  tỉnh Quảng Bình</v>
      </c>
      <c r="C14093" t="str">
        <v>-</v>
      </c>
      <c r="D14093" t="str">
        <v>-</v>
      </c>
      <c r="E14093" t="str">
        <v>-</v>
      </c>
      <c r="F14093" t="str">
        <v>-</v>
      </c>
      <c r="G14093" t="str">
        <v>-</v>
      </c>
    </row>
    <row r="14094">
      <c r="A14094">
        <v>14093</v>
      </c>
      <c r="B14094" t="str">
        <v>Công an thành phố Đông Hà  tỉnh Quảng Trị</v>
      </c>
      <c r="C14094" t="str">
        <v>-</v>
      </c>
      <c r="D14094" t="str">
        <v>-</v>
      </c>
      <c r="E14094" t="str">
        <v/>
      </c>
      <c r="F14094" t="str">
        <v>-</v>
      </c>
      <c r="G14094" t="str">
        <v>-</v>
      </c>
    </row>
    <row r="14095">
      <c r="A14095">
        <v>14094</v>
      </c>
      <c r="B14095" t="str">
        <v>UBND Ủy ban nhân dân thành phố Đông Hà  tỉnh Quảng Trị</v>
      </c>
      <c r="C14095" t="str">
        <v>-</v>
      </c>
      <c r="D14095" t="str">
        <v>-</v>
      </c>
      <c r="E14095" t="str">
        <v>-</v>
      </c>
      <c r="F14095" t="str">
        <v>-</v>
      </c>
      <c r="G14095" t="str">
        <v>-</v>
      </c>
    </row>
    <row r="14096">
      <c r="A14096">
        <v>14095</v>
      </c>
      <c r="B14096" t="str">
        <v>Công an huyện Vĩnh Linh  tỉnh Quảng Trị</v>
      </c>
      <c r="C14096" t="str">
        <v>-</v>
      </c>
      <c r="D14096" t="str">
        <v>-</v>
      </c>
      <c r="E14096" t="str">
        <v/>
      </c>
      <c r="F14096" t="str">
        <v>-</v>
      </c>
      <c r="G14096" t="str">
        <v>-</v>
      </c>
    </row>
    <row r="14097">
      <c r="A14097">
        <v>14096</v>
      </c>
      <c r="B14097" t="str">
        <v>UBND Ủy ban nhân dân huyện Vĩnh Linh  tỉnh Quảng Trị</v>
      </c>
      <c r="C14097" t="str">
        <v>-</v>
      </c>
      <c r="D14097" t="str">
        <v>-</v>
      </c>
      <c r="E14097" t="str">
        <v>-</v>
      </c>
      <c r="F14097" t="str">
        <v>-</v>
      </c>
      <c r="G14097" t="str">
        <v>-</v>
      </c>
    </row>
    <row r="14098">
      <c r="A14098">
        <v>14097</v>
      </c>
      <c r="B14098" t="str">
        <v>Công an huyện Hướng Hóa  tỉnh Quảng Trị</v>
      </c>
      <c r="C14098" t="str">
        <v>-</v>
      </c>
      <c r="D14098" t="str">
        <v>-</v>
      </c>
      <c r="E14098" t="str">
        <v/>
      </c>
      <c r="F14098" t="str">
        <v>-</v>
      </c>
      <c r="G14098" t="str">
        <v>-</v>
      </c>
    </row>
    <row r="14099">
      <c r="A14099">
        <v>14098</v>
      </c>
      <c r="B14099" t="str">
        <v>UBND Ủy ban nhân dân huyện Hướng Hóa  tỉnh Quảng Trị</v>
      </c>
      <c r="C14099" t="str">
        <v>-</v>
      </c>
      <c r="D14099" t="str">
        <v>-</v>
      </c>
      <c r="E14099" t="str">
        <v>-</v>
      </c>
      <c r="F14099" t="str">
        <v>-</v>
      </c>
      <c r="G14099" t="str">
        <v>-</v>
      </c>
    </row>
    <row r="14100">
      <c r="A14100">
        <v>14099</v>
      </c>
      <c r="B14100" t="str">
        <v>Công an huyện Gio Linh  tỉnh Quảng Trị</v>
      </c>
      <c r="C14100" t="str">
        <v>-</v>
      </c>
      <c r="D14100" t="str">
        <v>-</v>
      </c>
      <c r="E14100" t="str">
        <v/>
      </c>
      <c r="F14100" t="str">
        <v>-</v>
      </c>
      <c r="G14100" t="str">
        <v>-</v>
      </c>
    </row>
    <row r="14101">
      <c r="A14101">
        <v>14100</v>
      </c>
      <c r="B14101" t="str">
        <v>UBND Ủy ban nhân dân huyện Gio Linh  tỉnh Quảng Trị</v>
      </c>
      <c r="C14101" t="str">
        <v>-</v>
      </c>
      <c r="D14101" t="str">
        <v>-</v>
      </c>
      <c r="E14101" t="str">
        <v>-</v>
      </c>
      <c r="F14101" t="str">
        <v>-</v>
      </c>
      <c r="G14101" t="str">
        <v>-</v>
      </c>
    </row>
    <row r="14102">
      <c r="A14102">
        <v>14101</v>
      </c>
      <c r="B14102" t="str">
        <v>Công an huyện Đa Krông  tỉnh Quảng Trị</v>
      </c>
      <c r="C14102" t="str">
        <v>-</v>
      </c>
      <c r="D14102" t="str">
        <v>-</v>
      </c>
      <c r="E14102" t="str">
        <v/>
      </c>
      <c r="F14102" t="str">
        <v>-</v>
      </c>
      <c r="G14102" t="str">
        <v>-</v>
      </c>
    </row>
    <row r="14103">
      <c r="A14103">
        <v>14102</v>
      </c>
      <c r="B14103" t="str">
        <v>UBND Ủy ban nhân dân huyện Đa Krông  tỉnh Quảng Trị</v>
      </c>
      <c r="C14103" t="str">
        <v>-</v>
      </c>
      <c r="D14103" t="str">
        <v>-</v>
      </c>
      <c r="E14103" t="str">
        <v>-</v>
      </c>
      <c r="F14103" t="str">
        <v>-</v>
      </c>
      <c r="G14103" t="str">
        <v>-</v>
      </c>
    </row>
    <row r="14104">
      <c r="A14104">
        <v>14103</v>
      </c>
      <c r="B14104" t="str">
        <v>Công an huyện Cam Lộ  tỉnh Quảng Trị</v>
      </c>
      <c r="C14104" t="str">
        <v>-</v>
      </c>
      <c r="D14104" t="str">
        <v>-</v>
      </c>
      <c r="E14104" t="str">
        <v/>
      </c>
      <c r="F14104" t="str">
        <v>-</v>
      </c>
      <c r="G14104" t="str">
        <v>-</v>
      </c>
    </row>
    <row r="14105">
      <c r="A14105">
        <v>14104</v>
      </c>
      <c r="B14105" t="str">
        <v>UBND Ủy ban nhân dân huyện Cam Lộ  tỉnh Quảng Trị</v>
      </c>
      <c r="C14105" t="str">
        <v>-</v>
      </c>
      <c r="D14105" t="str">
        <v>-</v>
      </c>
      <c r="E14105" t="str">
        <v>-</v>
      </c>
      <c r="F14105" t="str">
        <v>-</v>
      </c>
      <c r="G14105" t="str">
        <v>-</v>
      </c>
    </row>
    <row r="14106">
      <c r="A14106">
        <v>14105</v>
      </c>
      <c r="B14106" t="str">
        <v>Công an huyện Triệu Phong  tỉnh Quảng Trị</v>
      </c>
      <c r="C14106" t="str">
        <v>-</v>
      </c>
      <c r="D14106" t="str">
        <v>-</v>
      </c>
      <c r="E14106" t="str">
        <v/>
      </c>
      <c r="F14106" t="str">
        <v>-</v>
      </c>
      <c r="G14106" t="str">
        <v>-</v>
      </c>
    </row>
    <row r="14107">
      <c r="A14107">
        <v>14106</v>
      </c>
      <c r="B14107" t="str">
        <v>UBND Ủy ban nhân dân huyện Triệu Phong  tỉnh Quảng Trị</v>
      </c>
      <c r="C14107" t="str">
        <v>-</v>
      </c>
      <c r="D14107" t="str">
        <v>-</v>
      </c>
      <c r="E14107" t="str">
        <v>-</v>
      </c>
      <c r="F14107" t="str">
        <v>-</v>
      </c>
      <c r="G14107" t="str">
        <v>-</v>
      </c>
    </row>
    <row r="14108">
      <c r="A14108">
        <v>14107</v>
      </c>
      <c r="B14108" t="str">
        <v>Công an huyện Hải Lăng  tỉnh Quảng Trị</v>
      </c>
      <c r="C14108" t="str">
        <v>-</v>
      </c>
      <c r="D14108" t="str">
        <v>-</v>
      </c>
      <c r="E14108" t="str">
        <v/>
      </c>
      <c r="F14108" t="str">
        <v>-</v>
      </c>
      <c r="G14108" t="str">
        <v>-</v>
      </c>
    </row>
    <row r="14109">
      <c r="A14109">
        <v>14108</v>
      </c>
      <c r="B14109" t="str">
        <v>UBND Ủy ban nhân dân huyện Hải Lăng  tỉnh Quảng Trị</v>
      </c>
      <c r="C14109" t="str">
        <v>-</v>
      </c>
      <c r="D14109" t="str">
        <v>-</v>
      </c>
      <c r="E14109" t="str">
        <v>-</v>
      </c>
      <c r="F14109" t="str">
        <v>-</v>
      </c>
      <c r="G14109" t="str">
        <v>-</v>
      </c>
    </row>
    <row r="14110">
      <c r="A14110">
        <v>14109</v>
      </c>
      <c r="B14110" t="str">
        <v>Công an thành phố Huế  tỉnh Thừa Thiên Huế</v>
      </c>
      <c r="C14110" t="str">
        <v>-</v>
      </c>
      <c r="D14110" t="str">
        <v>-</v>
      </c>
      <c r="E14110" t="str">
        <v/>
      </c>
      <c r="F14110" t="str">
        <v>-</v>
      </c>
      <c r="G14110" t="str">
        <v>-</v>
      </c>
    </row>
    <row r="14111">
      <c r="A14111">
        <v>14110</v>
      </c>
      <c r="B14111" t="str">
        <v>UBND Ủy ban nhân dân thành phố Huế  tỉnh Thừa Thiên Huế</v>
      </c>
      <c r="C14111" t="str">
        <v>-</v>
      </c>
      <c r="D14111" t="str">
        <v>-</v>
      </c>
      <c r="E14111" t="str">
        <v>-</v>
      </c>
      <c r="F14111" t="str">
        <v>-</v>
      </c>
      <c r="G14111" t="str">
        <v>-</v>
      </c>
    </row>
    <row r="14112">
      <c r="A14112">
        <v>14111</v>
      </c>
      <c r="B14112" t="str">
        <v>Công an huyện Phong Điền  tỉnh Thừa Thiên Huế</v>
      </c>
      <c r="C14112" t="str">
        <v>-</v>
      </c>
      <c r="D14112" t="str">
        <v>-</v>
      </c>
      <c r="E14112" t="str">
        <v/>
      </c>
      <c r="F14112" t="str">
        <v>-</v>
      </c>
      <c r="G14112" t="str">
        <v>-</v>
      </c>
    </row>
    <row r="14113">
      <c r="A14113">
        <v>14112</v>
      </c>
      <c r="B14113" t="str">
        <v>UBND Ủy ban nhân dân huyện Phong Điền  tỉnh Thừa Thiên Huế</v>
      </c>
      <c r="C14113" t="str">
        <v>-</v>
      </c>
      <c r="D14113" t="str">
        <v>-</v>
      </c>
      <c r="E14113" t="str">
        <v>-</v>
      </c>
      <c r="F14113" t="str">
        <v>-</v>
      </c>
      <c r="G14113" t="str">
        <v>-</v>
      </c>
    </row>
    <row r="14114">
      <c r="A14114">
        <v>14113</v>
      </c>
      <c r="B14114" t="str">
        <v>Công an huyện Quảng Điền  tỉnh Thừa Thiên Huế</v>
      </c>
      <c r="C14114" t="str">
        <v>-</v>
      </c>
      <c r="D14114" t="str">
        <v>-</v>
      </c>
      <c r="E14114" t="str">
        <v/>
      </c>
      <c r="F14114" t="str">
        <v>-</v>
      </c>
      <c r="G14114" t="str">
        <v>-</v>
      </c>
    </row>
    <row r="14115">
      <c r="A14115">
        <v>14114</v>
      </c>
      <c r="B14115" t="str">
        <v>UBND Ủy ban nhân dân huyện Quảng Điền  tỉnh Thừa Thiên Huế</v>
      </c>
      <c r="C14115" t="str">
        <v>-</v>
      </c>
      <c r="D14115" t="str">
        <v>-</v>
      </c>
      <c r="E14115" t="str">
        <v>-</v>
      </c>
      <c r="F14115" t="str">
        <v>-</v>
      </c>
      <c r="G14115" t="str">
        <v>-</v>
      </c>
    </row>
    <row r="14116">
      <c r="A14116">
        <v>14115</v>
      </c>
      <c r="B14116" t="str">
        <v>Công an huyện Phú Vang  tỉnh Thừa Thiên Huế</v>
      </c>
      <c r="C14116" t="str">
        <v>-</v>
      </c>
      <c r="D14116" t="str">
        <v>-</v>
      </c>
      <c r="E14116" t="str">
        <v/>
      </c>
      <c r="F14116" t="str">
        <v>-</v>
      </c>
      <c r="G14116" t="str">
        <v>-</v>
      </c>
    </row>
    <row r="14117">
      <c r="A14117">
        <v>14116</v>
      </c>
      <c r="B14117" t="str">
        <v>UBND Ủy ban nhân dân huyện Phú Vang  tỉnh Thừa Thiên Huế</v>
      </c>
      <c r="C14117" t="str">
        <v>-</v>
      </c>
      <c r="D14117" t="str">
        <v>-</v>
      </c>
      <c r="E14117" t="str">
        <v>-</v>
      </c>
      <c r="F14117" t="str">
        <v>-</v>
      </c>
      <c r="G14117" t="str">
        <v>-</v>
      </c>
    </row>
    <row r="14118">
      <c r="A14118">
        <v>14117</v>
      </c>
      <c r="B14118" t="str">
        <v>Công an huyện A Lưới  tỉnh Thừa Thiên Huế</v>
      </c>
      <c r="C14118" t="str">
        <v>-</v>
      </c>
      <c r="D14118" t="str">
        <v>-</v>
      </c>
      <c r="E14118" t="str">
        <v/>
      </c>
      <c r="F14118" t="str">
        <v>-</v>
      </c>
      <c r="G14118" t="str">
        <v>-</v>
      </c>
    </row>
    <row r="14119">
      <c r="A14119">
        <v>14118</v>
      </c>
      <c r="B14119" t="str">
        <v>UBND Ủy ban nhân dân huyện A Lưới  tỉnh Thừa Thiên Huế</v>
      </c>
      <c r="C14119" t="str">
        <v>-</v>
      </c>
      <c r="D14119" t="str">
        <v>-</v>
      </c>
      <c r="E14119" t="str">
        <v>-</v>
      </c>
      <c r="F14119" t="str">
        <v>-</v>
      </c>
      <c r="G14119" t="str">
        <v>-</v>
      </c>
    </row>
    <row r="14120">
      <c r="A14120">
        <v>14119</v>
      </c>
      <c r="B14120" t="str">
        <v>Công an huyện Phú Lộc  tỉnh Thừa Thiên Huế</v>
      </c>
      <c r="C14120" t="str">
        <v>-</v>
      </c>
      <c r="D14120" t="str">
        <v>-</v>
      </c>
      <c r="E14120" t="str">
        <v/>
      </c>
      <c r="F14120" t="str">
        <v>-</v>
      </c>
      <c r="G14120" t="str">
        <v>-</v>
      </c>
    </row>
    <row r="14121">
      <c r="A14121">
        <v>14120</v>
      </c>
      <c r="B14121" t="str">
        <v>UBND Ủy ban nhân dân huyện Phú Lộc  tỉnh Thừa Thiên Huế</v>
      </c>
      <c r="C14121" t="str">
        <v>-</v>
      </c>
      <c r="D14121" t="str">
        <v>-</v>
      </c>
      <c r="E14121" t="str">
        <v>-</v>
      </c>
      <c r="F14121" t="str">
        <v>-</v>
      </c>
      <c r="G14121" t="str">
        <v>-</v>
      </c>
    </row>
    <row r="14122">
      <c r="A14122">
        <v>14121</v>
      </c>
      <c r="B14122" t="str">
        <v>Công an huyện Nam Đông  tỉnh Thừa Thiên Huế</v>
      </c>
      <c r="C14122" t="str">
        <v>-</v>
      </c>
      <c r="D14122" t="str">
        <v>-</v>
      </c>
      <c r="E14122" t="str">
        <v/>
      </c>
      <c r="F14122" t="str">
        <v>-</v>
      </c>
      <c r="G14122" t="str">
        <v>-</v>
      </c>
    </row>
    <row r="14123">
      <c r="A14123">
        <v>14122</v>
      </c>
      <c r="B14123" t="str">
        <v>UBND Ủy ban nhân dân huyện Nam Đông  tỉnh Thừa Thiên Huế</v>
      </c>
      <c r="C14123" t="str">
        <v>-</v>
      </c>
      <c r="D14123" t="str">
        <v>-</v>
      </c>
      <c r="E14123" t="str">
        <v>-</v>
      </c>
      <c r="F14123" t="str">
        <v>-</v>
      </c>
      <c r="G14123" t="str">
        <v>-</v>
      </c>
    </row>
    <row r="14124">
      <c r="A14124">
        <v>14123</v>
      </c>
      <c r="B14124" t="str">
        <v>Công an quận Liên Chiểu thành phố Đà Nẵng</v>
      </c>
      <c r="C14124" t="str">
        <v>-</v>
      </c>
      <c r="D14124" t="str">
        <v>-</v>
      </c>
      <c r="E14124" t="str">
        <v/>
      </c>
      <c r="F14124" t="str">
        <v>-</v>
      </c>
      <c r="G14124" t="str">
        <v>-</v>
      </c>
    </row>
    <row r="14125">
      <c r="A14125">
        <v>14124</v>
      </c>
      <c r="B14125" t="str">
        <v>UBND Ủy ban nhân dân quận Liên Chiểu thành phố Đà Nẵng</v>
      </c>
      <c r="C14125" t="str">
        <v>-</v>
      </c>
      <c r="D14125" t="str">
        <v>-</v>
      </c>
      <c r="E14125" t="str">
        <v>-</v>
      </c>
      <c r="F14125" t="str">
        <v>-</v>
      </c>
      <c r="G14125" t="str">
        <v>-</v>
      </c>
    </row>
    <row r="14126">
      <c r="A14126">
        <v>14125</v>
      </c>
      <c r="B14126" t="str">
        <v>Công an quận Thanh Khê thành phố Đà Nẵng</v>
      </c>
      <c r="C14126" t="str">
        <v>-</v>
      </c>
      <c r="D14126" t="str">
        <v>-</v>
      </c>
      <c r="E14126" t="str">
        <v/>
      </c>
      <c r="F14126" t="str">
        <v>-</v>
      </c>
      <c r="G14126" t="str">
        <v>-</v>
      </c>
    </row>
    <row r="14127">
      <c r="A14127">
        <v>14126</v>
      </c>
      <c r="B14127" t="str">
        <v>UBND Ủy ban nhân dân quận Thanh Khê thành phố Đà Nẵng</v>
      </c>
      <c r="C14127" t="str">
        <v>-</v>
      </c>
      <c r="D14127" t="str">
        <v>-</v>
      </c>
      <c r="E14127" t="str">
        <v>-</v>
      </c>
      <c r="F14127" t="str">
        <v>-</v>
      </c>
      <c r="G14127" t="str">
        <v>-</v>
      </c>
    </row>
    <row r="14128">
      <c r="A14128">
        <v>14127</v>
      </c>
      <c r="B14128" t="str">
        <v>Công an quận Hải Châu thành phố Đà Nẵng</v>
      </c>
      <c r="C14128" t="str">
        <v>-</v>
      </c>
      <c r="D14128" t="str">
        <v>-</v>
      </c>
      <c r="E14128" t="str">
        <v/>
      </c>
      <c r="F14128" t="str">
        <v>-</v>
      </c>
      <c r="G14128" t="str">
        <v>-</v>
      </c>
    </row>
    <row r="14129">
      <c r="A14129">
        <v>14128</v>
      </c>
      <c r="B14129" t="str">
        <v>UBND Ủy ban nhân dân quận Hải Châu thành phố Đà Nẵng</v>
      </c>
      <c r="C14129" t="str">
        <v>-</v>
      </c>
      <c r="D14129" t="str">
        <v>-</v>
      </c>
      <c r="E14129" t="str">
        <v>-</v>
      </c>
      <c r="F14129" t="str">
        <v>-</v>
      </c>
      <c r="G14129" t="str">
        <v>-</v>
      </c>
    </row>
    <row r="14130">
      <c r="A14130">
        <v>14129</v>
      </c>
      <c r="B14130" t="str">
        <v>Công an quận Sơn Trà thành phố Đà Nẵng</v>
      </c>
      <c r="C14130" t="str">
        <v>-</v>
      </c>
      <c r="D14130" t="str">
        <v>-</v>
      </c>
      <c r="E14130" t="str">
        <v/>
      </c>
      <c r="F14130" t="str">
        <v>-</v>
      </c>
      <c r="G14130" t="str">
        <v>-</v>
      </c>
    </row>
    <row r="14131">
      <c r="A14131">
        <v>14130</v>
      </c>
      <c r="B14131" t="str">
        <v>UBND Ủy ban nhân dân quận Sơn Trà thành phố Đà Nẵng</v>
      </c>
      <c r="C14131" t="str">
        <v>-</v>
      </c>
      <c r="D14131" t="str">
        <v>-</v>
      </c>
      <c r="E14131" t="str">
        <v>-</v>
      </c>
      <c r="F14131" t="str">
        <v>-</v>
      </c>
      <c r="G14131" t="str">
        <v>-</v>
      </c>
    </row>
    <row r="14132">
      <c r="A14132">
        <v>14131</v>
      </c>
      <c r="B14132" t="str">
        <v>Công an quận Ngũ Hành Sơn thành phố Đà Nẵng</v>
      </c>
      <c r="C14132" t="str">
        <v>-</v>
      </c>
      <c r="D14132" t="str">
        <v>-</v>
      </c>
      <c r="E14132" t="str">
        <v/>
      </c>
      <c r="F14132" t="str">
        <v>-</v>
      </c>
      <c r="G14132" t="str">
        <v>-</v>
      </c>
    </row>
    <row r="14133">
      <c r="A14133">
        <v>14132</v>
      </c>
      <c r="B14133" t="str">
        <v>UBND Ủy ban nhân dân quận Ngũ Hành Sơn thành phố Đà Nẵng</v>
      </c>
      <c r="C14133" t="str">
        <v>-</v>
      </c>
      <c r="D14133" t="str">
        <v>-</v>
      </c>
      <c r="E14133" t="str">
        <v>-</v>
      </c>
      <c r="F14133" t="str">
        <v>-</v>
      </c>
      <c r="G14133" t="str">
        <v>-</v>
      </c>
    </row>
    <row r="14134">
      <c r="A14134">
        <v>14133</v>
      </c>
      <c r="B14134" t="str">
        <v>Công an quận Cẩm Lệ thành phố Đà Nẵng</v>
      </c>
      <c r="C14134" t="str">
        <v>-</v>
      </c>
      <c r="D14134" t="str">
        <v>-</v>
      </c>
      <c r="E14134" t="str">
        <v/>
      </c>
      <c r="F14134" t="str">
        <v>-</v>
      </c>
      <c r="G14134" t="str">
        <v>-</v>
      </c>
    </row>
    <row r="14135">
      <c r="A14135">
        <v>14134</v>
      </c>
      <c r="B14135" t="str">
        <v>UBND Ủy ban nhân dân quận Cẩm Lệ thành phố Đà Nẵng</v>
      </c>
      <c r="C14135" t="str">
        <v>-</v>
      </c>
      <c r="D14135" t="str">
        <v>-</v>
      </c>
      <c r="E14135" t="str">
        <v>-</v>
      </c>
      <c r="F14135" t="str">
        <v>-</v>
      </c>
      <c r="G14135" t="str">
        <v>-</v>
      </c>
    </row>
    <row r="14136">
      <c r="A14136">
        <v>14135</v>
      </c>
      <c r="B14136" t="str">
        <v>Công an huyện Hòa Vang thành phố Đà Nẵng</v>
      </c>
      <c r="C14136" t="str">
        <v>-</v>
      </c>
      <c r="D14136" t="str">
        <v>-</v>
      </c>
      <c r="E14136" t="str">
        <v/>
      </c>
      <c r="F14136" t="str">
        <v>-</v>
      </c>
      <c r="G14136" t="str">
        <v>-</v>
      </c>
    </row>
    <row r="14137">
      <c r="A14137">
        <v>14136</v>
      </c>
      <c r="B14137" t="str">
        <v>UBND Ủy ban nhân dân huyện Hòa Vang thành phố Đà Nẵng</v>
      </c>
      <c r="C14137" t="str">
        <v>-</v>
      </c>
      <c r="D14137" t="str">
        <v>-</v>
      </c>
      <c r="E14137" t="str">
        <v>-</v>
      </c>
      <c r="F14137" t="str">
        <v>-</v>
      </c>
      <c r="G14137" t="str">
        <v>-</v>
      </c>
    </row>
    <row r="14138">
      <c r="A14138">
        <v>14137</v>
      </c>
      <c r="B14138" t="str">
        <v>Công an thành phố Tam Kỳ  tỉnh Quảng Nam</v>
      </c>
      <c r="C14138" t="str">
        <v>-</v>
      </c>
      <c r="D14138" t="str">
        <v>-</v>
      </c>
      <c r="E14138" t="str">
        <v/>
      </c>
      <c r="F14138" t="str">
        <v>-</v>
      </c>
      <c r="G14138" t="str">
        <v>-</v>
      </c>
    </row>
    <row r="14139">
      <c r="A14139">
        <v>14138</v>
      </c>
      <c r="B14139" t="str">
        <v>UBND Ủy ban nhân dân thành phố Tam Kỳ  tỉnh Quảng Nam</v>
      </c>
      <c r="C14139" t="str">
        <v>-</v>
      </c>
      <c r="D14139" t="str">
        <v>-</v>
      </c>
      <c r="E14139" t="str">
        <v>-</v>
      </c>
      <c r="F14139" t="str">
        <v>-</v>
      </c>
      <c r="G14139" t="str">
        <v>-</v>
      </c>
    </row>
    <row r="14140">
      <c r="A14140">
        <v>14139</v>
      </c>
      <c r="B14140" t="str">
        <v>Công an thành phố Hội An  tỉnh Quảng Nam</v>
      </c>
      <c r="C14140" t="str">
        <v>-</v>
      </c>
      <c r="D14140" t="str">
        <v>-</v>
      </c>
      <c r="E14140" t="str">
        <v/>
      </c>
      <c r="F14140" t="str">
        <v>-</v>
      </c>
      <c r="G14140" t="str">
        <v>-</v>
      </c>
    </row>
    <row r="14141">
      <c r="A14141">
        <v>14140</v>
      </c>
      <c r="B14141" t="str">
        <v>UBND Ủy ban nhân dân thành phố Hội An  tỉnh Quảng Nam</v>
      </c>
      <c r="C14141" t="str">
        <v>-</v>
      </c>
      <c r="D14141" t="str">
        <v>-</v>
      </c>
      <c r="E14141" t="str">
        <v>-</v>
      </c>
      <c r="F14141" t="str">
        <v>-</v>
      </c>
      <c r="G14141" t="str">
        <v>-</v>
      </c>
    </row>
    <row r="14142">
      <c r="A14142">
        <v>14141</v>
      </c>
      <c r="B14142" t="str">
        <v>Công an huyện Tây Giang  tỉnh Quảng Nam</v>
      </c>
      <c r="C14142" t="str">
        <v>-</v>
      </c>
      <c r="D14142" t="str">
        <v>-</v>
      </c>
      <c r="E14142" t="str">
        <v/>
      </c>
      <c r="F14142" t="str">
        <v>-</v>
      </c>
      <c r="G14142" t="str">
        <v>-</v>
      </c>
    </row>
    <row r="14143">
      <c r="A14143">
        <v>14142</v>
      </c>
      <c r="B14143" t="str">
        <v>UBND Ủy ban nhân dân huyện Tây Giang  tỉnh Quảng Nam</v>
      </c>
      <c r="C14143" t="str">
        <v>-</v>
      </c>
      <c r="D14143" t="str">
        <v>-</v>
      </c>
      <c r="E14143" t="str">
        <v>-</v>
      </c>
      <c r="F14143" t="str">
        <v>-</v>
      </c>
      <c r="G14143" t="str">
        <v>-</v>
      </c>
    </row>
    <row r="14144">
      <c r="A14144">
        <v>14143</v>
      </c>
      <c r="B14144" t="str">
        <v>Công an huyện Đông Giang  tỉnh Quảng Nam</v>
      </c>
      <c r="C14144" t="str">
        <v>-</v>
      </c>
      <c r="D14144" t="str">
        <v>-</v>
      </c>
      <c r="E14144" t="str">
        <v/>
      </c>
      <c r="F14144" t="str">
        <v>-</v>
      </c>
      <c r="G14144" t="str">
        <v>-</v>
      </c>
    </row>
    <row r="14145">
      <c r="A14145">
        <v>14144</v>
      </c>
      <c r="B14145" t="str">
        <v>UBND Ủy ban nhân dân huyện Đông Giang  tỉnh Quảng Nam</v>
      </c>
      <c r="C14145" t="str">
        <v>-</v>
      </c>
      <c r="D14145" t="str">
        <v>-</v>
      </c>
      <c r="E14145" t="str">
        <v>-</v>
      </c>
      <c r="F14145" t="str">
        <v>-</v>
      </c>
      <c r="G14145" t="str">
        <v>-</v>
      </c>
    </row>
    <row r="14146">
      <c r="A14146">
        <v>14145</v>
      </c>
      <c r="B14146" t="str">
        <v>Công an huyện Đại Lộc  tỉnh Quảng Nam</v>
      </c>
      <c r="C14146" t="str">
        <v>-</v>
      </c>
      <c r="D14146" t="str">
        <v>-</v>
      </c>
      <c r="E14146" t="str">
        <v/>
      </c>
      <c r="F14146" t="str">
        <v>-</v>
      </c>
      <c r="G14146" t="str">
        <v>-</v>
      </c>
    </row>
    <row r="14147">
      <c r="A14147">
        <v>14146</v>
      </c>
      <c r="B14147" t="str">
        <v>UBND Ủy ban nhân dân huyện Đại Lộc  tỉnh Quảng Nam</v>
      </c>
      <c r="C14147" t="str">
        <v>-</v>
      </c>
      <c r="D14147" t="str">
        <v>-</v>
      </c>
      <c r="E14147" t="str">
        <v>-</v>
      </c>
      <c r="F14147" t="str">
        <v>-</v>
      </c>
      <c r="G14147" t="str">
        <v>-</v>
      </c>
    </row>
    <row r="14148">
      <c r="A14148">
        <v>14147</v>
      </c>
      <c r="B14148" t="str">
        <v>Công an huyện Duy Xuyên  tỉnh Quảng Nam</v>
      </c>
      <c r="C14148" t="str">
        <v>-</v>
      </c>
      <c r="D14148" t="str">
        <v>-</v>
      </c>
      <c r="E14148" t="str">
        <v/>
      </c>
      <c r="F14148" t="str">
        <v>-</v>
      </c>
      <c r="G14148" t="str">
        <v>-</v>
      </c>
    </row>
    <row r="14149">
      <c r="A14149">
        <v>14148</v>
      </c>
      <c r="B14149" t="str">
        <v>UBND Ủy ban nhân dân huyện Duy Xuyên  tỉnh Quảng Nam</v>
      </c>
      <c r="C14149" t="str">
        <v>-</v>
      </c>
      <c r="D14149" t="str">
        <v>-</v>
      </c>
      <c r="E14149" t="str">
        <v>-</v>
      </c>
      <c r="F14149" t="str">
        <v>-</v>
      </c>
      <c r="G14149" t="str">
        <v>-</v>
      </c>
    </row>
    <row r="14150">
      <c r="A14150">
        <v>14149</v>
      </c>
      <c r="B14150" t="str">
        <v>Công an huyện Quế Sơn  tỉnh Quảng Nam</v>
      </c>
      <c r="C14150" t="str">
        <v>-</v>
      </c>
      <c r="D14150" t="str">
        <v>-</v>
      </c>
      <c r="E14150" t="str">
        <v/>
      </c>
      <c r="F14150" t="str">
        <v>-</v>
      </c>
      <c r="G14150" t="str">
        <v>-</v>
      </c>
    </row>
    <row r="14151">
      <c r="A14151">
        <v>14150</v>
      </c>
      <c r="B14151" t="str">
        <v>UBND Ủy ban nhân dân huyện Quế Sơn  tỉnh Quảng Nam</v>
      </c>
      <c r="C14151" t="str">
        <v>-</v>
      </c>
      <c r="D14151" t="str">
        <v>-</v>
      </c>
      <c r="E14151" t="str">
        <v>-</v>
      </c>
      <c r="F14151" t="str">
        <v>-</v>
      </c>
      <c r="G14151" t="str">
        <v>-</v>
      </c>
    </row>
    <row r="14152">
      <c r="A14152">
        <v>14151</v>
      </c>
      <c r="B14152" t="str">
        <v>Công an huyện Nam Giang  tỉnh Quảng Nam</v>
      </c>
      <c r="C14152" t="str">
        <v>-</v>
      </c>
      <c r="D14152" t="str">
        <v>-</v>
      </c>
      <c r="E14152" t="str">
        <v/>
      </c>
      <c r="F14152" t="str">
        <v>-</v>
      </c>
      <c r="G14152" t="str">
        <v>-</v>
      </c>
    </row>
    <row r="14153">
      <c r="A14153">
        <v>14152</v>
      </c>
      <c r="B14153" t="str">
        <v>UBND Ủy ban nhân dân huyện Nam Giang  tỉnh Quảng Nam</v>
      </c>
      <c r="C14153" t="str">
        <v>-</v>
      </c>
      <c r="D14153" t="str">
        <v>-</v>
      </c>
      <c r="E14153" t="str">
        <v>-</v>
      </c>
      <c r="F14153" t="str">
        <v>-</v>
      </c>
      <c r="G14153" t="str">
        <v>-</v>
      </c>
    </row>
    <row r="14154">
      <c r="A14154">
        <v>14153</v>
      </c>
      <c r="B14154" t="str">
        <v>Công an huyện Phước Sơn  tỉnh Quảng Nam</v>
      </c>
      <c r="C14154" t="str">
        <v>-</v>
      </c>
      <c r="D14154" t="str">
        <v>-</v>
      </c>
      <c r="E14154" t="str">
        <v/>
      </c>
      <c r="F14154" t="str">
        <v>-</v>
      </c>
      <c r="G14154" t="str">
        <v>-</v>
      </c>
    </row>
    <row r="14155">
      <c r="A14155">
        <v>14154</v>
      </c>
      <c r="B14155" t="str">
        <v>UBND Ủy ban nhân dân huyện Phước Sơn  tỉnh Quảng Nam</v>
      </c>
      <c r="C14155" t="str">
        <v>-</v>
      </c>
      <c r="D14155" t="str">
        <v>-</v>
      </c>
      <c r="E14155" t="str">
        <v>-</v>
      </c>
      <c r="F14155" t="str">
        <v>-</v>
      </c>
      <c r="G14155" t="str">
        <v>-</v>
      </c>
    </row>
    <row r="14156">
      <c r="A14156">
        <v>14155</v>
      </c>
      <c r="B14156" t="str">
        <v>Công an huyện Hiệp Đức  tỉnh Quảng Nam</v>
      </c>
      <c r="C14156" t="str">
        <v>-</v>
      </c>
      <c r="D14156" t="str">
        <v>-</v>
      </c>
      <c r="E14156" t="str">
        <v/>
      </c>
      <c r="F14156" t="str">
        <v>-</v>
      </c>
      <c r="G14156" t="str">
        <v>-</v>
      </c>
    </row>
    <row r="14157">
      <c r="A14157">
        <v>14156</v>
      </c>
      <c r="B14157" t="str">
        <v>UBND Ủy ban nhân dân huyện Hiệp Đức  tỉnh Quảng Nam</v>
      </c>
      <c r="C14157" t="str">
        <v>-</v>
      </c>
      <c r="D14157" t="str">
        <v>-</v>
      </c>
      <c r="E14157" t="str">
        <v>-</v>
      </c>
      <c r="F14157" t="str">
        <v>-</v>
      </c>
      <c r="G14157" t="str">
        <v>-</v>
      </c>
    </row>
    <row r="14158">
      <c r="A14158">
        <v>14157</v>
      </c>
      <c r="B14158" t="str">
        <v>Công an huyện Thăng Bình  tỉnh Quảng Nam</v>
      </c>
      <c r="C14158" t="str">
        <v>-</v>
      </c>
      <c r="D14158" t="str">
        <v>-</v>
      </c>
      <c r="E14158" t="str">
        <v/>
      </c>
      <c r="F14158" t="str">
        <v>-</v>
      </c>
      <c r="G14158" t="str">
        <v>-</v>
      </c>
    </row>
    <row r="14159">
      <c r="A14159">
        <v>14158</v>
      </c>
      <c r="B14159" t="str">
        <v>UBND Ủy ban nhân dân huyện Thăng Bình  tỉnh Quảng Nam</v>
      </c>
      <c r="C14159" t="str">
        <v>-</v>
      </c>
      <c r="D14159" t="str">
        <v>-</v>
      </c>
      <c r="E14159" t="str">
        <v>-</v>
      </c>
      <c r="F14159" t="str">
        <v>-</v>
      </c>
      <c r="G14159" t="str">
        <v>-</v>
      </c>
    </row>
    <row r="14160">
      <c r="A14160">
        <v>14159</v>
      </c>
      <c r="B14160" t="str">
        <v>Công an huyện Tiên Phước  tỉnh Quảng Nam</v>
      </c>
      <c r="C14160" t="str">
        <v>-</v>
      </c>
      <c r="D14160" t="str">
        <v>-</v>
      </c>
      <c r="E14160" t="str">
        <v/>
      </c>
      <c r="F14160" t="str">
        <v>-</v>
      </c>
      <c r="G14160" t="str">
        <v>-</v>
      </c>
    </row>
    <row r="14161">
      <c r="A14161">
        <v>14160</v>
      </c>
      <c r="B14161" t="str">
        <v>UBND Ủy ban nhân dân huyện Tiên Phước  tỉnh Quảng Nam</v>
      </c>
      <c r="C14161" t="str">
        <v>-</v>
      </c>
      <c r="D14161" t="str">
        <v>-</v>
      </c>
      <c r="E14161" t="str">
        <v>-</v>
      </c>
      <c r="F14161" t="str">
        <v>-</v>
      </c>
      <c r="G14161" t="str">
        <v>-</v>
      </c>
    </row>
    <row r="14162">
      <c r="A14162">
        <v>14161</v>
      </c>
      <c r="B14162" t="str">
        <v>Công an huyện Bắc Trà My  tỉnh Quảng Nam</v>
      </c>
      <c r="C14162" t="str">
        <v>-</v>
      </c>
      <c r="D14162" t="str">
        <v>-</v>
      </c>
      <c r="E14162" t="str">
        <v/>
      </c>
      <c r="F14162" t="str">
        <v>-</v>
      </c>
      <c r="G14162" t="str">
        <v>-</v>
      </c>
    </row>
    <row r="14163">
      <c r="A14163">
        <v>14162</v>
      </c>
      <c r="B14163" t="str">
        <v>UBND Ủy ban nhân dân huyện Bắc Trà My  tỉnh Quảng Nam</v>
      </c>
      <c r="C14163" t="str">
        <v>-</v>
      </c>
      <c r="D14163" t="str">
        <v>-</v>
      </c>
      <c r="E14163" t="str">
        <v>-</v>
      </c>
      <c r="F14163" t="str">
        <v>-</v>
      </c>
      <c r="G14163" t="str">
        <v>-</v>
      </c>
    </row>
    <row r="14164">
      <c r="A14164">
        <v>14163</v>
      </c>
      <c r="B14164" t="str">
        <v>Công an huyện Nam Trà My  tỉnh Quảng Nam</v>
      </c>
      <c r="C14164" t="str">
        <v>-</v>
      </c>
      <c r="D14164" t="str">
        <v>-</v>
      </c>
      <c r="E14164" t="str">
        <v/>
      </c>
      <c r="F14164" t="str">
        <v>-</v>
      </c>
      <c r="G14164" t="str">
        <v>-</v>
      </c>
    </row>
    <row r="14165">
      <c r="A14165">
        <v>14164</v>
      </c>
      <c r="B14165" t="str">
        <v>UBND Ủy ban nhân dân huyện Nam Trà My  tỉnh Quảng Nam</v>
      </c>
      <c r="C14165" t="str">
        <v>-</v>
      </c>
      <c r="D14165" t="str">
        <v>-</v>
      </c>
      <c r="E14165" t="str">
        <v>-</v>
      </c>
      <c r="F14165" t="str">
        <v>-</v>
      </c>
      <c r="G14165" t="str">
        <v>-</v>
      </c>
    </row>
    <row r="14166">
      <c r="A14166">
        <v>14165</v>
      </c>
      <c r="B14166" t="str">
        <v>Công an huyện Núi Thành  tỉnh Quảng Nam</v>
      </c>
      <c r="C14166" t="str">
        <v>-</v>
      </c>
      <c r="D14166" t="str">
        <v>-</v>
      </c>
      <c r="E14166" t="str">
        <v/>
      </c>
      <c r="F14166" t="str">
        <v>-</v>
      </c>
      <c r="G14166" t="str">
        <v>-</v>
      </c>
    </row>
    <row r="14167">
      <c r="A14167">
        <v>14166</v>
      </c>
      <c r="B14167" t="str">
        <v>UBND Ủy ban nhân dân huyện Núi Thành  tỉnh Quảng Nam</v>
      </c>
      <c r="C14167" t="str">
        <v>-</v>
      </c>
      <c r="D14167" t="str">
        <v>-</v>
      </c>
      <c r="E14167" t="str">
        <v>-</v>
      </c>
      <c r="F14167" t="str">
        <v>-</v>
      </c>
      <c r="G14167" t="str">
        <v>-</v>
      </c>
    </row>
    <row r="14168">
      <c r="A14168">
        <v>14167</v>
      </c>
      <c r="B14168" t="str">
        <v>Công an huyện Phú Ninh  tỉnh Quảng Nam</v>
      </c>
      <c r="C14168" t="str">
        <v>-</v>
      </c>
      <c r="D14168" t="str">
        <v>-</v>
      </c>
      <c r="E14168" t="str">
        <v/>
      </c>
      <c r="F14168" t="str">
        <v>-</v>
      </c>
      <c r="G14168" t="str">
        <v>-</v>
      </c>
    </row>
    <row r="14169">
      <c r="A14169">
        <v>14168</v>
      </c>
      <c r="B14169" t="str">
        <v>UBND Ủy ban nhân dân huyện Phú Ninh  tỉnh Quảng Nam</v>
      </c>
      <c r="C14169" t="str">
        <v>-</v>
      </c>
      <c r="D14169" t="str">
        <v>-</v>
      </c>
      <c r="E14169" t="str">
        <v>-</v>
      </c>
      <c r="F14169" t="str">
        <v>-</v>
      </c>
      <c r="G14169" t="str">
        <v>-</v>
      </c>
    </row>
    <row r="14170">
      <c r="A14170">
        <v>14169</v>
      </c>
      <c r="B14170" t="str">
        <v>Công an huyện Nông Sơn  tỉnh Quảng Nam</v>
      </c>
      <c r="C14170" t="str">
        <v>-</v>
      </c>
      <c r="D14170" t="str">
        <v>-</v>
      </c>
      <c r="E14170" t="str">
        <v/>
      </c>
      <c r="F14170" t="str">
        <v>-</v>
      </c>
      <c r="G14170" t="str">
        <v>-</v>
      </c>
    </row>
    <row r="14171">
      <c r="A14171">
        <v>14170</v>
      </c>
      <c r="B14171" t="str">
        <v>UBND Ủy ban nhân dân huyện Nông Sơn  tỉnh Quảng Nam</v>
      </c>
      <c r="C14171" t="str">
        <v>-</v>
      </c>
      <c r="D14171" t="str">
        <v>-</v>
      </c>
      <c r="E14171" t="str">
        <v>-</v>
      </c>
      <c r="F14171" t="str">
        <v>-</v>
      </c>
      <c r="G14171" t="str">
        <v>-</v>
      </c>
    </row>
    <row r="14172">
      <c r="A14172">
        <v>14171</v>
      </c>
      <c r="B14172" t="str">
        <v>Công an thành phố Quảng Ngãi  tỉnh Quảng Ngãi</v>
      </c>
      <c r="C14172" t="str">
        <v>-</v>
      </c>
      <c r="D14172" t="str">
        <v>-</v>
      </c>
      <c r="E14172" t="str">
        <v/>
      </c>
      <c r="F14172" t="str">
        <v>-</v>
      </c>
      <c r="G14172" t="str">
        <v>-</v>
      </c>
    </row>
    <row r="14173">
      <c r="A14173">
        <v>14172</v>
      </c>
      <c r="B14173" t="str">
        <v>UBND Ủy ban nhân dân thành phố Quảng Ngãi  tỉnh Quảng Ngãi</v>
      </c>
      <c r="C14173" t="str">
        <v>-</v>
      </c>
      <c r="D14173" t="str">
        <v>-</v>
      </c>
      <c r="E14173" t="str">
        <v>-</v>
      </c>
      <c r="F14173" t="str">
        <v>-</v>
      </c>
      <c r="G14173" t="str">
        <v>-</v>
      </c>
    </row>
    <row r="14174">
      <c r="A14174">
        <v>14173</v>
      </c>
      <c r="B14174" t="str">
        <v>Công an huyện Bình Sơn  tỉnh Quảng Ngãi</v>
      </c>
      <c r="C14174" t="str">
        <v>-</v>
      </c>
      <c r="D14174" t="str">
        <v>-</v>
      </c>
      <c r="E14174" t="str">
        <v/>
      </c>
      <c r="F14174" t="str">
        <v>-</v>
      </c>
      <c r="G14174" t="str">
        <v>-</v>
      </c>
    </row>
    <row r="14175">
      <c r="A14175">
        <v>14174</v>
      </c>
      <c r="B14175" t="str">
        <v>UBND Ủy ban nhân dân huyện Bình Sơn  tỉnh Quảng Ngãi</v>
      </c>
      <c r="C14175" t="str">
        <v>-</v>
      </c>
      <c r="D14175" t="str">
        <v>-</v>
      </c>
      <c r="E14175" t="str">
        <v>-</v>
      </c>
      <c r="F14175" t="str">
        <v>-</v>
      </c>
      <c r="G14175" t="str">
        <v>-</v>
      </c>
    </row>
    <row r="14176">
      <c r="A14176">
        <v>14175</v>
      </c>
      <c r="B14176" t="str">
        <v>Công an huyện Trà Bồng  tỉnh Quảng Ngãi</v>
      </c>
      <c r="C14176" t="str">
        <v>-</v>
      </c>
      <c r="D14176" t="str">
        <v>-</v>
      </c>
      <c r="E14176" t="str">
        <v/>
      </c>
      <c r="F14176" t="str">
        <v>-</v>
      </c>
      <c r="G14176" t="str">
        <v>-</v>
      </c>
    </row>
    <row r="14177">
      <c r="A14177">
        <v>14176</v>
      </c>
      <c r="B14177" t="str">
        <v>UBND Ủy ban nhân dân huyện Trà Bồng  tỉnh Quảng Ngãi</v>
      </c>
      <c r="C14177" t="str">
        <v>-</v>
      </c>
      <c r="D14177" t="str">
        <v>-</v>
      </c>
      <c r="E14177" t="str">
        <v>-</v>
      </c>
      <c r="F14177" t="str">
        <v>-</v>
      </c>
      <c r="G14177" t="str">
        <v>-</v>
      </c>
    </row>
    <row r="14178">
      <c r="A14178">
        <v>14177</v>
      </c>
      <c r="B14178" t="str">
        <v>Công an huyện Tây Trà  tỉnh Quảng Ngãi</v>
      </c>
      <c r="C14178" t="str">
        <v>-</v>
      </c>
      <c r="D14178" t="str">
        <v>-</v>
      </c>
      <c r="E14178" t="str">
        <v/>
      </c>
      <c r="F14178" t="str">
        <v>-</v>
      </c>
      <c r="G14178" t="str">
        <v>-</v>
      </c>
    </row>
    <row r="14179">
      <c r="A14179">
        <v>14178</v>
      </c>
      <c r="B14179" t="str">
        <v>UBND Ủy ban nhân dân huyện Tây Trà  tỉnh Quảng Ngãi</v>
      </c>
      <c r="C14179" t="str">
        <v>-</v>
      </c>
      <c r="D14179" t="str">
        <v>-</v>
      </c>
      <c r="E14179" t="str">
        <v>-</v>
      </c>
      <c r="F14179" t="str">
        <v>-</v>
      </c>
      <c r="G14179" t="str">
        <v>-</v>
      </c>
    </row>
    <row r="14180">
      <c r="A14180">
        <v>14179</v>
      </c>
      <c r="B14180" t="str">
        <v>Công an huyện Sơn Tịnh  tỉnh Quảng Ngãi</v>
      </c>
      <c r="C14180" t="str">
        <v>-</v>
      </c>
      <c r="D14180" t="str">
        <v>-</v>
      </c>
      <c r="E14180" t="str">
        <v/>
      </c>
      <c r="F14180" t="str">
        <v>-</v>
      </c>
      <c r="G14180" t="str">
        <v>-</v>
      </c>
    </row>
    <row r="14181">
      <c r="A14181">
        <v>14180</v>
      </c>
      <c r="B14181" t="str">
        <v>UBND Ủy ban nhân dân huyện Sơn Tịnh  tỉnh Quảng Ngãi</v>
      </c>
      <c r="C14181" t="str">
        <v>-</v>
      </c>
      <c r="D14181" t="str">
        <v>-</v>
      </c>
      <c r="E14181" t="str">
        <v>-</v>
      </c>
      <c r="F14181" t="str">
        <v>-</v>
      </c>
      <c r="G14181" t="str">
        <v>-</v>
      </c>
    </row>
    <row r="14182">
      <c r="A14182">
        <v>14181</v>
      </c>
      <c r="B14182" t="str">
        <v>Công an huyện Tư Nghĩa  tỉnh Quảng Ngãi</v>
      </c>
      <c r="C14182" t="str">
        <v>-</v>
      </c>
      <c r="D14182" t="str">
        <v>-</v>
      </c>
      <c r="E14182" t="str">
        <v/>
      </c>
      <c r="F14182" t="str">
        <v>-</v>
      </c>
      <c r="G14182" t="str">
        <v>-</v>
      </c>
    </row>
    <row r="14183">
      <c r="A14183">
        <v>14182</v>
      </c>
      <c r="B14183" t="str">
        <v>UBND Ủy ban nhân dân huyện Tư Nghĩa  tỉnh Quảng Ngãi</v>
      </c>
      <c r="C14183" t="str">
        <v>-</v>
      </c>
      <c r="D14183" t="str">
        <v>-</v>
      </c>
      <c r="E14183" t="str">
        <v>-</v>
      </c>
      <c r="F14183" t="str">
        <v>-</v>
      </c>
      <c r="G14183" t="str">
        <v>-</v>
      </c>
    </row>
    <row r="14184">
      <c r="A14184">
        <v>14183</v>
      </c>
      <c r="B14184" t="str">
        <v>Công an huyện Sơn Hà  tỉnh Quảng Ngãi</v>
      </c>
      <c r="C14184" t="str">
        <v>-</v>
      </c>
      <c r="D14184" t="str">
        <v>-</v>
      </c>
      <c r="E14184" t="str">
        <v/>
      </c>
      <c r="F14184" t="str">
        <v>-</v>
      </c>
      <c r="G14184" t="str">
        <v>-</v>
      </c>
    </row>
    <row r="14185">
      <c r="A14185">
        <v>14184</v>
      </c>
      <c r="B14185" t="str">
        <v>UBND Ủy ban nhân dân huyện Sơn Hà  tỉnh Quảng Ngãi</v>
      </c>
      <c r="C14185" t="str">
        <v>-</v>
      </c>
      <c r="D14185" t="str">
        <v>-</v>
      </c>
      <c r="E14185" t="str">
        <v>-</v>
      </c>
      <c r="F14185" t="str">
        <v>-</v>
      </c>
      <c r="G14185" t="str">
        <v>-</v>
      </c>
    </row>
    <row r="14186">
      <c r="A14186">
        <v>14185</v>
      </c>
      <c r="B14186" t="str">
        <v>Công an huyện Sơn Tây  tỉnh Quảng Ngãi</v>
      </c>
      <c r="C14186" t="str">
        <v>-</v>
      </c>
      <c r="D14186" t="str">
        <v>-</v>
      </c>
      <c r="E14186" t="str">
        <v/>
      </c>
      <c r="F14186" t="str">
        <v>-</v>
      </c>
      <c r="G14186" t="str">
        <v>-</v>
      </c>
    </row>
    <row r="14187">
      <c r="A14187">
        <v>14186</v>
      </c>
      <c r="B14187" t="str">
        <v>UBND Ủy ban nhân dân huyện Sơn Tây  tỉnh Quảng Ngãi</v>
      </c>
      <c r="C14187" t="str">
        <v>-</v>
      </c>
      <c r="D14187" t="str">
        <v>-</v>
      </c>
      <c r="E14187" t="str">
        <v>-</v>
      </c>
      <c r="F14187" t="str">
        <v>-</v>
      </c>
      <c r="G14187" t="str">
        <v>-</v>
      </c>
    </row>
    <row r="14188">
      <c r="A14188">
        <v>14187</v>
      </c>
      <c r="B14188" t="str">
        <v>Công an huyện Minh Long  tỉnh Quảng Ngãi</v>
      </c>
      <c r="C14188" t="str">
        <v>-</v>
      </c>
      <c r="D14188" t="str">
        <v>-</v>
      </c>
      <c r="E14188" t="str">
        <v/>
      </c>
      <c r="F14188" t="str">
        <v>-</v>
      </c>
      <c r="G14188" t="str">
        <v>-</v>
      </c>
    </row>
    <row r="14189">
      <c r="A14189">
        <v>14188</v>
      </c>
      <c r="B14189" t="str">
        <v>UBND Ủy ban nhân dân huyện Minh Long  tỉnh Quảng Ngãi</v>
      </c>
      <c r="C14189" t="str">
        <v>-</v>
      </c>
      <c r="D14189" t="str">
        <v>-</v>
      </c>
      <c r="E14189" t="str">
        <v>-</v>
      </c>
      <c r="F14189" t="str">
        <v>-</v>
      </c>
      <c r="G14189" t="str">
        <v>-</v>
      </c>
    </row>
    <row r="14190">
      <c r="A14190">
        <v>14189</v>
      </c>
      <c r="B14190" t="str">
        <v>Công an huyện Nghĩa Hành  tỉnh Quảng Ngãi</v>
      </c>
      <c r="C14190" t="str">
        <v>-</v>
      </c>
      <c r="D14190" t="str">
        <v>-</v>
      </c>
      <c r="E14190" t="str">
        <v/>
      </c>
      <c r="F14190" t="str">
        <v>-</v>
      </c>
      <c r="G14190" t="str">
        <v>-</v>
      </c>
    </row>
    <row r="14191">
      <c r="A14191">
        <v>14190</v>
      </c>
      <c r="B14191" t="str">
        <v>UBND Ủy ban nhân dân huyện Nghĩa Hành  tỉnh Quảng Ngãi</v>
      </c>
      <c r="C14191" t="str">
        <v>-</v>
      </c>
      <c r="D14191" t="str">
        <v>-</v>
      </c>
      <c r="E14191" t="str">
        <v>-</v>
      </c>
      <c r="F14191" t="str">
        <v>-</v>
      </c>
      <c r="G14191" t="str">
        <v>-</v>
      </c>
    </row>
    <row r="14192">
      <c r="A14192">
        <v>14191</v>
      </c>
      <c r="B14192" t="str">
        <v>Công an huyện Mộ Đức  tỉnh Quảng Ngãi</v>
      </c>
      <c r="C14192" t="str">
        <v>-</v>
      </c>
      <c r="D14192" t="str">
        <v>-</v>
      </c>
      <c r="E14192" t="str">
        <v/>
      </c>
      <c r="F14192" t="str">
        <v>-</v>
      </c>
      <c r="G14192" t="str">
        <v>-</v>
      </c>
    </row>
    <row r="14193">
      <c r="A14193">
        <v>14192</v>
      </c>
      <c r="B14193" t="str">
        <v>UBND Ủy ban nhân dân huyện Mộ Đức  tỉnh Quảng Ngãi</v>
      </c>
      <c r="C14193" t="str">
        <v>-</v>
      </c>
      <c r="D14193" t="str">
        <v>-</v>
      </c>
      <c r="E14193" t="str">
        <v>-</v>
      </c>
      <c r="F14193" t="str">
        <v>-</v>
      </c>
      <c r="G14193" t="str">
        <v>-</v>
      </c>
    </row>
    <row r="14194">
      <c r="A14194">
        <v>14193</v>
      </c>
      <c r="B14194" t="str">
        <v>Công an huyện Đức Phổ  tỉnh Quảng Ngãi</v>
      </c>
      <c r="C14194" t="str">
        <v>-</v>
      </c>
      <c r="D14194" t="str">
        <v>-</v>
      </c>
      <c r="E14194" t="str">
        <v/>
      </c>
      <c r="F14194" t="str">
        <v>-</v>
      </c>
      <c r="G14194" t="str">
        <v>-</v>
      </c>
    </row>
    <row r="14195">
      <c r="A14195">
        <v>14194</v>
      </c>
      <c r="B14195" t="str">
        <v>UBND Ủy ban nhân dân huyện Đức Phổ  tỉnh Quảng Ngãi</v>
      </c>
      <c r="C14195" t="str">
        <v>-</v>
      </c>
      <c r="D14195" t="str">
        <v>-</v>
      </c>
      <c r="E14195" t="str">
        <v>-</v>
      </c>
      <c r="F14195" t="str">
        <v>-</v>
      </c>
      <c r="G14195" t="str">
        <v>-</v>
      </c>
    </row>
    <row r="14196">
      <c r="A14196">
        <v>14195</v>
      </c>
      <c r="B14196" t="str">
        <v>Công an huyện Ba Tơ  tỉnh Quảng Ngãi</v>
      </c>
      <c r="C14196" t="str">
        <v>-</v>
      </c>
      <c r="D14196" t="str">
        <v>-</v>
      </c>
      <c r="E14196" t="str">
        <v/>
      </c>
      <c r="F14196" t="str">
        <v>-</v>
      </c>
      <c r="G14196" t="str">
        <v>-</v>
      </c>
    </row>
    <row r="14197">
      <c r="A14197">
        <v>14196</v>
      </c>
      <c r="B14197" t="str">
        <v>UBND Ủy ban nhân dân huyện Ba Tơ  tỉnh Quảng Ngãi</v>
      </c>
      <c r="C14197" t="str">
        <v>-</v>
      </c>
      <c r="D14197" t="str">
        <v>-</v>
      </c>
      <c r="E14197" t="str">
        <v>-</v>
      </c>
      <c r="F14197" t="str">
        <v>-</v>
      </c>
      <c r="G14197" t="str">
        <v>-</v>
      </c>
    </row>
    <row r="14198">
      <c r="A14198">
        <v>14197</v>
      </c>
      <c r="B14198" t="str">
        <v>Công an huyện Lý Sơn  tỉnh Quảng Ngãi</v>
      </c>
      <c r="C14198" t="str">
        <v>-</v>
      </c>
      <c r="D14198" t="str">
        <v>-</v>
      </c>
      <c r="E14198" t="str">
        <v/>
      </c>
      <c r="F14198" t="str">
        <v>-</v>
      </c>
      <c r="G14198" t="str">
        <v>-</v>
      </c>
    </row>
    <row r="14199">
      <c r="A14199">
        <v>14198</v>
      </c>
      <c r="B14199" t="str">
        <v>UBND Ủy ban nhân dân huyện Lý Sơn  tỉnh Quảng Ngãi</v>
      </c>
      <c r="C14199" t="str">
        <v>-</v>
      </c>
      <c r="D14199" t="str">
        <v>-</v>
      </c>
      <c r="E14199" t="str">
        <v>-</v>
      </c>
      <c r="F14199" t="str">
        <v>-</v>
      </c>
      <c r="G14199" t="str">
        <v>-</v>
      </c>
    </row>
    <row r="14200">
      <c r="A14200">
        <v>14199</v>
      </c>
      <c r="B14200" t="str">
        <v>Công an thành phố Qui Nhơn  tỉnh Bình Định</v>
      </c>
      <c r="C14200" t="str">
        <v>-</v>
      </c>
      <c r="D14200" t="str">
        <v>-</v>
      </c>
      <c r="E14200" t="str">
        <v/>
      </c>
      <c r="F14200" t="str">
        <v>-</v>
      </c>
      <c r="G14200" t="str">
        <v>-</v>
      </c>
    </row>
    <row r="14201">
      <c r="A14201">
        <v>14200</v>
      </c>
      <c r="B14201" t="str">
        <v>UBND Ủy ban nhân dân thành phố Qui Nhơn  tỉnh Bình Định</v>
      </c>
      <c r="C14201" t="str">
        <v>-</v>
      </c>
      <c r="D14201" t="str">
        <v>-</v>
      </c>
      <c r="E14201" t="str">
        <v>-</v>
      </c>
      <c r="F14201" t="str">
        <v>-</v>
      </c>
      <c r="G14201" t="str">
        <v>-</v>
      </c>
    </row>
    <row r="14202">
      <c r="A14202">
        <v>14201</v>
      </c>
      <c r="B14202" t="str">
        <v>Công an huyện An Lão  tỉnh Bình Định</v>
      </c>
      <c r="C14202" t="str">
        <v>-</v>
      </c>
      <c r="D14202" t="str">
        <v>-</v>
      </c>
      <c r="E14202" t="str">
        <v/>
      </c>
      <c r="F14202" t="str">
        <v>-</v>
      </c>
      <c r="G14202" t="str">
        <v>-</v>
      </c>
    </row>
    <row r="14203">
      <c r="A14203">
        <v>14202</v>
      </c>
      <c r="B14203" t="str">
        <v>UBND Ủy ban nhân dân huyện An Lão  tỉnh Bình Định</v>
      </c>
      <c r="C14203" t="str">
        <v>-</v>
      </c>
      <c r="D14203" t="str">
        <v>-</v>
      </c>
      <c r="E14203" t="str">
        <v>-</v>
      </c>
      <c r="F14203" t="str">
        <v>-</v>
      </c>
      <c r="G14203" t="str">
        <v>-</v>
      </c>
    </row>
    <row r="14204">
      <c r="A14204">
        <v>14203</v>
      </c>
      <c r="B14204" t="str">
        <v>Công an huyện Hoài Nhơn  tỉnh Bình Định</v>
      </c>
      <c r="C14204" t="str">
        <v>-</v>
      </c>
      <c r="D14204" t="str">
        <v>-</v>
      </c>
      <c r="E14204" t="str">
        <v/>
      </c>
      <c r="F14204" t="str">
        <v>-</v>
      </c>
      <c r="G14204" t="str">
        <v>-</v>
      </c>
    </row>
    <row r="14205">
      <c r="A14205">
        <v>14204</v>
      </c>
      <c r="B14205" t="str">
        <v>UBND Ủy ban nhân dân huyện Hoài Nhơn  tỉnh Bình Định</v>
      </c>
      <c r="C14205" t="str">
        <v>-</v>
      </c>
      <c r="D14205" t="str">
        <v>-</v>
      </c>
      <c r="E14205" t="str">
        <v>-</v>
      </c>
      <c r="F14205" t="str">
        <v>-</v>
      </c>
      <c r="G14205" t="str">
        <v>-</v>
      </c>
    </row>
    <row r="14206">
      <c r="A14206">
        <v>14205</v>
      </c>
      <c r="B14206" t="str">
        <v>Công an huyện Hoài Ân  tỉnh Bình Định</v>
      </c>
      <c r="C14206" t="str">
        <v>-</v>
      </c>
      <c r="D14206" t="str">
        <v>-</v>
      </c>
      <c r="E14206" t="str">
        <v/>
      </c>
      <c r="F14206" t="str">
        <v>-</v>
      </c>
      <c r="G14206" t="str">
        <v>-</v>
      </c>
    </row>
    <row r="14207">
      <c r="A14207">
        <v>14206</v>
      </c>
      <c r="B14207" t="str">
        <v>UBND Ủy ban nhân dân huyện Hoài Ân  tỉnh Bình Định</v>
      </c>
      <c r="C14207" t="str">
        <v>-</v>
      </c>
      <c r="D14207" t="str">
        <v>-</v>
      </c>
      <c r="E14207" t="str">
        <v>-</v>
      </c>
      <c r="F14207" t="str">
        <v>-</v>
      </c>
      <c r="G14207" t="str">
        <v>-</v>
      </c>
    </row>
    <row r="14208">
      <c r="A14208">
        <v>14207</v>
      </c>
      <c r="B14208" t="str">
        <v>Công an huyện Phù Mỹ  tỉnh Bình Định</v>
      </c>
      <c r="C14208" t="str">
        <v>-</v>
      </c>
      <c r="D14208" t="str">
        <v>-</v>
      </c>
      <c r="E14208" t="str">
        <v/>
      </c>
      <c r="F14208" t="str">
        <v>-</v>
      </c>
      <c r="G14208" t="str">
        <v>-</v>
      </c>
    </row>
    <row r="14209">
      <c r="A14209">
        <v>14208</v>
      </c>
      <c r="B14209" t="str">
        <v>UBND Ủy ban nhân dân huyện Phù Mỹ  tỉnh Bình Định</v>
      </c>
      <c r="C14209" t="str">
        <v>-</v>
      </c>
      <c r="D14209" t="str">
        <v>-</v>
      </c>
      <c r="E14209" t="str">
        <v>-</v>
      </c>
      <c r="F14209" t="str">
        <v>-</v>
      </c>
      <c r="G14209" t="str">
        <v>-</v>
      </c>
    </row>
    <row r="14210">
      <c r="A14210">
        <v>14209</v>
      </c>
      <c r="B14210" t="str">
        <v>Công an huyện Vĩnh Thạnh  tỉnh Bình Định</v>
      </c>
      <c r="C14210" t="str">
        <v>-</v>
      </c>
      <c r="D14210" t="str">
        <v>-</v>
      </c>
      <c r="E14210" t="str">
        <v/>
      </c>
      <c r="F14210" t="str">
        <v>-</v>
      </c>
      <c r="G14210" t="str">
        <v>-</v>
      </c>
    </row>
    <row r="14211">
      <c r="A14211">
        <v>14210</v>
      </c>
      <c r="B14211" t="str">
        <v>UBND Ủy ban nhân dân huyện Vĩnh Thạnh  tỉnh Bình Định</v>
      </c>
      <c r="C14211" t="str">
        <v>-</v>
      </c>
      <c r="D14211" t="str">
        <v>-</v>
      </c>
      <c r="E14211" t="str">
        <v>-</v>
      </c>
      <c r="F14211" t="str">
        <v>-</v>
      </c>
      <c r="G14211" t="str">
        <v>-</v>
      </c>
    </row>
    <row r="14212">
      <c r="A14212">
        <v>14211</v>
      </c>
      <c r="B14212" t="str">
        <v>Công an huyện Tây Sơn  tỉnh Bình Định</v>
      </c>
      <c r="C14212" t="str">
        <v>-</v>
      </c>
      <c r="D14212" t="str">
        <v>-</v>
      </c>
      <c r="E14212" t="str">
        <v/>
      </c>
      <c r="F14212" t="str">
        <v>-</v>
      </c>
      <c r="G14212" t="str">
        <v>-</v>
      </c>
    </row>
    <row r="14213">
      <c r="A14213">
        <v>14212</v>
      </c>
      <c r="B14213" t="str">
        <v>UBND Ủy ban nhân dân huyện Tây Sơn  tỉnh Bình Định</v>
      </c>
      <c r="C14213" t="str">
        <v>-</v>
      </c>
      <c r="D14213" t="str">
        <v>-</v>
      </c>
      <c r="E14213" t="str">
        <v>-</v>
      </c>
      <c r="F14213" t="str">
        <v>-</v>
      </c>
      <c r="G14213" t="str">
        <v>-</v>
      </c>
    </row>
    <row r="14214">
      <c r="A14214">
        <v>14213</v>
      </c>
      <c r="B14214" t="str">
        <v>Công an huyện Phù Cát  tỉnh Bình Định</v>
      </c>
      <c r="C14214" t="str">
        <v>-</v>
      </c>
      <c r="D14214" t="str">
        <v>-</v>
      </c>
      <c r="E14214" t="str">
        <v/>
      </c>
      <c r="F14214" t="str">
        <v>-</v>
      </c>
      <c r="G14214" t="str">
        <v>-</v>
      </c>
    </row>
    <row r="14215">
      <c r="A14215">
        <v>14214</v>
      </c>
      <c r="B14215" t="str">
        <v>UBND Ủy ban nhân dân huyện Phù Cát  tỉnh Bình Định</v>
      </c>
      <c r="C14215" t="str">
        <v>-</v>
      </c>
      <c r="D14215" t="str">
        <v>-</v>
      </c>
      <c r="E14215" t="str">
        <v>-</v>
      </c>
      <c r="F14215" t="str">
        <v>-</v>
      </c>
      <c r="G14215" t="str">
        <v>-</v>
      </c>
    </row>
    <row r="14216">
      <c r="A14216">
        <v>14215</v>
      </c>
      <c r="B14216" t="str">
        <v>Công an huyện Tuy Phước  tỉnh Bình Định</v>
      </c>
      <c r="C14216" t="str">
        <v>-</v>
      </c>
      <c r="D14216" t="str">
        <v>-</v>
      </c>
      <c r="E14216" t="str">
        <v/>
      </c>
      <c r="F14216" t="str">
        <v>-</v>
      </c>
      <c r="G14216" t="str">
        <v>-</v>
      </c>
    </row>
    <row r="14217">
      <c r="A14217">
        <v>14216</v>
      </c>
      <c r="B14217" t="str">
        <v>UBND Ủy ban nhân dân huyện Tuy Phước  tỉnh Bình Định</v>
      </c>
      <c r="C14217" t="str">
        <v>-</v>
      </c>
      <c r="D14217" t="str">
        <v>-</v>
      </c>
      <c r="E14217" t="str">
        <v>-</v>
      </c>
      <c r="F14217" t="str">
        <v>-</v>
      </c>
      <c r="G14217" t="str">
        <v>-</v>
      </c>
    </row>
    <row r="14218">
      <c r="A14218">
        <v>14217</v>
      </c>
      <c r="B14218" t="str">
        <v>Công an huyện Vân Canh  tỉnh Bình Định</v>
      </c>
      <c r="C14218" t="str">
        <v>-</v>
      </c>
      <c r="D14218" t="str">
        <v>-</v>
      </c>
      <c r="E14218" t="str">
        <v/>
      </c>
      <c r="F14218" t="str">
        <v>-</v>
      </c>
      <c r="G14218" t="str">
        <v>-</v>
      </c>
    </row>
    <row r="14219">
      <c r="A14219">
        <v>14218</v>
      </c>
      <c r="B14219" t="str">
        <v>UBND Ủy ban nhân dân huyện Vân Canh  tỉnh Bình Định</v>
      </c>
      <c r="C14219" t="str">
        <v>-</v>
      </c>
      <c r="D14219" t="str">
        <v>-</v>
      </c>
      <c r="E14219" t="str">
        <v>-</v>
      </c>
      <c r="F14219" t="str">
        <v>-</v>
      </c>
      <c r="G14219" t="str">
        <v>-</v>
      </c>
    </row>
    <row r="14220">
      <c r="A14220">
        <v>14219</v>
      </c>
      <c r="B14220" t="str">
        <v>Công an thành phố Tuy Hoà  tỉnh Phú Yên</v>
      </c>
      <c r="C14220" t="str">
        <v>-</v>
      </c>
      <c r="D14220" t="str">
        <v>-</v>
      </c>
      <c r="E14220" t="str">
        <v/>
      </c>
      <c r="F14220" t="str">
        <v>-</v>
      </c>
      <c r="G14220" t="str">
        <v>-</v>
      </c>
    </row>
    <row r="14221">
      <c r="A14221">
        <v>14220</v>
      </c>
      <c r="B14221" t="str">
        <v>UBND Ủy ban nhân dân thành phố Tuy Hoà  tỉnh Phú Yên</v>
      </c>
      <c r="C14221" t="str">
        <v>-</v>
      </c>
      <c r="D14221" t="str">
        <v>-</v>
      </c>
      <c r="E14221" t="str">
        <v>-</v>
      </c>
      <c r="F14221" t="str">
        <v>-</v>
      </c>
      <c r="G14221" t="str">
        <v>-</v>
      </c>
    </row>
    <row r="14222">
      <c r="A14222">
        <v>14221</v>
      </c>
      <c r="B14222" t="str">
        <v>Công an huyện Đồng Xuân  tỉnh Phú Yên</v>
      </c>
      <c r="C14222" t="str">
        <v>-</v>
      </c>
      <c r="D14222" t="str">
        <v>-</v>
      </c>
      <c r="E14222" t="str">
        <v/>
      </c>
      <c r="F14222" t="str">
        <v>-</v>
      </c>
      <c r="G14222" t="str">
        <v>-</v>
      </c>
    </row>
    <row r="14223">
      <c r="A14223">
        <v>14222</v>
      </c>
      <c r="B14223" t="str">
        <v>UBND Ủy ban nhân dân huyện Đồng Xuân  tỉnh Phú Yên</v>
      </c>
      <c r="C14223" t="str">
        <v>-</v>
      </c>
      <c r="D14223" t="str">
        <v>-</v>
      </c>
      <c r="E14223" t="str">
        <v>-</v>
      </c>
      <c r="F14223" t="str">
        <v>-</v>
      </c>
      <c r="G14223" t="str">
        <v>-</v>
      </c>
    </row>
    <row r="14224">
      <c r="A14224">
        <v>14223</v>
      </c>
      <c r="B14224" t="str">
        <v>Công an huyện Tuy An  tỉnh Phú Yên</v>
      </c>
      <c r="C14224" t="str">
        <v>-</v>
      </c>
      <c r="D14224" t="str">
        <v>-</v>
      </c>
      <c r="E14224" t="str">
        <v/>
      </c>
      <c r="F14224" t="str">
        <v>-</v>
      </c>
      <c r="G14224" t="str">
        <v>-</v>
      </c>
    </row>
    <row r="14225">
      <c r="A14225">
        <v>14224</v>
      </c>
      <c r="B14225" t="str">
        <v>UBND Ủy ban nhân dân huyện Tuy An  tỉnh Phú Yên</v>
      </c>
      <c r="C14225" t="str">
        <v>-</v>
      </c>
      <c r="D14225" t="str">
        <v>-</v>
      </c>
      <c r="E14225" t="str">
        <v>-</v>
      </c>
      <c r="F14225" t="str">
        <v>-</v>
      </c>
      <c r="G14225" t="str">
        <v>-</v>
      </c>
    </row>
    <row r="14226">
      <c r="A14226">
        <v>14225</v>
      </c>
      <c r="B14226" t="str">
        <v>Công an huyện Sơn Hòa  tỉnh Phú Yên</v>
      </c>
      <c r="C14226" t="str">
        <v>-</v>
      </c>
      <c r="D14226" t="str">
        <v>-</v>
      </c>
      <c r="E14226" t="str">
        <v/>
      </c>
      <c r="F14226" t="str">
        <v>-</v>
      </c>
      <c r="G14226" t="str">
        <v>-</v>
      </c>
    </row>
    <row r="14227">
      <c r="A14227">
        <v>14226</v>
      </c>
      <c r="B14227" t="str">
        <v>UBND Ủy ban nhân dân huyện Sơn Hòa  tỉnh Phú Yên</v>
      </c>
      <c r="C14227" t="str">
        <v>-</v>
      </c>
      <c r="D14227" t="str">
        <v>-</v>
      </c>
      <c r="E14227" t="str">
        <v>-</v>
      </c>
      <c r="F14227" t="str">
        <v>-</v>
      </c>
      <c r="G14227" t="str">
        <v>-</v>
      </c>
    </row>
    <row r="14228">
      <c r="A14228">
        <v>14227</v>
      </c>
      <c r="B14228" t="str">
        <v>Công an huyện Sông Hinh  tỉnh Phú Yên</v>
      </c>
      <c r="C14228" t="str">
        <v>-</v>
      </c>
      <c r="D14228" t="str">
        <v>-</v>
      </c>
      <c r="E14228" t="str">
        <v/>
      </c>
      <c r="F14228" t="str">
        <v>-</v>
      </c>
      <c r="G14228" t="str">
        <v>-</v>
      </c>
    </row>
    <row r="14229">
      <c r="A14229">
        <v>14228</v>
      </c>
      <c r="B14229" t="str">
        <v>UBND Ủy ban nhân dân huyện Sông Hinh  tỉnh Phú Yên</v>
      </c>
      <c r="C14229" t="str">
        <v>-</v>
      </c>
      <c r="D14229" t="str">
        <v>-</v>
      </c>
      <c r="E14229" t="str">
        <v>-</v>
      </c>
      <c r="F14229" t="str">
        <v>-</v>
      </c>
      <c r="G14229" t="str">
        <v>-</v>
      </c>
    </row>
    <row r="14230">
      <c r="A14230">
        <v>14229</v>
      </c>
      <c r="B14230" t="str">
        <v>Công an huyện Tây Hoà  tỉnh Phú Yên</v>
      </c>
      <c r="C14230" t="str">
        <v>-</v>
      </c>
      <c r="D14230" t="str">
        <v>-</v>
      </c>
      <c r="E14230" t="str">
        <v/>
      </c>
      <c r="F14230" t="str">
        <v>-</v>
      </c>
      <c r="G14230" t="str">
        <v>-</v>
      </c>
    </row>
    <row r="14231">
      <c r="A14231">
        <v>14230</v>
      </c>
      <c r="B14231" t="str">
        <v>UBND Ủy ban nhân dân huyện Tây Hoà  tỉnh Phú Yên</v>
      </c>
      <c r="C14231" t="str">
        <v>-</v>
      </c>
      <c r="D14231" t="str">
        <v>-</v>
      </c>
      <c r="E14231" t="str">
        <v>-</v>
      </c>
      <c r="F14231" t="str">
        <v>-</v>
      </c>
      <c r="G14231" t="str">
        <v>-</v>
      </c>
    </row>
    <row r="14232">
      <c r="A14232">
        <v>14231</v>
      </c>
      <c r="B14232" t="str">
        <v>Công an huyện Phú Hoà  tỉnh Phú Yên</v>
      </c>
      <c r="C14232" t="str">
        <v>-</v>
      </c>
      <c r="D14232" t="str">
        <v>-</v>
      </c>
      <c r="E14232" t="str">
        <v/>
      </c>
      <c r="F14232" t="str">
        <v>-</v>
      </c>
      <c r="G14232" t="str">
        <v>-</v>
      </c>
    </row>
    <row r="14233">
      <c r="A14233">
        <v>14232</v>
      </c>
      <c r="B14233" t="str">
        <v>UBND Ủy ban nhân dân huyện Phú Hoà  tỉnh Phú Yên</v>
      </c>
      <c r="C14233" t="str">
        <v>-</v>
      </c>
      <c r="D14233" t="str">
        <v>-</v>
      </c>
      <c r="E14233" t="str">
        <v>-</v>
      </c>
      <c r="F14233" t="str">
        <v>-</v>
      </c>
      <c r="G14233" t="str">
        <v>-</v>
      </c>
    </row>
    <row r="14234">
      <c r="A14234">
        <v>14233</v>
      </c>
      <c r="B14234" t="str">
        <v>Công an huyện Đông Hòa  tỉnh Phú Yên</v>
      </c>
      <c r="C14234" t="str">
        <v>-</v>
      </c>
      <c r="D14234" t="str">
        <v>-</v>
      </c>
      <c r="E14234" t="str">
        <v/>
      </c>
      <c r="F14234" t="str">
        <v>-</v>
      </c>
      <c r="G14234" t="str">
        <v>-</v>
      </c>
    </row>
    <row r="14235">
      <c r="A14235">
        <v>14234</v>
      </c>
      <c r="B14235" t="str">
        <v>UBND Ủy ban nhân dân huyện Đông Hòa  tỉnh Phú Yên</v>
      </c>
      <c r="C14235" t="str">
        <v>-</v>
      </c>
      <c r="D14235" t="str">
        <v>-</v>
      </c>
      <c r="E14235" t="str">
        <v>-</v>
      </c>
      <c r="F14235" t="str">
        <v>-</v>
      </c>
      <c r="G14235" t="str">
        <v>-</v>
      </c>
    </row>
    <row r="14236">
      <c r="A14236">
        <v>14235</v>
      </c>
      <c r="B14236" t="str">
        <v>Công an thành phố Nha Trang  tỉnh Khánh Hòa</v>
      </c>
      <c r="C14236" t="str">
        <v>-</v>
      </c>
      <c r="D14236" t="str">
        <v>-</v>
      </c>
      <c r="E14236" t="str">
        <v/>
      </c>
      <c r="F14236" t="str">
        <v>-</v>
      </c>
      <c r="G14236" t="str">
        <v>-</v>
      </c>
    </row>
    <row r="14237">
      <c r="A14237">
        <v>14236</v>
      </c>
      <c r="B14237" t="str">
        <v>UBND Ủy ban nhân dân thành phố Nha Trang  tỉnh Khánh Hòa</v>
      </c>
      <c r="C14237" t="str">
        <v>-</v>
      </c>
      <c r="D14237" t="str">
        <v>-</v>
      </c>
      <c r="E14237" t="str">
        <v>-</v>
      </c>
      <c r="F14237" t="str">
        <v>-</v>
      </c>
      <c r="G14237" t="str">
        <v>-</v>
      </c>
    </row>
    <row r="14238">
      <c r="A14238">
        <v>14237</v>
      </c>
      <c r="B14238" t="str">
        <v>Công an thành phố Cam Ranh  tỉnh Khánh Hòa</v>
      </c>
      <c r="C14238" t="str">
        <v>-</v>
      </c>
      <c r="D14238" t="str">
        <v>-</v>
      </c>
      <c r="E14238" t="str">
        <v/>
      </c>
      <c r="F14238" t="str">
        <v>-</v>
      </c>
      <c r="G14238" t="str">
        <v>-</v>
      </c>
    </row>
    <row r="14239">
      <c r="A14239">
        <v>14238</v>
      </c>
      <c r="B14239" t="str">
        <v>UBND Ủy ban nhân dân thành phố Cam Ranh  tỉnh Khánh Hòa</v>
      </c>
      <c r="C14239" t="str">
        <v>-</v>
      </c>
      <c r="D14239" t="str">
        <v>-</v>
      </c>
      <c r="E14239" t="str">
        <v>-</v>
      </c>
      <c r="F14239" t="str">
        <v>-</v>
      </c>
      <c r="G14239" t="str">
        <v>-</v>
      </c>
    </row>
    <row r="14240">
      <c r="A14240">
        <v>14239</v>
      </c>
      <c r="B14240" t="str">
        <v>Công an huyện Cam Lâm  tỉnh Khánh Hòa</v>
      </c>
      <c r="C14240" t="str">
        <v>-</v>
      </c>
      <c r="D14240" t="str">
        <v>-</v>
      </c>
      <c r="E14240" t="str">
        <v/>
      </c>
      <c r="F14240" t="str">
        <v>-</v>
      </c>
      <c r="G14240" t="str">
        <v>-</v>
      </c>
    </row>
    <row r="14241">
      <c r="A14241">
        <v>14240</v>
      </c>
      <c r="B14241" t="str">
        <v>UBND Ủy ban nhân dân huyện Cam Lâm  tỉnh Khánh Hòa</v>
      </c>
      <c r="C14241" t="str">
        <v>-</v>
      </c>
      <c r="D14241" t="str">
        <v>-</v>
      </c>
      <c r="E14241" t="str">
        <v>-</v>
      </c>
      <c r="F14241" t="str">
        <v>-</v>
      </c>
      <c r="G14241" t="str">
        <v>-</v>
      </c>
    </row>
    <row r="14242">
      <c r="A14242">
        <v>14241</v>
      </c>
      <c r="B14242" t="str">
        <v>Công an huyện Vạn Ninh  tỉnh Khánh Hòa</v>
      </c>
      <c r="C14242" t="str">
        <v>-</v>
      </c>
      <c r="D14242" t="str">
        <v>-</v>
      </c>
      <c r="E14242" t="str">
        <v/>
      </c>
      <c r="F14242" t="str">
        <v>-</v>
      </c>
      <c r="G14242" t="str">
        <v>-</v>
      </c>
    </row>
    <row r="14243">
      <c r="A14243">
        <v>14242</v>
      </c>
      <c r="B14243" t="str">
        <v>UBND Ủy ban nhân dân huyện Vạn Ninh  tỉnh Khánh Hòa</v>
      </c>
      <c r="C14243" t="str">
        <v>-</v>
      </c>
      <c r="D14243" t="str">
        <v>-</v>
      </c>
      <c r="E14243" t="str">
        <v>-</v>
      </c>
      <c r="F14243" t="str">
        <v>-</v>
      </c>
      <c r="G14243" t="str">
        <v>-</v>
      </c>
    </row>
    <row r="14244">
      <c r="A14244">
        <v>14243</v>
      </c>
      <c r="B14244" t="str">
        <v>Công an huyện Khánh Vĩnh  tỉnh Khánh Hòa</v>
      </c>
      <c r="C14244" t="str">
        <v>-</v>
      </c>
      <c r="D14244" t="str">
        <v>-</v>
      </c>
      <c r="E14244" t="str">
        <v/>
      </c>
      <c r="F14244" t="str">
        <v>-</v>
      </c>
      <c r="G14244" t="str">
        <v>-</v>
      </c>
    </row>
    <row r="14245">
      <c r="A14245">
        <v>14244</v>
      </c>
      <c r="B14245" t="str">
        <v>UBND Ủy ban nhân dân huyện Khánh Vĩnh  tỉnh Khánh Hòa</v>
      </c>
      <c r="C14245" t="str">
        <v>-</v>
      </c>
      <c r="D14245" t="str">
        <v>-</v>
      </c>
      <c r="E14245" t="str">
        <v>-</v>
      </c>
      <c r="F14245" t="str">
        <v>-</v>
      </c>
      <c r="G14245" t="str">
        <v>-</v>
      </c>
    </row>
    <row r="14246">
      <c r="A14246">
        <v>14245</v>
      </c>
      <c r="B14246" t="str">
        <v>Công an huyện Diên Khánh  tỉnh Khánh Hòa</v>
      </c>
      <c r="C14246" t="str">
        <v>-</v>
      </c>
      <c r="D14246" t="str">
        <v>-</v>
      </c>
      <c r="E14246" t="str">
        <v/>
      </c>
      <c r="F14246" t="str">
        <v>-</v>
      </c>
      <c r="G14246" t="str">
        <v>-</v>
      </c>
    </row>
    <row r="14247">
      <c r="A14247">
        <v>14246</v>
      </c>
      <c r="B14247" t="str">
        <v>UBND Ủy ban nhân dân huyện Diên Khánh  tỉnh Khánh Hòa</v>
      </c>
      <c r="C14247" t="str">
        <v>-</v>
      </c>
      <c r="D14247" t="str">
        <v>-</v>
      </c>
      <c r="E14247" t="str">
        <v>-</v>
      </c>
      <c r="F14247" t="str">
        <v>-</v>
      </c>
      <c r="G14247" t="str">
        <v>-</v>
      </c>
    </row>
    <row r="14248">
      <c r="A14248">
        <v>14247</v>
      </c>
      <c r="B14248" t="str">
        <v>Công an huyện Khánh Sơn  tỉnh Khánh Hòa</v>
      </c>
      <c r="C14248" t="str">
        <v>-</v>
      </c>
      <c r="D14248" t="str">
        <v>-</v>
      </c>
      <c r="E14248" t="str">
        <v/>
      </c>
      <c r="F14248" t="str">
        <v>-</v>
      </c>
      <c r="G14248" t="str">
        <v>-</v>
      </c>
    </row>
    <row r="14249">
      <c r="A14249">
        <v>14248</v>
      </c>
      <c r="B14249" t="str">
        <v>UBND Ủy ban nhân dân huyện Khánh Sơn  tỉnh Khánh Hòa</v>
      </c>
      <c r="C14249" t="str">
        <v>-</v>
      </c>
      <c r="D14249" t="str">
        <v>-</v>
      </c>
      <c r="E14249" t="str">
        <v>-</v>
      </c>
      <c r="F14249" t="str">
        <v>-</v>
      </c>
      <c r="G14249" t="str">
        <v>-</v>
      </c>
    </row>
    <row r="14250">
      <c r="A14250">
        <v>14249</v>
      </c>
      <c r="B14250" t="str">
        <v>Công an huyện Trường Sa  tỉnh Khánh Hòa</v>
      </c>
      <c r="C14250" t="str">
        <v>-</v>
      </c>
      <c r="D14250" t="str">
        <v>-</v>
      </c>
      <c r="E14250" t="str">
        <v/>
      </c>
      <c r="F14250" t="str">
        <v>-</v>
      </c>
      <c r="G14250" t="str">
        <v>-</v>
      </c>
    </row>
    <row r="14251">
      <c r="A14251">
        <v>14250</v>
      </c>
      <c r="B14251" t="str">
        <v>UBND Ủy ban nhân dân huyện Trường Sa  tỉnh Khánh Hòa</v>
      </c>
      <c r="C14251" t="str">
        <v>-</v>
      </c>
      <c r="D14251" t="str">
        <v>-</v>
      </c>
      <c r="E14251" t="str">
        <v>-</v>
      </c>
      <c r="F14251" t="str">
        <v>-</v>
      </c>
      <c r="G14251" t="str">
        <v>-</v>
      </c>
    </row>
    <row r="14252">
      <c r="A14252">
        <v>14251</v>
      </c>
      <c r="B14252" t="str">
        <v>Công an thành phố Phan Rang tỉnh Ninh Thuận</v>
      </c>
      <c r="C14252" t="str">
        <v>-</v>
      </c>
      <c r="D14252" t="str">
        <v>-</v>
      </c>
      <c r="E14252" t="str">
        <v/>
      </c>
      <c r="F14252" t="str">
        <v>-</v>
      </c>
      <c r="G14252" t="str">
        <v>-</v>
      </c>
    </row>
    <row r="14253">
      <c r="A14253">
        <v>14252</v>
      </c>
      <c r="B14253" t="str">
        <v>UBND Ủy ban nhân dân thành phố Phan Rang tỉnh Ninh Thuận</v>
      </c>
      <c r="C14253" t="str">
        <v>-</v>
      </c>
      <c r="D14253" t="str">
        <v>-</v>
      </c>
      <c r="E14253" t="str">
        <v>-</v>
      </c>
      <c r="F14253" t="str">
        <v>-</v>
      </c>
      <c r="G14253" t="str">
        <v>-</v>
      </c>
    </row>
    <row r="14254">
      <c r="A14254">
        <v>14253</v>
      </c>
      <c r="B14254" t="str">
        <v>Công an huyện Bác Ái  tỉnh Ninh Thuận</v>
      </c>
      <c r="C14254" t="str">
        <v>-</v>
      </c>
      <c r="D14254" t="str">
        <v>-</v>
      </c>
      <c r="E14254" t="str">
        <v/>
      </c>
      <c r="F14254" t="str">
        <v>-</v>
      </c>
      <c r="G14254" t="str">
        <v>-</v>
      </c>
    </row>
    <row r="14255">
      <c r="A14255">
        <v>14254</v>
      </c>
      <c r="B14255" t="str">
        <v>UBND Ủy ban nhân dân huyện Bác Ái  tỉnh Ninh Thuận</v>
      </c>
      <c r="C14255" t="str">
        <v>-</v>
      </c>
      <c r="D14255" t="str">
        <v>-</v>
      </c>
      <c r="E14255" t="str">
        <v>-</v>
      </c>
      <c r="F14255" t="str">
        <v>-</v>
      </c>
      <c r="G14255" t="str">
        <v>-</v>
      </c>
    </row>
    <row r="14256">
      <c r="A14256">
        <v>14255</v>
      </c>
      <c r="B14256" t="str">
        <v>Công an huyện Ninh Sơn  tỉnh Ninh Thuận</v>
      </c>
      <c r="C14256" t="str">
        <v>-</v>
      </c>
      <c r="D14256" t="str">
        <v>-</v>
      </c>
      <c r="E14256" t="str">
        <v/>
      </c>
      <c r="F14256" t="str">
        <v>-</v>
      </c>
      <c r="G14256" t="str">
        <v>-</v>
      </c>
    </row>
    <row r="14257">
      <c r="A14257">
        <v>14256</v>
      </c>
      <c r="B14257" t="str">
        <v>UBND Ủy ban nhân dân huyện Ninh Sơn  tỉnh Ninh Thuận</v>
      </c>
      <c r="C14257" t="str">
        <v>-</v>
      </c>
      <c r="D14257" t="str">
        <v>-</v>
      </c>
      <c r="E14257" t="str">
        <v>-</v>
      </c>
      <c r="F14257" t="str">
        <v>-</v>
      </c>
      <c r="G14257" t="str">
        <v>-</v>
      </c>
    </row>
    <row r="14258">
      <c r="A14258">
        <v>14257</v>
      </c>
      <c r="B14258" t="str">
        <v>Công an huyện Ninh Hải  tỉnh Ninh Thuận</v>
      </c>
      <c r="C14258" t="str">
        <v>-</v>
      </c>
      <c r="D14258" t="str">
        <v>-</v>
      </c>
      <c r="E14258" t="str">
        <v/>
      </c>
      <c r="F14258" t="str">
        <v>-</v>
      </c>
      <c r="G14258" t="str">
        <v>-</v>
      </c>
    </row>
    <row r="14259">
      <c r="A14259">
        <v>14258</v>
      </c>
      <c r="B14259" t="str">
        <v>UBND Ủy ban nhân dân huyện Ninh Hải  tỉnh Ninh Thuận</v>
      </c>
      <c r="C14259" t="str">
        <v>-</v>
      </c>
      <c r="D14259" t="str">
        <v>-</v>
      </c>
      <c r="E14259" t="str">
        <v>-</v>
      </c>
      <c r="F14259" t="str">
        <v>-</v>
      </c>
      <c r="G14259" t="str">
        <v>-</v>
      </c>
    </row>
    <row r="14260">
      <c r="A14260">
        <v>14259</v>
      </c>
      <c r="B14260" t="str">
        <v>Công an huyện Ninh Phước  tỉnh Ninh Thuận</v>
      </c>
      <c r="C14260" t="str">
        <v>-</v>
      </c>
      <c r="D14260" t="str">
        <v>-</v>
      </c>
      <c r="E14260" t="str">
        <v/>
      </c>
      <c r="F14260" t="str">
        <v>-</v>
      </c>
      <c r="G14260" t="str">
        <v>-</v>
      </c>
    </row>
    <row r="14261">
      <c r="A14261">
        <v>14260</v>
      </c>
      <c r="B14261" t="str">
        <v>UBND Ủy ban nhân dân huyện Ninh Phước  tỉnh Ninh Thuận</v>
      </c>
      <c r="C14261" t="str">
        <v>-</v>
      </c>
      <c r="D14261" t="str">
        <v>-</v>
      </c>
      <c r="E14261" t="str">
        <v>-</v>
      </c>
      <c r="F14261" t="str">
        <v>-</v>
      </c>
      <c r="G14261" t="str">
        <v>-</v>
      </c>
    </row>
    <row r="14262">
      <c r="A14262">
        <v>14261</v>
      </c>
      <c r="B14262" t="str">
        <v>Công an huyện Thuận Bắc  tỉnh Ninh Thuận</v>
      </c>
      <c r="C14262" t="str">
        <v>-</v>
      </c>
      <c r="D14262" t="str">
        <v>-</v>
      </c>
      <c r="E14262" t="str">
        <v/>
      </c>
      <c r="F14262" t="str">
        <v>-</v>
      </c>
      <c r="G14262" t="str">
        <v>-</v>
      </c>
    </row>
    <row r="14263">
      <c r="A14263">
        <v>14262</v>
      </c>
      <c r="B14263" t="str">
        <v>UBND Ủy ban nhân dân huyện Thuận Bắc  tỉnh Ninh Thuận</v>
      </c>
      <c r="C14263" t="str">
        <v>-</v>
      </c>
      <c r="D14263" t="str">
        <v>-</v>
      </c>
      <c r="E14263" t="str">
        <v>-</v>
      </c>
      <c r="F14263" t="str">
        <v>-</v>
      </c>
      <c r="G14263" t="str">
        <v>-</v>
      </c>
    </row>
    <row r="14264">
      <c r="A14264">
        <v>14263</v>
      </c>
      <c r="B14264" t="str">
        <v>Công an huyện Thuận Nam  tỉnh Ninh Thuận</v>
      </c>
      <c r="C14264" t="str">
        <v>-</v>
      </c>
      <c r="D14264" t="str">
        <v>-</v>
      </c>
      <c r="E14264" t="str">
        <v/>
      </c>
      <c r="F14264" t="str">
        <v>-</v>
      </c>
      <c r="G14264" t="str">
        <v>-</v>
      </c>
    </row>
    <row r="14265">
      <c r="A14265">
        <v>14264</v>
      </c>
      <c r="B14265" t="str">
        <v>UBND Ủy ban nhân dân huyện Thuận Nam  tỉnh Ninh Thuận</v>
      </c>
      <c r="C14265" t="str">
        <v>-</v>
      </c>
      <c r="D14265" t="str">
        <v>-</v>
      </c>
      <c r="E14265" t="str">
        <v>-</v>
      </c>
      <c r="F14265" t="str">
        <v>-</v>
      </c>
      <c r="G14265" t="str">
        <v>-</v>
      </c>
    </row>
    <row r="14266">
      <c r="A14266">
        <v>14265</v>
      </c>
      <c r="B14266" t="str">
        <v>Công an thành phố Phan Thiết  tỉnh Bình Thuận</v>
      </c>
      <c r="C14266" t="str">
        <v>-</v>
      </c>
      <c r="D14266" t="str">
        <v>-</v>
      </c>
      <c r="E14266" t="str">
        <v/>
      </c>
      <c r="F14266" t="str">
        <v>-</v>
      </c>
      <c r="G14266" t="str">
        <v>-</v>
      </c>
    </row>
    <row r="14267">
      <c r="A14267">
        <v>14266</v>
      </c>
      <c r="B14267" t="str">
        <v>UBND Ủy ban nhân dân thành phố Phan Thiết  tỉnh Bình Thuận</v>
      </c>
      <c r="C14267" t="str">
        <v>-</v>
      </c>
      <c r="D14267" t="str">
        <v>-</v>
      </c>
      <c r="E14267" t="str">
        <v>-</v>
      </c>
      <c r="F14267" t="str">
        <v>-</v>
      </c>
      <c r="G14267" t="str">
        <v>-</v>
      </c>
    </row>
    <row r="14268">
      <c r="A14268">
        <v>14267</v>
      </c>
      <c r="B14268" t="str">
        <v>Công an huyện Tuy Phong  tỉnh Bình Thuận</v>
      </c>
      <c r="C14268" t="str">
        <v>-</v>
      </c>
      <c r="D14268" t="str">
        <v>-</v>
      </c>
      <c r="E14268" t="str">
        <v/>
      </c>
      <c r="F14268" t="str">
        <v>-</v>
      </c>
      <c r="G14268" t="str">
        <v>-</v>
      </c>
    </row>
    <row r="14269">
      <c r="A14269">
        <v>14268</v>
      </c>
      <c r="B14269" t="str">
        <v>UBND Ủy ban nhân dân huyện Tuy Phong  tỉnh Bình Thuận</v>
      </c>
      <c r="C14269" t="str">
        <v>-</v>
      </c>
      <c r="D14269" t="str">
        <v>-</v>
      </c>
      <c r="E14269" t="str">
        <v>-</v>
      </c>
      <c r="F14269" t="str">
        <v>-</v>
      </c>
      <c r="G14269" t="str">
        <v>-</v>
      </c>
    </row>
    <row r="14270">
      <c r="A14270">
        <v>14269</v>
      </c>
      <c r="B14270" t="str">
        <v>Công an huyện Bắc Bình  tỉnh Bình Thuận</v>
      </c>
      <c r="C14270" t="str">
        <v>-</v>
      </c>
      <c r="D14270" t="str">
        <v>-</v>
      </c>
      <c r="E14270" t="str">
        <v/>
      </c>
      <c r="F14270" t="str">
        <v>-</v>
      </c>
      <c r="G14270" t="str">
        <v>-</v>
      </c>
    </row>
    <row r="14271">
      <c r="A14271">
        <v>14270</v>
      </c>
      <c r="B14271" t="str">
        <v>UBND Ủy ban nhân dân huyện Bắc Bình  tỉnh Bình Thuận</v>
      </c>
      <c r="C14271" t="str">
        <v>-</v>
      </c>
      <c r="D14271" t="str">
        <v>-</v>
      </c>
      <c r="E14271" t="str">
        <v>-</v>
      </c>
      <c r="F14271" t="str">
        <v>-</v>
      </c>
      <c r="G14271" t="str">
        <v>-</v>
      </c>
    </row>
    <row r="14272">
      <c r="A14272">
        <v>14271</v>
      </c>
      <c r="B14272" t="str">
        <v>Công an huyện Hàm Thuận Bắc  tỉnh Bình Thuận</v>
      </c>
      <c r="C14272" t="str">
        <v>-</v>
      </c>
      <c r="D14272" t="str">
        <v>-</v>
      </c>
      <c r="E14272" t="str">
        <v/>
      </c>
      <c r="F14272" t="str">
        <v>-</v>
      </c>
      <c r="G14272" t="str">
        <v>-</v>
      </c>
    </row>
    <row r="14273">
      <c r="A14273">
        <v>14272</v>
      </c>
      <c r="B14273" t="str">
        <v>UBND Ủy ban nhân dân huyện Hàm Thuận Bắc  tỉnh Bình Thuận</v>
      </c>
      <c r="C14273" t="str">
        <v>-</v>
      </c>
      <c r="D14273" t="str">
        <v>-</v>
      </c>
      <c r="E14273" t="str">
        <v>-</v>
      </c>
      <c r="F14273" t="str">
        <v>-</v>
      </c>
      <c r="G14273" t="str">
        <v>-</v>
      </c>
    </row>
    <row r="14274">
      <c r="A14274">
        <v>14273</v>
      </c>
      <c r="B14274" t="str">
        <v>Công an huyện Hàm Thuận Nam  tỉnh Bình Thuận</v>
      </c>
      <c r="C14274" t="str">
        <v>-</v>
      </c>
      <c r="D14274" t="str">
        <v>-</v>
      </c>
      <c r="E14274" t="str">
        <v/>
      </c>
      <c r="F14274" t="str">
        <v>-</v>
      </c>
      <c r="G14274" t="str">
        <v>-</v>
      </c>
    </row>
    <row r="14275">
      <c r="A14275">
        <v>14274</v>
      </c>
      <c r="B14275" t="str">
        <v>UBND Ủy ban nhân dân huyện Hàm Thuận Nam  tỉnh Bình Thuận</v>
      </c>
      <c r="C14275" t="str">
        <v>-</v>
      </c>
      <c r="D14275" t="str">
        <v>-</v>
      </c>
      <c r="E14275" t="str">
        <v>-</v>
      </c>
      <c r="F14275" t="str">
        <v>-</v>
      </c>
      <c r="G14275" t="str">
        <v>-</v>
      </c>
    </row>
    <row r="14276">
      <c r="A14276">
        <v>14275</v>
      </c>
      <c r="B14276" t="str">
        <v>Công an huyện Tánh Linh  tỉnh Bình Thuận</v>
      </c>
      <c r="C14276" t="str">
        <v>-</v>
      </c>
      <c r="D14276" t="str">
        <v>-</v>
      </c>
      <c r="E14276" t="str">
        <v/>
      </c>
      <c r="F14276" t="str">
        <v>-</v>
      </c>
      <c r="G14276" t="str">
        <v>-</v>
      </c>
    </row>
    <row r="14277">
      <c r="A14277">
        <v>14276</v>
      </c>
      <c r="B14277" t="str">
        <v>UBND Ủy ban nhân dân huyện Tánh Linh  tỉnh Bình Thuận</v>
      </c>
      <c r="C14277" t="str">
        <v>-</v>
      </c>
      <c r="D14277" t="str">
        <v>-</v>
      </c>
      <c r="E14277" t="str">
        <v>-</v>
      </c>
      <c r="F14277" t="str">
        <v>-</v>
      </c>
      <c r="G14277" t="str">
        <v>-</v>
      </c>
    </row>
    <row r="14278">
      <c r="A14278">
        <v>14277</v>
      </c>
      <c r="B14278" t="str">
        <v>Công an huyện Đức Linh  tỉnh Bình Thuận</v>
      </c>
      <c r="C14278" t="str">
        <v>-</v>
      </c>
      <c r="D14278" t="str">
        <v>-</v>
      </c>
      <c r="E14278" t="str">
        <v/>
      </c>
      <c r="F14278" t="str">
        <v>-</v>
      </c>
      <c r="G14278" t="str">
        <v>-</v>
      </c>
    </row>
    <row r="14279">
      <c r="A14279">
        <v>14278</v>
      </c>
      <c r="B14279" t="str">
        <v>UBND Ủy ban nhân dân huyện Đức Linh  tỉnh Bình Thuận</v>
      </c>
      <c r="C14279" t="str">
        <v>-</v>
      </c>
      <c r="D14279" t="str">
        <v>-</v>
      </c>
      <c r="E14279" t="str">
        <v>-</v>
      </c>
      <c r="F14279" t="str">
        <v>-</v>
      </c>
      <c r="G14279" t="str">
        <v>-</v>
      </c>
    </row>
    <row r="14280">
      <c r="A14280">
        <v>14279</v>
      </c>
      <c r="B14280" t="str">
        <v>Công an huyện Hàm Tân  tỉnh Bình Thuận</v>
      </c>
      <c r="C14280" t="str">
        <v>-</v>
      </c>
      <c r="D14280" t="str">
        <v>-</v>
      </c>
      <c r="E14280" t="str">
        <v/>
      </c>
      <c r="F14280" t="str">
        <v>-</v>
      </c>
      <c r="G14280" t="str">
        <v>-</v>
      </c>
    </row>
    <row r="14281">
      <c r="A14281">
        <v>14280</v>
      </c>
      <c r="B14281" t="str">
        <v>UBND Ủy ban nhân dân huyện Hàm Tân  tỉnh Bình Thuận</v>
      </c>
      <c r="C14281" t="str">
        <v>-</v>
      </c>
      <c r="D14281" t="str">
        <v>-</v>
      </c>
      <c r="E14281" t="str">
        <v>-</v>
      </c>
      <c r="F14281" t="str">
        <v>-</v>
      </c>
      <c r="G14281" t="str">
        <v>-</v>
      </c>
    </row>
    <row r="14282">
      <c r="A14282">
        <v>14281</v>
      </c>
      <c r="B14282" t="str">
        <v>Công an huyện Phú Quí  tỉnh Bình Thuận</v>
      </c>
      <c r="C14282" t="str">
        <v>-</v>
      </c>
      <c r="D14282" t="str">
        <v>-</v>
      </c>
      <c r="E14282" t="str">
        <v/>
      </c>
      <c r="F14282" t="str">
        <v>-</v>
      </c>
      <c r="G14282" t="str">
        <v>-</v>
      </c>
    </row>
    <row r="14283">
      <c r="A14283">
        <v>14282</v>
      </c>
      <c r="B14283" t="str">
        <v>UBND Ủy ban nhân dân huyện Phú Quí  tỉnh Bình Thuận</v>
      </c>
      <c r="C14283" t="str">
        <v>-</v>
      </c>
      <c r="D14283" t="str">
        <v>-</v>
      </c>
      <c r="E14283" t="str">
        <v>-</v>
      </c>
      <c r="F14283" t="str">
        <v>-</v>
      </c>
      <c r="G14283" t="str">
        <v>-</v>
      </c>
    </row>
    <row r="14284">
      <c r="A14284">
        <v>14283</v>
      </c>
      <c r="B14284" t="str">
        <v>Công an thành phố Kon Tum  tỉnh Kon Tum</v>
      </c>
      <c r="C14284" t="str">
        <v>-</v>
      </c>
      <c r="D14284" t="str">
        <v>-</v>
      </c>
      <c r="E14284" t="str">
        <v/>
      </c>
      <c r="F14284" t="str">
        <v>-</v>
      </c>
      <c r="G14284" t="str">
        <v>-</v>
      </c>
    </row>
    <row r="14285">
      <c r="A14285">
        <v>14284</v>
      </c>
      <c r="B14285" t="str">
        <v>UBND Ủy ban nhân dân thành phố Kon Tum  tỉnh Kon Tum</v>
      </c>
      <c r="C14285" t="str">
        <v>-</v>
      </c>
      <c r="D14285" t="str">
        <v>-</v>
      </c>
      <c r="E14285" t="str">
        <v>-</v>
      </c>
      <c r="F14285" t="str">
        <v>-</v>
      </c>
      <c r="G14285" t="str">
        <v>-</v>
      </c>
    </row>
    <row r="14286">
      <c r="A14286">
        <v>14285</v>
      </c>
      <c r="B14286" t="str">
        <v>Công an huyện Đắk Glei  tỉnh Kon Tum</v>
      </c>
      <c r="C14286" t="str">
        <v>-</v>
      </c>
      <c r="D14286" t="str">
        <v>-</v>
      </c>
      <c r="E14286" t="str">
        <v/>
      </c>
      <c r="F14286" t="str">
        <v>-</v>
      </c>
      <c r="G14286" t="str">
        <v>-</v>
      </c>
    </row>
    <row r="14287">
      <c r="A14287">
        <v>14286</v>
      </c>
      <c r="B14287" t="str">
        <v>UBND Ủy ban nhân dân huyện Đắk Glei  tỉnh Kon Tum</v>
      </c>
      <c r="C14287" t="str">
        <v>-</v>
      </c>
      <c r="D14287" t="str">
        <v>-</v>
      </c>
      <c r="E14287" t="str">
        <v>-</v>
      </c>
      <c r="F14287" t="str">
        <v>-</v>
      </c>
      <c r="G14287" t="str">
        <v>-</v>
      </c>
    </row>
    <row r="14288">
      <c r="A14288">
        <v>14287</v>
      </c>
      <c r="B14288" t="str">
        <v>Công an huyện Ngọc Hồi  tỉnh Kon Tum</v>
      </c>
      <c r="C14288" t="str">
        <v>-</v>
      </c>
      <c r="D14288" t="str">
        <v>-</v>
      </c>
      <c r="E14288" t="str">
        <v/>
      </c>
      <c r="F14288" t="str">
        <v>-</v>
      </c>
      <c r="G14288" t="str">
        <v>-</v>
      </c>
    </row>
    <row r="14289">
      <c r="A14289">
        <v>14288</v>
      </c>
      <c r="B14289" t="str">
        <v>UBND Ủy ban nhân dân huyện Ngọc Hồi  tỉnh Kon Tum</v>
      </c>
      <c r="C14289" t="str">
        <v>-</v>
      </c>
      <c r="D14289" t="str">
        <v>-</v>
      </c>
      <c r="E14289" t="str">
        <v>-</v>
      </c>
      <c r="F14289" t="str">
        <v>-</v>
      </c>
      <c r="G14289" t="str">
        <v>-</v>
      </c>
    </row>
    <row r="14290">
      <c r="A14290">
        <v>14289</v>
      </c>
      <c r="B14290" t="str">
        <v>Công an huyện Đắk Tô  tỉnh Kon Tum</v>
      </c>
      <c r="C14290" t="str">
        <v>-</v>
      </c>
      <c r="D14290" t="str">
        <v>-</v>
      </c>
      <c r="E14290" t="str">
        <v/>
      </c>
      <c r="F14290" t="str">
        <v>-</v>
      </c>
      <c r="G14290" t="str">
        <v>-</v>
      </c>
    </row>
    <row r="14291">
      <c r="A14291">
        <v>14290</v>
      </c>
      <c r="B14291" t="str">
        <v>UBND Ủy ban nhân dân huyện Đắk Tô  tỉnh Kon Tum</v>
      </c>
      <c r="C14291" t="str">
        <v>-</v>
      </c>
      <c r="D14291" t="str">
        <v>-</v>
      </c>
      <c r="E14291" t="str">
        <v>-</v>
      </c>
      <c r="F14291" t="str">
        <v>-</v>
      </c>
      <c r="G14291" t="str">
        <v>-</v>
      </c>
    </row>
    <row r="14292">
      <c r="A14292">
        <v>14291</v>
      </c>
      <c r="B14292" t="str">
        <v>Công an huyện Kon Plông  tỉnh Kon Tum</v>
      </c>
      <c r="C14292" t="str">
        <v>-</v>
      </c>
      <c r="D14292" t="str">
        <v>-</v>
      </c>
      <c r="E14292" t="str">
        <v/>
      </c>
      <c r="F14292" t="str">
        <v>-</v>
      </c>
      <c r="G14292" t="str">
        <v>-</v>
      </c>
    </row>
    <row r="14293">
      <c r="A14293">
        <v>14292</v>
      </c>
      <c r="B14293" t="str">
        <v>UBND Ủy ban nhân dân huyện Kon Plông  tỉnh Kon Tum</v>
      </c>
      <c r="C14293" t="str">
        <v>-</v>
      </c>
      <c r="D14293" t="str">
        <v>-</v>
      </c>
      <c r="E14293" t="str">
        <v>-</v>
      </c>
      <c r="F14293" t="str">
        <v>-</v>
      </c>
      <c r="G14293" t="str">
        <v>-</v>
      </c>
    </row>
    <row r="14294">
      <c r="A14294">
        <v>14293</v>
      </c>
      <c r="B14294" t="str">
        <v>Công an huyện Kon Rẫy  tỉnh Kon Tum</v>
      </c>
      <c r="C14294" t="str">
        <v>-</v>
      </c>
      <c r="D14294" t="str">
        <v>-</v>
      </c>
      <c r="E14294" t="str">
        <v/>
      </c>
      <c r="F14294" t="str">
        <v>-</v>
      </c>
      <c r="G14294" t="str">
        <v>-</v>
      </c>
    </row>
    <row r="14295">
      <c r="A14295">
        <v>14294</v>
      </c>
      <c r="B14295" t="str">
        <v>UBND Ủy ban nhân dân huyện Kon Rẫy  tỉnh Kon Tum</v>
      </c>
      <c r="C14295" t="str">
        <v>-</v>
      </c>
      <c r="D14295" t="str">
        <v>-</v>
      </c>
      <c r="E14295" t="str">
        <v>-</v>
      </c>
      <c r="F14295" t="str">
        <v>-</v>
      </c>
      <c r="G14295" t="str">
        <v>-</v>
      </c>
    </row>
    <row r="14296">
      <c r="A14296">
        <v>14295</v>
      </c>
      <c r="B14296" t="str">
        <v>Công an huyện Đắk Hà  tỉnh Kon Tum</v>
      </c>
      <c r="C14296" t="str">
        <v>-</v>
      </c>
      <c r="D14296" t="str">
        <v>-</v>
      </c>
      <c r="E14296" t="str">
        <v/>
      </c>
      <c r="F14296" t="str">
        <v>-</v>
      </c>
      <c r="G14296" t="str">
        <v>-</v>
      </c>
    </row>
    <row r="14297">
      <c r="A14297">
        <v>14296</v>
      </c>
      <c r="B14297" t="str">
        <v>UBND Ủy ban nhân dân huyện Đắk Hà  tỉnh Kon Tum</v>
      </c>
      <c r="C14297" t="str">
        <v>-</v>
      </c>
      <c r="D14297" t="str">
        <v>-</v>
      </c>
      <c r="E14297" t="str">
        <v>-</v>
      </c>
      <c r="F14297" t="str">
        <v>-</v>
      </c>
      <c r="G14297" t="str">
        <v>-</v>
      </c>
    </row>
    <row r="14298">
      <c r="A14298">
        <v>14297</v>
      </c>
      <c r="B14298" t="str">
        <v>Công an huyện Sa Thầy  tỉnh Kon Tum</v>
      </c>
      <c r="C14298" t="str">
        <v>-</v>
      </c>
      <c r="D14298" t="str">
        <v>-</v>
      </c>
      <c r="E14298" t="str">
        <v/>
      </c>
      <c r="F14298" t="str">
        <v>-</v>
      </c>
      <c r="G14298" t="str">
        <v>-</v>
      </c>
    </row>
    <row r="14299">
      <c r="A14299">
        <v>14298</v>
      </c>
      <c r="B14299" t="str">
        <v>UBND Ủy ban nhân dân huyện Sa Thầy  tỉnh Kon Tum</v>
      </c>
      <c r="C14299" t="str">
        <v>-</v>
      </c>
      <c r="D14299" t="str">
        <v>-</v>
      </c>
      <c r="E14299" t="str">
        <v>-</v>
      </c>
      <c r="F14299" t="str">
        <v>-</v>
      </c>
      <c r="G14299" t="str">
        <v>-</v>
      </c>
    </row>
    <row r="14300">
      <c r="A14300">
        <v>14299</v>
      </c>
      <c r="B14300" t="str">
        <v>Công an huyện Tu Mơ Rông  tỉnh Kon Tum</v>
      </c>
      <c r="C14300" t="str">
        <v>-</v>
      </c>
      <c r="D14300" t="str">
        <v>-</v>
      </c>
      <c r="E14300" t="str">
        <v/>
      </c>
      <c r="F14300" t="str">
        <v>-</v>
      </c>
      <c r="G14300" t="str">
        <v>-</v>
      </c>
    </row>
    <row r="14301">
      <c r="A14301">
        <v>14300</v>
      </c>
      <c r="B14301" t="str">
        <v>UBND Ủy ban nhân dân huyện Tu Mơ Rông  tỉnh Kon Tum</v>
      </c>
      <c r="C14301" t="str">
        <v>-</v>
      </c>
      <c r="D14301" t="str">
        <v>-</v>
      </c>
      <c r="E14301" t="str">
        <v>-</v>
      </c>
      <c r="F14301" t="str">
        <v>-</v>
      </c>
      <c r="G14301" t="str">
        <v>-</v>
      </c>
    </row>
    <row r="14302">
      <c r="A14302">
        <v>14301</v>
      </c>
      <c r="B14302" t="str">
        <v>Công an huyện Ia H' Drai  tỉnh Kon Tum</v>
      </c>
      <c r="C14302" t="str">
        <v>-</v>
      </c>
      <c r="D14302" t="str">
        <v>-</v>
      </c>
      <c r="E14302" t="str">
        <v/>
      </c>
      <c r="F14302" t="str">
        <v>-</v>
      </c>
      <c r="G14302" t="str">
        <v>-</v>
      </c>
    </row>
    <row r="14303">
      <c r="A14303">
        <v>14302</v>
      </c>
      <c r="B14303" t="str">
        <v>UBND Ủy ban nhân dân huyện Ia H' Drai  tỉnh Kon Tum</v>
      </c>
      <c r="C14303" t="str">
        <v>-</v>
      </c>
      <c r="D14303" t="str">
        <v>-</v>
      </c>
      <c r="E14303" t="str">
        <v>-</v>
      </c>
      <c r="F14303" t="str">
        <v>-</v>
      </c>
      <c r="G14303" t="str">
        <v>-</v>
      </c>
    </row>
    <row r="14304">
      <c r="A14304">
        <v>14303</v>
      </c>
      <c r="B14304" t="str">
        <v>Công an thành phố Pleiku  tỉnh Gia Lai</v>
      </c>
      <c r="C14304" t="str">
        <v>-</v>
      </c>
      <c r="D14304" t="str">
        <v>-</v>
      </c>
      <c r="E14304" t="str">
        <v/>
      </c>
      <c r="F14304" t="str">
        <v>-</v>
      </c>
      <c r="G14304" t="str">
        <v>-</v>
      </c>
    </row>
    <row r="14305">
      <c r="A14305">
        <v>14304</v>
      </c>
      <c r="B14305" t="str">
        <v>UBND Ủy ban nhân dân thành phố Pleiku  tỉnh Gia Lai</v>
      </c>
      <c r="C14305" t="str">
        <v>-</v>
      </c>
      <c r="D14305" t="str">
        <v>-</v>
      </c>
      <c r="E14305" t="str">
        <v>-</v>
      </c>
      <c r="F14305" t="str">
        <v>-</v>
      </c>
      <c r="G14305" t="str">
        <v>-</v>
      </c>
    </row>
    <row r="14306">
      <c r="A14306">
        <v>14305</v>
      </c>
      <c r="B14306" t="str">
        <v>Công an huyện KBang  tỉnh Gia Lai</v>
      </c>
      <c r="C14306" t="str">
        <v>-</v>
      </c>
      <c r="D14306" t="str">
        <v>-</v>
      </c>
      <c r="E14306" t="str">
        <v/>
      </c>
      <c r="F14306" t="str">
        <v>-</v>
      </c>
      <c r="G14306" t="str">
        <v>-</v>
      </c>
    </row>
    <row r="14307">
      <c r="A14307">
        <v>14306</v>
      </c>
      <c r="B14307" t="str">
        <v>UBND Ủy ban nhân dân huyện KBang  tỉnh Gia Lai</v>
      </c>
      <c r="C14307" t="str">
        <v>-</v>
      </c>
      <c r="D14307" t="str">
        <v>-</v>
      </c>
      <c r="E14307" t="str">
        <v>-</v>
      </c>
      <c r="F14307" t="str">
        <v>-</v>
      </c>
      <c r="G14307" t="str">
        <v>-</v>
      </c>
    </row>
    <row r="14308">
      <c r="A14308">
        <v>14307</v>
      </c>
      <c r="B14308" t="str">
        <v>Công an huyện Đăk Đoa  tỉnh Gia Lai</v>
      </c>
      <c r="C14308" t="str">
        <v>-</v>
      </c>
      <c r="D14308" t="str">
        <v>-</v>
      </c>
      <c r="E14308" t="str">
        <v/>
      </c>
      <c r="F14308" t="str">
        <v>-</v>
      </c>
      <c r="G14308" t="str">
        <v>-</v>
      </c>
    </row>
    <row r="14309">
      <c r="A14309">
        <v>14308</v>
      </c>
      <c r="B14309" t="str">
        <v>UBND Ủy ban nhân dân huyện Đăk Đoa  tỉnh Gia Lai</v>
      </c>
      <c r="C14309" t="str">
        <v>-</v>
      </c>
      <c r="D14309" t="str">
        <v>-</v>
      </c>
      <c r="E14309" t="str">
        <v>-</v>
      </c>
      <c r="F14309" t="str">
        <v>-</v>
      </c>
      <c r="G14309" t="str">
        <v>-</v>
      </c>
    </row>
    <row r="14310">
      <c r="A14310">
        <v>14309</v>
      </c>
      <c r="B14310" t="str">
        <v>Công an huyện Chư Păh  tỉnh Gia Lai</v>
      </c>
      <c r="C14310" t="str">
        <v>-</v>
      </c>
      <c r="D14310" t="str">
        <v>-</v>
      </c>
      <c r="E14310" t="str">
        <v/>
      </c>
      <c r="F14310" t="str">
        <v>-</v>
      </c>
      <c r="G14310" t="str">
        <v>-</v>
      </c>
    </row>
    <row r="14311">
      <c r="A14311">
        <v>14310</v>
      </c>
      <c r="B14311" t="str">
        <v>UBND Ủy ban nhân dân huyện Chư Păh  tỉnh Gia Lai</v>
      </c>
      <c r="C14311" t="str">
        <v>-</v>
      </c>
      <c r="D14311" t="str">
        <v>-</v>
      </c>
      <c r="E14311" t="str">
        <v>-</v>
      </c>
      <c r="F14311" t="str">
        <v>-</v>
      </c>
      <c r="G14311" t="str">
        <v>-</v>
      </c>
    </row>
    <row r="14312">
      <c r="A14312">
        <v>14311</v>
      </c>
      <c r="B14312" t="str">
        <v>Công an huyện Ia Grai  tỉnh Gia Lai</v>
      </c>
      <c r="C14312" t="str">
        <v>-</v>
      </c>
      <c r="D14312" t="str">
        <v>-</v>
      </c>
      <c r="E14312" t="str">
        <v/>
      </c>
      <c r="F14312" t="str">
        <v>-</v>
      </c>
      <c r="G14312" t="str">
        <v>-</v>
      </c>
    </row>
    <row r="14313">
      <c r="A14313">
        <v>14312</v>
      </c>
      <c r="B14313" t="str">
        <v>UBND Ủy ban nhân dân huyện Ia Grai  tỉnh Gia Lai</v>
      </c>
      <c r="C14313" t="str">
        <v>-</v>
      </c>
      <c r="D14313" t="str">
        <v>-</v>
      </c>
      <c r="E14313" t="str">
        <v>-</v>
      </c>
      <c r="F14313" t="str">
        <v>-</v>
      </c>
      <c r="G14313" t="str">
        <v>-</v>
      </c>
    </row>
    <row r="14314">
      <c r="A14314">
        <v>14313</v>
      </c>
      <c r="B14314" t="str">
        <v>Công an huyện Mang Yang  tỉnh Gia Lai</v>
      </c>
      <c r="C14314" t="str">
        <v>-</v>
      </c>
      <c r="D14314" t="str">
        <v>-</v>
      </c>
      <c r="E14314" t="str">
        <v/>
      </c>
      <c r="F14314" t="str">
        <v>-</v>
      </c>
      <c r="G14314" t="str">
        <v>-</v>
      </c>
    </row>
    <row r="14315">
      <c r="A14315">
        <v>14314</v>
      </c>
      <c r="B14315" t="str">
        <v>UBND Ủy ban nhân dân huyện Mang Yang  tỉnh Gia Lai</v>
      </c>
      <c r="C14315" t="str">
        <v>-</v>
      </c>
      <c r="D14315" t="str">
        <v>-</v>
      </c>
      <c r="E14315" t="str">
        <v>-</v>
      </c>
      <c r="F14315" t="str">
        <v>-</v>
      </c>
      <c r="G14315" t="str">
        <v>-</v>
      </c>
    </row>
    <row r="14316">
      <c r="A14316">
        <v>14315</v>
      </c>
      <c r="B14316" t="str">
        <v>Công an huyện Kông Chro  tỉnh Gia Lai</v>
      </c>
      <c r="C14316" t="str">
        <v>-</v>
      </c>
      <c r="D14316" t="str">
        <v>-</v>
      </c>
      <c r="E14316" t="str">
        <v/>
      </c>
      <c r="F14316" t="str">
        <v>-</v>
      </c>
      <c r="G14316" t="str">
        <v>-</v>
      </c>
    </row>
    <row r="14317">
      <c r="A14317">
        <v>14316</v>
      </c>
      <c r="B14317" t="str">
        <v>UBND Ủy ban nhân dân huyện Kông Chro  tỉnh Gia Lai</v>
      </c>
      <c r="C14317" t="str">
        <v>-</v>
      </c>
      <c r="D14317" t="str">
        <v>-</v>
      </c>
      <c r="E14317" t="str">
        <v>-</v>
      </c>
      <c r="F14317" t="str">
        <v>-</v>
      </c>
      <c r="G14317" t="str">
        <v>-</v>
      </c>
    </row>
    <row r="14318">
      <c r="A14318">
        <v>14317</v>
      </c>
      <c r="B14318" t="str">
        <v>Công an huyện Đức Cơ  tỉnh Gia Lai</v>
      </c>
      <c r="C14318" t="str">
        <v>-</v>
      </c>
      <c r="D14318" t="str">
        <v>-</v>
      </c>
      <c r="E14318" t="str">
        <v/>
      </c>
      <c r="F14318" t="str">
        <v>-</v>
      </c>
      <c r="G14318" t="str">
        <v>-</v>
      </c>
    </row>
    <row r="14319">
      <c r="A14319">
        <v>14318</v>
      </c>
      <c r="B14319" t="str">
        <v>UBND Ủy ban nhân dân huyện Đức Cơ  tỉnh Gia Lai</v>
      </c>
      <c r="C14319" t="str">
        <v>-</v>
      </c>
      <c r="D14319" t="str">
        <v>-</v>
      </c>
      <c r="E14319" t="str">
        <v>-</v>
      </c>
      <c r="F14319" t="str">
        <v>-</v>
      </c>
      <c r="G14319" t="str">
        <v>-</v>
      </c>
    </row>
    <row r="14320">
      <c r="A14320">
        <v>14319</v>
      </c>
      <c r="B14320" t="str">
        <v>Công an huyện Chư Prông  tỉnh Gia Lai</v>
      </c>
      <c r="C14320" t="str">
        <v>-</v>
      </c>
      <c r="D14320" t="str">
        <v>-</v>
      </c>
      <c r="E14320" t="str">
        <v/>
      </c>
      <c r="F14320" t="str">
        <v>-</v>
      </c>
      <c r="G14320" t="str">
        <v>-</v>
      </c>
    </row>
    <row r="14321">
      <c r="A14321">
        <v>14320</v>
      </c>
      <c r="B14321" t="str">
        <v>UBND Ủy ban nhân dân huyện Chư Prông  tỉnh Gia Lai</v>
      </c>
      <c r="C14321" t="str">
        <v>-</v>
      </c>
      <c r="D14321" t="str">
        <v>-</v>
      </c>
      <c r="E14321" t="str">
        <v>-</v>
      </c>
      <c r="F14321" t="str">
        <v>-</v>
      </c>
      <c r="G14321" t="str">
        <v>-</v>
      </c>
    </row>
    <row r="14322">
      <c r="A14322">
        <v>14321</v>
      </c>
      <c r="B14322" t="str">
        <v>Công an huyện Chư Sê  tỉnh Gia Lai</v>
      </c>
      <c r="C14322" t="str">
        <v>-</v>
      </c>
      <c r="D14322" t="str">
        <v>-</v>
      </c>
      <c r="E14322" t="str">
        <v/>
      </c>
      <c r="F14322" t="str">
        <v>-</v>
      </c>
      <c r="G14322" t="str">
        <v>-</v>
      </c>
    </row>
    <row r="14323">
      <c r="A14323">
        <v>14322</v>
      </c>
      <c r="B14323" t="str">
        <v>UBND Ủy ban nhân dân huyện Chư Sê  tỉnh Gia Lai</v>
      </c>
      <c r="C14323" t="str">
        <v>-</v>
      </c>
      <c r="D14323" t="str">
        <v>-</v>
      </c>
      <c r="E14323" t="str">
        <v>-</v>
      </c>
      <c r="F14323" t="str">
        <v>-</v>
      </c>
      <c r="G14323" t="str">
        <v>-</v>
      </c>
    </row>
    <row r="14324">
      <c r="A14324">
        <v>14323</v>
      </c>
      <c r="B14324" t="str">
        <v>Công an huyện Đăk Pơ  tỉnh Gia Lai</v>
      </c>
      <c r="C14324" t="str">
        <v>-</v>
      </c>
      <c r="D14324" t="str">
        <v>-</v>
      </c>
      <c r="E14324" t="str">
        <v/>
      </c>
      <c r="F14324" t="str">
        <v>-</v>
      </c>
      <c r="G14324" t="str">
        <v>-</v>
      </c>
    </row>
    <row r="14325">
      <c r="A14325">
        <v>14324</v>
      </c>
      <c r="B14325" t="str">
        <v>UBND Ủy ban nhân dân huyện Đăk Pơ  tỉnh Gia Lai</v>
      </c>
      <c r="C14325" t="str">
        <v>-</v>
      </c>
      <c r="D14325" t="str">
        <v>-</v>
      </c>
      <c r="E14325" t="str">
        <v>-</v>
      </c>
      <c r="F14325" t="str">
        <v>-</v>
      </c>
      <c r="G14325" t="str">
        <v>-</v>
      </c>
    </row>
    <row r="14326">
      <c r="A14326">
        <v>14325</v>
      </c>
      <c r="B14326" t="str">
        <v>Công an huyện Ia Pa  tỉnh Gia Lai</v>
      </c>
      <c r="C14326" t="str">
        <v>-</v>
      </c>
      <c r="D14326" t="str">
        <v>-</v>
      </c>
      <c r="E14326" t="str">
        <v/>
      </c>
      <c r="F14326" t="str">
        <v>-</v>
      </c>
      <c r="G14326" t="str">
        <v>-</v>
      </c>
    </row>
    <row r="14327">
      <c r="A14327">
        <v>14326</v>
      </c>
      <c r="B14327" t="str">
        <v>UBND Ủy ban nhân dân huyện Ia Pa  tỉnh Gia Lai</v>
      </c>
      <c r="C14327" t="str">
        <v>-</v>
      </c>
      <c r="D14327" t="str">
        <v>-</v>
      </c>
      <c r="E14327" t="str">
        <v>-</v>
      </c>
      <c r="F14327" t="str">
        <v>-</v>
      </c>
      <c r="G14327" t="str">
        <v>-</v>
      </c>
    </row>
    <row r="14328">
      <c r="A14328">
        <v>14327</v>
      </c>
      <c r="B14328" t="str">
        <v>Công an huyện Krông Pa  tỉnh Gia Lai</v>
      </c>
      <c r="C14328" t="str">
        <v>-</v>
      </c>
      <c r="D14328" t="str">
        <v>-</v>
      </c>
      <c r="E14328" t="str">
        <v/>
      </c>
      <c r="F14328" t="str">
        <v>-</v>
      </c>
      <c r="G14328" t="str">
        <v>-</v>
      </c>
    </row>
    <row r="14329">
      <c r="A14329">
        <v>14328</v>
      </c>
      <c r="B14329" t="str">
        <v>UBND Ủy ban nhân dân huyện Krông Pa  tỉnh Gia Lai</v>
      </c>
      <c r="C14329" t="str">
        <v>-</v>
      </c>
      <c r="D14329" t="str">
        <v>-</v>
      </c>
      <c r="E14329" t="str">
        <v>-</v>
      </c>
      <c r="F14329" t="str">
        <v>-</v>
      </c>
      <c r="G14329" t="str">
        <v>-</v>
      </c>
    </row>
    <row r="14330">
      <c r="A14330">
        <v>14329</v>
      </c>
      <c r="B14330" t="str">
        <v>Công an huyện Phú Thiện  tỉnh Gia Lai</v>
      </c>
      <c r="C14330" t="str">
        <v>-</v>
      </c>
      <c r="D14330" t="str">
        <v>-</v>
      </c>
      <c r="E14330" t="str">
        <v/>
      </c>
      <c r="F14330" t="str">
        <v>-</v>
      </c>
      <c r="G14330" t="str">
        <v>-</v>
      </c>
    </row>
    <row r="14331">
      <c r="A14331">
        <v>14330</v>
      </c>
      <c r="B14331" t="str">
        <v>UBND Ủy ban nhân dân huyện Phú Thiện  tỉnh Gia Lai</v>
      </c>
      <c r="C14331" t="str">
        <v>-</v>
      </c>
      <c r="D14331" t="str">
        <v>-</v>
      </c>
      <c r="E14331" t="str">
        <v>-</v>
      </c>
      <c r="F14331" t="str">
        <v>-</v>
      </c>
      <c r="G14331" t="str">
        <v>-</v>
      </c>
    </row>
    <row r="14332">
      <c r="A14332">
        <v>14331</v>
      </c>
      <c r="B14332" t="str">
        <v>Công an huyện Chư Pưh  tỉnh Gia Lai</v>
      </c>
      <c r="C14332" t="str">
        <v>-</v>
      </c>
      <c r="D14332" t="str">
        <v>-</v>
      </c>
      <c r="E14332" t="str">
        <v/>
      </c>
      <c r="F14332" t="str">
        <v>-</v>
      </c>
      <c r="G14332" t="str">
        <v>-</v>
      </c>
    </row>
    <row r="14333">
      <c r="A14333">
        <v>14332</v>
      </c>
      <c r="B14333" t="str">
        <v>UBND Ủy ban nhân dân huyện Chư Pưh  tỉnh Gia Lai</v>
      </c>
      <c r="C14333" t="str">
        <v>-</v>
      </c>
      <c r="D14333" t="str">
        <v>-</v>
      </c>
      <c r="E14333" t="str">
        <v>-</v>
      </c>
      <c r="F14333" t="str">
        <v>-</v>
      </c>
      <c r="G14333" t="str">
        <v>-</v>
      </c>
    </row>
    <row r="14334">
      <c r="A14334">
        <v>14333</v>
      </c>
      <c r="B14334" t="str">
        <v>Công an thành phố Buôn Ma Thuột  tỉnh Đắk Lắk</v>
      </c>
      <c r="C14334" t="str">
        <v>-</v>
      </c>
      <c r="D14334" t="str">
        <v>-</v>
      </c>
      <c r="E14334" t="str">
        <v/>
      </c>
      <c r="F14334" t="str">
        <v>-</v>
      </c>
      <c r="G14334" t="str">
        <v>-</v>
      </c>
    </row>
    <row r="14335">
      <c r="A14335">
        <v>14334</v>
      </c>
      <c r="B14335" t="str">
        <v>UBND Ủy ban nhân dân thành phố Buôn Ma Thuột  tỉnh Đắk Lắk</v>
      </c>
      <c r="C14335" t="str">
        <v>-</v>
      </c>
      <c r="D14335" t="str">
        <v>-</v>
      </c>
      <c r="E14335" t="str">
        <v>-</v>
      </c>
      <c r="F14335" t="str">
        <v>-</v>
      </c>
      <c r="G14335" t="str">
        <v>-</v>
      </c>
    </row>
    <row r="14336">
      <c r="A14336">
        <v>14335</v>
      </c>
      <c r="B14336" t="str">
        <v>Công an huyện Ea H'leo  tỉnh Đắk Lắk</v>
      </c>
      <c r="C14336" t="str">
        <v>-</v>
      </c>
      <c r="D14336" t="str">
        <v>-</v>
      </c>
      <c r="E14336" t="str">
        <v/>
      </c>
      <c r="F14336" t="str">
        <v>-</v>
      </c>
      <c r="G14336" t="str">
        <v>-</v>
      </c>
    </row>
    <row r="14337">
      <c r="A14337">
        <v>14336</v>
      </c>
      <c r="B14337" t="str">
        <v>UBND Ủy ban nhân dân huyện Ea H'leo  tỉnh Đắk Lắk</v>
      </c>
      <c r="C14337" t="str">
        <v>-</v>
      </c>
      <c r="D14337" t="str">
        <v>-</v>
      </c>
      <c r="E14337" t="str">
        <v>-</v>
      </c>
      <c r="F14337" t="str">
        <v>-</v>
      </c>
      <c r="G14337" t="str">
        <v>-</v>
      </c>
    </row>
    <row r="14338">
      <c r="A14338">
        <v>14337</v>
      </c>
      <c r="B14338" t="str">
        <v>Công an huyện Ea Súp  tỉnh Đắk Lắk</v>
      </c>
      <c r="C14338" t="str">
        <v>-</v>
      </c>
      <c r="D14338" t="str">
        <v>-</v>
      </c>
      <c r="E14338" t="str">
        <v/>
      </c>
      <c r="F14338" t="str">
        <v>-</v>
      </c>
      <c r="G14338" t="str">
        <v>-</v>
      </c>
    </row>
    <row r="14339">
      <c r="A14339">
        <v>14338</v>
      </c>
      <c r="B14339" t="str">
        <v>UBND Ủy ban nhân dân huyện Ea Súp  tỉnh Đắk Lắk</v>
      </c>
      <c r="C14339" t="str">
        <v>-</v>
      </c>
      <c r="D14339" t="str">
        <v>-</v>
      </c>
      <c r="E14339" t="str">
        <v>-</v>
      </c>
      <c r="F14339" t="str">
        <v>-</v>
      </c>
      <c r="G14339" t="str">
        <v>-</v>
      </c>
    </row>
    <row r="14340">
      <c r="A14340">
        <v>14339</v>
      </c>
      <c r="B14340" t="str">
        <v>Công an huyện Buôn Đôn  tỉnh Đắk Lắk</v>
      </c>
      <c r="C14340" t="str">
        <v>-</v>
      </c>
      <c r="D14340" t="str">
        <v>-</v>
      </c>
      <c r="E14340" t="str">
        <v/>
      </c>
      <c r="F14340" t="str">
        <v>-</v>
      </c>
      <c r="G14340" t="str">
        <v>-</v>
      </c>
    </row>
    <row r="14341">
      <c r="A14341">
        <v>14340</v>
      </c>
      <c r="B14341" t="str">
        <v>UBND Ủy ban nhân dân huyện Buôn Đôn  tỉnh Đắk Lắk</v>
      </c>
      <c r="C14341" t="str">
        <v>-</v>
      </c>
      <c r="D14341" t="str">
        <v>-</v>
      </c>
      <c r="E14341" t="str">
        <v>-</v>
      </c>
      <c r="F14341" t="str">
        <v>-</v>
      </c>
      <c r="G14341" t="str">
        <v>-</v>
      </c>
    </row>
    <row r="14342">
      <c r="A14342">
        <v>14341</v>
      </c>
      <c r="B14342" t="str">
        <v>Công an huyện Cư M'gar  tỉnh Đắk Lắk</v>
      </c>
      <c r="C14342" t="str">
        <v>-</v>
      </c>
      <c r="D14342" t="str">
        <v>-</v>
      </c>
      <c r="E14342" t="str">
        <v/>
      </c>
      <c r="F14342" t="str">
        <v>-</v>
      </c>
      <c r="G14342" t="str">
        <v>-</v>
      </c>
    </row>
    <row r="14343">
      <c r="A14343">
        <v>14342</v>
      </c>
      <c r="B14343" t="str">
        <v>UBND Ủy ban nhân dân huyện Cư M'gar  tỉnh Đắk Lắk</v>
      </c>
      <c r="C14343" t="str">
        <v>-</v>
      </c>
      <c r="D14343" t="str">
        <v>-</v>
      </c>
      <c r="E14343" t="str">
        <v>-</v>
      </c>
      <c r="F14343" t="str">
        <v>-</v>
      </c>
      <c r="G14343" t="str">
        <v>-</v>
      </c>
    </row>
    <row r="14344">
      <c r="A14344">
        <v>14343</v>
      </c>
      <c r="B14344" t="str">
        <v>Công an huyện Krông Búk  tỉnh Đắk Lắk</v>
      </c>
      <c r="C14344" t="str">
        <v>-</v>
      </c>
      <c r="D14344" t="str">
        <v>-</v>
      </c>
      <c r="E14344" t="str">
        <v/>
      </c>
      <c r="F14344" t="str">
        <v>-</v>
      </c>
      <c r="G14344" t="str">
        <v>-</v>
      </c>
    </row>
    <row r="14345">
      <c r="A14345">
        <v>14344</v>
      </c>
      <c r="B14345" t="str">
        <v>UBND Ủy ban nhân dân huyện Krông Búk  tỉnh Đắk Lắk</v>
      </c>
      <c r="C14345" t="str">
        <v>-</v>
      </c>
      <c r="D14345" t="str">
        <v>-</v>
      </c>
      <c r="E14345" t="str">
        <v>-</v>
      </c>
      <c r="F14345" t="str">
        <v>-</v>
      </c>
      <c r="G14345" t="str">
        <v>-</v>
      </c>
    </row>
    <row r="14346">
      <c r="A14346">
        <v>14345</v>
      </c>
      <c r="B14346" t="str">
        <v>Công an huyện Krông Năng  tỉnh Đắk Lắk</v>
      </c>
      <c r="C14346" t="str">
        <v>-</v>
      </c>
      <c r="D14346" t="str">
        <v>-</v>
      </c>
      <c r="E14346" t="str">
        <v/>
      </c>
      <c r="F14346" t="str">
        <v>-</v>
      </c>
      <c r="G14346" t="str">
        <v>-</v>
      </c>
    </row>
    <row r="14347">
      <c r="A14347">
        <v>14346</v>
      </c>
      <c r="B14347" t="str">
        <v>UBND Ủy ban nhân dân huyện Krông Năng  tỉnh Đắk Lắk</v>
      </c>
      <c r="C14347" t="str">
        <v>-</v>
      </c>
      <c r="D14347" t="str">
        <v>-</v>
      </c>
      <c r="E14347" t="str">
        <v>-</v>
      </c>
      <c r="F14347" t="str">
        <v>-</v>
      </c>
      <c r="G14347" t="str">
        <v>-</v>
      </c>
    </row>
    <row r="14348">
      <c r="A14348">
        <v>14347</v>
      </c>
      <c r="B14348" t="str">
        <v>Công an huyện Ea Kar  tỉnh Đắk Lắk</v>
      </c>
      <c r="C14348" t="str">
        <v>-</v>
      </c>
      <c r="D14348" t="str">
        <v>-</v>
      </c>
      <c r="E14348" t="str">
        <v/>
      </c>
      <c r="F14348" t="str">
        <v>-</v>
      </c>
      <c r="G14348" t="str">
        <v>-</v>
      </c>
    </row>
    <row r="14349">
      <c r="A14349">
        <v>14348</v>
      </c>
      <c r="B14349" t="str">
        <v>UBND Ủy ban nhân dân huyện Ea Kar  tỉnh Đắk Lắk</v>
      </c>
      <c r="C14349" t="str">
        <v>-</v>
      </c>
      <c r="D14349" t="str">
        <v>-</v>
      </c>
      <c r="E14349" t="str">
        <v>-</v>
      </c>
      <c r="F14349" t="str">
        <v>-</v>
      </c>
      <c r="G14349" t="str">
        <v>-</v>
      </c>
    </row>
    <row r="14350">
      <c r="A14350">
        <v>14349</v>
      </c>
      <c r="B14350" t="str">
        <v>Công an huyện M'Đrắk  tỉnh Đắk Lắk</v>
      </c>
      <c r="C14350" t="str">
        <v>-</v>
      </c>
      <c r="D14350" t="str">
        <v>-</v>
      </c>
      <c r="E14350" t="str">
        <v/>
      </c>
      <c r="F14350" t="str">
        <v>-</v>
      </c>
      <c r="G14350" t="str">
        <v>-</v>
      </c>
    </row>
    <row r="14351">
      <c r="A14351">
        <v>14350</v>
      </c>
      <c r="B14351" t="str">
        <v>UBND Ủy ban nhân dân huyện M'Đrắk  tỉnh Đắk Lắk</v>
      </c>
      <c r="C14351" t="str">
        <v>-</v>
      </c>
      <c r="D14351" t="str">
        <v>-</v>
      </c>
      <c r="E14351" t="str">
        <v>-</v>
      </c>
      <c r="F14351" t="str">
        <v>-</v>
      </c>
      <c r="G14351" t="str">
        <v>-</v>
      </c>
    </row>
    <row r="14352">
      <c r="A14352">
        <v>14351</v>
      </c>
      <c r="B14352" t="str">
        <v>Công an huyện Krông Bông  tỉnh Đắk Lắk</v>
      </c>
      <c r="C14352" t="str">
        <v>-</v>
      </c>
      <c r="D14352" t="str">
        <v>-</v>
      </c>
      <c r="E14352" t="str">
        <v/>
      </c>
      <c r="F14352" t="str">
        <v>-</v>
      </c>
      <c r="G14352" t="str">
        <v>-</v>
      </c>
    </row>
    <row r="14353">
      <c r="A14353">
        <v>14352</v>
      </c>
      <c r="B14353" t="str">
        <v>UBND Ủy ban nhân dân huyện Krông Bông  tỉnh Đắk Lắk</v>
      </c>
      <c r="C14353" t="str">
        <v>-</v>
      </c>
      <c r="D14353" t="str">
        <v>-</v>
      </c>
      <c r="E14353" t="str">
        <v>-</v>
      </c>
      <c r="F14353" t="str">
        <v>-</v>
      </c>
      <c r="G14353" t="str">
        <v>-</v>
      </c>
    </row>
    <row r="14354">
      <c r="A14354">
        <v>14353</v>
      </c>
      <c r="B14354" t="str">
        <v>Công an huyện Krông Pắc  tỉnh Đắk Lắk</v>
      </c>
      <c r="C14354" t="str">
        <v>-</v>
      </c>
      <c r="D14354" t="str">
        <v>-</v>
      </c>
      <c r="E14354" t="str">
        <v/>
      </c>
      <c r="F14354" t="str">
        <v>-</v>
      </c>
      <c r="G14354" t="str">
        <v>-</v>
      </c>
    </row>
    <row r="14355">
      <c r="A14355">
        <v>14354</v>
      </c>
      <c r="B14355" t="str">
        <v>UBND Ủy ban nhân dân huyện Krông Pắc  tỉnh Đắk Lắk</v>
      </c>
      <c r="C14355" t="str">
        <v>-</v>
      </c>
      <c r="D14355" t="str">
        <v>-</v>
      </c>
      <c r="E14355" t="str">
        <v>-</v>
      </c>
      <c r="F14355" t="str">
        <v>-</v>
      </c>
      <c r="G14355" t="str">
        <v>-</v>
      </c>
    </row>
    <row r="14356">
      <c r="A14356">
        <v>14355</v>
      </c>
      <c r="B14356" t="str">
        <v>Công an huyện Krông A Na  tỉnh Đắk Lắk</v>
      </c>
      <c r="C14356" t="str">
        <v>-</v>
      </c>
      <c r="D14356" t="str">
        <v>-</v>
      </c>
      <c r="E14356" t="str">
        <v/>
      </c>
      <c r="F14356" t="str">
        <v>-</v>
      </c>
      <c r="G14356" t="str">
        <v>-</v>
      </c>
    </row>
    <row r="14357">
      <c r="A14357">
        <v>14356</v>
      </c>
      <c r="B14357" t="str">
        <v>UBND Ủy ban nhân dân huyện Krông A Na  tỉnh Đắk Lắk</v>
      </c>
      <c r="C14357" t="str">
        <v>-</v>
      </c>
      <c r="D14357" t="str">
        <v>-</v>
      </c>
      <c r="E14357" t="str">
        <v>-</v>
      </c>
      <c r="F14357" t="str">
        <v>-</v>
      </c>
      <c r="G14357" t="str">
        <v>-</v>
      </c>
    </row>
    <row r="14358">
      <c r="A14358">
        <v>14357</v>
      </c>
      <c r="B14358" t="str">
        <v>Công an huyện Lắk  tỉnh Đắk Lắk</v>
      </c>
      <c r="C14358" t="str">
        <v>-</v>
      </c>
      <c r="D14358" t="str">
        <v>-</v>
      </c>
      <c r="E14358" t="str">
        <v/>
      </c>
      <c r="F14358" t="str">
        <v>-</v>
      </c>
      <c r="G14358" t="str">
        <v>-</v>
      </c>
    </row>
    <row r="14359">
      <c r="A14359">
        <v>14358</v>
      </c>
      <c r="B14359" t="str">
        <v>UBND Ủy ban nhân dân huyện Lắk  tỉnh Đắk Lắk</v>
      </c>
      <c r="C14359" t="str">
        <v>-</v>
      </c>
      <c r="D14359" t="str">
        <v>-</v>
      </c>
      <c r="E14359" t="str">
        <v>-</v>
      </c>
      <c r="F14359" t="str">
        <v>-</v>
      </c>
      <c r="G14359" t="str">
        <v>-</v>
      </c>
    </row>
    <row r="14360">
      <c r="A14360">
        <v>14359</v>
      </c>
      <c r="B14360" t="str">
        <v>Công an huyện Cư Kuin  tỉnh Đắk Lắk</v>
      </c>
      <c r="C14360" t="str">
        <v>-</v>
      </c>
      <c r="D14360" t="str">
        <v>-</v>
      </c>
      <c r="E14360" t="str">
        <v/>
      </c>
      <c r="F14360" t="str">
        <v>-</v>
      </c>
      <c r="G14360" t="str">
        <v>-</v>
      </c>
    </row>
    <row r="14361">
      <c r="A14361">
        <v>14360</v>
      </c>
      <c r="B14361" t="str">
        <v>UBND Ủy ban nhân dân huyện Cư Kuin  tỉnh Đắk Lắk</v>
      </c>
      <c r="C14361" t="str">
        <v>-</v>
      </c>
      <c r="D14361" t="str">
        <v>-</v>
      </c>
      <c r="E14361" t="str">
        <v>-</v>
      </c>
      <c r="F14361" t="str">
        <v>-</v>
      </c>
      <c r="G14361" t="str">
        <v>-</v>
      </c>
    </row>
    <row r="14362">
      <c r="A14362">
        <v>14361</v>
      </c>
      <c r="B14362" t="str">
        <v>Công an huyện Đăk Glong  tỉnh Đắk Nông</v>
      </c>
      <c r="C14362" t="str">
        <v>-</v>
      </c>
      <c r="D14362" t="str">
        <v>-</v>
      </c>
      <c r="E14362" t="str">
        <v/>
      </c>
      <c r="F14362" t="str">
        <v>-</v>
      </c>
      <c r="G14362" t="str">
        <v>-</v>
      </c>
    </row>
    <row r="14363">
      <c r="A14363">
        <v>14362</v>
      </c>
      <c r="B14363" t="str">
        <v>UBND Ủy ban nhân dân huyện Đăk Glong  tỉnh Đắk Nông</v>
      </c>
      <c r="C14363" t="str">
        <v>-</v>
      </c>
      <c r="D14363" t="str">
        <v>-</v>
      </c>
      <c r="E14363" t="str">
        <v>-</v>
      </c>
      <c r="F14363" t="str">
        <v>-</v>
      </c>
      <c r="G14363" t="str">
        <v>-</v>
      </c>
    </row>
    <row r="14364">
      <c r="A14364">
        <v>14363</v>
      </c>
      <c r="B14364" t="str">
        <v>Công an huyện Cư Jút  tỉnh Đắk Nông</v>
      </c>
      <c r="C14364" t="str">
        <v>-</v>
      </c>
      <c r="D14364" t="str">
        <v>-</v>
      </c>
      <c r="E14364" t="str">
        <v/>
      </c>
      <c r="F14364" t="str">
        <v>-</v>
      </c>
      <c r="G14364" t="str">
        <v>-</v>
      </c>
    </row>
    <row r="14365">
      <c r="A14365">
        <v>14364</v>
      </c>
      <c r="B14365" t="str">
        <v>UBND Ủy ban nhân dân huyện Cư Jút  tỉnh Đắk Nông</v>
      </c>
      <c r="C14365" t="str">
        <v>-</v>
      </c>
      <c r="D14365" t="str">
        <v>-</v>
      </c>
      <c r="E14365" t="str">
        <v>-</v>
      </c>
      <c r="F14365" t="str">
        <v>-</v>
      </c>
      <c r="G14365" t="str">
        <v>-</v>
      </c>
    </row>
    <row r="14366">
      <c r="A14366">
        <v>14365</v>
      </c>
      <c r="B14366" t="str">
        <v>Công an huyện Đắk Mil  tỉnh Đắk Nông</v>
      </c>
      <c r="C14366" t="str">
        <v>-</v>
      </c>
      <c r="D14366" t="str">
        <v>-</v>
      </c>
      <c r="E14366" t="str">
        <v/>
      </c>
      <c r="F14366" t="str">
        <v>-</v>
      </c>
      <c r="G14366" t="str">
        <v>-</v>
      </c>
    </row>
    <row r="14367">
      <c r="A14367">
        <v>14366</v>
      </c>
      <c r="B14367" t="str">
        <v>UBND Ủy ban nhân dân huyện Đắk Mil  tỉnh Đắk Nông</v>
      </c>
      <c r="C14367" t="str">
        <v>-</v>
      </c>
      <c r="D14367" t="str">
        <v>-</v>
      </c>
      <c r="E14367" t="str">
        <v>-</v>
      </c>
      <c r="F14367" t="str">
        <v>-</v>
      </c>
      <c r="G14367" t="str">
        <v>-</v>
      </c>
    </row>
    <row r="14368">
      <c r="A14368">
        <v>14367</v>
      </c>
      <c r="B14368" t="str">
        <v>Công an huyện Krông Nô  tỉnh Đắk Nông</v>
      </c>
      <c r="C14368" t="str">
        <v>-</v>
      </c>
      <c r="D14368" t="str">
        <v>-</v>
      </c>
      <c r="E14368" t="str">
        <v/>
      </c>
      <c r="F14368" t="str">
        <v>-</v>
      </c>
      <c r="G14368" t="str">
        <v>-</v>
      </c>
    </row>
    <row r="14369">
      <c r="A14369">
        <v>14368</v>
      </c>
      <c r="B14369" t="str">
        <v>UBND Ủy ban nhân dân huyện Krông Nô  tỉnh Đắk Nông</v>
      </c>
      <c r="C14369" t="str">
        <v>-</v>
      </c>
      <c r="D14369" t="str">
        <v>-</v>
      </c>
      <c r="E14369" t="str">
        <v>-</v>
      </c>
      <c r="F14369" t="str">
        <v>-</v>
      </c>
      <c r="G14369" t="str">
        <v>-</v>
      </c>
    </row>
    <row r="14370">
      <c r="A14370">
        <v>14369</v>
      </c>
      <c r="B14370" t="str">
        <v>Công an huyện Đắk Song  tỉnh Đắk Nông</v>
      </c>
      <c r="C14370" t="str">
        <v>-</v>
      </c>
      <c r="D14370" t="str">
        <v>-</v>
      </c>
      <c r="E14370" t="str">
        <v/>
      </c>
      <c r="F14370" t="str">
        <v>-</v>
      </c>
      <c r="G14370" t="str">
        <v>-</v>
      </c>
    </row>
    <row r="14371">
      <c r="A14371">
        <v>14370</v>
      </c>
      <c r="B14371" t="str">
        <v>UBND Ủy ban nhân dân huyện Đắk Song  tỉnh Đắk Nông</v>
      </c>
      <c r="C14371" t="str">
        <v>-</v>
      </c>
      <c r="D14371" t="str">
        <v>-</v>
      </c>
      <c r="E14371" t="str">
        <v>-</v>
      </c>
      <c r="F14371" t="str">
        <v>-</v>
      </c>
      <c r="G14371" t="str">
        <v>-</v>
      </c>
    </row>
    <row r="14372">
      <c r="A14372">
        <v>14371</v>
      </c>
      <c r="B14372" t="str">
        <v>Công an huyện Đắk R'Lấp  tỉnh Đắk Nông</v>
      </c>
      <c r="C14372" t="str">
        <v>-</v>
      </c>
      <c r="D14372" t="str">
        <v>-</v>
      </c>
      <c r="E14372" t="str">
        <v/>
      </c>
      <c r="F14372" t="str">
        <v>-</v>
      </c>
      <c r="G14372" t="str">
        <v>-</v>
      </c>
    </row>
    <row r="14373">
      <c r="A14373">
        <v>14372</v>
      </c>
      <c r="B14373" t="str">
        <v>UBND Ủy ban nhân dân huyện Đắk R'Lấp  tỉnh Đắk Nông</v>
      </c>
      <c r="C14373" t="str">
        <v>-</v>
      </c>
      <c r="D14373" t="str">
        <v>-</v>
      </c>
      <c r="E14373" t="str">
        <v>-</v>
      </c>
      <c r="F14373" t="str">
        <v>-</v>
      </c>
      <c r="G14373" t="str">
        <v>-</v>
      </c>
    </row>
    <row r="14374">
      <c r="A14374">
        <v>14373</v>
      </c>
      <c r="B14374" t="str">
        <v>Công an huyện Tuy Đức  tỉnh Đắk Nông</v>
      </c>
      <c r="C14374" t="str">
        <v>-</v>
      </c>
      <c r="D14374" t="str">
        <v>-</v>
      </c>
      <c r="E14374" t="str">
        <v/>
      </c>
      <c r="F14374" t="str">
        <v>-</v>
      </c>
      <c r="G14374" t="str">
        <v>-</v>
      </c>
    </row>
    <row r="14375">
      <c r="A14375">
        <v>14374</v>
      </c>
      <c r="B14375" t="str">
        <v>UBND Ủy ban nhân dân huyện Tuy Đức  tỉnh Đắk Nông</v>
      </c>
      <c r="C14375" t="str">
        <v>-</v>
      </c>
      <c r="D14375" t="str">
        <v>-</v>
      </c>
      <c r="E14375" t="str">
        <v>-</v>
      </c>
      <c r="F14375" t="str">
        <v>-</v>
      </c>
      <c r="G14375" t="str">
        <v>-</v>
      </c>
    </row>
    <row r="14376">
      <c r="A14376">
        <v>14375</v>
      </c>
      <c r="B14376" t="str">
        <v>Công an thành phố Đà Lạt  tỉnh Lâm Đồng</v>
      </c>
      <c r="C14376" t="str">
        <v>-</v>
      </c>
      <c r="D14376" t="str">
        <v>-</v>
      </c>
      <c r="E14376" t="str">
        <v/>
      </c>
      <c r="F14376" t="str">
        <v>-</v>
      </c>
      <c r="G14376" t="str">
        <v>-</v>
      </c>
    </row>
    <row r="14377">
      <c r="A14377">
        <v>14376</v>
      </c>
      <c r="B14377" t="str">
        <v>UBND Ủy ban nhân dân thành phố Đà Lạt  tỉnh Lâm Đồng</v>
      </c>
      <c r="C14377" t="str">
        <v>-</v>
      </c>
      <c r="D14377" t="str">
        <v>-</v>
      </c>
      <c r="E14377" t="str">
        <v>-</v>
      </c>
      <c r="F14377" t="str">
        <v>-</v>
      </c>
      <c r="G14377" t="str">
        <v>-</v>
      </c>
    </row>
    <row r="14378">
      <c r="A14378">
        <v>14377</v>
      </c>
      <c r="B14378" t="str">
        <v>Công an thành phố Bảo Lộc  tỉnh Lâm Đồng</v>
      </c>
      <c r="C14378" t="str">
        <v>-</v>
      </c>
      <c r="D14378" t="str">
        <v>-</v>
      </c>
      <c r="E14378" t="str">
        <v/>
      </c>
      <c r="F14378" t="str">
        <v>-</v>
      </c>
      <c r="G14378" t="str">
        <v>-</v>
      </c>
    </row>
    <row r="14379">
      <c r="A14379">
        <v>14378</v>
      </c>
      <c r="B14379" t="str">
        <v>UBND Ủy ban nhân dân thành phố Bảo Lộc  tỉnh Lâm Đồng</v>
      </c>
      <c r="C14379" t="str">
        <v>-</v>
      </c>
      <c r="D14379" t="str">
        <v>-</v>
      </c>
      <c r="E14379" t="str">
        <v>-</v>
      </c>
      <c r="F14379" t="str">
        <v>-</v>
      </c>
      <c r="G14379" t="str">
        <v>-</v>
      </c>
    </row>
    <row r="14380">
      <c r="A14380">
        <v>14379</v>
      </c>
      <c r="B14380" t="str">
        <v>Công an huyện Đam Rông  tỉnh Lâm Đồng</v>
      </c>
      <c r="C14380" t="str">
        <v>-</v>
      </c>
      <c r="D14380" t="str">
        <v>-</v>
      </c>
      <c r="E14380" t="str">
        <v/>
      </c>
      <c r="F14380" t="str">
        <v>-</v>
      </c>
      <c r="G14380" t="str">
        <v>-</v>
      </c>
    </row>
    <row r="14381">
      <c r="A14381">
        <v>14380</v>
      </c>
      <c r="B14381" t="str">
        <v>UBND Ủy ban nhân dân huyện Đam Rông  tỉnh Lâm Đồng</v>
      </c>
      <c r="C14381" t="str">
        <v>-</v>
      </c>
      <c r="D14381" t="str">
        <v>-</v>
      </c>
      <c r="E14381" t="str">
        <v>-</v>
      </c>
      <c r="F14381" t="str">
        <v>-</v>
      </c>
      <c r="G14381" t="str">
        <v>-</v>
      </c>
    </row>
    <row r="14382">
      <c r="A14382">
        <v>14381</v>
      </c>
      <c r="B14382" t="str">
        <v>Công an huyện Lạc Dương  tỉnh Lâm Đồng</v>
      </c>
      <c r="C14382" t="str">
        <v>-</v>
      </c>
      <c r="D14382" t="str">
        <v>-</v>
      </c>
      <c r="E14382" t="str">
        <v/>
      </c>
      <c r="F14382" t="str">
        <v>-</v>
      </c>
      <c r="G14382" t="str">
        <v>-</v>
      </c>
    </row>
    <row r="14383">
      <c r="A14383">
        <v>14382</v>
      </c>
      <c r="B14383" t="str">
        <v>UBND Ủy ban nhân dân huyện Lạc Dương  tỉnh Lâm Đồng</v>
      </c>
      <c r="C14383" t="str">
        <v>-</v>
      </c>
      <c r="D14383" t="str">
        <v>-</v>
      </c>
      <c r="E14383" t="str">
        <v>-</v>
      </c>
      <c r="F14383" t="str">
        <v>-</v>
      </c>
      <c r="G14383" t="str">
        <v>-</v>
      </c>
    </row>
    <row r="14384">
      <c r="A14384">
        <v>14383</v>
      </c>
      <c r="B14384" t="str">
        <v>Công an huyện Lâm Hà  tỉnh Lâm Đồng</v>
      </c>
      <c r="C14384" t="str">
        <v>-</v>
      </c>
      <c r="D14384" t="str">
        <v>-</v>
      </c>
      <c r="E14384" t="str">
        <v/>
      </c>
      <c r="F14384" t="str">
        <v>-</v>
      </c>
      <c r="G14384" t="str">
        <v>-</v>
      </c>
    </row>
    <row r="14385">
      <c r="A14385">
        <v>14384</v>
      </c>
      <c r="B14385" t="str">
        <v>UBND Ủy ban nhân dân huyện Lâm Hà  tỉnh Lâm Đồng</v>
      </c>
      <c r="C14385" t="str">
        <v>-</v>
      </c>
      <c r="D14385" t="str">
        <v>-</v>
      </c>
      <c r="E14385" t="str">
        <v>-</v>
      </c>
      <c r="F14385" t="str">
        <v>-</v>
      </c>
      <c r="G14385" t="str">
        <v>-</v>
      </c>
    </row>
    <row r="14386">
      <c r="A14386">
        <v>14385</v>
      </c>
      <c r="B14386" t="str">
        <v>Công an huyện Đơn Dương  tỉnh Lâm Đồng</v>
      </c>
      <c r="C14386" t="str">
        <v>-</v>
      </c>
      <c r="D14386" t="str">
        <v>-</v>
      </c>
      <c r="E14386" t="str">
        <v/>
      </c>
      <c r="F14386" t="str">
        <v>-</v>
      </c>
      <c r="G14386" t="str">
        <v>-</v>
      </c>
    </row>
    <row r="14387">
      <c r="A14387">
        <v>14386</v>
      </c>
      <c r="B14387" t="str">
        <v>UBND Ủy ban nhân dân huyện Đơn Dương  tỉnh Lâm Đồng</v>
      </c>
      <c r="C14387" t="str">
        <v>-</v>
      </c>
      <c r="D14387" t="str">
        <v>-</v>
      </c>
      <c r="E14387" t="str">
        <v>-</v>
      </c>
      <c r="F14387" t="str">
        <v>-</v>
      </c>
      <c r="G14387" t="str">
        <v>-</v>
      </c>
    </row>
    <row r="14388">
      <c r="A14388">
        <v>14387</v>
      </c>
      <c r="B14388" t="str">
        <v>Công an huyện Đức Trọng  tỉnh Lâm Đồng</v>
      </c>
      <c r="C14388" t="str">
        <v>-</v>
      </c>
      <c r="D14388" t="str">
        <v>-</v>
      </c>
      <c r="E14388" t="str">
        <v/>
      </c>
      <c r="F14388" t="str">
        <v>-</v>
      </c>
      <c r="G14388" t="str">
        <v>-</v>
      </c>
    </row>
    <row r="14389">
      <c r="A14389">
        <v>14388</v>
      </c>
      <c r="B14389" t="str">
        <v>UBND Ủy ban nhân dân huyện Đức Trọng  tỉnh Lâm Đồng</v>
      </c>
      <c r="C14389" t="str">
        <v>-</v>
      </c>
      <c r="D14389" t="str">
        <v>-</v>
      </c>
      <c r="E14389" t="str">
        <v>-</v>
      </c>
      <c r="F14389" t="str">
        <v>-</v>
      </c>
      <c r="G14389" t="str">
        <v>-</v>
      </c>
    </row>
    <row r="14390">
      <c r="A14390">
        <v>14389</v>
      </c>
      <c r="B14390" t="str">
        <v>Công an huyện Di Linh  tỉnh Lâm Đồng</v>
      </c>
      <c r="C14390" t="str">
        <v>-</v>
      </c>
      <c r="D14390" t="str">
        <v>-</v>
      </c>
      <c r="E14390" t="str">
        <v/>
      </c>
      <c r="F14390" t="str">
        <v>-</v>
      </c>
      <c r="G14390" t="str">
        <v>-</v>
      </c>
    </row>
    <row r="14391">
      <c r="A14391">
        <v>14390</v>
      </c>
      <c r="B14391" t="str">
        <v>UBND Ủy ban nhân dân huyện Di Linh  tỉnh Lâm Đồng</v>
      </c>
      <c r="C14391" t="str">
        <v>-</v>
      </c>
      <c r="D14391" t="str">
        <v>-</v>
      </c>
      <c r="E14391" t="str">
        <v>-</v>
      </c>
      <c r="F14391" t="str">
        <v>-</v>
      </c>
      <c r="G14391" t="str">
        <v>-</v>
      </c>
    </row>
    <row r="14392">
      <c r="A14392">
        <v>14391</v>
      </c>
      <c r="B14392" t="str">
        <v>Công an huyện Bảo Lâm  tỉnh Lâm Đồng</v>
      </c>
      <c r="C14392" t="str">
        <v>-</v>
      </c>
      <c r="D14392" t="str">
        <v>-</v>
      </c>
      <c r="E14392" t="str">
        <v/>
      </c>
      <c r="F14392" t="str">
        <v>-</v>
      </c>
      <c r="G14392" t="str">
        <v>-</v>
      </c>
    </row>
    <row r="14393">
      <c r="A14393">
        <v>14392</v>
      </c>
      <c r="B14393" t="str">
        <v>UBND Ủy ban nhân dân huyện Bảo Lâm  tỉnh Lâm Đồng</v>
      </c>
      <c r="C14393" t="str">
        <v>-</v>
      </c>
      <c r="D14393" t="str">
        <v>-</v>
      </c>
      <c r="E14393" t="str">
        <v>-</v>
      </c>
      <c r="F14393" t="str">
        <v>-</v>
      </c>
      <c r="G14393" t="str">
        <v>-</v>
      </c>
    </row>
    <row r="14394">
      <c r="A14394">
        <v>14393</v>
      </c>
      <c r="B14394" t="str">
        <v>Công an huyện Đạ Huoai  tỉnh Lâm Đồng</v>
      </c>
      <c r="C14394" t="str">
        <v>-</v>
      </c>
      <c r="D14394" t="str">
        <v>-</v>
      </c>
      <c r="E14394" t="str">
        <v/>
      </c>
      <c r="F14394" t="str">
        <v>-</v>
      </c>
      <c r="G14394" t="str">
        <v>-</v>
      </c>
    </row>
    <row r="14395">
      <c r="A14395">
        <v>14394</v>
      </c>
      <c r="B14395" t="str">
        <v>UBND Ủy ban nhân dân huyện Đạ Huoai  tỉnh Lâm Đồng</v>
      </c>
      <c r="C14395" t="str">
        <v>-</v>
      </c>
      <c r="D14395" t="str">
        <v>-</v>
      </c>
      <c r="E14395" t="str">
        <v>-</v>
      </c>
      <c r="F14395" t="str">
        <v>-</v>
      </c>
      <c r="G14395" t="str">
        <v>-</v>
      </c>
    </row>
    <row r="14396">
      <c r="A14396">
        <v>14395</v>
      </c>
      <c r="B14396" t="str">
        <v>Công an huyện Đạ Tẻh  tỉnh Lâm Đồng</v>
      </c>
      <c r="C14396" t="str">
        <v>-</v>
      </c>
      <c r="D14396" t="str">
        <v>-</v>
      </c>
      <c r="E14396" t="str">
        <v/>
      </c>
      <c r="F14396" t="str">
        <v>-</v>
      </c>
      <c r="G14396" t="str">
        <v>-</v>
      </c>
    </row>
    <row r="14397">
      <c r="A14397">
        <v>14396</v>
      </c>
      <c r="B14397" t="str">
        <v>UBND Ủy ban nhân dân huyện Đạ Tẻh  tỉnh Lâm Đồng</v>
      </c>
      <c r="C14397" t="str">
        <v>-</v>
      </c>
      <c r="D14397" t="str">
        <v>-</v>
      </c>
      <c r="E14397" t="str">
        <v>-</v>
      </c>
      <c r="F14397" t="str">
        <v>-</v>
      </c>
      <c r="G14397" t="str">
        <v>-</v>
      </c>
    </row>
    <row r="14398">
      <c r="A14398">
        <v>14397</v>
      </c>
      <c r="B14398" t="str">
        <v>Công an huyện Cát Tiên  tỉnh Lâm Đồng</v>
      </c>
      <c r="C14398" t="str">
        <v>-</v>
      </c>
      <c r="D14398" t="str">
        <v>-</v>
      </c>
      <c r="E14398" t="str">
        <v/>
      </c>
      <c r="F14398" t="str">
        <v>-</v>
      </c>
      <c r="G14398" t="str">
        <v>-</v>
      </c>
    </row>
    <row r="14399">
      <c r="A14399">
        <v>14398</v>
      </c>
      <c r="B14399" t="str">
        <v>UBND Ủy ban nhân dân huyện Cát Tiên  tỉnh Lâm Đồng</v>
      </c>
      <c r="C14399" t="str">
        <v>-</v>
      </c>
      <c r="D14399" t="str">
        <v>-</v>
      </c>
      <c r="E14399" t="str">
        <v>-</v>
      </c>
      <c r="F14399" t="str">
        <v>-</v>
      </c>
      <c r="G14399" t="str">
        <v>-</v>
      </c>
    </row>
    <row r="14400">
      <c r="A14400">
        <v>14399</v>
      </c>
      <c r="B14400" t="str">
        <v>Công an huyện Bù Gia Mập  tỉnh Bình Phước</v>
      </c>
      <c r="C14400" t="str">
        <v>-</v>
      </c>
      <c r="D14400" t="str">
        <v>-</v>
      </c>
      <c r="E14400" t="str">
        <v/>
      </c>
      <c r="F14400" t="str">
        <v>-</v>
      </c>
      <c r="G14400" t="str">
        <v>-</v>
      </c>
    </row>
    <row r="14401">
      <c r="A14401">
        <v>14400</v>
      </c>
      <c r="B14401" t="str">
        <v>UBND Ủy ban nhân dân huyện Bù Gia Mập  tỉnh Bình Phước</v>
      </c>
      <c r="C14401" t="str">
        <v>-</v>
      </c>
      <c r="D14401" t="str">
        <v>-</v>
      </c>
      <c r="E14401" t="str">
        <v>-</v>
      </c>
      <c r="F14401" t="str">
        <v>-</v>
      </c>
      <c r="G14401" t="str">
        <v>-</v>
      </c>
    </row>
    <row r="14402">
      <c r="A14402">
        <v>14401</v>
      </c>
      <c r="B14402" t="str">
        <v>Công an huyện Lộc Ninh  tỉnh Bình Phước</v>
      </c>
      <c r="C14402" t="str">
        <v>-</v>
      </c>
      <c r="D14402" t="str">
        <v>-</v>
      </c>
      <c r="E14402" t="str">
        <v/>
      </c>
      <c r="F14402" t="str">
        <v>-</v>
      </c>
      <c r="G14402" t="str">
        <v>-</v>
      </c>
    </row>
    <row r="14403">
      <c r="A14403">
        <v>14402</v>
      </c>
      <c r="B14403" t="str">
        <v>UBND Ủy ban nhân dân huyện Lộc Ninh  tỉnh Bình Phước</v>
      </c>
      <c r="C14403" t="str">
        <v>-</v>
      </c>
      <c r="D14403" t="str">
        <v>-</v>
      </c>
      <c r="E14403" t="str">
        <v>-</v>
      </c>
      <c r="F14403" t="str">
        <v>-</v>
      </c>
      <c r="G14403" t="str">
        <v>-</v>
      </c>
    </row>
    <row r="14404">
      <c r="A14404">
        <v>14403</v>
      </c>
      <c r="B14404" t="str">
        <v>Công an huyện Bù Đốp  tỉnh Bình Phước</v>
      </c>
      <c r="C14404" t="str">
        <v>-</v>
      </c>
      <c r="D14404" t="str">
        <v>-</v>
      </c>
      <c r="E14404" t="str">
        <v/>
      </c>
      <c r="F14404" t="str">
        <v>-</v>
      </c>
      <c r="G14404" t="str">
        <v>-</v>
      </c>
    </row>
    <row r="14405">
      <c r="A14405">
        <v>14404</v>
      </c>
      <c r="B14405" t="str">
        <v>UBND Ủy ban nhân dân huyện Bù Đốp  tỉnh Bình Phước</v>
      </c>
      <c r="C14405" t="str">
        <v>-</v>
      </c>
      <c r="D14405" t="str">
        <v>-</v>
      </c>
      <c r="E14405" t="str">
        <v>-</v>
      </c>
      <c r="F14405" t="str">
        <v>-</v>
      </c>
      <c r="G14405" t="str">
        <v>-</v>
      </c>
    </row>
    <row r="14406">
      <c r="A14406">
        <v>14405</v>
      </c>
      <c r="B14406" t="str">
        <v>Công an huyện Hớn Quản  tỉnh Bình Phước</v>
      </c>
      <c r="C14406" t="str">
        <v>-</v>
      </c>
      <c r="D14406" t="str">
        <v>-</v>
      </c>
      <c r="E14406" t="str">
        <v/>
      </c>
      <c r="F14406" t="str">
        <v>-</v>
      </c>
      <c r="G14406" t="str">
        <v>-</v>
      </c>
    </row>
    <row r="14407">
      <c r="A14407">
        <v>14406</v>
      </c>
      <c r="B14407" t="str">
        <v>UBND Ủy ban nhân dân huyện Hớn Quản  tỉnh Bình Phước</v>
      </c>
      <c r="C14407" t="str">
        <v>-</v>
      </c>
      <c r="D14407" t="str">
        <v>-</v>
      </c>
      <c r="E14407" t="str">
        <v>-</v>
      </c>
      <c r="F14407" t="str">
        <v>-</v>
      </c>
      <c r="G14407" t="str">
        <v>-</v>
      </c>
    </row>
    <row r="14408">
      <c r="A14408">
        <v>14407</v>
      </c>
      <c r="B14408" t="str">
        <v>Công an huyện Đồng Phú  tỉnh Bình Phước</v>
      </c>
      <c r="C14408" t="str">
        <v>-</v>
      </c>
      <c r="D14408" t="str">
        <v>-</v>
      </c>
      <c r="E14408" t="str">
        <v/>
      </c>
      <c r="F14408" t="str">
        <v>-</v>
      </c>
      <c r="G14408" t="str">
        <v>-</v>
      </c>
    </row>
    <row r="14409">
      <c r="A14409">
        <v>14408</v>
      </c>
      <c r="B14409" t="str">
        <v>UBND Ủy ban nhân dân huyện Đồng Phú  tỉnh Bình Phước</v>
      </c>
      <c r="C14409" t="str">
        <v>-</v>
      </c>
      <c r="D14409" t="str">
        <v>-</v>
      </c>
      <c r="E14409" t="str">
        <v>-</v>
      </c>
      <c r="F14409" t="str">
        <v>-</v>
      </c>
      <c r="G14409" t="str">
        <v>-</v>
      </c>
    </row>
    <row r="14410">
      <c r="A14410">
        <v>14409</v>
      </c>
      <c r="B14410" t="str">
        <v>Công an huyện Bù Đăng  tỉnh Bình Phước</v>
      </c>
      <c r="C14410" t="str">
        <v>-</v>
      </c>
      <c r="D14410" t="str">
        <v>-</v>
      </c>
      <c r="E14410" t="str">
        <v/>
      </c>
      <c r="F14410" t="str">
        <v>-</v>
      </c>
      <c r="G14410" t="str">
        <v>-</v>
      </c>
    </row>
    <row r="14411">
      <c r="A14411">
        <v>14410</v>
      </c>
      <c r="B14411" t="str">
        <v>UBND Ủy ban nhân dân huyện Bù Đăng  tỉnh Bình Phước</v>
      </c>
      <c r="C14411" t="str">
        <v>-</v>
      </c>
      <c r="D14411" t="str">
        <v>-</v>
      </c>
      <c r="E14411" t="str">
        <v>-</v>
      </c>
      <c r="F14411" t="str">
        <v>-</v>
      </c>
      <c r="G14411" t="str">
        <v>-</v>
      </c>
    </row>
    <row r="14412">
      <c r="A14412">
        <v>14411</v>
      </c>
      <c r="B14412" t="str">
        <v>Công an huyện Chơn Thành  tỉnh Bình Phước</v>
      </c>
      <c r="C14412" t="str">
        <v>-</v>
      </c>
      <c r="D14412" t="str">
        <v>-</v>
      </c>
      <c r="E14412" t="str">
        <v/>
      </c>
      <c r="F14412" t="str">
        <v>-</v>
      </c>
      <c r="G14412" t="str">
        <v>-</v>
      </c>
    </row>
    <row r="14413">
      <c r="A14413">
        <v>14412</v>
      </c>
      <c r="B14413" t="str">
        <v>UBND Ủy ban nhân dân huyện Chơn Thành  tỉnh Bình Phước</v>
      </c>
      <c r="C14413" t="str">
        <v>-</v>
      </c>
      <c r="D14413" t="str">
        <v>-</v>
      </c>
      <c r="E14413" t="str">
        <v>-</v>
      </c>
      <c r="F14413" t="str">
        <v>-</v>
      </c>
      <c r="G14413" t="str">
        <v>-</v>
      </c>
    </row>
    <row r="14414">
      <c r="A14414">
        <v>14413</v>
      </c>
      <c r="B14414" t="str">
        <v>Công an huyện Phú Riềng  tỉnh Bình Phước</v>
      </c>
      <c r="C14414" t="str">
        <v>-</v>
      </c>
      <c r="D14414" t="str">
        <v>-</v>
      </c>
      <c r="E14414" t="str">
        <v/>
      </c>
      <c r="F14414" t="str">
        <v>-</v>
      </c>
      <c r="G14414" t="str">
        <v>-</v>
      </c>
    </row>
    <row r="14415">
      <c r="A14415">
        <v>14414</v>
      </c>
      <c r="B14415" t="str">
        <v>UBND Ủy ban nhân dân huyện Phú Riềng  tỉnh Bình Phước</v>
      </c>
      <c r="C14415" t="str">
        <v>-</v>
      </c>
      <c r="D14415" t="str">
        <v>-</v>
      </c>
      <c r="E14415" t="str">
        <v>-</v>
      </c>
      <c r="F14415" t="str">
        <v>-</v>
      </c>
      <c r="G14415" t="str">
        <v>-</v>
      </c>
    </row>
    <row r="14416">
      <c r="A14416">
        <v>14415</v>
      </c>
      <c r="B14416" t="str">
        <v>Công an thành phố Tây Ninh  tỉnh Tây Ninh</v>
      </c>
      <c r="C14416" t="str">
        <v>-</v>
      </c>
      <c r="D14416" t="str">
        <v>-</v>
      </c>
      <c r="E14416" t="str">
        <v/>
      </c>
      <c r="F14416" t="str">
        <v>-</v>
      </c>
      <c r="G14416" t="str">
        <v>-</v>
      </c>
    </row>
    <row r="14417">
      <c r="A14417">
        <v>14416</v>
      </c>
      <c r="B14417" t="str">
        <v>UBND Ủy ban nhân dân thành phố Tây Ninh  tỉnh Tây Ninh</v>
      </c>
      <c r="C14417" t="str">
        <v>-</v>
      </c>
      <c r="D14417" t="str">
        <v>-</v>
      </c>
      <c r="E14417" t="str">
        <v>-</v>
      </c>
      <c r="F14417" t="str">
        <v>-</v>
      </c>
      <c r="G14417" t="str">
        <v>-</v>
      </c>
    </row>
    <row r="14418">
      <c r="A14418">
        <v>14417</v>
      </c>
      <c r="B14418" t="str">
        <v>Công an huyện Tân Biên  tỉnh Tây Ninh</v>
      </c>
      <c r="C14418" t="str">
        <v>-</v>
      </c>
      <c r="D14418" t="str">
        <v>-</v>
      </c>
      <c r="E14418" t="str">
        <v/>
      </c>
      <c r="F14418" t="str">
        <v>-</v>
      </c>
      <c r="G14418" t="str">
        <v>-</v>
      </c>
    </row>
    <row r="14419">
      <c r="A14419">
        <v>14418</v>
      </c>
      <c r="B14419" t="str">
        <v>UBND Ủy ban nhân dân huyện Tân Biên  tỉnh Tây Ninh</v>
      </c>
      <c r="C14419" t="str">
        <v>-</v>
      </c>
      <c r="D14419" t="str">
        <v>-</v>
      </c>
      <c r="E14419" t="str">
        <v>-</v>
      </c>
      <c r="F14419" t="str">
        <v>-</v>
      </c>
      <c r="G14419" t="str">
        <v>-</v>
      </c>
    </row>
    <row r="14420">
      <c r="A14420">
        <v>14419</v>
      </c>
      <c r="B14420" t="str">
        <v>Công an huyện Tân Châu  tỉnh Tây Ninh</v>
      </c>
      <c r="C14420" t="str">
        <v>-</v>
      </c>
      <c r="D14420" t="str">
        <v>-</v>
      </c>
      <c r="E14420" t="str">
        <v/>
      </c>
      <c r="F14420" t="str">
        <v>-</v>
      </c>
      <c r="G14420" t="str">
        <v>-</v>
      </c>
    </row>
    <row r="14421">
      <c r="A14421">
        <v>14420</v>
      </c>
      <c r="B14421" t="str">
        <v>UBND Ủy ban nhân dân huyện Tân Châu  tỉnh Tây Ninh</v>
      </c>
      <c r="C14421" t="str">
        <v>-</v>
      </c>
      <c r="D14421" t="str">
        <v>-</v>
      </c>
      <c r="E14421" t="str">
        <v>-</v>
      </c>
      <c r="F14421" t="str">
        <v>-</v>
      </c>
      <c r="G14421" t="str">
        <v>-</v>
      </c>
    </row>
    <row r="14422">
      <c r="A14422">
        <v>14421</v>
      </c>
      <c r="B14422" t="str">
        <v>Công an huyện Dương Minh Châu  tỉnh Tây Ninh</v>
      </c>
      <c r="C14422" t="str">
        <v>-</v>
      </c>
      <c r="D14422" t="str">
        <v>-</v>
      </c>
      <c r="E14422" t="str">
        <v/>
      </c>
      <c r="F14422" t="str">
        <v>-</v>
      </c>
      <c r="G14422" t="str">
        <v>-</v>
      </c>
    </row>
    <row r="14423">
      <c r="A14423">
        <v>14422</v>
      </c>
      <c r="B14423" t="str">
        <v>UBND Ủy ban nhân dân huyện Dương Minh Châu  tỉnh Tây Ninh</v>
      </c>
      <c r="C14423" t="str">
        <v>-</v>
      </c>
      <c r="D14423" t="str">
        <v>-</v>
      </c>
      <c r="E14423" t="str">
        <v>-</v>
      </c>
      <c r="F14423" t="str">
        <v>-</v>
      </c>
      <c r="G14423" t="str">
        <v>-</v>
      </c>
    </row>
    <row r="14424">
      <c r="A14424">
        <v>14423</v>
      </c>
      <c r="B14424" t="str">
        <v>Công an huyện Châu Thành  tỉnh Tây Ninh</v>
      </c>
      <c r="C14424" t="str">
        <v>-</v>
      </c>
      <c r="D14424" t="str">
        <v>-</v>
      </c>
      <c r="E14424" t="str">
        <v/>
      </c>
      <c r="F14424" t="str">
        <v>-</v>
      </c>
      <c r="G14424" t="str">
        <v>-</v>
      </c>
    </row>
    <row r="14425">
      <c r="A14425">
        <v>14424</v>
      </c>
      <c r="B14425" t="str">
        <v>UBND Ủy ban nhân dân huyện Châu Thành  tỉnh Tây Ninh</v>
      </c>
      <c r="C14425" t="str">
        <v>-</v>
      </c>
      <c r="D14425" t="str">
        <v>-</v>
      </c>
      <c r="E14425" t="str">
        <v>-</v>
      </c>
      <c r="F14425" t="str">
        <v>-</v>
      </c>
      <c r="G14425" t="str">
        <v>-</v>
      </c>
    </row>
    <row r="14426">
      <c r="A14426">
        <v>14425</v>
      </c>
      <c r="B14426" t="str">
        <v>Công an huyện Hòa Thành  tỉnh Tây Ninh</v>
      </c>
      <c r="C14426" t="str">
        <v>-</v>
      </c>
      <c r="D14426" t="str">
        <v>-</v>
      </c>
      <c r="E14426" t="str">
        <v/>
      </c>
      <c r="F14426" t="str">
        <v>-</v>
      </c>
      <c r="G14426" t="str">
        <v>-</v>
      </c>
    </row>
    <row r="14427">
      <c r="A14427">
        <v>14426</v>
      </c>
      <c r="B14427" t="str">
        <v>UBND Ủy ban nhân dân huyện Hòa Thành  tỉnh Tây Ninh</v>
      </c>
      <c r="C14427" t="str">
        <v>-</v>
      </c>
      <c r="D14427" t="str">
        <v>-</v>
      </c>
      <c r="E14427" t="str">
        <v>-</v>
      </c>
      <c r="F14427" t="str">
        <v>-</v>
      </c>
      <c r="G14427" t="str">
        <v>-</v>
      </c>
    </row>
    <row r="14428">
      <c r="A14428">
        <v>14427</v>
      </c>
      <c r="B14428" t="str">
        <v>Công an huyện Gò Dầu  tỉnh Tây Ninh</v>
      </c>
      <c r="C14428" t="str">
        <v>-</v>
      </c>
      <c r="D14428" t="str">
        <v>-</v>
      </c>
      <c r="E14428" t="str">
        <v/>
      </c>
      <c r="F14428" t="str">
        <v>-</v>
      </c>
      <c r="G14428" t="str">
        <v>-</v>
      </c>
    </row>
    <row r="14429">
      <c r="A14429">
        <v>14428</v>
      </c>
      <c r="B14429" t="str">
        <v>UBND Ủy ban nhân dân huyện Gò Dầu  tỉnh Tây Ninh</v>
      </c>
      <c r="C14429" t="str">
        <v>-</v>
      </c>
      <c r="D14429" t="str">
        <v>-</v>
      </c>
      <c r="E14429" t="str">
        <v>-</v>
      </c>
      <c r="F14429" t="str">
        <v>-</v>
      </c>
      <c r="G14429" t="str">
        <v>-</v>
      </c>
    </row>
    <row r="14430">
      <c r="A14430">
        <v>14429</v>
      </c>
      <c r="B14430" t="str">
        <v>Công an huyện Bến Cầu  tỉnh Tây Ninh</v>
      </c>
      <c r="C14430" t="str">
        <v>-</v>
      </c>
      <c r="D14430" t="str">
        <v>-</v>
      </c>
      <c r="E14430" t="str">
        <v/>
      </c>
      <c r="F14430" t="str">
        <v>-</v>
      </c>
      <c r="G14430" t="str">
        <v>-</v>
      </c>
    </row>
    <row r="14431">
      <c r="A14431">
        <v>14430</v>
      </c>
      <c r="B14431" t="str">
        <v>UBND Ủy ban nhân dân huyện Bến Cầu  tỉnh Tây Ninh</v>
      </c>
      <c r="C14431" t="str">
        <v>-</v>
      </c>
      <c r="D14431" t="str">
        <v>-</v>
      </c>
      <c r="E14431" t="str">
        <v>-</v>
      </c>
      <c r="F14431" t="str">
        <v>-</v>
      </c>
      <c r="G14431" t="str">
        <v>-</v>
      </c>
    </row>
    <row r="14432">
      <c r="A14432">
        <v>14431</v>
      </c>
      <c r="B14432" t="str">
        <v>Công an huyện Trảng Bàng  tỉnh Tây Ninh</v>
      </c>
      <c r="C14432" t="str">
        <v>-</v>
      </c>
      <c r="D14432" t="str">
        <v>-</v>
      </c>
      <c r="E14432" t="str">
        <v/>
      </c>
      <c r="F14432" t="str">
        <v>-</v>
      </c>
      <c r="G14432" t="str">
        <v>-</v>
      </c>
    </row>
    <row r="14433">
      <c r="A14433">
        <v>14432</v>
      </c>
      <c r="B14433" t="str">
        <v>UBND Ủy ban nhân dân huyện Trảng Bàng  tỉnh Tây Ninh</v>
      </c>
      <c r="C14433" t="str">
        <v>-</v>
      </c>
      <c r="D14433" t="str">
        <v>-</v>
      </c>
      <c r="E14433" t="str">
        <v>-</v>
      </c>
      <c r="F14433" t="str">
        <v>-</v>
      </c>
      <c r="G14433" t="str">
        <v>-</v>
      </c>
    </row>
    <row r="14434">
      <c r="A14434">
        <v>14433</v>
      </c>
      <c r="B14434" t="str">
        <v>Công an thành phố Thủ Dầu Một  tỉnh Bình Dương</v>
      </c>
      <c r="C14434" t="str">
        <v>-</v>
      </c>
      <c r="D14434" t="str">
        <v>-</v>
      </c>
      <c r="E14434" t="str">
        <v/>
      </c>
      <c r="F14434" t="str">
        <v>-</v>
      </c>
      <c r="G14434" t="str">
        <v>-</v>
      </c>
    </row>
    <row r="14435">
      <c r="A14435">
        <v>14434</v>
      </c>
      <c r="B14435" t="str">
        <v>UBND Ủy ban nhân dân thành phố Thủ Dầu Một  tỉnh Bình Dương</v>
      </c>
      <c r="C14435" t="str">
        <v>-</v>
      </c>
      <c r="D14435" t="str">
        <v>-</v>
      </c>
      <c r="E14435" t="str">
        <v>-</v>
      </c>
      <c r="F14435" t="str">
        <v>-</v>
      </c>
      <c r="G14435" t="str">
        <v>-</v>
      </c>
    </row>
    <row r="14436">
      <c r="A14436">
        <v>14435</v>
      </c>
      <c r="B14436" t="str">
        <v>Công an huyện Bàu Bàng  tỉnh Bình Dương</v>
      </c>
      <c r="C14436" t="str">
        <v>-</v>
      </c>
      <c r="D14436" t="str">
        <v>-</v>
      </c>
      <c r="E14436" t="str">
        <v/>
      </c>
      <c r="F14436" t="str">
        <v>-</v>
      </c>
      <c r="G14436" t="str">
        <v>-</v>
      </c>
    </row>
    <row r="14437">
      <c r="A14437">
        <v>14436</v>
      </c>
      <c r="B14437" t="str">
        <v>UBND Ủy ban nhân dân huyện Bàu Bàng  tỉnh Bình Dương</v>
      </c>
      <c r="C14437" t="str">
        <v>-</v>
      </c>
      <c r="D14437" t="str">
        <v>-</v>
      </c>
      <c r="E14437" t="str">
        <v>-</v>
      </c>
      <c r="F14437" t="str">
        <v>-</v>
      </c>
      <c r="G14437" t="str">
        <v>-</v>
      </c>
    </row>
    <row r="14438">
      <c r="A14438">
        <v>14437</v>
      </c>
      <c r="B14438" t="str">
        <v>Công an huyện Dầu Tiếng  tỉnh Bình Dương</v>
      </c>
      <c r="C14438" t="str">
        <v>-</v>
      </c>
      <c r="D14438" t="str">
        <v>-</v>
      </c>
      <c r="E14438" t="str">
        <v/>
      </c>
      <c r="F14438" t="str">
        <v>-</v>
      </c>
      <c r="G14438" t="str">
        <v>-</v>
      </c>
    </row>
    <row r="14439">
      <c r="A14439">
        <v>14438</v>
      </c>
      <c r="B14439" t="str">
        <v>UBND Ủy ban nhân dân huyện Dầu Tiếng  tỉnh Bình Dương</v>
      </c>
      <c r="C14439" t="str">
        <v>-</v>
      </c>
      <c r="D14439" t="str">
        <v>-</v>
      </c>
      <c r="E14439" t="str">
        <v>-</v>
      </c>
      <c r="F14439" t="str">
        <v>-</v>
      </c>
      <c r="G14439" t="str">
        <v>-</v>
      </c>
    </row>
    <row r="14440">
      <c r="A14440">
        <v>14439</v>
      </c>
      <c r="B14440" t="str">
        <v>Công an huyện Phú Giáo  tỉnh Bình Dương</v>
      </c>
      <c r="C14440" t="str">
        <v>-</v>
      </c>
      <c r="D14440" t="str">
        <v>-</v>
      </c>
      <c r="E14440" t="str">
        <v/>
      </c>
      <c r="F14440" t="str">
        <v>-</v>
      </c>
      <c r="G14440" t="str">
        <v>-</v>
      </c>
    </row>
    <row r="14441">
      <c r="A14441">
        <v>14440</v>
      </c>
      <c r="B14441" t="str">
        <v>UBND Ủy ban nhân dân huyện Phú Giáo  tỉnh Bình Dương</v>
      </c>
      <c r="C14441" t="str">
        <v>-</v>
      </c>
      <c r="D14441" t="str">
        <v>-</v>
      </c>
      <c r="E14441" t="str">
        <v>-</v>
      </c>
      <c r="F14441" t="str">
        <v>-</v>
      </c>
      <c r="G14441" t="str">
        <v>-</v>
      </c>
    </row>
    <row r="14442">
      <c r="A14442">
        <v>14441</v>
      </c>
      <c r="B14442" t="str">
        <v>Công an huyện Bắc Tân Uyên  tỉnh Bình Dương</v>
      </c>
      <c r="C14442" t="str">
        <v>-</v>
      </c>
      <c r="D14442" t="str">
        <v>-</v>
      </c>
      <c r="E14442" t="str">
        <v/>
      </c>
      <c r="F14442" t="str">
        <v>-</v>
      </c>
      <c r="G14442" t="str">
        <v>-</v>
      </c>
    </row>
    <row r="14443">
      <c r="A14443">
        <v>14442</v>
      </c>
      <c r="B14443" t="str">
        <v>UBND Ủy ban nhân dân huyện Bắc Tân Uyên  tỉnh Bình Dương</v>
      </c>
      <c r="C14443" t="str">
        <v>-</v>
      </c>
      <c r="D14443" t="str">
        <v>-</v>
      </c>
      <c r="E14443" t="str">
        <v>-</v>
      </c>
      <c r="F14443" t="str">
        <v>-</v>
      </c>
      <c r="G14443" t="str">
        <v>-</v>
      </c>
    </row>
    <row r="14444">
      <c r="A14444">
        <v>14443</v>
      </c>
      <c r="B14444" t="str">
        <v>Công an thành phố Biên Hòa  tỉnh Đồng Nai</v>
      </c>
      <c r="C14444" t="str">
        <v>-</v>
      </c>
      <c r="D14444" t="str">
        <v>-</v>
      </c>
      <c r="E14444" t="str">
        <v/>
      </c>
      <c r="F14444" t="str">
        <v>-</v>
      </c>
      <c r="G14444" t="str">
        <v>-</v>
      </c>
    </row>
    <row r="14445">
      <c r="A14445">
        <v>14444</v>
      </c>
      <c r="B14445" t="str">
        <v>UBND Ủy ban nhân dân thành phố Biên Hòa  tỉnh Đồng Nai</v>
      </c>
      <c r="C14445" t="str">
        <v>-</v>
      </c>
      <c r="D14445" t="str">
        <v>-</v>
      </c>
      <c r="E14445" t="str">
        <v>-</v>
      </c>
      <c r="F14445" t="str">
        <v>-</v>
      </c>
      <c r="G14445" t="str">
        <v>-</v>
      </c>
    </row>
    <row r="14446">
      <c r="A14446">
        <v>14445</v>
      </c>
      <c r="B14446" t="str">
        <v>Công an huyện Tân Phú  tỉnh Đồng Nai</v>
      </c>
      <c r="C14446" t="str">
        <v>-</v>
      </c>
      <c r="D14446" t="str">
        <v>-</v>
      </c>
      <c r="E14446" t="str">
        <v/>
      </c>
      <c r="F14446" t="str">
        <v>-</v>
      </c>
      <c r="G14446" t="str">
        <v>-</v>
      </c>
    </row>
    <row r="14447">
      <c r="A14447">
        <v>14446</v>
      </c>
      <c r="B14447" t="str">
        <v>UBND Ủy ban nhân dân huyện Tân Phú  tỉnh Đồng Nai</v>
      </c>
      <c r="C14447" t="str">
        <v>-</v>
      </c>
      <c r="D14447" t="str">
        <v>-</v>
      </c>
      <c r="E14447" t="str">
        <v>-</v>
      </c>
      <c r="F14447" t="str">
        <v>-</v>
      </c>
      <c r="G14447" t="str">
        <v>-</v>
      </c>
    </row>
    <row r="14448">
      <c r="A14448">
        <v>14447</v>
      </c>
      <c r="B14448" t="str">
        <v>Công an huyện Vĩnh Cửu  tỉnh Đồng Nai</v>
      </c>
      <c r="C14448" t="str">
        <v>-</v>
      </c>
      <c r="D14448" t="str">
        <v>-</v>
      </c>
      <c r="E14448" t="str">
        <v/>
      </c>
      <c r="F14448" t="str">
        <v>-</v>
      </c>
      <c r="G14448" t="str">
        <v>-</v>
      </c>
    </row>
    <row r="14449">
      <c r="A14449">
        <v>14448</v>
      </c>
      <c r="B14449" t="str">
        <v>UBND Ủy ban nhân dân huyện Vĩnh Cửu  tỉnh Đồng Nai</v>
      </c>
      <c r="C14449" t="str">
        <v>-</v>
      </c>
      <c r="D14449" t="str">
        <v>-</v>
      </c>
      <c r="E14449" t="str">
        <v>-</v>
      </c>
      <c r="F14449" t="str">
        <v>-</v>
      </c>
      <c r="G14449" t="str">
        <v>-</v>
      </c>
    </row>
    <row r="14450">
      <c r="A14450">
        <v>14449</v>
      </c>
      <c r="B14450" t="str">
        <v>Công an huyện Định Quán  tỉnh Đồng Nai</v>
      </c>
      <c r="C14450" t="str">
        <v>-</v>
      </c>
      <c r="D14450" t="str">
        <v>-</v>
      </c>
      <c r="E14450" t="str">
        <v/>
      </c>
      <c r="F14450" t="str">
        <v>-</v>
      </c>
      <c r="G14450" t="str">
        <v>-</v>
      </c>
    </row>
    <row r="14451">
      <c r="A14451">
        <v>14450</v>
      </c>
      <c r="B14451" t="str">
        <v>UBND Ủy ban nhân dân huyện Định Quán  tỉnh Đồng Nai</v>
      </c>
      <c r="C14451" t="str">
        <v>-</v>
      </c>
      <c r="D14451" t="str">
        <v>-</v>
      </c>
      <c r="E14451" t="str">
        <v>-</v>
      </c>
      <c r="F14451" t="str">
        <v>-</v>
      </c>
      <c r="G14451" t="str">
        <v>-</v>
      </c>
    </row>
    <row r="14452">
      <c r="A14452">
        <v>14451</v>
      </c>
      <c r="B14452" t="str">
        <v>Công an huyện Trảng Bom  tỉnh Đồng Nai</v>
      </c>
      <c r="C14452" t="str">
        <v>-</v>
      </c>
      <c r="D14452" t="str">
        <v>-</v>
      </c>
      <c r="E14452" t="str">
        <v/>
      </c>
      <c r="F14452" t="str">
        <v>-</v>
      </c>
      <c r="G14452" t="str">
        <v>-</v>
      </c>
    </row>
    <row r="14453">
      <c r="A14453">
        <v>14452</v>
      </c>
      <c r="B14453" t="str">
        <v>UBND Ủy ban nhân dân huyện Trảng Bom  tỉnh Đồng Nai</v>
      </c>
      <c r="C14453" t="str">
        <v>-</v>
      </c>
      <c r="D14453" t="str">
        <v>-</v>
      </c>
      <c r="E14453" t="str">
        <v>-</v>
      </c>
      <c r="F14453" t="str">
        <v>-</v>
      </c>
      <c r="G14453" t="str">
        <v>-</v>
      </c>
    </row>
    <row r="14454">
      <c r="A14454">
        <v>14453</v>
      </c>
      <c r="B14454" t="str">
        <v>Công an huyện Thống Nhất  tỉnh Đồng Nai</v>
      </c>
      <c r="C14454" t="str">
        <v>-</v>
      </c>
      <c r="D14454" t="str">
        <v>-</v>
      </c>
      <c r="E14454" t="str">
        <v/>
      </c>
      <c r="F14454" t="str">
        <v>-</v>
      </c>
      <c r="G14454" t="str">
        <v>-</v>
      </c>
    </row>
    <row r="14455">
      <c r="A14455">
        <v>14454</v>
      </c>
      <c r="B14455" t="str">
        <v>UBND Ủy ban nhân dân huyện Thống Nhất  tỉnh Đồng Nai</v>
      </c>
      <c r="C14455" t="str">
        <v>-</v>
      </c>
      <c r="D14455" t="str">
        <v>-</v>
      </c>
      <c r="E14455" t="str">
        <v>-</v>
      </c>
      <c r="F14455" t="str">
        <v>-</v>
      </c>
      <c r="G14455" t="str">
        <v>-</v>
      </c>
    </row>
    <row r="14456">
      <c r="A14456">
        <v>14455</v>
      </c>
      <c r="B14456" t="str">
        <v>Công an huyện Cẩm Mỹ  tỉnh Đồng Nai</v>
      </c>
      <c r="C14456" t="str">
        <v>-</v>
      </c>
      <c r="D14456" t="str">
        <v>-</v>
      </c>
      <c r="E14456" t="str">
        <v/>
      </c>
      <c r="F14456" t="str">
        <v>-</v>
      </c>
      <c r="G14456" t="str">
        <v>-</v>
      </c>
    </row>
    <row r="14457">
      <c r="A14457">
        <v>14456</v>
      </c>
      <c r="B14457" t="str">
        <v>UBND Ủy ban nhân dân huyện Cẩm Mỹ  tỉnh Đồng Nai</v>
      </c>
      <c r="C14457" t="str">
        <v>-</v>
      </c>
      <c r="D14457" t="str">
        <v>-</v>
      </c>
      <c r="E14457" t="str">
        <v>-</v>
      </c>
      <c r="F14457" t="str">
        <v>-</v>
      </c>
      <c r="G14457" t="str">
        <v>-</v>
      </c>
    </row>
    <row r="14458">
      <c r="A14458">
        <v>14457</v>
      </c>
      <c r="B14458" t="str">
        <v>Công an huyện Long Thành  tỉnh Đồng Nai</v>
      </c>
      <c r="C14458" t="str">
        <v>-</v>
      </c>
      <c r="D14458" t="str">
        <v>-</v>
      </c>
      <c r="E14458" t="str">
        <v/>
      </c>
      <c r="F14458" t="str">
        <v>-</v>
      </c>
      <c r="G14458" t="str">
        <v>-</v>
      </c>
    </row>
    <row r="14459">
      <c r="A14459">
        <v>14458</v>
      </c>
      <c r="B14459" t="str">
        <v>UBND Ủy ban nhân dân huyện Long Thành  tỉnh Đồng Nai</v>
      </c>
      <c r="C14459" t="str">
        <v>-</v>
      </c>
      <c r="D14459" t="str">
        <v>-</v>
      </c>
      <c r="E14459" t="str">
        <v>-</v>
      </c>
      <c r="F14459" t="str">
        <v>-</v>
      </c>
      <c r="G14459" t="str">
        <v>-</v>
      </c>
    </row>
    <row r="14460">
      <c r="A14460">
        <v>14459</v>
      </c>
      <c r="B14460" t="str">
        <v>Công an huyện Xuân Lộc  tỉnh Đồng Nai</v>
      </c>
      <c r="C14460" t="str">
        <v>-</v>
      </c>
      <c r="D14460" t="str">
        <v>-</v>
      </c>
      <c r="E14460" t="str">
        <v/>
      </c>
      <c r="F14460" t="str">
        <v>-</v>
      </c>
      <c r="G14460" t="str">
        <v>-</v>
      </c>
    </row>
    <row r="14461">
      <c r="A14461">
        <v>14460</v>
      </c>
      <c r="B14461" t="str">
        <v>UBND Ủy ban nhân dân huyện Xuân Lộc  tỉnh Đồng Nai</v>
      </c>
      <c r="C14461" t="str">
        <v>-</v>
      </c>
      <c r="D14461" t="str">
        <v>-</v>
      </c>
      <c r="E14461" t="str">
        <v>-</v>
      </c>
      <c r="F14461" t="str">
        <v>-</v>
      </c>
      <c r="G14461" t="str">
        <v>-</v>
      </c>
    </row>
    <row r="14462">
      <c r="A14462">
        <v>14461</v>
      </c>
      <c r="B14462" t="str">
        <v>Công an huyện Nhơn Trạch  tỉnh Đồng Nai</v>
      </c>
      <c r="C14462" t="str">
        <v>-</v>
      </c>
      <c r="D14462" t="str">
        <v>-</v>
      </c>
      <c r="E14462" t="str">
        <v/>
      </c>
      <c r="F14462" t="str">
        <v>-</v>
      </c>
      <c r="G14462" t="str">
        <v>-</v>
      </c>
    </row>
    <row r="14463">
      <c r="A14463">
        <v>14462</v>
      </c>
      <c r="B14463" t="str">
        <v>UBND Ủy ban nhân dân huyện Nhơn Trạch  tỉnh Đồng Nai</v>
      </c>
      <c r="C14463" t="str">
        <v>-</v>
      </c>
      <c r="D14463" t="str">
        <v>-</v>
      </c>
      <c r="E14463" t="str">
        <v>-</v>
      </c>
      <c r="F14463" t="str">
        <v>-</v>
      </c>
      <c r="G14463" t="str">
        <v>-</v>
      </c>
    </row>
    <row r="14464">
      <c r="A14464">
        <v>14463</v>
      </c>
      <c r="B14464" t="str">
        <v>Công an thành phố Vũng Tàu  tỉnh Bà Rịa - Vũng Tàu</v>
      </c>
      <c r="C14464" t="str">
        <v>-</v>
      </c>
      <c r="D14464" t="str">
        <v>-</v>
      </c>
      <c r="E14464" t="str">
        <v/>
      </c>
      <c r="F14464" t="str">
        <v>-</v>
      </c>
      <c r="G14464" t="str">
        <v>-</v>
      </c>
    </row>
    <row r="14465">
      <c r="A14465">
        <v>14464</v>
      </c>
      <c r="B14465" t="str">
        <v>UBND Ủy ban nhân dân thành phố Vũng Tàu  tỉnh Bà Rịa - Vũng Tàu</v>
      </c>
      <c r="C14465" t="str">
        <v>-</v>
      </c>
      <c r="D14465" t="str">
        <v>-</v>
      </c>
      <c r="E14465" t="str">
        <v>-</v>
      </c>
      <c r="F14465" t="str">
        <v>-</v>
      </c>
      <c r="G14465" t="str">
        <v>-</v>
      </c>
    </row>
    <row r="14466">
      <c r="A14466">
        <v>14465</v>
      </c>
      <c r="B14466" t="str">
        <v>Công an thành phố Bà Rịa  tỉnh Bà Rịa - Vũng Tàu</v>
      </c>
      <c r="C14466" t="str">
        <v>-</v>
      </c>
      <c r="D14466" t="str">
        <v>-</v>
      </c>
      <c r="E14466" t="str">
        <v/>
      </c>
      <c r="F14466" t="str">
        <v>-</v>
      </c>
      <c r="G14466" t="str">
        <v>-</v>
      </c>
    </row>
    <row r="14467">
      <c r="A14467">
        <v>14466</v>
      </c>
      <c r="B14467" t="str">
        <v>UBND Ủy ban nhân dân thành phố Bà Rịa  tỉnh Bà Rịa - Vũng Tàu</v>
      </c>
      <c r="C14467" t="str">
        <v>-</v>
      </c>
      <c r="D14467" t="str">
        <v>-</v>
      </c>
      <c r="E14467" t="str">
        <v>-</v>
      </c>
      <c r="F14467" t="str">
        <v>-</v>
      </c>
      <c r="G14467" t="str">
        <v>-</v>
      </c>
    </row>
    <row r="14468">
      <c r="A14468">
        <v>14467</v>
      </c>
      <c r="B14468" t="str">
        <v>Công an huyện Châu Đức  tỉnh Bà Rịa - Vũng Tàu</v>
      </c>
      <c r="C14468" t="str">
        <v>-</v>
      </c>
      <c r="D14468" t="str">
        <v>-</v>
      </c>
      <c r="E14468" t="str">
        <v/>
      </c>
      <c r="F14468" t="str">
        <v>-</v>
      </c>
      <c r="G14468" t="str">
        <v>-</v>
      </c>
    </row>
    <row r="14469">
      <c r="A14469">
        <v>14468</v>
      </c>
      <c r="B14469" t="str">
        <v>UBND Ủy ban nhân dân huyện Châu Đức  tỉnh Bà Rịa - Vũng Tàu</v>
      </c>
      <c r="C14469" t="str">
        <v>-</v>
      </c>
      <c r="D14469" t="str">
        <v>-</v>
      </c>
      <c r="E14469" t="str">
        <v>-</v>
      </c>
      <c r="F14469" t="str">
        <v>-</v>
      </c>
      <c r="G14469" t="str">
        <v>-</v>
      </c>
    </row>
    <row r="14470">
      <c r="A14470">
        <v>14469</v>
      </c>
      <c r="B14470" t="str">
        <v>Công an huyện Xuyên Mộc  tỉnh Bà Rịa - Vũng Tàu</v>
      </c>
      <c r="C14470" t="str">
        <v>-</v>
      </c>
      <c r="D14470" t="str">
        <v>-</v>
      </c>
      <c r="E14470" t="str">
        <v/>
      </c>
      <c r="F14470" t="str">
        <v>-</v>
      </c>
      <c r="G14470" t="str">
        <v>-</v>
      </c>
    </row>
    <row r="14471">
      <c r="A14471">
        <v>14470</v>
      </c>
      <c r="B14471" t="str">
        <v>UBND Ủy ban nhân dân huyện Xuyên Mộc  tỉnh Bà Rịa - Vũng Tàu</v>
      </c>
      <c r="C14471" t="str">
        <v>-</v>
      </c>
      <c r="D14471" t="str">
        <v>-</v>
      </c>
      <c r="E14471" t="str">
        <v>-</v>
      </c>
      <c r="F14471" t="str">
        <v>-</v>
      </c>
      <c r="G14471" t="str">
        <v>-</v>
      </c>
    </row>
    <row r="14472">
      <c r="A14472">
        <v>14471</v>
      </c>
      <c r="B14472" t="str">
        <v>Công an huyện Long Điền  tỉnh Bà Rịa - Vũng Tàu</v>
      </c>
      <c r="C14472" t="str">
        <v>-</v>
      </c>
      <c r="D14472" t="str">
        <v>-</v>
      </c>
      <c r="E14472" t="str">
        <v/>
      </c>
      <c r="F14472" t="str">
        <v>-</v>
      </c>
      <c r="G14472" t="str">
        <v>-</v>
      </c>
    </row>
    <row r="14473">
      <c r="A14473">
        <v>14472</v>
      </c>
      <c r="B14473" t="str">
        <v>UBND Ủy ban nhân dân huyện Long Điền  tỉnh Bà Rịa - Vũng Tàu</v>
      </c>
      <c r="C14473" t="str">
        <v>-</v>
      </c>
      <c r="D14473" t="str">
        <v>-</v>
      </c>
      <c r="E14473" t="str">
        <v>-</v>
      </c>
      <c r="F14473" t="str">
        <v>-</v>
      </c>
      <c r="G14473" t="str">
        <v>-</v>
      </c>
    </row>
    <row r="14474">
      <c r="A14474">
        <v>14473</v>
      </c>
      <c r="B14474" t="str">
        <v>Công an huyện Đất Đỏ  tỉnh Bà Rịa - Vũng Tàu</v>
      </c>
      <c r="C14474" t="str">
        <v>-</v>
      </c>
      <c r="D14474" t="str">
        <v>-</v>
      </c>
      <c r="E14474" t="str">
        <v/>
      </c>
      <c r="F14474" t="str">
        <v>-</v>
      </c>
      <c r="G14474" t="str">
        <v>-</v>
      </c>
    </row>
    <row r="14475">
      <c r="A14475">
        <v>14474</v>
      </c>
      <c r="B14475" t="str">
        <v>UBND Ủy ban nhân dân huyện Đất Đỏ  tỉnh Bà Rịa - Vũng Tàu</v>
      </c>
      <c r="C14475" t="str">
        <v>-</v>
      </c>
      <c r="D14475" t="str">
        <v>-</v>
      </c>
      <c r="E14475" t="str">
        <v>-</v>
      </c>
      <c r="F14475" t="str">
        <v>-</v>
      </c>
      <c r="G14475" t="str">
        <v>-</v>
      </c>
    </row>
    <row r="14476">
      <c r="A14476">
        <v>14475</v>
      </c>
      <c r="B14476" t="str">
        <v>Công an huyện Tân Thành  tỉnh Bà Rịa - Vũng Tàu</v>
      </c>
      <c r="C14476" t="str">
        <v>-</v>
      </c>
      <c r="D14476" t="str">
        <v>-</v>
      </c>
      <c r="E14476" t="str">
        <v/>
      </c>
      <c r="F14476" t="str">
        <v>-</v>
      </c>
      <c r="G14476" t="str">
        <v>-</v>
      </c>
    </row>
    <row r="14477">
      <c r="A14477">
        <v>14476</v>
      </c>
      <c r="B14477" t="str">
        <v>UBND Ủy ban nhân dân huyện Tân Thành  tỉnh Bà Rịa - Vũng Tàu</v>
      </c>
      <c r="C14477" t="str">
        <v>-</v>
      </c>
      <c r="D14477" t="str">
        <v>-</v>
      </c>
      <c r="E14477" t="str">
        <v>-</v>
      </c>
      <c r="F14477" t="str">
        <v>-</v>
      </c>
      <c r="G14477" t="str">
        <v>-</v>
      </c>
    </row>
    <row r="14478">
      <c r="A14478">
        <v>14477</v>
      </c>
      <c r="B14478" t="str">
        <v>Công an quận 1  thành phố Hồ Chí Minh</v>
      </c>
      <c r="C14478" t="str">
        <v>-</v>
      </c>
      <c r="D14478" t="str">
        <v>-</v>
      </c>
      <c r="E14478" t="str">
        <v/>
      </c>
      <c r="F14478" t="str">
        <v>-</v>
      </c>
      <c r="G14478" t="str">
        <v>-</v>
      </c>
    </row>
    <row r="14479">
      <c r="A14479">
        <v>14478</v>
      </c>
      <c r="B14479" t="str">
        <v>UBND Ủy ban nhân dân quận 1  thành phố Hồ Chí Minh</v>
      </c>
      <c r="C14479" t="str">
        <v>-</v>
      </c>
      <c r="D14479" t="str">
        <v>-</v>
      </c>
      <c r="E14479" t="str">
        <v>-</v>
      </c>
      <c r="F14479" t="str">
        <v>-</v>
      </c>
      <c r="G14479" t="str">
        <v>-</v>
      </c>
    </row>
    <row r="14480">
      <c r="A14480">
        <v>14479</v>
      </c>
      <c r="B14480" t="str">
        <v>Công an quận 12  thành phố Hồ Chí Minh</v>
      </c>
      <c r="C14480" t="str">
        <v>-</v>
      </c>
      <c r="D14480" t="str">
        <v>-</v>
      </c>
      <c r="E14480" t="str">
        <v/>
      </c>
      <c r="F14480" t="str">
        <v>-</v>
      </c>
      <c r="G14480" t="str">
        <v>-</v>
      </c>
    </row>
    <row r="14481">
      <c r="A14481">
        <v>14480</v>
      </c>
      <c r="B14481" t="str">
        <v>UBND Ủy ban nhân dân quận 12  thành phố Hồ Chí Minh</v>
      </c>
      <c r="C14481" t="str">
        <v>-</v>
      </c>
      <c r="D14481" t="str">
        <v>-</v>
      </c>
      <c r="E14481" t="str">
        <v>-</v>
      </c>
      <c r="F14481" t="str">
        <v>-</v>
      </c>
      <c r="G14481" t="str">
        <v>-</v>
      </c>
    </row>
    <row r="14482">
      <c r="A14482">
        <v>14481</v>
      </c>
      <c r="B14482" t="str">
        <v>Công an quận Thủ Đức  thành phố Hồ Chí Minh</v>
      </c>
      <c r="C14482" t="str">
        <v>-</v>
      </c>
      <c r="D14482" t="str">
        <v>-</v>
      </c>
      <c r="E14482" t="str">
        <v/>
      </c>
      <c r="F14482" t="str">
        <v>-</v>
      </c>
      <c r="G14482" t="str">
        <v>-</v>
      </c>
    </row>
    <row r="14483">
      <c r="A14483">
        <v>14482</v>
      </c>
      <c r="B14483" t="str">
        <v>UBND Ủy ban nhân dân quận Thủ Đức  thành phố Hồ Chí Minh</v>
      </c>
      <c r="C14483" t="str">
        <v>-</v>
      </c>
      <c r="D14483" t="str">
        <v>-</v>
      </c>
      <c r="E14483" t="str">
        <v>-</v>
      </c>
      <c r="F14483" t="str">
        <v>-</v>
      </c>
      <c r="G14483" t="str">
        <v>-</v>
      </c>
    </row>
    <row r="14484">
      <c r="A14484">
        <v>14483</v>
      </c>
      <c r="B14484" t="str">
        <v>Công an quận 9  thành phố Hồ Chí Minh</v>
      </c>
      <c r="C14484" t="str">
        <v>-</v>
      </c>
      <c r="D14484" t="str">
        <v>-</v>
      </c>
      <c r="E14484" t="str">
        <v/>
      </c>
      <c r="F14484" t="str">
        <v>-</v>
      </c>
      <c r="G14484" t="str">
        <v>-</v>
      </c>
    </row>
    <row r="14485">
      <c r="A14485">
        <v>14484</v>
      </c>
      <c r="B14485" t="str">
        <v>UBND Ủy ban nhân dân quận 9  thành phố Hồ Chí Minh</v>
      </c>
      <c r="C14485" t="str">
        <v>-</v>
      </c>
      <c r="D14485" t="str">
        <v>-</v>
      </c>
      <c r="E14485" t="str">
        <v>-</v>
      </c>
      <c r="F14485" t="str">
        <v>-</v>
      </c>
      <c r="G14485" t="str">
        <v>-</v>
      </c>
    </row>
    <row r="14486">
      <c r="A14486">
        <v>14485</v>
      </c>
      <c r="B14486" t="str">
        <v>Công an quận Gò Vấp  thành phố Hồ Chí Minh</v>
      </c>
      <c r="C14486" t="str">
        <v>-</v>
      </c>
      <c r="D14486" t="str">
        <v>-</v>
      </c>
      <c r="E14486" t="str">
        <v/>
      </c>
      <c r="F14486" t="str">
        <v>-</v>
      </c>
      <c r="G14486" t="str">
        <v>-</v>
      </c>
    </row>
    <row r="14487">
      <c r="A14487">
        <v>14486</v>
      </c>
      <c r="B14487" t="str">
        <v>UBND Ủy ban nhân dân quận Gò Vấp  thành phố Hồ Chí Minh</v>
      </c>
      <c r="C14487" t="str">
        <v>-</v>
      </c>
      <c r="D14487" t="str">
        <v>-</v>
      </c>
      <c r="E14487" t="str">
        <v>-</v>
      </c>
      <c r="F14487" t="str">
        <v>-</v>
      </c>
      <c r="G14487" t="str">
        <v>-</v>
      </c>
    </row>
    <row r="14488">
      <c r="A14488">
        <v>14487</v>
      </c>
      <c r="B14488" t="str">
        <v>Công an quận Bình Thạnh  thành phố Hồ Chí Minh</v>
      </c>
      <c r="C14488" t="str">
        <v>-</v>
      </c>
      <c r="D14488" t="str">
        <v>-</v>
      </c>
      <c r="E14488" t="str">
        <v/>
      </c>
      <c r="F14488" t="str">
        <v>-</v>
      </c>
      <c r="G14488" t="str">
        <v>-</v>
      </c>
    </row>
    <row r="14489">
      <c r="A14489">
        <v>14488</v>
      </c>
      <c r="B14489" t="str">
        <v>UBND Ủy ban nhân dân quận Bình Thạnh  thành phố Hồ Chí Minh</v>
      </c>
      <c r="C14489" t="str">
        <v>-</v>
      </c>
      <c r="D14489" t="str">
        <v>-</v>
      </c>
      <c r="E14489" t="str">
        <v>-</v>
      </c>
      <c r="F14489" t="str">
        <v>-</v>
      </c>
      <c r="G14489" t="str">
        <v>-</v>
      </c>
    </row>
    <row r="14490">
      <c r="A14490">
        <v>14489</v>
      </c>
      <c r="B14490" t="str">
        <v>Công an quận Tân Bình  thành phố Hồ Chí Minh</v>
      </c>
      <c r="C14490" t="str">
        <v>-</v>
      </c>
      <c r="D14490" t="str">
        <v>-</v>
      </c>
      <c r="E14490" t="str">
        <v/>
      </c>
      <c r="F14490" t="str">
        <v>-</v>
      </c>
      <c r="G14490" t="str">
        <v>-</v>
      </c>
    </row>
    <row r="14491">
      <c r="A14491">
        <v>14490</v>
      </c>
      <c r="B14491" t="str">
        <v>UBND Ủy ban nhân dân quận Tân Bình  thành phố Hồ Chí Minh</v>
      </c>
      <c r="C14491" t="str">
        <v>-</v>
      </c>
      <c r="D14491" t="str">
        <v>-</v>
      </c>
      <c r="E14491" t="str">
        <v>-</v>
      </c>
      <c r="F14491" t="str">
        <v>-</v>
      </c>
      <c r="G14491" t="str">
        <v>-</v>
      </c>
    </row>
    <row r="14492">
      <c r="A14492">
        <v>14491</v>
      </c>
      <c r="B14492" t="str">
        <v>Công an quận Tân Phú  thành phố Hồ Chí Minh</v>
      </c>
      <c r="C14492" t="str">
        <v>-</v>
      </c>
      <c r="D14492" t="str">
        <v>-</v>
      </c>
      <c r="E14492" t="str">
        <v/>
      </c>
      <c r="F14492" t="str">
        <v>-</v>
      </c>
      <c r="G14492" t="str">
        <v>-</v>
      </c>
    </row>
    <row r="14493">
      <c r="A14493">
        <v>14492</v>
      </c>
      <c r="B14493" t="str">
        <v>UBND Ủy ban nhân dân quận Tân Phú  thành phố Hồ Chí Minh</v>
      </c>
      <c r="C14493" t="str">
        <v>-</v>
      </c>
      <c r="D14493" t="str">
        <v>-</v>
      </c>
      <c r="E14493" t="str">
        <v>-</v>
      </c>
      <c r="F14493" t="str">
        <v>-</v>
      </c>
      <c r="G14493" t="str">
        <v>-</v>
      </c>
    </row>
    <row r="14494">
      <c r="A14494">
        <v>14493</v>
      </c>
      <c r="B14494" t="str">
        <v>Công an quận Phú Nhuận  thành phố Hồ Chí Minh</v>
      </c>
      <c r="C14494" t="str">
        <v>-</v>
      </c>
      <c r="D14494" t="str">
        <v>-</v>
      </c>
      <c r="E14494" t="str">
        <v/>
      </c>
      <c r="F14494" t="str">
        <v>-</v>
      </c>
      <c r="G14494" t="str">
        <v>-</v>
      </c>
    </row>
    <row r="14495">
      <c r="A14495">
        <v>14494</v>
      </c>
      <c r="B14495" t="str">
        <v>UBND Ủy ban nhân dân quận Phú Nhuận  thành phố Hồ Chí Minh</v>
      </c>
      <c r="C14495" t="str">
        <v>-</v>
      </c>
      <c r="D14495" t="str">
        <v>-</v>
      </c>
      <c r="E14495" t="str">
        <v>-</v>
      </c>
      <c r="F14495" t="str">
        <v>-</v>
      </c>
      <c r="G14495" t="str">
        <v>-</v>
      </c>
    </row>
    <row r="14496">
      <c r="A14496">
        <v>14495</v>
      </c>
      <c r="B14496" t="str">
        <v>Công an quận 2  thành phố Hồ Chí Minh</v>
      </c>
      <c r="C14496" t="str">
        <v>-</v>
      </c>
      <c r="D14496" t="str">
        <v>-</v>
      </c>
      <c r="E14496" t="str">
        <v/>
      </c>
      <c r="F14496" t="str">
        <v>-</v>
      </c>
      <c r="G14496" t="str">
        <v>-</v>
      </c>
    </row>
    <row r="14497">
      <c r="A14497">
        <v>14496</v>
      </c>
      <c r="B14497" t="str">
        <v>UBND Ủy ban nhân dân quận 2  thành phố Hồ Chí Minh</v>
      </c>
      <c r="C14497" t="str">
        <v>-</v>
      </c>
      <c r="D14497" t="str">
        <v>-</v>
      </c>
      <c r="E14497" t="str">
        <v>-</v>
      </c>
      <c r="F14497" t="str">
        <v>-</v>
      </c>
      <c r="G14497" t="str">
        <v>-</v>
      </c>
    </row>
    <row r="14498">
      <c r="A14498">
        <v>14497</v>
      </c>
      <c r="B14498" t="str">
        <v>Công an quận 3  thành phố Hồ Chí Minh</v>
      </c>
      <c r="C14498" t="str">
        <v>-</v>
      </c>
      <c r="D14498" t="str">
        <v>-</v>
      </c>
      <c r="E14498" t="str">
        <v/>
      </c>
      <c r="F14498" t="str">
        <v>-</v>
      </c>
      <c r="G14498" t="str">
        <v>-</v>
      </c>
    </row>
    <row r="14499">
      <c r="A14499">
        <v>14498</v>
      </c>
      <c r="B14499" t="str">
        <v>UBND Ủy ban nhân dân quận 3  thành phố Hồ Chí Minh</v>
      </c>
      <c r="C14499" t="str">
        <v>-</v>
      </c>
      <c r="D14499" t="str">
        <v>-</v>
      </c>
      <c r="E14499" t="str">
        <v>-</v>
      </c>
      <c r="F14499" t="str">
        <v>-</v>
      </c>
      <c r="G14499" t="str">
        <v>-</v>
      </c>
    </row>
    <row r="14500">
      <c r="A14500">
        <v>14499</v>
      </c>
      <c r="B14500" t="str">
        <v>Công an quận 10  thành phố Hồ Chí Minh</v>
      </c>
      <c r="C14500" t="str">
        <v>-</v>
      </c>
      <c r="D14500" t="str">
        <v>-</v>
      </c>
      <c r="E14500" t="str">
        <v/>
      </c>
      <c r="F14500" t="str">
        <v>-</v>
      </c>
      <c r="G14500" t="str">
        <v>-</v>
      </c>
    </row>
    <row r="14501">
      <c r="A14501">
        <v>14500</v>
      </c>
      <c r="B14501" t="str">
        <v>UBND Ủy ban nhân dân quận 10  thành phố Hồ Chí Minh</v>
      </c>
      <c r="C14501" t="str">
        <v>-</v>
      </c>
      <c r="D14501" t="str">
        <v>-</v>
      </c>
      <c r="E14501" t="str">
        <v>-</v>
      </c>
      <c r="F14501" t="str">
        <v>-</v>
      </c>
      <c r="G14501" t="str">
        <v>-</v>
      </c>
    </row>
    <row r="14502">
      <c r="A14502">
        <v>14501</v>
      </c>
      <c r="B14502" t="str">
        <v>Công an quận 11  thành phố Hồ Chí Minh</v>
      </c>
      <c r="C14502" t="str">
        <v>-</v>
      </c>
      <c r="D14502" t="str">
        <v>-</v>
      </c>
      <c r="E14502" t="str">
        <v/>
      </c>
      <c r="F14502" t="str">
        <v>-</v>
      </c>
      <c r="G14502" t="str">
        <v>-</v>
      </c>
    </row>
    <row r="14503">
      <c r="A14503">
        <v>14502</v>
      </c>
      <c r="B14503" t="str">
        <v>UBND Ủy ban nhân dân quận 11  thành phố Hồ Chí Minh</v>
      </c>
      <c r="C14503" t="str">
        <v>-</v>
      </c>
      <c r="D14503" t="str">
        <v>-</v>
      </c>
      <c r="E14503" t="str">
        <v>-</v>
      </c>
      <c r="F14503" t="str">
        <v>-</v>
      </c>
      <c r="G14503" t="str">
        <v>-</v>
      </c>
    </row>
    <row r="14504">
      <c r="A14504">
        <v>14503</v>
      </c>
      <c r="B14504" t="str">
        <v>Công an quận 4  thành phố Hồ Chí Minh</v>
      </c>
      <c r="C14504" t="str">
        <v>-</v>
      </c>
      <c r="D14504" t="str">
        <v>-</v>
      </c>
      <c r="E14504" t="str">
        <v/>
      </c>
      <c r="F14504" t="str">
        <v>-</v>
      </c>
      <c r="G14504" t="str">
        <v>-</v>
      </c>
    </row>
    <row r="14505">
      <c r="A14505">
        <v>14504</v>
      </c>
      <c r="B14505" t="str">
        <v>UBND Ủy ban nhân dân quận 4  thành phố Hồ Chí Minh</v>
      </c>
      <c r="C14505" t="str">
        <v>-</v>
      </c>
      <c r="D14505" t="str">
        <v>-</v>
      </c>
      <c r="E14505" t="str">
        <v>-</v>
      </c>
      <c r="F14505" t="str">
        <v>-</v>
      </c>
      <c r="G14505" t="str">
        <v>-</v>
      </c>
    </row>
    <row r="14506">
      <c r="A14506">
        <v>14505</v>
      </c>
      <c r="B14506" t="str">
        <v>Công an quận 5  thành phố Hồ Chí Minh</v>
      </c>
      <c r="C14506" t="str">
        <v>-</v>
      </c>
      <c r="D14506" t="str">
        <v>-</v>
      </c>
      <c r="E14506" t="str">
        <v/>
      </c>
      <c r="F14506" t="str">
        <v>-</v>
      </c>
      <c r="G14506" t="str">
        <v>-</v>
      </c>
    </row>
    <row r="14507">
      <c r="A14507">
        <v>14506</v>
      </c>
      <c r="B14507" t="str">
        <v>UBND Ủy ban nhân dân quận 5  thành phố Hồ Chí Minh</v>
      </c>
      <c r="C14507" t="str">
        <v>-</v>
      </c>
      <c r="D14507" t="str">
        <v>-</v>
      </c>
      <c r="E14507" t="str">
        <v>-</v>
      </c>
      <c r="F14507" t="str">
        <v>-</v>
      </c>
      <c r="G14507" t="str">
        <v>-</v>
      </c>
    </row>
    <row r="14508">
      <c r="A14508">
        <v>14507</v>
      </c>
      <c r="B14508" t="str">
        <v>Công an quận 6  thành phố Hồ Chí Minh</v>
      </c>
      <c r="C14508" t="str">
        <v>-</v>
      </c>
      <c r="D14508" t="str">
        <v>-</v>
      </c>
      <c r="E14508" t="str">
        <v/>
      </c>
      <c r="F14508" t="str">
        <v>-</v>
      </c>
      <c r="G14508" t="str">
        <v>-</v>
      </c>
    </row>
    <row r="14509">
      <c r="A14509">
        <v>14508</v>
      </c>
      <c r="B14509" t="str">
        <v>UBND Ủy ban nhân dân quận 6  thành phố Hồ Chí Minh</v>
      </c>
      <c r="C14509" t="str">
        <v>-</v>
      </c>
      <c r="D14509" t="str">
        <v>-</v>
      </c>
      <c r="E14509" t="str">
        <v>-</v>
      </c>
      <c r="F14509" t="str">
        <v>-</v>
      </c>
      <c r="G14509" t="str">
        <v>-</v>
      </c>
    </row>
    <row r="14510">
      <c r="A14510">
        <v>14509</v>
      </c>
      <c r="B14510" t="str">
        <v>Công an quận 8  thành phố Hồ Chí Minh</v>
      </c>
      <c r="C14510" t="str">
        <v>-</v>
      </c>
      <c r="D14510" t="str">
        <v>-</v>
      </c>
      <c r="E14510" t="str">
        <v/>
      </c>
      <c r="F14510" t="str">
        <v>-</v>
      </c>
      <c r="G14510" t="str">
        <v>-</v>
      </c>
    </row>
    <row r="14511">
      <c r="A14511">
        <v>14510</v>
      </c>
      <c r="B14511" t="str">
        <v>UBND Ủy ban nhân dân quận 8  thành phố Hồ Chí Minh</v>
      </c>
      <c r="C14511" t="str">
        <v>-</v>
      </c>
      <c r="D14511" t="str">
        <v>-</v>
      </c>
      <c r="E14511" t="str">
        <v>-</v>
      </c>
      <c r="F14511" t="str">
        <v>-</v>
      </c>
      <c r="G14511" t="str">
        <v>-</v>
      </c>
    </row>
    <row r="14512">
      <c r="A14512">
        <v>14511</v>
      </c>
      <c r="B14512" t="str">
        <v>Công an quận Bình Tân  thành phố Hồ Chí Minh</v>
      </c>
      <c r="C14512" t="str">
        <v>-</v>
      </c>
      <c r="D14512" t="str">
        <v>-</v>
      </c>
      <c r="E14512" t="str">
        <v/>
      </c>
      <c r="F14512" t="str">
        <v>-</v>
      </c>
      <c r="G14512" t="str">
        <v>-</v>
      </c>
    </row>
    <row r="14513">
      <c r="A14513">
        <v>14512</v>
      </c>
      <c r="B14513" t="str">
        <v>UBND Ủy ban nhân dân quận Bình Tân  thành phố Hồ Chí Minh</v>
      </c>
      <c r="C14513" t="str">
        <v>-</v>
      </c>
      <c r="D14513" t="str">
        <v>-</v>
      </c>
      <c r="E14513" t="str">
        <v>-</v>
      </c>
      <c r="F14513" t="str">
        <v>-</v>
      </c>
      <c r="G14513" t="str">
        <v>-</v>
      </c>
    </row>
    <row r="14514">
      <c r="A14514">
        <v>14513</v>
      </c>
      <c r="B14514" t="str">
        <v>Công an quận 7  thành phố Hồ Chí Minh</v>
      </c>
      <c r="C14514" t="str">
        <v>-</v>
      </c>
      <c r="D14514" t="str">
        <v>-</v>
      </c>
      <c r="E14514" t="str">
        <v/>
      </c>
      <c r="F14514" t="str">
        <v>-</v>
      </c>
      <c r="G14514" t="str">
        <v>-</v>
      </c>
    </row>
    <row r="14515">
      <c r="A14515">
        <v>14514</v>
      </c>
      <c r="B14515" t="str">
        <v>UBND Ủy ban nhân dân quận 7  thành phố Hồ Chí Minh</v>
      </c>
      <c r="C14515" t="str">
        <v>-</v>
      </c>
      <c r="D14515" t="str">
        <v>-</v>
      </c>
      <c r="E14515" t="str">
        <v>-</v>
      </c>
      <c r="F14515" t="str">
        <v>-</v>
      </c>
      <c r="G14515" t="str">
        <v>-</v>
      </c>
    </row>
    <row r="14516">
      <c r="A14516">
        <v>14515</v>
      </c>
      <c r="B14516" t="str">
        <v>Công an huyện Củ Chi  thành phố Hồ Chí Minh</v>
      </c>
      <c r="C14516" t="str">
        <v>-</v>
      </c>
      <c r="D14516" t="str">
        <v>-</v>
      </c>
      <c r="E14516" t="str">
        <v/>
      </c>
      <c r="F14516" t="str">
        <v>-</v>
      </c>
      <c r="G14516" t="str">
        <v>-</v>
      </c>
    </row>
    <row r="14517">
      <c r="A14517">
        <v>14516</v>
      </c>
      <c r="B14517" t="str">
        <v>UBND Ủy ban nhân dân huyện Củ Chi  thành phố Hồ Chí Minh</v>
      </c>
      <c r="C14517" t="str">
        <v>-</v>
      </c>
      <c r="D14517" t="str">
        <v>-</v>
      </c>
      <c r="E14517" t="str">
        <v>-</v>
      </c>
      <c r="F14517" t="str">
        <v>-</v>
      </c>
      <c r="G14517" t="str">
        <v>-</v>
      </c>
    </row>
    <row r="14518">
      <c r="A14518">
        <v>14517</v>
      </c>
      <c r="B14518" t="str">
        <v>Công an huyện Hóc Môn  thành phố Hồ Chí Minh</v>
      </c>
      <c r="C14518" t="str">
        <v>-</v>
      </c>
      <c r="D14518" t="str">
        <v>-</v>
      </c>
      <c r="E14518" t="str">
        <v/>
      </c>
      <c r="F14518" t="str">
        <v>-</v>
      </c>
      <c r="G14518" t="str">
        <v>-</v>
      </c>
    </row>
    <row r="14519">
      <c r="A14519">
        <v>14518</v>
      </c>
      <c r="B14519" t="str">
        <v>UBND Ủy ban nhân dân huyện Hóc Môn  thành phố Hồ Chí Minh</v>
      </c>
      <c r="C14519" t="str">
        <v>-</v>
      </c>
      <c r="D14519" t="str">
        <v>-</v>
      </c>
      <c r="E14519" t="str">
        <v>-</v>
      </c>
      <c r="F14519" t="str">
        <v>-</v>
      </c>
      <c r="G14519" t="str">
        <v>-</v>
      </c>
    </row>
    <row r="14520">
      <c r="A14520">
        <v>14519</v>
      </c>
      <c r="B14520" t="str">
        <v>Công an huyện Bình Chánh  thành phố Hồ Chí Minh</v>
      </c>
      <c r="C14520" t="str">
        <v>-</v>
      </c>
      <c r="D14520" t="str">
        <v>-</v>
      </c>
      <c r="E14520" t="str">
        <v/>
      </c>
      <c r="F14520" t="str">
        <v>-</v>
      </c>
      <c r="G14520" t="str">
        <v>-</v>
      </c>
    </row>
    <row r="14521">
      <c r="A14521">
        <v>14520</v>
      </c>
      <c r="B14521" t="str">
        <v>UBND Ủy ban nhân dân huyện Bình Chánh  thành phố Hồ Chí Minh</v>
      </c>
      <c r="C14521" t="str">
        <v>-</v>
      </c>
      <c r="D14521" t="str">
        <v>-</v>
      </c>
      <c r="E14521" t="str">
        <v>-</v>
      </c>
      <c r="F14521" t="str">
        <v>-</v>
      </c>
      <c r="G14521" t="str">
        <v>-</v>
      </c>
    </row>
    <row r="14522">
      <c r="A14522">
        <v>14521</v>
      </c>
      <c r="B14522" t="str">
        <v>Công an huyện Nhà Bè  thành phố Hồ Chí Minh</v>
      </c>
      <c r="C14522" t="str">
        <v>-</v>
      </c>
      <c r="D14522" t="str">
        <v>-</v>
      </c>
      <c r="E14522" t="str">
        <v/>
      </c>
      <c r="F14522" t="str">
        <v>-</v>
      </c>
      <c r="G14522" t="str">
        <v>-</v>
      </c>
    </row>
    <row r="14523">
      <c r="A14523">
        <v>14522</v>
      </c>
      <c r="B14523" t="str">
        <v>UBND Ủy ban nhân dân huyện Nhà Bè  thành phố Hồ Chí Minh</v>
      </c>
      <c r="C14523" t="str">
        <v>-</v>
      </c>
      <c r="D14523" t="str">
        <v>-</v>
      </c>
      <c r="E14523" t="str">
        <v>-</v>
      </c>
      <c r="F14523" t="str">
        <v>-</v>
      </c>
      <c r="G14523" t="str">
        <v>-</v>
      </c>
    </row>
    <row r="14524">
      <c r="A14524">
        <v>14523</v>
      </c>
      <c r="B14524" t="str">
        <v>Công an huyện Cần Giờ  thành phố Hồ Chí Minh</v>
      </c>
      <c r="C14524" t="str">
        <v>-</v>
      </c>
      <c r="D14524" t="str">
        <v>-</v>
      </c>
      <c r="E14524" t="str">
        <v/>
      </c>
      <c r="F14524" t="str">
        <v>-</v>
      </c>
      <c r="G14524" t="str">
        <v>-</v>
      </c>
    </row>
    <row r="14525">
      <c r="A14525">
        <v>14524</v>
      </c>
      <c r="B14525" t="str">
        <v>UBND Ủy ban nhân dân huyện Cần Giờ  thành phố Hồ Chí Minh</v>
      </c>
      <c r="C14525" t="str">
        <v>-</v>
      </c>
      <c r="D14525" t="str">
        <v>-</v>
      </c>
      <c r="E14525" t="str">
        <v>-</v>
      </c>
      <c r="F14525" t="str">
        <v>-</v>
      </c>
      <c r="G14525" t="str">
        <v>-</v>
      </c>
    </row>
    <row r="14526">
      <c r="A14526">
        <v>14525</v>
      </c>
      <c r="B14526" t="str">
        <v>Công an  thành phố Tân An  tỉnh Long An</v>
      </c>
      <c r="C14526" t="str">
        <v>-</v>
      </c>
      <c r="D14526" t="str">
        <v>-</v>
      </c>
      <c r="E14526" t="str">
        <v/>
      </c>
      <c r="F14526" t="str">
        <v>-</v>
      </c>
      <c r="G14526" t="str">
        <v>-</v>
      </c>
    </row>
    <row r="14527">
      <c r="A14527">
        <v>14526</v>
      </c>
      <c r="B14527" t="str">
        <v>UBND Ủy ban nhân dân  thành phố Tân An  tỉnh Long An</v>
      </c>
      <c r="C14527" t="str">
        <v>-</v>
      </c>
      <c r="D14527" t="str">
        <v>-</v>
      </c>
      <c r="E14527" t="str">
        <v>-</v>
      </c>
      <c r="F14527" t="str">
        <v>-</v>
      </c>
      <c r="G14527" t="str">
        <v>-</v>
      </c>
    </row>
    <row r="14528">
      <c r="A14528">
        <v>14527</v>
      </c>
      <c r="B14528" t="str">
        <v>Công an huyện Tân Hưng  tỉnh Long An</v>
      </c>
      <c r="C14528" t="str">
        <v>-</v>
      </c>
      <c r="D14528" t="str">
        <v>-</v>
      </c>
      <c r="E14528" t="str">
        <v/>
      </c>
      <c r="F14528" t="str">
        <v>-</v>
      </c>
      <c r="G14528" t="str">
        <v>-</v>
      </c>
    </row>
    <row r="14529">
      <c r="A14529">
        <v>14528</v>
      </c>
      <c r="B14529" t="str">
        <v>UBND Ủy ban nhân dân huyện Tân Hưng  tỉnh Long An</v>
      </c>
      <c r="C14529" t="str">
        <v>-</v>
      </c>
      <c r="D14529" t="str">
        <v>-</v>
      </c>
      <c r="E14529" t="str">
        <v>-</v>
      </c>
      <c r="F14529" t="str">
        <v>-</v>
      </c>
      <c r="G14529" t="str">
        <v>-</v>
      </c>
    </row>
    <row r="14530">
      <c r="A14530">
        <v>14529</v>
      </c>
      <c r="B14530" t="str">
        <v>Công an huyện Vĩnh Hưng  tỉnh Long An</v>
      </c>
      <c r="C14530" t="str">
        <v>-</v>
      </c>
      <c r="D14530" t="str">
        <v>-</v>
      </c>
      <c r="E14530" t="str">
        <v/>
      </c>
      <c r="F14530" t="str">
        <v>-</v>
      </c>
      <c r="G14530" t="str">
        <v>-</v>
      </c>
    </row>
    <row r="14531">
      <c r="A14531">
        <v>14530</v>
      </c>
      <c r="B14531" t="str">
        <v>UBND Ủy ban nhân dân huyện Vĩnh Hưng  tỉnh Long An</v>
      </c>
      <c r="C14531" t="str">
        <v>-</v>
      </c>
      <c r="D14531" t="str">
        <v>-</v>
      </c>
      <c r="E14531" t="str">
        <v>-</v>
      </c>
      <c r="F14531" t="str">
        <v>-</v>
      </c>
      <c r="G14531" t="str">
        <v>-</v>
      </c>
    </row>
    <row r="14532">
      <c r="A14532">
        <v>14531</v>
      </c>
      <c r="B14532" t="str">
        <v>Công an huyện Mộc Hóa  tỉnh Long An</v>
      </c>
      <c r="C14532" t="str">
        <v>-</v>
      </c>
      <c r="D14532" t="str">
        <v>-</v>
      </c>
      <c r="E14532" t="str">
        <v/>
      </c>
      <c r="F14532" t="str">
        <v>-</v>
      </c>
      <c r="G14532" t="str">
        <v>-</v>
      </c>
    </row>
    <row r="14533">
      <c r="A14533">
        <v>14532</v>
      </c>
      <c r="B14533" t="str">
        <v>UBND Ủy ban nhân dân huyện Mộc Hóa  tỉnh Long An</v>
      </c>
      <c r="C14533" t="str">
        <v>-</v>
      </c>
      <c r="D14533" t="str">
        <v>-</v>
      </c>
      <c r="E14533" t="str">
        <v>-</v>
      </c>
      <c r="F14533" t="str">
        <v>-</v>
      </c>
      <c r="G14533" t="str">
        <v>-</v>
      </c>
    </row>
    <row r="14534">
      <c r="A14534">
        <v>14533</v>
      </c>
      <c r="B14534" t="str">
        <v>Công an huyện Tân Thạnh  tỉnh Long An</v>
      </c>
      <c r="C14534" t="str">
        <v>-</v>
      </c>
      <c r="D14534" t="str">
        <v>-</v>
      </c>
      <c r="E14534" t="str">
        <v/>
      </c>
      <c r="F14534" t="str">
        <v>-</v>
      </c>
      <c r="G14534" t="str">
        <v>-</v>
      </c>
    </row>
    <row r="14535">
      <c r="A14535">
        <v>14534</v>
      </c>
      <c r="B14535" t="str">
        <v>UBND Ủy ban nhân dân huyện Tân Thạnh  tỉnh Long An</v>
      </c>
      <c r="C14535" t="str">
        <v>-</v>
      </c>
      <c r="D14535" t="str">
        <v>-</v>
      </c>
      <c r="E14535" t="str">
        <v>-</v>
      </c>
      <c r="F14535" t="str">
        <v>-</v>
      </c>
      <c r="G14535" t="str">
        <v>-</v>
      </c>
    </row>
    <row r="14536">
      <c r="A14536">
        <v>14535</v>
      </c>
      <c r="B14536" t="str">
        <v>Công an huyện Thạnh Hóa  tỉnh Long An</v>
      </c>
      <c r="C14536" t="str">
        <v>-</v>
      </c>
      <c r="D14536" t="str">
        <v>-</v>
      </c>
      <c r="E14536" t="str">
        <v/>
      </c>
      <c r="F14536" t="str">
        <v>-</v>
      </c>
      <c r="G14536" t="str">
        <v>-</v>
      </c>
    </row>
    <row r="14537">
      <c r="A14537">
        <v>14536</v>
      </c>
      <c r="B14537" t="str">
        <v>UBND Ủy ban nhân dân huyện Thạnh Hóa  tỉnh Long An</v>
      </c>
      <c r="C14537" t="str">
        <v>-</v>
      </c>
      <c r="D14537" t="str">
        <v>-</v>
      </c>
      <c r="E14537" t="str">
        <v>-</v>
      </c>
      <c r="F14537" t="str">
        <v>-</v>
      </c>
      <c r="G14537" t="str">
        <v>-</v>
      </c>
    </row>
    <row r="14538">
      <c r="A14538">
        <v>14537</v>
      </c>
      <c r="B14538" t="str">
        <v>Công an huyện Đức Huệ  tỉnh Long An</v>
      </c>
      <c r="C14538" t="str">
        <v>-</v>
      </c>
      <c r="D14538" t="str">
        <v>-</v>
      </c>
      <c r="E14538" t="str">
        <v/>
      </c>
      <c r="F14538" t="str">
        <v>-</v>
      </c>
      <c r="G14538" t="str">
        <v>-</v>
      </c>
    </row>
    <row r="14539">
      <c r="A14539">
        <v>14538</v>
      </c>
      <c r="B14539" t="str">
        <v>UBND Ủy ban nhân dân huyện Đức Huệ  tỉnh Long An</v>
      </c>
      <c r="C14539" t="str">
        <v>-</v>
      </c>
      <c r="D14539" t="str">
        <v>-</v>
      </c>
      <c r="E14539" t="str">
        <v>-</v>
      </c>
      <c r="F14539" t="str">
        <v>-</v>
      </c>
      <c r="G14539" t="str">
        <v>-</v>
      </c>
    </row>
    <row r="14540">
      <c r="A14540">
        <v>14539</v>
      </c>
      <c r="B14540" t="str">
        <v>Công an huyện Đức Hòa  tỉnh Long An</v>
      </c>
      <c r="C14540" t="str">
        <v>-</v>
      </c>
      <c r="D14540" t="str">
        <v>-</v>
      </c>
      <c r="E14540" t="str">
        <v/>
      </c>
      <c r="F14540" t="str">
        <v>-</v>
      </c>
      <c r="G14540" t="str">
        <v>-</v>
      </c>
    </row>
    <row r="14541">
      <c r="A14541">
        <v>14540</v>
      </c>
      <c r="B14541" t="str">
        <v>UBND Ủy ban nhân dân huyện Đức Hòa  tỉnh Long An</v>
      </c>
      <c r="C14541" t="str">
        <v>-</v>
      </c>
      <c r="D14541" t="str">
        <v>-</v>
      </c>
      <c r="E14541" t="str">
        <v>-</v>
      </c>
      <c r="F14541" t="str">
        <v>-</v>
      </c>
      <c r="G14541" t="str">
        <v>-</v>
      </c>
    </row>
    <row r="14542">
      <c r="A14542">
        <v>14541</v>
      </c>
      <c r="B14542" t="str">
        <v>Công an huyện Bến Lức  tỉnh Long An</v>
      </c>
      <c r="C14542" t="str">
        <v>-</v>
      </c>
      <c r="D14542" t="str">
        <v>-</v>
      </c>
      <c r="E14542" t="str">
        <v/>
      </c>
      <c r="F14542" t="str">
        <v>-</v>
      </c>
      <c r="G14542" t="str">
        <v>-</v>
      </c>
    </row>
    <row r="14543">
      <c r="A14543">
        <v>14542</v>
      </c>
      <c r="B14543" t="str">
        <v>UBND Ủy ban nhân dân huyện Bến Lức  tỉnh Long An</v>
      </c>
      <c r="C14543" t="str">
        <v>-</v>
      </c>
      <c r="D14543" t="str">
        <v>-</v>
      </c>
      <c r="E14543" t="str">
        <v>-</v>
      </c>
      <c r="F14543" t="str">
        <v>-</v>
      </c>
      <c r="G14543" t="str">
        <v>-</v>
      </c>
    </row>
    <row r="14544">
      <c r="A14544">
        <v>14543</v>
      </c>
      <c r="B14544" t="str">
        <v>Công an huyện Thủ Thừa  tỉnh Long An</v>
      </c>
      <c r="C14544" t="str">
        <v>-</v>
      </c>
      <c r="D14544" t="str">
        <v>-</v>
      </c>
      <c r="E14544" t="str">
        <v/>
      </c>
      <c r="F14544" t="str">
        <v>-</v>
      </c>
      <c r="G14544" t="str">
        <v>-</v>
      </c>
    </row>
    <row r="14545">
      <c r="A14545">
        <v>14544</v>
      </c>
      <c r="B14545" t="str">
        <v>UBND Ủy ban nhân dân huyện Thủ Thừa  tỉnh Long An</v>
      </c>
      <c r="C14545" t="str">
        <v>-</v>
      </c>
      <c r="D14545" t="str">
        <v>-</v>
      </c>
      <c r="E14545" t="str">
        <v>-</v>
      </c>
      <c r="F14545" t="str">
        <v>-</v>
      </c>
      <c r="G14545" t="str">
        <v>-</v>
      </c>
    </row>
    <row r="14546">
      <c r="A14546">
        <v>14545</v>
      </c>
      <c r="B14546" t="str">
        <v>Công an huyện Tân Trụ  tỉnh Long An</v>
      </c>
      <c r="C14546" t="str">
        <v>-</v>
      </c>
      <c r="D14546" t="str">
        <v>-</v>
      </c>
      <c r="E14546" t="str">
        <v/>
      </c>
      <c r="F14546" t="str">
        <v>-</v>
      </c>
      <c r="G14546" t="str">
        <v>-</v>
      </c>
    </row>
    <row r="14547">
      <c r="A14547">
        <v>14546</v>
      </c>
      <c r="B14547" t="str">
        <v>UBND Ủy ban nhân dân huyện Tân Trụ  tỉnh Long An</v>
      </c>
      <c r="C14547" t="str">
        <v>-</v>
      </c>
      <c r="D14547" t="str">
        <v>-</v>
      </c>
      <c r="E14547" t="str">
        <v>-</v>
      </c>
      <c r="F14547" t="str">
        <v>-</v>
      </c>
      <c r="G14547" t="str">
        <v>-</v>
      </c>
    </row>
    <row r="14548">
      <c r="A14548">
        <v>14547</v>
      </c>
      <c r="B14548" t="str">
        <v>Công an huyện Cần Đước  tỉnh Long An</v>
      </c>
      <c r="C14548" t="str">
        <v>-</v>
      </c>
      <c r="D14548" t="str">
        <v>-</v>
      </c>
      <c r="E14548" t="str">
        <v/>
      </c>
      <c r="F14548" t="str">
        <v>-</v>
      </c>
      <c r="G14548" t="str">
        <v>-</v>
      </c>
    </row>
    <row r="14549">
      <c r="A14549">
        <v>14548</v>
      </c>
      <c r="B14549" t="str">
        <v>UBND Ủy ban nhân dân huyện Cần Đước  tỉnh Long An</v>
      </c>
      <c r="C14549" t="str">
        <v>-</v>
      </c>
      <c r="D14549" t="str">
        <v>-</v>
      </c>
      <c r="E14549" t="str">
        <v>-</v>
      </c>
      <c r="F14549" t="str">
        <v>-</v>
      </c>
      <c r="G14549" t="str">
        <v>-</v>
      </c>
    </row>
    <row r="14550">
      <c r="A14550">
        <v>14549</v>
      </c>
      <c r="B14550" t="str">
        <v>Công an huyện Cần Giuộc  tỉnh Long An</v>
      </c>
      <c r="C14550" t="str">
        <v>-</v>
      </c>
      <c r="D14550" t="str">
        <v>-</v>
      </c>
      <c r="E14550" t="str">
        <v/>
      </c>
      <c r="F14550" t="str">
        <v>-</v>
      </c>
      <c r="G14550" t="str">
        <v>-</v>
      </c>
    </row>
    <row r="14551">
      <c r="A14551">
        <v>14550</v>
      </c>
      <c r="B14551" t="str">
        <v>UBND Ủy ban nhân dân huyện Cần Giuộc  tỉnh Long An</v>
      </c>
      <c r="C14551" t="str">
        <v>-</v>
      </c>
      <c r="D14551" t="str">
        <v>-</v>
      </c>
      <c r="E14551" t="str">
        <v>-</v>
      </c>
      <c r="F14551" t="str">
        <v>-</v>
      </c>
      <c r="G14551" t="str">
        <v>-</v>
      </c>
    </row>
    <row r="14552">
      <c r="A14552">
        <v>14551</v>
      </c>
      <c r="B14552" t="str">
        <v>Công an  tỉnh Tiền Giang</v>
      </c>
      <c r="C14552" t="str">
        <v>-</v>
      </c>
      <c r="D14552" t="str">
        <v>-</v>
      </c>
      <c r="E14552" t="str">
        <v/>
      </c>
      <c r="F14552" t="str">
        <v>-</v>
      </c>
      <c r="G14552" t="str">
        <v>-</v>
      </c>
    </row>
    <row r="14553">
      <c r="A14553">
        <v>14552</v>
      </c>
      <c r="B14553" t="str">
        <v>UBND Ủy ban nhân dân  tỉnh Tiền Giang</v>
      </c>
      <c r="C14553" t="str">
        <v>-</v>
      </c>
      <c r="D14553" t="str">
        <v>-</v>
      </c>
      <c r="E14553" t="str">
        <v>-</v>
      </c>
      <c r="F14553" t="str">
        <v>-</v>
      </c>
      <c r="G14553" t="str">
        <v>-</v>
      </c>
    </row>
    <row r="14554">
      <c r="A14554">
        <v>14553</v>
      </c>
      <c r="B14554" t="str">
        <v>Công an huyện Tân Phước  tỉnh Tiền Giang</v>
      </c>
      <c r="C14554" t="str">
        <v>-</v>
      </c>
      <c r="D14554" t="str">
        <v>-</v>
      </c>
      <c r="E14554" t="str">
        <v/>
      </c>
      <c r="F14554" t="str">
        <v>-</v>
      </c>
      <c r="G14554" t="str">
        <v>-</v>
      </c>
    </row>
    <row r="14555">
      <c r="A14555">
        <v>14554</v>
      </c>
      <c r="B14555" t="str">
        <v>UBND Ủy ban nhân dân huyện Tân Phước  tỉnh Tiền Giang</v>
      </c>
      <c r="C14555" t="str">
        <v>-</v>
      </c>
      <c r="D14555" t="str">
        <v>-</v>
      </c>
      <c r="E14555" t="str">
        <v>-</v>
      </c>
      <c r="F14555" t="str">
        <v>-</v>
      </c>
      <c r="G14555" t="str">
        <v>-</v>
      </c>
    </row>
    <row r="14556">
      <c r="A14556">
        <v>14555</v>
      </c>
      <c r="B14556" t="str">
        <v>Công an huyện Cái Bè  tỉnh Tiền Giang</v>
      </c>
      <c r="C14556" t="str">
        <v>-</v>
      </c>
      <c r="D14556" t="str">
        <v>-</v>
      </c>
      <c r="E14556" t="str">
        <v/>
      </c>
      <c r="F14556" t="str">
        <v>-</v>
      </c>
      <c r="G14556" t="str">
        <v>-</v>
      </c>
    </row>
    <row r="14557">
      <c r="A14557">
        <v>14556</v>
      </c>
      <c r="B14557" t="str">
        <v>UBND Ủy ban nhân dân huyện Cái Bè  tỉnh Tiền Giang</v>
      </c>
      <c r="C14557" t="str">
        <v>-</v>
      </c>
      <c r="D14557" t="str">
        <v>-</v>
      </c>
      <c r="E14557" t="str">
        <v>-</v>
      </c>
      <c r="F14557" t="str">
        <v>-</v>
      </c>
      <c r="G14557" t="str">
        <v>-</v>
      </c>
    </row>
    <row r="14558">
      <c r="A14558">
        <v>14557</v>
      </c>
      <c r="B14558" t="str">
        <v>Công an huyện Cai Lậy  tỉnh Tiền Giang</v>
      </c>
      <c r="C14558" t="str">
        <v>-</v>
      </c>
      <c r="D14558" t="str">
        <v>-</v>
      </c>
      <c r="E14558" t="str">
        <v/>
      </c>
      <c r="F14558" t="str">
        <v>-</v>
      </c>
      <c r="G14558" t="str">
        <v>-</v>
      </c>
    </row>
    <row r="14559">
      <c r="A14559">
        <v>14558</v>
      </c>
      <c r="B14559" t="str">
        <v>UBND Ủy ban nhân dân huyện Cai Lậy  tỉnh Tiền Giang</v>
      </c>
      <c r="C14559" t="str">
        <v>-</v>
      </c>
      <c r="D14559" t="str">
        <v>-</v>
      </c>
      <c r="E14559" t="str">
        <v>-</v>
      </c>
      <c r="F14559" t="str">
        <v>-</v>
      </c>
      <c r="G14559" t="str">
        <v>-</v>
      </c>
    </row>
    <row r="14560">
      <c r="A14560">
        <v>14559</v>
      </c>
      <c r="B14560" t="str">
        <v>Công an huyện Chợ Gạo  tỉnh Tiền Giang</v>
      </c>
      <c r="C14560" t="str">
        <v>-</v>
      </c>
      <c r="D14560" t="str">
        <v>-</v>
      </c>
      <c r="E14560" t="str">
        <v/>
      </c>
      <c r="F14560" t="str">
        <v>-</v>
      </c>
      <c r="G14560" t="str">
        <v>-</v>
      </c>
    </row>
    <row r="14561">
      <c r="A14561">
        <v>14560</v>
      </c>
      <c r="B14561" t="str">
        <v>UBND Ủy ban nhân dân huyện Chợ Gạo  tỉnh Tiền Giang</v>
      </c>
      <c r="C14561" t="str">
        <v>-</v>
      </c>
      <c r="D14561" t="str">
        <v>-</v>
      </c>
      <c r="E14561" t="str">
        <v>-</v>
      </c>
      <c r="F14561" t="str">
        <v>-</v>
      </c>
      <c r="G14561" t="str">
        <v>-</v>
      </c>
    </row>
    <row r="14562">
      <c r="A14562">
        <v>14561</v>
      </c>
      <c r="B14562" t="str">
        <v>Công an huyện Gò Công Tây  tỉnh Tiền Giang</v>
      </c>
      <c r="C14562" t="str">
        <v>-</v>
      </c>
      <c r="D14562" t="str">
        <v>-</v>
      </c>
      <c r="E14562" t="str">
        <v/>
      </c>
      <c r="F14562" t="str">
        <v>-</v>
      </c>
      <c r="G14562" t="str">
        <v>-</v>
      </c>
    </row>
    <row r="14563">
      <c r="A14563">
        <v>14562</v>
      </c>
      <c r="B14563" t="str">
        <v>UBND Ủy ban nhân dân huyện Gò Công Tây  tỉnh Tiền Giang</v>
      </c>
      <c r="C14563" t="str">
        <v>-</v>
      </c>
      <c r="D14563" t="str">
        <v>-</v>
      </c>
      <c r="E14563" t="str">
        <v>-</v>
      </c>
      <c r="F14563" t="str">
        <v>-</v>
      </c>
      <c r="G14563" t="str">
        <v>-</v>
      </c>
    </row>
    <row r="14564">
      <c r="A14564">
        <v>14563</v>
      </c>
      <c r="B14564" t="str">
        <v>Công an huyện Gò Công Đông  tỉnh Tiền Giang</v>
      </c>
      <c r="C14564" t="str">
        <v>-</v>
      </c>
      <c r="D14564" t="str">
        <v>-</v>
      </c>
      <c r="E14564" t="str">
        <v/>
      </c>
      <c r="F14564" t="str">
        <v>-</v>
      </c>
      <c r="G14564" t="str">
        <v>-</v>
      </c>
    </row>
    <row r="14565">
      <c r="A14565">
        <v>14564</v>
      </c>
      <c r="B14565" t="str">
        <v>UBND Ủy ban nhân dân huyện Gò Công Đông  tỉnh Tiền Giang</v>
      </c>
      <c r="C14565" t="str">
        <v>-</v>
      </c>
      <c r="D14565" t="str">
        <v>-</v>
      </c>
      <c r="E14565" t="str">
        <v>-</v>
      </c>
      <c r="F14565" t="str">
        <v>-</v>
      </c>
      <c r="G14565" t="str">
        <v>-</v>
      </c>
    </row>
    <row r="14566">
      <c r="A14566">
        <v>14565</v>
      </c>
      <c r="B14566" t="str">
        <v>Công an huyện Tân Phú Đông  tỉnh Tiền Giang</v>
      </c>
      <c r="C14566" t="str">
        <v>-</v>
      </c>
      <c r="D14566" t="str">
        <v>-</v>
      </c>
      <c r="E14566" t="str">
        <v/>
      </c>
      <c r="F14566" t="str">
        <v>-</v>
      </c>
      <c r="G14566" t="str">
        <v>-</v>
      </c>
    </row>
    <row r="14567">
      <c r="A14567">
        <v>14566</v>
      </c>
      <c r="B14567" t="str">
        <v>UBND Ủy ban nhân dân huyện Tân Phú Đông  tỉnh Tiền Giang</v>
      </c>
      <c r="C14567" t="str">
        <v>-</v>
      </c>
      <c r="D14567" t="str">
        <v>-</v>
      </c>
      <c r="E14567" t="str">
        <v>-</v>
      </c>
      <c r="F14567" t="str">
        <v>-</v>
      </c>
      <c r="G14567" t="str">
        <v>-</v>
      </c>
    </row>
    <row r="14568">
      <c r="A14568">
        <v>14567</v>
      </c>
      <c r="B14568" t="str">
        <v>Công an  thành phố Bến Tre  tỉnh Bến Tre</v>
      </c>
      <c r="C14568" t="str">
        <v>-</v>
      </c>
      <c r="D14568" t="str">
        <v>-</v>
      </c>
      <c r="E14568" t="str">
        <v/>
      </c>
      <c r="F14568" t="str">
        <v>-</v>
      </c>
      <c r="G14568" t="str">
        <v>-</v>
      </c>
    </row>
    <row r="14569">
      <c r="A14569">
        <v>14568</v>
      </c>
      <c r="B14569" t="str">
        <v>UBND Ủy ban nhân dân  thành phố Bến Tre  tỉnh Bến Tre</v>
      </c>
      <c r="C14569" t="str">
        <v>-</v>
      </c>
      <c r="D14569" t="str">
        <v>-</v>
      </c>
      <c r="E14569" t="str">
        <v>-</v>
      </c>
      <c r="F14569" t="str">
        <v>-</v>
      </c>
      <c r="G14569" t="str">
        <v>-</v>
      </c>
    </row>
    <row r="14570">
      <c r="A14570">
        <v>14569</v>
      </c>
      <c r="B14570" t="str">
        <v>Công an huyện Chợ Lách  tỉnh Bến Tre</v>
      </c>
      <c r="C14570" t="str">
        <v>-</v>
      </c>
      <c r="D14570" t="str">
        <v>-</v>
      </c>
      <c r="E14570" t="str">
        <v/>
      </c>
      <c r="F14570" t="str">
        <v>-</v>
      </c>
      <c r="G14570" t="str">
        <v>-</v>
      </c>
    </row>
    <row r="14571">
      <c r="A14571">
        <v>14570</v>
      </c>
      <c r="B14571" t="str">
        <v>UBND Ủy ban nhân dân huyện Chợ Lách  tỉnh Bến Tre</v>
      </c>
      <c r="C14571" t="str">
        <v>-</v>
      </c>
      <c r="D14571" t="str">
        <v>-</v>
      </c>
      <c r="E14571" t="str">
        <v>-</v>
      </c>
      <c r="F14571" t="str">
        <v>-</v>
      </c>
      <c r="G14571" t="str">
        <v>-</v>
      </c>
    </row>
    <row r="14572">
      <c r="A14572">
        <v>14571</v>
      </c>
      <c r="B14572" t="str">
        <v>Công an huyện Mỏ Cày Nam  tỉnh Bến Tre</v>
      </c>
      <c r="C14572" t="str">
        <v>-</v>
      </c>
      <c r="D14572" t="str">
        <v>-</v>
      </c>
      <c r="E14572" t="str">
        <v/>
      </c>
      <c r="F14572" t="str">
        <v>-</v>
      </c>
      <c r="G14572" t="str">
        <v>-</v>
      </c>
    </row>
    <row r="14573">
      <c r="A14573">
        <v>14572</v>
      </c>
      <c r="B14573" t="str">
        <v>UBND Ủy ban nhân dân huyện Mỏ Cày Nam  tỉnh Bến Tre</v>
      </c>
      <c r="C14573" t="str">
        <v>-</v>
      </c>
      <c r="D14573" t="str">
        <v>-</v>
      </c>
      <c r="E14573" t="str">
        <v>-</v>
      </c>
      <c r="F14573" t="str">
        <v>-</v>
      </c>
      <c r="G14573" t="str">
        <v>-</v>
      </c>
    </row>
    <row r="14574">
      <c r="A14574">
        <v>14573</v>
      </c>
      <c r="B14574" t="str">
        <v>Công an huyện Giồng Trôm  tỉnh Bến Tre</v>
      </c>
      <c r="C14574" t="str">
        <v>-</v>
      </c>
      <c r="D14574" t="str">
        <v>-</v>
      </c>
      <c r="E14574" t="str">
        <v/>
      </c>
      <c r="F14574" t="str">
        <v>-</v>
      </c>
      <c r="G14574" t="str">
        <v>-</v>
      </c>
    </row>
    <row r="14575">
      <c r="A14575">
        <v>14574</v>
      </c>
      <c r="B14575" t="str">
        <v>UBND Ủy ban nhân dân huyện Giồng Trôm  tỉnh Bến Tre</v>
      </c>
      <c r="C14575" t="str">
        <v>-</v>
      </c>
      <c r="D14575" t="str">
        <v>-</v>
      </c>
      <c r="E14575" t="str">
        <v>-</v>
      </c>
      <c r="F14575" t="str">
        <v>-</v>
      </c>
      <c r="G14575" t="str">
        <v>-</v>
      </c>
    </row>
    <row r="14576">
      <c r="A14576">
        <v>14575</v>
      </c>
      <c r="B14576" t="str">
        <v>Công an huyện Bình Đại  tỉnh Bến Tre</v>
      </c>
      <c r="C14576" t="str">
        <v>-</v>
      </c>
      <c r="D14576" t="str">
        <v>-</v>
      </c>
      <c r="E14576" t="str">
        <v/>
      </c>
      <c r="F14576" t="str">
        <v>-</v>
      </c>
      <c r="G14576" t="str">
        <v>-</v>
      </c>
    </row>
    <row r="14577">
      <c r="A14577">
        <v>14576</v>
      </c>
      <c r="B14577" t="str">
        <v>UBND Ủy ban nhân dân huyện Bình Đại  tỉnh Bến Tre</v>
      </c>
      <c r="C14577" t="str">
        <v>-</v>
      </c>
      <c r="D14577" t="str">
        <v>-</v>
      </c>
      <c r="E14577" t="str">
        <v>-</v>
      </c>
      <c r="F14577" t="str">
        <v>-</v>
      </c>
      <c r="G14577" t="str">
        <v>-</v>
      </c>
    </row>
    <row r="14578">
      <c r="A14578">
        <v>14577</v>
      </c>
      <c r="B14578" t="str">
        <v>Công an huyện Ba Tri  tỉnh Bến Tre</v>
      </c>
      <c r="C14578" t="str">
        <v>-</v>
      </c>
      <c r="D14578" t="str">
        <v>-</v>
      </c>
      <c r="E14578" t="str">
        <v/>
      </c>
      <c r="F14578" t="str">
        <v>-</v>
      </c>
      <c r="G14578" t="str">
        <v>-</v>
      </c>
    </row>
    <row r="14579">
      <c r="A14579">
        <v>14578</v>
      </c>
      <c r="B14579" t="str">
        <v>UBND Ủy ban nhân dân huyện Ba Tri  tỉnh Bến Tre</v>
      </c>
      <c r="C14579" t="str">
        <v>-</v>
      </c>
      <c r="D14579" t="str">
        <v>-</v>
      </c>
      <c r="E14579" t="str">
        <v>-</v>
      </c>
      <c r="F14579" t="str">
        <v>-</v>
      </c>
      <c r="G14579" t="str">
        <v>-</v>
      </c>
    </row>
    <row r="14580">
      <c r="A14580">
        <v>14579</v>
      </c>
      <c r="B14580" t="str">
        <v>Công an huyện Thạnh Phú  tỉnh Bến Tre</v>
      </c>
      <c r="C14580" t="str">
        <v>-</v>
      </c>
      <c r="D14580" t="str">
        <v>-</v>
      </c>
      <c r="E14580" t="str">
        <v/>
      </c>
      <c r="F14580" t="str">
        <v>-</v>
      </c>
      <c r="G14580" t="str">
        <v>-</v>
      </c>
    </row>
    <row r="14581">
      <c r="A14581">
        <v>14580</v>
      </c>
      <c r="B14581" t="str">
        <v>UBND Ủy ban nhân dân huyện Thạnh Phú  tỉnh Bến Tre</v>
      </c>
      <c r="C14581" t="str">
        <v>-</v>
      </c>
      <c r="D14581" t="str">
        <v>-</v>
      </c>
      <c r="E14581" t="str">
        <v>-</v>
      </c>
      <c r="F14581" t="str">
        <v>-</v>
      </c>
      <c r="G14581" t="str">
        <v>-</v>
      </c>
    </row>
    <row r="14582">
      <c r="A14582">
        <v>14581</v>
      </c>
      <c r="B14582" t="str">
        <v>Công an huyện Mỏ Cày Bắc  tỉnh Bến Tre</v>
      </c>
      <c r="C14582" t="str">
        <v>-</v>
      </c>
      <c r="D14582" t="str">
        <v>-</v>
      </c>
      <c r="E14582" t="str">
        <v/>
      </c>
      <c r="F14582" t="str">
        <v>-</v>
      </c>
      <c r="G14582" t="str">
        <v>-</v>
      </c>
    </row>
    <row r="14583">
      <c r="A14583">
        <v>14582</v>
      </c>
      <c r="B14583" t="str">
        <v>UBND Ủy ban nhân dân huyện Mỏ Cày Bắc  tỉnh Bến Tre</v>
      </c>
      <c r="C14583" t="str">
        <v>-</v>
      </c>
      <c r="D14583" t="str">
        <v>-</v>
      </c>
      <c r="E14583" t="str">
        <v>-</v>
      </c>
      <c r="F14583" t="str">
        <v>-</v>
      </c>
      <c r="G14583" t="str">
        <v>-</v>
      </c>
    </row>
    <row r="14584">
      <c r="A14584">
        <v>14583</v>
      </c>
      <c r="B14584" t="str">
        <v>Công an thành phố Trà Vinh  tỉnh Trà Vinh</v>
      </c>
      <c r="C14584" t="str">
        <v>-</v>
      </c>
      <c r="D14584" t="str">
        <v>-</v>
      </c>
      <c r="E14584" t="str">
        <v/>
      </c>
      <c r="F14584" t="str">
        <v>-</v>
      </c>
      <c r="G14584" t="str">
        <v>-</v>
      </c>
    </row>
    <row r="14585">
      <c r="A14585">
        <v>14584</v>
      </c>
      <c r="B14585" t="str">
        <v>UBND Ủy ban nhân dân thành phố Trà Vinh  tỉnh Trà Vinh</v>
      </c>
      <c r="C14585" t="str">
        <v>-</v>
      </c>
      <c r="D14585" t="str">
        <v>-</v>
      </c>
      <c r="E14585" t="str">
        <v>-</v>
      </c>
      <c r="F14585" t="str">
        <v>-</v>
      </c>
      <c r="G14585" t="str">
        <v>-</v>
      </c>
    </row>
    <row r="14586">
      <c r="A14586">
        <v>14585</v>
      </c>
      <c r="B14586" t="str">
        <v>Công an huyện Càng Long  tỉnh Trà Vinh</v>
      </c>
      <c r="C14586" t="str">
        <v>-</v>
      </c>
      <c r="D14586" t="str">
        <v>-</v>
      </c>
      <c r="E14586" t="str">
        <v/>
      </c>
      <c r="F14586" t="str">
        <v>-</v>
      </c>
      <c r="G14586" t="str">
        <v>-</v>
      </c>
    </row>
    <row r="14587">
      <c r="A14587">
        <v>14586</v>
      </c>
      <c r="B14587" t="str">
        <v>UBND Ủy ban nhân dân huyện Càng Long  tỉnh Trà Vinh</v>
      </c>
      <c r="C14587" t="str">
        <v>-</v>
      </c>
      <c r="D14587" t="str">
        <v>-</v>
      </c>
      <c r="E14587" t="str">
        <v>-</v>
      </c>
      <c r="F14587" t="str">
        <v>-</v>
      </c>
      <c r="G14587" t="str">
        <v>-</v>
      </c>
    </row>
    <row r="14588">
      <c r="A14588">
        <v>14587</v>
      </c>
      <c r="B14588" t="str">
        <v>Công an huyện Cầu Kè  tỉnh Trà Vinh</v>
      </c>
      <c r="C14588" t="str">
        <v>-</v>
      </c>
      <c r="D14588" t="str">
        <v>-</v>
      </c>
      <c r="E14588" t="str">
        <v/>
      </c>
      <c r="F14588" t="str">
        <v>-</v>
      </c>
      <c r="G14588" t="str">
        <v>-</v>
      </c>
    </row>
    <row r="14589">
      <c r="A14589">
        <v>14588</v>
      </c>
      <c r="B14589" t="str">
        <v>UBND Ủy ban nhân dân huyện Cầu Kè  tỉnh Trà Vinh</v>
      </c>
      <c r="C14589" t="str">
        <v>-</v>
      </c>
      <c r="D14589" t="str">
        <v>-</v>
      </c>
      <c r="E14589" t="str">
        <v>-</v>
      </c>
      <c r="F14589" t="str">
        <v>-</v>
      </c>
      <c r="G14589" t="str">
        <v>-</v>
      </c>
    </row>
    <row r="14590">
      <c r="A14590">
        <v>14589</v>
      </c>
      <c r="B14590" t="str">
        <v>Công an huyện Tiểu Cần  tỉnh Trà Vinh</v>
      </c>
      <c r="C14590" t="str">
        <v>-</v>
      </c>
      <c r="D14590" t="str">
        <v>-</v>
      </c>
      <c r="E14590" t="str">
        <v/>
      </c>
      <c r="F14590" t="str">
        <v>-</v>
      </c>
      <c r="G14590" t="str">
        <v>-</v>
      </c>
    </row>
    <row r="14591">
      <c r="A14591">
        <v>14590</v>
      </c>
      <c r="B14591" t="str">
        <v>UBND Ủy ban nhân dân huyện Tiểu Cần  tỉnh Trà Vinh</v>
      </c>
      <c r="C14591" t="str">
        <v>-</v>
      </c>
      <c r="D14591" t="str">
        <v>-</v>
      </c>
      <c r="E14591" t="str">
        <v>-</v>
      </c>
      <c r="F14591" t="str">
        <v>-</v>
      </c>
      <c r="G14591" t="str">
        <v>-</v>
      </c>
    </row>
    <row r="14592">
      <c r="A14592">
        <v>14591</v>
      </c>
      <c r="B14592" t="str">
        <v>Công an huyện Cầu Ngang  tỉnh Trà Vinh</v>
      </c>
      <c r="C14592" t="str">
        <v>-</v>
      </c>
      <c r="D14592" t="str">
        <v>-</v>
      </c>
      <c r="E14592" t="str">
        <v/>
      </c>
      <c r="F14592" t="str">
        <v>-</v>
      </c>
      <c r="G14592" t="str">
        <v>-</v>
      </c>
    </row>
    <row r="14593">
      <c r="A14593">
        <v>14592</v>
      </c>
      <c r="B14593" t="str">
        <v>UBND Ủy ban nhân dân huyện Cầu Ngang  tỉnh Trà Vinh</v>
      </c>
      <c r="C14593" t="str">
        <v>-</v>
      </c>
      <c r="D14593" t="str">
        <v>-</v>
      </c>
      <c r="E14593" t="str">
        <v>-</v>
      </c>
      <c r="F14593" t="str">
        <v>-</v>
      </c>
      <c r="G14593" t="str">
        <v>-</v>
      </c>
    </row>
    <row r="14594">
      <c r="A14594">
        <v>14593</v>
      </c>
      <c r="B14594" t="str">
        <v>Công an huyện Trà Cú  tỉnh Trà Vinh</v>
      </c>
      <c r="C14594" t="str">
        <v>-</v>
      </c>
      <c r="D14594" t="str">
        <v>-</v>
      </c>
      <c r="E14594" t="str">
        <v/>
      </c>
      <c r="F14594" t="str">
        <v>-</v>
      </c>
      <c r="G14594" t="str">
        <v>-</v>
      </c>
    </row>
    <row r="14595">
      <c r="A14595">
        <v>14594</v>
      </c>
      <c r="B14595" t="str">
        <v>UBND Ủy ban nhân dân huyện Trà Cú  tỉnh Trà Vinh</v>
      </c>
      <c r="C14595" t="str">
        <v>-</v>
      </c>
      <c r="D14595" t="str">
        <v>-</v>
      </c>
      <c r="E14595" t="str">
        <v>-</v>
      </c>
      <c r="F14595" t="str">
        <v>-</v>
      </c>
      <c r="G14595" t="str">
        <v>-</v>
      </c>
    </row>
    <row r="14596">
      <c r="A14596">
        <v>14595</v>
      </c>
      <c r="B14596" t="str">
        <v>Công an huyện Duyên Hải  tỉnh Trà Vinh</v>
      </c>
      <c r="C14596" t="str">
        <v>-</v>
      </c>
      <c r="D14596" t="str">
        <v>-</v>
      </c>
      <c r="E14596" t="str">
        <v/>
      </c>
      <c r="F14596" t="str">
        <v>-</v>
      </c>
      <c r="G14596" t="str">
        <v>-</v>
      </c>
    </row>
    <row r="14597">
      <c r="A14597">
        <v>14596</v>
      </c>
      <c r="B14597" t="str">
        <v>UBND Ủy ban nhân dân huyện Duyên Hải  tỉnh Trà Vinh</v>
      </c>
      <c r="C14597" t="str">
        <v>-</v>
      </c>
      <c r="D14597" t="str">
        <v>-</v>
      </c>
      <c r="E14597" t="str">
        <v>-</v>
      </c>
      <c r="F14597" t="str">
        <v>-</v>
      </c>
      <c r="G14597" t="str">
        <v>-</v>
      </c>
    </row>
    <row r="14598">
      <c r="A14598">
        <v>14597</v>
      </c>
      <c r="B14598" t="str">
        <v>Công an thành phố Vĩnh Long  tỉnh Vĩnh Long</v>
      </c>
      <c r="C14598" t="str">
        <v>-</v>
      </c>
      <c r="D14598" t="str">
        <v>-</v>
      </c>
      <c r="E14598" t="str">
        <v/>
      </c>
      <c r="F14598" t="str">
        <v>-</v>
      </c>
      <c r="G14598" t="str">
        <v>-</v>
      </c>
    </row>
    <row r="14599">
      <c r="A14599">
        <v>14598</v>
      </c>
      <c r="B14599" t="str">
        <v>UBND Ủy ban nhân dân thành phố Vĩnh Long  tỉnh Vĩnh Long</v>
      </c>
      <c r="C14599" t="str">
        <v>-</v>
      </c>
      <c r="D14599" t="str">
        <v>-</v>
      </c>
      <c r="E14599" t="str">
        <v>-</v>
      </c>
      <c r="F14599" t="str">
        <v>-</v>
      </c>
      <c r="G14599" t="str">
        <v>-</v>
      </c>
    </row>
    <row r="14600">
      <c r="A14600">
        <v>14599</v>
      </c>
      <c r="B14600" t="str">
        <v>Công an huyện Long Hồ  tỉnh Vĩnh Long</v>
      </c>
      <c r="C14600" t="str">
        <v>-</v>
      </c>
      <c r="D14600" t="str">
        <v>-</v>
      </c>
      <c r="E14600" t="str">
        <v/>
      </c>
      <c r="F14600" t="str">
        <v>-</v>
      </c>
      <c r="G14600" t="str">
        <v>-</v>
      </c>
    </row>
    <row r="14601">
      <c r="A14601">
        <v>14600</v>
      </c>
      <c r="B14601" t="str">
        <v>UBND Ủy ban nhân dân huyện Long Hồ  tỉnh Vĩnh Long</v>
      </c>
      <c r="C14601" t="str">
        <v>-</v>
      </c>
      <c r="D14601" t="str">
        <v>-</v>
      </c>
      <c r="E14601" t="str">
        <v>-</v>
      </c>
      <c r="F14601" t="str">
        <v>-</v>
      </c>
      <c r="G14601" t="str">
        <v>-</v>
      </c>
    </row>
    <row r="14602">
      <c r="A14602">
        <v>14601</v>
      </c>
      <c r="B14602" t="str">
        <v>Công an huyện Mang Thít  tỉnh Vĩnh Long</v>
      </c>
      <c r="C14602" t="str">
        <v>-</v>
      </c>
      <c r="D14602" t="str">
        <v>-</v>
      </c>
      <c r="E14602" t="str">
        <v/>
      </c>
      <c r="F14602" t="str">
        <v>-</v>
      </c>
      <c r="G14602" t="str">
        <v>-</v>
      </c>
    </row>
    <row r="14603">
      <c r="A14603">
        <v>14602</v>
      </c>
      <c r="B14603" t="str">
        <v>UBND Ủy ban nhân dân huyện Mang Thít  tỉnh Vĩnh Long</v>
      </c>
      <c r="C14603" t="str">
        <v>-</v>
      </c>
      <c r="D14603" t="str">
        <v>-</v>
      </c>
      <c r="E14603" t="str">
        <v>-</v>
      </c>
      <c r="F14603" t="str">
        <v>-</v>
      </c>
      <c r="G14603" t="str">
        <v>-</v>
      </c>
    </row>
    <row r="14604">
      <c r="A14604">
        <v>14603</v>
      </c>
      <c r="B14604" t="str">
        <v>Công an huyện  Vũng Liêm  tỉnh Vĩnh Long</v>
      </c>
      <c r="C14604" t="str">
        <v>-</v>
      </c>
      <c r="D14604" t="str">
        <v>-</v>
      </c>
      <c r="E14604" t="str">
        <v/>
      </c>
      <c r="F14604" t="str">
        <v>-</v>
      </c>
      <c r="G14604" t="str">
        <v>-</v>
      </c>
    </row>
    <row r="14605">
      <c r="A14605">
        <v>14604</v>
      </c>
      <c r="B14605" t="str">
        <v>UBND Ủy ban nhân dân huyện  Vũng Liêm  tỉnh Vĩnh Long</v>
      </c>
      <c r="C14605" t="str">
        <v>-</v>
      </c>
      <c r="D14605" t="str">
        <v>-</v>
      </c>
      <c r="E14605" t="str">
        <v>-</v>
      </c>
      <c r="F14605" t="str">
        <v>-</v>
      </c>
      <c r="G14605" t="str">
        <v>-</v>
      </c>
    </row>
    <row r="14606">
      <c r="A14606">
        <v>14605</v>
      </c>
      <c r="B14606" t="str">
        <v>Công an huyện Tam Bình  tỉnh Vĩnh Long</v>
      </c>
      <c r="C14606" t="str">
        <v>-</v>
      </c>
      <c r="D14606" t="str">
        <v>-</v>
      </c>
      <c r="E14606" t="str">
        <v/>
      </c>
      <c r="F14606" t="str">
        <v>-</v>
      </c>
      <c r="G14606" t="str">
        <v>-</v>
      </c>
    </row>
    <row r="14607">
      <c r="A14607">
        <v>14606</v>
      </c>
      <c r="B14607" t="str">
        <v>UBND Ủy ban nhân dân huyện Tam Bình  tỉnh Vĩnh Long</v>
      </c>
      <c r="C14607" t="str">
        <v>-</v>
      </c>
      <c r="D14607" t="str">
        <v>-</v>
      </c>
      <c r="E14607" t="str">
        <v>-</v>
      </c>
      <c r="F14607" t="str">
        <v>-</v>
      </c>
      <c r="G14607" t="str">
        <v>-</v>
      </c>
    </row>
    <row r="14608">
      <c r="A14608">
        <v>14607</v>
      </c>
      <c r="B14608" t="str">
        <v>Công an huyện Trà Ôn  tỉnh Vĩnh Long</v>
      </c>
      <c r="C14608" t="str">
        <v>-</v>
      </c>
      <c r="D14608" t="str">
        <v>-</v>
      </c>
      <c r="E14608" t="str">
        <v/>
      </c>
      <c r="F14608" t="str">
        <v>-</v>
      </c>
      <c r="G14608" t="str">
        <v>-</v>
      </c>
    </row>
    <row r="14609">
      <c r="A14609">
        <v>14608</v>
      </c>
      <c r="B14609" t="str">
        <v>UBND Ủy ban nhân dân huyện Trà Ôn  tỉnh Vĩnh Long</v>
      </c>
      <c r="C14609" t="str">
        <v>-</v>
      </c>
      <c r="D14609" t="str">
        <v>-</v>
      </c>
      <c r="E14609" t="str">
        <v>-</v>
      </c>
      <c r="F14609" t="str">
        <v>-</v>
      </c>
      <c r="G14609" t="str">
        <v>-</v>
      </c>
    </row>
    <row r="14610">
      <c r="A14610">
        <v>14609</v>
      </c>
      <c r="B14610" t="str">
        <v>Công an huyện Bình Tân  tỉnh Vĩnh Long</v>
      </c>
      <c r="C14610" t="str">
        <v>-</v>
      </c>
      <c r="D14610" t="str">
        <v>-</v>
      </c>
      <c r="E14610" t="str">
        <v/>
      </c>
      <c r="F14610" t="str">
        <v>-</v>
      </c>
      <c r="G14610" t="str">
        <v>-</v>
      </c>
    </row>
    <row r="14611">
      <c r="A14611">
        <v>14610</v>
      </c>
      <c r="B14611" t="str">
        <v>UBND Ủy ban nhân dân huyện Bình Tân  tỉnh Vĩnh Long</v>
      </c>
      <c r="C14611" t="str">
        <v>-</v>
      </c>
      <c r="D14611" t="str">
        <v>-</v>
      </c>
      <c r="E14611" t="str">
        <v>-</v>
      </c>
      <c r="F14611" t="str">
        <v>-</v>
      </c>
      <c r="G14611" t="str">
        <v>-</v>
      </c>
    </row>
    <row r="14612">
      <c r="A14612">
        <v>14611</v>
      </c>
      <c r="B14612" t="str">
        <v>Công an thành phố Cao Lãnh  tỉnh Đồng Tháp</v>
      </c>
      <c r="C14612" t="str">
        <v>-</v>
      </c>
      <c r="D14612" t="str">
        <v>-</v>
      </c>
      <c r="E14612" t="str">
        <v/>
      </c>
      <c r="F14612" t="str">
        <v>-</v>
      </c>
      <c r="G14612" t="str">
        <v>-</v>
      </c>
    </row>
    <row r="14613">
      <c r="A14613">
        <v>14612</v>
      </c>
      <c r="B14613" t="str">
        <v>UBND Ủy ban nhân dân thành phố Cao Lãnh  tỉnh Đồng Tháp</v>
      </c>
      <c r="C14613" t="str">
        <v>-</v>
      </c>
      <c r="D14613" t="str">
        <v>-</v>
      </c>
      <c r="E14613" t="str">
        <v>-</v>
      </c>
      <c r="F14613" t="str">
        <v>-</v>
      </c>
      <c r="G14613" t="str">
        <v>-</v>
      </c>
    </row>
    <row r="14614">
      <c r="A14614">
        <v>14613</v>
      </c>
      <c r="B14614" t="str">
        <v>Công an thành phố Sa Đéc  tỉnh Đồng Tháp</v>
      </c>
      <c r="C14614" t="str">
        <v>-</v>
      </c>
      <c r="D14614" t="str">
        <v>-</v>
      </c>
      <c r="E14614" t="str">
        <v/>
      </c>
      <c r="F14614" t="str">
        <v>-</v>
      </c>
      <c r="G14614" t="str">
        <v>-</v>
      </c>
    </row>
    <row r="14615">
      <c r="A14615">
        <v>14614</v>
      </c>
      <c r="B14615" t="str">
        <v>UBND Ủy ban nhân dân thành phố Sa Đéc  tỉnh Đồng Tháp</v>
      </c>
      <c r="C14615" t="str">
        <v>-</v>
      </c>
      <c r="D14615" t="str">
        <v>-</v>
      </c>
      <c r="E14615" t="str">
        <v>-</v>
      </c>
      <c r="F14615" t="str">
        <v>-</v>
      </c>
      <c r="G14615" t="str">
        <v>-</v>
      </c>
    </row>
    <row r="14616">
      <c r="A14616">
        <v>14615</v>
      </c>
      <c r="B14616" t="str">
        <v>Công an huyện Tân Hồng  tỉnh Đồng Tháp</v>
      </c>
      <c r="C14616" t="str">
        <v>-</v>
      </c>
      <c r="D14616" t="str">
        <v>-</v>
      </c>
      <c r="E14616" t="str">
        <v/>
      </c>
      <c r="F14616" t="str">
        <v>-</v>
      </c>
      <c r="G14616" t="str">
        <v>-</v>
      </c>
    </row>
    <row r="14617">
      <c r="A14617">
        <v>14616</v>
      </c>
      <c r="B14617" t="str">
        <v>UBND Ủy ban nhân dân huyện Tân Hồng  tỉnh Đồng Tháp</v>
      </c>
      <c r="C14617" t="str">
        <v>-</v>
      </c>
      <c r="D14617" t="str">
        <v>-</v>
      </c>
      <c r="E14617" t="str">
        <v>-</v>
      </c>
      <c r="F14617" t="str">
        <v>-</v>
      </c>
      <c r="G14617" t="str">
        <v>-</v>
      </c>
    </row>
    <row r="14618">
      <c r="A14618">
        <v>14617</v>
      </c>
      <c r="B14618" t="str">
        <v>Công an huyện Hồng Ngự  tỉnh Đồng Tháp</v>
      </c>
      <c r="C14618" t="str">
        <v>-</v>
      </c>
      <c r="D14618" t="str">
        <v>-</v>
      </c>
      <c r="E14618" t="str">
        <v/>
      </c>
      <c r="F14618" t="str">
        <v>-</v>
      </c>
      <c r="G14618" t="str">
        <v>-</v>
      </c>
    </row>
    <row r="14619">
      <c r="A14619">
        <v>14618</v>
      </c>
      <c r="B14619" t="str">
        <v>UBND Ủy ban nhân dân huyện Hồng Ngự  tỉnh Đồng Tháp</v>
      </c>
      <c r="C14619" t="str">
        <v>-</v>
      </c>
      <c r="D14619" t="str">
        <v>-</v>
      </c>
      <c r="E14619" t="str">
        <v>-</v>
      </c>
      <c r="F14619" t="str">
        <v>-</v>
      </c>
      <c r="G14619" t="str">
        <v>-</v>
      </c>
    </row>
    <row r="14620">
      <c r="A14620">
        <v>14619</v>
      </c>
      <c r="B14620" t="str">
        <v>Công an huyện Tam Nông  tỉnh Đồng Tháp</v>
      </c>
      <c r="C14620" t="str">
        <v>-</v>
      </c>
      <c r="D14620" t="str">
        <v>-</v>
      </c>
      <c r="E14620" t="str">
        <v/>
      </c>
      <c r="F14620" t="str">
        <v>-</v>
      </c>
      <c r="G14620" t="str">
        <v>-</v>
      </c>
    </row>
    <row r="14621">
      <c r="A14621">
        <v>14620</v>
      </c>
      <c r="B14621" t="str">
        <v>UBND Ủy ban nhân dân huyện Tam Nông  tỉnh Đồng Tháp</v>
      </c>
      <c r="C14621" t="str">
        <v>-</v>
      </c>
      <c r="D14621" t="str">
        <v>-</v>
      </c>
      <c r="E14621" t="str">
        <v>-</v>
      </c>
      <c r="F14621" t="str">
        <v>-</v>
      </c>
      <c r="G14621" t="str">
        <v>-</v>
      </c>
    </row>
    <row r="14622">
      <c r="A14622">
        <v>14621</v>
      </c>
      <c r="B14622" t="str">
        <v>Công an huyện Tháp Mười  tỉnh Đồng Tháp</v>
      </c>
      <c r="C14622" t="str">
        <v>-</v>
      </c>
      <c r="D14622" t="str">
        <v>-</v>
      </c>
      <c r="E14622" t="str">
        <v/>
      </c>
      <c r="F14622" t="str">
        <v>-</v>
      </c>
      <c r="G14622" t="str">
        <v>-</v>
      </c>
    </row>
    <row r="14623">
      <c r="A14623">
        <v>14622</v>
      </c>
      <c r="B14623" t="str">
        <v>UBND Ủy ban nhân dân huyện Tháp Mười  tỉnh Đồng Tháp</v>
      </c>
      <c r="C14623" t="str">
        <v>-</v>
      </c>
      <c r="D14623" t="str">
        <v>-</v>
      </c>
      <c r="E14623" t="str">
        <v>-</v>
      </c>
      <c r="F14623" t="str">
        <v>-</v>
      </c>
      <c r="G14623" t="str">
        <v>-</v>
      </c>
    </row>
    <row r="14624">
      <c r="A14624">
        <v>14623</v>
      </c>
      <c r="B14624" t="str">
        <v>Công an huyện Cao Lãnh  tỉnh Đồng Tháp</v>
      </c>
      <c r="C14624" t="str">
        <v>-</v>
      </c>
      <c r="D14624" t="str">
        <v>-</v>
      </c>
      <c r="E14624" t="str">
        <v/>
      </c>
      <c r="F14624" t="str">
        <v>-</v>
      </c>
      <c r="G14624" t="str">
        <v>-</v>
      </c>
    </row>
    <row r="14625">
      <c r="A14625">
        <v>14624</v>
      </c>
      <c r="B14625" t="str">
        <v>UBND Ủy ban nhân dân huyện Cao Lãnh  tỉnh Đồng Tháp</v>
      </c>
      <c r="C14625" t="str">
        <v>-</v>
      </c>
      <c r="D14625" t="str">
        <v>-</v>
      </c>
      <c r="E14625" t="str">
        <v>-</v>
      </c>
      <c r="F14625" t="str">
        <v>-</v>
      </c>
      <c r="G14625" t="str">
        <v>-</v>
      </c>
    </row>
    <row r="14626">
      <c r="A14626">
        <v>14625</v>
      </c>
      <c r="B14626" t="str">
        <v>Công an huyện Thanh Bình  tỉnh Đồng Tháp</v>
      </c>
      <c r="C14626" t="str">
        <v>-</v>
      </c>
      <c r="D14626" t="str">
        <v>-</v>
      </c>
      <c r="E14626" t="str">
        <v/>
      </c>
      <c r="F14626" t="str">
        <v>-</v>
      </c>
      <c r="G14626" t="str">
        <v>-</v>
      </c>
    </row>
    <row r="14627">
      <c r="A14627">
        <v>14626</v>
      </c>
      <c r="B14627" t="str">
        <v>UBND Ủy ban nhân dân huyện Thanh Bình  tỉnh Đồng Tháp</v>
      </c>
      <c r="C14627" t="str">
        <v>-</v>
      </c>
      <c r="D14627" t="str">
        <v>-</v>
      </c>
      <c r="E14627" t="str">
        <v>-</v>
      </c>
      <c r="F14627" t="str">
        <v>-</v>
      </c>
      <c r="G14627" t="str">
        <v>-</v>
      </c>
    </row>
    <row r="14628">
      <c r="A14628">
        <v>14627</v>
      </c>
      <c r="B14628" t="str">
        <v>Công an huyện Lấp Vò  tỉnh Đồng Tháp</v>
      </c>
      <c r="C14628" t="str">
        <v>-</v>
      </c>
      <c r="D14628" t="str">
        <v>-</v>
      </c>
      <c r="E14628" t="str">
        <v/>
      </c>
      <c r="F14628" t="str">
        <v>-</v>
      </c>
      <c r="G14628" t="str">
        <v>-</v>
      </c>
    </row>
    <row r="14629">
      <c r="A14629">
        <v>14628</v>
      </c>
      <c r="B14629" t="str">
        <v>UBND Ủy ban nhân dân huyện Lấp Vò  tỉnh Đồng Tháp</v>
      </c>
      <c r="C14629" t="str">
        <v>-</v>
      </c>
      <c r="D14629" t="str">
        <v>-</v>
      </c>
      <c r="E14629" t="str">
        <v>-</v>
      </c>
      <c r="F14629" t="str">
        <v>-</v>
      </c>
      <c r="G14629" t="str">
        <v>-</v>
      </c>
    </row>
    <row r="14630">
      <c r="A14630">
        <v>14629</v>
      </c>
      <c r="B14630" t="str">
        <v>Công an huyện Lai Vung  tỉnh Đồng Tháp</v>
      </c>
      <c r="C14630" t="str">
        <v>-</v>
      </c>
      <c r="D14630" t="str">
        <v>-</v>
      </c>
      <c r="E14630" t="str">
        <v/>
      </c>
      <c r="F14630" t="str">
        <v>-</v>
      </c>
      <c r="G14630" t="str">
        <v>-</v>
      </c>
    </row>
    <row r="14631">
      <c r="A14631">
        <v>14630</v>
      </c>
      <c r="B14631" t="str">
        <v>UBND Ủy ban nhân dân huyện Lai Vung  tỉnh Đồng Tháp</v>
      </c>
      <c r="C14631" t="str">
        <v>-</v>
      </c>
      <c r="D14631" t="str">
        <v>-</v>
      </c>
      <c r="E14631" t="str">
        <v>-</v>
      </c>
      <c r="F14631" t="str">
        <v>-</v>
      </c>
      <c r="G14631" t="str">
        <v>-</v>
      </c>
    </row>
    <row r="14632">
      <c r="A14632">
        <v>14631</v>
      </c>
      <c r="B14632" t="str">
        <v>Công an thành phố Long Xuyên  tỉnh An Giang</v>
      </c>
      <c r="C14632" t="str">
        <v>-</v>
      </c>
      <c r="D14632" t="str">
        <v>-</v>
      </c>
      <c r="E14632" t="str">
        <v/>
      </c>
      <c r="F14632" t="str">
        <v>-</v>
      </c>
      <c r="G14632" t="str">
        <v>-</v>
      </c>
    </row>
    <row r="14633">
      <c r="A14633">
        <v>14632</v>
      </c>
      <c r="B14633" t="str">
        <v>UBND Ủy ban nhân dân thành phố Long Xuyên  tỉnh An Giang</v>
      </c>
      <c r="C14633" t="str">
        <v>-</v>
      </c>
      <c r="D14633" t="str">
        <v>-</v>
      </c>
      <c r="E14633" t="str">
        <v>-</v>
      </c>
      <c r="F14633" t="str">
        <v>-</v>
      </c>
      <c r="G14633" t="str">
        <v>-</v>
      </c>
    </row>
    <row r="14634">
      <c r="A14634">
        <v>14633</v>
      </c>
      <c r="B14634" t="str">
        <v>Công an thành phố Châu Đốc  tỉnh An Giang</v>
      </c>
      <c r="C14634" t="str">
        <v>-</v>
      </c>
      <c r="D14634" t="str">
        <v>-</v>
      </c>
      <c r="E14634" t="str">
        <v/>
      </c>
      <c r="F14634" t="str">
        <v>-</v>
      </c>
      <c r="G14634" t="str">
        <v>-</v>
      </c>
    </row>
    <row r="14635">
      <c r="A14635">
        <v>14634</v>
      </c>
      <c r="B14635" t="str">
        <v>UBND Ủy ban nhân dân thành phố Châu Đốc  tỉnh An Giang</v>
      </c>
      <c r="C14635" t="str">
        <v>-</v>
      </c>
      <c r="D14635" t="str">
        <v>-</v>
      </c>
      <c r="E14635" t="str">
        <v>-</v>
      </c>
      <c r="F14635" t="str">
        <v>-</v>
      </c>
      <c r="G14635" t="str">
        <v>-</v>
      </c>
    </row>
    <row r="14636">
      <c r="A14636">
        <v>14635</v>
      </c>
      <c r="B14636" t="str">
        <v>Công an huyện An Phú  tỉnh An Giang</v>
      </c>
      <c r="C14636" t="str">
        <v>-</v>
      </c>
      <c r="D14636" t="str">
        <v>-</v>
      </c>
      <c r="E14636" t="str">
        <v/>
      </c>
      <c r="F14636" t="str">
        <v>-</v>
      </c>
      <c r="G14636" t="str">
        <v>-</v>
      </c>
    </row>
    <row r="14637">
      <c r="A14637">
        <v>14636</v>
      </c>
      <c r="B14637" t="str">
        <v>UBND Ủy ban nhân dân huyện An Phú  tỉnh An Giang</v>
      </c>
      <c r="C14637" t="str">
        <v>-</v>
      </c>
      <c r="D14637" t="str">
        <v>-</v>
      </c>
      <c r="E14637" t="str">
        <v>-</v>
      </c>
      <c r="F14637" t="str">
        <v>-</v>
      </c>
      <c r="G14637" t="str">
        <v>-</v>
      </c>
    </row>
    <row r="14638">
      <c r="A14638">
        <v>14637</v>
      </c>
      <c r="B14638" t="str">
        <v>Công an huyện Phú Tân  tỉnh An Giang</v>
      </c>
      <c r="C14638" t="str">
        <v>-</v>
      </c>
      <c r="D14638" t="str">
        <v>-</v>
      </c>
      <c r="E14638" t="str">
        <v/>
      </c>
      <c r="F14638" t="str">
        <v>-</v>
      </c>
      <c r="G14638" t="str">
        <v>-</v>
      </c>
    </row>
    <row r="14639">
      <c r="A14639">
        <v>14638</v>
      </c>
      <c r="B14639" t="str">
        <v>UBND Ủy ban nhân dân huyện Phú Tân  tỉnh An Giang</v>
      </c>
      <c r="C14639" t="str">
        <v>-</v>
      </c>
      <c r="D14639" t="str">
        <v>-</v>
      </c>
      <c r="E14639" t="str">
        <v>-</v>
      </c>
      <c r="F14639" t="str">
        <v>-</v>
      </c>
      <c r="G14639" t="str">
        <v>-</v>
      </c>
    </row>
    <row r="14640">
      <c r="A14640">
        <v>14639</v>
      </c>
      <c r="B14640" t="str">
        <v>Công an huyện Châu Phú  tỉnh An Giang</v>
      </c>
      <c r="C14640" t="str">
        <v>-</v>
      </c>
      <c r="D14640" t="str">
        <v>-</v>
      </c>
      <c r="E14640" t="str">
        <v/>
      </c>
      <c r="F14640" t="str">
        <v>-</v>
      </c>
      <c r="G14640" t="str">
        <v>-</v>
      </c>
    </row>
    <row r="14641">
      <c r="A14641">
        <v>14640</v>
      </c>
      <c r="B14641" t="str">
        <v>UBND Ủy ban nhân dân huyện Châu Phú  tỉnh An Giang</v>
      </c>
      <c r="C14641" t="str">
        <v>-</v>
      </c>
      <c r="D14641" t="str">
        <v>-</v>
      </c>
      <c r="E14641" t="str">
        <v>-</v>
      </c>
      <c r="F14641" t="str">
        <v>-</v>
      </c>
      <c r="G14641" t="str">
        <v>-</v>
      </c>
    </row>
    <row r="14642">
      <c r="A14642">
        <v>14641</v>
      </c>
      <c r="B14642" t="str">
        <v>Công an huyện Tịnh Biên  tỉnh An Giang</v>
      </c>
      <c r="C14642" t="str">
        <v>-</v>
      </c>
      <c r="D14642" t="str">
        <v>-</v>
      </c>
      <c r="E14642" t="str">
        <v/>
      </c>
      <c r="F14642" t="str">
        <v>-</v>
      </c>
      <c r="G14642" t="str">
        <v>-</v>
      </c>
    </row>
    <row r="14643">
      <c r="A14643">
        <v>14642</v>
      </c>
      <c r="B14643" t="str">
        <v>UBND Ủy ban nhân dân huyện Tịnh Biên  tỉnh An Giang</v>
      </c>
      <c r="C14643" t="str">
        <v>-</v>
      </c>
      <c r="D14643" t="str">
        <v>-</v>
      </c>
      <c r="E14643" t="str">
        <v>-</v>
      </c>
      <c r="F14643" t="str">
        <v>-</v>
      </c>
      <c r="G14643" t="str">
        <v>-</v>
      </c>
    </row>
    <row r="14644">
      <c r="A14644">
        <v>14643</v>
      </c>
      <c r="B14644" t="str">
        <v>Công an huyện Tri Tôn  tỉnh An Giang</v>
      </c>
      <c r="C14644" t="str">
        <v>-</v>
      </c>
      <c r="D14644" t="str">
        <v>-</v>
      </c>
      <c r="E14644" t="str">
        <v/>
      </c>
      <c r="F14644" t="str">
        <v>-</v>
      </c>
      <c r="G14644" t="str">
        <v>-</v>
      </c>
    </row>
    <row r="14645">
      <c r="A14645">
        <v>14644</v>
      </c>
      <c r="B14645" t="str">
        <v>UBND Ủy ban nhân dân huyện Tri Tôn  tỉnh An Giang</v>
      </c>
      <c r="C14645" t="str">
        <v>-</v>
      </c>
      <c r="D14645" t="str">
        <v>-</v>
      </c>
      <c r="E14645" t="str">
        <v>-</v>
      </c>
      <c r="F14645" t="str">
        <v>-</v>
      </c>
      <c r="G14645" t="str">
        <v>-</v>
      </c>
    </row>
    <row r="14646">
      <c r="A14646">
        <v>14645</v>
      </c>
      <c r="B14646" t="str">
        <v>Công an huyện Chợ Mới  tỉnh An Giang</v>
      </c>
      <c r="C14646" t="str">
        <v>-</v>
      </c>
      <c r="D14646" t="str">
        <v>-</v>
      </c>
      <c r="E14646" t="str">
        <v/>
      </c>
      <c r="F14646" t="str">
        <v>-</v>
      </c>
      <c r="G14646" t="str">
        <v>-</v>
      </c>
    </row>
    <row r="14647">
      <c r="A14647">
        <v>14646</v>
      </c>
      <c r="B14647" t="str">
        <v>UBND Ủy ban nhân dân huyện Chợ Mới  tỉnh An Giang</v>
      </c>
      <c r="C14647" t="str">
        <v>-</v>
      </c>
      <c r="D14647" t="str">
        <v>-</v>
      </c>
      <c r="E14647" t="str">
        <v>-</v>
      </c>
      <c r="F14647" t="str">
        <v>-</v>
      </c>
      <c r="G14647" t="str">
        <v>-</v>
      </c>
    </row>
    <row r="14648">
      <c r="A14648">
        <v>14647</v>
      </c>
      <c r="B14648" t="str">
        <v>Công an huyện Thoại Sơn  tỉnh An Giang</v>
      </c>
      <c r="C14648" t="str">
        <v>-</v>
      </c>
      <c r="D14648" t="str">
        <v>-</v>
      </c>
      <c r="E14648" t="str">
        <v/>
      </c>
      <c r="F14648" t="str">
        <v>-</v>
      </c>
      <c r="G14648" t="str">
        <v>-</v>
      </c>
    </row>
    <row r="14649">
      <c r="A14649">
        <v>14648</v>
      </c>
      <c r="B14649" t="str">
        <v>UBND Ủy ban nhân dân huyện Thoại Sơn  tỉnh An Giang</v>
      </c>
      <c r="C14649" t="str">
        <v>-</v>
      </c>
      <c r="D14649" t="str">
        <v>-</v>
      </c>
      <c r="E14649" t="str">
        <v>-</v>
      </c>
      <c r="F14649" t="str">
        <v>-</v>
      </c>
      <c r="G14649" t="str">
        <v>-</v>
      </c>
    </row>
    <row r="14650">
      <c r="A14650">
        <v>14649</v>
      </c>
      <c r="B14650" t="str">
        <v>Công an thành phố Rạch Giá  tỉnh Kiên Giang</v>
      </c>
      <c r="C14650" t="str">
        <v>-</v>
      </c>
      <c r="D14650" t="str">
        <v>-</v>
      </c>
      <c r="E14650" t="str">
        <v/>
      </c>
      <c r="F14650" t="str">
        <v>-</v>
      </c>
      <c r="G14650" t="str">
        <v>-</v>
      </c>
    </row>
    <row r="14651">
      <c r="A14651">
        <v>14650</v>
      </c>
      <c r="B14651" t="str">
        <v>UBND Ủy ban nhân dân thành phố Rạch Giá  tỉnh Kiên Giang</v>
      </c>
      <c r="C14651" t="str">
        <v>-</v>
      </c>
      <c r="D14651" t="str">
        <v>-</v>
      </c>
      <c r="E14651" t="str">
        <v>-</v>
      </c>
      <c r="F14651" t="str">
        <v>-</v>
      </c>
      <c r="G14651" t="str">
        <v>-</v>
      </c>
    </row>
    <row r="14652">
      <c r="A14652">
        <v>14651</v>
      </c>
      <c r="B14652" t="str">
        <v>Công an huyện Kiên Lương  tỉnh Kiên Giang</v>
      </c>
      <c r="C14652" t="str">
        <v>-</v>
      </c>
      <c r="D14652" t="str">
        <v>-</v>
      </c>
      <c r="E14652" t="str">
        <v/>
      </c>
      <c r="F14652" t="str">
        <v>-</v>
      </c>
      <c r="G14652" t="str">
        <v>-</v>
      </c>
    </row>
    <row r="14653">
      <c r="A14653">
        <v>14652</v>
      </c>
      <c r="B14653" t="str">
        <v>UBND Ủy ban nhân dân huyện Kiên Lương  tỉnh Kiên Giang</v>
      </c>
      <c r="C14653" t="str">
        <v>-</v>
      </c>
      <c r="D14653" t="str">
        <v>-</v>
      </c>
      <c r="E14653" t="str">
        <v>-</v>
      </c>
      <c r="F14653" t="str">
        <v>-</v>
      </c>
      <c r="G14653" t="str">
        <v>-</v>
      </c>
    </row>
    <row r="14654">
      <c r="A14654">
        <v>14653</v>
      </c>
      <c r="B14654" t="str">
        <v>Công an huyện Hòn Đất  tỉnh Kiên Giang</v>
      </c>
      <c r="C14654" t="str">
        <v>-</v>
      </c>
      <c r="D14654" t="str">
        <v>-</v>
      </c>
      <c r="E14654" t="str">
        <v/>
      </c>
      <c r="F14654" t="str">
        <v>-</v>
      </c>
      <c r="G14654" t="str">
        <v>-</v>
      </c>
    </row>
    <row r="14655">
      <c r="A14655">
        <v>14654</v>
      </c>
      <c r="B14655" t="str">
        <v>UBND Ủy ban nhân dân huyện Hòn Đất  tỉnh Kiên Giang</v>
      </c>
      <c r="C14655" t="str">
        <v>-</v>
      </c>
      <c r="D14655" t="str">
        <v>-</v>
      </c>
      <c r="E14655" t="str">
        <v>-</v>
      </c>
      <c r="F14655" t="str">
        <v>-</v>
      </c>
      <c r="G14655" t="str">
        <v>-</v>
      </c>
    </row>
    <row r="14656">
      <c r="A14656">
        <v>14655</v>
      </c>
      <c r="B14656" t="str">
        <v>Công an huyện Tân Hiệp  tỉnh Kiên Giang</v>
      </c>
      <c r="C14656" t="str">
        <v>-</v>
      </c>
      <c r="D14656" t="str">
        <v>-</v>
      </c>
      <c r="E14656" t="str">
        <v/>
      </c>
      <c r="F14656" t="str">
        <v>-</v>
      </c>
      <c r="G14656" t="str">
        <v>-</v>
      </c>
    </row>
    <row r="14657">
      <c r="A14657">
        <v>14656</v>
      </c>
      <c r="B14657" t="str">
        <v>UBND Ủy ban nhân dân huyện Tân Hiệp  tỉnh Kiên Giang</v>
      </c>
      <c r="C14657" t="str">
        <v>-</v>
      </c>
      <c r="D14657" t="str">
        <v>-</v>
      </c>
      <c r="E14657" t="str">
        <v>-</v>
      </c>
      <c r="F14657" t="str">
        <v>-</v>
      </c>
      <c r="G14657" t="str">
        <v>-</v>
      </c>
    </row>
    <row r="14658">
      <c r="A14658">
        <v>14657</v>
      </c>
      <c r="B14658" t="str">
        <v>Công an huyện Giồng Riềng  tỉnh Kiên Giang</v>
      </c>
      <c r="C14658" t="str">
        <v>-</v>
      </c>
      <c r="D14658" t="str">
        <v>-</v>
      </c>
      <c r="E14658" t="str">
        <v/>
      </c>
      <c r="F14658" t="str">
        <v>-</v>
      </c>
      <c r="G14658" t="str">
        <v>-</v>
      </c>
    </row>
    <row r="14659">
      <c r="A14659">
        <v>14658</v>
      </c>
      <c r="B14659" t="str">
        <v>UBND Ủy ban nhân dân huyện Giồng Riềng  tỉnh Kiên Giang</v>
      </c>
      <c r="C14659" t="str">
        <v>-</v>
      </c>
      <c r="D14659" t="str">
        <v>-</v>
      </c>
      <c r="E14659" t="str">
        <v>-</v>
      </c>
      <c r="F14659" t="str">
        <v>-</v>
      </c>
      <c r="G14659" t="str">
        <v>-</v>
      </c>
    </row>
    <row r="14660">
      <c r="A14660">
        <v>14659</v>
      </c>
      <c r="B14660" t="str">
        <v>Công an huyện Gò Quao  tỉnh Kiên Giang</v>
      </c>
      <c r="C14660" t="str">
        <v>-</v>
      </c>
      <c r="D14660" t="str">
        <v>-</v>
      </c>
      <c r="E14660" t="str">
        <v/>
      </c>
      <c r="F14660" t="str">
        <v>-</v>
      </c>
      <c r="G14660" t="str">
        <v>-</v>
      </c>
    </row>
    <row r="14661">
      <c r="A14661">
        <v>14660</v>
      </c>
      <c r="B14661" t="str">
        <v>UBND Ủy ban nhân dân huyện Gò Quao  tỉnh Kiên Giang</v>
      </c>
      <c r="C14661" t="str">
        <v>-</v>
      </c>
      <c r="D14661" t="str">
        <v>-</v>
      </c>
      <c r="E14661" t="str">
        <v>-</v>
      </c>
      <c r="F14661" t="str">
        <v>-</v>
      </c>
      <c r="G14661" t="str">
        <v>-</v>
      </c>
    </row>
    <row r="14662">
      <c r="A14662">
        <v>14661</v>
      </c>
      <c r="B14662" t="str">
        <v>Công an huyện An Biên  tỉnh Kiên Giang</v>
      </c>
      <c r="C14662" t="str">
        <v>-</v>
      </c>
      <c r="D14662" t="str">
        <v>-</v>
      </c>
      <c r="E14662" t="str">
        <v/>
      </c>
      <c r="F14662" t="str">
        <v>-</v>
      </c>
      <c r="G14662" t="str">
        <v>-</v>
      </c>
    </row>
    <row r="14663">
      <c r="A14663">
        <v>14662</v>
      </c>
      <c r="B14663" t="str">
        <v>UBND Ủy ban nhân dân huyện An Biên  tỉnh Kiên Giang</v>
      </c>
      <c r="C14663" t="str">
        <v>-</v>
      </c>
      <c r="D14663" t="str">
        <v>-</v>
      </c>
      <c r="E14663" t="str">
        <v>-</v>
      </c>
      <c r="F14663" t="str">
        <v>-</v>
      </c>
      <c r="G14663" t="str">
        <v>-</v>
      </c>
    </row>
    <row r="14664">
      <c r="A14664">
        <v>14663</v>
      </c>
      <c r="B14664" t="str">
        <v>Công an huyện An Minh  tỉnh Kiên Giang</v>
      </c>
      <c r="C14664" t="str">
        <v>-</v>
      </c>
      <c r="D14664" t="str">
        <v>-</v>
      </c>
      <c r="E14664" t="str">
        <v/>
      </c>
      <c r="F14664" t="str">
        <v>-</v>
      </c>
      <c r="G14664" t="str">
        <v>-</v>
      </c>
    </row>
    <row r="14665">
      <c r="A14665">
        <v>14664</v>
      </c>
      <c r="B14665" t="str">
        <v>UBND Ủy ban nhân dân huyện An Minh  tỉnh Kiên Giang</v>
      </c>
      <c r="C14665" t="str">
        <v>-</v>
      </c>
      <c r="D14665" t="str">
        <v>-</v>
      </c>
      <c r="E14665" t="str">
        <v>-</v>
      </c>
      <c r="F14665" t="str">
        <v>-</v>
      </c>
      <c r="G14665" t="str">
        <v>-</v>
      </c>
    </row>
    <row r="14666">
      <c r="A14666">
        <v>14665</v>
      </c>
      <c r="B14666" t="str">
        <v>Công an huyện Vĩnh Thuận  tỉnh Kiên Giang</v>
      </c>
      <c r="C14666" t="str">
        <v>-</v>
      </c>
      <c r="D14666" t="str">
        <v>-</v>
      </c>
      <c r="E14666" t="str">
        <v/>
      </c>
      <c r="F14666" t="str">
        <v>-</v>
      </c>
      <c r="G14666" t="str">
        <v>-</v>
      </c>
    </row>
    <row r="14667">
      <c r="A14667">
        <v>14666</v>
      </c>
      <c r="B14667" t="str">
        <v>UBND Ủy ban nhân dân huyện Vĩnh Thuận  tỉnh Kiên Giang</v>
      </c>
      <c r="C14667" t="str">
        <v>-</v>
      </c>
      <c r="D14667" t="str">
        <v>-</v>
      </c>
      <c r="E14667" t="str">
        <v>-</v>
      </c>
      <c r="F14667" t="str">
        <v>-</v>
      </c>
      <c r="G14667" t="str">
        <v>-</v>
      </c>
    </row>
    <row r="14668">
      <c r="A14668">
        <v>14667</v>
      </c>
      <c r="B14668" t="str">
        <v>Công an huyện Phú Quốc  tỉnh Kiên Giang</v>
      </c>
      <c r="C14668" t="str">
        <v>-</v>
      </c>
      <c r="D14668" t="str">
        <v>-</v>
      </c>
      <c r="E14668" t="str">
        <v/>
      </c>
      <c r="F14668" t="str">
        <v>-</v>
      </c>
      <c r="G14668" t="str">
        <v>-</v>
      </c>
    </row>
    <row r="14669">
      <c r="A14669">
        <v>14668</v>
      </c>
      <c r="B14669" t="str">
        <v>UBND Ủy ban nhân dân huyện Phú Quốc  tỉnh Kiên Giang</v>
      </c>
      <c r="C14669" t="str">
        <v>-</v>
      </c>
      <c r="D14669" t="str">
        <v>-</v>
      </c>
      <c r="E14669" t="str">
        <v>-</v>
      </c>
      <c r="F14669" t="str">
        <v>-</v>
      </c>
      <c r="G14669" t="str">
        <v>-</v>
      </c>
    </row>
    <row r="14670">
      <c r="A14670">
        <v>14669</v>
      </c>
      <c r="B14670" t="str">
        <v>Công an huyện Kiên Hải  tỉnh Kiên Giang</v>
      </c>
      <c r="C14670" t="str">
        <v>-</v>
      </c>
      <c r="D14670" t="str">
        <v>-</v>
      </c>
      <c r="E14670" t="str">
        <v/>
      </c>
      <c r="F14670" t="str">
        <v>-</v>
      </c>
      <c r="G14670" t="str">
        <v>-</v>
      </c>
    </row>
    <row r="14671">
      <c r="A14671">
        <v>14670</v>
      </c>
      <c r="B14671" t="str">
        <v>UBND Ủy ban nhân dân huyện Kiên Hải  tỉnh Kiên Giang</v>
      </c>
      <c r="C14671" t="str">
        <v>-</v>
      </c>
      <c r="D14671" t="str">
        <v>-</v>
      </c>
      <c r="E14671" t="str">
        <v>-</v>
      </c>
      <c r="F14671" t="str">
        <v>-</v>
      </c>
      <c r="G14671" t="str">
        <v>-</v>
      </c>
    </row>
    <row r="14672">
      <c r="A14672">
        <v>14671</v>
      </c>
      <c r="B14672" t="str">
        <v>Công an huyện U Minh Thượng  tỉnh Kiên Giang</v>
      </c>
      <c r="C14672" t="str">
        <v>-</v>
      </c>
      <c r="D14672" t="str">
        <v>-</v>
      </c>
      <c r="E14672" t="str">
        <v/>
      </c>
      <c r="F14672" t="str">
        <v>-</v>
      </c>
      <c r="G14672" t="str">
        <v>-</v>
      </c>
    </row>
    <row r="14673">
      <c r="A14673">
        <v>14672</v>
      </c>
      <c r="B14673" t="str">
        <v>UBND Ủy ban nhân dân huyện U Minh Thượng  tỉnh Kiên Giang</v>
      </c>
      <c r="C14673" t="str">
        <v>-</v>
      </c>
      <c r="D14673" t="str">
        <v>-</v>
      </c>
      <c r="E14673" t="str">
        <v>-</v>
      </c>
      <c r="F14673" t="str">
        <v>-</v>
      </c>
      <c r="G14673" t="str">
        <v>-</v>
      </c>
    </row>
    <row r="14674">
      <c r="A14674">
        <v>14673</v>
      </c>
      <c r="B14674" t="str">
        <v>Công an huyện Giang Thành  tỉnh Kiên Giang</v>
      </c>
      <c r="C14674" t="str">
        <v>-</v>
      </c>
      <c r="D14674" t="str">
        <v>-</v>
      </c>
      <c r="E14674" t="str">
        <v/>
      </c>
      <c r="F14674" t="str">
        <v>-</v>
      </c>
      <c r="G14674" t="str">
        <v>-</v>
      </c>
    </row>
    <row r="14675">
      <c r="A14675">
        <v>14674</v>
      </c>
      <c r="B14675" t="str">
        <v>UBND Ủy ban nhân dân huyện Giang Thành  tỉnh Kiên Giang</v>
      </c>
      <c r="C14675" t="str">
        <v>-</v>
      </c>
      <c r="D14675" t="str">
        <v>-</v>
      </c>
      <c r="E14675" t="str">
        <v>-</v>
      </c>
      <c r="F14675" t="str">
        <v>-</v>
      </c>
      <c r="G14675" t="str">
        <v>-</v>
      </c>
    </row>
    <row r="14676">
      <c r="A14676">
        <v>14675</v>
      </c>
      <c r="B14676" t="str">
        <v>Công an quận Ninh Kiều  thành phố Cần Thơ</v>
      </c>
      <c r="C14676" t="str">
        <v>-</v>
      </c>
      <c r="D14676" t="str">
        <v>-</v>
      </c>
      <c r="E14676" t="str">
        <v/>
      </c>
      <c r="F14676" t="str">
        <v>-</v>
      </c>
      <c r="G14676" t="str">
        <v>-</v>
      </c>
    </row>
    <row r="14677">
      <c r="A14677">
        <v>14676</v>
      </c>
      <c r="B14677" t="str">
        <v>UBND Ủy ban nhân dân quận Ninh Kiều  thành phố Cần Thơ</v>
      </c>
      <c r="C14677" t="str">
        <v>-</v>
      </c>
      <c r="D14677" t="str">
        <v>-</v>
      </c>
      <c r="E14677" t="str">
        <v>-</v>
      </c>
      <c r="F14677" t="str">
        <v>-</v>
      </c>
      <c r="G14677" t="str">
        <v>-</v>
      </c>
    </row>
    <row r="14678">
      <c r="A14678">
        <v>14677</v>
      </c>
      <c r="B14678" t="str">
        <v>Công an quận Ô Môn  thành phố Cần Thơ</v>
      </c>
      <c r="C14678" t="str">
        <v>-</v>
      </c>
      <c r="D14678" t="str">
        <v>-</v>
      </c>
      <c r="E14678" t="str">
        <v/>
      </c>
      <c r="F14678" t="str">
        <v>-</v>
      </c>
      <c r="G14678" t="str">
        <v>-</v>
      </c>
    </row>
    <row r="14679">
      <c r="A14679">
        <v>14678</v>
      </c>
      <c r="B14679" t="str">
        <v>UBND Ủy ban nhân dân quận Ô Môn  thành phố Cần Thơ</v>
      </c>
      <c r="C14679" t="str">
        <v>-</v>
      </c>
      <c r="D14679" t="str">
        <v>-</v>
      </c>
      <c r="E14679" t="str">
        <v>-</v>
      </c>
      <c r="F14679" t="str">
        <v>-</v>
      </c>
      <c r="G14679" t="str">
        <v>-</v>
      </c>
    </row>
    <row r="14680">
      <c r="A14680">
        <v>14679</v>
      </c>
      <c r="B14680" t="str">
        <v>Công an quận Bình Thuỷ  thành phố Cần Thơ</v>
      </c>
      <c r="C14680" t="str">
        <v>-</v>
      </c>
      <c r="D14680" t="str">
        <v>-</v>
      </c>
      <c r="E14680" t="str">
        <v/>
      </c>
      <c r="F14680" t="str">
        <v>-</v>
      </c>
      <c r="G14680" t="str">
        <v>-</v>
      </c>
    </row>
    <row r="14681">
      <c r="A14681">
        <v>14680</v>
      </c>
      <c r="B14681" t="str">
        <v>UBND Ủy ban nhân dân quận Bình Thuỷ  thành phố Cần Thơ</v>
      </c>
      <c r="C14681" t="str">
        <v>-</v>
      </c>
      <c r="D14681" t="str">
        <v>-</v>
      </c>
      <c r="E14681" t="str">
        <v>-</v>
      </c>
      <c r="F14681" t="str">
        <v>-</v>
      </c>
      <c r="G14681" t="str">
        <v>-</v>
      </c>
    </row>
    <row r="14682">
      <c r="A14682">
        <v>14681</v>
      </c>
      <c r="B14682" t="str">
        <v>Công an quận Cái Răng  thành phố Cần Thơ</v>
      </c>
      <c r="C14682" t="str">
        <v>-</v>
      </c>
      <c r="D14682" t="str">
        <v>-</v>
      </c>
      <c r="E14682" t="str">
        <v/>
      </c>
      <c r="F14682" t="str">
        <v>-</v>
      </c>
      <c r="G14682" t="str">
        <v>-</v>
      </c>
    </row>
    <row r="14683">
      <c r="A14683">
        <v>14682</v>
      </c>
      <c r="B14683" t="str">
        <v>UBND Ủy ban nhân dân quận Cái Răng  thành phố Cần Thơ</v>
      </c>
      <c r="C14683" t="str">
        <v>-</v>
      </c>
      <c r="D14683" t="str">
        <v>-</v>
      </c>
      <c r="E14683" t="str">
        <v>-</v>
      </c>
      <c r="F14683" t="str">
        <v>-</v>
      </c>
      <c r="G14683" t="str">
        <v>-</v>
      </c>
    </row>
    <row r="14684">
      <c r="A14684">
        <v>14683</v>
      </c>
      <c r="B14684" t="str">
        <v>Công an quận Thốt Nốt  thành phố Cần Thơ</v>
      </c>
      <c r="C14684" t="str">
        <v>-</v>
      </c>
      <c r="D14684" t="str">
        <v>-</v>
      </c>
      <c r="E14684" t="str">
        <v/>
      </c>
      <c r="F14684" t="str">
        <v>-</v>
      </c>
      <c r="G14684" t="str">
        <v>-</v>
      </c>
    </row>
    <row r="14685">
      <c r="A14685">
        <v>14684</v>
      </c>
      <c r="B14685" t="str">
        <v>UBND Ủy ban nhân dân quận Thốt Nốt  thành phố Cần Thơ</v>
      </c>
      <c r="C14685" t="str">
        <v>-</v>
      </c>
      <c r="D14685" t="str">
        <v>-</v>
      </c>
      <c r="E14685" t="str">
        <v>-</v>
      </c>
      <c r="F14685" t="str">
        <v>-</v>
      </c>
      <c r="G14685" t="str">
        <v>-</v>
      </c>
    </row>
    <row r="14686">
      <c r="A14686">
        <v>14685</v>
      </c>
      <c r="B14686" t="str">
        <v>Công an huyện Cờ Đỏ  thành phố Cần Thơ</v>
      </c>
      <c r="C14686" t="str">
        <v>-</v>
      </c>
      <c r="D14686" t="str">
        <v>-</v>
      </c>
      <c r="E14686" t="str">
        <v/>
      </c>
      <c r="F14686" t="str">
        <v>-</v>
      </c>
      <c r="G14686" t="str">
        <v>-</v>
      </c>
    </row>
    <row r="14687">
      <c r="A14687">
        <v>14686</v>
      </c>
      <c r="B14687" t="str">
        <v>UBND Ủy ban nhân dân huyện Cờ Đỏ  thành phố Cần Thơ</v>
      </c>
      <c r="C14687" t="str">
        <v>-</v>
      </c>
      <c r="D14687" t="str">
        <v>-</v>
      </c>
      <c r="E14687" t="str">
        <v>-</v>
      </c>
      <c r="F14687" t="str">
        <v>-</v>
      </c>
      <c r="G14687" t="str">
        <v>-</v>
      </c>
    </row>
    <row r="14688">
      <c r="A14688">
        <v>14687</v>
      </c>
      <c r="B14688" t="str">
        <v>Công an huyện Thới Lai  thành phố Cần Thơ</v>
      </c>
      <c r="C14688" t="str">
        <v>-</v>
      </c>
      <c r="D14688" t="str">
        <v>-</v>
      </c>
      <c r="E14688" t="str">
        <v/>
      </c>
      <c r="F14688" t="str">
        <v>-</v>
      </c>
      <c r="G14688" t="str">
        <v>-</v>
      </c>
    </row>
    <row r="14689">
      <c r="A14689">
        <v>14688</v>
      </c>
      <c r="B14689" t="str">
        <v>UBND Ủy ban nhân dân huyện Thới Lai  thành phố Cần Thơ</v>
      </c>
      <c r="C14689" t="str">
        <v>-</v>
      </c>
      <c r="D14689" t="str">
        <v>-</v>
      </c>
      <c r="E14689" t="str">
        <v>-</v>
      </c>
      <c r="F14689" t="str">
        <v>-</v>
      </c>
      <c r="G14689" t="str">
        <v>-</v>
      </c>
    </row>
    <row r="14690">
      <c r="A14690">
        <v>14689</v>
      </c>
      <c r="B14690" t="str">
        <v>Công an thành phố Vị Thanh  tỉnh Hậu Giang</v>
      </c>
      <c r="C14690" t="str">
        <v>-</v>
      </c>
      <c r="D14690" t="str">
        <v>-</v>
      </c>
      <c r="E14690" t="str">
        <v/>
      </c>
      <c r="F14690" t="str">
        <v>-</v>
      </c>
      <c r="G14690" t="str">
        <v>-</v>
      </c>
    </row>
    <row r="14691">
      <c r="A14691">
        <v>14690</v>
      </c>
      <c r="B14691" t="str">
        <v>UBND Ủy ban nhân dân thành phố Vị Thanh  tỉnh Hậu Giang</v>
      </c>
      <c r="C14691" t="str">
        <v>-</v>
      </c>
      <c r="D14691" t="str">
        <v>-</v>
      </c>
      <c r="E14691" t="str">
        <v>-</v>
      </c>
      <c r="F14691" t="str">
        <v>-</v>
      </c>
      <c r="G14691" t="str">
        <v>-</v>
      </c>
    </row>
    <row r="14692">
      <c r="A14692">
        <v>14691</v>
      </c>
      <c r="B14692" t="str">
        <v>Công an huyện Châu Thành A  tỉnh Hậu Giang</v>
      </c>
      <c r="C14692" t="str">
        <v>-</v>
      </c>
      <c r="D14692" t="str">
        <v>-</v>
      </c>
      <c r="E14692" t="str">
        <v/>
      </c>
      <c r="F14692" t="str">
        <v>-</v>
      </c>
      <c r="G14692" t="str">
        <v>-</v>
      </c>
    </row>
    <row r="14693">
      <c r="A14693">
        <v>14692</v>
      </c>
      <c r="B14693" t="str">
        <v>UBND Ủy ban nhân dân huyện Châu Thành A  tỉnh Hậu Giang</v>
      </c>
      <c r="C14693" t="str">
        <v>-</v>
      </c>
      <c r="D14693" t="str">
        <v>-</v>
      </c>
      <c r="E14693" t="str">
        <v>-</v>
      </c>
      <c r="F14693" t="str">
        <v>-</v>
      </c>
      <c r="G14693" t="str">
        <v>-</v>
      </c>
    </row>
    <row r="14694">
      <c r="A14694">
        <v>14693</v>
      </c>
      <c r="B14694" t="str">
        <v>Công an huyện Phụng Hiệp  tỉnh Hậu Giang</v>
      </c>
      <c r="C14694" t="str">
        <v>-</v>
      </c>
      <c r="D14694" t="str">
        <v>-</v>
      </c>
      <c r="E14694" t="str">
        <v/>
      </c>
      <c r="F14694" t="str">
        <v>-</v>
      </c>
      <c r="G14694" t="str">
        <v>-</v>
      </c>
    </row>
    <row r="14695">
      <c r="A14695">
        <v>14694</v>
      </c>
      <c r="B14695" t="str">
        <v>UBND Ủy ban nhân dân huyện Phụng Hiệp  tỉnh Hậu Giang</v>
      </c>
      <c r="C14695" t="str">
        <v>-</v>
      </c>
      <c r="D14695" t="str">
        <v>-</v>
      </c>
      <c r="E14695" t="str">
        <v>-</v>
      </c>
      <c r="F14695" t="str">
        <v>-</v>
      </c>
      <c r="G14695" t="str">
        <v>-</v>
      </c>
    </row>
    <row r="14696">
      <c r="A14696">
        <v>14695</v>
      </c>
      <c r="B14696" t="str">
        <v>Công an huyện Vị Thuỷ  tỉnh Hậu Giang</v>
      </c>
      <c r="C14696" t="str">
        <v>-</v>
      </c>
      <c r="D14696" t="str">
        <v>-</v>
      </c>
      <c r="E14696" t="str">
        <v/>
      </c>
      <c r="F14696" t="str">
        <v>-</v>
      </c>
      <c r="G14696" t="str">
        <v>-</v>
      </c>
    </row>
    <row r="14697">
      <c r="A14697">
        <v>14696</v>
      </c>
      <c r="B14697" t="str">
        <v>UBND Ủy ban nhân dân huyện Vị Thuỷ  tỉnh Hậu Giang</v>
      </c>
      <c r="C14697" t="str">
        <v>-</v>
      </c>
      <c r="D14697" t="str">
        <v>-</v>
      </c>
      <c r="E14697" t="str">
        <v>-</v>
      </c>
      <c r="F14697" t="str">
        <v>-</v>
      </c>
      <c r="G14697" t="str">
        <v>-</v>
      </c>
    </row>
    <row r="14698">
      <c r="A14698">
        <v>14697</v>
      </c>
      <c r="B14698" t="str">
        <v>Công an huyện Long Mỹ  tỉnh Hậu Giang</v>
      </c>
      <c r="C14698" t="str">
        <v>-</v>
      </c>
      <c r="D14698" t="str">
        <v>-</v>
      </c>
      <c r="E14698" t="str">
        <v/>
      </c>
      <c r="F14698" t="str">
        <v>-</v>
      </c>
      <c r="G14698" t="str">
        <v>-</v>
      </c>
    </row>
    <row r="14699">
      <c r="A14699">
        <v>14698</v>
      </c>
      <c r="B14699" t="str">
        <v>UBND Ủy ban nhân dân huyện Long Mỹ  tỉnh Hậu Giang</v>
      </c>
      <c r="C14699" t="str">
        <v>-</v>
      </c>
      <c r="D14699" t="str">
        <v>-</v>
      </c>
      <c r="E14699" t="str">
        <v>-</v>
      </c>
      <c r="F14699" t="str">
        <v>-</v>
      </c>
      <c r="G14699" t="str">
        <v>-</v>
      </c>
    </row>
    <row r="14700">
      <c r="A14700">
        <v>14699</v>
      </c>
      <c r="B14700" t="str">
        <v>Công an thành phố Sóc Trăng  tỉnh Sóc Trăng</v>
      </c>
      <c r="C14700" t="str">
        <v>-</v>
      </c>
      <c r="D14700" t="str">
        <v>-</v>
      </c>
      <c r="E14700" t="str">
        <v/>
      </c>
      <c r="F14700" t="str">
        <v>-</v>
      </c>
      <c r="G14700" t="str">
        <v>-</v>
      </c>
    </row>
    <row r="14701">
      <c r="A14701">
        <v>14700</v>
      </c>
      <c r="B14701" t="str">
        <v>UBND Ủy ban nhân dân thành phố Sóc Trăng  tỉnh Sóc Trăng</v>
      </c>
      <c r="C14701" t="str">
        <v>-</v>
      </c>
      <c r="D14701" t="str">
        <v>-</v>
      </c>
      <c r="E14701" t="str">
        <v>-</v>
      </c>
      <c r="F14701" t="str">
        <v>-</v>
      </c>
      <c r="G14701" t="str">
        <v>-</v>
      </c>
    </row>
    <row r="14702">
      <c r="A14702">
        <v>14701</v>
      </c>
      <c r="B14702" t="str">
        <v>Công an huyện Kế Sách  tỉnh Sóc Trăng</v>
      </c>
      <c r="C14702" t="str">
        <v>-</v>
      </c>
      <c r="D14702" t="str">
        <v>-</v>
      </c>
      <c r="E14702" t="str">
        <v/>
      </c>
      <c r="F14702" t="str">
        <v>-</v>
      </c>
      <c r="G14702" t="str">
        <v>-</v>
      </c>
    </row>
    <row r="14703">
      <c r="A14703">
        <v>14702</v>
      </c>
      <c r="B14703" t="str">
        <v>UBND Ủy ban nhân dân huyện Kế Sách  tỉnh Sóc Trăng</v>
      </c>
      <c r="C14703" t="str">
        <v>-</v>
      </c>
      <c r="D14703" t="str">
        <v>-</v>
      </c>
      <c r="E14703" t="str">
        <v>-</v>
      </c>
      <c r="F14703" t="str">
        <v>-</v>
      </c>
      <c r="G14703" t="str">
        <v>-</v>
      </c>
    </row>
    <row r="14704">
      <c r="A14704">
        <v>14703</v>
      </c>
      <c r="B14704" t="str">
        <v>Công an huyện Mỹ Tú  tỉnh Sóc Trăng</v>
      </c>
      <c r="C14704" t="str">
        <v>-</v>
      </c>
      <c r="D14704" t="str">
        <v>-</v>
      </c>
      <c r="E14704" t="str">
        <v/>
      </c>
      <c r="F14704" t="str">
        <v>-</v>
      </c>
      <c r="G14704" t="str">
        <v>-</v>
      </c>
    </row>
    <row r="14705">
      <c r="A14705">
        <v>14704</v>
      </c>
      <c r="B14705" t="str">
        <v>UBND Ủy ban nhân dân huyện Mỹ Tú  tỉnh Sóc Trăng</v>
      </c>
      <c r="C14705" t="str">
        <v>-</v>
      </c>
      <c r="D14705" t="str">
        <v>-</v>
      </c>
      <c r="E14705" t="str">
        <v>-</v>
      </c>
      <c r="F14705" t="str">
        <v>-</v>
      </c>
      <c r="G14705" t="str">
        <v>-</v>
      </c>
    </row>
    <row r="14706">
      <c r="A14706">
        <v>14705</v>
      </c>
      <c r="B14706" t="str">
        <v>Công an huyện Cù Lao Dung  tỉnh Sóc Trăng</v>
      </c>
      <c r="C14706" t="str">
        <v>-</v>
      </c>
      <c r="D14706" t="str">
        <v>-</v>
      </c>
      <c r="E14706" t="str">
        <v/>
      </c>
      <c r="F14706" t="str">
        <v>-</v>
      </c>
      <c r="G14706" t="str">
        <v>-</v>
      </c>
    </row>
    <row r="14707">
      <c r="A14707">
        <v>14706</v>
      </c>
      <c r="B14707" t="str">
        <v>UBND Ủy ban nhân dân huyện Cù Lao Dung  tỉnh Sóc Trăng</v>
      </c>
      <c r="C14707" t="str">
        <v>-</v>
      </c>
      <c r="D14707" t="str">
        <v>-</v>
      </c>
      <c r="E14707" t="str">
        <v>-</v>
      </c>
      <c r="F14707" t="str">
        <v>-</v>
      </c>
      <c r="G14707" t="str">
        <v>-</v>
      </c>
    </row>
    <row r="14708">
      <c r="A14708">
        <v>14707</v>
      </c>
      <c r="B14708" t="str">
        <v>Công an huyện Long Phú  tỉnh Sóc Trăng</v>
      </c>
      <c r="C14708" t="str">
        <v>-</v>
      </c>
      <c r="D14708" t="str">
        <v>-</v>
      </c>
      <c r="E14708" t="str">
        <v/>
      </c>
      <c r="F14708" t="str">
        <v>-</v>
      </c>
      <c r="G14708" t="str">
        <v>-</v>
      </c>
    </row>
    <row r="14709">
      <c r="A14709">
        <v>14708</v>
      </c>
      <c r="B14709" t="str">
        <v>UBND Ủy ban nhân dân huyện Long Phú  tỉnh Sóc Trăng</v>
      </c>
      <c r="C14709" t="str">
        <v>-</v>
      </c>
      <c r="D14709" t="str">
        <v>-</v>
      </c>
      <c r="E14709" t="str">
        <v>-</v>
      </c>
      <c r="F14709" t="str">
        <v>-</v>
      </c>
      <c r="G14709" t="str">
        <v>-</v>
      </c>
    </row>
    <row r="14710">
      <c r="A14710">
        <v>14709</v>
      </c>
      <c r="B14710" t="str">
        <v>Công an huyện Mỹ Xuyên  tỉnh Sóc Trăng</v>
      </c>
      <c r="C14710" t="str">
        <v>-</v>
      </c>
      <c r="D14710" t="str">
        <v>-</v>
      </c>
      <c r="E14710" t="str">
        <v/>
      </c>
      <c r="F14710" t="str">
        <v>-</v>
      </c>
      <c r="G14710" t="str">
        <v>-</v>
      </c>
    </row>
    <row r="14711">
      <c r="A14711">
        <v>14710</v>
      </c>
      <c r="B14711" t="str">
        <v>UBND Ủy ban nhân dân huyện Mỹ Xuyên  tỉnh Sóc Trăng</v>
      </c>
      <c r="C14711" t="str">
        <v>-</v>
      </c>
      <c r="D14711" t="str">
        <v>-</v>
      </c>
      <c r="E14711" t="str">
        <v>-</v>
      </c>
      <c r="F14711" t="str">
        <v>-</v>
      </c>
      <c r="G14711" t="str">
        <v>-</v>
      </c>
    </row>
    <row r="14712">
      <c r="A14712">
        <v>14711</v>
      </c>
      <c r="B14712" t="str">
        <v>Công an huyện Thạnh Trị  tỉnh Sóc Trăng</v>
      </c>
      <c r="C14712" t="str">
        <v>-</v>
      </c>
      <c r="D14712" t="str">
        <v>-</v>
      </c>
      <c r="E14712" t="str">
        <v/>
      </c>
      <c r="F14712" t="str">
        <v>-</v>
      </c>
      <c r="G14712" t="str">
        <v>-</v>
      </c>
    </row>
    <row r="14713">
      <c r="A14713">
        <v>14712</v>
      </c>
      <c r="B14713" t="str">
        <v>UBND Ủy ban nhân dân huyện Thạnh Trị  tỉnh Sóc Trăng</v>
      </c>
      <c r="C14713" t="str">
        <v>-</v>
      </c>
      <c r="D14713" t="str">
        <v>-</v>
      </c>
      <c r="E14713" t="str">
        <v>-</v>
      </c>
      <c r="F14713" t="str">
        <v>-</v>
      </c>
      <c r="G14713" t="str">
        <v>-</v>
      </c>
    </row>
    <row r="14714">
      <c r="A14714">
        <v>14713</v>
      </c>
      <c r="B14714" t="str">
        <v>Công an huyện Trần Đề  tỉnh Sóc Trăng</v>
      </c>
      <c r="C14714" t="str">
        <v>-</v>
      </c>
      <c r="D14714" t="str">
        <v>-</v>
      </c>
      <c r="E14714" t="str">
        <v/>
      </c>
      <c r="F14714" t="str">
        <v>-</v>
      </c>
      <c r="G14714" t="str">
        <v>-</v>
      </c>
    </row>
    <row r="14715">
      <c r="A14715">
        <v>14714</v>
      </c>
      <c r="B14715" t="str">
        <v>UBND Ủy ban nhân dân huyện Trần Đề  tỉnh Sóc Trăng</v>
      </c>
      <c r="C14715" t="str">
        <v>-</v>
      </c>
      <c r="D14715" t="str">
        <v>-</v>
      </c>
      <c r="E14715" t="str">
        <v>-</v>
      </c>
      <c r="F14715" t="str">
        <v>-</v>
      </c>
      <c r="G14715" t="str">
        <v>-</v>
      </c>
    </row>
    <row r="14716">
      <c r="A14716">
        <v>14715</v>
      </c>
      <c r="B14716" t="str">
        <v>Công an thành phố Bạc Liêu  tỉnh Bạc Liêu</v>
      </c>
      <c r="C14716" t="str">
        <v>-</v>
      </c>
      <c r="D14716" t="str">
        <v>-</v>
      </c>
      <c r="E14716" t="str">
        <v/>
      </c>
      <c r="F14716" t="str">
        <v>-</v>
      </c>
      <c r="G14716" t="str">
        <v>-</v>
      </c>
    </row>
    <row r="14717">
      <c r="A14717">
        <v>14716</v>
      </c>
      <c r="B14717" t="str">
        <v>UBND Ủy ban nhân dân thành phố Bạc Liêu  tỉnh Bạc Liêu</v>
      </c>
      <c r="C14717" t="str">
        <v>-</v>
      </c>
      <c r="D14717" t="str">
        <v>-</v>
      </c>
      <c r="E14717" t="str">
        <v>-</v>
      </c>
      <c r="F14717" t="str">
        <v>-</v>
      </c>
      <c r="G14717" t="str">
        <v>-</v>
      </c>
    </row>
    <row r="14718">
      <c r="A14718">
        <v>14717</v>
      </c>
      <c r="B14718" t="str">
        <v>Công an huyện Hồng Dân  tỉnh Bạc Liêu</v>
      </c>
      <c r="C14718" t="str">
        <v>-</v>
      </c>
      <c r="D14718" t="str">
        <v>-</v>
      </c>
      <c r="E14718" t="str">
        <v/>
      </c>
      <c r="F14718" t="str">
        <v>-</v>
      </c>
      <c r="G14718" t="str">
        <v>-</v>
      </c>
    </row>
    <row r="14719">
      <c r="A14719">
        <v>14718</v>
      </c>
      <c r="B14719" t="str">
        <v>UBND Ủy ban nhân dân huyện Hồng Dân  tỉnh Bạc Liêu</v>
      </c>
      <c r="C14719" t="str">
        <v>-</v>
      </c>
      <c r="D14719" t="str">
        <v>-</v>
      </c>
      <c r="E14719" t="str">
        <v>-</v>
      </c>
      <c r="F14719" t="str">
        <v>-</v>
      </c>
      <c r="G14719" t="str">
        <v>-</v>
      </c>
    </row>
    <row r="14720">
      <c r="A14720">
        <v>14719</v>
      </c>
      <c r="B14720" t="str">
        <v>Công an huyện Phước Long  tỉnh Bạc Liêu</v>
      </c>
      <c r="C14720" t="str">
        <v>-</v>
      </c>
      <c r="D14720" t="str">
        <v>-</v>
      </c>
      <c r="E14720" t="str">
        <v/>
      </c>
      <c r="F14720" t="str">
        <v>-</v>
      </c>
      <c r="G14720" t="str">
        <v>-</v>
      </c>
    </row>
    <row r="14721">
      <c r="A14721">
        <v>14720</v>
      </c>
      <c r="B14721" t="str">
        <v>UBND Ủy ban nhân dân huyện Phước Long  tỉnh Bạc Liêu</v>
      </c>
      <c r="C14721" t="str">
        <v>-</v>
      </c>
      <c r="D14721" t="str">
        <v>-</v>
      </c>
      <c r="E14721" t="str">
        <v>-</v>
      </c>
      <c r="F14721" t="str">
        <v>-</v>
      </c>
      <c r="G14721" t="str">
        <v>-</v>
      </c>
    </row>
    <row r="14722">
      <c r="A14722">
        <v>14721</v>
      </c>
      <c r="B14722" t="str">
        <v>Công an huyện Vĩnh Lợi  tỉnh Bạc Liêu</v>
      </c>
      <c r="C14722" t="str">
        <v>-</v>
      </c>
      <c r="D14722" t="str">
        <v>-</v>
      </c>
      <c r="E14722" t="str">
        <v/>
      </c>
      <c r="F14722" t="str">
        <v>-</v>
      </c>
      <c r="G14722" t="str">
        <v>-</v>
      </c>
    </row>
    <row r="14723">
      <c r="A14723">
        <v>14722</v>
      </c>
      <c r="B14723" t="str">
        <v>UBND Ủy ban nhân dân huyện Vĩnh Lợi  tỉnh Bạc Liêu</v>
      </c>
      <c r="C14723" t="str">
        <v>-</v>
      </c>
      <c r="D14723" t="str">
        <v>-</v>
      </c>
      <c r="E14723" t="str">
        <v>-</v>
      </c>
      <c r="F14723" t="str">
        <v>-</v>
      </c>
      <c r="G14723" t="str">
        <v>-</v>
      </c>
    </row>
    <row r="14724">
      <c r="A14724">
        <v>14723</v>
      </c>
      <c r="B14724" t="str">
        <v>Công an huyện Đông Hải  tỉnh Bạc Liêu</v>
      </c>
      <c r="C14724" t="str">
        <v>-</v>
      </c>
      <c r="D14724" t="str">
        <v>-</v>
      </c>
      <c r="E14724" t="str">
        <v/>
      </c>
      <c r="F14724" t="str">
        <v>-</v>
      </c>
      <c r="G14724" t="str">
        <v>-</v>
      </c>
    </row>
    <row r="14725">
      <c r="A14725">
        <v>14724</v>
      </c>
      <c r="B14725" t="str">
        <v>UBND Ủy ban nhân dân huyện Đông Hải  tỉnh Bạc Liêu</v>
      </c>
      <c r="C14725" t="str">
        <v>-</v>
      </c>
      <c r="D14725" t="str">
        <v>-</v>
      </c>
      <c r="E14725" t="str">
        <v>-</v>
      </c>
      <c r="F14725" t="str">
        <v>-</v>
      </c>
      <c r="G14725" t="str">
        <v>-</v>
      </c>
    </row>
    <row r="14726">
      <c r="A14726">
        <v>14725</v>
      </c>
      <c r="B14726" t="str">
        <v>Công an huyện Hoà Bình  tỉnh Bạc Liêu</v>
      </c>
      <c r="C14726" t="str">
        <v>-</v>
      </c>
      <c r="D14726" t="str">
        <v>-</v>
      </c>
      <c r="E14726" t="str">
        <v/>
      </c>
      <c r="F14726" t="str">
        <v>-</v>
      </c>
      <c r="G14726" t="str">
        <v>-</v>
      </c>
    </row>
    <row r="14727">
      <c r="A14727">
        <v>14726</v>
      </c>
      <c r="B14727" t="str">
        <v>UBND Ủy ban nhân dân huyện Hoà Bình  tỉnh Bạc Liêu</v>
      </c>
      <c r="C14727" t="str">
        <v>-</v>
      </c>
      <c r="D14727" t="str">
        <v>-</v>
      </c>
      <c r="E14727" t="str">
        <v>-</v>
      </c>
      <c r="F14727" t="str">
        <v>-</v>
      </c>
      <c r="G14727" t="str">
        <v>-</v>
      </c>
    </row>
    <row r="14728">
      <c r="A14728">
        <v>14727</v>
      </c>
      <c r="B14728" t="str">
        <v>Công an thành phố Cà Mau  tỉnh Cà Mau</v>
      </c>
      <c r="C14728" t="str">
        <v>-</v>
      </c>
      <c r="D14728" t="str">
        <v>-</v>
      </c>
      <c r="E14728" t="str">
        <v/>
      </c>
      <c r="F14728" t="str">
        <v>-</v>
      </c>
      <c r="G14728" t="str">
        <v>-</v>
      </c>
    </row>
    <row r="14729">
      <c r="A14729">
        <v>14728</v>
      </c>
      <c r="B14729" t="str">
        <v>UBND Ủy ban nhân dân thành phố Cà Mau  tỉnh Cà Mau</v>
      </c>
      <c r="C14729" t="str">
        <v>-</v>
      </c>
      <c r="D14729" t="str">
        <v>-</v>
      </c>
      <c r="E14729" t="str">
        <v>-</v>
      </c>
      <c r="F14729" t="str">
        <v>-</v>
      </c>
      <c r="G14729" t="str">
        <v>-</v>
      </c>
    </row>
    <row r="14730">
      <c r="A14730">
        <v>14729</v>
      </c>
      <c r="B14730" t="str">
        <v>Công an huyện U Minh  tỉnh Cà Mau</v>
      </c>
      <c r="C14730" t="str">
        <v>-</v>
      </c>
      <c r="D14730" t="str">
        <v>-</v>
      </c>
      <c r="E14730" t="str">
        <v/>
      </c>
      <c r="F14730" t="str">
        <v>-</v>
      </c>
      <c r="G14730" t="str">
        <v>-</v>
      </c>
    </row>
    <row r="14731">
      <c r="A14731">
        <v>14730</v>
      </c>
      <c r="B14731" t="str">
        <v>UBND Ủy ban nhân dân huyện U Minh  tỉnh Cà Mau</v>
      </c>
      <c r="C14731" t="str">
        <v>-</v>
      </c>
      <c r="D14731" t="str">
        <v>-</v>
      </c>
      <c r="E14731" t="str">
        <v>-</v>
      </c>
      <c r="F14731" t="str">
        <v>-</v>
      </c>
      <c r="G14731" t="str">
        <v>-</v>
      </c>
    </row>
    <row r="14732">
      <c r="A14732">
        <v>14731</v>
      </c>
      <c r="B14732" t="str">
        <v>Công an huyện Thới Bình  tỉnh Cà Mau</v>
      </c>
      <c r="C14732" t="str">
        <v>-</v>
      </c>
      <c r="D14732" t="str">
        <v>-</v>
      </c>
      <c r="E14732" t="str">
        <v/>
      </c>
      <c r="F14732" t="str">
        <v>-</v>
      </c>
      <c r="G14732" t="str">
        <v>-</v>
      </c>
    </row>
    <row r="14733">
      <c r="A14733">
        <v>14732</v>
      </c>
      <c r="B14733" t="str">
        <v>UBND Ủy ban nhân dân huyện Thới Bình  tỉnh Cà Mau</v>
      </c>
      <c r="C14733" t="str">
        <v>-</v>
      </c>
      <c r="D14733" t="str">
        <v>-</v>
      </c>
      <c r="E14733" t="str">
        <v>-</v>
      </c>
      <c r="F14733" t="str">
        <v>-</v>
      </c>
      <c r="G14733" t="str">
        <v>-</v>
      </c>
    </row>
    <row r="14734">
      <c r="A14734">
        <v>14733</v>
      </c>
      <c r="B14734" t="str">
        <v>Công an huyện Trần Văn Thời  tỉnh Cà Mau</v>
      </c>
      <c r="C14734" t="str">
        <v>-</v>
      </c>
      <c r="D14734" t="str">
        <v>-</v>
      </c>
      <c r="E14734" t="str">
        <v/>
      </c>
      <c r="F14734" t="str">
        <v>-</v>
      </c>
      <c r="G14734" t="str">
        <v>-</v>
      </c>
    </row>
    <row r="14735">
      <c r="A14735">
        <v>14734</v>
      </c>
      <c r="B14735" t="str">
        <v>UBND Ủy ban nhân dân huyện Trần Văn Thời  tỉnh Cà Mau</v>
      </c>
      <c r="C14735" t="str">
        <v>-</v>
      </c>
      <c r="D14735" t="str">
        <v>-</v>
      </c>
      <c r="E14735" t="str">
        <v>-</v>
      </c>
      <c r="F14735" t="str">
        <v>-</v>
      </c>
      <c r="G14735" t="str">
        <v>-</v>
      </c>
    </row>
    <row r="14736">
      <c r="A14736">
        <v>14735</v>
      </c>
      <c r="B14736" t="str">
        <v>Công an huyện Cái Nước  tỉnh Cà Mau</v>
      </c>
      <c r="C14736" t="str">
        <v>-</v>
      </c>
      <c r="D14736" t="str">
        <v>-</v>
      </c>
      <c r="E14736" t="str">
        <v/>
      </c>
      <c r="F14736" t="str">
        <v>-</v>
      </c>
      <c r="G14736" t="str">
        <v>-</v>
      </c>
    </row>
    <row r="14737">
      <c r="A14737">
        <v>14736</v>
      </c>
      <c r="B14737" t="str">
        <v>UBND Ủy ban nhân dân huyện Cái Nước  tỉnh Cà Mau</v>
      </c>
      <c r="C14737" t="str">
        <v>-</v>
      </c>
      <c r="D14737" t="str">
        <v>-</v>
      </c>
      <c r="E14737" t="str">
        <v>-</v>
      </c>
      <c r="F14737" t="str">
        <v>-</v>
      </c>
      <c r="G14737" t="str">
        <v>-</v>
      </c>
    </row>
    <row r="14738">
      <c r="A14738">
        <v>14737</v>
      </c>
      <c r="B14738" t="str">
        <v>Công an huyện Đầm Dơi  tỉnh Cà Mau</v>
      </c>
      <c r="C14738" t="str">
        <v>-</v>
      </c>
      <c r="D14738" t="str">
        <v>-</v>
      </c>
      <c r="E14738" t="str">
        <v/>
      </c>
      <c r="F14738" t="str">
        <v>-</v>
      </c>
      <c r="G14738" t="str">
        <v>-</v>
      </c>
    </row>
    <row r="14739">
      <c r="A14739">
        <v>14738</v>
      </c>
      <c r="B14739" t="str">
        <v>UBND Ủy ban nhân dân huyện Đầm Dơi  tỉnh Cà Mau</v>
      </c>
      <c r="C14739" t="str">
        <v>-</v>
      </c>
      <c r="D14739" t="str">
        <v>-</v>
      </c>
      <c r="E14739" t="str">
        <v>-</v>
      </c>
      <c r="F14739" t="str">
        <v>-</v>
      </c>
      <c r="G14739" t="str">
        <v>-</v>
      </c>
    </row>
    <row r="14740">
      <c r="A14740">
        <v>14739</v>
      </c>
      <c r="B14740" t="str">
        <v>Công an huyện Năm Căn  tỉnh Cà Mau</v>
      </c>
      <c r="C14740" t="str">
        <v>-</v>
      </c>
      <c r="D14740" t="str">
        <v>-</v>
      </c>
      <c r="E14740" t="str">
        <v/>
      </c>
      <c r="F14740" t="str">
        <v>-</v>
      </c>
      <c r="G14740" t="str">
        <v>-</v>
      </c>
    </row>
    <row r="14741">
      <c r="A14741">
        <v>14740</v>
      </c>
      <c r="B14741" t="str">
        <v>UBND Ủy ban nhân dân huyện Năm Căn  tỉnh Cà Mau</v>
      </c>
      <c r="C14741" t="str">
        <v>-</v>
      </c>
      <c r="D14741" t="str">
        <v>-</v>
      </c>
      <c r="E14741" t="str">
        <v>-</v>
      </c>
      <c r="F14741" t="str">
        <v>-</v>
      </c>
      <c r="G14741" t="str">
        <v>-</v>
      </c>
    </row>
    <row r="14742">
      <c r="A14742">
        <v>14741</v>
      </c>
      <c r="B14742" t="str">
        <v>Công an huyện Ngọc Hiển  tỉnh Cà Mau</v>
      </c>
      <c r="C14742" t="str">
        <v>-</v>
      </c>
      <c r="D14742" t="str">
        <v>-</v>
      </c>
      <c r="E14742" t="str">
        <v/>
      </c>
      <c r="F14742" t="str">
        <v>-</v>
      </c>
      <c r="G14742" t="str">
        <v>-</v>
      </c>
    </row>
    <row r="14743">
      <c r="A14743">
        <v>14742</v>
      </c>
      <c r="B14743" t="str">
        <v>UBND Ủy ban nhân dân huyện Ngọc Hiển  tỉnh Cà Mau</v>
      </c>
      <c r="C14743" t="str">
        <v>-</v>
      </c>
      <c r="D14743" t="str">
        <v>-</v>
      </c>
      <c r="E14743" t="str">
        <v>-</v>
      </c>
      <c r="F14743" t="str">
        <v>-</v>
      </c>
      <c r="G14743" t="str">
        <v>-</v>
      </c>
    </row>
    <row r="14744">
      <c r="A14744">
        <v>14743</v>
      </c>
      <c r="B14744" t="str">
        <v>Công an phường Hải Thành  tỉnh Quảng Bình</v>
      </c>
      <c r="C14744" t="str">
        <v>-</v>
      </c>
      <c r="D14744" t="str">
        <v>-</v>
      </c>
      <c r="E14744" t="str">
        <v/>
      </c>
      <c r="F14744" t="str">
        <v>-</v>
      </c>
      <c r="G14744" t="str">
        <v>-</v>
      </c>
    </row>
    <row r="14745">
      <c r="A14745">
        <v>14744</v>
      </c>
      <c r="B14745" t="str">
        <v>UBND Ủy ban nhân dân phường Hải Thành  tỉnh Quảng Bình</v>
      </c>
      <c r="C14745" t="str">
        <v>-</v>
      </c>
      <c r="D14745" t="str">
        <v>-</v>
      </c>
      <c r="E14745" t="str">
        <v>-</v>
      </c>
      <c r="F14745" t="str">
        <v>-</v>
      </c>
      <c r="G14745" t="str">
        <v>-</v>
      </c>
    </row>
    <row r="14746">
      <c r="A14746">
        <v>14745</v>
      </c>
      <c r="B14746" t="str">
        <v>Công an phường Đồng Phú  tỉnh Quảng Bình</v>
      </c>
      <c r="C14746" t="str">
        <v>-</v>
      </c>
      <c r="D14746" t="str">
        <v>-</v>
      </c>
      <c r="E14746" t="str">
        <v/>
      </c>
      <c r="F14746" t="str">
        <v>-</v>
      </c>
      <c r="G14746" t="str">
        <v>-</v>
      </c>
    </row>
    <row r="14747">
      <c r="A14747">
        <v>14746</v>
      </c>
      <c r="B14747" t="str">
        <v>UBND Ủy ban nhân dân phường Đồng Phú  tỉnh Quảng Bình</v>
      </c>
      <c r="C14747" t="str">
        <v>-</v>
      </c>
      <c r="D14747" t="str">
        <v>-</v>
      </c>
      <c r="E14747" t="str">
        <v>-</v>
      </c>
      <c r="F14747" t="str">
        <v>-</v>
      </c>
      <c r="G14747" t="str">
        <v>-</v>
      </c>
    </row>
    <row r="14748">
      <c r="A14748">
        <v>14747</v>
      </c>
      <c r="B14748" t="str">
        <v>Công an phường Bắc Lý  tỉnh Quảng Bình</v>
      </c>
      <c r="C14748" t="str">
        <v>-</v>
      </c>
      <c r="D14748" t="str">
        <v>-</v>
      </c>
      <c r="E14748" t="str">
        <v/>
      </c>
      <c r="F14748" t="str">
        <v>-</v>
      </c>
      <c r="G14748" t="str">
        <v>-</v>
      </c>
    </row>
    <row r="14749">
      <c r="A14749">
        <v>14748</v>
      </c>
      <c r="B14749" t="str">
        <v>UBND Ủy ban nhân dân phường Bắc Lý  tỉnh Quảng Bình</v>
      </c>
      <c r="C14749" t="str">
        <v>-</v>
      </c>
      <c r="D14749" t="str">
        <v>-</v>
      </c>
      <c r="E14749" t="str">
        <v>-</v>
      </c>
      <c r="F14749" t="str">
        <v>-</v>
      </c>
      <c r="G14749" t="str">
        <v>-</v>
      </c>
    </row>
    <row r="14750">
      <c r="A14750">
        <v>14749</v>
      </c>
      <c r="B14750" t="str">
        <v>Công an phường Đồng Mỹ  tỉnh Quảng Bình</v>
      </c>
      <c r="C14750" t="str">
        <v>-</v>
      </c>
      <c r="D14750" t="str">
        <v>-</v>
      </c>
      <c r="E14750" t="str">
        <v/>
      </c>
      <c r="F14750" t="str">
        <v>-</v>
      </c>
      <c r="G14750" t="str">
        <v>-</v>
      </c>
    </row>
    <row r="14751">
      <c r="A14751">
        <v>14750</v>
      </c>
      <c r="B14751" t="str">
        <v>UBND Ủy ban nhân dân phường Đồng Mỹ  tỉnh Quảng Bình</v>
      </c>
      <c r="C14751" t="str">
        <v>-</v>
      </c>
      <c r="D14751" t="str">
        <v>-</v>
      </c>
      <c r="E14751" t="str">
        <v>-</v>
      </c>
      <c r="F14751" t="str">
        <v>-</v>
      </c>
      <c r="G14751" t="str">
        <v>-</v>
      </c>
    </row>
    <row r="14752">
      <c r="A14752">
        <v>14751</v>
      </c>
      <c r="B14752" t="str">
        <v>Công an phường Nam Lý  tỉnh Quảng Bình</v>
      </c>
      <c r="C14752" t="str">
        <v>-</v>
      </c>
      <c r="D14752" t="str">
        <v>-</v>
      </c>
      <c r="E14752" t="str">
        <v/>
      </c>
      <c r="F14752" t="str">
        <v>-</v>
      </c>
      <c r="G14752" t="str">
        <v>-</v>
      </c>
    </row>
    <row r="14753">
      <c r="A14753">
        <v>14752</v>
      </c>
      <c r="B14753" t="str">
        <v>UBND Ủy ban nhân dân phường Nam Lý  tỉnh Quảng Bình</v>
      </c>
      <c r="C14753" t="str">
        <v>-</v>
      </c>
      <c r="D14753" t="str">
        <v>-</v>
      </c>
      <c r="E14753" t="str">
        <v>-</v>
      </c>
      <c r="F14753" t="str">
        <v>-</v>
      </c>
      <c r="G14753" t="str">
        <v>-</v>
      </c>
    </row>
    <row r="14754">
      <c r="A14754">
        <v>14753</v>
      </c>
      <c r="B14754" t="str">
        <v>Công an phường Hải Đình  tỉnh Quảng Bình</v>
      </c>
      <c r="C14754" t="str">
        <v>-</v>
      </c>
      <c r="D14754" t="str">
        <v>-</v>
      </c>
      <c r="E14754" t="str">
        <v/>
      </c>
      <c r="F14754" t="str">
        <v>-</v>
      </c>
      <c r="G14754" t="str">
        <v>-</v>
      </c>
    </row>
    <row r="14755">
      <c r="A14755">
        <v>14754</v>
      </c>
      <c r="B14755" t="str">
        <v>UBND Ủy ban nhân dân phường Hải Đình  tỉnh Quảng Bình</v>
      </c>
      <c r="C14755" t="str">
        <v>-</v>
      </c>
      <c r="D14755" t="str">
        <v>-</v>
      </c>
      <c r="E14755" t="str">
        <v>-</v>
      </c>
      <c r="F14755" t="str">
        <v>-</v>
      </c>
      <c r="G14755" t="str">
        <v>-</v>
      </c>
    </row>
    <row r="14756">
      <c r="A14756">
        <v>14755</v>
      </c>
      <c r="B14756" t="str">
        <v>Công an phường Đồng Sơn  tỉnh Quảng Bình</v>
      </c>
      <c r="C14756" t="str">
        <v>-</v>
      </c>
      <c r="D14756" t="str">
        <v>-</v>
      </c>
      <c r="E14756" t="str">
        <v/>
      </c>
      <c r="F14756" t="str">
        <v>-</v>
      </c>
      <c r="G14756" t="str">
        <v>-</v>
      </c>
    </row>
    <row r="14757">
      <c r="A14757">
        <v>14756</v>
      </c>
      <c r="B14757" t="str">
        <v>UBND Ủy ban nhân dân phường Đồng Sơn  tỉnh Quảng Bình</v>
      </c>
      <c r="C14757" t="str">
        <v>-</v>
      </c>
      <c r="D14757" t="str">
        <v>-</v>
      </c>
      <c r="E14757" t="str">
        <v>-</v>
      </c>
      <c r="F14757" t="str">
        <v>-</v>
      </c>
      <c r="G14757" t="str">
        <v>-</v>
      </c>
    </row>
    <row r="14758">
      <c r="A14758">
        <v>14757</v>
      </c>
      <c r="B14758" t="str">
        <v>Công an phường Phú Hải  tỉnh Quảng Bình</v>
      </c>
      <c r="C14758" t="str">
        <v>-</v>
      </c>
      <c r="D14758" t="str">
        <v>-</v>
      </c>
      <c r="E14758" t="str">
        <v/>
      </c>
      <c r="F14758" t="str">
        <v>-</v>
      </c>
      <c r="G14758" t="str">
        <v>-</v>
      </c>
    </row>
    <row r="14759">
      <c r="A14759">
        <v>14758</v>
      </c>
      <c r="B14759" t="str">
        <v>UBND Ủy ban nhân dân phường Phú Hải  tỉnh Quảng Bình</v>
      </c>
      <c r="C14759" t="str">
        <v>-</v>
      </c>
      <c r="D14759" t="str">
        <v>-</v>
      </c>
      <c r="E14759" t="str">
        <v>-</v>
      </c>
      <c r="F14759" t="str">
        <v>-</v>
      </c>
      <c r="G14759" t="str">
        <v>-</v>
      </c>
    </row>
    <row r="14760">
      <c r="A14760">
        <v>14759</v>
      </c>
      <c r="B14760" t="str">
        <v>Công an phường Bắc Nghĩa  tỉnh Quảng Bình</v>
      </c>
      <c r="C14760" t="str">
        <v>-</v>
      </c>
      <c r="D14760" t="str">
        <v>-</v>
      </c>
      <c r="E14760" t="str">
        <v/>
      </c>
      <c r="F14760" t="str">
        <v>-</v>
      </c>
      <c r="G14760" t="str">
        <v>-</v>
      </c>
    </row>
    <row r="14761">
      <c r="A14761">
        <v>14760</v>
      </c>
      <c r="B14761" t="str">
        <v>UBND Ủy ban nhân dân phường Bắc Nghĩa  tỉnh Quảng Bình</v>
      </c>
      <c r="C14761" t="str">
        <v>-</v>
      </c>
      <c r="D14761" t="str">
        <v>-</v>
      </c>
      <c r="E14761" t="str">
        <v>-</v>
      </c>
      <c r="F14761" t="str">
        <v>-</v>
      </c>
      <c r="G14761" t="str">
        <v>-</v>
      </c>
    </row>
    <row r="14762">
      <c r="A14762">
        <v>14761</v>
      </c>
      <c r="B14762" t="str">
        <v>Công an phường Đức Ninh Đông  tỉnh Quảng Bình</v>
      </c>
      <c r="C14762" t="str">
        <v>-</v>
      </c>
      <c r="D14762" t="str">
        <v>-</v>
      </c>
      <c r="E14762" t="str">
        <v/>
      </c>
      <c r="F14762" t="str">
        <v>-</v>
      </c>
      <c r="G14762" t="str">
        <v>-</v>
      </c>
    </row>
    <row r="14763">
      <c r="A14763">
        <v>14762</v>
      </c>
      <c r="B14763" t="str">
        <v>UBND Ủy ban nhân dân phường Đức Ninh Đông  tỉnh Quảng Bình</v>
      </c>
      <c r="C14763" t="str">
        <v>-</v>
      </c>
      <c r="D14763" t="str">
        <v>-</v>
      </c>
      <c r="E14763" t="str">
        <v>-</v>
      </c>
      <c r="F14763" t="str">
        <v>-</v>
      </c>
      <c r="G14763" t="str">
        <v>-</v>
      </c>
    </row>
    <row r="14764">
      <c r="A14764">
        <v>14763</v>
      </c>
      <c r="B14764" t="str">
        <v>Công an xã Quang Phú  tỉnh Quảng Bình</v>
      </c>
      <c r="C14764" t="str">
        <v>-</v>
      </c>
      <c r="D14764" t="str">
        <v>-</v>
      </c>
      <c r="E14764" t="str">
        <v/>
      </c>
      <c r="F14764" t="str">
        <v>-</v>
      </c>
      <c r="G14764" t="str">
        <v>-</v>
      </c>
    </row>
    <row r="14765">
      <c r="A14765">
        <v>14764</v>
      </c>
      <c r="B14765" t="str">
        <v>UBND Ủy ban nhân dân xã Quang Phú  tỉnh Quảng Bình</v>
      </c>
      <c r="C14765" t="str">
        <v>-</v>
      </c>
      <c r="D14765" t="str">
        <v>-</v>
      </c>
      <c r="E14765" t="str">
        <v>-</v>
      </c>
      <c r="F14765" t="str">
        <v>-</v>
      </c>
      <c r="G14765" t="str">
        <v>-</v>
      </c>
    </row>
    <row r="14766">
      <c r="A14766">
        <v>14765</v>
      </c>
      <c r="B14766" t="str">
        <v>Công an xã Lộc Ninh  tỉnh Quảng Bình</v>
      </c>
      <c r="C14766" t="str">
        <v>-</v>
      </c>
      <c r="D14766" t="str">
        <v>-</v>
      </c>
      <c r="E14766" t="str">
        <v/>
      </c>
      <c r="F14766" t="str">
        <v>-</v>
      </c>
      <c r="G14766" t="str">
        <v>-</v>
      </c>
    </row>
    <row r="14767">
      <c r="A14767">
        <v>14766</v>
      </c>
      <c r="B14767" t="str">
        <v>UBND Ủy ban nhân dân xã Lộc Ninh  tỉnh Quảng Bình</v>
      </c>
      <c r="C14767" t="str">
        <v>-</v>
      </c>
      <c r="D14767" t="str">
        <v>-</v>
      </c>
      <c r="E14767" t="str">
        <v>-</v>
      </c>
      <c r="F14767" t="str">
        <v>-</v>
      </c>
      <c r="G14767" t="str">
        <v>-</v>
      </c>
    </row>
    <row r="14768">
      <c r="A14768">
        <v>14767</v>
      </c>
      <c r="B14768" t="str">
        <v>Công an xã Bảo Ninh  tỉnh Quảng Bình</v>
      </c>
      <c r="C14768" t="str">
        <v>-</v>
      </c>
      <c r="D14768" t="str">
        <v>-</v>
      </c>
      <c r="E14768" t="str">
        <v/>
      </c>
      <c r="F14768" t="str">
        <v>-</v>
      </c>
      <c r="G14768" t="str">
        <v>-</v>
      </c>
    </row>
    <row r="14769">
      <c r="A14769">
        <v>14768</v>
      </c>
      <c r="B14769" t="str">
        <v>UBND Ủy ban nhân dân xã Bảo Ninh  tỉnh Quảng Bình</v>
      </c>
      <c r="C14769" t="str">
        <v>-</v>
      </c>
      <c r="D14769" t="str">
        <v>-</v>
      </c>
      <c r="E14769" t="str">
        <v>-</v>
      </c>
      <c r="F14769" t="str">
        <v>-</v>
      </c>
      <c r="G14769" t="str">
        <v>-</v>
      </c>
    </row>
    <row r="14770">
      <c r="A14770">
        <v>14769</v>
      </c>
      <c r="B14770" t="str">
        <v>Công an xã Nghĩa Ninh  tỉnh Quảng Bình</v>
      </c>
      <c r="C14770" t="str">
        <v>-</v>
      </c>
      <c r="D14770" t="str">
        <v>-</v>
      </c>
      <c r="E14770" t="str">
        <v/>
      </c>
      <c r="F14770" t="str">
        <v>-</v>
      </c>
      <c r="G14770" t="str">
        <v>-</v>
      </c>
    </row>
    <row r="14771">
      <c r="A14771">
        <v>14770</v>
      </c>
      <c r="B14771" t="str">
        <v>UBND Ủy ban nhân dân xã Nghĩa Ninh  tỉnh Quảng Bình</v>
      </c>
      <c r="C14771" t="str">
        <v>-</v>
      </c>
      <c r="D14771" t="str">
        <v>-</v>
      </c>
      <c r="E14771" t="str">
        <v>-</v>
      </c>
      <c r="F14771" t="str">
        <v>-</v>
      </c>
      <c r="G14771" t="str">
        <v>-</v>
      </c>
    </row>
    <row r="14772">
      <c r="A14772">
        <v>14771</v>
      </c>
      <c r="B14772" t="str">
        <v>Công an xã Thuận Đức  tỉnh Quảng Bình</v>
      </c>
      <c r="C14772" t="str">
        <v>-</v>
      </c>
      <c r="D14772" t="str">
        <v>-</v>
      </c>
      <c r="E14772" t="str">
        <v/>
      </c>
      <c r="F14772" t="str">
        <v>-</v>
      </c>
      <c r="G14772" t="str">
        <v>-</v>
      </c>
    </row>
    <row r="14773">
      <c r="A14773">
        <v>14772</v>
      </c>
      <c r="B14773" t="str">
        <v>UBND Ủy ban nhân dân xã Thuận Đức  tỉnh Quảng Bình</v>
      </c>
      <c r="C14773" t="str">
        <v>-</v>
      </c>
      <c r="D14773" t="str">
        <v>-</v>
      </c>
      <c r="E14773" t="str">
        <v>-</v>
      </c>
      <c r="F14773" t="str">
        <v>-</v>
      </c>
      <c r="G14773" t="str">
        <v>-</v>
      </c>
    </row>
    <row r="14774">
      <c r="A14774">
        <v>14773</v>
      </c>
      <c r="B14774" t="str">
        <v>Công an xã Đức Ninh  tỉnh Quảng Bình</v>
      </c>
      <c r="C14774" t="str">
        <v>-</v>
      </c>
      <c r="D14774" t="str">
        <v>-</v>
      </c>
      <c r="E14774" t="str">
        <v/>
      </c>
      <c r="F14774" t="str">
        <v>-</v>
      </c>
      <c r="G14774" t="str">
        <v>-</v>
      </c>
    </row>
    <row r="14775">
      <c r="A14775">
        <v>14774</v>
      </c>
      <c r="B14775" t="str">
        <v>UBND Ủy ban nhân dân xã Đức Ninh  tỉnh Quảng Bình</v>
      </c>
      <c r="C14775" t="str">
        <v>-</v>
      </c>
      <c r="D14775" t="str">
        <v>-</v>
      </c>
      <c r="E14775" t="str">
        <v>-</v>
      </c>
      <c r="F14775" t="str">
        <v>-</v>
      </c>
      <c r="G14775" t="str">
        <v>-</v>
      </c>
    </row>
    <row r="14776">
      <c r="A14776">
        <v>14775</v>
      </c>
      <c r="B14776" t="str">
        <v>Công an xã Dân Hóa  tỉnh Quảng Bình</v>
      </c>
      <c r="C14776" t="str">
        <v>-</v>
      </c>
      <c r="D14776" t="str">
        <v>-</v>
      </c>
      <c r="E14776" t="str">
        <v/>
      </c>
      <c r="F14776" t="str">
        <v>-</v>
      </c>
      <c r="G14776" t="str">
        <v>-</v>
      </c>
    </row>
    <row r="14777">
      <c r="A14777">
        <v>14776</v>
      </c>
      <c r="B14777" t="str">
        <v>UBND Ủy ban nhân dân xã Dân Hóa  tỉnh Quảng Bình</v>
      </c>
      <c r="C14777" t="str">
        <v>-</v>
      </c>
      <c r="D14777" t="str">
        <v>-</v>
      </c>
      <c r="E14777" t="str">
        <v>-</v>
      </c>
      <c r="F14777" t="str">
        <v>-</v>
      </c>
      <c r="G14777" t="str">
        <v>-</v>
      </c>
    </row>
    <row r="14778">
      <c r="A14778">
        <v>14777</v>
      </c>
      <c r="B14778" t="str">
        <v>Công an xã Trọng Hóa  tỉnh Quảng Bình</v>
      </c>
      <c r="C14778" t="str">
        <v>-</v>
      </c>
      <c r="D14778" t="str">
        <v>-</v>
      </c>
      <c r="E14778" t="str">
        <v/>
      </c>
      <c r="F14778" t="str">
        <v>-</v>
      </c>
      <c r="G14778" t="str">
        <v>-</v>
      </c>
    </row>
    <row r="14779">
      <c r="A14779">
        <v>14778</v>
      </c>
      <c r="B14779" t="str">
        <v>UBND Ủy ban nhân dân xã Trọng Hóa  tỉnh Quảng Bình</v>
      </c>
      <c r="C14779" t="str">
        <v>-</v>
      </c>
      <c r="D14779" t="str">
        <v>-</v>
      </c>
      <c r="E14779" t="str">
        <v>-</v>
      </c>
      <c r="F14779" t="str">
        <v>-</v>
      </c>
      <c r="G14779" t="str">
        <v>-</v>
      </c>
    </row>
    <row r="14780">
      <c r="A14780">
        <v>14779</v>
      </c>
      <c r="B14780" t="str">
        <v>Công an xã Hóa Phúc  tỉnh Quảng Bình</v>
      </c>
      <c r="C14780" t="str">
        <v>-</v>
      </c>
      <c r="D14780" t="str">
        <v>-</v>
      </c>
      <c r="E14780" t="str">
        <v/>
      </c>
      <c r="F14780" t="str">
        <v>-</v>
      </c>
      <c r="G14780" t="str">
        <v>-</v>
      </c>
    </row>
    <row r="14781">
      <c r="A14781">
        <v>14780</v>
      </c>
      <c r="B14781" t="str">
        <v>UBND Ủy ban nhân dân xã Hóa Phúc  tỉnh Quảng Bình</v>
      </c>
      <c r="C14781" t="str">
        <v>-</v>
      </c>
      <c r="D14781" t="str">
        <v>-</v>
      </c>
      <c r="E14781" t="str">
        <v>-</v>
      </c>
      <c r="F14781" t="str">
        <v>-</v>
      </c>
      <c r="G14781" t="str">
        <v>-</v>
      </c>
    </row>
    <row r="14782">
      <c r="A14782">
        <v>14781</v>
      </c>
      <c r="B14782" t="str">
        <v>Công an xã Hồng Hóa  tỉnh Quảng Bình</v>
      </c>
      <c r="C14782" t="str">
        <v>-</v>
      </c>
      <c r="D14782" t="str">
        <v>-</v>
      </c>
      <c r="E14782" t="str">
        <v/>
      </c>
      <c r="F14782" t="str">
        <v>-</v>
      </c>
      <c r="G14782" t="str">
        <v>-</v>
      </c>
    </row>
    <row r="14783">
      <c r="A14783">
        <v>14782</v>
      </c>
      <c r="B14783" t="str">
        <v>UBND Ủy ban nhân dân xã Hồng Hóa  tỉnh Quảng Bình</v>
      </c>
      <c r="C14783" t="str">
        <v>-</v>
      </c>
      <c r="D14783" t="str">
        <v>-</v>
      </c>
      <c r="E14783" t="str">
        <v>-</v>
      </c>
      <c r="F14783" t="str">
        <v>-</v>
      </c>
      <c r="G14783" t="str">
        <v>-</v>
      </c>
    </row>
    <row r="14784">
      <c r="A14784">
        <v>14783</v>
      </c>
      <c r="B14784" t="str">
        <v>Công an xã Hóa Thanh  tỉnh Quảng Bình</v>
      </c>
      <c r="C14784" t="str">
        <v>-</v>
      </c>
      <c r="D14784" t="str">
        <v>-</v>
      </c>
      <c r="E14784" t="str">
        <v/>
      </c>
      <c r="F14784" t="str">
        <v>-</v>
      </c>
      <c r="G14784" t="str">
        <v>-</v>
      </c>
    </row>
    <row r="14785">
      <c r="A14785">
        <v>14784</v>
      </c>
      <c r="B14785" t="str">
        <v>UBND Ủy ban nhân dân xã Hóa Thanh  tỉnh Quảng Bình</v>
      </c>
      <c r="C14785" t="str">
        <v>-</v>
      </c>
      <c r="D14785" t="str">
        <v>-</v>
      </c>
      <c r="E14785" t="str">
        <v>-</v>
      </c>
      <c r="F14785" t="str">
        <v>-</v>
      </c>
      <c r="G14785" t="str">
        <v>-</v>
      </c>
    </row>
    <row r="14786">
      <c r="A14786">
        <v>14785</v>
      </c>
      <c r="B14786" t="str">
        <v>Công an xã Hóa Tiến  tỉnh Quảng Bình</v>
      </c>
      <c r="C14786" t="str">
        <v>-</v>
      </c>
      <c r="D14786" t="str">
        <v>-</v>
      </c>
      <c r="E14786" t="str">
        <v/>
      </c>
      <c r="F14786" t="str">
        <v>-</v>
      </c>
      <c r="G14786" t="str">
        <v>-</v>
      </c>
    </row>
    <row r="14787">
      <c r="A14787">
        <v>14786</v>
      </c>
      <c r="B14787" t="str">
        <v>UBND Ủy ban nhân dân xã Hóa Tiến  tỉnh Quảng Bình</v>
      </c>
      <c r="C14787" t="str">
        <v>-</v>
      </c>
      <c r="D14787" t="str">
        <v>-</v>
      </c>
      <c r="E14787" t="str">
        <v>-</v>
      </c>
      <c r="F14787" t="str">
        <v>-</v>
      </c>
      <c r="G14787" t="str">
        <v>-</v>
      </c>
    </row>
    <row r="14788">
      <c r="A14788">
        <v>14787</v>
      </c>
      <c r="B14788" t="str">
        <v>Công an xã Hóa Hợp  tỉnh Quảng Bình</v>
      </c>
      <c r="C14788" t="str">
        <v>-</v>
      </c>
      <c r="D14788" t="str">
        <v>-</v>
      </c>
      <c r="E14788" t="str">
        <v/>
      </c>
      <c r="F14788" t="str">
        <v>-</v>
      </c>
      <c r="G14788" t="str">
        <v>-</v>
      </c>
    </row>
    <row r="14789">
      <c r="A14789">
        <v>14788</v>
      </c>
      <c r="B14789" t="str">
        <v>UBND Ủy ban nhân dân xã Hóa Hợp  tỉnh Quảng Bình</v>
      </c>
      <c r="C14789" t="str">
        <v>-</v>
      </c>
      <c r="D14789" t="str">
        <v>-</v>
      </c>
      <c r="E14789" t="str">
        <v>-</v>
      </c>
      <c r="F14789" t="str">
        <v>-</v>
      </c>
      <c r="G14789" t="str">
        <v>-</v>
      </c>
    </row>
    <row r="14790">
      <c r="A14790">
        <v>14789</v>
      </c>
      <c r="B14790" t="str">
        <v>Công an xã Xuân Hóa  tỉnh Quảng Bình</v>
      </c>
      <c r="C14790" t="str">
        <v>-</v>
      </c>
      <c r="D14790" t="str">
        <v>-</v>
      </c>
      <c r="E14790" t="str">
        <v/>
      </c>
      <c r="F14790" t="str">
        <v>-</v>
      </c>
      <c r="G14790" t="str">
        <v>-</v>
      </c>
    </row>
    <row r="14791">
      <c r="A14791">
        <v>14790</v>
      </c>
      <c r="B14791" t="str">
        <v>UBND Ủy ban nhân dân xã Xuân Hóa  tỉnh Quảng Bình</v>
      </c>
      <c r="C14791" t="str">
        <v>-</v>
      </c>
      <c r="D14791" t="str">
        <v>-</v>
      </c>
      <c r="E14791" t="str">
        <v>-</v>
      </c>
      <c r="F14791" t="str">
        <v>-</v>
      </c>
      <c r="G14791" t="str">
        <v>-</v>
      </c>
    </row>
    <row r="14792">
      <c r="A14792">
        <v>14791</v>
      </c>
      <c r="B14792" t="str">
        <v>Công an xã Yên Hóa  tỉnh Quảng Bình</v>
      </c>
      <c r="C14792" t="str">
        <v>-</v>
      </c>
      <c r="D14792" t="str">
        <v>-</v>
      </c>
      <c r="E14792" t="str">
        <v/>
      </c>
      <c r="F14792" t="str">
        <v>-</v>
      </c>
      <c r="G14792" t="str">
        <v>-</v>
      </c>
    </row>
    <row r="14793">
      <c r="A14793">
        <v>14792</v>
      </c>
      <c r="B14793" t="str">
        <v>UBND Ủy ban nhân dân xã Yên Hóa  tỉnh Quảng Bình</v>
      </c>
      <c r="C14793" t="str">
        <v>-</v>
      </c>
      <c r="D14793" t="str">
        <v>-</v>
      </c>
      <c r="E14793" t="str">
        <v>-</v>
      </c>
      <c r="F14793" t="str">
        <v>-</v>
      </c>
      <c r="G14793" t="str">
        <v>-</v>
      </c>
    </row>
    <row r="14794">
      <c r="A14794">
        <v>14793</v>
      </c>
      <c r="B14794" t="str">
        <v>Công an xã Minh Hóa  tỉnh Quảng Bình</v>
      </c>
      <c r="C14794" t="str">
        <v>-</v>
      </c>
      <c r="D14794" t="str">
        <v>-</v>
      </c>
      <c r="E14794" t="str">
        <v/>
      </c>
      <c r="F14794" t="str">
        <v>-</v>
      </c>
      <c r="G14794" t="str">
        <v>-</v>
      </c>
    </row>
    <row r="14795">
      <c r="A14795">
        <v>14794</v>
      </c>
      <c r="B14795" t="str">
        <v>UBND Ủy ban nhân dân xã Minh Hóa  tỉnh Quảng Bình</v>
      </c>
      <c r="C14795" t="str">
        <v>-</v>
      </c>
      <c r="D14795" t="str">
        <v>-</v>
      </c>
      <c r="E14795" t="str">
        <v>-</v>
      </c>
      <c r="F14795" t="str">
        <v>-</v>
      </c>
      <c r="G14795" t="str">
        <v>-</v>
      </c>
    </row>
    <row r="14796">
      <c r="A14796">
        <v>14795</v>
      </c>
      <c r="B14796" t="str">
        <v>Công an xã Tân Hóa  tỉnh Quảng Bình</v>
      </c>
      <c r="C14796" t="str">
        <v>-</v>
      </c>
      <c r="D14796" t="str">
        <v>-</v>
      </c>
      <c r="E14796" t="str">
        <v/>
      </c>
      <c r="F14796" t="str">
        <v>-</v>
      </c>
      <c r="G14796" t="str">
        <v>-</v>
      </c>
    </row>
    <row r="14797">
      <c r="A14797">
        <v>14796</v>
      </c>
      <c r="B14797" t="str">
        <v>UBND Ủy ban nhân dân xã Tân Hóa  tỉnh Quảng Bình</v>
      </c>
      <c r="C14797" t="str">
        <v>-</v>
      </c>
      <c r="D14797" t="str">
        <v>-</v>
      </c>
      <c r="E14797" t="str">
        <v>-</v>
      </c>
      <c r="F14797" t="str">
        <v>-</v>
      </c>
      <c r="G14797" t="str">
        <v>-</v>
      </c>
    </row>
    <row r="14798">
      <c r="A14798">
        <v>14797</v>
      </c>
      <c r="B14798" t="str">
        <v>Công an xã Hóa Sơn  tỉnh Quảng Bình</v>
      </c>
      <c r="C14798" t="str">
        <v>-</v>
      </c>
      <c r="D14798" t="str">
        <v>-</v>
      </c>
      <c r="E14798" t="str">
        <v/>
      </c>
      <c r="F14798" t="str">
        <v>-</v>
      </c>
      <c r="G14798" t="str">
        <v>-</v>
      </c>
    </row>
    <row r="14799">
      <c r="A14799">
        <v>14798</v>
      </c>
      <c r="B14799" t="str">
        <v>UBND Ủy ban nhân dân xã Hóa Sơn  tỉnh Quảng Bình</v>
      </c>
      <c r="C14799" t="str">
        <v>-</v>
      </c>
      <c r="D14799" t="str">
        <v>-</v>
      </c>
      <c r="E14799" t="str">
        <v>-</v>
      </c>
      <c r="F14799" t="str">
        <v>-</v>
      </c>
      <c r="G14799" t="str">
        <v>-</v>
      </c>
    </row>
    <row r="14800">
      <c r="A14800">
        <v>14799</v>
      </c>
      <c r="B14800" t="str">
        <v>Công an xã Quy Hóa  tỉnh Quảng Bình</v>
      </c>
      <c r="C14800" t="str">
        <v>-</v>
      </c>
      <c r="D14800" t="str">
        <v>-</v>
      </c>
      <c r="E14800" t="str">
        <v/>
      </c>
      <c r="F14800" t="str">
        <v>-</v>
      </c>
      <c r="G14800" t="str">
        <v>-</v>
      </c>
    </row>
    <row r="14801">
      <c r="A14801">
        <v>14800</v>
      </c>
      <c r="B14801" t="str">
        <v>UBND Ủy ban nhân dân xã Quy Hóa  tỉnh Quảng Bình</v>
      </c>
      <c r="C14801" t="str">
        <v>-</v>
      </c>
      <c r="D14801" t="str">
        <v>-</v>
      </c>
      <c r="E14801" t="str">
        <v>-</v>
      </c>
      <c r="F14801" t="str">
        <v>-</v>
      </c>
      <c r="G14801" t="str">
        <v>-</v>
      </c>
    </row>
    <row r="14802">
      <c r="A14802">
        <v>14801</v>
      </c>
      <c r="B14802" t="str">
        <v>Công an xã Trung Hóa  tỉnh Quảng Bình</v>
      </c>
      <c r="C14802" t="str">
        <v>-</v>
      </c>
      <c r="D14802" t="str">
        <v>-</v>
      </c>
      <c r="E14802" t="str">
        <v/>
      </c>
      <c r="F14802" t="str">
        <v>-</v>
      </c>
      <c r="G14802" t="str">
        <v>-</v>
      </c>
    </row>
    <row r="14803">
      <c r="A14803">
        <v>14802</v>
      </c>
      <c r="B14803" t="str">
        <v>UBND Ủy ban nhân dân xã Trung Hóa  tỉnh Quảng Bình</v>
      </c>
      <c r="C14803" t="str">
        <v>-</v>
      </c>
      <c r="D14803" t="str">
        <v>-</v>
      </c>
      <c r="E14803" t="str">
        <v>-</v>
      </c>
      <c r="F14803" t="str">
        <v>-</v>
      </c>
      <c r="G14803" t="str">
        <v>-</v>
      </c>
    </row>
    <row r="14804">
      <c r="A14804">
        <v>14803</v>
      </c>
      <c r="B14804" t="str">
        <v>Công an xã Thượng Hóa  tỉnh Quảng Bình</v>
      </c>
      <c r="C14804" t="str">
        <v>-</v>
      </c>
      <c r="D14804" t="str">
        <v>-</v>
      </c>
      <c r="E14804" t="str">
        <v/>
      </c>
      <c r="F14804" t="str">
        <v>-</v>
      </c>
      <c r="G14804" t="str">
        <v>-</v>
      </c>
    </row>
    <row r="14805">
      <c r="A14805">
        <v>14804</v>
      </c>
      <c r="B14805" t="str">
        <v>UBND Ủy ban nhân dân xã Thượng Hóa  tỉnh Quảng Bình</v>
      </c>
      <c r="C14805" t="str">
        <v>-</v>
      </c>
      <c r="D14805" t="str">
        <v>-</v>
      </c>
      <c r="E14805" t="str">
        <v>-</v>
      </c>
      <c r="F14805" t="str">
        <v>-</v>
      </c>
      <c r="G14805" t="str">
        <v>-</v>
      </c>
    </row>
    <row r="14806">
      <c r="A14806">
        <v>14805</v>
      </c>
      <c r="B14806" t="str">
        <v>Công an xã Hương Hóa  tỉnh Quảng Bình</v>
      </c>
      <c r="C14806" t="str">
        <v>-</v>
      </c>
      <c r="D14806" t="str">
        <v>-</v>
      </c>
      <c r="E14806" t="str">
        <v/>
      </c>
      <c r="F14806" t="str">
        <v>-</v>
      </c>
      <c r="G14806" t="str">
        <v>-</v>
      </c>
    </row>
    <row r="14807">
      <c r="A14807">
        <v>14806</v>
      </c>
      <c r="B14807" t="str">
        <v>UBND Ủy ban nhân dân xã Hương Hóa  tỉnh Quảng Bình</v>
      </c>
      <c r="C14807" t="str">
        <v>-</v>
      </c>
      <c r="D14807" t="str">
        <v>-</v>
      </c>
      <c r="E14807" t="str">
        <v>-</v>
      </c>
      <c r="F14807" t="str">
        <v>-</v>
      </c>
      <c r="G14807" t="str">
        <v>-</v>
      </c>
    </row>
    <row r="14808">
      <c r="A14808">
        <v>14807</v>
      </c>
      <c r="B14808" t="str">
        <v>Công an xã Kim Hóa  tỉnh Quảng Bình</v>
      </c>
      <c r="C14808" t="str">
        <v>-</v>
      </c>
      <c r="D14808" t="str">
        <v>-</v>
      </c>
      <c r="E14808" t="str">
        <v/>
      </c>
      <c r="F14808" t="str">
        <v>-</v>
      </c>
      <c r="G14808" t="str">
        <v>-</v>
      </c>
    </row>
    <row r="14809">
      <c r="A14809">
        <v>14808</v>
      </c>
      <c r="B14809" t="str">
        <v>UBND Ủy ban nhân dân xã Kim Hóa  tỉnh Quảng Bình</v>
      </c>
      <c r="C14809" t="str">
        <v>-</v>
      </c>
      <c r="D14809" t="str">
        <v>-</v>
      </c>
      <c r="E14809" t="str">
        <v>-</v>
      </c>
      <c r="F14809" t="str">
        <v>-</v>
      </c>
      <c r="G14809" t="str">
        <v>-</v>
      </c>
    </row>
    <row r="14810">
      <c r="A14810">
        <v>14809</v>
      </c>
      <c r="B14810" t="str">
        <v>Công an xã Thanh Hóa  tỉnh Quảng Bình</v>
      </c>
      <c r="C14810" t="str">
        <v>-</v>
      </c>
      <c r="D14810" t="str">
        <v>-</v>
      </c>
      <c r="E14810" t="str">
        <v/>
      </c>
      <c r="F14810" t="str">
        <v>-</v>
      </c>
      <c r="G14810" t="str">
        <v>-</v>
      </c>
    </row>
    <row r="14811">
      <c r="A14811">
        <v>14810</v>
      </c>
      <c r="B14811" t="str">
        <v>UBND Ủy ban nhân dân xã Thanh Hóa  tỉnh Quảng Bình</v>
      </c>
      <c r="C14811" t="str">
        <v>-</v>
      </c>
      <c r="D14811" t="str">
        <v>-</v>
      </c>
      <c r="E14811" t="str">
        <v>-</v>
      </c>
      <c r="F14811" t="str">
        <v>-</v>
      </c>
      <c r="G14811" t="str">
        <v>-</v>
      </c>
    </row>
    <row r="14812">
      <c r="A14812">
        <v>14811</v>
      </c>
      <c r="B14812" t="str">
        <v>Công an xã Thanh Thạch  tỉnh Quảng Bình</v>
      </c>
      <c r="C14812" t="str">
        <v>-</v>
      </c>
      <c r="D14812" t="str">
        <v>-</v>
      </c>
      <c r="E14812" t="str">
        <v/>
      </c>
      <c r="F14812" t="str">
        <v>-</v>
      </c>
      <c r="G14812" t="str">
        <v>-</v>
      </c>
    </row>
    <row r="14813">
      <c r="A14813">
        <v>14812</v>
      </c>
      <c r="B14813" t="str">
        <v>UBND Ủy ban nhân dân xã Thanh Thạch  tỉnh Quảng Bình</v>
      </c>
      <c r="C14813" t="str">
        <v>-</v>
      </c>
      <c r="D14813" t="str">
        <v>-</v>
      </c>
      <c r="E14813" t="str">
        <v>-</v>
      </c>
      <c r="F14813" t="str">
        <v>-</v>
      </c>
      <c r="G14813" t="str">
        <v>-</v>
      </c>
    </row>
    <row r="14814">
      <c r="A14814">
        <v>14813</v>
      </c>
      <c r="B14814" t="str">
        <v>Công an xã Thuận Hóa  tỉnh Quảng Bình</v>
      </c>
      <c r="C14814" t="str">
        <v>-</v>
      </c>
      <c r="D14814" t="str">
        <v>-</v>
      </c>
      <c r="E14814" t="str">
        <v/>
      </c>
      <c r="F14814" t="str">
        <v>-</v>
      </c>
      <c r="G14814" t="str">
        <v>-</v>
      </c>
    </row>
    <row r="14815">
      <c r="A14815">
        <v>14814</v>
      </c>
      <c r="B14815" t="str">
        <v>UBND Ủy ban nhân dân xã Thuận Hóa  tỉnh Quảng Bình</v>
      </c>
      <c r="C14815" t="str">
        <v>-</v>
      </c>
      <c r="D14815" t="str">
        <v>-</v>
      </c>
      <c r="E14815" t="str">
        <v>-</v>
      </c>
      <c r="F14815" t="str">
        <v>-</v>
      </c>
      <c r="G14815" t="str">
        <v>-</v>
      </c>
    </row>
    <row r="14816">
      <c r="A14816">
        <v>14815</v>
      </c>
      <c r="B14816" t="str">
        <v>Công an xã Lâm Hóa  tỉnh Quảng Bình</v>
      </c>
      <c r="C14816" t="str">
        <v>-</v>
      </c>
      <c r="D14816" t="str">
        <v>-</v>
      </c>
      <c r="E14816" t="str">
        <v/>
      </c>
      <c r="F14816" t="str">
        <v>-</v>
      </c>
      <c r="G14816" t="str">
        <v>-</v>
      </c>
    </row>
    <row r="14817">
      <c r="A14817">
        <v>14816</v>
      </c>
      <c r="B14817" t="str">
        <v>UBND Ủy ban nhân dân xã Lâm Hóa  tỉnh Quảng Bình</v>
      </c>
      <c r="C14817" t="str">
        <v>-</v>
      </c>
      <c r="D14817" t="str">
        <v>-</v>
      </c>
      <c r="E14817" t="str">
        <v>-</v>
      </c>
      <c r="F14817" t="str">
        <v>-</v>
      </c>
      <c r="G14817" t="str">
        <v>-</v>
      </c>
    </row>
    <row r="14818">
      <c r="A14818">
        <v>14817</v>
      </c>
      <c r="B14818" t="str">
        <v>Công an xã Lê Hóa  tỉnh Quảng Bình</v>
      </c>
      <c r="C14818" t="str">
        <v>-</v>
      </c>
      <c r="D14818" t="str">
        <v>-</v>
      </c>
      <c r="E14818" t="str">
        <v/>
      </c>
      <c r="F14818" t="str">
        <v>-</v>
      </c>
      <c r="G14818" t="str">
        <v>-</v>
      </c>
    </row>
    <row r="14819">
      <c r="A14819">
        <v>14818</v>
      </c>
      <c r="B14819" t="str">
        <v>UBND Ủy ban nhân dân xã Lê Hóa  tỉnh Quảng Bình</v>
      </c>
      <c r="C14819" t="str">
        <v>-</v>
      </c>
      <c r="D14819" t="str">
        <v>-</v>
      </c>
      <c r="E14819" t="str">
        <v>-</v>
      </c>
      <c r="F14819" t="str">
        <v>-</v>
      </c>
      <c r="G14819" t="str">
        <v>-</v>
      </c>
    </row>
    <row r="14820">
      <c r="A14820">
        <v>14819</v>
      </c>
      <c r="B14820" t="str">
        <v>Công an xã Sơn Hóa  tỉnh Quảng Bình</v>
      </c>
      <c r="C14820" t="str">
        <v>-</v>
      </c>
      <c r="D14820" t="str">
        <v>-</v>
      </c>
      <c r="E14820" t="str">
        <v/>
      </c>
      <c r="F14820" t="str">
        <v>-</v>
      </c>
      <c r="G14820" t="str">
        <v>-</v>
      </c>
    </row>
    <row r="14821">
      <c r="A14821">
        <v>14820</v>
      </c>
      <c r="B14821" t="str">
        <v>UBND Ủy ban nhân dân xã Sơn Hóa  tỉnh Quảng Bình</v>
      </c>
      <c r="C14821" t="str">
        <v>-</v>
      </c>
      <c r="D14821" t="str">
        <v>-</v>
      </c>
      <c r="E14821" t="str">
        <v>-</v>
      </c>
      <c r="F14821" t="str">
        <v>-</v>
      </c>
      <c r="G14821" t="str">
        <v>-</v>
      </c>
    </row>
    <row r="14822">
      <c r="A14822">
        <v>14821</v>
      </c>
      <c r="B14822" t="str">
        <v>Công an xã Đồng Hóa  tỉnh Quảng Bình</v>
      </c>
      <c r="C14822" t="str">
        <v>-</v>
      </c>
      <c r="D14822" t="str">
        <v>-</v>
      </c>
      <c r="E14822" t="str">
        <v/>
      </c>
      <c r="F14822" t="str">
        <v>-</v>
      </c>
      <c r="G14822" t="str">
        <v>-</v>
      </c>
    </row>
    <row r="14823">
      <c r="A14823">
        <v>14822</v>
      </c>
      <c r="B14823" t="str">
        <v>UBND Ủy ban nhân dân xã Đồng Hóa  tỉnh Quảng Bình</v>
      </c>
      <c r="C14823" t="str">
        <v>-</v>
      </c>
      <c r="D14823" t="str">
        <v>-</v>
      </c>
      <c r="E14823" t="str">
        <v>-</v>
      </c>
      <c r="F14823" t="str">
        <v>-</v>
      </c>
      <c r="G14823" t="str">
        <v>-</v>
      </c>
    </row>
    <row r="14824">
      <c r="A14824">
        <v>14823</v>
      </c>
      <c r="B14824" t="str">
        <v>Công an xã Ngư Hóa  tỉnh Quảng Bình</v>
      </c>
      <c r="C14824" t="str">
        <v>-</v>
      </c>
      <c r="D14824" t="str">
        <v>-</v>
      </c>
      <c r="E14824" t="str">
        <v/>
      </c>
      <c r="F14824" t="str">
        <v>-</v>
      </c>
      <c r="G14824" t="str">
        <v>-</v>
      </c>
    </row>
    <row r="14825">
      <c r="A14825">
        <v>14824</v>
      </c>
      <c r="B14825" t="str">
        <v>UBND Ủy ban nhân dân xã Ngư Hóa  tỉnh Quảng Bình</v>
      </c>
      <c r="C14825" t="str">
        <v>-</v>
      </c>
      <c r="D14825" t="str">
        <v>-</v>
      </c>
      <c r="E14825" t="str">
        <v>-</v>
      </c>
      <c r="F14825" t="str">
        <v>-</v>
      </c>
      <c r="G14825" t="str">
        <v>-</v>
      </c>
    </row>
    <row r="14826">
      <c r="A14826">
        <v>14825</v>
      </c>
      <c r="B14826" t="str">
        <v>Công an xã Nam Hóa  tỉnh Quảng Bình</v>
      </c>
      <c r="C14826" t="str">
        <v>-</v>
      </c>
      <c r="D14826" t="str">
        <v>-</v>
      </c>
      <c r="E14826" t="str">
        <v/>
      </c>
      <c r="F14826" t="str">
        <v>-</v>
      </c>
      <c r="G14826" t="str">
        <v>-</v>
      </c>
    </row>
    <row r="14827">
      <c r="A14827">
        <v>14826</v>
      </c>
      <c r="B14827" t="str">
        <v>UBND Ủy ban nhân dân xã Nam Hóa  tỉnh Quảng Bình</v>
      </c>
      <c r="C14827" t="str">
        <v>-</v>
      </c>
      <c r="D14827" t="str">
        <v>-</v>
      </c>
      <c r="E14827" t="str">
        <v>-</v>
      </c>
      <c r="F14827" t="str">
        <v>-</v>
      </c>
      <c r="G14827" t="str">
        <v>-</v>
      </c>
    </row>
    <row r="14828">
      <c r="A14828">
        <v>14827</v>
      </c>
      <c r="B14828" t="str">
        <v>Công an xã Thạch Hóa  tỉnh Quảng Bình</v>
      </c>
      <c r="C14828" t="str">
        <v>-</v>
      </c>
      <c r="D14828" t="str">
        <v>-</v>
      </c>
      <c r="E14828" t="str">
        <v/>
      </c>
      <c r="F14828" t="str">
        <v>-</v>
      </c>
      <c r="G14828" t="str">
        <v>-</v>
      </c>
    </row>
    <row r="14829">
      <c r="A14829">
        <v>14828</v>
      </c>
      <c r="B14829" t="str">
        <v>UBND Ủy ban nhân dân xã Thạch Hóa  tỉnh Quảng Bình</v>
      </c>
      <c r="C14829" t="str">
        <v>-</v>
      </c>
      <c r="D14829" t="str">
        <v>-</v>
      </c>
      <c r="E14829" t="str">
        <v>-</v>
      </c>
      <c r="F14829" t="str">
        <v>-</v>
      </c>
      <c r="G14829" t="str">
        <v>-</v>
      </c>
    </row>
    <row r="14830">
      <c r="A14830">
        <v>14829</v>
      </c>
      <c r="B14830" t="str">
        <v>Công an xã Đức Hóa  tỉnh Quảng Bình</v>
      </c>
      <c r="C14830" t="str">
        <v>-</v>
      </c>
      <c r="D14830" t="str">
        <v>-</v>
      </c>
      <c r="E14830" t="str">
        <v/>
      </c>
      <c r="F14830" t="str">
        <v>-</v>
      </c>
      <c r="G14830" t="str">
        <v>-</v>
      </c>
    </row>
    <row r="14831">
      <c r="A14831">
        <v>14830</v>
      </c>
      <c r="B14831" t="str">
        <v>UBND Ủy ban nhân dân xã Đức Hóa  tỉnh Quảng Bình</v>
      </c>
      <c r="C14831" t="str">
        <v>-</v>
      </c>
      <c r="D14831" t="str">
        <v>-</v>
      </c>
      <c r="E14831" t="str">
        <v>-</v>
      </c>
      <c r="F14831" t="str">
        <v>-</v>
      </c>
      <c r="G14831" t="str">
        <v>-</v>
      </c>
    </row>
    <row r="14832">
      <c r="A14832">
        <v>14831</v>
      </c>
      <c r="B14832" t="str">
        <v>Công an xã Phong Hóa  tỉnh Quảng Bình</v>
      </c>
      <c r="C14832" t="str">
        <v>-</v>
      </c>
      <c r="D14832" t="str">
        <v>-</v>
      </c>
      <c r="E14832" t="str">
        <v/>
      </c>
      <c r="F14832" t="str">
        <v>-</v>
      </c>
      <c r="G14832" t="str">
        <v>-</v>
      </c>
    </row>
    <row r="14833">
      <c r="A14833">
        <v>14832</v>
      </c>
      <c r="B14833" t="str">
        <v>UBND Ủy ban nhân dân xã Phong Hóa  tỉnh Quảng Bình</v>
      </c>
      <c r="C14833" t="str">
        <v>-</v>
      </c>
      <c r="D14833" t="str">
        <v>-</v>
      </c>
      <c r="E14833" t="str">
        <v>-</v>
      </c>
      <c r="F14833" t="str">
        <v>-</v>
      </c>
      <c r="G14833" t="str">
        <v>-</v>
      </c>
    </row>
    <row r="14834">
      <c r="A14834">
        <v>14833</v>
      </c>
      <c r="B14834" t="str">
        <v>Công an xã Mai Hóa  tỉnh Quảng Bình</v>
      </c>
      <c r="C14834" t="str">
        <v>-</v>
      </c>
      <c r="D14834" t="str">
        <v>-</v>
      </c>
      <c r="E14834" t="str">
        <v/>
      </c>
      <c r="F14834" t="str">
        <v>-</v>
      </c>
      <c r="G14834" t="str">
        <v>-</v>
      </c>
    </row>
    <row r="14835">
      <c r="A14835">
        <v>14834</v>
      </c>
      <c r="B14835" t="str">
        <v>UBND Ủy ban nhân dân xã Mai Hóa  tỉnh Quảng Bình</v>
      </c>
      <c r="C14835" t="str">
        <v>-</v>
      </c>
      <c r="D14835" t="str">
        <v>-</v>
      </c>
      <c r="E14835" t="str">
        <v>-</v>
      </c>
      <c r="F14835" t="str">
        <v>-</v>
      </c>
      <c r="G14835" t="str">
        <v>-</v>
      </c>
    </row>
    <row r="14836">
      <c r="A14836">
        <v>14835</v>
      </c>
      <c r="B14836" t="str">
        <v>Công an xã Tiến Hóa  tỉnh Quảng Bình</v>
      </c>
      <c r="C14836" t="str">
        <v>-</v>
      </c>
      <c r="D14836" t="str">
        <v>-</v>
      </c>
      <c r="E14836" t="str">
        <v/>
      </c>
      <c r="F14836" t="str">
        <v>-</v>
      </c>
      <c r="G14836" t="str">
        <v>-</v>
      </c>
    </row>
    <row r="14837">
      <c r="A14837">
        <v>14836</v>
      </c>
      <c r="B14837" t="str">
        <v>UBND Ủy ban nhân dân xã Tiến Hóa  tỉnh Quảng Bình</v>
      </c>
      <c r="C14837" t="str">
        <v>-</v>
      </c>
      <c r="D14837" t="str">
        <v>-</v>
      </c>
      <c r="E14837" t="str">
        <v>-</v>
      </c>
      <c r="F14837" t="str">
        <v>-</v>
      </c>
      <c r="G14837" t="str">
        <v>-</v>
      </c>
    </row>
    <row r="14838">
      <c r="A14838">
        <v>14837</v>
      </c>
      <c r="B14838" t="str">
        <v>Công an xã Châu Hóa  tỉnh Quảng Bình</v>
      </c>
      <c r="C14838" t="str">
        <v>-</v>
      </c>
      <c r="D14838" t="str">
        <v>-</v>
      </c>
      <c r="E14838" t="str">
        <v/>
      </c>
      <c r="F14838" t="str">
        <v>-</v>
      </c>
      <c r="G14838" t="str">
        <v>-</v>
      </c>
    </row>
    <row r="14839">
      <c r="A14839">
        <v>14838</v>
      </c>
      <c r="B14839" t="str">
        <v>UBND Ủy ban nhân dân xã Châu Hóa  tỉnh Quảng Bình</v>
      </c>
      <c r="C14839" t="str">
        <v>-</v>
      </c>
      <c r="D14839" t="str">
        <v>-</v>
      </c>
      <c r="E14839" t="str">
        <v>-</v>
      </c>
      <c r="F14839" t="str">
        <v>-</v>
      </c>
      <c r="G14839" t="str">
        <v>-</v>
      </c>
    </row>
    <row r="14840">
      <c r="A14840">
        <v>14839</v>
      </c>
      <c r="B14840" t="str">
        <v>Công an xã Cao Quảng  tỉnh Quảng Bình</v>
      </c>
      <c r="C14840" t="str">
        <v>-</v>
      </c>
      <c r="D14840" t="str">
        <v>-</v>
      </c>
      <c r="E14840" t="str">
        <v/>
      </c>
      <c r="F14840" t="str">
        <v>-</v>
      </c>
      <c r="G14840" t="str">
        <v>-</v>
      </c>
    </row>
    <row r="14841">
      <c r="A14841">
        <v>14840</v>
      </c>
      <c r="B14841" t="str">
        <v>UBND Ủy ban nhân dân xã Cao Quảng  tỉnh Quảng Bình</v>
      </c>
      <c r="C14841" t="str">
        <v>-</v>
      </c>
      <c r="D14841" t="str">
        <v>-</v>
      </c>
      <c r="E14841" t="str">
        <v>-</v>
      </c>
      <c r="F14841" t="str">
        <v>-</v>
      </c>
      <c r="G14841" t="str">
        <v>-</v>
      </c>
    </row>
    <row r="14842">
      <c r="A14842">
        <v>14841</v>
      </c>
      <c r="B14842" t="str">
        <v>Công an xã Văn Hóa  tỉnh Quảng Bình</v>
      </c>
      <c r="C14842" t="str">
        <v>-</v>
      </c>
      <c r="D14842" t="str">
        <v>-</v>
      </c>
      <c r="E14842" t="str">
        <v/>
      </c>
      <c r="F14842" t="str">
        <v>-</v>
      </c>
      <c r="G14842" t="str">
        <v>-</v>
      </c>
    </row>
    <row r="14843">
      <c r="A14843">
        <v>14842</v>
      </c>
      <c r="B14843" t="str">
        <v>UBND Ủy ban nhân dân xã Văn Hóa  tỉnh Quảng Bình</v>
      </c>
      <c r="C14843" t="str">
        <v>-</v>
      </c>
      <c r="D14843" t="str">
        <v>-</v>
      </c>
      <c r="E14843" t="str">
        <v>-</v>
      </c>
      <c r="F14843" t="str">
        <v>-</v>
      </c>
      <c r="G14843" t="str">
        <v>-</v>
      </c>
    </row>
    <row r="14844">
      <c r="A14844">
        <v>14843</v>
      </c>
      <c r="B14844" t="str">
        <v>Công an xã Quảng Hợp  tỉnh Quảng Bình</v>
      </c>
      <c r="C14844" t="str">
        <v>-</v>
      </c>
      <c r="D14844" t="str">
        <v>-</v>
      </c>
      <c r="E14844" t="str">
        <v/>
      </c>
      <c r="F14844" t="str">
        <v>-</v>
      </c>
      <c r="G14844" t="str">
        <v>-</v>
      </c>
    </row>
    <row r="14845">
      <c r="A14845">
        <v>14844</v>
      </c>
      <c r="B14845" t="str">
        <v>UBND Ủy ban nhân dân xã Quảng Hợp  tỉnh Quảng Bình</v>
      </c>
      <c r="C14845" t="str">
        <v>-</v>
      </c>
      <c r="D14845" t="str">
        <v>-</v>
      </c>
      <c r="E14845" t="str">
        <v>-</v>
      </c>
      <c r="F14845" t="str">
        <v>-</v>
      </c>
      <c r="G14845" t="str">
        <v>-</v>
      </c>
    </row>
    <row r="14846">
      <c r="A14846">
        <v>14845</v>
      </c>
      <c r="B14846" t="str">
        <v>Công an xã Quảng Kim  tỉnh Quảng Bình</v>
      </c>
      <c r="C14846" t="str">
        <v>-</v>
      </c>
      <c r="D14846" t="str">
        <v>-</v>
      </c>
      <c r="E14846" t="str">
        <v/>
      </c>
      <c r="F14846" t="str">
        <v>-</v>
      </c>
      <c r="G14846" t="str">
        <v>-</v>
      </c>
    </row>
    <row r="14847">
      <c r="A14847">
        <v>14846</v>
      </c>
      <c r="B14847" t="str">
        <v>UBND Ủy ban nhân dân xã Quảng Kim  tỉnh Quảng Bình</v>
      </c>
      <c r="C14847" t="str">
        <v>-</v>
      </c>
      <c r="D14847" t="str">
        <v>-</v>
      </c>
      <c r="E14847" t="str">
        <v>-</v>
      </c>
      <c r="F14847" t="str">
        <v>-</v>
      </c>
      <c r="G14847" t="str">
        <v>-</v>
      </c>
    </row>
    <row r="14848">
      <c r="A14848">
        <v>14847</v>
      </c>
      <c r="B14848" t="str">
        <v>Công an xã Quảng Đông  tỉnh Quảng Bình</v>
      </c>
      <c r="C14848" t="str">
        <v>-</v>
      </c>
      <c r="D14848" t="str">
        <v>-</v>
      </c>
      <c r="E14848" t="str">
        <v/>
      </c>
      <c r="F14848" t="str">
        <v>-</v>
      </c>
      <c r="G14848" t="str">
        <v>-</v>
      </c>
    </row>
    <row r="14849">
      <c r="A14849">
        <v>14848</v>
      </c>
      <c r="B14849" t="str">
        <v>UBND Ủy ban nhân dân xã Quảng Đông  tỉnh Quảng Bình</v>
      </c>
      <c r="C14849" t="str">
        <v>-</v>
      </c>
      <c r="D14849" t="str">
        <v>-</v>
      </c>
      <c r="E14849" t="str">
        <v>-</v>
      </c>
      <c r="F14849" t="str">
        <v>-</v>
      </c>
      <c r="G14849" t="str">
        <v>-</v>
      </c>
    </row>
    <row r="14850">
      <c r="A14850">
        <v>14849</v>
      </c>
      <c r="B14850" t="str">
        <v>Công an xã Quảng Phú  tỉnh Quảng Bình</v>
      </c>
      <c r="C14850" t="str">
        <v>-</v>
      </c>
      <c r="D14850" t="str">
        <v>-</v>
      </c>
      <c r="E14850" t="str">
        <v/>
      </c>
      <c r="F14850" t="str">
        <v>-</v>
      </c>
      <c r="G14850" t="str">
        <v>-</v>
      </c>
    </row>
    <row r="14851">
      <c r="A14851">
        <v>14850</v>
      </c>
      <c r="B14851" t="str">
        <v>UBND Ủy ban nhân dân xã Quảng Phú  tỉnh Quảng Bình</v>
      </c>
      <c r="C14851" t="str">
        <v>-</v>
      </c>
      <c r="D14851" t="str">
        <v>-</v>
      </c>
      <c r="E14851" t="str">
        <v>-</v>
      </c>
      <c r="F14851" t="str">
        <v>-</v>
      </c>
      <c r="G14851" t="str">
        <v>-</v>
      </c>
    </row>
    <row r="14852">
      <c r="A14852">
        <v>14851</v>
      </c>
      <c r="B14852" t="str">
        <v>Công an xã Quảng Châu  tỉnh Quảng Bình</v>
      </c>
      <c r="C14852" t="str">
        <v>-</v>
      </c>
      <c r="D14852" t="str">
        <v>-</v>
      </c>
      <c r="E14852" t="str">
        <v/>
      </c>
      <c r="F14852" t="str">
        <v>-</v>
      </c>
      <c r="G14852" t="str">
        <v>-</v>
      </c>
    </row>
    <row r="14853">
      <c r="A14853">
        <v>14852</v>
      </c>
      <c r="B14853" t="str">
        <v>UBND Ủy ban nhân dân xã Quảng Châu  tỉnh Quảng Bình</v>
      </c>
      <c r="C14853" t="str">
        <v>-</v>
      </c>
      <c r="D14853" t="str">
        <v>-</v>
      </c>
      <c r="E14853" t="str">
        <v>-</v>
      </c>
      <c r="F14853" t="str">
        <v>-</v>
      </c>
      <c r="G14853" t="str">
        <v>-</v>
      </c>
    </row>
    <row r="14854">
      <c r="A14854">
        <v>14853</v>
      </c>
      <c r="B14854" t="str">
        <v>Công an xã Quảng Thạch  tỉnh Quảng Bình</v>
      </c>
      <c r="C14854" t="str">
        <v>-</v>
      </c>
      <c r="D14854" t="str">
        <v>-</v>
      </c>
      <c r="E14854" t="str">
        <v/>
      </c>
      <c r="F14854" t="str">
        <v>-</v>
      </c>
      <c r="G14854" t="str">
        <v>-</v>
      </c>
    </row>
    <row r="14855">
      <c r="A14855">
        <v>14854</v>
      </c>
      <c r="B14855" t="str">
        <v>UBND Ủy ban nhân dân xã Quảng Thạch  tỉnh Quảng Bình</v>
      </c>
      <c r="C14855" t="str">
        <v>-</v>
      </c>
      <c r="D14855" t="str">
        <v>-</v>
      </c>
      <c r="E14855" t="str">
        <v>-</v>
      </c>
      <c r="F14855" t="str">
        <v>-</v>
      </c>
      <c r="G14855" t="str">
        <v>-</v>
      </c>
    </row>
    <row r="14856">
      <c r="A14856">
        <v>14855</v>
      </c>
      <c r="B14856" t="str">
        <v>Công an xã Quảng Lưu  tỉnh Quảng Bình</v>
      </c>
      <c r="C14856" t="str">
        <v>-</v>
      </c>
      <c r="D14856" t="str">
        <v>-</v>
      </c>
      <c r="E14856" t="str">
        <v/>
      </c>
      <c r="F14856" t="str">
        <v>-</v>
      </c>
      <c r="G14856" t="str">
        <v>-</v>
      </c>
    </row>
    <row r="14857">
      <c r="A14857">
        <v>14856</v>
      </c>
      <c r="B14857" t="str">
        <v>UBND Ủy ban nhân dân xã Quảng Lưu  tỉnh Quảng Bình</v>
      </c>
      <c r="C14857" t="str">
        <v>-</v>
      </c>
      <c r="D14857" t="str">
        <v>-</v>
      </c>
      <c r="E14857" t="str">
        <v>-</v>
      </c>
      <c r="F14857" t="str">
        <v>-</v>
      </c>
      <c r="G14857" t="str">
        <v>-</v>
      </c>
    </row>
    <row r="14858">
      <c r="A14858">
        <v>14857</v>
      </c>
      <c r="B14858" t="str">
        <v>Công an xã Quảng Tùng  tỉnh Quảng Bình</v>
      </c>
      <c r="C14858" t="str">
        <v>-</v>
      </c>
      <c r="D14858" t="str">
        <v>-</v>
      </c>
      <c r="E14858" t="str">
        <v/>
      </c>
      <c r="F14858" t="str">
        <v>-</v>
      </c>
      <c r="G14858" t="str">
        <v>-</v>
      </c>
    </row>
    <row r="14859">
      <c r="A14859">
        <v>14858</v>
      </c>
      <c r="B14859" t="str">
        <v>UBND Ủy ban nhân dân xã Quảng Tùng  tỉnh Quảng Bình</v>
      </c>
      <c r="C14859" t="str">
        <v>-</v>
      </c>
      <c r="D14859" t="str">
        <v>-</v>
      </c>
      <c r="E14859" t="str">
        <v>-</v>
      </c>
      <c r="F14859" t="str">
        <v>-</v>
      </c>
      <c r="G14859" t="str">
        <v>-</v>
      </c>
    </row>
    <row r="14860">
      <c r="A14860">
        <v>14859</v>
      </c>
      <c r="B14860" t="str">
        <v>Công an xã Cảnh Dương  tỉnh Quảng Bình</v>
      </c>
      <c r="C14860" t="str">
        <v>-</v>
      </c>
      <c r="D14860" t="str">
        <v>-</v>
      </c>
      <c r="E14860" t="str">
        <v/>
      </c>
      <c r="F14860" t="str">
        <v>-</v>
      </c>
      <c r="G14860" t="str">
        <v>-</v>
      </c>
    </row>
    <row r="14861">
      <c r="A14861">
        <v>14860</v>
      </c>
      <c r="B14861" t="str">
        <v>UBND Ủy ban nhân dân xã Cảnh Dương  tỉnh Quảng Bình</v>
      </c>
      <c r="C14861" t="str">
        <v>-</v>
      </c>
      <c r="D14861" t="str">
        <v>-</v>
      </c>
      <c r="E14861" t="str">
        <v>-</v>
      </c>
      <c r="F14861" t="str">
        <v>-</v>
      </c>
      <c r="G14861" t="str">
        <v>-</v>
      </c>
    </row>
    <row r="14862">
      <c r="A14862">
        <v>14861</v>
      </c>
      <c r="B14862" t="str">
        <v>Công an xã Quảng Tiến  tỉnh Quảng Bình</v>
      </c>
      <c r="C14862" t="str">
        <v>-</v>
      </c>
      <c r="D14862" t="str">
        <v>-</v>
      </c>
      <c r="E14862" t="str">
        <v/>
      </c>
      <c r="F14862" t="str">
        <v>-</v>
      </c>
      <c r="G14862" t="str">
        <v>-</v>
      </c>
    </row>
    <row r="14863">
      <c r="A14863">
        <v>14862</v>
      </c>
      <c r="B14863" t="str">
        <v>UBND Ủy ban nhân dân xã Quảng Tiến  tỉnh Quảng Bình</v>
      </c>
      <c r="C14863" t="str">
        <v>-</v>
      </c>
      <c r="D14863" t="str">
        <v>-</v>
      </c>
      <c r="E14863" t="str">
        <v>-</v>
      </c>
      <c r="F14863" t="str">
        <v>-</v>
      </c>
      <c r="G14863" t="str">
        <v>-</v>
      </c>
    </row>
    <row r="14864">
      <c r="A14864">
        <v>14863</v>
      </c>
      <c r="B14864" t="str">
        <v>Công an xã Quảng Hưng  tỉnh Quảng Bình</v>
      </c>
      <c r="C14864" t="str">
        <v>-</v>
      </c>
      <c r="D14864" t="str">
        <v>-</v>
      </c>
      <c r="E14864" t="str">
        <v/>
      </c>
      <c r="F14864" t="str">
        <v>-</v>
      </c>
      <c r="G14864" t="str">
        <v>-</v>
      </c>
    </row>
    <row r="14865">
      <c r="A14865">
        <v>14864</v>
      </c>
      <c r="B14865" t="str">
        <v>UBND Ủy ban nhân dân xã Quảng Hưng  tỉnh Quảng Bình</v>
      </c>
      <c r="C14865" t="str">
        <v>-</v>
      </c>
      <c r="D14865" t="str">
        <v>-</v>
      </c>
      <c r="E14865" t="str">
        <v>-</v>
      </c>
      <c r="F14865" t="str">
        <v>-</v>
      </c>
      <c r="G14865" t="str">
        <v>-</v>
      </c>
    </row>
    <row r="14866">
      <c r="A14866">
        <v>14865</v>
      </c>
      <c r="B14866" t="str">
        <v>Công an xã Quảng Xuân  tỉnh Quảng Bình</v>
      </c>
      <c r="C14866" t="str">
        <v>-</v>
      </c>
      <c r="D14866" t="str">
        <v>-</v>
      </c>
      <c r="E14866" t="str">
        <v/>
      </c>
      <c r="F14866" t="str">
        <v>-</v>
      </c>
      <c r="G14866" t="str">
        <v>-</v>
      </c>
    </row>
    <row r="14867">
      <c r="A14867">
        <v>14866</v>
      </c>
      <c r="B14867" t="str">
        <v>UBND Ủy ban nhân dân xã Quảng Xuân  tỉnh Quảng Bình</v>
      </c>
      <c r="C14867" t="str">
        <v>-</v>
      </c>
      <c r="D14867" t="str">
        <v>-</v>
      </c>
      <c r="E14867" t="str">
        <v>-</v>
      </c>
      <c r="F14867" t="str">
        <v>-</v>
      </c>
      <c r="G14867" t="str">
        <v>-</v>
      </c>
    </row>
    <row r="14868">
      <c r="A14868">
        <v>14867</v>
      </c>
      <c r="B14868" t="str">
        <v>Công an xã Cảnh Hóa  tỉnh Quảng Bình</v>
      </c>
      <c r="C14868" t="str">
        <v>-</v>
      </c>
      <c r="D14868" t="str">
        <v>-</v>
      </c>
      <c r="E14868" t="str">
        <v/>
      </c>
      <c r="F14868" t="str">
        <v>-</v>
      </c>
      <c r="G14868" t="str">
        <v>-</v>
      </c>
    </row>
    <row r="14869">
      <c r="A14869">
        <v>14868</v>
      </c>
      <c r="B14869" t="str">
        <v>UBND Ủy ban nhân dân xã Cảnh Hóa  tỉnh Quảng Bình</v>
      </c>
      <c r="C14869" t="str">
        <v>-</v>
      </c>
      <c r="D14869" t="str">
        <v>-</v>
      </c>
      <c r="E14869" t="str">
        <v>-</v>
      </c>
      <c r="F14869" t="str">
        <v>-</v>
      </c>
      <c r="G14869" t="str">
        <v>-</v>
      </c>
    </row>
    <row r="14870">
      <c r="A14870">
        <v>14869</v>
      </c>
      <c r="B14870" t="str">
        <v>Công an xã Quảng Liên  tỉnh Quảng Bình</v>
      </c>
      <c r="C14870" t="str">
        <v>-</v>
      </c>
      <c r="D14870" t="str">
        <v>-</v>
      </c>
      <c r="E14870" t="str">
        <v/>
      </c>
      <c r="F14870" t="str">
        <v>-</v>
      </c>
      <c r="G14870" t="str">
        <v>-</v>
      </c>
    </row>
    <row r="14871">
      <c r="A14871">
        <v>14870</v>
      </c>
      <c r="B14871" t="str">
        <v>UBND Ủy ban nhân dân xã Quảng Liên  tỉnh Quảng Bình</v>
      </c>
      <c r="C14871" t="str">
        <v>-</v>
      </c>
      <c r="D14871" t="str">
        <v>-</v>
      </c>
      <c r="E14871" t="str">
        <v>-</v>
      </c>
      <c r="F14871" t="str">
        <v>-</v>
      </c>
      <c r="G14871" t="str">
        <v>-</v>
      </c>
    </row>
    <row r="14872">
      <c r="A14872">
        <v>14871</v>
      </c>
      <c r="B14872" t="str">
        <v>Công an xã Quảng Trường  tỉnh Quảng Bình</v>
      </c>
      <c r="C14872" t="str">
        <v>-</v>
      </c>
      <c r="D14872" t="str">
        <v>-</v>
      </c>
      <c r="E14872" t="str">
        <v/>
      </c>
      <c r="F14872" t="str">
        <v>-</v>
      </c>
      <c r="G14872" t="str">
        <v>-</v>
      </c>
    </row>
    <row r="14873">
      <c r="A14873">
        <v>14872</v>
      </c>
      <c r="B14873" t="str">
        <v>UBND Ủy ban nhân dân xã Quảng Trường  tỉnh Quảng Bình</v>
      </c>
      <c r="C14873" t="str">
        <v>-</v>
      </c>
      <c r="D14873" t="str">
        <v>-</v>
      </c>
      <c r="E14873" t="str">
        <v>-</v>
      </c>
      <c r="F14873" t="str">
        <v>-</v>
      </c>
      <c r="G14873" t="str">
        <v>-</v>
      </c>
    </row>
    <row r="14874">
      <c r="A14874">
        <v>14873</v>
      </c>
      <c r="B14874" t="str">
        <v>Công an xã Quảng Phương  tỉnh Quảng Bình</v>
      </c>
      <c r="C14874" t="str">
        <v>-</v>
      </c>
      <c r="D14874" t="str">
        <v>-</v>
      </c>
      <c r="E14874" t="str">
        <v/>
      </c>
      <c r="F14874" t="str">
        <v>-</v>
      </c>
      <c r="G14874" t="str">
        <v>-</v>
      </c>
    </row>
    <row r="14875">
      <c r="A14875">
        <v>14874</v>
      </c>
      <c r="B14875" t="str">
        <v>UBND Ủy ban nhân dân xã Quảng Phương  tỉnh Quảng Bình</v>
      </c>
      <c r="C14875" t="str">
        <v>-</v>
      </c>
      <c r="D14875" t="str">
        <v>-</v>
      </c>
      <c r="E14875" t="str">
        <v>-</v>
      </c>
      <c r="F14875" t="str">
        <v>-</v>
      </c>
      <c r="G14875" t="str">
        <v>-</v>
      </c>
    </row>
    <row r="14876">
      <c r="A14876">
        <v>14875</v>
      </c>
      <c r="B14876" t="str">
        <v>Công an xã Phù Hóa  tỉnh Quảng Bình</v>
      </c>
      <c r="C14876" t="str">
        <v>-</v>
      </c>
      <c r="D14876" t="str">
        <v>-</v>
      </c>
      <c r="E14876" t="str">
        <v/>
      </c>
      <c r="F14876" t="str">
        <v>-</v>
      </c>
      <c r="G14876" t="str">
        <v>-</v>
      </c>
    </row>
    <row r="14877">
      <c r="A14877">
        <v>14876</v>
      </c>
      <c r="B14877" t="str">
        <v>UBND Ủy ban nhân dân xã Phù Hóa  tỉnh Quảng Bình</v>
      </c>
      <c r="C14877" t="str">
        <v>-</v>
      </c>
      <c r="D14877" t="str">
        <v>-</v>
      </c>
      <c r="E14877" t="str">
        <v>-</v>
      </c>
      <c r="F14877" t="str">
        <v>-</v>
      </c>
      <c r="G14877" t="str">
        <v>-</v>
      </c>
    </row>
    <row r="14878">
      <c r="A14878">
        <v>14877</v>
      </c>
      <c r="B14878" t="str">
        <v>Công an xã Quảng Thanh  tỉnh Quảng Bình</v>
      </c>
      <c r="C14878" t="str">
        <v>-</v>
      </c>
      <c r="D14878" t="str">
        <v>-</v>
      </c>
      <c r="E14878" t="str">
        <v/>
      </c>
      <c r="F14878" t="str">
        <v>-</v>
      </c>
      <c r="G14878" t="str">
        <v>-</v>
      </c>
    </row>
    <row r="14879">
      <c r="A14879">
        <v>14878</v>
      </c>
      <c r="B14879" t="str">
        <v>UBND Ủy ban nhân dân xã Quảng Thanh  tỉnh Quảng Bình</v>
      </c>
      <c r="C14879" t="str">
        <v>-</v>
      </c>
      <c r="D14879" t="str">
        <v>-</v>
      </c>
      <c r="E14879" t="str">
        <v>-</v>
      </c>
      <c r="F14879" t="str">
        <v>-</v>
      </c>
      <c r="G14879" t="str">
        <v>-</v>
      </c>
    </row>
    <row r="14880">
      <c r="A14880">
        <v>14879</v>
      </c>
      <c r="B14880" t="str">
        <v>Công an xã Xuân Trạch  tỉnh Quảng Bình</v>
      </c>
      <c r="C14880" t="str">
        <v>-</v>
      </c>
      <c r="D14880" t="str">
        <v>-</v>
      </c>
      <c r="E14880" t="str">
        <v/>
      </c>
      <c r="F14880" t="str">
        <v>-</v>
      </c>
      <c r="G14880" t="str">
        <v>-</v>
      </c>
    </row>
    <row r="14881">
      <c r="A14881">
        <v>14880</v>
      </c>
      <c r="B14881" t="str">
        <v>UBND Ủy ban nhân dân xã Xuân Trạch  tỉnh Quảng Bình</v>
      </c>
      <c r="C14881" t="str">
        <v>-</v>
      </c>
      <c r="D14881" t="str">
        <v>-</v>
      </c>
      <c r="E14881" t="str">
        <v>-</v>
      </c>
      <c r="F14881" t="str">
        <v>-</v>
      </c>
      <c r="G14881" t="str">
        <v>-</v>
      </c>
    </row>
    <row r="14882">
      <c r="A14882">
        <v>14881</v>
      </c>
      <c r="B14882" t="str">
        <v>Công an xã Mỹ Trạch  tỉnh Quảng Bình</v>
      </c>
      <c r="C14882" t="str">
        <v>-</v>
      </c>
      <c r="D14882" t="str">
        <v>-</v>
      </c>
      <c r="E14882" t="str">
        <v/>
      </c>
      <c r="F14882" t="str">
        <v>-</v>
      </c>
      <c r="G14882" t="str">
        <v>-</v>
      </c>
    </row>
    <row r="14883">
      <c r="A14883">
        <v>14882</v>
      </c>
      <c r="B14883" t="str">
        <v>UBND Ủy ban nhân dân xã Mỹ Trạch  tỉnh Quảng Bình</v>
      </c>
      <c r="C14883" t="str">
        <v>-</v>
      </c>
      <c r="D14883" t="str">
        <v>-</v>
      </c>
      <c r="E14883" t="str">
        <v>-</v>
      </c>
      <c r="F14883" t="str">
        <v>-</v>
      </c>
      <c r="G14883" t="str">
        <v>-</v>
      </c>
    </row>
    <row r="14884">
      <c r="A14884">
        <v>14883</v>
      </c>
      <c r="B14884" t="str">
        <v>Công an xã Hạ Trạch  tỉnh Quảng Bình</v>
      </c>
      <c r="C14884" t="str">
        <v>-</v>
      </c>
      <c r="D14884" t="str">
        <v>-</v>
      </c>
      <c r="E14884" t="str">
        <v/>
      </c>
      <c r="F14884" t="str">
        <v>-</v>
      </c>
      <c r="G14884" t="str">
        <v>-</v>
      </c>
    </row>
    <row r="14885">
      <c r="A14885">
        <v>14884</v>
      </c>
      <c r="B14885" t="str">
        <v>UBND Ủy ban nhân dân xã Hạ Trạch  tỉnh Quảng Bình</v>
      </c>
      <c r="C14885" t="str">
        <v>-</v>
      </c>
      <c r="D14885" t="str">
        <v>-</v>
      </c>
      <c r="E14885" t="str">
        <v>-</v>
      </c>
      <c r="F14885" t="str">
        <v>-</v>
      </c>
      <c r="G14885" t="str">
        <v>-</v>
      </c>
    </row>
    <row r="14886">
      <c r="A14886">
        <v>14885</v>
      </c>
      <c r="B14886" t="str">
        <v>Công an xã Bắc Trạch  tỉnh Quảng Bình</v>
      </c>
      <c r="C14886" t="str">
        <v>-</v>
      </c>
      <c r="D14886" t="str">
        <v>-</v>
      </c>
      <c r="E14886" t="str">
        <v/>
      </c>
      <c r="F14886" t="str">
        <v>-</v>
      </c>
      <c r="G14886" t="str">
        <v>-</v>
      </c>
    </row>
    <row r="14887">
      <c r="A14887">
        <v>14886</v>
      </c>
      <c r="B14887" t="str">
        <v>UBND Ủy ban nhân dân xã Bắc Trạch  tỉnh Quảng Bình</v>
      </c>
      <c r="C14887" t="str">
        <v>-</v>
      </c>
      <c r="D14887" t="str">
        <v>-</v>
      </c>
      <c r="E14887" t="str">
        <v>-</v>
      </c>
      <c r="F14887" t="str">
        <v>-</v>
      </c>
      <c r="G14887" t="str">
        <v>-</v>
      </c>
    </row>
    <row r="14888">
      <c r="A14888">
        <v>14887</v>
      </c>
      <c r="B14888" t="str">
        <v>Công an xã Lâm Trạch  tỉnh Quảng Bình</v>
      </c>
      <c r="C14888" t="str">
        <v>-</v>
      </c>
      <c r="D14888" t="str">
        <v>-</v>
      </c>
      <c r="E14888" t="str">
        <v/>
      </c>
      <c r="F14888" t="str">
        <v>-</v>
      </c>
      <c r="G14888" t="str">
        <v>-</v>
      </c>
    </row>
    <row r="14889">
      <c r="A14889">
        <v>14888</v>
      </c>
      <c r="B14889" t="str">
        <v>UBND Ủy ban nhân dân xã Lâm Trạch  tỉnh Quảng Bình</v>
      </c>
      <c r="C14889" t="str">
        <v>-</v>
      </c>
      <c r="D14889" t="str">
        <v>-</v>
      </c>
      <c r="E14889" t="str">
        <v>-</v>
      </c>
      <c r="F14889" t="str">
        <v>-</v>
      </c>
      <c r="G14889" t="str">
        <v>-</v>
      </c>
    </row>
    <row r="14890">
      <c r="A14890">
        <v>14889</v>
      </c>
      <c r="B14890" t="str">
        <v>Công an xã Thanh Trạch  tỉnh Quảng Bình</v>
      </c>
      <c r="C14890" t="str">
        <v>-</v>
      </c>
      <c r="D14890" t="str">
        <v>-</v>
      </c>
      <c r="E14890" t="str">
        <v/>
      </c>
      <c r="F14890" t="str">
        <v>-</v>
      </c>
      <c r="G14890" t="str">
        <v>-</v>
      </c>
    </row>
    <row r="14891">
      <c r="A14891">
        <v>14890</v>
      </c>
      <c r="B14891" t="str">
        <v>UBND Ủy ban nhân dân xã Thanh Trạch  tỉnh Quảng Bình</v>
      </c>
      <c r="C14891" t="str">
        <v>-</v>
      </c>
      <c r="D14891" t="str">
        <v>-</v>
      </c>
      <c r="E14891" t="str">
        <v>-</v>
      </c>
      <c r="F14891" t="str">
        <v>-</v>
      </c>
      <c r="G14891" t="str">
        <v>-</v>
      </c>
    </row>
    <row r="14892">
      <c r="A14892">
        <v>14891</v>
      </c>
      <c r="B14892" t="str">
        <v>Công an xã Liên Trạch  tỉnh Quảng Bình</v>
      </c>
      <c r="C14892" t="str">
        <v>-</v>
      </c>
      <c r="D14892" t="str">
        <v>-</v>
      </c>
      <c r="E14892" t="str">
        <v/>
      </c>
      <c r="F14892" t="str">
        <v>-</v>
      </c>
      <c r="G14892" t="str">
        <v>-</v>
      </c>
    </row>
    <row r="14893">
      <c r="A14893">
        <v>14892</v>
      </c>
      <c r="B14893" t="str">
        <v>UBND Ủy ban nhân dân xã Liên Trạch  tỉnh Quảng Bình</v>
      </c>
      <c r="C14893" t="str">
        <v>-</v>
      </c>
      <c r="D14893" t="str">
        <v>-</v>
      </c>
      <c r="E14893" t="str">
        <v>-</v>
      </c>
      <c r="F14893" t="str">
        <v>-</v>
      </c>
      <c r="G14893" t="str">
        <v>-</v>
      </c>
    </row>
    <row r="14894">
      <c r="A14894">
        <v>14893</v>
      </c>
      <c r="B14894" t="str">
        <v>Công an xã Phúc Trạch  tỉnh Quảng Bình</v>
      </c>
      <c r="C14894" t="str">
        <v>-</v>
      </c>
      <c r="D14894" t="str">
        <v>-</v>
      </c>
      <c r="E14894" t="str">
        <v/>
      </c>
      <c r="F14894" t="str">
        <v>-</v>
      </c>
      <c r="G14894" t="str">
        <v>-</v>
      </c>
    </row>
    <row r="14895">
      <c r="A14895">
        <v>14894</v>
      </c>
      <c r="B14895" t="str">
        <v>UBND Ủy ban nhân dân xã Phúc Trạch  tỉnh Quảng Bình</v>
      </c>
      <c r="C14895" t="str">
        <v>-</v>
      </c>
      <c r="D14895" t="str">
        <v>-</v>
      </c>
      <c r="E14895" t="str">
        <v>-</v>
      </c>
      <c r="F14895" t="str">
        <v>-</v>
      </c>
      <c r="G14895" t="str">
        <v>-</v>
      </c>
    </row>
    <row r="14896">
      <c r="A14896">
        <v>14895</v>
      </c>
      <c r="B14896" t="str">
        <v>Công an xã Cự Nẫm  tỉnh Quảng Bình</v>
      </c>
      <c r="C14896" t="str">
        <v>-</v>
      </c>
      <c r="D14896" t="str">
        <v>-</v>
      </c>
      <c r="E14896" t="str">
        <v/>
      </c>
      <c r="F14896" t="str">
        <v>-</v>
      </c>
      <c r="G14896" t="str">
        <v>-</v>
      </c>
    </row>
    <row r="14897">
      <c r="A14897">
        <v>14896</v>
      </c>
      <c r="B14897" t="str">
        <v>UBND Ủy ban nhân dân xã Cự Nẫm  tỉnh Quảng Bình</v>
      </c>
      <c r="C14897" t="str">
        <v>-</v>
      </c>
      <c r="D14897" t="str">
        <v>-</v>
      </c>
      <c r="E14897" t="str">
        <v>-</v>
      </c>
      <c r="F14897" t="str">
        <v>-</v>
      </c>
      <c r="G14897" t="str">
        <v>-</v>
      </c>
    </row>
    <row r="14898">
      <c r="A14898">
        <v>14897</v>
      </c>
      <c r="B14898" t="str">
        <v>Công an xã Hải Trạch  tỉnh Quảng Bình</v>
      </c>
      <c r="C14898" t="str">
        <v>-</v>
      </c>
      <c r="D14898" t="str">
        <v>-</v>
      </c>
      <c r="E14898" t="str">
        <v/>
      </c>
      <c r="F14898" t="str">
        <v>-</v>
      </c>
      <c r="G14898" t="str">
        <v>-</v>
      </c>
    </row>
    <row r="14899">
      <c r="A14899">
        <v>14898</v>
      </c>
      <c r="B14899" t="str">
        <v>UBND Ủy ban nhân dân xã Hải Trạch  tỉnh Quảng Bình</v>
      </c>
      <c r="C14899" t="str">
        <v>-</v>
      </c>
      <c r="D14899" t="str">
        <v>-</v>
      </c>
      <c r="E14899" t="str">
        <v>-</v>
      </c>
      <c r="F14899" t="str">
        <v>-</v>
      </c>
      <c r="G14899" t="str">
        <v>-</v>
      </c>
    </row>
    <row r="14900">
      <c r="A14900">
        <v>14899</v>
      </c>
      <c r="B14900" t="str">
        <v>Công an xã Thượng Trạch  tỉnh Quảng Bình</v>
      </c>
      <c r="C14900" t="str">
        <v>-</v>
      </c>
      <c r="D14900" t="str">
        <v>-</v>
      </c>
      <c r="E14900" t="str">
        <v/>
      </c>
      <c r="F14900" t="str">
        <v>-</v>
      </c>
      <c r="G14900" t="str">
        <v>-</v>
      </c>
    </row>
    <row r="14901">
      <c r="A14901">
        <v>14900</v>
      </c>
      <c r="B14901" t="str">
        <v>UBND Ủy ban nhân dân xã Thượng Trạch  tỉnh Quảng Bình</v>
      </c>
      <c r="C14901" t="str">
        <v>-</v>
      </c>
      <c r="D14901" t="str">
        <v>-</v>
      </c>
      <c r="E14901" t="str">
        <v>-</v>
      </c>
      <c r="F14901" t="str">
        <v>-</v>
      </c>
      <c r="G14901" t="str">
        <v>-</v>
      </c>
    </row>
    <row r="14902">
      <c r="A14902">
        <v>14901</v>
      </c>
      <c r="B14902" t="str">
        <v>Công an xã Sơn Lộc  tỉnh Quảng Bình</v>
      </c>
      <c r="C14902" t="str">
        <v>-</v>
      </c>
      <c r="D14902" t="str">
        <v>-</v>
      </c>
      <c r="E14902" t="str">
        <v/>
      </c>
      <c r="F14902" t="str">
        <v>-</v>
      </c>
      <c r="G14902" t="str">
        <v>-</v>
      </c>
    </row>
    <row r="14903">
      <c r="A14903">
        <v>14902</v>
      </c>
      <c r="B14903" t="str">
        <v>UBND Ủy ban nhân dân xã Sơn Lộc  tỉnh Quảng Bình</v>
      </c>
      <c r="C14903" t="str">
        <v>-</v>
      </c>
      <c r="D14903" t="str">
        <v>-</v>
      </c>
      <c r="E14903" t="str">
        <v>-</v>
      </c>
      <c r="F14903" t="str">
        <v>-</v>
      </c>
      <c r="G14903" t="str">
        <v>-</v>
      </c>
    </row>
    <row r="14904">
      <c r="A14904">
        <v>14903</v>
      </c>
      <c r="B14904" t="str">
        <v>Công an xã Phú Trạch  tỉnh Quảng Bình</v>
      </c>
      <c r="C14904" t="str">
        <v>-</v>
      </c>
      <c r="D14904" t="str">
        <v>-</v>
      </c>
      <c r="E14904" t="str">
        <v/>
      </c>
      <c r="F14904" t="str">
        <v>-</v>
      </c>
      <c r="G14904" t="str">
        <v>-</v>
      </c>
    </row>
    <row r="14905">
      <c r="A14905">
        <v>14904</v>
      </c>
      <c r="B14905" t="str">
        <v>UBND Ủy ban nhân dân xã Phú Trạch  tỉnh Quảng Bình</v>
      </c>
      <c r="C14905" t="str">
        <v>-</v>
      </c>
      <c r="D14905" t="str">
        <v>-</v>
      </c>
      <c r="E14905" t="str">
        <v>-</v>
      </c>
      <c r="F14905" t="str">
        <v>-</v>
      </c>
      <c r="G14905" t="str">
        <v>-</v>
      </c>
    </row>
    <row r="14906">
      <c r="A14906">
        <v>14905</v>
      </c>
      <c r="B14906" t="str">
        <v>Công an xã Hưng Trạch  tỉnh Quảng Bình</v>
      </c>
      <c r="C14906" t="str">
        <v>-</v>
      </c>
      <c r="D14906" t="str">
        <v>-</v>
      </c>
      <c r="E14906" t="str">
        <v/>
      </c>
      <c r="F14906" t="str">
        <v>-</v>
      </c>
      <c r="G14906" t="str">
        <v>-</v>
      </c>
    </row>
    <row r="14907">
      <c r="A14907">
        <v>14906</v>
      </c>
      <c r="B14907" t="str">
        <v>UBND Ủy ban nhân dân xã Hưng Trạch  tỉnh Quảng Bình</v>
      </c>
      <c r="C14907" t="str">
        <v>-</v>
      </c>
      <c r="D14907" t="str">
        <v>-</v>
      </c>
      <c r="E14907" t="str">
        <v>-</v>
      </c>
      <c r="F14907" t="str">
        <v>-</v>
      </c>
      <c r="G14907" t="str">
        <v>-</v>
      </c>
    </row>
    <row r="14908">
      <c r="A14908">
        <v>14907</v>
      </c>
      <c r="B14908" t="str">
        <v>Công an xã Đồng Trạch  tỉnh Quảng Bình</v>
      </c>
      <c r="C14908" t="str">
        <v>-</v>
      </c>
      <c r="D14908" t="str">
        <v>-</v>
      </c>
      <c r="E14908" t="str">
        <v/>
      </c>
      <c r="F14908" t="str">
        <v>-</v>
      </c>
      <c r="G14908" t="str">
        <v>-</v>
      </c>
    </row>
    <row r="14909">
      <c r="A14909">
        <v>14908</v>
      </c>
      <c r="B14909" t="str">
        <v>UBND Ủy ban nhân dân xã Đồng Trạch  tỉnh Quảng Bình</v>
      </c>
      <c r="C14909" t="str">
        <v>-</v>
      </c>
      <c r="D14909" t="str">
        <v>-</v>
      </c>
      <c r="E14909" t="str">
        <v>-</v>
      </c>
      <c r="F14909" t="str">
        <v>-</v>
      </c>
      <c r="G14909" t="str">
        <v>-</v>
      </c>
    </row>
    <row r="14910">
      <c r="A14910">
        <v>14909</v>
      </c>
      <c r="B14910" t="str">
        <v>Công an xã Đức Trạch  tỉnh Quảng Bình</v>
      </c>
      <c r="C14910" t="str">
        <v>-</v>
      </c>
      <c r="D14910" t="str">
        <v>-</v>
      </c>
      <c r="E14910" t="str">
        <v/>
      </c>
      <c r="F14910" t="str">
        <v>-</v>
      </c>
      <c r="G14910" t="str">
        <v>-</v>
      </c>
    </row>
    <row r="14911">
      <c r="A14911">
        <v>14910</v>
      </c>
      <c r="B14911" t="str">
        <v>UBND Ủy ban nhân dân xã Đức Trạch  tỉnh Quảng Bình</v>
      </c>
      <c r="C14911" t="str">
        <v>-</v>
      </c>
      <c r="D14911" t="str">
        <v>-</v>
      </c>
      <c r="E14911" t="str">
        <v>-</v>
      </c>
      <c r="F14911" t="str">
        <v>-</v>
      </c>
      <c r="G14911" t="str">
        <v>-</v>
      </c>
    </row>
    <row r="14912">
      <c r="A14912">
        <v>14911</v>
      </c>
      <c r="B14912" t="str">
        <v>Công an xã Sơn Trạch  tỉnh Quảng Bình</v>
      </c>
      <c r="C14912" t="str">
        <v>-</v>
      </c>
      <c r="D14912" t="str">
        <v>-</v>
      </c>
      <c r="E14912" t="str">
        <v/>
      </c>
      <c r="F14912" t="str">
        <v>-</v>
      </c>
      <c r="G14912" t="str">
        <v>-</v>
      </c>
    </row>
    <row r="14913">
      <c r="A14913">
        <v>14912</v>
      </c>
      <c r="B14913" t="str">
        <v>UBND Ủy ban nhân dân xã Sơn Trạch  tỉnh Quảng Bình</v>
      </c>
      <c r="C14913" t="str">
        <v>-</v>
      </c>
      <c r="D14913" t="str">
        <v>-</v>
      </c>
      <c r="E14913" t="str">
        <v>-</v>
      </c>
      <c r="F14913" t="str">
        <v>-</v>
      </c>
      <c r="G14913" t="str">
        <v>-</v>
      </c>
    </row>
    <row r="14914">
      <c r="A14914">
        <v>14913</v>
      </c>
      <c r="B14914" t="str">
        <v>Công an xã Vạn Trạch  tỉnh Quảng Bình</v>
      </c>
      <c r="C14914" t="str">
        <v>-</v>
      </c>
      <c r="D14914" t="str">
        <v>-</v>
      </c>
      <c r="E14914" t="str">
        <v/>
      </c>
      <c r="F14914" t="str">
        <v>-</v>
      </c>
      <c r="G14914" t="str">
        <v>-</v>
      </c>
    </row>
    <row r="14915">
      <c r="A14915">
        <v>14914</v>
      </c>
      <c r="B14915" t="str">
        <v>UBND Ủy ban nhân dân xã Vạn Trạch  tỉnh Quảng Bình</v>
      </c>
      <c r="C14915" t="str">
        <v>-</v>
      </c>
      <c r="D14915" t="str">
        <v>-</v>
      </c>
      <c r="E14915" t="str">
        <v>-</v>
      </c>
      <c r="F14915" t="str">
        <v>-</v>
      </c>
      <c r="G14915" t="str">
        <v>-</v>
      </c>
    </row>
    <row r="14916">
      <c r="A14916">
        <v>14915</v>
      </c>
      <c r="B14916" t="str">
        <v>Công an xã Hoàn Trạch  tỉnh Quảng Bình</v>
      </c>
      <c r="C14916" t="str">
        <v>-</v>
      </c>
      <c r="D14916" t="str">
        <v>-</v>
      </c>
      <c r="E14916" t="str">
        <v/>
      </c>
      <c r="F14916" t="str">
        <v>-</v>
      </c>
      <c r="G14916" t="str">
        <v>-</v>
      </c>
    </row>
    <row r="14917">
      <c r="A14917">
        <v>14916</v>
      </c>
      <c r="B14917" t="str">
        <v>UBND Ủy ban nhân dân xã Hoàn Trạch  tỉnh Quảng Bình</v>
      </c>
      <c r="C14917" t="str">
        <v>-</v>
      </c>
      <c r="D14917" t="str">
        <v>-</v>
      </c>
      <c r="E14917" t="str">
        <v>-</v>
      </c>
      <c r="F14917" t="str">
        <v>-</v>
      </c>
      <c r="G14917" t="str">
        <v>-</v>
      </c>
    </row>
    <row r="14918">
      <c r="A14918">
        <v>14917</v>
      </c>
      <c r="B14918" t="str">
        <v>Công an xã Phú Định  tỉnh Quảng Bình</v>
      </c>
      <c r="C14918" t="str">
        <v>-</v>
      </c>
      <c r="D14918" t="str">
        <v>-</v>
      </c>
      <c r="E14918" t="str">
        <v/>
      </c>
      <c r="F14918" t="str">
        <v>-</v>
      </c>
      <c r="G14918" t="str">
        <v>-</v>
      </c>
    </row>
    <row r="14919">
      <c r="A14919">
        <v>14918</v>
      </c>
      <c r="B14919" t="str">
        <v>UBND Ủy ban nhân dân xã Phú Định  tỉnh Quảng Bình</v>
      </c>
      <c r="C14919" t="str">
        <v>-</v>
      </c>
      <c r="D14919" t="str">
        <v>-</v>
      </c>
      <c r="E14919" t="str">
        <v>-</v>
      </c>
      <c r="F14919" t="str">
        <v>-</v>
      </c>
      <c r="G14919" t="str">
        <v>-</v>
      </c>
    </row>
    <row r="14920">
      <c r="A14920">
        <v>14919</v>
      </c>
      <c r="B14920" t="str">
        <v>Công an xã Trung Trạch  tỉnh Quảng Bình</v>
      </c>
      <c r="C14920" t="str">
        <v>-</v>
      </c>
      <c r="D14920" t="str">
        <v>-</v>
      </c>
      <c r="E14920" t="str">
        <v/>
      </c>
      <c r="F14920" t="str">
        <v>-</v>
      </c>
      <c r="G14920" t="str">
        <v>-</v>
      </c>
    </row>
    <row r="14921">
      <c r="A14921">
        <v>14920</v>
      </c>
      <c r="B14921" t="str">
        <v>UBND Ủy ban nhân dân xã Trung Trạch  tỉnh Quảng Bình</v>
      </c>
      <c r="C14921" t="str">
        <v>-</v>
      </c>
      <c r="D14921" t="str">
        <v>-</v>
      </c>
      <c r="E14921" t="str">
        <v>-</v>
      </c>
      <c r="F14921" t="str">
        <v>-</v>
      </c>
      <c r="G14921" t="str">
        <v>-</v>
      </c>
    </row>
    <row r="14922">
      <c r="A14922">
        <v>14921</v>
      </c>
      <c r="B14922" t="str">
        <v>Công an xã Tây Trạch  tỉnh Quảng Bình</v>
      </c>
      <c r="C14922" t="str">
        <v>-</v>
      </c>
      <c r="D14922" t="str">
        <v>-</v>
      </c>
      <c r="E14922" t="str">
        <v/>
      </c>
      <c r="F14922" t="str">
        <v>-</v>
      </c>
      <c r="G14922" t="str">
        <v>-</v>
      </c>
    </row>
    <row r="14923">
      <c r="A14923">
        <v>14922</v>
      </c>
      <c r="B14923" t="str">
        <v>UBND Ủy ban nhân dân xã Tây Trạch  tỉnh Quảng Bình</v>
      </c>
      <c r="C14923" t="str">
        <v>-</v>
      </c>
      <c r="D14923" t="str">
        <v>-</v>
      </c>
      <c r="E14923" t="str">
        <v>-</v>
      </c>
      <c r="F14923" t="str">
        <v>-</v>
      </c>
      <c r="G14923" t="str">
        <v>-</v>
      </c>
    </row>
    <row r="14924">
      <c r="A14924">
        <v>14923</v>
      </c>
      <c r="B14924" t="str">
        <v>Công an xã Hòa Trạch  tỉnh Quảng Bình</v>
      </c>
      <c r="C14924" t="str">
        <v>-</v>
      </c>
      <c r="D14924" t="str">
        <v>-</v>
      </c>
      <c r="E14924" t="str">
        <v/>
      </c>
      <c r="F14924" t="str">
        <v>-</v>
      </c>
      <c r="G14924" t="str">
        <v>-</v>
      </c>
    </row>
    <row r="14925">
      <c r="A14925">
        <v>14924</v>
      </c>
      <c r="B14925" t="str">
        <v>UBND Ủy ban nhân dân xã Hòa Trạch  tỉnh Quảng Bình</v>
      </c>
      <c r="C14925" t="str">
        <v>-</v>
      </c>
      <c r="D14925" t="str">
        <v>-</v>
      </c>
      <c r="E14925" t="str">
        <v>-</v>
      </c>
      <c r="F14925" t="str">
        <v>-</v>
      </c>
      <c r="G14925" t="str">
        <v>-</v>
      </c>
    </row>
    <row r="14926">
      <c r="A14926">
        <v>14925</v>
      </c>
      <c r="B14926" t="str">
        <v>Công an xã Đại Trạch  tỉnh Quảng Bình</v>
      </c>
      <c r="C14926" t="str">
        <v>-</v>
      </c>
      <c r="D14926" t="str">
        <v>-</v>
      </c>
      <c r="E14926" t="str">
        <v/>
      </c>
      <c r="F14926" t="str">
        <v>-</v>
      </c>
      <c r="G14926" t="str">
        <v>-</v>
      </c>
    </row>
    <row r="14927">
      <c r="A14927">
        <v>14926</v>
      </c>
      <c r="B14927" t="str">
        <v>UBND Ủy ban nhân dân xã Đại Trạch  tỉnh Quảng Bình</v>
      </c>
      <c r="C14927" t="str">
        <v>-</v>
      </c>
      <c r="D14927" t="str">
        <v>-</v>
      </c>
      <c r="E14927" t="str">
        <v>-</v>
      </c>
      <c r="F14927" t="str">
        <v>-</v>
      </c>
      <c r="G14927" t="str">
        <v>-</v>
      </c>
    </row>
    <row r="14928">
      <c r="A14928">
        <v>14927</v>
      </c>
      <c r="B14928" t="str">
        <v>Công an xã Nhân Trạch  tỉnh Quảng Bình</v>
      </c>
      <c r="C14928" t="str">
        <v>-</v>
      </c>
      <c r="D14928" t="str">
        <v>-</v>
      </c>
      <c r="E14928" t="str">
        <v/>
      </c>
      <c r="F14928" t="str">
        <v>-</v>
      </c>
      <c r="G14928" t="str">
        <v>-</v>
      </c>
    </row>
    <row r="14929">
      <c r="A14929">
        <v>14928</v>
      </c>
      <c r="B14929" t="str">
        <v>UBND Ủy ban nhân dân xã Nhân Trạch  tỉnh Quảng Bình</v>
      </c>
      <c r="C14929" t="str">
        <v>-</v>
      </c>
      <c r="D14929" t="str">
        <v>-</v>
      </c>
      <c r="E14929" t="str">
        <v>-</v>
      </c>
      <c r="F14929" t="str">
        <v>-</v>
      </c>
      <c r="G14929" t="str">
        <v>-</v>
      </c>
    </row>
    <row r="14930">
      <c r="A14930">
        <v>14929</v>
      </c>
      <c r="B14930" t="str">
        <v>Công an xã Tân Trạch  tỉnh Quảng Bình</v>
      </c>
      <c r="C14930" t="str">
        <v>-</v>
      </c>
      <c r="D14930" t="str">
        <v>-</v>
      </c>
      <c r="E14930" t="str">
        <v/>
      </c>
      <c r="F14930" t="str">
        <v>-</v>
      </c>
      <c r="G14930" t="str">
        <v>-</v>
      </c>
    </row>
    <row r="14931">
      <c r="A14931">
        <v>14930</v>
      </c>
      <c r="B14931" t="str">
        <v>UBND Ủy ban nhân dân xã Tân Trạch  tỉnh Quảng Bình</v>
      </c>
      <c r="C14931" t="str">
        <v>-</v>
      </c>
      <c r="D14931" t="str">
        <v>-</v>
      </c>
      <c r="E14931" t="str">
        <v>-</v>
      </c>
      <c r="F14931" t="str">
        <v>-</v>
      </c>
      <c r="G14931" t="str">
        <v>-</v>
      </c>
    </row>
    <row r="14932">
      <c r="A14932">
        <v>14931</v>
      </c>
      <c r="B14932" t="str">
        <v>Công an xã Nam Trạch  tỉnh Quảng Bình</v>
      </c>
      <c r="C14932" t="str">
        <v>-</v>
      </c>
      <c r="D14932" t="str">
        <v>-</v>
      </c>
      <c r="E14932" t="str">
        <v/>
      </c>
      <c r="F14932" t="str">
        <v>-</v>
      </c>
      <c r="G14932" t="str">
        <v>-</v>
      </c>
    </row>
    <row r="14933">
      <c r="A14933">
        <v>14932</v>
      </c>
      <c r="B14933" t="str">
        <v>UBND Ủy ban nhân dân xã Nam Trạch  tỉnh Quảng Bình</v>
      </c>
      <c r="C14933" t="str">
        <v>-</v>
      </c>
      <c r="D14933" t="str">
        <v>-</v>
      </c>
      <c r="E14933" t="str">
        <v>-</v>
      </c>
      <c r="F14933" t="str">
        <v>-</v>
      </c>
      <c r="G14933" t="str">
        <v>-</v>
      </c>
    </row>
    <row r="14934">
      <c r="A14934">
        <v>14933</v>
      </c>
      <c r="B14934" t="str">
        <v>Công an xã Lý Trạch  tỉnh Quảng Bình</v>
      </c>
      <c r="C14934" t="str">
        <v>-</v>
      </c>
      <c r="D14934" t="str">
        <v>-</v>
      </c>
      <c r="E14934" t="str">
        <v/>
      </c>
      <c r="F14934" t="str">
        <v>-</v>
      </c>
      <c r="G14934" t="str">
        <v>-</v>
      </c>
    </row>
    <row r="14935">
      <c r="A14935">
        <v>14934</v>
      </c>
      <c r="B14935" t="str">
        <v>UBND Ủy ban nhân dân xã Lý Trạch  tỉnh Quảng Bình</v>
      </c>
      <c r="C14935" t="str">
        <v>-</v>
      </c>
      <c r="D14935" t="str">
        <v>-</v>
      </c>
      <c r="E14935" t="str">
        <v>-</v>
      </c>
      <c r="F14935" t="str">
        <v>-</v>
      </c>
      <c r="G14935" t="str">
        <v>-</v>
      </c>
    </row>
    <row r="14936">
      <c r="A14936">
        <v>14935</v>
      </c>
      <c r="B14936" t="str">
        <v>Công an xã Trường Sơn  tỉnh Quảng Bình</v>
      </c>
      <c r="C14936" t="str">
        <v>-</v>
      </c>
      <c r="D14936" t="str">
        <v>-</v>
      </c>
      <c r="E14936" t="str">
        <v/>
      </c>
      <c r="F14936" t="str">
        <v>-</v>
      </c>
      <c r="G14936" t="str">
        <v>-</v>
      </c>
    </row>
    <row r="14937">
      <c r="A14937">
        <v>14936</v>
      </c>
      <c r="B14937" t="str">
        <v>UBND Ủy ban nhân dân xã Trường Sơn  tỉnh Quảng Bình</v>
      </c>
      <c r="C14937" t="str">
        <v>-</v>
      </c>
      <c r="D14937" t="str">
        <v>-</v>
      </c>
      <c r="E14937" t="str">
        <v>-</v>
      </c>
      <c r="F14937" t="str">
        <v>-</v>
      </c>
      <c r="G14937" t="str">
        <v>-</v>
      </c>
    </row>
    <row r="14938">
      <c r="A14938">
        <v>14937</v>
      </c>
      <c r="B14938" t="str">
        <v>Công an xã Lương Ninh  tỉnh Quảng Bình</v>
      </c>
      <c r="C14938" t="str">
        <v>-</v>
      </c>
      <c r="D14938" t="str">
        <v>-</v>
      </c>
      <c r="E14938" t="str">
        <v/>
      </c>
      <c r="F14938" t="str">
        <v>-</v>
      </c>
      <c r="G14938" t="str">
        <v>-</v>
      </c>
    </row>
    <row r="14939">
      <c r="A14939">
        <v>14938</v>
      </c>
      <c r="B14939" t="str">
        <v>UBND Ủy ban nhân dân xã Lương Ninh  tỉnh Quảng Bình</v>
      </c>
      <c r="C14939" t="str">
        <v>-</v>
      </c>
      <c r="D14939" t="str">
        <v>-</v>
      </c>
      <c r="E14939" t="str">
        <v>-</v>
      </c>
      <c r="F14939" t="str">
        <v>-</v>
      </c>
      <c r="G14939" t="str">
        <v>-</v>
      </c>
    </row>
    <row r="14940">
      <c r="A14940">
        <v>14939</v>
      </c>
      <c r="B14940" t="str">
        <v>Công an xã Vĩnh Ninh  tỉnh Quảng Bình</v>
      </c>
      <c r="C14940" t="str">
        <v>-</v>
      </c>
      <c r="D14940" t="str">
        <v>-</v>
      </c>
      <c r="E14940" t="str">
        <v/>
      </c>
      <c r="F14940" t="str">
        <v>-</v>
      </c>
      <c r="G14940" t="str">
        <v>-</v>
      </c>
    </row>
    <row r="14941">
      <c r="A14941">
        <v>14940</v>
      </c>
      <c r="B14941" t="str">
        <v>UBND Ủy ban nhân dân xã Vĩnh Ninh  tỉnh Quảng Bình</v>
      </c>
      <c r="C14941" t="str">
        <v>-</v>
      </c>
      <c r="D14941" t="str">
        <v>-</v>
      </c>
      <c r="E14941" t="str">
        <v>-</v>
      </c>
      <c r="F14941" t="str">
        <v>-</v>
      </c>
      <c r="G14941" t="str">
        <v>-</v>
      </c>
    </row>
    <row r="14942">
      <c r="A14942">
        <v>14941</v>
      </c>
      <c r="B14942" t="str">
        <v>Công an xã Võ Ninh  tỉnh Quảng Bình</v>
      </c>
      <c r="C14942" t="str">
        <v>-</v>
      </c>
      <c r="D14942" t="str">
        <v>-</v>
      </c>
      <c r="E14942" t="str">
        <v/>
      </c>
      <c r="F14942" t="str">
        <v>-</v>
      </c>
      <c r="G14942" t="str">
        <v>-</v>
      </c>
    </row>
    <row r="14943">
      <c r="A14943">
        <v>14942</v>
      </c>
      <c r="B14943" t="str">
        <v>UBND Ủy ban nhân dân xã Võ Ninh  tỉnh Quảng Bình</v>
      </c>
      <c r="C14943" t="str">
        <v>-</v>
      </c>
      <c r="D14943" t="str">
        <v>-</v>
      </c>
      <c r="E14943" t="str">
        <v>-</v>
      </c>
      <c r="F14943" t="str">
        <v>-</v>
      </c>
      <c r="G14943" t="str">
        <v>-</v>
      </c>
    </row>
    <row r="14944">
      <c r="A14944">
        <v>14943</v>
      </c>
      <c r="B14944" t="str">
        <v>Công an xã Hải Ninh  tỉnh Quảng Bình</v>
      </c>
      <c r="C14944" t="str">
        <v>-</v>
      </c>
      <c r="D14944" t="str">
        <v>-</v>
      </c>
      <c r="E14944" t="str">
        <v/>
      </c>
      <c r="F14944" t="str">
        <v>-</v>
      </c>
      <c r="G14944" t="str">
        <v>-</v>
      </c>
    </row>
    <row r="14945">
      <c r="A14945">
        <v>14944</v>
      </c>
      <c r="B14945" t="str">
        <v>UBND Ủy ban nhân dân xã Hải Ninh  tỉnh Quảng Bình</v>
      </c>
      <c r="C14945" t="str">
        <v>-</v>
      </c>
      <c r="D14945" t="str">
        <v>-</v>
      </c>
      <c r="E14945" t="str">
        <v>-</v>
      </c>
      <c r="F14945" t="str">
        <v>-</v>
      </c>
      <c r="G14945" t="str">
        <v>-</v>
      </c>
    </row>
    <row r="14946">
      <c r="A14946">
        <v>14945</v>
      </c>
      <c r="B14946" t="str">
        <v>Công an xã Hàm Ninh  tỉnh Quảng Bình</v>
      </c>
      <c r="C14946" t="str">
        <v>-</v>
      </c>
      <c r="D14946" t="str">
        <v>-</v>
      </c>
      <c r="E14946" t="str">
        <v/>
      </c>
      <c r="F14946" t="str">
        <v>-</v>
      </c>
      <c r="G14946" t="str">
        <v>-</v>
      </c>
    </row>
    <row r="14947">
      <c r="A14947">
        <v>14946</v>
      </c>
      <c r="B14947" t="str">
        <v>UBND Ủy ban nhân dân xã Hàm Ninh  tỉnh Quảng Bình</v>
      </c>
      <c r="C14947" t="str">
        <v>-</v>
      </c>
      <c r="D14947" t="str">
        <v>-</v>
      </c>
      <c r="E14947" t="str">
        <v>-</v>
      </c>
      <c r="F14947" t="str">
        <v>-</v>
      </c>
      <c r="G14947" t="str">
        <v>-</v>
      </c>
    </row>
    <row r="14948">
      <c r="A14948">
        <v>14947</v>
      </c>
      <c r="B14948" t="str">
        <v>Công an xã Duy Ninh  tỉnh Quảng Bình</v>
      </c>
      <c r="C14948" t="str">
        <v>-</v>
      </c>
      <c r="D14948" t="str">
        <v>-</v>
      </c>
      <c r="E14948" t="str">
        <v/>
      </c>
      <c r="F14948" t="str">
        <v>-</v>
      </c>
      <c r="G14948" t="str">
        <v>-</v>
      </c>
    </row>
    <row r="14949">
      <c r="A14949">
        <v>14948</v>
      </c>
      <c r="B14949" t="str">
        <v>UBND Ủy ban nhân dân xã Duy Ninh  tỉnh Quảng Bình</v>
      </c>
      <c r="C14949" t="str">
        <v>-</v>
      </c>
      <c r="D14949" t="str">
        <v>-</v>
      </c>
      <c r="E14949" t="str">
        <v>-</v>
      </c>
      <c r="F14949" t="str">
        <v>-</v>
      </c>
      <c r="G14949" t="str">
        <v>-</v>
      </c>
    </row>
    <row r="14950">
      <c r="A14950">
        <v>14949</v>
      </c>
      <c r="B14950" t="str">
        <v>Công an xã Gia Ninh  tỉnh Quảng Bình</v>
      </c>
      <c r="C14950" t="str">
        <v>-</v>
      </c>
      <c r="D14950" t="str">
        <v>-</v>
      </c>
      <c r="E14950" t="str">
        <v/>
      </c>
      <c r="F14950" t="str">
        <v>-</v>
      </c>
      <c r="G14950" t="str">
        <v>-</v>
      </c>
    </row>
    <row r="14951">
      <c r="A14951">
        <v>14950</v>
      </c>
      <c r="B14951" t="str">
        <v>UBND Ủy ban nhân dân xã Gia Ninh  tỉnh Quảng Bình</v>
      </c>
      <c r="C14951" t="str">
        <v>-</v>
      </c>
      <c r="D14951" t="str">
        <v>-</v>
      </c>
      <c r="E14951" t="str">
        <v>-</v>
      </c>
      <c r="F14951" t="str">
        <v>-</v>
      </c>
      <c r="G14951" t="str">
        <v>-</v>
      </c>
    </row>
    <row r="14952">
      <c r="A14952">
        <v>14951</v>
      </c>
      <c r="B14952" t="str">
        <v>Công an xã Trường Xuân  tỉnh Quảng Bình</v>
      </c>
      <c r="C14952" t="str">
        <v>-</v>
      </c>
      <c r="D14952" t="str">
        <v>-</v>
      </c>
      <c r="E14952" t="str">
        <v/>
      </c>
      <c r="F14952" t="str">
        <v>-</v>
      </c>
      <c r="G14952" t="str">
        <v>-</v>
      </c>
    </row>
    <row r="14953">
      <c r="A14953">
        <v>14952</v>
      </c>
      <c r="B14953" t="str">
        <v>UBND Ủy ban nhân dân xã Trường Xuân  tỉnh Quảng Bình</v>
      </c>
      <c r="C14953" t="str">
        <v>-</v>
      </c>
      <c r="D14953" t="str">
        <v>-</v>
      </c>
      <c r="E14953" t="str">
        <v>-</v>
      </c>
      <c r="F14953" t="str">
        <v>-</v>
      </c>
      <c r="G14953" t="str">
        <v>-</v>
      </c>
    </row>
    <row r="14954">
      <c r="A14954">
        <v>14953</v>
      </c>
      <c r="B14954" t="str">
        <v>Công an xã Hiền Ninh  tỉnh Quảng Bình</v>
      </c>
      <c r="C14954" t="str">
        <v>-</v>
      </c>
      <c r="D14954" t="str">
        <v>-</v>
      </c>
      <c r="E14954" t="str">
        <v/>
      </c>
      <c r="F14954" t="str">
        <v>-</v>
      </c>
      <c r="G14954" t="str">
        <v>-</v>
      </c>
    </row>
    <row r="14955">
      <c r="A14955">
        <v>14954</v>
      </c>
      <c r="B14955" t="str">
        <v>UBND Ủy ban nhân dân xã Hiền Ninh  tỉnh Quảng Bình</v>
      </c>
      <c r="C14955" t="str">
        <v>-</v>
      </c>
      <c r="D14955" t="str">
        <v>-</v>
      </c>
      <c r="E14955" t="str">
        <v>-</v>
      </c>
      <c r="F14955" t="str">
        <v>-</v>
      </c>
      <c r="G14955" t="str">
        <v>-</v>
      </c>
    </row>
    <row r="14956">
      <c r="A14956">
        <v>14955</v>
      </c>
      <c r="B14956" t="str">
        <v>Công an xã Tân Ninh  tỉnh Quảng Bình</v>
      </c>
      <c r="C14956" t="str">
        <v>-</v>
      </c>
      <c r="D14956" t="str">
        <v>-</v>
      </c>
      <c r="E14956" t="str">
        <v/>
      </c>
      <c r="F14956" t="str">
        <v>-</v>
      </c>
      <c r="G14956" t="str">
        <v>-</v>
      </c>
    </row>
    <row r="14957">
      <c r="A14957">
        <v>14956</v>
      </c>
      <c r="B14957" t="str">
        <v>UBND Ủy ban nhân dân xã Tân Ninh  tỉnh Quảng Bình</v>
      </c>
      <c r="C14957" t="str">
        <v>-</v>
      </c>
      <c r="D14957" t="str">
        <v>-</v>
      </c>
      <c r="E14957" t="str">
        <v>-</v>
      </c>
      <c r="F14957" t="str">
        <v>-</v>
      </c>
      <c r="G14957" t="str">
        <v>-</v>
      </c>
    </row>
    <row r="14958">
      <c r="A14958">
        <v>14957</v>
      </c>
      <c r="B14958" t="str">
        <v>Công an xã Xuân Ninh  tỉnh Quảng Bình</v>
      </c>
      <c r="C14958" t="str">
        <v>-</v>
      </c>
      <c r="D14958" t="str">
        <v>-</v>
      </c>
      <c r="E14958" t="str">
        <v/>
      </c>
      <c r="F14958" t="str">
        <v>-</v>
      </c>
      <c r="G14958" t="str">
        <v>-</v>
      </c>
    </row>
    <row r="14959">
      <c r="A14959">
        <v>14958</v>
      </c>
      <c r="B14959" t="str">
        <v>UBND Ủy ban nhân dân xã Xuân Ninh  tỉnh Quảng Bình</v>
      </c>
      <c r="C14959" t="str">
        <v>-</v>
      </c>
      <c r="D14959" t="str">
        <v>-</v>
      </c>
      <c r="E14959" t="str">
        <v>-</v>
      </c>
      <c r="F14959" t="str">
        <v>-</v>
      </c>
      <c r="G14959" t="str">
        <v>-</v>
      </c>
    </row>
    <row r="14960">
      <c r="A14960">
        <v>14959</v>
      </c>
      <c r="B14960" t="str">
        <v>Công an xã An Ninh  tỉnh Quảng Bình</v>
      </c>
      <c r="C14960" t="str">
        <v>-</v>
      </c>
      <c r="D14960" t="str">
        <v>-</v>
      </c>
      <c r="E14960" t="str">
        <v/>
      </c>
      <c r="F14960" t="str">
        <v>-</v>
      </c>
      <c r="G14960" t="str">
        <v>-</v>
      </c>
    </row>
    <row r="14961">
      <c r="A14961">
        <v>14960</v>
      </c>
      <c r="B14961" t="str">
        <v>UBND Ủy ban nhân dân xã An Ninh  tỉnh Quảng Bình</v>
      </c>
      <c r="C14961" t="str">
        <v>-</v>
      </c>
      <c r="D14961" t="str">
        <v>-</v>
      </c>
      <c r="E14961" t="str">
        <v>-</v>
      </c>
      <c r="F14961" t="str">
        <v>-</v>
      </c>
      <c r="G14961" t="str">
        <v>-</v>
      </c>
    </row>
    <row r="14962">
      <c r="A14962">
        <v>14961</v>
      </c>
      <c r="B14962" t="str">
        <v>Công an xã Vạn Ninh  tỉnh Quảng Bình</v>
      </c>
      <c r="C14962" t="str">
        <v>-</v>
      </c>
      <c r="D14962" t="str">
        <v>-</v>
      </c>
      <c r="E14962" t="str">
        <v/>
      </c>
      <c r="F14962" t="str">
        <v>-</v>
      </c>
      <c r="G14962" t="str">
        <v>-</v>
      </c>
    </row>
    <row r="14963">
      <c r="A14963">
        <v>14962</v>
      </c>
      <c r="B14963" t="str">
        <v>UBND Ủy ban nhân dân xã Vạn Ninh  tỉnh Quảng Bình</v>
      </c>
      <c r="C14963" t="str">
        <v>-</v>
      </c>
      <c r="D14963" t="str">
        <v>-</v>
      </c>
      <c r="E14963" t="str">
        <v>-</v>
      </c>
      <c r="F14963" t="str">
        <v>-</v>
      </c>
      <c r="G14963" t="str">
        <v>-</v>
      </c>
    </row>
    <row r="14964">
      <c r="A14964">
        <v>14963</v>
      </c>
      <c r="B14964" t="str">
        <v>Công an xã Hồng Thủy  tỉnh Quảng Bình</v>
      </c>
      <c r="C14964" t="str">
        <v>-</v>
      </c>
      <c r="D14964" t="str">
        <v>-</v>
      </c>
      <c r="E14964" t="str">
        <v/>
      </c>
      <c r="F14964" t="str">
        <v>-</v>
      </c>
      <c r="G14964" t="str">
        <v>-</v>
      </c>
    </row>
    <row r="14965">
      <c r="A14965">
        <v>14964</v>
      </c>
      <c r="B14965" t="str">
        <v>UBND Ủy ban nhân dân xã Hồng Thủy  tỉnh Quảng Bình</v>
      </c>
      <c r="C14965" t="str">
        <v>-</v>
      </c>
      <c r="D14965" t="str">
        <v>-</v>
      </c>
      <c r="E14965" t="str">
        <v>-</v>
      </c>
      <c r="F14965" t="str">
        <v>-</v>
      </c>
      <c r="G14965" t="str">
        <v>-</v>
      </c>
    </row>
    <row r="14966">
      <c r="A14966">
        <v>14965</v>
      </c>
      <c r="B14966" t="str">
        <v>Công an xã Ngư Thủy Bắc  tỉnh Quảng Bình</v>
      </c>
      <c r="C14966" t="str">
        <v>-</v>
      </c>
      <c r="D14966" t="str">
        <v>-</v>
      </c>
      <c r="E14966" t="str">
        <v/>
      </c>
      <c r="F14966" t="str">
        <v>-</v>
      </c>
      <c r="G14966" t="str">
        <v>-</v>
      </c>
    </row>
    <row r="14967">
      <c r="A14967">
        <v>14966</v>
      </c>
      <c r="B14967" t="str">
        <v>UBND Ủy ban nhân dân xã Ngư Thủy Bắc  tỉnh Quảng Bình</v>
      </c>
      <c r="C14967" t="str">
        <v>-</v>
      </c>
      <c r="D14967" t="str">
        <v>-</v>
      </c>
      <c r="E14967" t="str">
        <v>-</v>
      </c>
      <c r="F14967" t="str">
        <v>-</v>
      </c>
      <c r="G14967" t="str">
        <v>-</v>
      </c>
    </row>
    <row r="14968">
      <c r="A14968">
        <v>14967</v>
      </c>
      <c r="B14968" t="str">
        <v>Công an xã Hoa Thủy  tỉnh Quảng Bình</v>
      </c>
      <c r="C14968" t="str">
        <v>-</v>
      </c>
      <c r="D14968" t="str">
        <v>-</v>
      </c>
      <c r="E14968" t="str">
        <v/>
      </c>
      <c r="F14968" t="str">
        <v>-</v>
      </c>
      <c r="G14968" t="str">
        <v>-</v>
      </c>
    </row>
    <row r="14969">
      <c r="A14969">
        <v>14968</v>
      </c>
      <c r="B14969" t="str">
        <v>UBND Ủy ban nhân dân xã Hoa Thủy  tỉnh Quảng Bình</v>
      </c>
      <c r="C14969" t="str">
        <v>-</v>
      </c>
      <c r="D14969" t="str">
        <v>-</v>
      </c>
      <c r="E14969" t="str">
        <v>-</v>
      </c>
      <c r="F14969" t="str">
        <v>-</v>
      </c>
      <c r="G14969" t="str">
        <v>-</v>
      </c>
    </row>
    <row r="14970">
      <c r="A14970">
        <v>14969</v>
      </c>
      <c r="B14970" t="str">
        <v>Công an xã Thanh Thủy  tỉnh Quảng Bình</v>
      </c>
      <c r="C14970" t="str">
        <v>-</v>
      </c>
      <c r="D14970" t="str">
        <v>-</v>
      </c>
      <c r="E14970" t="str">
        <v/>
      </c>
      <c r="F14970" t="str">
        <v>-</v>
      </c>
      <c r="G14970" t="str">
        <v>-</v>
      </c>
    </row>
    <row r="14971">
      <c r="A14971">
        <v>14970</v>
      </c>
      <c r="B14971" t="str">
        <v>UBND Ủy ban nhân dân xã Thanh Thủy  tỉnh Quảng Bình</v>
      </c>
      <c r="C14971" t="str">
        <v>-</v>
      </c>
      <c r="D14971" t="str">
        <v>-</v>
      </c>
      <c r="E14971" t="str">
        <v>-</v>
      </c>
      <c r="F14971" t="str">
        <v>-</v>
      </c>
      <c r="G14971" t="str">
        <v>-</v>
      </c>
    </row>
    <row r="14972">
      <c r="A14972">
        <v>14971</v>
      </c>
      <c r="B14972" t="str">
        <v>Công an xã An Thủy  tỉnh Quảng Bình</v>
      </c>
      <c r="C14972" t="str">
        <v>-</v>
      </c>
      <c r="D14972" t="str">
        <v>-</v>
      </c>
      <c r="E14972" t="str">
        <v/>
      </c>
      <c r="F14972" t="str">
        <v>-</v>
      </c>
      <c r="G14972" t="str">
        <v>-</v>
      </c>
    </row>
    <row r="14973">
      <c r="A14973">
        <v>14972</v>
      </c>
      <c r="B14973" t="str">
        <v>UBND Ủy ban nhân dân xã An Thủy  tỉnh Quảng Bình</v>
      </c>
      <c r="C14973" t="str">
        <v>-</v>
      </c>
      <c r="D14973" t="str">
        <v>-</v>
      </c>
      <c r="E14973" t="str">
        <v>-</v>
      </c>
      <c r="F14973" t="str">
        <v>-</v>
      </c>
      <c r="G14973" t="str">
        <v>-</v>
      </c>
    </row>
    <row r="14974">
      <c r="A14974">
        <v>14973</v>
      </c>
      <c r="B14974" t="str">
        <v>Công an xã Phong Thủy  tỉnh Quảng Bình</v>
      </c>
      <c r="C14974" t="str">
        <v>-</v>
      </c>
      <c r="D14974" t="str">
        <v>-</v>
      </c>
      <c r="E14974" t="str">
        <v/>
      </c>
      <c r="F14974" t="str">
        <v>-</v>
      </c>
      <c r="G14974" t="str">
        <v>-</v>
      </c>
    </row>
    <row r="14975">
      <c r="A14975">
        <v>14974</v>
      </c>
      <c r="B14975" t="str">
        <v>UBND Ủy ban nhân dân xã Phong Thủy  tỉnh Quảng Bình</v>
      </c>
      <c r="C14975" t="str">
        <v>-</v>
      </c>
      <c r="D14975" t="str">
        <v>-</v>
      </c>
      <c r="E14975" t="str">
        <v>-</v>
      </c>
      <c r="F14975" t="str">
        <v>-</v>
      </c>
      <c r="G14975" t="str">
        <v>-</v>
      </c>
    </row>
    <row r="14976">
      <c r="A14976">
        <v>14975</v>
      </c>
      <c r="B14976" t="str">
        <v>Công an xã Cam Thủy  tỉnh Quảng Bình</v>
      </c>
      <c r="C14976" t="str">
        <v>-</v>
      </c>
      <c r="D14976" t="str">
        <v>-</v>
      </c>
      <c r="E14976" t="str">
        <v/>
      </c>
      <c r="F14976" t="str">
        <v>-</v>
      </c>
      <c r="G14976" t="str">
        <v>-</v>
      </c>
    </row>
    <row r="14977">
      <c r="A14977">
        <v>14976</v>
      </c>
      <c r="B14977" t="str">
        <v>UBND Ủy ban nhân dân xã Cam Thủy  tỉnh Quảng Bình</v>
      </c>
      <c r="C14977" t="str">
        <v>-</v>
      </c>
      <c r="D14977" t="str">
        <v>-</v>
      </c>
      <c r="E14977" t="str">
        <v>-</v>
      </c>
      <c r="F14977" t="str">
        <v>-</v>
      </c>
      <c r="G14977" t="str">
        <v>-</v>
      </c>
    </row>
    <row r="14978">
      <c r="A14978">
        <v>14977</v>
      </c>
      <c r="B14978" t="str">
        <v>Công an xã Ngân Thủy  tỉnh Quảng Bình</v>
      </c>
      <c r="C14978" t="str">
        <v>-</v>
      </c>
      <c r="D14978" t="str">
        <v>-</v>
      </c>
      <c r="E14978" t="str">
        <v/>
      </c>
      <c r="F14978" t="str">
        <v>-</v>
      </c>
      <c r="G14978" t="str">
        <v>-</v>
      </c>
    </row>
    <row r="14979">
      <c r="A14979">
        <v>14978</v>
      </c>
      <c r="B14979" t="str">
        <v>UBND Ủy ban nhân dân xã Ngân Thủy  tỉnh Quảng Bình</v>
      </c>
      <c r="C14979" t="str">
        <v>-</v>
      </c>
      <c r="D14979" t="str">
        <v>-</v>
      </c>
      <c r="E14979" t="str">
        <v>-</v>
      </c>
      <c r="F14979" t="str">
        <v>-</v>
      </c>
      <c r="G14979" t="str">
        <v>-</v>
      </c>
    </row>
    <row r="14980">
      <c r="A14980">
        <v>14979</v>
      </c>
      <c r="B14980" t="str">
        <v>Công an xã Sơn Thủy  tỉnh Quảng Bình</v>
      </c>
      <c r="C14980" t="str">
        <v>-</v>
      </c>
      <c r="D14980" t="str">
        <v>-</v>
      </c>
      <c r="E14980" t="str">
        <v/>
      </c>
      <c r="F14980" t="str">
        <v>-</v>
      </c>
      <c r="G14980" t="str">
        <v>-</v>
      </c>
    </row>
    <row r="14981">
      <c r="A14981">
        <v>14980</v>
      </c>
      <c r="B14981" t="str">
        <v>UBND Ủy ban nhân dân xã Sơn Thủy  tỉnh Quảng Bình</v>
      </c>
      <c r="C14981" t="str">
        <v>-</v>
      </c>
      <c r="D14981" t="str">
        <v>-</v>
      </c>
      <c r="E14981" t="str">
        <v>-</v>
      </c>
      <c r="F14981" t="str">
        <v>-</v>
      </c>
      <c r="G14981" t="str">
        <v>-</v>
      </c>
    </row>
    <row r="14982">
      <c r="A14982">
        <v>14981</v>
      </c>
      <c r="B14982" t="str">
        <v>Công an xã Lộc Thủy  tỉnh Quảng Bình</v>
      </c>
      <c r="C14982" t="str">
        <v>-</v>
      </c>
      <c r="D14982" t="str">
        <v>-</v>
      </c>
      <c r="E14982" t="str">
        <v/>
      </c>
      <c r="F14982" t="str">
        <v>-</v>
      </c>
      <c r="G14982" t="str">
        <v>-</v>
      </c>
    </row>
    <row r="14983">
      <c r="A14983">
        <v>14982</v>
      </c>
      <c r="B14983" t="str">
        <v>UBND Ủy ban nhân dân xã Lộc Thủy  tỉnh Quảng Bình</v>
      </c>
      <c r="C14983" t="str">
        <v>-</v>
      </c>
      <c r="D14983" t="str">
        <v>-</v>
      </c>
      <c r="E14983" t="str">
        <v>-</v>
      </c>
      <c r="F14983" t="str">
        <v>-</v>
      </c>
      <c r="G14983" t="str">
        <v>-</v>
      </c>
    </row>
    <row r="14984">
      <c r="A14984">
        <v>14983</v>
      </c>
      <c r="B14984" t="str">
        <v>Công an xã Ngư Thủy Trung  tỉnh Quảng Bình</v>
      </c>
      <c r="C14984" t="str">
        <v>-</v>
      </c>
      <c r="D14984" t="str">
        <v>-</v>
      </c>
      <c r="E14984" t="str">
        <v/>
      </c>
      <c r="F14984" t="str">
        <v>-</v>
      </c>
      <c r="G14984" t="str">
        <v>-</v>
      </c>
    </row>
    <row r="14985">
      <c r="A14985">
        <v>14984</v>
      </c>
      <c r="B14985" t="str">
        <v>UBND Ủy ban nhân dân xã Ngư Thủy Trung  tỉnh Quảng Bình</v>
      </c>
      <c r="C14985" t="str">
        <v>-</v>
      </c>
      <c r="D14985" t="str">
        <v>-</v>
      </c>
      <c r="E14985" t="str">
        <v>-</v>
      </c>
      <c r="F14985" t="str">
        <v>-</v>
      </c>
      <c r="G14985" t="str">
        <v>-</v>
      </c>
    </row>
    <row r="14986">
      <c r="A14986">
        <v>14985</v>
      </c>
      <c r="B14986" t="str">
        <v>Công an xã Liên Thủy  tỉnh Quảng Bình</v>
      </c>
      <c r="C14986" t="str">
        <v>-</v>
      </c>
      <c r="D14986" t="str">
        <v>-</v>
      </c>
      <c r="E14986" t="str">
        <v/>
      </c>
      <c r="F14986" t="str">
        <v>-</v>
      </c>
      <c r="G14986" t="str">
        <v>-</v>
      </c>
    </row>
    <row r="14987">
      <c r="A14987">
        <v>14986</v>
      </c>
      <c r="B14987" t="str">
        <v>UBND Ủy ban nhân dân xã Liên Thủy  tỉnh Quảng Bình</v>
      </c>
      <c r="C14987" t="str">
        <v>-</v>
      </c>
      <c r="D14987" t="str">
        <v>-</v>
      </c>
      <c r="E14987" t="str">
        <v>-</v>
      </c>
      <c r="F14987" t="str">
        <v>-</v>
      </c>
      <c r="G14987" t="str">
        <v>-</v>
      </c>
    </row>
    <row r="14988">
      <c r="A14988">
        <v>14987</v>
      </c>
      <c r="B14988" t="str">
        <v>Công an xã Hưng Thủy  tỉnh Quảng Bình</v>
      </c>
      <c r="C14988" t="str">
        <v>-</v>
      </c>
      <c r="D14988" t="str">
        <v>-</v>
      </c>
      <c r="E14988" t="str">
        <v/>
      </c>
      <c r="F14988" t="str">
        <v>-</v>
      </c>
      <c r="G14988" t="str">
        <v>-</v>
      </c>
    </row>
    <row r="14989">
      <c r="A14989">
        <v>14988</v>
      </c>
      <c r="B14989" t="str">
        <v>UBND Ủy ban nhân dân xã Hưng Thủy  tỉnh Quảng Bình</v>
      </c>
      <c r="C14989" t="str">
        <v>-</v>
      </c>
      <c r="D14989" t="str">
        <v>-</v>
      </c>
      <c r="E14989" t="str">
        <v>-</v>
      </c>
      <c r="F14989" t="str">
        <v>-</v>
      </c>
      <c r="G14989" t="str">
        <v>-</v>
      </c>
    </row>
    <row r="14990">
      <c r="A14990">
        <v>14989</v>
      </c>
      <c r="B14990" t="str">
        <v>Công an xã Dương Thủy  tỉnh Quảng Bình</v>
      </c>
      <c r="C14990" t="str">
        <v>-</v>
      </c>
      <c r="D14990" t="str">
        <v>-</v>
      </c>
      <c r="E14990" t="str">
        <v/>
      </c>
      <c r="F14990" t="str">
        <v>-</v>
      </c>
      <c r="G14990" t="str">
        <v>-</v>
      </c>
    </row>
    <row r="14991">
      <c r="A14991">
        <v>14990</v>
      </c>
      <c r="B14991" t="str">
        <v>UBND Ủy ban nhân dân xã Dương Thủy  tỉnh Quảng Bình</v>
      </c>
      <c r="C14991" t="str">
        <v>-</v>
      </c>
      <c r="D14991" t="str">
        <v>-</v>
      </c>
      <c r="E14991" t="str">
        <v>-</v>
      </c>
      <c r="F14991" t="str">
        <v>-</v>
      </c>
      <c r="G14991" t="str">
        <v>-</v>
      </c>
    </row>
    <row r="14992">
      <c r="A14992">
        <v>14991</v>
      </c>
      <c r="B14992" t="str">
        <v>Công an xã Tân Thủy  tỉnh Quảng Bình</v>
      </c>
      <c r="C14992" t="str">
        <v>-</v>
      </c>
      <c r="D14992" t="str">
        <v>-</v>
      </c>
      <c r="E14992" t="str">
        <v/>
      </c>
      <c r="F14992" t="str">
        <v>-</v>
      </c>
      <c r="G14992" t="str">
        <v>-</v>
      </c>
    </row>
    <row r="14993">
      <c r="A14993">
        <v>14992</v>
      </c>
      <c r="B14993" t="str">
        <v>UBND Ủy ban nhân dân xã Tân Thủy  tỉnh Quảng Bình</v>
      </c>
      <c r="C14993" t="str">
        <v>-</v>
      </c>
      <c r="D14993" t="str">
        <v>-</v>
      </c>
      <c r="E14993" t="str">
        <v>-</v>
      </c>
      <c r="F14993" t="str">
        <v>-</v>
      </c>
      <c r="G14993" t="str">
        <v>-</v>
      </c>
    </row>
    <row r="14994">
      <c r="A14994">
        <v>14993</v>
      </c>
      <c r="B14994" t="str">
        <v>Công an xã Phú Thủy  tỉnh Quảng Bình</v>
      </c>
      <c r="C14994" t="str">
        <v>-</v>
      </c>
      <c r="D14994" t="str">
        <v>-</v>
      </c>
      <c r="E14994" t="str">
        <v/>
      </c>
      <c r="F14994" t="str">
        <v>-</v>
      </c>
      <c r="G14994" t="str">
        <v>-</v>
      </c>
    </row>
    <row r="14995">
      <c r="A14995">
        <v>14994</v>
      </c>
      <c r="B14995" t="str">
        <v>UBND Ủy ban nhân dân xã Phú Thủy  tỉnh Quảng Bình</v>
      </c>
      <c r="C14995" t="str">
        <v>-</v>
      </c>
      <c r="D14995" t="str">
        <v>-</v>
      </c>
      <c r="E14995" t="str">
        <v>-</v>
      </c>
      <c r="F14995" t="str">
        <v>-</v>
      </c>
      <c r="G14995" t="str">
        <v>-</v>
      </c>
    </row>
    <row r="14996">
      <c r="A14996">
        <v>14995</v>
      </c>
      <c r="B14996" t="str">
        <v>Công an xã Xuân Thủy  tỉnh Quảng Bình</v>
      </c>
      <c r="C14996" t="str">
        <v>-</v>
      </c>
      <c r="D14996" t="str">
        <v>-</v>
      </c>
      <c r="E14996" t="str">
        <v/>
      </c>
      <c r="F14996" t="str">
        <v>-</v>
      </c>
      <c r="G14996" t="str">
        <v>-</v>
      </c>
    </row>
    <row r="14997">
      <c r="A14997">
        <v>14996</v>
      </c>
      <c r="B14997" t="str">
        <v>UBND Ủy ban nhân dân xã Xuân Thủy  tỉnh Quảng Bình</v>
      </c>
      <c r="C14997" t="str">
        <v>-</v>
      </c>
      <c r="D14997" t="str">
        <v>-</v>
      </c>
      <c r="E14997" t="str">
        <v>-</v>
      </c>
      <c r="F14997" t="str">
        <v>-</v>
      </c>
      <c r="G14997" t="str">
        <v>-</v>
      </c>
    </row>
    <row r="14998">
      <c r="A14998">
        <v>14997</v>
      </c>
      <c r="B14998" t="str">
        <v>Công an xã Mỹ Thủy  tỉnh Quảng Bình</v>
      </c>
      <c r="C14998" t="str">
        <v>-</v>
      </c>
      <c r="D14998" t="str">
        <v>-</v>
      </c>
      <c r="E14998" t="str">
        <v/>
      </c>
      <c r="F14998" t="str">
        <v>-</v>
      </c>
      <c r="G14998" t="str">
        <v>-</v>
      </c>
    </row>
    <row r="14999">
      <c r="A14999">
        <v>14998</v>
      </c>
      <c r="B14999" t="str">
        <v>UBND Ủy ban nhân dân xã Mỹ Thủy  tỉnh Quảng Bình</v>
      </c>
      <c r="C14999" t="str">
        <v>-</v>
      </c>
      <c r="D14999" t="str">
        <v>-</v>
      </c>
      <c r="E14999" t="str">
        <v>-</v>
      </c>
      <c r="F14999" t="str">
        <v>-</v>
      </c>
      <c r="G14999" t="str">
        <v>-</v>
      </c>
    </row>
    <row r="15000">
      <c r="A15000">
        <v>14999</v>
      </c>
      <c r="B15000" t="str">
        <v>Công an xã Ngư Thủy Nam  tỉnh Quảng Bình</v>
      </c>
      <c r="C15000" t="str">
        <v>-</v>
      </c>
      <c r="D15000" t="str">
        <v>-</v>
      </c>
      <c r="E15000" t="str">
        <v/>
      </c>
      <c r="F15000" t="str">
        <v>-</v>
      </c>
      <c r="G15000" t="str">
        <v>-</v>
      </c>
    </row>
    <row r="15001">
      <c r="A15001">
        <v>15000</v>
      </c>
      <c r="B15001" t="str">
        <v>UBND Ủy ban nhân dân xã Ngư Thủy Nam  tỉnh Quảng Bình</v>
      </c>
      <c r="C15001" t="str">
        <v>-</v>
      </c>
      <c r="D15001" t="str">
        <v>-</v>
      </c>
      <c r="E15001" t="str">
        <v>-</v>
      </c>
      <c r="F15001" t="str">
        <v>-</v>
      </c>
      <c r="G15001" t="str">
        <v>-</v>
      </c>
    </row>
    <row r="15002">
      <c r="A15002">
        <v>15001</v>
      </c>
      <c r="B15002" t="str">
        <v>Công an xã Mai Thủy  tỉnh Quảng Bình</v>
      </c>
      <c r="C15002" t="str">
        <v>-</v>
      </c>
      <c r="D15002" t="str">
        <v>-</v>
      </c>
      <c r="E15002" t="str">
        <v/>
      </c>
      <c r="F15002" t="str">
        <v>-</v>
      </c>
      <c r="G15002" t="str">
        <v>-</v>
      </c>
    </row>
    <row r="15003">
      <c r="A15003">
        <v>15002</v>
      </c>
      <c r="B15003" t="str">
        <v>UBND Ủy ban nhân dân xã Mai Thủy  tỉnh Quảng Bình</v>
      </c>
      <c r="C15003" t="str">
        <v>-</v>
      </c>
      <c r="D15003" t="str">
        <v>-</v>
      </c>
      <c r="E15003" t="str">
        <v>-</v>
      </c>
      <c r="F15003" t="str">
        <v>-</v>
      </c>
      <c r="G15003" t="str">
        <v>-</v>
      </c>
    </row>
    <row r="15004">
      <c r="A15004">
        <v>15003</v>
      </c>
      <c r="B15004" t="str">
        <v>Công an xã Sen Thủy  tỉnh Quảng Bình</v>
      </c>
      <c r="C15004" t="str">
        <v>-</v>
      </c>
      <c r="D15004" t="str">
        <v>-</v>
      </c>
      <c r="E15004" t="str">
        <v/>
      </c>
      <c r="F15004" t="str">
        <v>-</v>
      </c>
      <c r="G15004" t="str">
        <v>-</v>
      </c>
    </row>
    <row r="15005">
      <c r="A15005">
        <v>15004</v>
      </c>
      <c r="B15005" t="str">
        <v>UBND Ủy ban nhân dân xã Sen Thủy  tỉnh Quảng Bình</v>
      </c>
      <c r="C15005" t="str">
        <v>-</v>
      </c>
      <c r="D15005" t="str">
        <v>-</v>
      </c>
      <c r="E15005" t="str">
        <v>-</v>
      </c>
      <c r="F15005" t="str">
        <v>-</v>
      </c>
      <c r="G15005" t="str">
        <v>-</v>
      </c>
    </row>
    <row r="15006">
      <c r="A15006">
        <v>15005</v>
      </c>
      <c r="B15006" t="str">
        <v>Công an xã Thái Thủy  tỉnh Quảng Bình</v>
      </c>
      <c r="C15006" t="str">
        <v>-</v>
      </c>
      <c r="D15006" t="str">
        <v>-</v>
      </c>
      <c r="E15006" t="str">
        <v/>
      </c>
      <c r="F15006" t="str">
        <v>-</v>
      </c>
      <c r="G15006" t="str">
        <v>-</v>
      </c>
    </row>
    <row r="15007">
      <c r="A15007">
        <v>15006</v>
      </c>
      <c r="B15007" t="str">
        <v>UBND Ủy ban nhân dân xã Thái Thủy  tỉnh Quảng Bình</v>
      </c>
      <c r="C15007" t="str">
        <v>-</v>
      </c>
      <c r="D15007" t="str">
        <v>-</v>
      </c>
      <c r="E15007" t="str">
        <v>-</v>
      </c>
      <c r="F15007" t="str">
        <v>-</v>
      </c>
      <c r="G15007" t="str">
        <v>-</v>
      </c>
    </row>
    <row r="15008">
      <c r="A15008">
        <v>15007</v>
      </c>
      <c r="B15008" t="str">
        <v>Công an xã Kim Thủy  tỉnh Quảng Bình</v>
      </c>
      <c r="C15008" t="str">
        <v>-</v>
      </c>
      <c r="D15008" t="str">
        <v>-</v>
      </c>
      <c r="E15008" t="str">
        <v/>
      </c>
      <c r="F15008" t="str">
        <v>-</v>
      </c>
      <c r="G15008" t="str">
        <v>-</v>
      </c>
    </row>
    <row r="15009">
      <c r="A15009">
        <v>15008</v>
      </c>
      <c r="B15009" t="str">
        <v>UBND Ủy ban nhân dân xã Kim Thủy  tỉnh Quảng Bình</v>
      </c>
      <c r="C15009" t="str">
        <v>-</v>
      </c>
      <c r="D15009" t="str">
        <v>-</v>
      </c>
      <c r="E15009" t="str">
        <v>-</v>
      </c>
      <c r="F15009" t="str">
        <v>-</v>
      </c>
      <c r="G15009" t="str">
        <v>-</v>
      </c>
    </row>
    <row r="15010">
      <c r="A15010">
        <v>15009</v>
      </c>
      <c r="B15010" t="str">
        <v>Công an xã Trường Thủy  tỉnh Quảng Bình</v>
      </c>
      <c r="C15010" t="str">
        <v>-</v>
      </c>
      <c r="D15010" t="str">
        <v>-</v>
      </c>
      <c r="E15010" t="str">
        <v/>
      </c>
      <c r="F15010" t="str">
        <v>-</v>
      </c>
      <c r="G15010" t="str">
        <v>-</v>
      </c>
    </row>
    <row r="15011">
      <c r="A15011">
        <v>15010</v>
      </c>
      <c r="B15011" t="str">
        <v>UBND Ủy ban nhân dân xã Trường Thủy  tỉnh Quảng Bình</v>
      </c>
      <c r="C15011" t="str">
        <v>-</v>
      </c>
      <c r="D15011" t="str">
        <v>-</v>
      </c>
      <c r="E15011" t="str">
        <v>-</v>
      </c>
      <c r="F15011" t="str">
        <v>-</v>
      </c>
      <c r="G15011" t="str">
        <v>-</v>
      </c>
    </row>
    <row r="15012">
      <c r="A15012">
        <v>15011</v>
      </c>
      <c r="B15012" t="str">
        <v>Công an xã Văn Thủy  tỉnh Quảng Bình</v>
      </c>
      <c r="C15012" t="str">
        <v>-</v>
      </c>
      <c r="D15012" t="str">
        <v>-</v>
      </c>
      <c r="E15012" t="str">
        <v/>
      </c>
      <c r="F15012" t="str">
        <v>-</v>
      </c>
      <c r="G15012" t="str">
        <v>-</v>
      </c>
    </row>
    <row r="15013">
      <c r="A15013">
        <v>15012</v>
      </c>
      <c r="B15013" t="str">
        <v>UBND Ủy ban nhân dân xã Văn Thủy  tỉnh Quảng Bình</v>
      </c>
      <c r="C15013" t="str">
        <v>-</v>
      </c>
      <c r="D15013" t="str">
        <v>-</v>
      </c>
      <c r="E15013" t="str">
        <v>-</v>
      </c>
      <c r="F15013" t="str">
        <v>-</v>
      </c>
      <c r="G15013" t="str">
        <v>-</v>
      </c>
    </row>
    <row r="15014">
      <c r="A15014">
        <v>15013</v>
      </c>
      <c r="B15014" t="str">
        <v>Công an xã Lâm Thủy  tỉnh Quảng Bình</v>
      </c>
      <c r="C15014" t="str">
        <v>-</v>
      </c>
      <c r="D15014" t="str">
        <v>-</v>
      </c>
      <c r="E15014" t="str">
        <v/>
      </c>
      <c r="F15014" t="str">
        <v>-</v>
      </c>
      <c r="G15014" t="str">
        <v>-</v>
      </c>
    </row>
    <row r="15015">
      <c r="A15015">
        <v>15014</v>
      </c>
      <c r="B15015" t="str">
        <v>UBND Ủy ban nhân dân xã Lâm Thủy  tỉnh Quảng Bình</v>
      </c>
      <c r="C15015" t="str">
        <v>-</v>
      </c>
      <c r="D15015" t="str">
        <v>-</v>
      </c>
      <c r="E15015" t="str">
        <v>-</v>
      </c>
      <c r="F15015" t="str">
        <v>-</v>
      </c>
      <c r="G15015" t="str">
        <v>-</v>
      </c>
    </row>
    <row r="15016">
      <c r="A15016">
        <v>15015</v>
      </c>
      <c r="B15016" t="str">
        <v>Công an phường Ba Đồn  tỉnh Quảng Bình</v>
      </c>
      <c r="C15016" t="str">
        <v>-</v>
      </c>
      <c r="D15016" t="str">
        <v>-</v>
      </c>
      <c r="E15016" t="str">
        <v/>
      </c>
      <c r="F15016" t="str">
        <v>-</v>
      </c>
      <c r="G15016" t="str">
        <v>-</v>
      </c>
    </row>
    <row r="15017">
      <c r="A15017">
        <v>15016</v>
      </c>
      <c r="B15017" t="str">
        <v>UBND Ủy ban nhân dân phường Ba Đồn  tỉnh Quảng Bình</v>
      </c>
      <c r="C15017" t="str">
        <v>-</v>
      </c>
      <c r="D15017" t="str">
        <v>-</v>
      </c>
      <c r="E15017" t="str">
        <v>-</v>
      </c>
      <c r="F15017" t="str">
        <v>-</v>
      </c>
      <c r="G15017" t="str">
        <v>-</v>
      </c>
    </row>
    <row r="15018">
      <c r="A15018">
        <v>15017</v>
      </c>
      <c r="B15018" t="str">
        <v>Công an phường Quảng Thọ  tỉnh Quảng Bình</v>
      </c>
      <c r="C15018" t="str">
        <v>-</v>
      </c>
      <c r="D15018" t="str">
        <v>-</v>
      </c>
      <c r="E15018" t="str">
        <v/>
      </c>
      <c r="F15018" t="str">
        <v>-</v>
      </c>
      <c r="G15018" t="str">
        <v>-</v>
      </c>
    </row>
    <row r="15019">
      <c r="A15019">
        <v>15018</v>
      </c>
      <c r="B15019" t="str">
        <v>UBND Ủy ban nhân dân phường Quảng Thọ  tỉnh Quảng Bình</v>
      </c>
      <c r="C15019" t="str">
        <v>-</v>
      </c>
      <c r="D15019" t="str">
        <v>-</v>
      </c>
      <c r="E15019" t="str">
        <v>-</v>
      </c>
      <c r="F15019" t="str">
        <v>-</v>
      </c>
      <c r="G15019" t="str">
        <v>-</v>
      </c>
    </row>
    <row r="15020">
      <c r="A15020">
        <v>15019</v>
      </c>
      <c r="B15020" t="str">
        <v>Công an xã Quảng Tiên  tỉnh Quảng Bình</v>
      </c>
      <c r="C15020" t="str">
        <v>-</v>
      </c>
      <c r="D15020" t="str">
        <v>-</v>
      </c>
      <c r="E15020" t="str">
        <v/>
      </c>
      <c r="F15020" t="str">
        <v>-</v>
      </c>
      <c r="G15020" t="str">
        <v>-</v>
      </c>
    </row>
    <row r="15021">
      <c r="A15021">
        <v>15020</v>
      </c>
      <c r="B15021" t="str">
        <v>UBND Ủy ban nhân dân xã Quảng Tiên  tỉnh Quảng Bình</v>
      </c>
      <c r="C15021" t="str">
        <v>-</v>
      </c>
      <c r="D15021" t="str">
        <v>-</v>
      </c>
      <c r="E15021" t="str">
        <v>-</v>
      </c>
      <c r="F15021" t="str">
        <v>-</v>
      </c>
      <c r="G15021" t="str">
        <v>-</v>
      </c>
    </row>
    <row r="15022">
      <c r="A15022">
        <v>15021</v>
      </c>
      <c r="B15022" t="str">
        <v>Công an xã Quảng Trung  tỉnh Quảng Bình</v>
      </c>
      <c r="C15022" t="str">
        <v>-</v>
      </c>
      <c r="D15022" t="str">
        <v>-</v>
      </c>
      <c r="E15022" t="str">
        <v/>
      </c>
      <c r="F15022" t="str">
        <v>-</v>
      </c>
      <c r="G15022" t="str">
        <v>-</v>
      </c>
    </row>
    <row r="15023">
      <c r="A15023">
        <v>15022</v>
      </c>
      <c r="B15023" t="str">
        <v>UBND Ủy ban nhân dân xã Quảng Trung  tỉnh Quảng Bình</v>
      </c>
      <c r="C15023" t="str">
        <v>-</v>
      </c>
      <c r="D15023" t="str">
        <v>-</v>
      </c>
      <c r="E15023" t="str">
        <v>-</v>
      </c>
      <c r="F15023" t="str">
        <v>-</v>
      </c>
      <c r="G15023" t="str">
        <v>-</v>
      </c>
    </row>
    <row r="15024">
      <c r="A15024">
        <v>15023</v>
      </c>
      <c r="B15024" t="str">
        <v>Công an phường Quảng Phong  tỉnh Quảng Bình</v>
      </c>
      <c r="C15024" t="str">
        <v>-</v>
      </c>
      <c r="D15024" t="str">
        <v>-</v>
      </c>
      <c r="E15024" t="str">
        <v/>
      </c>
      <c r="F15024" t="str">
        <v>-</v>
      </c>
      <c r="G15024" t="str">
        <v>-</v>
      </c>
    </row>
    <row r="15025">
      <c r="A15025">
        <v>15024</v>
      </c>
      <c r="B15025" t="str">
        <v>UBND Ủy ban nhân dân phường Quảng Phong  tỉnh Quảng Bình</v>
      </c>
      <c r="C15025" t="str">
        <v>-</v>
      </c>
      <c r="D15025" t="str">
        <v>-</v>
      </c>
      <c r="E15025" t="str">
        <v>-</v>
      </c>
      <c r="F15025" t="str">
        <v>-</v>
      </c>
      <c r="G15025" t="str">
        <v>-</v>
      </c>
    </row>
    <row r="15026">
      <c r="A15026">
        <v>15025</v>
      </c>
      <c r="B15026" t="str">
        <v>Công an phường Quảng Thuận  tỉnh Quảng Bình</v>
      </c>
      <c r="C15026" t="str">
        <v>-</v>
      </c>
      <c r="D15026" t="str">
        <v>-</v>
      </c>
      <c r="E15026" t="str">
        <v/>
      </c>
      <c r="F15026" t="str">
        <v>-</v>
      </c>
      <c r="G15026" t="str">
        <v>-</v>
      </c>
    </row>
    <row r="15027">
      <c r="A15027">
        <v>15026</v>
      </c>
      <c r="B15027" t="str">
        <v>UBND Ủy ban nhân dân phường Quảng Thuận  tỉnh Quảng Bình</v>
      </c>
      <c r="C15027" t="str">
        <v>-</v>
      </c>
      <c r="D15027" t="str">
        <v>-</v>
      </c>
      <c r="E15027" t="str">
        <v>-</v>
      </c>
      <c r="F15027" t="str">
        <v>-</v>
      </c>
      <c r="G15027" t="str">
        <v>-</v>
      </c>
    </row>
    <row r="15028">
      <c r="A15028">
        <v>15027</v>
      </c>
      <c r="B15028" t="str">
        <v>Công an xã Quảng Tân  tỉnh Quảng Bình</v>
      </c>
      <c r="C15028" t="str">
        <v>-</v>
      </c>
      <c r="D15028" t="str">
        <v>-</v>
      </c>
      <c r="E15028" t="str">
        <v/>
      </c>
      <c r="F15028" t="str">
        <v>-</v>
      </c>
      <c r="G15028" t="str">
        <v>-</v>
      </c>
    </row>
    <row r="15029">
      <c r="A15029">
        <v>15028</v>
      </c>
      <c r="B15029" t="str">
        <v>UBND Ủy ban nhân dân xã Quảng Tân  tỉnh Quảng Bình</v>
      </c>
      <c r="C15029" t="str">
        <v>-</v>
      </c>
      <c r="D15029" t="str">
        <v>-</v>
      </c>
      <c r="E15029" t="str">
        <v>-</v>
      </c>
      <c r="F15029" t="str">
        <v>-</v>
      </c>
      <c r="G15029" t="str">
        <v>-</v>
      </c>
    </row>
    <row r="15030">
      <c r="A15030">
        <v>15029</v>
      </c>
      <c r="B15030" t="str">
        <v>Công an xã Quảng Hải  tỉnh Quảng Bình</v>
      </c>
      <c r="C15030" t="str">
        <v>-</v>
      </c>
      <c r="D15030" t="str">
        <v>-</v>
      </c>
      <c r="E15030" t="str">
        <v/>
      </c>
      <c r="F15030" t="str">
        <v>-</v>
      </c>
      <c r="G15030" t="str">
        <v>-</v>
      </c>
    </row>
    <row r="15031">
      <c r="A15031">
        <v>15030</v>
      </c>
      <c r="B15031" t="str">
        <v>UBND Ủy ban nhân dân xã Quảng Hải  tỉnh Quảng Bình</v>
      </c>
      <c r="C15031" t="str">
        <v>-</v>
      </c>
      <c r="D15031" t="str">
        <v>-</v>
      </c>
      <c r="E15031" t="str">
        <v>-</v>
      </c>
      <c r="F15031" t="str">
        <v>-</v>
      </c>
      <c r="G15031" t="str">
        <v>-</v>
      </c>
    </row>
    <row r="15032">
      <c r="A15032">
        <v>15031</v>
      </c>
      <c r="B15032" t="str">
        <v>Công an xã Quảng Sơn  tỉnh Quảng Bình</v>
      </c>
      <c r="C15032" t="str">
        <v>-</v>
      </c>
      <c r="D15032" t="str">
        <v>-</v>
      </c>
      <c r="E15032" t="str">
        <v/>
      </c>
      <c r="F15032" t="str">
        <v>-</v>
      </c>
      <c r="G15032" t="str">
        <v>-</v>
      </c>
    </row>
    <row r="15033">
      <c r="A15033">
        <v>15032</v>
      </c>
      <c r="B15033" t="str">
        <v>UBND Ủy ban nhân dân xã Quảng Sơn  tỉnh Quảng Bình</v>
      </c>
      <c r="C15033" t="str">
        <v>-</v>
      </c>
      <c r="D15033" t="str">
        <v>-</v>
      </c>
      <c r="E15033" t="str">
        <v>-</v>
      </c>
      <c r="F15033" t="str">
        <v>-</v>
      </c>
      <c r="G15033" t="str">
        <v>-</v>
      </c>
    </row>
    <row r="15034">
      <c r="A15034">
        <v>15033</v>
      </c>
      <c r="B15034" t="str">
        <v>Công an xã Quảng Lộc  tỉnh Quảng Bình</v>
      </c>
      <c r="C15034" t="str">
        <v>-</v>
      </c>
      <c r="D15034" t="str">
        <v>-</v>
      </c>
      <c r="E15034" t="str">
        <v/>
      </c>
      <c r="F15034" t="str">
        <v>-</v>
      </c>
      <c r="G15034" t="str">
        <v>-</v>
      </c>
    </row>
    <row r="15035">
      <c r="A15035">
        <v>15034</v>
      </c>
      <c r="B15035" t="str">
        <v>UBND Ủy ban nhân dân xã Quảng Lộc  tỉnh Quảng Bình</v>
      </c>
      <c r="C15035" t="str">
        <v>-</v>
      </c>
      <c r="D15035" t="str">
        <v>-</v>
      </c>
      <c r="E15035" t="str">
        <v>-</v>
      </c>
      <c r="F15035" t="str">
        <v>-</v>
      </c>
      <c r="G15035" t="str">
        <v>-</v>
      </c>
    </row>
    <row r="15036">
      <c r="A15036">
        <v>15035</v>
      </c>
      <c r="B15036" t="str">
        <v>Công an xã Quảng Thủy  tỉnh Quảng Bình</v>
      </c>
      <c r="C15036" t="str">
        <v>-</v>
      </c>
      <c r="D15036" t="str">
        <v>-</v>
      </c>
      <c r="E15036" t="str">
        <v/>
      </c>
      <c r="F15036" t="str">
        <v>-</v>
      </c>
      <c r="G15036" t="str">
        <v>-</v>
      </c>
    </row>
    <row r="15037">
      <c r="A15037">
        <v>15036</v>
      </c>
      <c r="B15037" t="str">
        <v>UBND Ủy ban nhân dân xã Quảng Thủy  tỉnh Quảng Bình</v>
      </c>
      <c r="C15037" t="str">
        <v>-</v>
      </c>
      <c r="D15037" t="str">
        <v>-</v>
      </c>
      <c r="E15037" t="str">
        <v>-</v>
      </c>
      <c r="F15037" t="str">
        <v>-</v>
      </c>
      <c r="G15037" t="str">
        <v>-</v>
      </c>
    </row>
    <row r="15038">
      <c r="A15038">
        <v>15037</v>
      </c>
      <c r="B15038" t="str">
        <v>Công an xã Quảng Văn  tỉnh Quảng Bình</v>
      </c>
      <c r="C15038" t="str">
        <v>-</v>
      </c>
      <c r="D15038" t="str">
        <v>-</v>
      </c>
      <c r="E15038" t="str">
        <v/>
      </c>
      <c r="F15038" t="str">
        <v>-</v>
      </c>
      <c r="G15038" t="str">
        <v>-</v>
      </c>
    </row>
    <row r="15039">
      <c r="A15039">
        <v>15038</v>
      </c>
      <c r="B15039" t="str">
        <v>UBND Ủy ban nhân dân xã Quảng Văn  tỉnh Quảng Bình</v>
      </c>
      <c r="C15039" t="str">
        <v>-</v>
      </c>
      <c r="D15039" t="str">
        <v>-</v>
      </c>
      <c r="E15039" t="str">
        <v>-</v>
      </c>
      <c r="F15039" t="str">
        <v>-</v>
      </c>
      <c r="G15039" t="str">
        <v>-</v>
      </c>
    </row>
    <row r="15040">
      <c r="A15040">
        <v>15039</v>
      </c>
      <c r="B15040" t="str">
        <v>Công an phường Quảng Phúc  tỉnh Quảng Bình</v>
      </c>
      <c r="C15040" t="str">
        <v>-</v>
      </c>
      <c r="D15040" t="str">
        <v>-</v>
      </c>
      <c r="E15040" t="str">
        <v/>
      </c>
      <c r="F15040" t="str">
        <v>-</v>
      </c>
      <c r="G15040" t="str">
        <v>-</v>
      </c>
    </row>
    <row r="15041">
      <c r="A15041">
        <v>15040</v>
      </c>
      <c r="B15041" t="str">
        <v>UBND Ủy ban nhân dân phường Quảng Phúc  tỉnh Quảng Bình</v>
      </c>
      <c r="C15041" t="str">
        <v>-</v>
      </c>
      <c r="D15041" t="str">
        <v>-</v>
      </c>
      <c r="E15041" t="str">
        <v>-</v>
      </c>
      <c r="F15041" t="str">
        <v>-</v>
      </c>
      <c r="G15041" t="str">
        <v>-</v>
      </c>
    </row>
    <row r="15042">
      <c r="A15042">
        <v>15041</v>
      </c>
      <c r="B15042" t="str">
        <v>Công an xã Quảng Hòa  tỉnh Quảng Bình</v>
      </c>
      <c r="C15042" t="str">
        <v>-</v>
      </c>
      <c r="D15042" t="str">
        <v>-</v>
      </c>
      <c r="E15042" t="str">
        <v/>
      </c>
      <c r="F15042" t="str">
        <v>-</v>
      </c>
      <c r="G15042" t="str">
        <v>-</v>
      </c>
    </row>
    <row r="15043">
      <c r="A15043">
        <v>15042</v>
      </c>
      <c r="B15043" t="str">
        <v>UBND Ủy ban nhân dân xã Quảng Hòa  tỉnh Quảng Bình</v>
      </c>
      <c r="C15043" t="str">
        <v>-</v>
      </c>
      <c r="D15043" t="str">
        <v>-</v>
      </c>
      <c r="E15043" t="str">
        <v>-</v>
      </c>
      <c r="F15043" t="str">
        <v>-</v>
      </c>
      <c r="G15043" t="str">
        <v>-</v>
      </c>
    </row>
    <row r="15044">
      <c r="A15044">
        <v>15043</v>
      </c>
      <c r="B15044" t="str">
        <v>Công an xã Quảng Minh  tỉnh Quảng Bình</v>
      </c>
      <c r="C15044" t="str">
        <v>-</v>
      </c>
      <c r="D15044" t="str">
        <v>-</v>
      </c>
      <c r="E15044" t="str">
        <v/>
      </c>
      <c r="F15044" t="str">
        <v>-</v>
      </c>
      <c r="G15044" t="str">
        <v>-</v>
      </c>
    </row>
    <row r="15045">
      <c r="A15045">
        <v>15044</v>
      </c>
      <c r="B15045" t="str">
        <v>UBND Ủy ban nhân dân xã Quảng Minh  tỉnh Quảng Bình</v>
      </c>
      <c r="C15045" t="str">
        <v>-</v>
      </c>
      <c r="D15045" t="str">
        <v>-</v>
      </c>
      <c r="E15045" t="str">
        <v>-</v>
      </c>
      <c r="F15045" t="str">
        <v>-</v>
      </c>
      <c r="G15045" t="str">
        <v>-</v>
      </c>
    </row>
    <row r="15046">
      <c r="A15046">
        <v>15045</v>
      </c>
      <c r="B15046" t="str">
        <v>Công an phường Đông Giang  tỉnh Quảng Trị</v>
      </c>
      <c r="C15046" t="str">
        <v>-</v>
      </c>
      <c r="D15046" t="str">
        <v>-</v>
      </c>
      <c r="E15046" t="str">
        <v/>
      </c>
      <c r="F15046" t="str">
        <v>-</v>
      </c>
      <c r="G15046" t="str">
        <v>-</v>
      </c>
    </row>
    <row r="15047">
      <c r="A15047">
        <v>15046</v>
      </c>
      <c r="B15047" t="str">
        <v>UBND Ủy ban nhân dân phường Đông Giang  tỉnh Quảng Trị</v>
      </c>
      <c r="C15047" t="str">
        <v>-</v>
      </c>
      <c r="D15047" t="str">
        <v>-</v>
      </c>
      <c r="E15047" t="str">
        <v>-</v>
      </c>
      <c r="F15047" t="str">
        <v>-</v>
      </c>
      <c r="G15047" t="str">
        <v>-</v>
      </c>
    </row>
    <row r="15048">
      <c r="A15048">
        <v>15047</v>
      </c>
      <c r="B15048" t="str">
        <v>Công an phường 1  tỉnh Quảng Trị</v>
      </c>
      <c r="C15048" t="str">
        <v>-</v>
      </c>
      <c r="D15048" t="str">
        <v>-</v>
      </c>
      <c r="E15048" t="str">
        <v/>
      </c>
      <c r="F15048" t="str">
        <v>-</v>
      </c>
      <c r="G15048" t="str">
        <v>-</v>
      </c>
    </row>
    <row r="15049">
      <c r="A15049">
        <v>15048</v>
      </c>
      <c r="B15049" t="str">
        <v>UBND Ủy ban nhân dân phường 1  tỉnh Quảng Trị</v>
      </c>
      <c r="C15049" t="str">
        <v>-</v>
      </c>
      <c r="D15049" t="str">
        <v>-</v>
      </c>
      <c r="E15049" t="str">
        <v>-</v>
      </c>
      <c r="F15049" t="str">
        <v>-</v>
      </c>
      <c r="G15049" t="str">
        <v>-</v>
      </c>
    </row>
    <row r="15050">
      <c r="A15050">
        <v>15049</v>
      </c>
      <c r="B15050" t="str">
        <v>Công an phường Đông Lễ  tỉnh Quảng Trị</v>
      </c>
      <c r="C15050" t="str">
        <v>-</v>
      </c>
      <c r="D15050" t="str">
        <v>-</v>
      </c>
      <c r="E15050" t="str">
        <v/>
      </c>
      <c r="F15050" t="str">
        <v>-</v>
      </c>
      <c r="G15050" t="str">
        <v>-</v>
      </c>
    </row>
    <row r="15051">
      <c r="A15051">
        <v>15050</v>
      </c>
      <c r="B15051" t="str">
        <v>UBND Ủy ban nhân dân phường Đông Lễ  tỉnh Quảng Trị</v>
      </c>
      <c r="C15051" t="str">
        <v>-</v>
      </c>
      <c r="D15051" t="str">
        <v>-</v>
      </c>
      <c r="E15051" t="str">
        <v>-</v>
      </c>
      <c r="F15051" t="str">
        <v>-</v>
      </c>
      <c r="G15051" t="str">
        <v>-</v>
      </c>
    </row>
    <row r="15052">
      <c r="A15052">
        <v>15051</v>
      </c>
      <c r="B15052" t="str">
        <v>Công an phường Đông Thanh  tỉnh Quảng Trị</v>
      </c>
      <c r="C15052" t="str">
        <v>-</v>
      </c>
      <c r="D15052" t="str">
        <v>-</v>
      </c>
      <c r="E15052" t="str">
        <v/>
      </c>
      <c r="F15052" t="str">
        <v>-</v>
      </c>
      <c r="G15052" t="str">
        <v>-</v>
      </c>
    </row>
    <row r="15053">
      <c r="A15053">
        <v>15052</v>
      </c>
      <c r="B15053" t="str">
        <v>UBND Ủy ban nhân dân phường Đông Thanh  tỉnh Quảng Trị</v>
      </c>
      <c r="C15053" t="str">
        <v>-</v>
      </c>
      <c r="D15053" t="str">
        <v>-</v>
      </c>
      <c r="E15053" t="str">
        <v>-</v>
      </c>
      <c r="F15053" t="str">
        <v>-</v>
      </c>
      <c r="G15053" t="str">
        <v>-</v>
      </c>
    </row>
    <row r="15054">
      <c r="A15054">
        <v>15053</v>
      </c>
      <c r="B15054" t="str">
        <v>Công an phường 2  tỉnh Quảng Trị</v>
      </c>
      <c r="C15054" t="str">
        <v>-</v>
      </c>
      <c r="D15054" t="str">
        <v>-</v>
      </c>
      <c r="E15054" t="str">
        <v/>
      </c>
      <c r="F15054" t="str">
        <v>-</v>
      </c>
      <c r="G15054" t="str">
        <v>-</v>
      </c>
    </row>
    <row r="15055">
      <c r="A15055">
        <v>15054</v>
      </c>
      <c r="B15055" t="str">
        <v>UBND Ủy ban nhân dân phường 2  tỉnh Quảng Trị</v>
      </c>
      <c r="C15055" t="str">
        <v>-</v>
      </c>
      <c r="D15055" t="str">
        <v>-</v>
      </c>
      <c r="E15055" t="str">
        <v>-</v>
      </c>
      <c r="F15055" t="str">
        <v>-</v>
      </c>
      <c r="G15055" t="str">
        <v>-</v>
      </c>
    </row>
    <row r="15056">
      <c r="A15056">
        <v>15055</v>
      </c>
      <c r="B15056" t="str">
        <v>Công an phường 4  tỉnh Quảng Trị</v>
      </c>
      <c r="C15056" t="str">
        <v>-</v>
      </c>
      <c r="D15056" t="str">
        <v>-</v>
      </c>
      <c r="E15056" t="str">
        <v/>
      </c>
      <c r="F15056" t="str">
        <v>-</v>
      </c>
      <c r="G15056" t="str">
        <v>-</v>
      </c>
    </row>
    <row r="15057">
      <c r="A15057">
        <v>15056</v>
      </c>
      <c r="B15057" t="str">
        <v>UBND Ủy ban nhân dân phường 4  tỉnh Quảng Trị</v>
      </c>
      <c r="C15057" t="str">
        <v>-</v>
      </c>
      <c r="D15057" t="str">
        <v>-</v>
      </c>
      <c r="E15057" t="str">
        <v>-</v>
      </c>
      <c r="F15057" t="str">
        <v>-</v>
      </c>
      <c r="G15057" t="str">
        <v>-</v>
      </c>
    </row>
    <row r="15058">
      <c r="A15058">
        <v>15057</v>
      </c>
      <c r="B15058" t="str">
        <v>Công an phường 5  tỉnh Quảng Trị</v>
      </c>
      <c r="C15058" t="str">
        <v>-</v>
      </c>
      <c r="D15058" t="str">
        <v>-</v>
      </c>
      <c r="E15058" t="str">
        <v/>
      </c>
      <c r="F15058" t="str">
        <v>-</v>
      </c>
      <c r="G15058" t="str">
        <v>-</v>
      </c>
    </row>
    <row r="15059">
      <c r="A15059">
        <v>15058</v>
      </c>
      <c r="B15059" t="str">
        <v>UBND Ủy ban nhân dân phường 5  tỉnh Quảng Trị</v>
      </c>
      <c r="C15059" t="str">
        <v>-</v>
      </c>
      <c r="D15059" t="str">
        <v>-</v>
      </c>
      <c r="E15059" t="str">
        <v>-</v>
      </c>
      <c r="F15059" t="str">
        <v>-</v>
      </c>
      <c r="G15059" t="str">
        <v>-</v>
      </c>
    </row>
    <row r="15060">
      <c r="A15060">
        <v>15059</v>
      </c>
      <c r="B15060" t="str">
        <v>Công an phường Đông Lương  tỉnh Quảng Trị</v>
      </c>
      <c r="C15060" t="str">
        <v>-</v>
      </c>
      <c r="D15060" t="str">
        <v>-</v>
      </c>
      <c r="E15060" t="str">
        <v/>
      </c>
      <c r="F15060" t="str">
        <v>-</v>
      </c>
      <c r="G15060" t="str">
        <v>-</v>
      </c>
    </row>
    <row r="15061">
      <c r="A15061">
        <v>15060</v>
      </c>
      <c r="B15061" t="str">
        <v>UBND Ủy ban nhân dân phường Đông Lương  tỉnh Quảng Trị</v>
      </c>
      <c r="C15061" t="str">
        <v>-</v>
      </c>
      <c r="D15061" t="str">
        <v>-</v>
      </c>
      <c r="E15061" t="str">
        <v>-</v>
      </c>
      <c r="F15061" t="str">
        <v>-</v>
      </c>
      <c r="G15061" t="str">
        <v>-</v>
      </c>
    </row>
    <row r="15062">
      <c r="A15062">
        <v>15061</v>
      </c>
      <c r="B15062" t="str">
        <v>Công an phường 3  tỉnh Quảng Trị</v>
      </c>
      <c r="C15062" t="str">
        <v>-</v>
      </c>
      <c r="D15062" t="str">
        <v>-</v>
      </c>
      <c r="E15062" t="str">
        <v/>
      </c>
      <c r="F15062" t="str">
        <v>-</v>
      </c>
      <c r="G15062" t="str">
        <v>-</v>
      </c>
    </row>
    <row r="15063">
      <c r="A15063">
        <v>15062</v>
      </c>
      <c r="B15063" t="str">
        <v>UBND Ủy ban nhân dân phường 3  tỉnh Quảng Trị</v>
      </c>
      <c r="C15063" t="str">
        <v>-</v>
      </c>
      <c r="D15063" t="str">
        <v>-</v>
      </c>
      <c r="E15063" t="str">
        <v>-</v>
      </c>
      <c r="F15063" t="str">
        <v>-</v>
      </c>
      <c r="G15063" t="str">
        <v>-</v>
      </c>
    </row>
    <row r="15064">
      <c r="A15064">
        <v>15063</v>
      </c>
      <c r="B15064" t="str">
        <v>Công an phường 1  tỉnh Quảng Trị</v>
      </c>
      <c r="C15064" t="str">
        <v>-</v>
      </c>
      <c r="D15064" t="str">
        <v>-</v>
      </c>
      <c r="E15064" t="str">
        <v/>
      </c>
      <c r="F15064" t="str">
        <v>-</v>
      </c>
      <c r="G15064" t="str">
        <v>-</v>
      </c>
    </row>
    <row r="15065">
      <c r="A15065">
        <v>15064</v>
      </c>
      <c r="B15065" t="str">
        <v>UBND Ủy ban nhân dân phường 1  tỉnh Quảng Trị</v>
      </c>
      <c r="C15065" t="str">
        <v>-</v>
      </c>
      <c r="D15065" t="str">
        <v>-</v>
      </c>
      <c r="E15065" t="str">
        <v>-</v>
      </c>
      <c r="F15065" t="str">
        <v>-</v>
      </c>
      <c r="G15065" t="str">
        <v>-</v>
      </c>
    </row>
    <row r="15066">
      <c r="A15066">
        <v>15065</v>
      </c>
      <c r="B15066" t="str">
        <v>Công an phường An Đôn  tỉnh Quảng Trị</v>
      </c>
      <c r="C15066" t="str">
        <v>-</v>
      </c>
      <c r="D15066" t="str">
        <v>-</v>
      </c>
      <c r="E15066" t="str">
        <v/>
      </c>
      <c r="F15066" t="str">
        <v>-</v>
      </c>
      <c r="G15066" t="str">
        <v>-</v>
      </c>
    </row>
    <row r="15067">
      <c r="A15067">
        <v>15066</v>
      </c>
      <c r="B15067" t="str">
        <v>UBND Ủy ban nhân dân phường An Đôn  tỉnh Quảng Trị</v>
      </c>
      <c r="C15067" t="str">
        <v>-</v>
      </c>
      <c r="D15067" t="str">
        <v>-</v>
      </c>
      <c r="E15067" t="str">
        <v>-</v>
      </c>
      <c r="F15067" t="str">
        <v>-</v>
      </c>
      <c r="G15067" t="str">
        <v>-</v>
      </c>
    </row>
    <row r="15068">
      <c r="A15068">
        <v>15067</v>
      </c>
      <c r="B15068" t="str">
        <v>Công an phường 2  tỉnh Quảng Trị</v>
      </c>
      <c r="C15068" t="str">
        <v>-</v>
      </c>
      <c r="D15068" t="str">
        <v>-</v>
      </c>
      <c r="E15068" t="str">
        <v/>
      </c>
      <c r="F15068" t="str">
        <v>-</v>
      </c>
      <c r="G15068" t="str">
        <v>-</v>
      </c>
    </row>
    <row r="15069">
      <c r="A15069">
        <v>15068</v>
      </c>
      <c r="B15069" t="str">
        <v>UBND Ủy ban nhân dân phường 2  tỉnh Quảng Trị</v>
      </c>
      <c r="C15069" t="str">
        <v>-</v>
      </c>
      <c r="D15069" t="str">
        <v>-</v>
      </c>
      <c r="E15069" t="str">
        <v>-</v>
      </c>
      <c r="F15069" t="str">
        <v>-</v>
      </c>
      <c r="G15069" t="str">
        <v>-</v>
      </c>
    </row>
    <row r="15070">
      <c r="A15070">
        <v>15069</v>
      </c>
      <c r="B15070" t="str">
        <v>Công an phường 3  tỉnh Quảng Trị</v>
      </c>
      <c r="C15070" t="str">
        <v>-</v>
      </c>
      <c r="D15070" t="str">
        <v>-</v>
      </c>
      <c r="E15070" t="str">
        <v/>
      </c>
      <c r="F15070" t="str">
        <v>-</v>
      </c>
      <c r="G15070" t="str">
        <v>-</v>
      </c>
    </row>
    <row r="15071">
      <c r="A15071">
        <v>15070</v>
      </c>
      <c r="B15071" t="str">
        <v>UBND Ủy ban nhân dân phường 3  tỉnh Quảng Trị</v>
      </c>
      <c r="C15071" t="str">
        <v>-</v>
      </c>
      <c r="D15071" t="str">
        <v>-</v>
      </c>
      <c r="E15071" t="str">
        <v>-</v>
      </c>
      <c r="F15071" t="str">
        <v>-</v>
      </c>
      <c r="G15071" t="str">
        <v>-</v>
      </c>
    </row>
    <row r="15072">
      <c r="A15072">
        <v>15071</v>
      </c>
      <c r="B15072" t="str">
        <v>Công an xã Hải Lệ  tỉnh Quảng Trị</v>
      </c>
      <c r="C15072" t="str">
        <v>-</v>
      </c>
      <c r="D15072" t="str">
        <v>-</v>
      </c>
      <c r="E15072" t="str">
        <v/>
      </c>
      <c r="F15072" t="str">
        <v>-</v>
      </c>
      <c r="G15072" t="str">
        <v>-</v>
      </c>
    </row>
    <row r="15073">
      <c r="A15073">
        <v>15072</v>
      </c>
      <c r="B15073" t="str">
        <v>UBND Ủy ban nhân dân xã Hải Lệ  tỉnh Quảng Trị</v>
      </c>
      <c r="C15073" t="str">
        <v>-</v>
      </c>
      <c r="D15073" t="str">
        <v>-</v>
      </c>
      <c r="E15073" t="str">
        <v>-</v>
      </c>
      <c r="F15073" t="str">
        <v>-</v>
      </c>
      <c r="G15073" t="str">
        <v>-</v>
      </c>
    </row>
    <row r="15074">
      <c r="A15074">
        <v>15073</v>
      </c>
      <c r="B15074" t="str">
        <v>Công an xã Vĩnh Thái  tỉnh Quảng Trị</v>
      </c>
      <c r="C15074" t="str">
        <v>-</v>
      </c>
      <c r="D15074" t="str">
        <v>-</v>
      </c>
      <c r="E15074" t="str">
        <v/>
      </c>
      <c r="F15074" t="str">
        <v>-</v>
      </c>
      <c r="G15074" t="str">
        <v>-</v>
      </c>
    </row>
    <row r="15075">
      <c r="A15075">
        <v>15074</v>
      </c>
      <c r="B15075" t="str">
        <v>UBND Ủy ban nhân dân xã Vĩnh Thái  tỉnh Quảng Trị</v>
      </c>
      <c r="C15075" t="str">
        <v>-</v>
      </c>
      <c r="D15075" t="str">
        <v>-</v>
      </c>
      <c r="E15075" t="str">
        <v>-</v>
      </c>
      <c r="F15075" t="str">
        <v>-</v>
      </c>
      <c r="G15075" t="str">
        <v>-</v>
      </c>
    </row>
    <row r="15076">
      <c r="A15076">
        <v>15075</v>
      </c>
      <c r="B15076" t="str">
        <v>Công an xã Vĩnh Tú  tỉnh Quảng Trị</v>
      </c>
      <c r="C15076" t="str">
        <v>-</v>
      </c>
      <c r="D15076" t="str">
        <v>-</v>
      </c>
      <c r="E15076" t="str">
        <v/>
      </c>
      <c r="F15076" t="str">
        <v>-</v>
      </c>
      <c r="G15076" t="str">
        <v>-</v>
      </c>
    </row>
    <row r="15077">
      <c r="A15077">
        <v>15076</v>
      </c>
      <c r="B15077" t="str">
        <v>UBND Ủy ban nhân dân xã Vĩnh Tú  tỉnh Quảng Trị</v>
      </c>
      <c r="C15077" t="str">
        <v>-</v>
      </c>
      <c r="D15077" t="str">
        <v>-</v>
      </c>
      <c r="E15077" t="str">
        <v>-</v>
      </c>
      <c r="F15077" t="str">
        <v>-</v>
      </c>
      <c r="G15077" t="str">
        <v>-</v>
      </c>
    </row>
    <row r="15078">
      <c r="A15078">
        <v>15077</v>
      </c>
      <c r="B15078" t="str">
        <v>Công an xã Vĩnh Chấp  tỉnh Quảng Trị</v>
      </c>
      <c r="C15078" t="str">
        <v>-</v>
      </c>
      <c r="D15078" t="str">
        <v>-</v>
      </c>
      <c r="E15078" t="str">
        <v/>
      </c>
      <c r="F15078" t="str">
        <v>-</v>
      </c>
      <c r="G15078" t="str">
        <v>-</v>
      </c>
    </row>
    <row r="15079">
      <c r="A15079">
        <v>15078</v>
      </c>
      <c r="B15079" t="str">
        <v>UBND Ủy ban nhân dân xã Vĩnh Chấp  tỉnh Quảng Trị</v>
      </c>
      <c r="C15079" t="str">
        <v>-</v>
      </c>
      <c r="D15079" t="str">
        <v>-</v>
      </c>
      <c r="E15079" t="str">
        <v>-</v>
      </c>
      <c r="F15079" t="str">
        <v>-</v>
      </c>
      <c r="G15079" t="str">
        <v>-</v>
      </c>
    </row>
    <row r="15080">
      <c r="A15080">
        <v>15079</v>
      </c>
      <c r="B15080" t="str">
        <v>Công an xã Vĩnh Trung  tỉnh Quảng Trị</v>
      </c>
      <c r="C15080" t="str">
        <v>-</v>
      </c>
      <c r="D15080" t="str">
        <v>-</v>
      </c>
      <c r="E15080" t="str">
        <v/>
      </c>
      <c r="F15080" t="str">
        <v>-</v>
      </c>
      <c r="G15080" t="str">
        <v>-</v>
      </c>
    </row>
    <row r="15081">
      <c r="A15081">
        <v>15080</v>
      </c>
      <c r="B15081" t="str">
        <v>UBND Ủy ban nhân dân xã Vĩnh Trung  tỉnh Quảng Trị</v>
      </c>
      <c r="C15081" t="str">
        <v>-</v>
      </c>
      <c r="D15081" t="str">
        <v>-</v>
      </c>
      <c r="E15081" t="str">
        <v>-</v>
      </c>
      <c r="F15081" t="str">
        <v>-</v>
      </c>
      <c r="G15081" t="str">
        <v>-</v>
      </c>
    </row>
    <row r="15082">
      <c r="A15082">
        <v>15081</v>
      </c>
      <c r="B15082" t="str">
        <v>Công an xã Vĩnh Kim  tỉnh Quảng Trị</v>
      </c>
      <c r="C15082" t="str">
        <v>-</v>
      </c>
      <c r="D15082" t="str">
        <v>-</v>
      </c>
      <c r="E15082" t="str">
        <v/>
      </c>
      <c r="F15082" t="str">
        <v>-</v>
      </c>
      <c r="G15082" t="str">
        <v>-</v>
      </c>
    </row>
    <row r="15083">
      <c r="A15083">
        <v>15082</v>
      </c>
      <c r="B15083" t="str">
        <v>UBND Ủy ban nhân dân xã Vĩnh Kim  tỉnh Quảng Trị</v>
      </c>
      <c r="C15083" t="str">
        <v>-</v>
      </c>
      <c r="D15083" t="str">
        <v>-</v>
      </c>
      <c r="E15083" t="str">
        <v>-</v>
      </c>
      <c r="F15083" t="str">
        <v>-</v>
      </c>
      <c r="G15083" t="str">
        <v>-</v>
      </c>
    </row>
    <row r="15084">
      <c r="A15084">
        <v>15083</v>
      </c>
      <c r="B15084" t="str">
        <v>Công an xã Vĩnh Thạch  tỉnh Quảng Trị</v>
      </c>
      <c r="C15084" t="str">
        <v>-</v>
      </c>
      <c r="D15084" t="str">
        <v>-</v>
      </c>
      <c r="E15084" t="str">
        <v/>
      </c>
      <c r="F15084" t="str">
        <v>-</v>
      </c>
      <c r="G15084" t="str">
        <v>-</v>
      </c>
    </row>
    <row r="15085">
      <c r="A15085">
        <v>15084</v>
      </c>
      <c r="B15085" t="str">
        <v>UBND Ủy ban nhân dân xã Vĩnh Thạch  tỉnh Quảng Trị</v>
      </c>
      <c r="C15085" t="str">
        <v>-</v>
      </c>
      <c r="D15085" t="str">
        <v>-</v>
      </c>
      <c r="E15085" t="str">
        <v>-</v>
      </c>
      <c r="F15085" t="str">
        <v>-</v>
      </c>
      <c r="G15085" t="str">
        <v>-</v>
      </c>
    </row>
    <row r="15086">
      <c r="A15086">
        <v>15085</v>
      </c>
      <c r="B15086" t="str">
        <v>Công an xã Vĩnh Long  tỉnh Quảng Trị</v>
      </c>
      <c r="C15086" t="str">
        <v>-</v>
      </c>
      <c r="D15086" t="str">
        <v>-</v>
      </c>
      <c r="E15086" t="str">
        <v/>
      </c>
      <c r="F15086" t="str">
        <v>-</v>
      </c>
      <c r="G15086" t="str">
        <v>-</v>
      </c>
    </row>
    <row r="15087">
      <c r="A15087">
        <v>15086</v>
      </c>
      <c r="B15087" t="str">
        <v>UBND Ủy ban nhân dân xã Vĩnh Long  tỉnh Quảng Trị</v>
      </c>
      <c r="C15087" t="str">
        <v>-</v>
      </c>
      <c r="D15087" t="str">
        <v>-</v>
      </c>
      <c r="E15087" t="str">
        <v>-</v>
      </c>
      <c r="F15087" t="str">
        <v>-</v>
      </c>
      <c r="G15087" t="str">
        <v>-</v>
      </c>
    </row>
    <row r="15088">
      <c r="A15088">
        <v>15087</v>
      </c>
      <c r="B15088" t="str">
        <v>Công an xã Vĩnh Nam  tỉnh Quảng Trị</v>
      </c>
      <c r="C15088" t="str">
        <v>-</v>
      </c>
      <c r="D15088" t="str">
        <v>-</v>
      </c>
      <c r="E15088" t="str">
        <v/>
      </c>
      <c r="F15088" t="str">
        <v>-</v>
      </c>
      <c r="G15088" t="str">
        <v>-</v>
      </c>
    </row>
    <row r="15089">
      <c r="A15089">
        <v>15088</v>
      </c>
      <c r="B15089" t="str">
        <v>UBND Ủy ban nhân dân xã Vĩnh Nam  tỉnh Quảng Trị</v>
      </c>
      <c r="C15089" t="str">
        <v>-</v>
      </c>
      <c r="D15089" t="str">
        <v>-</v>
      </c>
      <c r="E15089" t="str">
        <v>-</v>
      </c>
      <c r="F15089" t="str">
        <v>-</v>
      </c>
      <c r="G15089" t="str">
        <v>-</v>
      </c>
    </row>
    <row r="15090">
      <c r="A15090">
        <v>15089</v>
      </c>
      <c r="B15090" t="str">
        <v>Công an xã Vĩnh Khê  tỉnh Quảng Trị</v>
      </c>
      <c r="C15090" t="str">
        <v>-</v>
      </c>
      <c r="D15090" t="str">
        <v>-</v>
      </c>
      <c r="E15090" t="str">
        <v/>
      </c>
      <c r="F15090" t="str">
        <v>-</v>
      </c>
      <c r="G15090" t="str">
        <v>-</v>
      </c>
    </row>
    <row r="15091">
      <c r="A15091">
        <v>15090</v>
      </c>
      <c r="B15091" t="str">
        <v>UBND Ủy ban nhân dân xã Vĩnh Khê  tỉnh Quảng Trị</v>
      </c>
      <c r="C15091" t="str">
        <v>-</v>
      </c>
      <c r="D15091" t="str">
        <v>-</v>
      </c>
      <c r="E15091" t="str">
        <v>-</v>
      </c>
      <c r="F15091" t="str">
        <v>-</v>
      </c>
      <c r="G15091" t="str">
        <v>-</v>
      </c>
    </row>
    <row r="15092">
      <c r="A15092">
        <v>15091</v>
      </c>
      <c r="B15092" t="str">
        <v>Công an xã Vĩnh Hòa  tỉnh Quảng Trị</v>
      </c>
      <c r="C15092" t="str">
        <v>-</v>
      </c>
      <c r="D15092" t="str">
        <v>-</v>
      </c>
      <c r="E15092" t="str">
        <v/>
      </c>
      <c r="F15092" t="str">
        <v>-</v>
      </c>
      <c r="G15092" t="str">
        <v>-</v>
      </c>
    </row>
    <row r="15093">
      <c r="A15093">
        <v>15092</v>
      </c>
      <c r="B15093" t="str">
        <v>UBND Ủy ban nhân dân xã Vĩnh Hòa  tỉnh Quảng Trị</v>
      </c>
      <c r="C15093" t="str">
        <v>-</v>
      </c>
      <c r="D15093" t="str">
        <v>-</v>
      </c>
      <c r="E15093" t="str">
        <v>-</v>
      </c>
      <c r="F15093" t="str">
        <v>-</v>
      </c>
      <c r="G15093" t="str">
        <v>-</v>
      </c>
    </row>
    <row r="15094">
      <c r="A15094">
        <v>15093</v>
      </c>
      <c r="B15094" t="str">
        <v>Công an xã Vĩnh Hiền  tỉnh Quảng Trị</v>
      </c>
      <c r="C15094" t="str">
        <v>-</v>
      </c>
      <c r="D15094" t="str">
        <v>-</v>
      </c>
      <c r="E15094" t="str">
        <v/>
      </c>
      <c r="F15094" t="str">
        <v>-</v>
      </c>
      <c r="G15094" t="str">
        <v>-</v>
      </c>
    </row>
    <row r="15095">
      <c r="A15095">
        <v>15094</v>
      </c>
      <c r="B15095" t="str">
        <v>UBND Ủy ban nhân dân xã Vĩnh Hiền  tỉnh Quảng Trị</v>
      </c>
      <c r="C15095" t="str">
        <v>-</v>
      </c>
      <c r="D15095" t="str">
        <v>-</v>
      </c>
      <c r="E15095" t="str">
        <v>-</v>
      </c>
      <c r="F15095" t="str">
        <v>-</v>
      </c>
      <c r="G15095" t="str">
        <v>-</v>
      </c>
    </row>
    <row r="15096">
      <c r="A15096">
        <v>15095</v>
      </c>
      <c r="B15096" t="str">
        <v>Công an xã Vĩnh Thủy  tỉnh Quảng Trị</v>
      </c>
      <c r="C15096" t="str">
        <v>-</v>
      </c>
      <c r="D15096" t="str">
        <v>-</v>
      </c>
      <c r="E15096" t="str">
        <v/>
      </c>
      <c r="F15096" t="str">
        <v>-</v>
      </c>
      <c r="G15096" t="str">
        <v>-</v>
      </c>
    </row>
    <row r="15097">
      <c r="A15097">
        <v>15096</v>
      </c>
      <c r="B15097" t="str">
        <v>UBND Ủy ban nhân dân xã Vĩnh Thủy  tỉnh Quảng Trị</v>
      </c>
      <c r="C15097" t="str">
        <v>-</v>
      </c>
      <c r="D15097" t="str">
        <v>-</v>
      </c>
      <c r="E15097" t="str">
        <v>-</v>
      </c>
      <c r="F15097" t="str">
        <v>-</v>
      </c>
      <c r="G15097" t="str">
        <v>-</v>
      </c>
    </row>
    <row r="15098">
      <c r="A15098">
        <v>15097</v>
      </c>
      <c r="B15098" t="str">
        <v>Công an xã Vĩnh Lâm  tỉnh Quảng Trị</v>
      </c>
      <c r="C15098" t="str">
        <v>-</v>
      </c>
      <c r="D15098" t="str">
        <v>-</v>
      </c>
      <c r="E15098" t="str">
        <v/>
      </c>
      <c r="F15098" t="str">
        <v>-</v>
      </c>
      <c r="G15098" t="str">
        <v>-</v>
      </c>
    </row>
    <row r="15099">
      <c r="A15099">
        <v>15098</v>
      </c>
      <c r="B15099" t="str">
        <v>UBND Ủy ban nhân dân xã Vĩnh Lâm  tỉnh Quảng Trị</v>
      </c>
      <c r="C15099" t="str">
        <v>-</v>
      </c>
      <c r="D15099" t="str">
        <v>-</v>
      </c>
      <c r="E15099" t="str">
        <v>-</v>
      </c>
      <c r="F15099" t="str">
        <v>-</v>
      </c>
      <c r="G15099" t="str">
        <v>-</v>
      </c>
    </row>
    <row r="15100">
      <c r="A15100">
        <v>15099</v>
      </c>
      <c r="B15100" t="str">
        <v>Công an xã Vĩnh Thành  tỉnh Quảng Trị</v>
      </c>
      <c r="C15100" t="str">
        <v>-</v>
      </c>
      <c r="D15100" t="str">
        <v>-</v>
      </c>
      <c r="E15100" t="str">
        <v/>
      </c>
      <c r="F15100" t="str">
        <v>-</v>
      </c>
      <c r="G15100" t="str">
        <v>-</v>
      </c>
    </row>
    <row r="15101">
      <c r="A15101">
        <v>15100</v>
      </c>
      <c r="B15101" t="str">
        <v>UBND Ủy ban nhân dân xã Vĩnh Thành  tỉnh Quảng Trị</v>
      </c>
      <c r="C15101" t="str">
        <v>-</v>
      </c>
      <c r="D15101" t="str">
        <v>-</v>
      </c>
      <c r="E15101" t="str">
        <v>-</v>
      </c>
      <c r="F15101" t="str">
        <v>-</v>
      </c>
      <c r="G15101" t="str">
        <v>-</v>
      </c>
    </row>
    <row r="15102">
      <c r="A15102">
        <v>15101</v>
      </c>
      <c r="B15102" t="str">
        <v>Công an xã Vĩnh Tân  tỉnh Quảng Trị</v>
      </c>
      <c r="C15102" t="str">
        <v>-</v>
      </c>
      <c r="D15102" t="str">
        <v>-</v>
      </c>
      <c r="E15102" t="str">
        <v/>
      </c>
      <c r="F15102" t="str">
        <v>-</v>
      </c>
      <c r="G15102" t="str">
        <v>-</v>
      </c>
    </row>
    <row r="15103">
      <c r="A15103">
        <v>15102</v>
      </c>
      <c r="B15103" t="str">
        <v>UBND Ủy ban nhân dân xã Vĩnh Tân  tỉnh Quảng Trị</v>
      </c>
      <c r="C15103" t="str">
        <v>-</v>
      </c>
      <c r="D15103" t="str">
        <v>-</v>
      </c>
      <c r="E15103" t="str">
        <v>-</v>
      </c>
      <c r="F15103" t="str">
        <v>-</v>
      </c>
      <c r="G15103" t="str">
        <v>-</v>
      </c>
    </row>
    <row r="15104">
      <c r="A15104">
        <v>15103</v>
      </c>
      <c r="B15104" t="str">
        <v>Công an xã Vĩnh Hà  tỉnh Quảng Trị</v>
      </c>
      <c r="C15104" t="str">
        <v>-</v>
      </c>
      <c r="D15104" t="str">
        <v>-</v>
      </c>
      <c r="E15104" t="str">
        <v/>
      </c>
      <c r="F15104" t="str">
        <v>-</v>
      </c>
      <c r="G15104" t="str">
        <v>-</v>
      </c>
    </row>
    <row r="15105">
      <c r="A15105">
        <v>15104</v>
      </c>
      <c r="B15105" t="str">
        <v>UBND Ủy ban nhân dân xã Vĩnh Hà  tỉnh Quảng Trị</v>
      </c>
      <c r="C15105" t="str">
        <v>-</v>
      </c>
      <c r="D15105" t="str">
        <v>-</v>
      </c>
      <c r="E15105" t="str">
        <v>-</v>
      </c>
      <c r="F15105" t="str">
        <v>-</v>
      </c>
      <c r="G15105" t="str">
        <v>-</v>
      </c>
    </row>
    <row r="15106">
      <c r="A15106">
        <v>15105</v>
      </c>
      <c r="B15106" t="str">
        <v>Công an xã Vĩnh Sơn  tỉnh Quảng Trị</v>
      </c>
      <c r="C15106" t="str">
        <v>-</v>
      </c>
      <c r="D15106" t="str">
        <v>-</v>
      </c>
      <c r="E15106" t="str">
        <v/>
      </c>
      <c r="F15106" t="str">
        <v>-</v>
      </c>
      <c r="G15106" t="str">
        <v>-</v>
      </c>
    </row>
    <row r="15107">
      <c r="A15107">
        <v>15106</v>
      </c>
      <c r="B15107" t="str">
        <v>UBND Ủy ban nhân dân xã Vĩnh Sơn  tỉnh Quảng Trị</v>
      </c>
      <c r="C15107" t="str">
        <v>-</v>
      </c>
      <c r="D15107" t="str">
        <v>-</v>
      </c>
      <c r="E15107" t="str">
        <v>-</v>
      </c>
      <c r="F15107" t="str">
        <v>-</v>
      </c>
      <c r="G15107" t="str">
        <v>-</v>
      </c>
    </row>
    <row r="15108">
      <c r="A15108">
        <v>15107</v>
      </c>
      <c r="B15108" t="str">
        <v>Công an xã Vĩnh Giang  tỉnh Quảng Trị</v>
      </c>
      <c r="C15108" t="str">
        <v>-</v>
      </c>
      <c r="D15108" t="str">
        <v>-</v>
      </c>
      <c r="E15108" t="str">
        <v/>
      </c>
      <c r="F15108" t="str">
        <v>-</v>
      </c>
      <c r="G15108" t="str">
        <v>-</v>
      </c>
    </row>
    <row r="15109">
      <c r="A15109">
        <v>15108</v>
      </c>
      <c r="B15109" t="str">
        <v>UBND Ủy ban nhân dân xã Vĩnh Giang  tỉnh Quảng Trị</v>
      </c>
      <c r="C15109" t="str">
        <v>-</v>
      </c>
      <c r="D15109" t="str">
        <v>-</v>
      </c>
      <c r="E15109" t="str">
        <v>-</v>
      </c>
      <c r="F15109" t="str">
        <v>-</v>
      </c>
      <c r="G15109" t="str">
        <v>-</v>
      </c>
    </row>
    <row r="15110">
      <c r="A15110">
        <v>15109</v>
      </c>
      <c r="B15110" t="str">
        <v>Công an xã Vĩnh Ô  tỉnh Quảng Trị</v>
      </c>
      <c r="C15110" t="str">
        <v>-</v>
      </c>
      <c r="D15110" t="str">
        <v>-</v>
      </c>
      <c r="E15110" t="str">
        <v/>
      </c>
      <c r="F15110" t="str">
        <v>-</v>
      </c>
      <c r="G15110" t="str">
        <v>-</v>
      </c>
    </row>
    <row r="15111">
      <c r="A15111">
        <v>15110</v>
      </c>
      <c r="B15111" t="str">
        <v>UBND Ủy ban nhân dân xã Vĩnh Ô  tỉnh Quảng Trị</v>
      </c>
      <c r="C15111" t="str">
        <v>-</v>
      </c>
      <c r="D15111" t="str">
        <v>-</v>
      </c>
      <c r="E15111" t="str">
        <v>-</v>
      </c>
      <c r="F15111" t="str">
        <v>-</v>
      </c>
      <c r="G15111" t="str">
        <v>-</v>
      </c>
    </row>
    <row r="15112">
      <c r="A15112">
        <v>15111</v>
      </c>
      <c r="B15112" t="str">
        <v>Công an xã Hướng Lập  tỉnh Quảng Trị</v>
      </c>
      <c r="C15112" t="str">
        <v>-</v>
      </c>
      <c r="D15112" t="str">
        <v>-</v>
      </c>
      <c r="E15112" t="str">
        <v/>
      </c>
      <c r="F15112" t="str">
        <v>-</v>
      </c>
      <c r="G15112" t="str">
        <v>-</v>
      </c>
    </row>
    <row r="15113">
      <c r="A15113">
        <v>15112</v>
      </c>
      <c r="B15113" t="str">
        <v>UBND Ủy ban nhân dân xã Hướng Lập  tỉnh Quảng Trị</v>
      </c>
      <c r="C15113" t="str">
        <v>-</v>
      </c>
      <c r="D15113" t="str">
        <v>-</v>
      </c>
      <c r="E15113" t="str">
        <v>-</v>
      </c>
      <c r="F15113" t="str">
        <v>-</v>
      </c>
      <c r="G15113" t="str">
        <v>-</v>
      </c>
    </row>
    <row r="15114">
      <c r="A15114">
        <v>15113</v>
      </c>
      <c r="B15114" t="str">
        <v>Công an xã Hướng Việt  tỉnh Quảng Trị</v>
      </c>
      <c r="C15114" t="str">
        <v>-</v>
      </c>
      <c r="D15114" t="str">
        <v>-</v>
      </c>
      <c r="E15114" t="str">
        <v/>
      </c>
      <c r="F15114" t="str">
        <v>-</v>
      </c>
      <c r="G15114" t="str">
        <v>-</v>
      </c>
    </row>
    <row r="15115">
      <c r="A15115">
        <v>15114</v>
      </c>
      <c r="B15115" t="str">
        <v>UBND Ủy ban nhân dân xã Hướng Việt  tỉnh Quảng Trị</v>
      </c>
      <c r="C15115" t="str">
        <v>-</v>
      </c>
      <c r="D15115" t="str">
        <v>-</v>
      </c>
      <c r="E15115" t="str">
        <v>-</v>
      </c>
      <c r="F15115" t="str">
        <v>-</v>
      </c>
      <c r="G15115" t="str">
        <v>-</v>
      </c>
    </row>
    <row r="15116">
      <c r="A15116">
        <v>15115</v>
      </c>
      <c r="B15116" t="str">
        <v>Công an xã Hướng Phùng  tỉnh Quảng Trị</v>
      </c>
      <c r="C15116" t="str">
        <v>-</v>
      </c>
      <c r="D15116" t="str">
        <v>-</v>
      </c>
      <c r="E15116" t="str">
        <v/>
      </c>
      <c r="F15116" t="str">
        <v>-</v>
      </c>
      <c r="G15116" t="str">
        <v>-</v>
      </c>
    </row>
    <row r="15117">
      <c r="A15117">
        <v>15116</v>
      </c>
      <c r="B15117" t="str">
        <v>UBND Ủy ban nhân dân xã Hướng Phùng  tỉnh Quảng Trị</v>
      </c>
      <c r="C15117" t="str">
        <v>-</v>
      </c>
      <c r="D15117" t="str">
        <v>-</v>
      </c>
      <c r="E15117" t="str">
        <v>-</v>
      </c>
      <c r="F15117" t="str">
        <v>-</v>
      </c>
      <c r="G15117" t="str">
        <v>-</v>
      </c>
    </row>
    <row r="15118">
      <c r="A15118">
        <v>15117</v>
      </c>
      <c r="B15118" t="str">
        <v>Công an xã Hướng Sơn  tỉnh Quảng Trị</v>
      </c>
      <c r="C15118" t="str">
        <v>-</v>
      </c>
      <c r="D15118" t="str">
        <v>-</v>
      </c>
      <c r="E15118" t="str">
        <v/>
      </c>
      <c r="F15118" t="str">
        <v>-</v>
      </c>
      <c r="G15118" t="str">
        <v>-</v>
      </c>
    </row>
    <row r="15119">
      <c r="A15119">
        <v>15118</v>
      </c>
      <c r="B15119" t="str">
        <v>UBND Ủy ban nhân dân xã Hướng Sơn  tỉnh Quảng Trị</v>
      </c>
      <c r="C15119" t="str">
        <v>-</v>
      </c>
      <c r="D15119" t="str">
        <v>-</v>
      </c>
      <c r="E15119" t="str">
        <v>-</v>
      </c>
      <c r="F15119" t="str">
        <v>-</v>
      </c>
      <c r="G15119" t="str">
        <v>-</v>
      </c>
    </row>
    <row r="15120">
      <c r="A15120">
        <v>15119</v>
      </c>
      <c r="B15120" t="str">
        <v>Công an xã Hướng Linh  tỉnh Quảng Trị</v>
      </c>
      <c r="C15120" t="str">
        <v>-</v>
      </c>
      <c r="D15120" t="str">
        <v>-</v>
      </c>
      <c r="E15120" t="str">
        <v/>
      </c>
      <c r="F15120" t="str">
        <v>-</v>
      </c>
      <c r="G15120" t="str">
        <v>-</v>
      </c>
    </row>
    <row r="15121">
      <c r="A15121">
        <v>15120</v>
      </c>
      <c r="B15121" t="str">
        <v>UBND Ủy ban nhân dân xã Hướng Linh  tỉnh Quảng Trị</v>
      </c>
      <c r="C15121" t="str">
        <v>-</v>
      </c>
      <c r="D15121" t="str">
        <v>-</v>
      </c>
      <c r="E15121" t="str">
        <v>-</v>
      </c>
      <c r="F15121" t="str">
        <v>-</v>
      </c>
      <c r="G15121" t="str">
        <v>-</v>
      </c>
    </row>
    <row r="15122">
      <c r="A15122">
        <v>15121</v>
      </c>
      <c r="B15122" t="str">
        <v>Công an xã Tân Hợp  tỉnh Quảng Trị</v>
      </c>
      <c r="C15122" t="str">
        <v>-</v>
      </c>
      <c r="D15122" t="str">
        <v>-</v>
      </c>
      <c r="E15122" t="str">
        <v/>
      </c>
      <c r="F15122" t="str">
        <v>-</v>
      </c>
      <c r="G15122" t="str">
        <v>-</v>
      </c>
    </row>
    <row r="15123">
      <c r="A15123">
        <v>15122</v>
      </c>
      <c r="B15123" t="str">
        <v>UBND Ủy ban nhân dân xã Tân Hợp  tỉnh Quảng Trị</v>
      </c>
      <c r="C15123" t="str">
        <v>-</v>
      </c>
      <c r="D15123" t="str">
        <v>-</v>
      </c>
      <c r="E15123" t="str">
        <v>-</v>
      </c>
      <c r="F15123" t="str">
        <v>-</v>
      </c>
      <c r="G15123" t="str">
        <v>-</v>
      </c>
    </row>
    <row r="15124">
      <c r="A15124">
        <v>15123</v>
      </c>
      <c r="B15124" t="str">
        <v>Công an xã Hướng Tân  tỉnh Quảng Trị</v>
      </c>
      <c r="C15124" t="str">
        <v>-</v>
      </c>
      <c r="D15124" t="str">
        <v>-</v>
      </c>
      <c r="E15124" t="str">
        <v/>
      </c>
      <c r="F15124" t="str">
        <v>-</v>
      </c>
      <c r="G15124" t="str">
        <v>-</v>
      </c>
    </row>
    <row r="15125">
      <c r="A15125">
        <v>15124</v>
      </c>
      <c r="B15125" t="str">
        <v>UBND Ủy ban nhân dân xã Hướng Tân  tỉnh Quảng Trị</v>
      </c>
      <c r="C15125" t="str">
        <v>-</v>
      </c>
      <c r="D15125" t="str">
        <v>-</v>
      </c>
      <c r="E15125" t="str">
        <v>-</v>
      </c>
      <c r="F15125" t="str">
        <v>-</v>
      </c>
      <c r="G15125" t="str">
        <v>-</v>
      </c>
    </row>
    <row r="15126">
      <c r="A15126">
        <v>15125</v>
      </c>
      <c r="B15126" t="str">
        <v>Công an xã Tân Thành  tỉnh Quảng Trị</v>
      </c>
      <c r="C15126" t="str">
        <v>-</v>
      </c>
      <c r="D15126" t="str">
        <v>-</v>
      </c>
      <c r="E15126" t="str">
        <v/>
      </c>
      <c r="F15126" t="str">
        <v>-</v>
      </c>
      <c r="G15126" t="str">
        <v>-</v>
      </c>
    </row>
    <row r="15127">
      <c r="A15127">
        <v>15126</v>
      </c>
      <c r="B15127" t="str">
        <v>UBND Ủy ban nhân dân xã Tân Thành  tỉnh Quảng Trị</v>
      </c>
      <c r="C15127" t="str">
        <v>-</v>
      </c>
      <c r="D15127" t="str">
        <v>-</v>
      </c>
      <c r="E15127" t="str">
        <v>-</v>
      </c>
      <c r="F15127" t="str">
        <v>-</v>
      </c>
      <c r="G15127" t="str">
        <v>-</v>
      </c>
    </row>
    <row r="15128">
      <c r="A15128">
        <v>15127</v>
      </c>
      <c r="B15128" t="str">
        <v>Công an xã Tân Long  tỉnh Quảng Trị</v>
      </c>
      <c r="C15128" t="str">
        <v>-</v>
      </c>
      <c r="D15128" t="str">
        <v>-</v>
      </c>
      <c r="E15128" t="str">
        <v/>
      </c>
      <c r="F15128" t="str">
        <v>-</v>
      </c>
      <c r="G15128" t="str">
        <v>-</v>
      </c>
    </row>
    <row r="15129">
      <c r="A15129">
        <v>15128</v>
      </c>
      <c r="B15129" t="str">
        <v>UBND Ủy ban nhân dân xã Tân Long  tỉnh Quảng Trị</v>
      </c>
      <c r="C15129" t="str">
        <v>-</v>
      </c>
      <c r="D15129" t="str">
        <v>-</v>
      </c>
      <c r="E15129" t="str">
        <v>-</v>
      </c>
      <c r="F15129" t="str">
        <v>-</v>
      </c>
      <c r="G15129" t="str">
        <v>-</v>
      </c>
    </row>
    <row r="15130">
      <c r="A15130">
        <v>15129</v>
      </c>
      <c r="B15130" t="str">
        <v>Công an xã Tân Lập  tỉnh Quảng Trị</v>
      </c>
      <c r="C15130" t="str">
        <v>-</v>
      </c>
      <c r="D15130" t="str">
        <v>-</v>
      </c>
      <c r="E15130" t="str">
        <v/>
      </c>
      <c r="F15130" t="str">
        <v>-</v>
      </c>
      <c r="G15130" t="str">
        <v>-</v>
      </c>
    </row>
    <row r="15131">
      <c r="A15131">
        <v>15130</v>
      </c>
      <c r="B15131" t="str">
        <v>UBND Ủy ban nhân dân xã Tân Lập  tỉnh Quảng Trị</v>
      </c>
      <c r="C15131" t="str">
        <v>-</v>
      </c>
      <c r="D15131" t="str">
        <v>-</v>
      </c>
      <c r="E15131" t="str">
        <v>-</v>
      </c>
      <c r="F15131" t="str">
        <v>-</v>
      </c>
      <c r="G15131" t="str">
        <v>-</v>
      </c>
    </row>
    <row r="15132">
      <c r="A15132">
        <v>15131</v>
      </c>
      <c r="B15132" t="str">
        <v>Công an xã Tân Liên  tỉnh Quảng Trị</v>
      </c>
      <c r="C15132" t="str">
        <v>-</v>
      </c>
      <c r="D15132" t="str">
        <v>-</v>
      </c>
      <c r="E15132" t="str">
        <v/>
      </c>
      <c r="F15132" t="str">
        <v>-</v>
      </c>
      <c r="G15132" t="str">
        <v>-</v>
      </c>
    </row>
    <row r="15133">
      <c r="A15133">
        <v>15132</v>
      </c>
      <c r="B15133" t="str">
        <v>UBND Ủy ban nhân dân xã Tân Liên  tỉnh Quảng Trị</v>
      </c>
      <c r="C15133" t="str">
        <v>-</v>
      </c>
      <c r="D15133" t="str">
        <v>-</v>
      </c>
      <c r="E15133" t="str">
        <v>-</v>
      </c>
      <c r="F15133" t="str">
        <v>-</v>
      </c>
      <c r="G15133" t="str">
        <v>-</v>
      </c>
    </row>
    <row r="15134">
      <c r="A15134">
        <v>15133</v>
      </c>
      <c r="B15134" t="str">
        <v>Công an xã Húc  tỉnh Quảng Trị</v>
      </c>
      <c r="C15134" t="str">
        <v>-</v>
      </c>
      <c r="D15134" t="str">
        <v>-</v>
      </c>
      <c r="E15134" t="str">
        <v/>
      </c>
      <c r="F15134" t="str">
        <v>-</v>
      </c>
      <c r="G15134" t="str">
        <v>-</v>
      </c>
    </row>
    <row r="15135">
      <c r="A15135">
        <v>15134</v>
      </c>
      <c r="B15135" t="str">
        <v>UBND Ủy ban nhân dân xã Húc  tỉnh Quảng Trị</v>
      </c>
      <c r="C15135" t="str">
        <v>-</v>
      </c>
      <c r="D15135" t="str">
        <v>-</v>
      </c>
      <c r="E15135" t="str">
        <v>-</v>
      </c>
      <c r="F15135" t="str">
        <v>-</v>
      </c>
      <c r="G15135" t="str">
        <v>-</v>
      </c>
    </row>
    <row r="15136">
      <c r="A15136">
        <v>15135</v>
      </c>
      <c r="B15136" t="str">
        <v>Công an xã Thuận  tỉnh Quảng Trị</v>
      </c>
      <c r="C15136" t="str">
        <v>-</v>
      </c>
      <c r="D15136" t="str">
        <v>-</v>
      </c>
      <c r="E15136" t="str">
        <v/>
      </c>
      <c r="F15136" t="str">
        <v>-</v>
      </c>
      <c r="G15136" t="str">
        <v>-</v>
      </c>
    </row>
    <row r="15137">
      <c r="A15137">
        <v>15136</v>
      </c>
      <c r="B15137" t="str">
        <v>UBND Ủy ban nhân dân xã Thuận  tỉnh Quảng Trị</v>
      </c>
      <c r="C15137" t="str">
        <v>-</v>
      </c>
      <c r="D15137" t="str">
        <v>-</v>
      </c>
      <c r="E15137" t="str">
        <v>-</v>
      </c>
      <c r="F15137" t="str">
        <v>-</v>
      </c>
      <c r="G15137" t="str">
        <v>-</v>
      </c>
    </row>
    <row r="15138">
      <c r="A15138">
        <v>15137</v>
      </c>
      <c r="B15138" t="str">
        <v>Công an xã Hướng Lộc  tỉnh Quảng Trị</v>
      </c>
      <c r="C15138" t="str">
        <v>-</v>
      </c>
      <c r="D15138" t="str">
        <v>-</v>
      </c>
      <c r="E15138" t="str">
        <v/>
      </c>
      <c r="F15138" t="str">
        <v>-</v>
      </c>
      <c r="G15138" t="str">
        <v>-</v>
      </c>
    </row>
    <row r="15139">
      <c r="A15139">
        <v>15138</v>
      </c>
      <c r="B15139" t="str">
        <v>UBND Ủy ban nhân dân xã Hướng Lộc  tỉnh Quảng Trị</v>
      </c>
      <c r="C15139" t="str">
        <v>-</v>
      </c>
      <c r="D15139" t="str">
        <v>-</v>
      </c>
      <c r="E15139" t="str">
        <v>-</v>
      </c>
      <c r="F15139" t="str">
        <v>-</v>
      </c>
      <c r="G15139" t="str">
        <v>-</v>
      </c>
    </row>
    <row r="15140">
      <c r="A15140">
        <v>15139</v>
      </c>
      <c r="B15140" t="str">
        <v>Công an xã Ba Tầng  tỉnh Quảng Trị</v>
      </c>
      <c r="C15140" t="str">
        <v>-</v>
      </c>
      <c r="D15140" t="str">
        <v>-</v>
      </c>
      <c r="E15140" t="str">
        <v/>
      </c>
      <c r="F15140" t="str">
        <v>-</v>
      </c>
      <c r="G15140" t="str">
        <v>-</v>
      </c>
    </row>
    <row r="15141">
      <c r="A15141">
        <v>15140</v>
      </c>
      <c r="B15141" t="str">
        <v>UBND Ủy ban nhân dân xã Ba Tầng  tỉnh Quảng Trị</v>
      </c>
      <c r="C15141" t="str">
        <v>-</v>
      </c>
      <c r="D15141" t="str">
        <v>-</v>
      </c>
      <c r="E15141" t="str">
        <v>-</v>
      </c>
      <c r="F15141" t="str">
        <v>-</v>
      </c>
      <c r="G15141" t="str">
        <v>-</v>
      </c>
    </row>
    <row r="15142">
      <c r="A15142">
        <v>15141</v>
      </c>
      <c r="B15142" t="str">
        <v>Công an xã Thanh  tỉnh Quảng Trị</v>
      </c>
      <c r="C15142" t="str">
        <v>-</v>
      </c>
      <c r="D15142" t="str">
        <v>-</v>
      </c>
      <c r="E15142" t="str">
        <v/>
      </c>
      <c r="F15142" t="str">
        <v>-</v>
      </c>
      <c r="G15142" t="str">
        <v>-</v>
      </c>
    </row>
    <row r="15143">
      <c r="A15143">
        <v>15142</v>
      </c>
      <c r="B15143" t="str">
        <v>UBND Ủy ban nhân dân xã Thanh  tỉnh Quảng Trị</v>
      </c>
      <c r="C15143" t="str">
        <v>-</v>
      </c>
      <c r="D15143" t="str">
        <v>-</v>
      </c>
      <c r="E15143" t="str">
        <v>-</v>
      </c>
      <c r="F15143" t="str">
        <v>-</v>
      </c>
      <c r="G15143" t="str">
        <v>-</v>
      </c>
    </row>
    <row r="15144">
      <c r="A15144">
        <v>15143</v>
      </c>
      <c r="B15144" t="str">
        <v>Công an xã  A Dơi  tỉnh Quảng Trị</v>
      </c>
      <c r="C15144" t="str">
        <v>-</v>
      </c>
      <c r="D15144" t="str">
        <v>-</v>
      </c>
      <c r="E15144" t="str">
        <v/>
      </c>
      <c r="F15144" t="str">
        <v>-</v>
      </c>
      <c r="G15144" t="str">
        <v>-</v>
      </c>
    </row>
    <row r="15145">
      <c r="A15145">
        <v>15144</v>
      </c>
      <c r="B15145" t="str">
        <v>UBND Ủy ban nhân dân xã  A Dơi  tỉnh Quảng Trị</v>
      </c>
      <c r="C15145" t="str">
        <v>-</v>
      </c>
      <c r="D15145" t="str">
        <v>-</v>
      </c>
      <c r="E15145" t="str">
        <v>-</v>
      </c>
      <c r="F15145" t="str">
        <v>-</v>
      </c>
      <c r="G15145" t="str">
        <v>-</v>
      </c>
    </row>
    <row r="15146">
      <c r="A15146">
        <v>15145</v>
      </c>
      <c r="B15146" t="str">
        <v>Công an xã A Xing  tỉnh Quảng Trị</v>
      </c>
      <c r="C15146" t="str">
        <v>-</v>
      </c>
      <c r="D15146" t="str">
        <v>-</v>
      </c>
      <c r="E15146" t="str">
        <v/>
      </c>
      <c r="F15146" t="str">
        <v>-</v>
      </c>
      <c r="G15146" t="str">
        <v>-</v>
      </c>
    </row>
    <row r="15147">
      <c r="A15147">
        <v>15146</v>
      </c>
      <c r="B15147" t="str">
        <v>UBND Ủy ban nhân dân xã A Xing  tỉnh Quảng Trị</v>
      </c>
      <c r="C15147" t="str">
        <v>-</v>
      </c>
      <c r="D15147" t="str">
        <v>-</v>
      </c>
      <c r="E15147" t="str">
        <v>-</v>
      </c>
      <c r="F15147" t="str">
        <v>-</v>
      </c>
      <c r="G15147" t="str">
        <v>-</v>
      </c>
    </row>
    <row r="15148">
      <c r="A15148">
        <v>15147</v>
      </c>
      <c r="B15148" t="str">
        <v>Công an xã A Túc  tỉnh Quảng Trị</v>
      </c>
      <c r="C15148" t="str">
        <v>-</v>
      </c>
      <c r="D15148" t="str">
        <v>-</v>
      </c>
      <c r="E15148" t="str">
        <v/>
      </c>
      <c r="F15148" t="str">
        <v>-</v>
      </c>
      <c r="G15148" t="str">
        <v>-</v>
      </c>
    </row>
    <row r="15149">
      <c r="A15149">
        <v>15148</v>
      </c>
      <c r="B15149" t="str">
        <v>UBND Ủy ban nhân dân xã A Túc  tỉnh Quảng Trị</v>
      </c>
      <c r="C15149" t="str">
        <v>-</v>
      </c>
      <c r="D15149" t="str">
        <v>-</v>
      </c>
      <c r="E15149" t="str">
        <v>-</v>
      </c>
      <c r="F15149" t="str">
        <v>-</v>
      </c>
      <c r="G15149" t="str">
        <v>-</v>
      </c>
    </row>
    <row r="15150">
      <c r="A15150">
        <v>15149</v>
      </c>
      <c r="B15150" t="str">
        <v>Công an xã Xy  tỉnh Quảng Trị</v>
      </c>
      <c r="C15150" t="str">
        <v>-</v>
      </c>
      <c r="D15150" t="str">
        <v>-</v>
      </c>
      <c r="E15150" t="str">
        <v/>
      </c>
      <c r="F15150" t="str">
        <v>-</v>
      </c>
      <c r="G15150" t="str">
        <v>-</v>
      </c>
    </row>
    <row r="15151">
      <c r="A15151">
        <v>15150</v>
      </c>
      <c r="B15151" t="str">
        <v>UBND Ủy ban nhân dân xã Xy  tỉnh Quảng Trị</v>
      </c>
      <c r="C15151" t="str">
        <v>-</v>
      </c>
      <c r="D15151" t="str">
        <v>-</v>
      </c>
      <c r="E15151" t="str">
        <v>-</v>
      </c>
      <c r="F15151" t="str">
        <v>-</v>
      </c>
      <c r="G15151" t="str">
        <v>-</v>
      </c>
    </row>
    <row r="15152">
      <c r="A15152">
        <v>15151</v>
      </c>
      <c r="B15152" t="str">
        <v>Công an xã Trung Giang  tỉnh Quảng Trị</v>
      </c>
      <c r="C15152" t="str">
        <v>-</v>
      </c>
      <c r="D15152" t="str">
        <v>-</v>
      </c>
      <c r="E15152" t="str">
        <v/>
      </c>
      <c r="F15152" t="str">
        <v>-</v>
      </c>
      <c r="G15152" t="str">
        <v>-</v>
      </c>
    </row>
    <row r="15153">
      <c r="A15153">
        <v>15152</v>
      </c>
      <c r="B15153" t="str">
        <v>UBND Ủy ban nhân dân xã Trung Giang  tỉnh Quảng Trị</v>
      </c>
      <c r="C15153" t="str">
        <v>-</v>
      </c>
      <c r="D15153" t="str">
        <v>-</v>
      </c>
      <c r="E15153" t="str">
        <v>-</v>
      </c>
      <c r="F15153" t="str">
        <v>-</v>
      </c>
      <c r="G15153" t="str">
        <v>-</v>
      </c>
    </row>
    <row r="15154">
      <c r="A15154">
        <v>15153</v>
      </c>
      <c r="B15154" t="str">
        <v>Công an xã Trung Hải  tỉnh Quảng Trị</v>
      </c>
      <c r="C15154" t="str">
        <v>-</v>
      </c>
      <c r="D15154" t="str">
        <v>-</v>
      </c>
      <c r="E15154" t="str">
        <v/>
      </c>
      <c r="F15154" t="str">
        <v>-</v>
      </c>
      <c r="G15154" t="str">
        <v>-</v>
      </c>
    </row>
    <row r="15155">
      <c r="A15155">
        <v>15154</v>
      </c>
      <c r="B15155" t="str">
        <v>UBND Ủy ban nhân dân xã Trung Hải  tỉnh Quảng Trị</v>
      </c>
      <c r="C15155" t="str">
        <v>-</v>
      </c>
      <c r="D15155" t="str">
        <v>-</v>
      </c>
      <c r="E15155" t="str">
        <v>-</v>
      </c>
      <c r="F15155" t="str">
        <v>-</v>
      </c>
      <c r="G15155" t="str">
        <v>-</v>
      </c>
    </row>
    <row r="15156">
      <c r="A15156">
        <v>15155</v>
      </c>
      <c r="B15156" t="str">
        <v>Công an xã Trung Sơn  tỉnh Quảng Trị</v>
      </c>
      <c r="C15156" t="str">
        <v>-</v>
      </c>
      <c r="D15156" t="str">
        <v>-</v>
      </c>
      <c r="E15156" t="str">
        <v/>
      </c>
      <c r="F15156" t="str">
        <v>-</v>
      </c>
      <c r="G15156" t="str">
        <v>-</v>
      </c>
    </row>
    <row r="15157">
      <c r="A15157">
        <v>15156</v>
      </c>
      <c r="B15157" t="str">
        <v>UBND Ủy ban nhân dân xã Trung Sơn  tỉnh Quảng Trị</v>
      </c>
      <c r="C15157" t="str">
        <v>-</v>
      </c>
      <c r="D15157" t="str">
        <v>-</v>
      </c>
      <c r="E15157" t="str">
        <v>-</v>
      </c>
      <c r="F15157" t="str">
        <v>-</v>
      </c>
      <c r="G15157" t="str">
        <v>-</v>
      </c>
    </row>
    <row r="15158">
      <c r="A15158">
        <v>15157</v>
      </c>
      <c r="B15158" t="str">
        <v>Công an xã Gio Phong  tỉnh Quảng Trị</v>
      </c>
      <c r="C15158" t="str">
        <v>-</v>
      </c>
      <c r="D15158" t="str">
        <v>-</v>
      </c>
      <c r="E15158" t="str">
        <v/>
      </c>
      <c r="F15158" t="str">
        <v>-</v>
      </c>
      <c r="G15158" t="str">
        <v>-</v>
      </c>
    </row>
    <row r="15159">
      <c r="A15159">
        <v>15158</v>
      </c>
      <c r="B15159" t="str">
        <v>UBND Ủy ban nhân dân xã Gio Phong  tỉnh Quảng Trị</v>
      </c>
      <c r="C15159" t="str">
        <v>-</v>
      </c>
      <c r="D15159" t="str">
        <v>-</v>
      </c>
      <c r="E15159" t="str">
        <v>-</v>
      </c>
      <c r="F15159" t="str">
        <v>-</v>
      </c>
      <c r="G15159" t="str">
        <v>-</v>
      </c>
    </row>
    <row r="15160">
      <c r="A15160">
        <v>15159</v>
      </c>
      <c r="B15160" t="str">
        <v>Công an xã Gio Mỹ  tỉnh Quảng Trị</v>
      </c>
      <c r="C15160" t="str">
        <v>-</v>
      </c>
      <c r="D15160" t="str">
        <v>-</v>
      </c>
      <c r="E15160" t="str">
        <v/>
      </c>
      <c r="F15160" t="str">
        <v>-</v>
      </c>
      <c r="G15160" t="str">
        <v>-</v>
      </c>
    </row>
    <row r="15161">
      <c r="A15161">
        <v>15160</v>
      </c>
      <c r="B15161" t="str">
        <v>UBND Ủy ban nhân dân xã Gio Mỹ  tỉnh Quảng Trị</v>
      </c>
      <c r="C15161" t="str">
        <v>-</v>
      </c>
      <c r="D15161" t="str">
        <v>-</v>
      </c>
      <c r="E15161" t="str">
        <v>-</v>
      </c>
      <c r="F15161" t="str">
        <v>-</v>
      </c>
      <c r="G15161" t="str">
        <v>-</v>
      </c>
    </row>
    <row r="15162">
      <c r="A15162">
        <v>15161</v>
      </c>
      <c r="B15162" t="str">
        <v>Công an xã Vĩnh Trường  tỉnh Quảng Trị</v>
      </c>
      <c r="C15162" t="str">
        <v>-</v>
      </c>
      <c r="D15162" t="str">
        <v>-</v>
      </c>
      <c r="E15162" t="str">
        <v/>
      </c>
      <c r="F15162" t="str">
        <v>-</v>
      </c>
      <c r="G15162" t="str">
        <v>-</v>
      </c>
    </row>
    <row r="15163">
      <c r="A15163">
        <v>15162</v>
      </c>
      <c r="B15163" t="str">
        <v>UBND Ủy ban nhân dân xã Vĩnh Trường  tỉnh Quảng Trị</v>
      </c>
      <c r="C15163" t="str">
        <v>-</v>
      </c>
      <c r="D15163" t="str">
        <v>-</v>
      </c>
      <c r="E15163" t="str">
        <v>-</v>
      </c>
      <c r="F15163" t="str">
        <v>-</v>
      </c>
      <c r="G15163" t="str">
        <v>-</v>
      </c>
    </row>
    <row r="15164">
      <c r="A15164">
        <v>15163</v>
      </c>
      <c r="B15164" t="str">
        <v>Công an xã Gio Bình  tỉnh Quảng Trị</v>
      </c>
      <c r="C15164" t="str">
        <v>-</v>
      </c>
      <c r="D15164" t="str">
        <v>-</v>
      </c>
      <c r="E15164" t="str">
        <v/>
      </c>
      <c r="F15164" t="str">
        <v>-</v>
      </c>
      <c r="G15164" t="str">
        <v>-</v>
      </c>
    </row>
    <row r="15165">
      <c r="A15165">
        <v>15164</v>
      </c>
      <c r="B15165" t="str">
        <v>UBND Ủy ban nhân dân xã Gio Bình  tỉnh Quảng Trị</v>
      </c>
      <c r="C15165" t="str">
        <v>-</v>
      </c>
      <c r="D15165" t="str">
        <v>-</v>
      </c>
      <c r="E15165" t="str">
        <v>-</v>
      </c>
      <c r="F15165" t="str">
        <v>-</v>
      </c>
      <c r="G15165" t="str">
        <v>-</v>
      </c>
    </row>
    <row r="15166">
      <c r="A15166">
        <v>15165</v>
      </c>
      <c r="B15166" t="str">
        <v>Công an xã Gio Hải  tỉnh Quảng Trị</v>
      </c>
      <c r="C15166" t="str">
        <v>-</v>
      </c>
      <c r="D15166" t="str">
        <v>-</v>
      </c>
      <c r="E15166" t="str">
        <v/>
      </c>
      <c r="F15166" t="str">
        <v>-</v>
      </c>
      <c r="G15166" t="str">
        <v>-</v>
      </c>
    </row>
    <row r="15167">
      <c r="A15167">
        <v>15166</v>
      </c>
      <c r="B15167" t="str">
        <v>UBND Ủy ban nhân dân xã Gio Hải  tỉnh Quảng Trị</v>
      </c>
      <c r="C15167" t="str">
        <v>-</v>
      </c>
      <c r="D15167" t="str">
        <v>-</v>
      </c>
      <c r="E15167" t="str">
        <v>-</v>
      </c>
      <c r="F15167" t="str">
        <v>-</v>
      </c>
      <c r="G15167" t="str">
        <v>-</v>
      </c>
    </row>
    <row r="15168">
      <c r="A15168">
        <v>15167</v>
      </c>
      <c r="B15168" t="str">
        <v>Công an xã Gio An  tỉnh Quảng Trị</v>
      </c>
      <c r="C15168" t="str">
        <v>-</v>
      </c>
      <c r="D15168" t="str">
        <v>-</v>
      </c>
      <c r="E15168" t="str">
        <v/>
      </c>
      <c r="F15168" t="str">
        <v>-</v>
      </c>
      <c r="G15168" t="str">
        <v>-</v>
      </c>
    </row>
    <row r="15169">
      <c r="A15169">
        <v>15168</v>
      </c>
      <c r="B15169" t="str">
        <v>UBND Ủy ban nhân dân xã Gio An  tỉnh Quảng Trị</v>
      </c>
      <c r="C15169" t="str">
        <v>-</v>
      </c>
      <c r="D15169" t="str">
        <v>-</v>
      </c>
      <c r="E15169" t="str">
        <v>-</v>
      </c>
      <c r="F15169" t="str">
        <v>-</v>
      </c>
      <c r="G15169" t="str">
        <v>-</v>
      </c>
    </row>
    <row r="15170">
      <c r="A15170">
        <v>15169</v>
      </c>
      <c r="B15170" t="str">
        <v>Công an xã Gio Châu  tỉnh Quảng Trị</v>
      </c>
      <c r="C15170" t="str">
        <v>-</v>
      </c>
      <c r="D15170" t="str">
        <v>-</v>
      </c>
      <c r="E15170" t="str">
        <v/>
      </c>
      <c r="F15170" t="str">
        <v>-</v>
      </c>
      <c r="G15170" t="str">
        <v>-</v>
      </c>
    </row>
    <row r="15171">
      <c r="A15171">
        <v>15170</v>
      </c>
      <c r="B15171" t="str">
        <v>UBND Ủy ban nhân dân xã Gio Châu  tỉnh Quảng Trị</v>
      </c>
      <c r="C15171" t="str">
        <v>-</v>
      </c>
      <c r="D15171" t="str">
        <v>-</v>
      </c>
      <c r="E15171" t="str">
        <v>-</v>
      </c>
      <c r="F15171" t="str">
        <v>-</v>
      </c>
      <c r="G15171" t="str">
        <v>-</v>
      </c>
    </row>
    <row r="15172">
      <c r="A15172">
        <v>15171</v>
      </c>
      <c r="B15172" t="str">
        <v>Công an xã Gio Thành  tỉnh Quảng Trị</v>
      </c>
      <c r="C15172" t="str">
        <v>-</v>
      </c>
      <c r="D15172" t="str">
        <v>-</v>
      </c>
      <c r="E15172" t="str">
        <v/>
      </c>
      <c r="F15172" t="str">
        <v>-</v>
      </c>
      <c r="G15172" t="str">
        <v>-</v>
      </c>
    </row>
    <row r="15173">
      <c r="A15173">
        <v>15172</v>
      </c>
      <c r="B15173" t="str">
        <v>UBND Ủy ban nhân dân xã Gio Thành  tỉnh Quảng Trị</v>
      </c>
      <c r="C15173" t="str">
        <v>-</v>
      </c>
      <c r="D15173" t="str">
        <v>-</v>
      </c>
      <c r="E15173" t="str">
        <v>-</v>
      </c>
      <c r="F15173" t="str">
        <v>-</v>
      </c>
      <c r="G15173" t="str">
        <v>-</v>
      </c>
    </row>
    <row r="15174">
      <c r="A15174">
        <v>15173</v>
      </c>
      <c r="B15174" t="str">
        <v>Công an xã Gio Việt  tỉnh Quảng Trị</v>
      </c>
      <c r="C15174" t="str">
        <v>-</v>
      </c>
      <c r="D15174" t="str">
        <v>-</v>
      </c>
      <c r="E15174" t="str">
        <v/>
      </c>
      <c r="F15174" t="str">
        <v>-</v>
      </c>
      <c r="G15174" t="str">
        <v>-</v>
      </c>
    </row>
    <row r="15175">
      <c r="A15175">
        <v>15174</v>
      </c>
      <c r="B15175" t="str">
        <v>UBND Ủy ban nhân dân xã Gio Việt  tỉnh Quảng Trị</v>
      </c>
      <c r="C15175" t="str">
        <v>-</v>
      </c>
      <c r="D15175" t="str">
        <v>-</v>
      </c>
      <c r="E15175" t="str">
        <v>-</v>
      </c>
      <c r="F15175" t="str">
        <v>-</v>
      </c>
      <c r="G15175" t="str">
        <v>-</v>
      </c>
    </row>
    <row r="15176">
      <c r="A15176">
        <v>15175</v>
      </c>
      <c r="B15176" t="str">
        <v>Công an xã Linh Thượng  tỉnh Quảng Trị</v>
      </c>
      <c r="C15176" t="str">
        <v>-</v>
      </c>
      <c r="D15176" t="str">
        <v>-</v>
      </c>
      <c r="E15176" t="str">
        <v/>
      </c>
      <c r="F15176" t="str">
        <v>-</v>
      </c>
      <c r="G15176" t="str">
        <v>-</v>
      </c>
    </row>
    <row r="15177">
      <c r="A15177">
        <v>15176</v>
      </c>
      <c r="B15177" t="str">
        <v>UBND Ủy ban nhân dân xã Linh Thượng  tỉnh Quảng Trị</v>
      </c>
      <c r="C15177" t="str">
        <v>-</v>
      </c>
      <c r="D15177" t="str">
        <v>-</v>
      </c>
      <c r="E15177" t="str">
        <v>-</v>
      </c>
      <c r="F15177" t="str">
        <v>-</v>
      </c>
      <c r="G15177" t="str">
        <v>-</v>
      </c>
    </row>
    <row r="15178">
      <c r="A15178">
        <v>15177</v>
      </c>
      <c r="B15178" t="str">
        <v>Công an xã Gio Sơn  tỉnh Quảng Trị</v>
      </c>
      <c r="C15178" t="str">
        <v>-</v>
      </c>
      <c r="D15178" t="str">
        <v>-</v>
      </c>
      <c r="E15178" t="str">
        <v/>
      </c>
      <c r="F15178" t="str">
        <v>-</v>
      </c>
      <c r="G15178" t="str">
        <v>-</v>
      </c>
    </row>
    <row r="15179">
      <c r="A15179">
        <v>15178</v>
      </c>
      <c r="B15179" t="str">
        <v>UBND Ủy ban nhân dân xã Gio Sơn  tỉnh Quảng Trị</v>
      </c>
      <c r="C15179" t="str">
        <v>-</v>
      </c>
      <c r="D15179" t="str">
        <v>-</v>
      </c>
      <c r="E15179" t="str">
        <v>-</v>
      </c>
      <c r="F15179" t="str">
        <v>-</v>
      </c>
      <c r="G15179" t="str">
        <v>-</v>
      </c>
    </row>
    <row r="15180">
      <c r="A15180">
        <v>15179</v>
      </c>
      <c r="B15180" t="str">
        <v>Công an xã Gio Hòa  tỉnh Quảng Trị</v>
      </c>
      <c r="C15180" t="str">
        <v>-</v>
      </c>
      <c r="D15180" t="str">
        <v>-</v>
      </c>
      <c r="E15180" t="str">
        <v/>
      </c>
      <c r="F15180" t="str">
        <v>-</v>
      </c>
      <c r="G15180" t="str">
        <v>-</v>
      </c>
    </row>
    <row r="15181">
      <c r="A15181">
        <v>15180</v>
      </c>
      <c r="B15181" t="str">
        <v>UBND Ủy ban nhân dân xã Gio Hòa  tỉnh Quảng Trị</v>
      </c>
      <c r="C15181" t="str">
        <v>-</v>
      </c>
      <c r="D15181" t="str">
        <v>-</v>
      </c>
      <c r="E15181" t="str">
        <v>-</v>
      </c>
      <c r="F15181" t="str">
        <v>-</v>
      </c>
      <c r="G15181" t="str">
        <v>-</v>
      </c>
    </row>
    <row r="15182">
      <c r="A15182">
        <v>15181</v>
      </c>
      <c r="B15182" t="str">
        <v>Công an xã Gio Mai  tỉnh Quảng Trị</v>
      </c>
      <c r="C15182" t="str">
        <v>-</v>
      </c>
      <c r="D15182" t="str">
        <v>-</v>
      </c>
      <c r="E15182" t="str">
        <v/>
      </c>
      <c r="F15182" t="str">
        <v>-</v>
      </c>
      <c r="G15182" t="str">
        <v>-</v>
      </c>
    </row>
    <row r="15183">
      <c r="A15183">
        <v>15182</v>
      </c>
      <c r="B15183" t="str">
        <v>UBND Ủy ban nhân dân xã Gio Mai  tỉnh Quảng Trị</v>
      </c>
      <c r="C15183" t="str">
        <v>-</v>
      </c>
      <c r="D15183" t="str">
        <v>-</v>
      </c>
      <c r="E15183" t="str">
        <v>-</v>
      </c>
      <c r="F15183" t="str">
        <v>-</v>
      </c>
      <c r="G15183" t="str">
        <v>-</v>
      </c>
    </row>
    <row r="15184">
      <c r="A15184">
        <v>15183</v>
      </c>
      <c r="B15184" t="str">
        <v>Công an xã Hải Thái  tỉnh Quảng Trị</v>
      </c>
      <c r="C15184" t="str">
        <v>-</v>
      </c>
      <c r="D15184" t="str">
        <v>-</v>
      </c>
      <c r="E15184" t="str">
        <v/>
      </c>
      <c r="F15184" t="str">
        <v>-</v>
      </c>
      <c r="G15184" t="str">
        <v>-</v>
      </c>
    </row>
    <row r="15185">
      <c r="A15185">
        <v>15184</v>
      </c>
      <c r="B15185" t="str">
        <v>UBND Ủy ban nhân dân xã Hải Thái  tỉnh Quảng Trị</v>
      </c>
      <c r="C15185" t="str">
        <v>-</v>
      </c>
      <c r="D15185" t="str">
        <v>-</v>
      </c>
      <c r="E15185" t="str">
        <v>-</v>
      </c>
      <c r="F15185" t="str">
        <v>-</v>
      </c>
      <c r="G15185" t="str">
        <v>-</v>
      </c>
    </row>
    <row r="15186">
      <c r="A15186">
        <v>15185</v>
      </c>
      <c r="B15186" t="str">
        <v>Công an xã Linh Hải  tỉnh Quảng Trị</v>
      </c>
      <c r="C15186" t="str">
        <v>-</v>
      </c>
      <c r="D15186" t="str">
        <v>-</v>
      </c>
      <c r="E15186" t="str">
        <v/>
      </c>
      <c r="F15186" t="str">
        <v>-</v>
      </c>
      <c r="G15186" t="str">
        <v>-</v>
      </c>
    </row>
    <row r="15187">
      <c r="A15187">
        <v>15186</v>
      </c>
      <c r="B15187" t="str">
        <v>UBND Ủy ban nhân dân xã Linh Hải  tỉnh Quảng Trị</v>
      </c>
      <c r="C15187" t="str">
        <v>-</v>
      </c>
      <c r="D15187" t="str">
        <v>-</v>
      </c>
      <c r="E15187" t="str">
        <v>-</v>
      </c>
      <c r="F15187" t="str">
        <v>-</v>
      </c>
      <c r="G15187" t="str">
        <v>-</v>
      </c>
    </row>
    <row r="15188">
      <c r="A15188">
        <v>15187</v>
      </c>
      <c r="B15188" t="str">
        <v>Công an xã Gio Quang  tỉnh Quảng Trị</v>
      </c>
      <c r="C15188" t="str">
        <v>-</v>
      </c>
      <c r="D15188" t="str">
        <v>-</v>
      </c>
      <c r="E15188" t="str">
        <v/>
      </c>
      <c r="F15188" t="str">
        <v>-</v>
      </c>
      <c r="G15188" t="str">
        <v>-</v>
      </c>
    </row>
    <row r="15189">
      <c r="A15189">
        <v>15188</v>
      </c>
      <c r="B15189" t="str">
        <v>UBND Ủy ban nhân dân xã Gio Quang  tỉnh Quảng Trị</v>
      </c>
      <c r="C15189" t="str">
        <v>-</v>
      </c>
      <c r="D15189" t="str">
        <v>-</v>
      </c>
      <c r="E15189" t="str">
        <v>-</v>
      </c>
      <c r="F15189" t="str">
        <v>-</v>
      </c>
      <c r="G15189" t="str">
        <v>-</v>
      </c>
    </row>
    <row r="15190">
      <c r="A15190">
        <v>15189</v>
      </c>
      <c r="B15190" t="str">
        <v>Công an xã Mò Ó  tỉnh Quảng Trị</v>
      </c>
      <c r="C15190" t="str">
        <v>-</v>
      </c>
      <c r="D15190" t="str">
        <v>-</v>
      </c>
      <c r="E15190" t="str">
        <v/>
      </c>
      <c r="F15190" t="str">
        <v>-</v>
      </c>
      <c r="G15190" t="str">
        <v>-</v>
      </c>
    </row>
    <row r="15191">
      <c r="A15191">
        <v>15190</v>
      </c>
      <c r="B15191" t="str">
        <v>UBND Ủy ban nhân dân xã Mò Ó  tỉnh Quảng Trị</v>
      </c>
      <c r="C15191" t="str">
        <v>-</v>
      </c>
      <c r="D15191" t="str">
        <v>-</v>
      </c>
      <c r="E15191" t="str">
        <v>-</v>
      </c>
      <c r="F15191" t="str">
        <v>-</v>
      </c>
      <c r="G15191" t="str">
        <v>-</v>
      </c>
    </row>
    <row r="15192">
      <c r="A15192">
        <v>15191</v>
      </c>
      <c r="B15192" t="str">
        <v>Công an xã Hướng Hiệp  tỉnh Quảng Trị</v>
      </c>
      <c r="C15192" t="str">
        <v>-</v>
      </c>
      <c r="D15192" t="str">
        <v>-</v>
      </c>
      <c r="E15192" t="str">
        <v/>
      </c>
      <c r="F15192" t="str">
        <v>-</v>
      </c>
      <c r="G15192" t="str">
        <v>-</v>
      </c>
    </row>
    <row r="15193">
      <c r="A15193">
        <v>15192</v>
      </c>
      <c r="B15193" t="str">
        <v>UBND Ủy ban nhân dân xã Hướng Hiệp  tỉnh Quảng Trị</v>
      </c>
      <c r="C15193" t="str">
        <v>-</v>
      </c>
      <c r="D15193" t="str">
        <v>-</v>
      </c>
      <c r="E15193" t="str">
        <v>-</v>
      </c>
      <c r="F15193" t="str">
        <v>-</v>
      </c>
      <c r="G15193" t="str">
        <v>-</v>
      </c>
    </row>
    <row r="15194">
      <c r="A15194">
        <v>15193</v>
      </c>
      <c r="B15194" t="str">
        <v>Công an xã Đa Krông  tỉnh Quảng Trị</v>
      </c>
      <c r="C15194" t="str">
        <v>-</v>
      </c>
      <c r="D15194" t="str">
        <v>-</v>
      </c>
      <c r="E15194" t="str">
        <v/>
      </c>
      <c r="F15194" t="str">
        <v>-</v>
      </c>
      <c r="G15194" t="str">
        <v>-</v>
      </c>
    </row>
    <row r="15195">
      <c r="A15195">
        <v>15194</v>
      </c>
      <c r="B15195" t="str">
        <v>UBND Ủy ban nhân dân xã Đa Krông  tỉnh Quảng Trị</v>
      </c>
      <c r="C15195" t="str">
        <v>-</v>
      </c>
      <c r="D15195" t="str">
        <v>-</v>
      </c>
      <c r="E15195" t="str">
        <v>-</v>
      </c>
      <c r="F15195" t="str">
        <v>-</v>
      </c>
      <c r="G15195" t="str">
        <v>-</v>
      </c>
    </row>
    <row r="15196">
      <c r="A15196">
        <v>15195</v>
      </c>
      <c r="B15196" t="str">
        <v>Công an xã Triệu Nguyên  tỉnh Quảng Trị</v>
      </c>
      <c r="C15196" t="str">
        <v>-</v>
      </c>
      <c r="D15196" t="str">
        <v>-</v>
      </c>
      <c r="E15196" t="str">
        <v/>
      </c>
      <c r="F15196" t="str">
        <v>-</v>
      </c>
      <c r="G15196" t="str">
        <v>-</v>
      </c>
    </row>
    <row r="15197">
      <c r="A15197">
        <v>15196</v>
      </c>
      <c r="B15197" t="str">
        <v>UBND Ủy ban nhân dân xã Triệu Nguyên  tỉnh Quảng Trị</v>
      </c>
      <c r="C15197" t="str">
        <v>-</v>
      </c>
      <c r="D15197" t="str">
        <v>-</v>
      </c>
      <c r="E15197" t="str">
        <v>-</v>
      </c>
      <c r="F15197" t="str">
        <v>-</v>
      </c>
      <c r="G15197" t="str">
        <v>-</v>
      </c>
    </row>
    <row r="15198">
      <c r="A15198">
        <v>15197</v>
      </c>
      <c r="B15198" t="str">
        <v>Công an xã Ba Lòng  tỉnh Quảng Trị</v>
      </c>
      <c r="C15198" t="str">
        <v>-</v>
      </c>
      <c r="D15198" t="str">
        <v>-</v>
      </c>
      <c r="E15198" t="str">
        <v/>
      </c>
      <c r="F15198" t="str">
        <v>-</v>
      </c>
      <c r="G15198" t="str">
        <v>-</v>
      </c>
    </row>
    <row r="15199">
      <c r="A15199">
        <v>15198</v>
      </c>
      <c r="B15199" t="str">
        <v>UBND Ủy ban nhân dân xã Ba Lòng  tỉnh Quảng Trị</v>
      </c>
      <c r="C15199" t="str">
        <v>-</v>
      </c>
      <c r="D15199" t="str">
        <v>-</v>
      </c>
      <c r="E15199" t="str">
        <v>-</v>
      </c>
      <c r="F15199" t="str">
        <v>-</v>
      </c>
      <c r="G15199" t="str">
        <v>-</v>
      </c>
    </row>
    <row r="15200">
      <c r="A15200">
        <v>15199</v>
      </c>
      <c r="B15200" t="str">
        <v>Công an xã Hải Phúc  tỉnh Quảng Trị</v>
      </c>
      <c r="C15200" t="str">
        <v>-</v>
      </c>
      <c r="D15200" t="str">
        <v>-</v>
      </c>
      <c r="E15200" t="str">
        <v/>
      </c>
      <c r="F15200" t="str">
        <v>-</v>
      </c>
      <c r="G15200" t="str">
        <v>-</v>
      </c>
    </row>
    <row r="15201">
      <c r="A15201">
        <v>15200</v>
      </c>
      <c r="B15201" t="str">
        <v>UBND Ủy ban nhân dân xã Hải Phúc  tỉnh Quảng Trị</v>
      </c>
      <c r="C15201" t="str">
        <v>-</v>
      </c>
      <c r="D15201" t="str">
        <v>-</v>
      </c>
      <c r="E15201" t="str">
        <v>-</v>
      </c>
      <c r="F15201" t="str">
        <v>-</v>
      </c>
      <c r="G15201" t="str">
        <v>-</v>
      </c>
    </row>
    <row r="15202">
      <c r="A15202">
        <v>15201</v>
      </c>
      <c r="B15202" t="str">
        <v>Công an xã Ba Nang  tỉnh Quảng Trị</v>
      </c>
      <c r="C15202" t="str">
        <v>-</v>
      </c>
      <c r="D15202" t="str">
        <v>-</v>
      </c>
      <c r="E15202" t="str">
        <v/>
      </c>
      <c r="F15202" t="str">
        <v>-</v>
      </c>
      <c r="G15202" t="str">
        <v>-</v>
      </c>
    </row>
    <row r="15203">
      <c r="A15203">
        <v>15202</v>
      </c>
      <c r="B15203" t="str">
        <v>UBND Ủy ban nhân dân xã Ba Nang  tỉnh Quảng Trị</v>
      </c>
      <c r="C15203" t="str">
        <v>-</v>
      </c>
      <c r="D15203" t="str">
        <v>-</v>
      </c>
      <c r="E15203" t="str">
        <v>-</v>
      </c>
      <c r="F15203" t="str">
        <v>-</v>
      </c>
      <c r="G15203" t="str">
        <v>-</v>
      </c>
    </row>
    <row r="15204">
      <c r="A15204">
        <v>15203</v>
      </c>
      <c r="B15204" t="str">
        <v>Công an xã Tà Long  tỉnh Quảng Trị</v>
      </c>
      <c r="C15204" t="str">
        <v>-</v>
      </c>
      <c r="D15204" t="str">
        <v>-</v>
      </c>
      <c r="E15204" t="str">
        <v/>
      </c>
      <c r="F15204" t="str">
        <v>-</v>
      </c>
      <c r="G15204" t="str">
        <v>-</v>
      </c>
    </row>
    <row r="15205">
      <c r="A15205">
        <v>15204</v>
      </c>
      <c r="B15205" t="str">
        <v>UBND Ủy ban nhân dân xã Tà Long  tỉnh Quảng Trị</v>
      </c>
      <c r="C15205" t="str">
        <v>-</v>
      </c>
      <c r="D15205" t="str">
        <v>-</v>
      </c>
      <c r="E15205" t="str">
        <v>-</v>
      </c>
      <c r="F15205" t="str">
        <v>-</v>
      </c>
      <c r="G15205" t="str">
        <v>-</v>
      </c>
    </row>
    <row r="15206">
      <c r="A15206">
        <v>15205</v>
      </c>
      <c r="B15206" t="str">
        <v>Công an xã Húc Nghì  tỉnh Quảng Trị</v>
      </c>
      <c r="C15206" t="str">
        <v>-</v>
      </c>
      <c r="D15206" t="str">
        <v>-</v>
      </c>
      <c r="E15206" t="str">
        <v/>
      </c>
      <c r="F15206" t="str">
        <v>-</v>
      </c>
      <c r="G15206" t="str">
        <v>-</v>
      </c>
    </row>
    <row r="15207">
      <c r="A15207">
        <v>15206</v>
      </c>
      <c r="B15207" t="str">
        <v>UBND Ủy ban nhân dân xã Húc Nghì  tỉnh Quảng Trị</v>
      </c>
      <c r="C15207" t="str">
        <v>-</v>
      </c>
      <c r="D15207" t="str">
        <v>-</v>
      </c>
      <c r="E15207" t="str">
        <v>-</v>
      </c>
      <c r="F15207" t="str">
        <v>-</v>
      </c>
      <c r="G15207" t="str">
        <v>-</v>
      </c>
    </row>
    <row r="15208">
      <c r="A15208">
        <v>15207</v>
      </c>
      <c r="B15208" t="str">
        <v>Công an xã A Vao  tỉnh Quảng Trị</v>
      </c>
      <c r="C15208" t="str">
        <v>-</v>
      </c>
      <c r="D15208" t="str">
        <v>-</v>
      </c>
      <c r="E15208" t="str">
        <v/>
      </c>
      <c r="F15208" t="str">
        <v>-</v>
      </c>
      <c r="G15208" t="str">
        <v>-</v>
      </c>
    </row>
    <row r="15209">
      <c r="A15209">
        <v>15208</v>
      </c>
      <c r="B15209" t="str">
        <v>UBND Ủy ban nhân dân xã A Vao  tỉnh Quảng Trị</v>
      </c>
      <c r="C15209" t="str">
        <v>-</v>
      </c>
      <c r="D15209" t="str">
        <v>-</v>
      </c>
      <c r="E15209" t="str">
        <v>-</v>
      </c>
      <c r="F15209" t="str">
        <v>-</v>
      </c>
      <c r="G15209" t="str">
        <v>-</v>
      </c>
    </row>
    <row r="15210">
      <c r="A15210">
        <v>15209</v>
      </c>
      <c r="B15210" t="str">
        <v>Công an xã Tà Rụt  tỉnh Quảng Trị</v>
      </c>
      <c r="C15210" t="str">
        <v>-</v>
      </c>
      <c r="D15210" t="str">
        <v>-</v>
      </c>
      <c r="E15210" t="str">
        <v/>
      </c>
      <c r="F15210" t="str">
        <v>-</v>
      </c>
      <c r="G15210" t="str">
        <v>-</v>
      </c>
    </row>
    <row r="15211">
      <c r="A15211">
        <v>15210</v>
      </c>
      <c r="B15211" t="str">
        <v>UBND Ủy ban nhân dân xã Tà Rụt  tỉnh Quảng Trị</v>
      </c>
      <c r="C15211" t="str">
        <v>-</v>
      </c>
      <c r="D15211" t="str">
        <v>-</v>
      </c>
      <c r="E15211" t="str">
        <v>-</v>
      </c>
      <c r="F15211" t="str">
        <v>-</v>
      </c>
      <c r="G15211" t="str">
        <v>-</v>
      </c>
    </row>
    <row r="15212">
      <c r="A15212">
        <v>15211</v>
      </c>
      <c r="B15212" t="str">
        <v>Công an xã A Bung  tỉnh Quảng Trị</v>
      </c>
      <c r="C15212" t="str">
        <v>-</v>
      </c>
      <c r="D15212" t="str">
        <v>-</v>
      </c>
      <c r="E15212" t="str">
        <v/>
      </c>
      <c r="F15212" t="str">
        <v>-</v>
      </c>
      <c r="G15212" t="str">
        <v>-</v>
      </c>
    </row>
    <row r="15213">
      <c r="A15213">
        <v>15212</v>
      </c>
      <c r="B15213" t="str">
        <v>UBND Ủy ban nhân dân xã A Bung  tỉnh Quảng Trị</v>
      </c>
      <c r="C15213" t="str">
        <v>-</v>
      </c>
      <c r="D15213" t="str">
        <v>-</v>
      </c>
      <c r="E15213" t="str">
        <v>-</v>
      </c>
      <c r="F15213" t="str">
        <v>-</v>
      </c>
      <c r="G15213" t="str">
        <v>-</v>
      </c>
    </row>
    <row r="15214">
      <c r="A15214">
        <v>15213</v>
      </c>
      <c r="B15214" t="str">
        <v>Công an xã A Ngo  tỉnh Quảng Trị</v>
      </c>
      <c r="C15214" t="str">
        <v>-</v>
      </c>
      <c r="D15214" t="str">
        <v>-</v>
      </c>
      <c r="E15214" t="str">
        <v/>
      </c>
      <c r="F15214" t="str">
        <v>-</v>
      </c>
      <c r="G15214" t="str">
        <v>-</v>
      </c>
    </row>
    <row r="15215">
      <c r="A15215">
        <v>15214</v>
      </c>
      <c r="B15215" t="str">
        <v>UBND Ủy ban nhân dân xã A Ngo  tỉnh Quảng Trị</v>
      </c>
      <c r="C15215" t="str">
        <v>-</v>
      </c>
      <c r="D15215" t="str">
        <v>-</v>
      </c>
      <c r="E15215" t="str">
        <v>-</v>
      </c>
      <c r="F15215" t="str">
        <v>-</v>
      </c>
      <c r="G15215" t="str">
        <v>-</v>
      </c>
    </row>
    <row r="15216">
      <c r="A15216">
        <v>15215</v>
      </c>
      <c r="B15216" t="str">
        <v>Công an xã Cam Tuyền  tỉnh Quảng Trị</v>
      </c>
      <c r="C15216" t="str">
        <v>-</v>
      </c>
      <c r="D15216" t="str">
        <v>-</v>
      </c>
      <c r="E15216" t="str">
        <v/>
      </c>
      <c r="F15216" t="str">
        <v>-</v>
      </c>
      <c r="G15216" t="str">
        <v>-</v>
      </c>
    </row>
    <row r="15217">
      <c r="A15217">
        <v>15216</v>
      </c>
      <c r="B15217" t="str">
        <v>UBND Ủy ban nhân dân xã Cam Tuyền  tỉnh Quảng Trị</v>
      </c>
      <c r="C15217" t="str">
        <v>-</v>
      </c>
      <c r="D15217" t="str">
        <v>-</v>
      </c>
      <c r="E15217" t="str">
        <v>-</v>
      </c>
      <c r="F15217" t="str">
        <v>-</v>
      </c>
      <c r="G15217" t="str">
        <v>-</v>
      </c>
    </row>
    <row r="15218">
      <c r="A15218">
        <v>15217</v>
      </c>
      <c r="B15218" t="str">
        <v>Công an xã Cam An  tỉnh Quảng Trị</v>
      </c>
      <c r="C15218" t="str">
        <v>-</v>
      </c>
      <c r="D15218" t="str">
        <v>-</v>
      </c>
      <c r="E15218" t="str">
        <v/>
      </c>
      <c r="F15218" t="str">
        <v>-</v>
      </c>
      <c r="G15218" t="str">
        <v>-</v>
      </c>
    </row>
    <row r="15219">
      <c r="A15219">
        <v>15218</v>
      </c>
      <c r="B15219" t="str">
        <v>UBND Ủy ban nhân dân xã Cam An  tỉnh Quảng Trị</v>
      </c>
      <c r="C15219" t="str">
        <v>-</v>
      </c>
      <c r="D15219" t="str">
        <v>-</v>
      </c>
      <c r="E15219" t="str">
        <v>-</v>
      </c>
      <c r="F15219" t="str">
        <v>-</v>
      </c>
      <c r="G15219" t="str">
        <v>-</v>
      </c>
    </row>
    <row r="15220">
      <c r="A15220">
        <v>15219</v>
      </c>
      <c r="B15220" t="str">
        <v>Công an xã Cam Thủy  tỉnh Quảng Trị</v>
      </c>
      <c r="C15220" t="str">
        <v>-</v>
      </c>
      <c r="D15220" t="str">
        <v>-</v>
      </c>
      <c r="E15220" t="str">
        <v/>
      </c>
      <c r="F15220" t="str">
        <v>-</v>
      </c>
      <c r="G15220" t="str">
        <v>-</v>
      </c>
    </row>
    <row r="15221">
      <c r="A15221">
        <v>15220</v>
      </c>
      <c r="B15221" t="str">
        <v>UBND Ủy ban nhân dân xã Cam Thủy  tỉnh Quảng Trị</v>
      </c>
      <c r="C15221" t="str">
        <v>-</v>
      </c>
      <c r="D15221" t="str">
        <v>-</v>
      </c>
      <c r="E15221" t="str">
        <v>-</v>
      </c>
      <c r="F15221" t="str">
        <v>-</v>
      </c>
      <c r="G15221" t="str">
        <v>-</v>
      </c>
    </row>
    <row r="15222">
      <c r="A15222">
        <v>15221</v>
      </c>
      <c r="B15222" t="str">
        <v>Công an xã Cam Thanh  tỉnh Quảng Trị</v>
      </c>
      <c r="C15222" t="str">
        <v>-</v>
      </c>
      <c r="D15222" t="str">
        <v>-</v>
      </c>
      <c r="E15222" t="str">
        <v/>
      </c>
      <c r="F15222" t="str">
        <v>-</v>
      </c>
      <c r="G15222" t="str">
        <v>-</v>
      </c>
    </row>
    <row r="15223">
      <c r="A15223">
        <v>15222</v>
      </c>
      <c r="B15223" t="str">
        <v>UBND Ủy ban nhân dân xã Cam Thanh  tỉnh Quảng Trị</v>
      </c>
      <c r="C15223" t="str">
        <v>-</v>
      </c>
      <c r="D15223" t="str">
        <v>-</v>
      </c>
      <c r="E15223" t="str">
        <v>-</v>
      </c>
      <c r="F15223" t="str">
        <v>-</v>
      </c>
      <c r="G15223" t="str">
        <v>-</v>
      </c>
    </row>
    <row r="15224">
      <c r="A15224">
        <v>15223</v>
      </c>
      <c r="B15224" t="str">
        <v>Công an xã Cam Thành  tỉnh Quảng Trị</v>
      </c>
      <c r="C15224" t="str">
        <v>-</v>
      </c>
      <c r="D15224" t="str">
        <v>-</v>
      </c>
      <c r="E15224" t="str">
        <v/>
      </c>
      <c r="F15224" t="str">
        <v>-</v>
      </c>
      <c r="G15224" t="str">
        <v>-</v>
      </c>
    </row>
    <row r="15225">
      <c r="A15225">
        <v>15224</v>
      </c>
      <c r="B15225" t="str">
        <v>UBND Ủy ban nhân dân xã Cam Thành  tỉnh Quảng Trị</v>
      </c>
      <c r="C15225" t="str">
        <v>-</v>
      </c>
      <c r="D15225" t="str">
        <v>-</v>
      </c>
      <c r="E15225" t="str">
        <v>-</v>
      </c>
      <c r="F15225" t="str">
        <v>-</v>
      </c>
      <c r="G15225" t="str">
        <v>-</v>
      </c>
    </row>
    <row r="15226">
      <c r="A15226">
        <v>15225</v>
      </c>
      <c r="B15226" t="str">
        <v>Công an xã Cam Hiếu  tỉnh Quảng Trị</v>
      </c>
      <c r="C15226" t="str">
        <v>-</v>
      </c>
      <c r="D15226" t="str">
        <v>-</v>
      </c>
      <c r="E15226" t="str">
        <v/>
      </c>
      <c r="F15226" t="str">
        <v>-</v>
      </c>
      <c r="G15226" t="str">
        <v>-</v>
      </c>
    </row>
    <row r="15227">
      <c r="A15227">
        <v>15226</v>
      </c>
      <c r="B15227" t="str">
        <v>UBND Ủy ban nhân dân xã Cam Hiếu  tỉnh Quảng Trị</v>
      </c>
      <c r="C15227" t="str">
        <v>-</v>
      </c>
      <c r="D15227" t="str">
        <v>-</v>
      </c>
      <c r="E15227" t="str">
        <v>-</v>
      </c>
      <c r="F15227" t="str">
        <v>-</v>
      </c>
      <c r="G15227" t="str">
        <v>-</v>
      </c>
    </row>
    <row r="15228">
      <c r="A15228">
        <v>15227</v>
      </c>
      <c r="B15228" t="str">
        <v>Công an xã Cam Chính  tỉnh Quảng Trị</v>
      </c>
      <c r="C15228" t="str">
        <v>-</v>
      </c>
      <c r="D15228" t="str">
        <v>-</v>
      </c>
      <c r="E15228" t="str">
        <v/>
      </c>
      <c r="F15228" t="str">
        <v>-</v>
      </c>
      <c r="G15228" t="str">
        <v>-</v>
      </c>
    </row>
    <row r="15229">
      <c r="A15229">
        <v>15228</v>
      </c>
      <c r="B15229" t="str">
        <v>UBND Ủy ban nhân dân xã Cam Chính  tỉnh Quảng Trị</v>
      </c>
      <c r="C15229" t="str">
        <v>-</v>
      </c>
      <c r="D15229" t="str">
        <v>-</v>
      </c>
      <c r="E15229" t="str">
        <v>-</v>
      </c>
      <c r="F15229" t="str">
        <v>-</v>
      </c>
      <c r="G15229" t="str">
        <v>-</v>
      </c>
    </row>
    <row r="15230">
      <c r="A15230">
        <v>15229</v>
      </c>
      <c r="B15230" t="str">
        <v>Công an xã Cam Nghĩa  tỉnh Quảng Trị</v>
      </c>
      <c r="C15230" t="str">
        <v>-</v>
      </c>
      <c r="D15230" t="str">
        <v>-</v>
      </c>
      <c r="E15230" t="str">
        <v/>
      </c>
      <c r="F15230" t="str">
        <v>-</v>
      </c>
      <c r="G15230" t="str">
        <v>-</v>
      </c>
    </row>
    <row r="15231">
      <c r="A15231">
        <v>15230</v>
      </c>
      <c r="B15231" t="str">
        <v>UBND Ủy ban nhân dân xã Cam Nghĩa  tỉnh Quảng Trị</v>
      </c>
      <c r="C15231" t="str">
        <v>-</v>
      </c>
      <c r="D15231" t="str">
        <v>-</v>
      </c>
      <c r="E15231" t="str">
        <v>-</v>
      </c>
      <c r="F15231" t="str">
        <v>-</v>
      </c>
      <c r="G15231" t="str">
        <v>-</v>
      </c>
    </row>
    <row r="15232">
      <c r="A15232">
        <v>15231</v>
      </c>
      <c r="B15232" t="str">
        <v>Công an xã Triệu An  tỉnh Quảng Trị</v>
      </c>
      <c r="C15232" t="str">
        <v>-</v>
      </c>
      <c r="D15232" t="str">
        <v>-</v>
      </c>
      <c r="E15232" t="str">
        <v/>
      </c>
      <c r="F15232" t="str">
        <v>-</v>
      </c>
      <c r="G15232" t="str">
        <v>-</v>
      </c>
    </row>
    <row r="15233">
      <c r="A15233">
        <v>15232</v>
      </c>
      <c r="B15233" t="str">
        <v>UBND Ủy ban nhân dân xã Triệu An  tỉnh Quảng Trị</v>
      </c>
      <c r="C15233" t="str">
        <v>-</v>
      </c>
      <c r="D15233" t="str">
        <v>-</v>
      </c>
      <c r="E15233" t="str">
        <v>-</v>
      </c>
      <c r="F15233" t="str">
        <v>-</v>
      </c>
      <c r="G15233" t="str">
        <v>-</v>
      </c>
    </row>
    <row r="15234">
      <c r="A15234">
        <v>15233</v>
      </c>
      <c r="B15234" t="str">
        <v>Công an xã Triệu Vân  tỉnh Quảng Trị</v>
      </c>
      <c r="C15234" t="str">
        <v>-</v>
      </c>
      <c r="D15234" t="str">
        <v>-</v>
      </c>
      <c r="E15234" t="str">
        <v/>
      </c>
      <c r="F15234" t="str">
        <v>-</v>
      </c>
      <c r="G15234" t="str">
        <v>-</v>
      </c>
    </row>
    <row r="15235">
      <c r="A15235">
        <v>15234</v>
      </c>
      <c r="B15235" t="str">
        <v>UBND Ủy ban nhân dân xã Triệu Vân  tỉnh Quảng Trị</v>
      </c>
      <c r="C15235" t="str">
        <v>-</v>
      </c>
      <c r="D15235" t="str">
        <v>-</v>
      </c>
      <c r="E15235" t="str">
        <v>-</v>
      </c>
      <c r="F15235" t="str">
        <v>-</v>
      </c>
      <c r="G15235" t="str">
        <v>-</v>
      </c>
    </row>
    <row r="15236">
      <c r="A15236">
        <v>15235</v>
      </c>
      <c r="B15236" t="str">
        <v>Công an xã Triệu Phước  tỉnh Quảng Trị</v>
      </c>
      <c r="C15236" t="str">
        <v>-</v>
      </c>
      <c r="D15236" t="str">
        <v>-</v>
      </c>
      <c r="E15236" t="str">
        <v/>
      </c>
      <c r="F15236" t="str">
        <v>-</v>
      </c>
      <c r="G15236" t="str">
        <v>-</v>
      </c>
    </row>
    <row r="15237">
      <c r="A15237">
        <v>15236</v>
      </c>
      <c r="B15237" t="str">
        <v>UBND Ủy ban nhân dân xã Triệu Phước  tỉnh Quảng Trị</v>
      </c>
      <c r="C15237" t="str">
        <v>-</v>
      </c>
      <c r="D15237" t="str">
        <v>-</v>
      </c>
      <c r="E15237" t="str">
        <v>-</v>
      </c>
      <c r="F15237" t="str">
        <v>-</v>
      </c>
      <c r="G15237" t="str">
        <v>-</v>
      </c>
    </row>
    <row r="15238">
      <c r="A15238">
        <v>15237</v>
      </c>
      <c r="B15238" t="str">
        <v>Công an xã Triệu Độ  tỉnh Quảng Trị</v>
      </c>
      <c r="C15238" t="str">
        <v>-</v>
      </c>
      <c r="D15238" t="str">
        <v>-</v>
      </c>
      <c r="E15238" t="str">
        <v/>
      </c>
      <c r="F15238" t="str">
        <v>-</v>
      </c>
      <c r="G15238" t="str">
        <v>-</v>
      </c>
    </row>
    <row r="15239">
      <c r="A15239">
        <v>15238</v>
      </c>
      <c r="B15239" t="str">
        <v>UBND Ủy ban nhân dân xã Triệu Độ  tỉnh Quảng Trị</v>
      </c>
      <c r="C15239" t="str">
        <v>-</v>
      </c>
      <c r="D15239" t="str">
        <v>-</v>
      </c>
      <c r="E15239" t="str">
        <v>-</v>
      </c>
      <c r="F15239" t="str">
        <v>-</v>
      </c>
      <c r="G15239" t="str">
        <v>-</v>
      </c>
    </row>
    <row r="15240">
      <c r="A15240">
        <v>15239</v>
      </c>
      <c r="B15240" t="str">
        <v>Công an xã Triệu Trạch  tỉnh Quảng Trị</v>
      </c>
      <c r="C15240" t="str">
        <v>-</v>
      </c>
      <c r="D15240" t="str">
        <v>-</v>
      </c>
      <c r="E15240" t="str">
        <v/>
      </c>
      <c r="F15240" t="str">
        <v>-</v>
      </c>
      <c r="G15240" t="str">
        <v>-</v>
      </c>
    </row>
    <row r="15241">
      <c r="A15241">
        <v>15240</v>
      </c>
      <c r="B15241" t="str">
        <v>UBND Ủy ban nhân dân xã Triệu Trạch  tỉnh Quảng Trị</v>
      </c>
      <c r="C15241" t="str">
        <v>-</v>
      </c>
      <c r="D15241" t="str">
        <v>-</v>
      </c>
      <c r="E15241" t="str">
        <v>-</v>
      </c>
      <c r="F15241" t="str">
        <v>-</v>
      </c>
      <c r="G15241" t="str">
        <v>-</v>
      </c>
    </row>
    <row r="15242">
      <c r="A15242">
        <v>15241</v>
      </c>
      <c r="B15242" t="str">
        <v>Công an xã Triệu Thuận  tỉnh Quảng Trị</v>
      </c>
      <c r="C15242" t="str">
        <v>-</v>
      </c>
      <c r="D15242" t="str">
        <v>-</v>
      </c>
      <c r="E15242" t="str">
        <v/>
      </c>
      <c r="F15242" t="str">
        <v>-</v>
      </c>
      <c r="G15242" t="str">
        <v>-</v>
      </c>
    </row>
    <row r="15243">
      <c r="A15243">
        <v>15242</v>
      </c>
      <c r="B15243" t="str">
        <v>UBND Ủy ban nhân dân xã Triệu Thuận  tỉnh Quảng Trị</v>
      </c>
      <c r="C15243" t="str">
        <v>-</v>
      </c>
      <c r="D15243" t="str">
        <v>-</v>
      </c>
      <c r="E15243" t="str">
        <v>-</v>
      </c>
      <c r="F15243" t="str">
        <v>-</v>
      </c>
      <c r="G15243" t="str">
        <v>-</v>
      </c>
    </row>
    <row r="15244">
      <c r="A15244">
        <v>15243</v>
      </c>
      <c r="B15244" t="str">
        <v>Công an xã Triệu Đại  tỉnh Quảng Trị</v>
      </c>
      <c r="C15244" t="str">
        <v>-</v>
      </c>
      <c r="D15244" t="str">
        <v>-</v>
      </c>
      <c r="E15244" t="str">
        <v/>
      </c>
      <c r="F15244" t="str">
        <v>-</v>
      </c>
      <c r="G15244" t="str">
        <v>-</v>
      </c>
    </row>
    <row r="15245">
      <c r="A15245">
        <v>15244</v>
      </c>
      <c r="B15245" t="str">
        <v>UBND Ủy ban nhân dân xã Triệu Đại  tỉnh Quảng Trị</v>
      </c>
      <c r="C15245" t="str">
        <v>-</v>
      </c>
      <c r="D15245" t="str">
        <v>-</v>
      </c>
      <c r="E15245" t="str">
        <v>-</v>
      </c>
      <c r="F15245" t="str">
        <v>-</v>
      </c>
      <c r="G15245" t="str">
        <v>-</v>
      </c>
    </row>
    <row r="15246">
      <c r="A15246">
        <v>15245</v>
      </c>
      <c r="B15246" t="str">
        <v>Công an xã Triệu Hòa  tỉnh Quảng Trị</v>
      </c>
      <c r="C15246" t="str">
        <v>-</v>
      </c>
      <c r="D15246" t="str">
        <v>-</v>
      </c>
      <c r="E15246" t="str">
        <v/>
      </c>
      <c r="F15246" t="str">
        <v>-</v>
      </c>
      <c r="G15246" t="str">
        <v>-</v>
      </c>
    </row>
    <row r="15247">
      <c r="A15247">
        <v>15246</v>
      </c>
      <c r="B15247" t="str">
        <v>UBND Ủy ban nhân dân xã Triệu Hòa  tỉnh Quảng Trị</v>
      </c>
      <c r="C15247" t="str">
        <v>-</v>
      </c>
      <c r="D15247" t="str">
        <v>-</v>
      </c>
      <c r="E15247" t="str">
        <v>-</v>
      </c>
      <c r="F15247" t="str">
        <v>-</v>
      </c>
      <c r="G15247" t="str">
        <v>-</v>
      </c>
    </row>
    <row r="15248">
      <c r="A15248">
        <v>15247</v>
      </c>
      <c r="B15248" t="str">
        <v>Công an xã Triệu Lăng  tỉnh Quảng Trị</v>
      </c>
      <c r="C15248" t="str">
        <v>-</v>
      </c>
      <c r="D15248" t="str">
        <v>-</v>
      </c>
      <c r="E15248" t="str">
        <v/>
      </c>
      <c r="F15248" t="str">
        <v>-</v>
      </c>
      <c r="G15248" t="str">
        <v>-</v>
      </c>
    </row>
    <row r="15249">
      <c r="A15249">
        <v>15248</v>
      </c>
      <c r="B15249" t="str">
        <v>UBND Ủy ban nhân dân xã Triệu Lăng  tỉnh Quảng Trị</v>
      </c>
      <c r="C15249" t="str">
        <v>-</v>
      </c>
      <c r="D15249" t="str">
        <v>-</v>
      </c>
      <c r="E15249" t="str">
        <v>-</v>
      </c>
      <c r="F15249" t="str">
        <v>-</v>
      </c>
      <c r="G15249" t="str">
        <v>-</v>
      </c>
    </row>
    <row r="15250">
      <c r="A15250">
        <v>15249</v>
      </c>
      <c r="B15250" t="str">
        <v>Công an xã Triệu Sơn  tỉnh Quảng Trị</v>
      </c>
      <c r="C15250" t="str">
        <v>-</v>
      </c>
      <c r="D15250" t="str">
        <v>-</v>
      </c>
      <c r="E15250" t="str">
        <v/>
      </c>
      <c r="F15250" t="str">
        <v>-</v>
      </c>
      <c r="G15250" t="str">
        <v>-</v>
      </c>
    </row>
    <row r="15251">
      <c r="A15251">
        <v>15250</v>
      </c>
      <c r="B15251" t="str">
        <v>UBND Ủy ban nhân dân xã Triệu Sơn  tỉnh Quảng Trị</v>
      </c>
      <c r="C15251" t="str">
        <v>-</v>
      </c>
      <c r="D15251" t="str">
        <v>-</v>
      </c>
      <c r="E15251" t="str">
        <v>-</v>
      </c>
      <c r="F15251" t="str">
        <v>-</v>
      </c>
      <c r="G15251" t="str">
        <v>-</v>
      </c>
    </row>
    <row r="15252">
      <c r="A15252">
        <v>15251</v>
      </c>
      <c r="B15252" t="str">
        <v>Công an xã Triệu Long  tỉnh Quảng Trị</v>
      </c>
      <c r="C15252" t="str">
        <v>-</v>
      </c>
      <c r="D15252" t="str">
        <v>-</v>
      </c>
      <c r="E15252" t="str">
        <v/>
      </c>
      <c r="F15252" t="str">
        <v>-</v>
      </c>
      <c r="G15252" t="str">
        <v>-</v>
      </c>
    </row>
    <row r="15253">
      <c r="A15253">
        <v>15252</v>
      </c>
      <c r="B15253" t="str">
        <v>UBND Ủy ban nhân dân xã Triệu Long  tỉnh Quảng Trị</v>
      </c>
      <c r="C15253" t="str">
        <v>-</v>
      </c>
      <c r="D15253" t="str">
        <v>-</v>
      </c>
      <c r="E15253" t="str">
        <v>-</v>
      </c>
      <c r="F15253" t="str">
        <v>-</v>
      </c>
      <c r="G15253" t="str">
        <v>-</v>
      </c>
    </row>
    <row r="15254">
      <c r="A15254">
        <v>15253</v>
      </c>
      <c r="B15254" t="str">
        <v>Công an xã Triệu Tài  tỉnh Quảng Trị</v>
      </c>
      <c r="C15254" t="str">
        <v>-</v>
      </c>
      <c r="D15254" t="str">
        <v>-</v>
      </c>
      <c r="E15254" t="str">
        <v/>
      </c>
      <c r="F15254" t="str">
        <v>-</v>
      </c>
      <c r="G15254" t="str">
        <v>-</v>
      </c>
    </row>
    <row r="15255">
      <c r="A15255">
        <v>15254</v>
      </c>
      <c r="B15255" t="str">
        <v>UBND Ủy ban nhân dân xã Triệu Tài  tỉnh Quảng Trị</v>
      </c>
      <c r="C15255" t="str">
        <v>-</v>
      </c>
      <c r="D15255" t="str">
        <v>-</v>
      </c>
      <c r="E15255" t="str">
        <v>-</v>
      </c>
      <c r="F15255" t="str">
        <v>-</v>
      </c>
      <c r="G15255" t="str">
        <v>-</v>
      </c>
    </row>
    <row r="15256">
      <c r="A15256">
        <v>15255</v>
      </c>
      <c r="B15256" t="str">
        <v>Công an xã Triệu Đông  tỉnh Quảng Trị</v>
      </c>
      <c r="C15256" t="str">
        <v>-</v>
      </c>
      <c r="D15256" t="str">
        <v>-</v>
      </c>
      <c r="E15256" t="str">
        <v/>
      </c>
      <c r="F15256" t="str">
        <v>-</v>
      </c>
      <c r="G15256" t="str">
        <v>-</v>
      </c>
    </row>
    <row r="15257">
      <c r="A15257">
        <v>15256</v>
      </c>
      <c r="B15257" t="str">
        <v>UBND Ủy ban nhân dân xã Triệu Đông  tỉnh Quảng Trị</v>
      </c>
      <c r="C15257" t="str">
        <v>-</v>
      </c>
      <c r="D15257" t="str">
        <v>-</v>
      </c>
      <c r="E15257" t="str">
        <v>-</v>
      </c>
      <c r="F15257" t="str">
        <v>-</v>
      </c>
      <c r="G15257" t="str">
        <v>-</v>
      </c>
    </row>
    <row r="15258">
      <c r="A15258">
        <v>15257</v>
      </c>
      <c r="B15258" t="str">
        <v>Công an xã Triệu Trung  tỉnh Quảng Trị</v>
      </c>
      <c r="C15258" t="str">
        <v>-</v>
      </c>
      <c r="D15258" t="str">
        <v>-</v>
      </c>
      <c r="E15258" t="str">
        <v/>
      </c>
      <c r="F15258" t="str">
        <v>-</v>
      </c>
      <c r="G15258" t="str">
        <v>-</v>
      </c>
    </row>
    <row r="15259">
      <c r="A15259">
        <v>15258</v>
      </c>
      <c r="B15259" t="str">
        <v>UBND Ủy ban nhân dân xã Triệu Trung  tỉnh Quảng Trị</v>
      </c>
      <c r="C15259" t="str">
        <v>-</v>
      </c>
      <c r="D15259" t="str">
        <v>-</v>
      </c>
      <c r="E15259" t="str">
        <v>-</v>
      </c>
      <c r="F15259" t="str">
        <v>-</v>
      </c>
      <c r="G15259" t="str">
        <v>-</v>
      </c>
    </row>
    <row r="15260">
      <c r="A15260">
        <v>15259</v>
      </c>
      <c r="B15260" t="str">
        <v>Công an xã Triệu Ái  tỉnh Quảng Trị</v>
      </c>
      <c r="C15260" t="str">
        <v>-</v>
      </c>
      <c r="D15260" t="str">
        <v>-</v>
      </c>
      <c r="E15260" t="str">
        <v/>
      </c>
      <c r="F15260" t="str">
        <v>-</v>
      </c>
      <c r="G15260" t="str">
        <v>-</v>
      </c>
    </row>
    <row r="15261">
      <c r="A15261">
        <v>15260</v>
      </c>
      <c r="B15261" t="str">
        <v>UBND Ủy ban nhân dân xã Triệu Ái  tỉnh Quảng Trị</v>
      </c>
      <c r="C15261" t="str">
        <v>-</v>
      </c>
      <c r="D15261" t="str">
        <v>-</v>
      </c>
      <c r="E15261" t="str">
        <v>-</v>
      </c>
      <c r="F15261" t="str">
        <v>-</v>
      </c>
      <c r="G15261" t="str">
        <v>-</v>
      </c>
    </row>
    <row r="15262">
      <c r="A15262">
        <v>15261</v>
      </c>
      <c r="B15262" t="str">
        <v>Công an xã Triệu Thượng  tỉnh Quảng Trị</v>
      </c>
      <c r="C15262" t="str">
        <v>-</v>
      </c>
      <c r="D15262" t="str">
        <v>-</v>
      </c>
      <c r="E15262" t="str">
        <v/>
      </c>
      <c r="F15262" t="str">
        <v>-</v>
      </c>
      <c r="G15262" t="str">
        <v>-</v>
      </c>
    </row>
    <row r="15263">
      <c r="A15263">
        <v>15262</v>
      </c>
      <c r="B15263" t="str">
        <v>UBND Ủy ban nhân dân xã Triệu Thượng  tỉnh Quảng Trị</v>
      </c>
      <c r="C15263" t="str">
        <v>-</v>
      </c>
      <c r="D15263" t="str">
        <v>-</v>
      </c>
      <c r="E15263" t="str">
        <v>-</v>
      </c>
      <c r="F15263" t="str">
        <v>-</v>
      </c>
      <c r="G15263" t="str">
        <v>-</v>
      </c>
    </row>
    <row r="15264">
      <c r="A15264">
        <v>15263</v>
      </c>
      <c r="B15264" t="str">
        <v>Công an xã Triệu Giang  tỉnh Quảng Trị</v>
      </c>
      <c r="C15264" t="str">
        <v>-</v>
      </c>
      <c r="D15264" t="str">
        <v>-</v>
      </c>
      <c r="E15264" t="str">
        <v/>
      </c>
      <c r="F15264" t="str">
        <v>-</v>
      </c>
      <c r="G15264" t="str">
        <v>-</v>
      </c>
    </row>
    <row r="15265">
      <c r="A15265">
        <v>15264</v>
      </c>
      <c r="B15265" t="str">
        <v>UBND Ủy ban nhân dân xã Triệu Giang  tỉnh Quảng Trị</v>
      </c>
      <c r="C15265" t="str">
        <v>-</v>
      </c>
      <c r="D15265" t="str">
        <v>-</v>
      </c>
      <c r="E15265" t="str">
        <v>-</v>
      </c>
      <c r="F15265" t="str">
        <v>-</v>
      </c>
      <c r="G15265" t="str">
        <v>-</v>
      </c>
    </row>
    <row r="15266">
      <c r="A15266">
        <v>15265</v>
      </c>
      <c r="B15266" t="str">
        <v>Công an xã Triệu Thành  tỉnh Quảng Trị</v>
      </c>
      <c r="C15266" t="str">
        <v>-</v>
      </c>
      <c r="D15266" t="str">
        <v>-</v>
      </c>
      <c r="E15266" t="str">
        <v/>
      </c>
      <c r="F15266" t="str">
        <v>-</v>
      </c>
      <c r="G15266" t="str">
        <v>-</v>
      </c>
    </row>
    <row r="15267">
      <c r="A15267">
        <v>15266</v>
      </c>
      <c r="B15267" t="str">
        <v>UBND Ủy ban nhân dân xã Triệu Thành  tỉnh Quảng Trị</v>
      </c>
      <c r="C15267" t="str">
        <v>-</v>
      </c>
      <c r="D15267" t="str">
        <v>-</v>
      </c>
      <c r="E15267" t="str">
        <v>-</v>
      </c>
      <c r="F15267" t="str">
        <v>-</v>
      </c>
      <c r="G15267" t="str">
        <v>-</v>
      </c>
    </row>
    <row r="15268">
      <c r="A15268">
        <v>15267</v>
      </c>
      <c r="B15268" t="str">
        <v>Công an xã Hải An  tỉnh Quảng Trị</v>
      </c>
      <c r="C15268" t="str">
        <v>-</v>
      </c>
      <c r="D15268" t="str">
        <v>-</v>
      </c>
      <c r="E15268" t="str">
        <v/>
      </c>
      <c r="F15268" t="str">
        <v>-</v>
      </c>
      <c r="G15268" t="str">
        <v>-</v>
      </c>
    </row>
    <row r="15269">
      <c r="A15269">
        <v>15268</v>
      </c>
      <c r="B15269" t="str">
        <v>UBND Ủy ban nhân dân xã Hải An  tỉnh Quảng Trị</v>
      </c>
      <c r="C15269" t="str">
        <v>-</v>
      </c>
      <c r="D15269" t="str">
        <v>-</v>
      </c>
      <c r="E15269" t="str">
        <v>-</v>
      </c>
      <c r="F15269" t="str">
        <v>-</v>
      </c>
      <c r="G15269" t="str">
        <v>-</v>
      </c>
    </row>
    <row r="15270">
      <c r="A15270">
        <v>15269</v>
      </c>
      <c r="B15270" t="str">
        <v>Công an xã Hải Ba  tỉnh Quảng Trị</v>
      </c>
      <c r="C15270" t="str">
        <v>-</v>
      </c>
      <c r="D15270" t="str">
        <v>-</v>
      </c>
      <c r="E15270" t="str">
        <v/>
      </c>
      <c r="F15270" t="str">
        <v>-</v>
      </c>
      <c r="G15270" t="str">
        <v>-</v>
      </c>
    </row>
    <row r="15271">
      <c r="A15271">
        <v>15270</v>
      </c>
      <c r="B15271" t="str">
        <v>UBND Ủy ban nhân dân xã Hải Ba  tỉnh Quảng Trị</v>
      </c>
      <c r="C15271" t="str">
        <v>-</v>
      </c>
      <c r="D15271" t="str">
        <v>-</v>
      </c>
      <c r="E15271" t="str">
        <v>-</v>
      </c>
      <c r="F15271" t="str">
        <v>-</v>
      </c>
      <c r="G15271" t="str">
        <v>-</v>
      </c>
    </row>
    <row r="15272">
      <c r="A15272">
        <v>15271</v>
      </c>
      <c r="B15272" t="str">
        <v>Công an xã Hải Xuân  tỉnh Quảng Trị</v>
      </c>
      <c r="C15272" t="str">
        <v>-</v>
      </c>
      <c r="D15272" t="str">
        <v>-</v>
      </c>
      <c r="E15272" t="str">
        <v/>
      </c>
      <c r="F15272" t="str">
        <v>-</v>
      </c>
      <c r="G15272" t="str">
        <v>-</v>
      </c>
    </row>
    <row r="15273">
      <c r="A15273">
        <v>15272</v>
      </c>
      <c r="B15273" t="str">
        <v>UBND Ủy ban nhân dân xã Hải Xuân  tỉnh Quảng Trị</v>
      </c>
      <c r="C15273" t="str">
        <v>-</v>
      </c>
      <c r="D15273" t="str">
        <v>-</v>
      </c>
      <c r="E15273" t="str">
        <v>-</v>
      </c>
      <c r="F15273" t="str">
        <v>-</v>
      </c>
      <c r="G15273" t="str">
        <v>-</v>
      </c>
    </row>
    <row r="15274">
      <c r="A15274">
        <v>15273</v>
      </c>
      <c r="B15274" t="str">
        <v>Công an xã Hải Quy  tỉnh Quảng Trị</v>
      </c>
      <c r="C15274" t="str">
        <v>-</v>
      </c>
      <c r="D15274" t="str">
        <v>-</v>
      </c>
      <c r="E15274" t="str">
        <v/>
      </c>
      <c r="F15274" t="str">
        <v>-</v>
      </c>
      <c r="G15274" t="str">
        <v>-</v>
      </c>
    </row>
    <row r="15275">
      <c r="A15275">
        <v>15274</v>
      </c>
      <c r="B15275" t="str">
        <v>UBND Ủy ban nhân dân xã Hải Quy  tỉnh Quảng Trị</v>
      </c>
      <c r="C15275" t="str">
        <v>-</v>
      </c>
      <c r="D15275" t="str">
        <v>-</v>
      </c>
      <c r="E15275" t="str">
        <v>-</v>
      </c>
      <c r="F15275" t="str">
        <v>-</v>
      </c>
      <c r="G15275" t="str">
        <v>-</v>
      </c>
    </row>
    <row r="15276">
      <c r="A15276">
        <v>15275</v>
      </c>
      <c r="B15276" t="str">
        <v>Công an xã Hải Quế  tỉnh Quảng Trị</v>
      </c>
      <c r="C15276" t="str">
        <v>-</v>
      </c>
      <c r="D15276" t="str">
        <v>-</v>
      </c>
      <c r="E15276" t="str">
        <v/>
      </c>
      <c r="F15276" t="str">
        <v>-</v>
      </c>
      <c r="G15276" t="str">
        <v>-</v>
      </c>
    </row>
    <row r="15277">
      <c r="A15277">
        <v>15276</v>
      </c>
      <c r="B15277" t="str">
        <v>UBND Ủy ban nhân dân xã Hải Quế  tỉnh Quảng Trị</v>
      </c>
      <c r="C15277" t="str">
        <v>-</v>
      </c>
      <c r="D15277" t="str">
        <v>-</v>
      </c>
      <c r="E15277" t="str">
        <v>-</v>
      </c>
      <c r="F15277" t="str">
        <v>-</v>
      </c>
      <c r="G15277" t="str">
        <v>-</v>
      </c>
    </row>
    <row r="15278">
      <c r="A15278">
        <v>15277</v>
      </c>
      <c r="B15278" t="str">
        <v>Công an xã Hải Vĩnh  tỉnh Quảng Trị</v>
      </c>
      <c r="C15278" t="str">
        <v>-</v>
      </c>
      <c r="D15278" t="str">
        <v>-</v>
      </c>
      <c r="E15278" t="str">
        <v/>
      </c>
      <c r="F15278" t="str">
        <v>-</v>
      </c>
      <c r="G15278" t="str">
        <v>-</v>
      </c>
    </row>
    <row r="15279">
      <c r="A15279">
        <v>15278</v>
      </c>
      <c r="B15279" t="str">
        <v>UBND Ủy ban nhân dân xã Hải Vĩnh  tỉnh Quảng Trị</v>
      </c>
      <c r="C15279" t="str">
        <v>-</v>
      </c>
      <c r="D15279" t="str">
        <v>-</v>
      </c>
      <c r="E15279" t="str">
        <v>-</v>
      </c>
      <c r="F15279" t="str">
        <v>-</v>
      </c>
      <c r="G15279" t="str">
        <v>-</v>
      </c>
    </row>
    <row r="15280">
      <c r="A15280">
        <v>15279</v>
      </c>
      <c r="B15280" t="str">
        <v>Công an xã Hải Phú  tỉnh Quảng Trị</v>
      </c>
      <c r="C15280" t="str">
        <v>-</v>
      </c>
      <c r="D15280" t="str">
        <v>-</v>
      </c>
      <c r="E15280" t="str">
        <v/>
      </c>
      <c r="F15280" t="str">
        <v>-</v>
      </c>
      <c r="G15280" t="str">
        <v>-</v>
      </c>
    </row>
    <row r="15281">
      <c r="A15281">
        <v>15280</v>
      </c>
      <c r="B15281" t="str">
        <v>UBND Ủy ban nhân dân xã Hải Phú  tỉnh Quảng Trị</v>
      </c>
      <c r="C15281" t="str">
        <v>-</v>
      </c>
      <c r="D15281" t="str">
        <v>-</v>
      </c>
      <c r="E15281" t="str">
        <v>-</v>
      </c>
      <c r="F15281" t="str">
        <v>-</v>
      </c>
      <c r="G15281" t="str">
        <v>-</v>
      </c>
    </row>
    <row r="15282">
      <c r="A15282">
        <v>15281</v>
      </c>
      <c r="B15282" t="str">
        <v>Công an xã Hải Thượng  tỉnh Quảng Trị</v>
      </c>
      <c r="C15282" t="str">
        <v>-</v>
      </c>
      <c r="D15282" t="str">
        <v>-</v>
      </c>
      <c r="E15282" t="str">
        <v/>
      </c>
      <c r="F15282" t="str">
        <v>-</v>
      </c>
      <c r="G15282" t="str">
        <v>-</v>
      </c>
    </row>
    <row r="15283">
      <c r="A15283">
        <v>15282</v>
      </c>
      <c r="B15283" t="str">
        <v>UBND Ủy ban nhân dân xã Hải Thượng  tỉnh Quảng Trị</v>
      </c>
      <c r="C15283" t="str">
        <v>-</v>
      </c>
      <c r="D15283" t="str">
        <v>-</v>
      </c>
      <c r="E15283" t="str">
        <v>-</v>
      </c>
      <c r="F15283" t="str">
        <v>-</v>
      </c>
      <c r="G15283" t="str">
        <v>-</v>
      </c>
    </row>
    <row r="15284">
      <c r="A15284">
        <v>15283</v>
      </c>
      <c r="B15284" t="str">
        <v>Công an xã Hải Dương  tỉnh Quảng Trị</v>
      </c>
      <c r="C15284" t="str">
        <v>-</v>
      </c>
      <c r="D15284" t="str">
        <v>-</v>
      </c>
      <c r="E15284" t="str">
        <v/>
      </c>
      <c r="F15284" t="str">
        <v>-</v>
      </c>
      <c r="G15284" t="str">
        <v>-</v>
      </c>
    </row>
    <row r="15285">
      <c r="A15285">
        <v>15284</v>
      </c>
      <c r="B15285" t="str">
        <v>UBND Ủy ban nhân dân xã Hải Dương  tỉnh Quảng Trị</v>
      </c>
      <c r="C15285" t="str">
        <v>-</v>
      </c>
      <c r="D15285" t="str">
        <v>-</v>
      </c>
      <c r="E15285" t="str">
        <v>-</v>
      </c>
      <c r="F15285" t="str">
        <v>-</v>
      </c>
      <c r="G15285" t="str">
        <v>-</v>
      </c>
    </row>
    <row r="15286">
      <c r="A15286">
        <v>15285</v>
      </c>
      <c r="B15286" t="str">
        <v>Công an xã Hải Thiện  tỉnh Quảng Trị</v>
      </c>
      <c r="C15286" t="str">
        <v>-</v>
      </c>
      <c r="D15286" t="str">
        <v>-</v>
      </c>
      <c r="E15286" t="str">
        <v/>
      </c>
      <c r="F15286" t="str">
        <v>-</v>
      </c>
      <c r="G15286" t="str">
        <v>-</v>
      </c>
    </row>
    <row r="15287">
      <c r="A15287">
        <v>15286</v>
      </c>
      <c r="B15287" t="str">
        <v>UBND Ủy ban nhân dân xã Hải Thiện  tỉnh Quảng Trị</v>
      </c>
      <c r="C15287" t="str">
        <v>-</v>
      </c>
      <c r="D15287" t="str">
        <v>-</v>
      </c>
      <c r="E15287" t="str">
        <v>-</v>
      </c>
      <c r="F15287" t="str">
        <v>-</v>
      </c>
      <c r="G15287" t="str">
        <v>-</v>
      </c>
    </row>
    <row r="15288">
      <c r="A15288">
        <v>15287</v>
      </c>
      <c r="B15288" t="str">
        <v>Công an xã Hải Lâm  tỉnh Quảng Trị</v>
      </c>
      <c r="C15288" t="str">
        <v>-</v>
      </c>
      <c r="D15288" t="str">
        <v>-</v>
      </c>
      <c r="E15288" t="str">
        <v/>
      </c>
      <c r="F15288" t="str">
        <v>-</v>
      </c>
      <c r="G15288" t="str">
        <v>-</v>
      </c>
    </row>
    <row r="15289">
      <c r="A15289">
        <v>15288</v>
      </c>
      <c r="B15289" t="str">
        <v>UBND Ủy ban nhân dân xã Hải Lâm  tỉnh Quảng Trị</v>
      </c>
      <c r="C15289" t="str">
        <v>-</v>
      </c>
      <c r="D15289" t="str">
        <v>-</v>
      </c>
      <c r="E15289" t="str">
        <v>-</v>
      </c>
      <c r="F15289" t="str">
        <v>-</v>
      </c>
      <c r="G15289" t="str">
        <v>-</v>
      </c>
    </row>
    <row r="15290">
      <c r="A15290">
        <v>15289</v>
      </c>
      <c r="B15290" t="str">
        <v>Công an xã Hải Thành  tỉnh Quảng Trị</v>
      </c>
      <c r="C15290" t="str">
        <v>-</v>
      </c>
      <c r="D15290" t="str">
        <v>-</v>
      </c>
      <c r="E15290" t="str">
        <v/>
      </c>
      <c r="F15290" t="str">
        <v>-</v>
      </c>
      <c r="G15290" t="str">
        <v>-</v>
      </c>
    </row>
    <row r="15291">
      <c r="A15291">
        <v>15290</v>
      </c>
      <c r="B15291" t="str">
        <v>UBND Ủy ban nhân dân xã Hải Thành  tỉnh Quảng Trị</v>
      </c>
      <c r="C15291" t="str">
        <v>-</v>
      </c>
      <c r="D15291" t="str">
        <v>-</v>
      </c>
      <c r="E15291" t="str">
        <v>-</v>
      </c>
      <c r="F15291" t="str">
        <v>-</v>
      </c>
      <c r="G15291" t="str">
        <v>-</v>
      </c>
    </row>
    <row r="15292">
      <c r="A15292">
        <v>15291</v>
      </c>
      <c r="B15292" t="str">
        <v>Công an xã Hải Hòa  tỉnh Quảng Trị</v>
      </c>
      <c r="C15292" t="str">
        <v>-</v>
      </c>
      <c r="D15292" t="str">
        <v>-</v>
      </c>
      <c r="E15292" t="str">
        <v/>
      </c>
      <c r="F15292" t="str">
        <v>-</v>
      </c>
      <c r="G15292" t="str">
        <v>-</v>
      </c>
    </row>
    <row r="15293">
      <c r="A15293">
        <v>15292</v>
      </c>
      <c r="B15293" t="str">
        <v>UBND Ủy ban nhân dân xã Hải Hòa  tỉnh Quảng Trị</v>
      </c>
      <c r="C15293" t="str">
        <v>-</v>
      </c>
      <c r="D15293" t="str">
        <v>-</v>
      </c>
      <c r="E15293" t="str">
        <v>-</v>
      </c>
      <c r="F15293" t="str">
        <v>-</v>
      </c>
      <c r="G15293" t="str">
        <v>-</v>
      </c>
    </row>
    <row r="15294">
      <c r="A15294">
        <v>15293</v>
      </c>
      <c r="B15294" t="str">
        <v>Công an xã Hải Tân  tỉnh Quảng Trị</v>
      </c>
      <c r="C15294" t="str">
        <v>-</v>
      </c>
      <c r="D15294" t="str">
        <v>-</v>
      </c>
      <c r="E15294" t="str">
        <v/>
      </c>
      <c r="F15294" t="str">
        <v>-</v>
      </c>
      <c r="G15294" t="str">
        <v>-</v>
      </c>
    </row>
    <row r="15295">
      <c r="A15295">
        <v>15294</v>
      </c>
      <c r="B15295" t="str">
        <v>UBND Ủy ban nhân dân xã Hải Tân  tỉnh Quảng Trị</v>
      </c>
      <c r="C15295" t="str">
        <v>-</v>
      </c>
      <c r="D15295" t="str">
        <v>-</v>
      </c>
      <c r="E15295" t="str">
        <v>-</v>
      </c>
      <c r="F15295" t="str">
        <v>-</v>
      </c>
      <c r="G15295" t="str">
        <v>-</v>
      </c>
    </row>
    <row r="15296">
      <c r="A15296">
        <v>15295</v>
      </c>
      <c r="B15296" t="str">
        <v>Công an xã Hải Trường  tỉnh Quảng Trị</v>
      </c>
      <c r="C15296" t="str">
        <v>-</v>
      </c>
      <c r="D15296" t="str">
        <v>-</v>
      </c>
      <c r="E15296" t="str">
        <v/>
      </c>
      <c r="F15296" t="str">
        <v>-</v>
      </c>
      <c r="G15296" t="str">
        <v>-</v>
      </c>
    </row>
    <row r="15297">
      <c r="A15297">
        <v>15296</v>
      </c>
      <c r="B15297" t="str">
        <v>UBND Ủy ban nhân dân xã Hải Trường  tỉnh Quảng Trị</v>
      </c>
      <c r="C15297" t="str">
        <v>-</v>
      </c>
      <c r="D15297" t="str">
        <v>-</v>
      </c>
      <c r="E15297" t="str">
        <v>-</v>
      </c>
      <c r="F15297" t="str">
        <v>-</v>
      </c>
      <c r="G15297" t="str">
        <v>-</v>
      </c>
    </row>
    <row r="15298">
      <c r="A15298">
        <v>15297</v>
      </c>
      <c r="B15298" t="str">
        <v>Công an xã Hải Thọ  tỉnh Quảng Trị</v>
      </c>
      <c r="C15298" t="str">
        <v>-</v>
      </c>
      <c r="D15298" t="str">
        <v>-</v>
      </c>
      <c r="E15298" t="str">
        <v/>
      </c>
      <c r="F15298" t="str">
        <v>-</v>
      </c>
      <c r="G15298" t="str">
        <v>-</v>
      </c>
    </row>
    <row r="15299">
      <c r="A15299">
        <v>15298</v>
      </c>
      <c r="B15299" t="str">
        <v>UBND Ủy ban nhân dân xã Hải Thọ  tỉnh Quảng Trị</v>
      </c>
      <c r="C15299" t="str">
        <v>-</v>
      </c>
      <c r="D15299" t="str">
        <v>-</v>
      </c>
      <c r="E15299" t="str">
        <v>-</v>
      </c>
      <c r="F15299" t="str">
        <v>-</v>
      </c>
      <c r="G15299" t="str">
        <v>-</v>
      </c>
    </row>
    <row r="15300">
      <c r="A15300">
        <v>15299</v>
      </c>
      <c r="B15300" t="str">
        <v>Công an xã Hải Sơn  tỉnh Quảng Trị</v>
      </c>
      <c r="C15300" t="str">
        <v>-</v>
      </c>
      <c r="D15300" t="str">
        <v>-</v>
      </c>
      <c r="E15300" t="str">
        <v/>
      </c>
      <c r="F15300" t="str">
        <v>-</v>
      </c>
      <c r="G15300" t="str">
        <v>-</v>
      </c>
    </row>
    <row r="15301">
      <c r="A15301">
        <v>15300</v>
      </c>
      <c r="B15301" t="str">
        <v>UBND Ủy ban nhân dân xã Hải Sơn  tỉnh Quảng Trị</v>
      </c>
      <c r="C15301" t="str">
        <v>-</v>
      </c>
      <c r="D15301" t="str">
        <v>-</v>
      </c>
      <c r="E15301" t="str">
        <v>-</v>
      </c>
      <c r="F15301" t="str">
        <v>-</v>
      </c>
      <c r="G15301" t="str">
        <v>-</v>
      </c>
    </row>
    <row r="15302">
      <c r="A15302">
        <v>15301</v>
      </c>
      <c r="B15302" t="str">
        <v>Công an xã Hải Chánh  tỉnh Quảng Trị</v>
      </c>
      <c r="C15302" t="str">
        <v>-</v>
      </c>
      <c r="D15302" t="str">
        <v>-</v>
      </c>
      <c r="E15302" t="str">
        <v/>
      </c>
      <c r="F15302" t="str">
        <v>-</v>
      </c>
      <c r="G15302" t="str">
        <v>-</v>
      </c>
    </row>
    <row r="15303">
      <c r="A15303">
        <v>15302</v>
      </c>
      <c r="B15303" t="str">
        <v>UBND Ủy ban nhân dân xã Hải Chánh  tỉnh Quảng Trị</v>
      </c>
      <c r="C15303" t="str">
        <v>-</v>
      </c>
      <c r="D15303" t="str">
        <v>-</v>
      </c>
      <c r="E15303" t="str">
        <v>-</v>
      </c>
      <c r="F15303" t="str">
        <v>-</v>
      </c>
      <c r="G15303" t="str">
        <v>-</v>
      </c>
    </row>
    <row r="15304">
      <c r="A15304">
        <v>15303</v>
      </c>
      <c r="B15304" t="str">
        <v>Công an xã Hải Khê  tỉnh Quảng Trị</v>
      </c>
      <c r="C15304" t="str">
        <v>-</v>
      </c>
      <c r="D15304" t="str">
        <v>-</v>
      </c>
      <c r="E15304" t="str">
        <v/>
      </c>
      <c r="F15304" t="str">
        <v>-</v>
      </c>
      <c r="G15304" t="str">
        <v>-</v>
      </c>
    </row>
    <row r="15305">
      <c r="A15305">
        <v>15304</v>
      </c>
      <c r="B15305" t="str">
        <v>UBND Ủy ban nhân dân xã Hải Khê  tỉnh Quảng Trị</v>
      </c>
      <c r="C15305" t="str">
        <v>-</v>
      </c>
      <c r="D15305" t="str">
        <v>-</v>
      </c>
      <c r="E15305" t="str">
        <v>-</v>
      </c>
      <c r="F15305" t="str">
        <v>-</v>
      </c>
      <c r="G15305" t="str">
        <v>-</v>
      </c>
    </row>
    <row r="15306">
      <c r="A15306">
        <v>15305</v>
      </c>
      <c r="B15306" t="str">
        <v>Công an phường Phú Thuận  tỉnh Thừa Thiên Huế</v>
      </c>
      <c r="C15306" t="str">
        <v>-</v>
      </c>
      <c r="D15306" t="str">
        <v>-</v>
      </c>
      <c r="E15306" t="str">
        <v/>
      </c>
      <c r="F15306" t="str">
        <v>-</v>
      </c>
      <c r="G15306" t="str">
        <v>-</v>
      </c>
    </row>
    <row r="15307">
      <c r="A15307">
        <v>15306</v>
      </c>
      <c r="B15307" t="str">
        <v>UBND Ủy ban nhân dân phường Phú Thuận  tỉnh Thừa Thiên Huế</v>
      </c>
      <c r="C15307" t="str">
        <v>-</v>
      </c>
      <c r="D15307" t="str">
        <v>-</v>
      </c>
      <c r="E15307" t="str">
        <v>-</v>
      </c>
      <c r="F15307" t="str">
        <v>-</v>
      </c>
      <c r="G15307" t="str">
        <v>-</v>
      </c>
    </row>
    <row r="15308">
      <c r="A15308">
        <v>15307</v>
      </c>
      <c r="B15308" t="str">
        <v>Công an phường Phú Bình  tỉnh Thừa Thiên Huế</v>
      </c>
      <c r="C15308" t="str">
        <v>-</v>
      </c>
      <c r="D15308" t="str">
        <v>-</v>
      </c>
      <c r="E15308" t="str">
        <v/>
      </c>
      <c r="F15308" t="str">
        <v>-</v>
      </c>
      <c r="G15308" t="str">
        <v>-</v>
      </c>
    </row>
    <row r="15309">
      <c r="A15309">
        <v>15308</v>
      </c>
      <c r="B15309" t="str">
        <v>UBND Ủy ban nhân dân phường Phú Bình  tỉnh Thừa Thiên Huế</v>
      </c>
      <c r="C15309" t="str">
        <v>-</v>
      </c>
      <c r="D15309" t="str">
        <v>-</v>
      </c>
      <c r="E15309" t="str">
        <v>-</v>
      </c>
      <c r="F15309" t="str">
        <v>-</v>
      </c>
      <c r="G15309" t="str">
        <v>-</v>
      </c>
    </row>
    <row r="15310">
      <c r="A15310">
        <v>15309</v>
      </c>
      <c r="B15310" t="str">
        <v>Công an phường Tây Lộc  tỉnh Thừa Thiên Huế</v>
      </c>
      <c r="C15310" t="str">
        <v>-</v>
      </c>
      <c r="D15310" t="str">
        <v>-</v>
      </c>
      <c r="E15310" t="str">
        <v/>
      </c>
      <c r="F15310" t="str">
        <v>-</v>
      </c>
      <c r="G15310" t="str">
        <v>-</v>
      </c>
    </row>
    <row r="15311">
      <c r="A15311">
        <v>15310</v>
      </c>
      <c r="B15311" t="str">
        <v>UBND Ủy ban nhân dân phường Tây Lộc  tỉnh Thừa Thiên Huế</v>
      </c>
      <c r="C15311" t="str">
        <v>-</v>
      </c>
      <c r="D15311" t="str">
        <v>-</v>
      </c>
      <c r="E15311" t="str">
        <v>-</v>
      </c>
      <c r="F15311" t="str">
        <v>-</v>
      </c>
      <c r="G15311" t="str">
        <v>-</v>
      </c>
    </row>
    <row r="15312">
      <c r="A15312">
        <v>15311</v>
      </c>
      <c r="B15312" t="str">
        <v>Công an phường Thuận Lộc  tỉnh Thừa Thiên Huế</v>
      </c>
      <c r="C15312" t="str">
        <v>-</v>
      </c>
      <c r="D15312" t="str">
        <v>-</v>
      </c>
      <c r="E15312" t="str">
        <v/>
      </c>
      <c r="F15312" t="str">
        <v>-</v>
      </c>
      <c r="G15312" t="str">
        <v>-</v>
      </c>
    </row>
    <row r="15313">
      <c r="A15313">
        <v>15312</v>
      </c>
      <c r="B15313" t="str">
        <v>UBND Ủy ban nhân dân phường Thuận Lộc  tỉnh Thừa Thiên Huế</v>
      </c>
      <c r="C15313" t="str">
        <v>-</v>
      </c>
      <c r="D15313" t="str">
        <v>-</v>
      </c>
      <c r="E15313" t="str">
        <v>-</v>
      </c>
      <c r="F15313" t="str">
        <v>-</v>
      </c>
      <c r="G15313" t="str">
        <v>-</v>
      </c>
    </row>
    <row r="15314">
      <c r="A15314">
        <v>15313</v>
      </c>
      <c r="B15314" t="str">
        <v>Công an phường Phú Hiệp  tỉnh Thừa Thiên Huế</v>
      </c>
      <c r="C15314" t="str">
        <v>-</v>
      </c>
      <c r="D15314" t="str">
        <v>-</v>
      </c>
      <c r="E15314" t="str">
        <v/>
      </c>
      <c r="F15314" t="str">
        <v>-</v>
      </c>
      <c r="G15314" t="str">
        <v>-</v>
      </c>
    </row>
    <row r="15315">
      <c r="A15315">
        <v>15314</v>
      </c>
      <c r="B15315" t="str">
        <v>UBND Ủy ban nhân dân phường Phú Hiệp  tỉnh Thừa Thiên Huế</v>
      </c>
      <c r="C15315" t="str">
        <v>-</v>
      </c>
      <c r="D15315" t="str">
        <v>-</v>
      </c>
      <c r="E15315" t="str">
        <v>-</v>
      </c>
      <c r="F15315" t="str">
        <v>-</v>
      </c>
      <c r="G15315" t="str">
        <v>-</v>
      </c>
    </row>
    <row r="15316">
      <c r="A15316">
        <v>15315</v>
      </c>
      <c r="B15316" t="str">
        <v>Công an phường Phú Hậu  tỉnh Thừa Thiên Huế</v>
      </c>
      <c r="C15316" t="str">
        <v>-</v>
      </c>
      <c r="D15316" t="str">
        <v>-</v>
      </c>
      <c r="E15316" t="str">
        <v/>
      </c>
      <c r="F15316" t="str">
        <v>-</v>
      </c>
      <c r="G15316" t="str">
        <v>-</v>
      </c>
    </row>
    <row r="15317">
      <c r="A15317">
        <v>15316</v>
      </c>
      <c r="B15317" t="str">
        <v>UBND Ủy ban nhân dân phường Phú Hậu  tỉnh Thừa Thiên Huế</v>
      </c>
      <c r="C15317" t="str">
        <v>-</v>
      </c>
      <c r="D15317" t="str">
        <v>-</v>
      </c>
      <c r="E15317" t="str">
        <v>-</v>
      </c>
      <c r="F15317" t="str">
        <v>-</v>
      </c>
      <c r="G15317" t="str">
        <v>-</v>
      </c>
    </row>
    <row r="15318">
      <c r="A15318">
        <v>15317</v>
      </c>
      <c r="B15318" t="str">
        <v>Công an phường Thuận Hòa  tỉnh Thừa Thiên Huế</v>
      </c>
      <c r="C15318" t="str">
        <v>-</v>
      </c>
      <c r="D15318" t="str">
        <v>-</v>
      </c>
      <c r="E15318" t="str">
        <v/>
      </c>
      <c r="F15318" t="str">
        <v>-</v>
      </c>
      <c r="G15318" t="str">
        <v>-</v>
      </c>
    </row>
    <row r="15319">
      <c r="A15319">
        <v>15318</v>
      </c>
      <c r="B15319" t="str">
        <v>UBND Ủy ban nhân dân phường Thuận Hòa  tỉnh Thừa Thiên Huế</v>
      </c>
      <c r="C15319" t="str">
        <v>-</v>
      </c>
      <c r="D15319" t="str">
        <v>-</v>
      </c>
      <c r="E15319" t="str">
        <v>-</v>
      </c>
      <c r="F15319" t="str">
        <v>-</v>
      </c>
      <c r="G15319" t="str">
        <v>-</v>
      </c>
    </row>
    <row r="15320">
      <c r="A15320">
        <v>15319</v>
      </c>
      <c r="B15320" t="str">
        <v>Công an phường Thuận Thành  tỉnh Thừa Thiên Huế</v>
      </c>
      <c r="C15320" t="str">
        <v>-</v>
      </c>
      <c r="D15320" t="str">
        <v>-</v>
      </c>
      <c r="E15320" t="str">
        <v/>
      </c>
      <c r="F15320" t="str">
        <v>-</v>
      </c>
      <c r="G15320" t="str">
        <v>-</v>
      </c>
    </row>
    <row r="15321">
      <c r="A15321">
        <v>15320</v>
      </c>
      <c r="B15321" t="str">
        <v>UBND Ủy ban nhân dân phường Thuận Thành  tỉnh Thừa Thiên Huế</v>
      </c>
      <c r="C15321" t="str">
        <v>-</v>
      </c>
      <c r="D15321" t="str">
        <v>-</v>
      </c>
      <c r="E15321" t="str">
        <v>-</v>
      </c>
      <c r="F15321" t="str">
        <v>-</v>
      </c>
      <c r="G15321" t="str">
        <v>-</v>
      </c>
    </row>
    <row r="15322">
      <c r="A15322">
        <v>15321</v>
      </c>
      <c r="B15322" t="str">
        <v>Công an phường Phú Hòa  tỉnh Thừa Thiên Huế</v>
      </c>
      <c r="C15322" t="str">
        <v>-</v>
      </c>
      <c r="D15322" t="str">
        <v>-</v>
      </c>
      <c r="E15322" t="str">
        <v/>
      </c>
      <c r="F15322" t="str">
        <v>-</v>
      </c>
      <c r="G15322" t="str">
        <v>-</v>
      </c>
    </row>
    <row r="15323">
      <c r="A15323">
        <v>15322</v>
      </c>
      <c r="B15323" t="str">
        <v>UBND Ủy ban nhân dân phường Phú Hòa  tỉnh Thừa Thiên Huế</v>
      </c>
      <c r="C15323" t="str">
        <v>-</v>
      </c>
      <c r="D15323" t="str">
        <v>-</v>
      </c>
      <c r="E15323" t="str">
        <v>-</v>
      </c>
      <c r="F15323" t="str">
        <v>-</v>
      </c>
      <c r="G15323" t="str">
        <v>-</v>
      </c>
    </row>
    <row r="15324">
      <c r="A15324">
        <v>15323</v>
      </c>
      <c r="B15324" t="str">
        <v>Công an phường Phú Cát  tỉnh Thừa Thiên Huế</v>
      </c>
      <c r="C15324" t="str">
        <v>-</v>
      </c>
      <c r="D15324" t="str">
        <v>-</v>
      </c>
      <c r="E15324" t="str">
        <v/>
      </c>
      <c r="F15324" t="str">
        <v>-</v>
      </c>
      <c r="G15324" t="str">
        <v>-</v>
      </c>
    </row>
    <row r="15325">
      <c r="A15325">
        <v>15324</v>
      </c>
      <c r="B15325" t="str">
        <v>UBND Ủy ban nhân dân phường Phú Cát  tỉnh Thừa Thiên Huế</v>
      </c>
      <c r="C15325" t="str">
        <v>-</v>
      </c>
      <c r="D15325" t="str">
        <v>-</v>
      </c>
      <c r="E15325" t="str">
        <v>-</v>
      </c>
      <c r="F15325" t="str">
        <v>-</v>
      </c>
      <c r="G15325" t="str">
        <v>-</v>
      </c>
    </row>
    <row r="15326">
      <c r="A15326">
        <v>15325</v>
      </c>
      <c r="B15326" t="str">
        <v>Công an phường Kim Long  tỉnh Thừa Thiên Huế</v>
      </c>
      <c r="C15326" t="str">
        <v>-</v>
      </c>
      <c r="D15326" t="str">
        <v>-</v>
      </c>
      <c r="E15326" t="str">
        <v/>
      </c>
      <c r="F15326" t="str">
        <v>-</v>
      </c>
      <c r="G15326" t="str">
        <v>-</v>
      </c>
    </row>
    <row r="15327">
      <c r="A15327">
        <v>15326</v>
      </c>
      <c r="B15327" t="str">
        <v>UBND Ủy ban nhân dân phường Kim Long  tỉnh Thừa Thiên Huế</v>
      </c>
      <c r="C15327" t="str">
        <v>-</v>
      </c>
      <c r="D15327" t="str">
        <v>-</v>
      </c>
      <c r="E15327" t="str">
        <v>-</v>
      </c>
      <c r="F15327" t="str">
        <v>-</v>
      </c>
      <c r="G15327" t="str">
        <v>-</v>
      </c>
    </row>
    <row r="15328">
      <c r="A15328">
        <v>15327</v>
      </c>
      <c r="B15328" t="str">
        <v>Công an phường Vĩ Dạ  tỉnh Thừa Thiên Huế</v>
      </c>
      <c r="C15328" t="str">
        <v>-</v>
      </c>
      <c r="D15328" t="str">
        <v>-</v>
      </c>
      <c r="E15328" t="str">
        <v/>
      </c>
      <c r="F15328" t="str">
        <v>-</v>
      </c>
      <c r="G15328" t="str">
        <v>-</v>
      </c>
    </row>
    <row r="15329">
      <c r="A15329">
        <v>15328</v>
      </c>
      <c r="B15329" t="str">
        <v>UBND Ủy ban nhân dân phường Vĩ Dạ  tỉnh Thừa Thiên Huế</v>
      </c>
      <c r="C15329" t="str">
        <v>-</v>
      </c>
      <c r="D15329" t="str">
        <v>-</v>
      </c>
      <c r="E15329" t="str">
        <v>-</v>
      </c>
      <c r="F15329" t="str">
        <v>-</v>
      </c>
      <c r="G15329" t="str">
        <v>-</v>
      </c>
    </row>
    <row r="15330">
      <c r="A15330">
        <v>15329</v>
      </c>
      <c r="B15330" t="str">
        <v>Công an phường phường Đúc  tỉnh Thừa Thiên Huế</v>
      </c>
      <c r="C15330" t="str">
        <v>-</v>
      </c>
      <c r="D15330" t="str">
        <v>-</v>
      </c>
      <c r="E15330" t="str">
        <v/>
      </c>
      <c r="F15330" t="str">
        <v>-</v>
      </c>
      <c r="G15330" t="str">
        <v>-</v>
      </c>
    </row>
    <row r="15331">
      <c r="A15331">
        <v>15330</v>
      </c>
      <c r="B15331" t="str">
        <v>UBND Ủy ban nhân dân phường phường Đúc  tỉnh Thừa Thiên Huế</v>
      </c>
      <c r="C15331" t="str">
        <v>-</v>
      </c>
      <c r="D15331" t="str">
        <v>-</v>
      </c>
      <c r="E15331" t="str">
        <v>-</v>
      </c>
      <c r="F15331" t="str">
        <v>-</v>
      </c>
      <c r="G15331" t="str">
        <v>-</v>
      </c>
    </row>
    <row r="15332">
      <c r="A15332">
        <v>15331</v>
      </c>
      <c r="B15332" t="str">
        <v>Công an phường Vĩnh Ninh  tỉnh Thừa Thiên Huế</v>
      </c>
      <c r="C15332" t="str">
        <v>-</v>
      </c>
      <c r="D15332" t="str">
        <v>-</v>
      </c>
      <c r="E15332" t="str">
        <v/>
      </c>
      <c r="F15332" t="str">
        <v>-</v>
      </c>
      <c r="G15332" t="str">
        <v>-</v>
      </c>
    </row>
    <row r="15333">
      <c r="A15333">
        <v>15332</v>
      </c>
      <c r="B15333" t="str">
        <v>UBND Ủy ban nhân dân phường Vĩnh Ninh  tỉnh Thừa Thiên Huế</v>
      </c>
      <c r="C15333" t="str">
        <v>-</v>
      </c>
      <c r="D15333" t="str">
        <v>-</v>
      </c>
      <c r="E15333" t="str">
        <v>-</v>
      </c>
      <c r="F15333" t="str">
        <v>-</v>
      </c>
      <c r="G15333" t="str">
        <v>-</v>
      </c>
    </row>
    <row r="15334">
      <c r="A15334">
        <v>15333</v>
      </c>
      <c r="B15334" t="str">
        <v>Công an phường Phú Hội  tỉnh Thừa Thiên Huế</v>
      </c>
      <c r="C15334" t="str">
        <v>-</v>
      </c>
      <c r="D15334" t="str">
        <v>-</v>
      </c>
      <c r="E15334" t="str">
        <v/>
      </c>
      <c r="F15334" t="str">
        <v>-</v>
      </c>
      <c r="G15334" t="str">
        <v>-</v>
      </c>
    </row>
    <row r="15335">
      <c r="A15335">
        <v>15334</v>
      </c>
      <c r="B15335" t="str">
        <v>UBND Ủy ban nhân dân phường Phú Hội  tỉnh Thừa Thiên Huế</v>
      </c>
      <c r="C15335" t="str">
        <v>-</v>
      </c>
      <c r="D15335" t="str">
        <v>-</v>
      </c>
      <c r="E15335" t="str">
        <v>-</v>
      </c>
      <c r="F15335" t="str">
        <v>-</v>
      </c>
      <c r="G15335" t="str">
        <v>-</v>
      </c>
    </row>
    <row r="15336">
      <c r="A15336">
        <v>15335</v>
      </c>
      <c r="B15336" t="str">
        <v>Công an phường Phú Nhuận  tỉnh Thừa Thiên Huế</v>
      </c>
      <c r="C15336" t="str">
        <v>-</v>
      </c>
      <c r="D15336" t="str">
        <v>-</v>
      </c>
      <c r="E15336" t="str">
        <v/>
      </c>
      <c r="F15336" t="str">
        <v>-</v>
      </c>
      <c r="G15336" t="str">
        <v>-</v>
      </c>
    </row>
    <row r="15337">
      <c r="A15337">
        <v>15336</v>
      </c>
      <c r="B15337" t="str">
        <v>UBND Ủy ban nhân dân phường Phú Nhuận  tỉnh Thừa Thiên Huế</v>
      </c>
      <c r="C15337" t="str">
        <v>-</v>
      </c>
      <c r="D15337" t="str">
        <v>-</v>
      </c>
      <c r="E15337" t="str">
        <v>-</v>
      </c>
      <c r="F15337" t="str">
        <v>-</v>
      </c>
      <c r="G15337" t="str">
        <v>-</v>
      </c>
    </row>
    <row r="15338">
      <c r="A15338">
        <v>15337</v>
      </c>
      <c r="B15338" t="str">
        <v>Công an phường Xuân Phú  tỉnh Thừa Thiên Huế</v>
      </c>
      <c r="C15338" t="str">
        <v>-</v>
      </c>
      <c r="D15338" t="str">
        <v>-</v>
      </c>
      <c r="E15338" t="str">
        <v/>
      </c>
      <c r="F15338" t="str">
        <v>-</v>
      </c>
      <c r="G15338" t="str">
        <v>-</v>
      </c>
    </row>
    <row r="15339">
      <c r="A15339">
        <v>15338</v>
      </c>
      <c r="B15339" t="str">
        <v>UBND Ủy ban nhân dân phường Xuân Phú  tỉnh Thừa Thiên Huế</v>
      </c>
      <c r="C15339" t="str">
        <v>-</v>
      </c>
      <c r="D15339" t="str">
        <v>-</v>
      </c>
      <c r="E15339" t="str">
        <v>-</v>
      </c>
      <c r="F15339" t="str">
        <v>-</v>
      </c>
      <c r="G15339" t="str">
        <v>-</v>
      </c>
    </row>
    <row r="15340">
      <c r="A15340">
        <v>15339</v>
      </c>
      <c r="B15340" t="str">
        <v>Công an phường Trường An  tỉnh Thừa Thiên Huế</v>
      </c>
      <c r="C15340" t="str">
        <v>-</v>
      </c>
      <c r="D15340" t="str">
        <v>-</v>
      </c>
      <c r="E15340" t="str">
        <v/>
      </c>
      <c r="F15340" t="str">
        <v>-</v>
      </c>
      <c r="G15340" t="str">
        <v>-</v>
      </c>
    </row>
    <row r="15341">
      <c r="A15341">
        <v>15340</v>
      </c>
      <c r="B15341" t="str">
        <v>UBND Ủy ban nhân dân phường Trường An  tỉnh Thừa Thiên Huế</v>
      </c>
      <c r="C15341" t="str">
        <v>-</v>
      </c>
      <c r="D15341" t="str">
        <v>-</v>
      </c>
      <c r="E15341" t="str">
        <v>-</v>
      </c>
      <c r="F15341" t="str">
        <v>-</v>
      </c>
      <c r="G15341" t="str">
        <v>-</v>
      </c>
    </row>
    <row r="15342">
      <c r="A15342">
        <v>15341</v>
      </c>
      <c r="B15342" t="str">
        <v>Công an phường Phước Vĩnh  tỉnh Thừa Thiên Huế</v>
      </c>
      <c r="C15342" t="str">
        <v>-</v>
      </c>
      <c r="D15342" t="str">
        <v>-</v>
      </c>
      <c r="E15342" t="str">
        <v/>
      </c>
      <c r="F15342" t="str">
        <v>-</v>
      </c>
      <c r="G15342" t="str">
        <v>-</v>
      </c>
    </row>
    <row r="15343">
      <c r="A15343">
        <v>15342</v>
      </c>
      <c r="B15343" t="str">
        <v>UBND Ủy ban nhân dân phường Phước Vĩnh  tỉnh Thừa Thiên Huế</v>
      </c>
      <c r="C15343" t="str">
        <v>-</v>
      </c>
      <c r="D15343" t="str">
        <v>-</v>
      </c>
      <c r="E15343" t="str">
        <v>-</v>
      </c>
      <c r="F15343" t="str">
        <v>-</v>
      </c>
      <c r="G15343" t="str">
        <v>-</v>
      </c>
    </row>
    <row r="15344">
      <c r="A15344">
        <v>15343</v>
      </c>
      <c r="B15344" t="str">
        <v>Công an phường An Cựu  tỉnh Thừa Thiên Huế</v>
      </c>
      <c r="C15344" t="str">
        <v>-</v>
      </c>
      <c r="D15344" t="str">
        <v>-</v>
      </c>
      <c r="E15344" t="str">
        <v/>
      </c>
      <c r="F15344" t="str">
        <v>-</v>
      </c>
      <c r="G15344" t="str">
        <v>-</v>
      </c>
    </row>
    <row r="15345">
      <c r="A15345">
        <v>15344</v>
      </c>
      <c r="B15345" t="str">
        <v>UBND Ủy ban nhân dân phường An Cựu  tỉnh Thừa Thiên Huế</v>
      </c>
      <c r="C15345" t="str">
        <v>-</v>
      </c>
      <c r="D15345" t="str">
        <v>-</v>
      </c>
      <c r="E15345" t="str">
        <v>-</v>
      </c>
      <c r="F15345" t="str">
        <v>-</v>
      </c>
      <c r="G15345" t="str">
        <v>-</v>
      </c>
    </row>
    <row r="15346">
      <c r="A15346">
        <v>15345</v>
      </c>
      <c r="B15346" t="str">
        <v>Công an phường An Hòa  tỉnh Thừa Thiên Huế</v>
      </c>
      <c r="C15346" t="str">
        <v>-</v>
      </c>
      <c r="D15346" t="str">
        <v>-</v>
      </c>
      <c r="E15346" t="str">
        <v/>
      </c>
      <c r="F15346" t="str">
        <v>-</v>
      </c>
      <c r="G15346" t="str">
        <v>-</v>
      </c>
    </row>
    <row r="15347">
      <c r="A15347">
        <v>15346</v>
      </c>
      <c r="B15347" t="str">
        <v>UBND Ủy ban nhân dân phường An Hòa  tỉnh Thừa Thiên Huế</v>
      </c>
      <c r="C15347" t="str">
        <v>-</v>
      </c>
      <c r="D15347" t="str">
        <v>-</v>
      </c>
      <c r="E15347" t="str">
        <v>-</v>
      </c>
      <c r="F15347" t="str">
        <v>-</v>
      </c>
      <c r="G15347" t="str">
        <v>-</v>
      </c>
    </row>
    <row r="15348">
      <c r="A15348">
        <v>15347</v>
      </c>
      <c r="B15348" t="str">
        <v>Công an phường Hương Sơ  tỉnh Thừa Thiên Huế</v>
      </c>
      <c r="C15348" t="str">
        <v>-</v>
      </c>
      <c r="D15348" t="str">
        <v>-</v>
      </c>
      <c r="E15348" t="str">
        <v/>
      </c>
      <c r="F15348" t="str">
        <v>-</v>
      </c>
      <c r="G15348" t="str">
        <v>-</v>
      </c>
    </row>
    <row r="15349">
      <c r="A15349">
        <v>15348</v>
      </c>
      <c r="B15349" t="str">
        <v>UBND Ủy ban nhân dân phường Hương Sơ  tỉnh Thừa Thiên Huế</v>
      </c>
      <c r="C15349" t="str">
        <v>-</v>
      </c>
      <c r="D15349" t="str">
        <v>-</v>
      </c>
      <c r="E15349" t="str">
        <v>-</v>
      </c>
      <c r="F15349" t="str">
        <v>-</v>
      </c>
      <c r="G15349" t="str">
        <v>-</v>
      </c>
    </row>
    <row r="15350">
      <c r="A15350">
        <v>15349</v>
      </c>
      <c r="B15350" t="str">
        <v>Công an phường Thuỷ Biều  tỉnh Thừa Thiên Huế</v>
      </c>
      <c r="C15350" t="str">
        <v>-</v>
      </c>
      <c r="D15350" t="str">
        <v>-</v>
      </c>
      <c r="E15350" t="str">
        <v/>
      </c>
      <c r="F15350" t="str">
        <v>-</v>
      </c>
      <c r="G15350" t="str">
        <v>-</v>
      </c>
    </row>
    <row r="15351">
      <c r="A15351">
        <v>15350</v>
      </c>
      <c r="B15351" t="str">
        <v>UBND Ủy ban nhân dân phường Thuỷ Biều  tỉnh Thừa Thiên Huế</v>
      </c>
      <c r="C15351" t="str">
        <v>-</v>
      </c>
      <c r="D15351" t="str">
        <v>-</v>
      </c>
      <c r="E15351" t="str">
        <v>-</v>
      </c>
      <c r="F15351" t="str">
        <v>-</v>
      </c>
      <c r="G15351" t="str">
        <v>-</v>
      </c>
    </row>
    <row r="15352">
      <c r="A15352">
        <v>15351</v>
      </c>
      <c r="B15352" t="str">
        <v>Công an phường Hương Long  tỉnh Thừa Thiên Huế</v>
      </c>
      <c r="C15352" t="str">
        <v>-</v>
      </c>
      <c r="D15352" t="str">
        <v>-</v>
      </c>
      <c r="E15352" t="str">
        <v/>
      </c>
      <c r="F15352" t="str">
        <v>-</v>
      </c>
      <c r="G15352" t="str">
        <v>-</v>
      </c>
    </row>
    <row r="15353">
      <c r="A15353">
        <v>15352</v>
      </c>
      <c r="B15353" t="str">
        <v>UBND Ủy ban nhân dân phường Hương Long  tỉnh Thừa Thiên Huế</v>
      </c>
      <c r="C15353" t="str">
        <v>-</v>
      </c>
      <c r="D15353" t="str">
        <v>-</v>
      </c>
      <c r="E15353" t="str">
        <v>-</v>
      </c>
      <c r="F15353" t="str">
        <v>-</v>
      </c>
      <c r="G15353" t="str">
        <v>-</v>
      </c>
    </row>
    <row r="15354">
      <c r="A15354">
        <v>15353</v>
      </c>
      <c r="B15354" t="str">
        <v>Công an phường Thuỷ Xuân  tỉnh Thừa Thiên Huế</v>
      </c>
      <c r="C15354" t="str">
        <v>-</v>
      </c>
      <c r="D15354" t="str">
        <v>-</v>
      </c>
      <c r="E15354" t="str">
        <v/>
      </c>
      <c r="F15354" t="str">
        <v>-</v>
      </c>
      <c r="G15354" t="str">
        <v>-</v>
      </c>
    </row>
    <row r="15355">
      <c r="A15355">
        <v>15354</v>
      </c>
      <c r="B15355" t="str">
        <v>UBND Ủy ban nhân dân phường Thuỷ Xuân  tỉnh Thừa Thiên Huế</v>
      </c>
      <c r="C15355" t="str">
        <v>-</v>
      </c>
      <c r="D15355" t="str">
        <v>-</v>
      </c>
      <c r="E15355" t="str">
        <v>-</v>
      </c>
      <c r="F15355" t="str">
        <v>-</v>
      </c>
      <c r="G15355" t="str">
        <v>-</v>
      </c>
    </row>
    <row r="15356">
      <c r="A15356">
        <v>15355</v>
      </c>
      <c r="B15356" t="str">
        <v>Công an phường An Đông  tỉnh Thừa Thiên Huế</v>
      </c>
      <c r="C15356" t="str">
        <v>-</v>
      </c>
      <c r="D15356" t="str">
        <v>-</v>
      </c>
      <c r="E15356" t="str">
        <v/>
      </c>
      <c r="F15356" t="str">
        <v>-</v>
      </c>
      <c r="G15356" t="str">
        <v>-</v>
      </c>
    </row>
    <row r="15357">
      <c r="A15357">
        <v>15356</v>
      </c>
      <c r="B15357" t="str">
        <v>UBND Ủy ban nhân dân phường An Đông  tỉnh Thừa Thiên Huế</v>
      </c>
      <c r="C15357" t="str">
        <v>-</v>
      </c>
      <c r="D15357" t="str">
        <v>-</v>
      </c>
      <c r="E15357" t="str">
        <v>-</v>
      </c>
      <c r="F15357" t="str">
        <v>-</v>
      </c>
      <c r="G15357" t="str">
        <v>-</v>
      </c>
    </row>
    <row r="15358">
      <c r="A15358">
        <v>15357</v>
      </c>
      <c r="B15358" t="str">
        <v>Công an phường An Tây  tỉnh Thừa Thiên Huế</v>
      </c>
      <c r="C15358" t="str">
        <v>-</v>
      </c>
      <c r="D15358" t="str">
        <v>-</v>
      </c>
      <c r="E15358" t="str">
        <v/>
      </c>
      <c r="F15358" t="str">
        <v>-</v>
      </c>
      <c r="G15358" t="str">
        <v>-</v>
      </c>
    </row>
    <row r="15359">
      <c r="A15359">
        <v>15358</v>
      </c>
      <c r="B15359" t="str">
        <v>UBND Ủy ban nhân dân phường An Tây  tỉnh Thừa Thiên Huế</v>
      </c>
      <c r="C15359" t="str">
        <v>-</v>
      </c>
      <c r="D15359" t="str">
        <v>-</v>
      </c>
      <c r="E15359" t="str">
        <v>-</v>
      </c>
      <c r="F15359" t="str">
        <v>-</v>
      </c>
      <c r="G15359" t="str">
        <v>-</v>
      </c>
    </row>
    <row r="15360">
      <c r="A15360">
        <v>15359</v>
      </c>
      <c r="B15360" t="str">
        <v>Công an xã Điền Hương  tỉnh Thừa Thiên Huế</v>
      </c>
      <c r="C15360" t="str">
        <v>-</v>
      </c>
      <c r="D15360" t="str">
        <v>-</v>
      </c>
      <c r="E15360" t="str">
        <v/>
      </c>
      <c r="F15360" t="str">
        <v>-</v>
      </c>
      <c r="G15360" t="str">
        <v>-</v>
      </c>
    </row>
    <row r="15361">
      <c r="A15361">
        <v>15360</v>
      </c>
      <c r="B15361" t="str">
        <v>UBND Ủy ban nhân dân xã Điền Hương  tỉnh Thừa Thiên Huế</v>
      </c>
      <c r="C15361" t="str">
        <v>-</v>
      </c>
      <c r="D15361" t="str">
        <v>-</v>
      </c>
      <c r="E15361" t="str">
        <v>-</v>
      </c>
      <c r="F15361" t="str">
        <v>-</v>
      </c>
      <c r="G15361" t="str">
        <v>-</v>
      </c>
    </row>
    <row r="15362">
      <c r="A15362">
        <v>15361</v>
      </c>
      <c r="B15362" t="str">
        <v>Công an xã Điền Môn  tỉnh Thừa Thiên Huế</v>
      </c>
      <c r="C15362" t="str">
        <v>-</v>
      </c>
      <c r="D15362" t="str">
        <v>-</v>
      </c>
      <c r="E15362" t="str">
        <v/>
      </c>
      <c r="F15362" t="str">
        <v>-</v>
      </c>
      <c r="G15362" t="str">
        <v>-</v>
      </c>
    </row>
    <row r="15363">
      <c r="A15363">
        <v>15362</v>
      </c>
      <c r="B15363" t="str">
        <v>UBND Ủy ban nhân dân xã Điền Môn  tỉnh Thừa Thiên Huế</v>
      </c>
      <c r="C15363" t="str">
        <v>-</v>
      </c>
      <c r="D15363" t="str">
        <v>-</v>
      </c>
      <c r="E15363" t="str">
        <v>-</v>
      </c>
      <c r="F15363" t="str">
        <v>-</v>
      </c>
      <c r="G15363" t="str">
        <v>-</v>
      </c>
    </row>
    <row r="15364">
      <c r="A15364">
        <v>15363</v>
      </c>
      <c r="B15364" t="str">
        <v>Công an xã Điền Lộc  tỉnh Thừa Thiên Huế</v>
      </c>
      <c r="C15364" t="str">
        <v>-</v>
      </c>
      <c r="D15364" t="str">
        <v>-</v>
      </c>
      <c r="E15364" t="str">
        <v/>
      </c>
      <c r="F15364" t="str">
        <v>-</v>
      </c>
      <c r="G15364" t="str">
        <v>-</v>
      </c>
    </row>
    <row r="15365">
      <c r="A15365">
        <v>15364</v>
      </c>
      <c r="B15365" t="str">
        <v>UBND Ủy ban nhân dân xã Điền Lộc  tỉnh Thừa Thiên Huế</v>
      </c>
      <c r="C15365" t="str">
        <v>-</v>
      </c>
      <c r="D15365" t="str">
        <v>-</v>
      </c>
      <c r="E15365" t="str">
        <v>-</v>
      </c>
      <c r="F15365" t="str">
        <v>-</v>
      </c>
      <c r="G15365" t="str">
        <v>-</v>
      </c>
    </row>
    <row r="15366">
      <c r="A15366">
        <v>15365</v>
      </c>
      <c r="B15366" t="str">
        <v>Công an xã Phong Bình  tỉnh Thừa Thiên Huế</v>
      </c>
      <c r="C15366" t="str">
        <v>-</v>
      </c>
      <c r="D15366" t="str">
        <v>-</v>
      </c>
      <c r="E15366" t="str">
        <v/>
      </c>
      <c r="F15366" t="str">
        <v>-</v>
      </c>
      <c r="G15366" t="str">
        <v>-</v>
      </c>
    </row>
    <row r="15367">
      <c r="A15367">
        <v>15366</v>
      </c>
      <c r="B15367" t="str">
        <v>UBND Ủy ban nhân dân xã Phong Bình  tỉnh Thừa Thiên Huế</v>
      </c>
      <c r="C15367" t="str">
        <v>-</v>
      </c>
      <c r="D15367" t="str">
        <v>-</v>
      </c>
      <c r="E15367" t="str">
        <v>-</v>
      </c>
      <c r="F15367" t="str">
        <v>-</v>
      </c>
      <c r="G15367" t="str">
        <v>-</v>
      </c>
    </row>
    <row r="15368">
      <c r="A15368">
        <v>15367</v>
      </c>
      <c r="B15368" t="str">
        <v>Công an xã Điền Hòa  tỉnh Thừa Thiên Huế</v>
      </c>
      <c r="C15368" t="str">
        <v>-</v>
      </c>
      <c r="D15368" t="str">
        <v>-</v>
      </c>
      <c r="E15368" t="str">
        <v/>
      </c>
      <c r="F15368" t="str">
        <v>-</v>
      </c>
      <c r="G15368" t="str">
        <v>-</v>
      </c>
    </row>
    <row r="15369">
      <c r="A15369">
        <v>15368</v>
      </c>
      <c r="B15369" t="str">
        <v>UBND Ủy ban nhân dân xã Điền Hòa  tỉnh Thừa Thiên Huế</v>
      </c>
      <c r="C15369" t="str">
        <v>-</v>
      </c>
      <c r="D15369" t="str">
        <v>-</v>
      </c>
      <c r="E15369" t="str">
        <v>-</v>
      </c>
      <c r="F15369" t="str">
        <v>-</v>
      </c>
      <c r="G15369" t="str">
        <v>-</v>
      </c>
    </row>
    <row r="15370">
      <c r="A15370">
        <v>15369</v>
      </c>
      <c r="B15370" t="str">
        <v>Công an xã Phong Chương  tỉnh Thừa Thiên Huế</v>
      </c>
      <c r="C15370" t="str">
        <v>-</v>
      </c>
      <c r="D15370" t="str">
        <v>-</v>
      </c>
      <c r="E15370" t="str">
        <v/>
      </c>
      <c r="F15370" t="str">
        <v>-</v>
      </c>
      <c r="G15370" t="str">
        <v>-</v>
      </c>
    </row>
    <row r="15371">
      <c r="A15371">
        <v>15370</v>
      </c>
      <c r="B15371" t="str">
        <v>UBND Ủy ban nhân dân xã Phong Chương  tỉnh Thừa Thiên Huế</v>
      </c>
      <c r="C15371" t="str">
        <v>-</v>
      </c>
      <c r="D15371" t="str">
        <v>-</v>
      </c>
      <c r="E15371" t="str">
        <v>-</v>
      </c>
      <c r="F15371" t="str">
        <v>-</v>
      </c>
      <c r="G15371" t="str">
        <v>-</v>
      </c>
    </row>
    <row r="15372">
      <c r="A15372">
        <v>15371</v>
      </c>
      <c r="B15372" t="str">
        <v>Công an xã Phong Hải  tỉnh Thừa Thiên Huế</v>
      </c>
      <c r="C15372" t="str">
        <v>-</v>
      </c>
      <c r="D15372" t="str">
        <v>-</v>
      </c>
      <c r="E15372" t="str">
        <v/>
      </c>
      <c r="F15372" t="str">
        <v>-</v>
      </c>
      <c r="G15372" t="str">
        <v>-</v>
      </c>
    </row>
    <row r="15373">
      <c r="A15373">
        <v>15372</v>
      </c>
      <c r="B15373" t="str">
        <v>UBND Ủy ban nhân dân xã Phong Hải  tỉnh Thừa Thiên Huế</v>
      </c>
      <c r="C15373" t="str">
        <v>-</v>
      </c>
      <c r="D15373" t="str">
        <v>-</v>
      </c>
      <c r="E15373" t="str">
        <v>-</v>
      </c>
      <c r="F15373" t="str">
        <v>-</v>
      </c>
      <c r="G15373" t="str">
        <v>-</v>
      </c>
    </row>
    <row r="15374">
      <c r="A15374">
        <v>15373</v>
      </c>
      <c r="B15374" t="str">
        <v>Công an xã Điền Hải  tỉnh Thừa Thiên Huế</v>
      </c>
      <c r="C15374" t="str">
        <v>-</v>
      </c>
      <c r="D15374" t="str">
        <v>-</v>
      </c>
      <c r="E15374" t="str">
        <v/>
      </c>
      <c r="F15374" t="str">
        <v>-</v>
      </c>
      <c r="G15374" t="str">
        <v>-</v>
      </c>
    </row>
    <row r="15375">
      <c r="A15375">
        <v>15374</v>
      </c>
      <c r="B15375" t="str">
        <v>UBND Ủy ban nhân dân xã Điền Hải  tỉnh Thừa Thiên Huế</v>
      </c>
      <c r="C15375" t="str">
        <v>-</v>
      </c>
      <c r="D15375" t="str">
        <v>-</v>
      </c>
      <c r="E15375" t="str">
        <v>-</v>
      </c>
      <c r="F15375" t="str">
        <v>-</v>
      </c>
      <c r="G15375" t="str">
        <v>-</v>
      </c>
    </row>
    <row r="15376">
      <c r="A15376">
        <v>15375</v>
      </c>
      <c r="B15376" t="str">
        <v>Công an xã Phong Hòa  tỉnh Thừa Thiên Huế</v>
      </c>
      <c r="C15376" t="str">
        <v>-</v>
      </c>
      <c r="D15376" t="str">
        <v>-</v>
      </c>
      <c r="E15376" t="str">
        <v/>
      </c>
      <c r="F15376" t="str">
        <v>-</v>
      </c>
      <c r="G15376" t="str">
        <v>-</v>
      </c>
    </row>
    <row r="15377">
      <c r="A15377">
        <v>15376</v>
      </c>
      <c r="B15377" t="str">
        <v>UBND Ủy ban nhân dân xã Phong Hòa  tỉnh Thừa Thiên Huế</v>
      </c>
      <c r="C15377" t="str">
        <v>-</v>
      </c>
      <c r="D15377" t="str">
        <v>-</v>
      </c>
      <c r="E15377" t="str">
        <v>-</v>
      </c>
      <c r="F15377" t="str">
        <v>-</v>
      </c>
      <c r="G15377" t="str">
        <v>-</v>
      </c>
    </row>
    <row r="15378">
      <c r="A15378">
        <v>15377</v>
      </c>
      <c r="B15378" t="str">
        <v>Công an xã Phong Thu  tỉnh Thừa Thiên Huế</v>
      </c>
      <c r="C15378" t="str">
        <v>-</v>
      </c>
      <c r="D15378" t="str">
        <v>-</v>
      </c>
      <c r="E15378" t="str">
        <v/>
      </c>
      <c r="F15378" t="str">
        <v>-</v>
      </c>
      <c r="G15378" t="str">
        <v>-</v>
      </c>
    </row>
    <row r="15379">
      <c r="A15379">
        <v>15378</v>
      </c>
      <c r="B15379" t="str">
        <v>UBND Ủy ban nhân dân xã Phong Thu  tỉnh Thừa Thiên Huế</v>
      </c>
      <c r="C15379" t="str">
        <v>-</v>
      </c>
      <c r="D15379" t="str">
        <v>-</v>
      </c>
      <c r="E15379" t="str">
        <v>-</v>
      </c>
      <c r="F15379" t="str">
        <v>-</v>
      </c>
      <c r="G15379" t="str">
        <v>-</v>
      </c>
    </row>
    <row r="15380">
      <c r="A15380">
        <v>15379</v>
      </c>
      <c r="B15380" t="str">
        <v>Công an xã Phong Hiền  tỉnh Thừa Thiên Huế</v>
      </c>
      <c r="C15380" t="str">
        <v>-</v>
      </c>
      <c r="D15380" t="str">
        <v>-</v>
      </c>
      <c r="E15380" t="str">
        <v/>
      </c>
      <c r="F15380" t="str">
        <v>-</v>
      </c>
      <c r="G15380" t="str">
        <v>-</v>
      </c>
    </row>
    <row r="15381">
      <c r="A15381">
        <v>15380</v>
      </c>
      <c r="B15381" t="str">
        <v>UBND Ủy ban nhân dân xã Phong Hiền  tỉnh Thừa Thiên Huế</v>
      </c>
      <c r="C15381" t="str">
        <v>-</v>
      </c>
      <c r="D15381" t="str">
        <v>-</v>
      </c>
      <c r="E15381" t="str">
        <v>-</v>
      </c>
      <c r="F15381" t="str">
        <v>-</v>
      </c>
      <c r="G15381" t="str">
        <v>-</v>
      </c>
    </row>
    <row r="15382">
      <c r="A15382">
        <v>15381</v>
      </c>
      <c r="B15382" t="str">
        <v>Công an xã Phong Mỹ  tỉnh Thừa Thiên Huế</v>
      </c>
      <c r="C15382" t="str">
        <v>-</v>
      </c>
      <c r="D15382" t="str">
        <v>-</v>
      </c>
      <c r="E15382" t="str">
        <v/>
      </c>
      <c r="F15382" t="str">
        <v>-</v>
      </c>
      <c r="G15382" t="str">
        <v>-</v>
      </c>
    </row>
    <row r="15383">
      <c r="A15383">
        <v>15382</v>
      </c>
      <c r="B15383" t="str">
        <v>UBND Ủy ban nhân dân xã Phong Mỹ  tỉnh Thừa Thiên Huế</v>
      </c>
      <c r="C15383" t="str">
        <v>-</v>
      </c>
      <c r="D15383" t="str">
        <v>-</v>
      </c>
      <c r="E15383" t="str">
        <v>-</v>
      </c>
      <c r="F15383" t="str">
        <v>-</v>
      </c>
      <c r="G15383" t="str">
        <v>-</v>
      </c>
    </row>
    <row r="15384">
      <c r="A15384">
        <v>15383</v>
      </c>
      <c r="B15384" t="str">
        <v>Công an xã Phong An  tỉnh Thừa Thiên Huế</v>
      </c>
      <c r="C15384" t="str">
        <v>-</v>
      </c>
      <c r="D15384" t="str">
        <v>-</v>
      </c>
      <c r="E15384" t="str">
        <v/>
      </c>
      <c r="F15384" t="str">
        <v>-</v>
      </c>
      <c r="G15384" t="str">
        <v>-</v>
      </c>
    </row>
    <row r="15385">
      <c r="A15385">
        <v>15384</v>
      </c>
      <c r="B15385" t="str">
        <v>UBND Ủy ban nhân dân xã Phong An  tỉnh Thừa Thiên Huế</v>
      </c>
      <c r="C15385" t="str">
        <v>-</v>
      </c>
      <c r="D15385" t="str">
        <v>-</v>
      </c>
      <c r="E15385" t="str">
        <v>-</v>
      </c>
      <c r="F15385" t="str">
        <v>-</v>
      </c>
      <c r="G15385" t="str">
        <v>-</v>
      </c>
    </row>
    <row r="15386">
      <c r="A15386">
        <v>15385</v>
      </c>
      <c r="B15386" t="str">
        <v>Công an xã Phong Xuân  tỉnh Thừa Thiên Huế</v>
      </c>
      <c r="C15386" t="str">
        <v>-</v>
      </c>
      <c r="D15386" t="str">
        <v>-</v>
      </c>
      <c r="E15386" t="str">
        <v/>
      </c>
      <c r="F15386" t="str">
        <v>-</v>
      </c>
      <c r="G15386" t="str">
        <v>-</v>
      </c>
    </row>
    <row r="15387">
      <c r="A15387">
        <v>15386</v>
      </c>
      <c r="B15387" t="str">
        <v>UBND Ủy ban nhân dân xã Phong Xuân  tỉnh Thừa Thiên Huế</v>
      </c>
      <c r="C15387" t="str">
        <v>-</v>
      </c>
      <c r="D15387" t="str">
        <v>-</v>
      </c>
      <c r="E15387" t="str">
        <v>-</v>
      </c>
      <c r="F15387" t="str">
        <v>-</v>
      </c>
      <c r="G15387" t="str">
        <v>-</v>
      </c>
    </row>
    <row r="15388">
      <c r="A15388">
        <v>15387</v>
      </c>
      <c r="B15388" t="str">
        <v>Công an xã Phong Sơn  tỉnh Thừa Thiên Huế</v>
      </c>
      <c r="C15388" t="str">
        <v>-</v>
      </c>
      <c r="D15388" t="str">
        <v>-</v>
      </c>
      <c r="E15388" t="str">
        <v/>
      </c>
      <c r="F15388" t="str">
        <v>-</v>
      </c>
      <c r="G15388" t="str">
        <v>-</v>
      </c>
    </row>
    <row r="15389">
      <c r="A15389">
        <v>15388</v>
      </c>
      <c r="B15389" t="str">
        <v>UBND Ủy ban nhân dân xã Phong Sơn  tỉnh Thừa Thiên Huế</v>
      </c>
      <c r="C15389" t="str">
        <v>-</v>
      </c>
      <c r="D15389" t="str">
        <v>-</v>
      </c>
      <c r="E15389" t="str">
        <v>-</v>
      </c>
      <c r="F15389" t="str">
        <v>-</v>
      </c>
      <c r="G15389" t="str">
        <v>-</v>
      </c>
    </row>
    <row r="15390">
      <c r="A15390">
        <v>15389</v>
      </c>
      <c r="B15390" t="str">
        <v>Công an xã Quảng Thái  tỉnh Thừa Thiên Huế</v>
      </c>
      <c r="C15390" t="str">
        <v>-</v>
      </c>
      <c r="D15390" t="str">
        <v>-</v>
      </c>
      <c r="E15390" t="str">
        <v/>
      </c>
      <c r="F15390" t="str">
        <v>-</v>
      </c>
      <c r="G15390" t="str">
        <v>-</v>
      </c>
    </row>
    <row r="15391">
      <c r="A15391">
        <v>15390</v>
      </c>
      <c r="B15391" t="str">
        <v>UBND Ủy ban nhân dân xã Quảng Thái  tỉnh Thừa Thiên Huế</v>
      </c>
      <c r="C15391" t="str">
        <v>-</v>
      </c>
      <c r="D15391" t="str">
        <v>-</v>
      </c>
      <c r="E15391" t="str">
        <v>-</v>
      </c>
      <c r="F15391" t="str">
        <v>-</v>
      </c>
      <c r="G15391" t="str">
        <v>-</v>
      </c>
    </row>
    <row r="15392">
      <c r="A15392">
        <v>15391</v>
      </c>
      <c r="B15392" t="str">
        <v>Công an xã Quảng Ngạn  tỉnh Thừa Thiên Huế</v>
      </c>
      <c r="C15392" t="str">
        <v>-</v>
      </c>
      <c r="D15392" t="str">
        <v>-</v>
      </c>
      <c r="E15392" t="str">
        <v/>
      </c>
      <c r="F15392" t="str">
        <v>-</v>
      </c>
      <c r="G15392" t="str">
        <v>-</v>
      </c>
    </row>
    <row r="15393">
      <c r="A15393">
        <v>15392</v>
      </c>
      <c r="B15393" t="str">
        <v>UBND Ủy ban nhân dân xã Quảng Ngạn  tỉnh Thừa Thiên Huế</v>
      </c>
      <c r="C15393" t="str">
        <v>-</v>
      </c>
      <c r="D15393" t="str">
        <v>-</v>
      </c>
      <c r="E15393" t="str">
        <v>-</v>
      </c>
      <c r="F15393" t="str">
        <v>-</v>
      </c>
      <c r="G15393" t="str">
        <v>-</v>
      </c>
    </row>
    <row r="15394">
      <c r="A15394">
        <v>15393</v>
      </c>
      <c r="B15394" t="str">
        <v>Công an xã Quảng Lợi  tỉnh Thừa Thiên Huế</v>
      </c>
      <c r="C15394" t="str">
        <v>-</v>
      </c>
      <c r="D15394" t="str">
        <v>-</v>
      </c>
      <c r="E15394" t="str">
        <v/>
      </c>
      <c r="F15394" t="str">
        <v>-</v>
      </c>
      <c r="G15394" t="str">
        <v>-</v>
      </c>
    </row>
    <row r="15395">
      <c r="A15395">
        <v>15394</v>
      </c>
      <c r="B15395" t="str">
        <v>UBND Ủy ban nhân dân xã Quảng Lợi  tỉnh Thừa Thiên Huế</v>
      </c>
      <c r="C15395" t="str">
        <v>-</v>
      </c>
      <c r="D15395" t="str">
        <v>-</v>
      </c>
      <c r="E15395" t="str">
        <v>-</v>
      </c>
      <c r="F15395" t="str">
        <v>-</v>
      </c>
      <c r="G15395" t="str">
        <v>-</v>
      </c>
    </row>
    <row r="15396">
      <c r="A15396">
        <v>15395</v>
      </c>
      <c r="B15396" t="str">
        <v>Công an xã Quảng Công  tỉnh Thừa Thiên Huế</v>
      </c>
      <c r="C15396" t="str">
        <v>-</v>
      </c>
      <c r="D15396" t="str">
        <v>-</v>
      </c>
      <c r="E15396" t="str">
        <v/>
      </c>
      <c r="F15396" t="str">
        <v>-</v>
      </c>
      <c r="G15396" t="str">
        <v>-</v>
      </c>
    </row>
    <row r="15397">
      <c r="A15397">
        <v>15396</v>
      </c>
      <c r="B15397" t="str">
        <v>UBND Ủy ban nhân dân xã Quảng Công  tỉnh Thừa Thiên Huế</v>
      </c>
      <c r="C15397" t="str">
        <v>-</v>
      </c>
      <c r="D15397" t="str">
        <v>-</v>
      </c>
      <c r="E15397" t="str">
        <v>-</v>
      </c>
      <c r="F15397" t="str">
        <v>-</v>
      </c>
      <c r="G15397" t="str">
        <v>-</v>
      </c>
    </row>
    <row r="15398">
      <c r="A15398">
        <v>15397</v>
      </c>
      <c r="B15398" t="str">
        <v>Công an xã Quảng Phước  tỉnh Thừa Thiên Huế</v>
      </c>
      <c r="C15398" t="str">
        <v>-</v>
      </c>
      <c r="D15398" t="str">
        <v>-</v>
      </c>
      <c r="E15398" t="str">
        <v/>
      </c>
      <c r="F15398" t="str">
        <v>-</v>
      </c>
      <c r="G15398" t="str">
        <v>-</v>
      </c>
    </row>
    <row r="15399">
      <c r="A15399">
        <v>15398</v>
      </c>
      <c r="B15399" t="str">
        <v>UBND Ủy ban nhân dân xã Quảng Phước  tỉnh Thừa Thiên Huế</v>
      </c>
      <c r="C15399" t="str">
        <v>-</v>
      </c>
      <c r="D15399" t="str">
        <v>-</v>
      </c>
      <c r="E15399" t="str">
        <v>-</v>
      </c>
      <c r="F15399" t="str">
        <v>-</v>
      </c>
      <c r="G15399" t="str">
        <v>-</v>
      </c>
    </row>
    <row r="15400">
      <c r="A15400">
        <v>15399</v>
      </c>
      <c r="B15400" t="str">
        <v>Công an xã Quảng Vinh  tỉnh Thừa Thiên Huế</v>
      </c>
      <c r="C15400" t="str">
        <v>-</v>
      </c>
      <c r="D15400" t="str">
        <v>-</v>
      </c>
      <c r="E15400" t="str">
        <v/>
      </c>
      <c r="F15400" t="str">
        <v>-</v>
      </c>
      <c r="G15400" t="str">
        <v>-</v>
      </c>
    </row>
    <row r="15401">
      <c r="A15401">
        <v>15400</v>
      </c>
      <c r="B15401" t="str">
        <v>UBND Ủy ban nhân dân xã Quảng Vinh  tỉnh Thừa Thiên Huế</v>
      </c>
      <c r="C15401" t="str">
        <v>-</v>
      </c>
      <c r="D15401" t="str">
        <v>-</v>
      </c>
      <c r="E15401" t="str">
        <v>-</v>
      </c>
      <c r="F15401" t="str">
        <v>-</v>
      </c>
      <c r="G15401" t="str">
        <v>-</v>
      </c>
    </row>
    <row r="15402">
      <c r="A15402">
        <v>15401</v>
      </c>
      <c r="B15402" t="str">
        <v>Công an xã Quảng An  tỉnh Thừa Thiên Huế</v>
      </c>
      <c r="C15402" t="str">
        <v>-</v>
      </c>
      <c r="D15402" t="str">
        <v>-</v>
      </c>
      <c r="E15402" t="str">
        <v/>
      </c>
      <c r="F15402" t="str">
        <v>-</v>
      </c>
      <c r="G15402" t="str">
        <v>-</v>
      </c>
    </row>
    <row r="15403">
      <c r="A15403">
        <v>15402</v>
      </c>
      <c r="B15403" t="str">
        <v>UBND Ủy ban nhân dân xã Quảng An  tỉnh Thừa Thiên Huế</v>
      </c>
      <c r="C15403" t="str">
        <v>-</v>
      </c>
      <c r="D15403" t="str">
        <v>-</v>
      </c>
      <c r="E15403" t="str">
        <v>-</v>
      </c>
      <c r="F15403" t="str">
        <v>-</v>
      </c>
      <c r="G15403" t="str">
        <v>-</v>
      </c>
    </row>
    <row r="15404">
      <c r="A15404">
        <v>15403</v>
      </c>
      <c r="B15404" t="str">
        <v>Công an xã Quảng Thành  tỉnh Thừa Thiên Huế</v>
      </c>
      <c r="C15404" t="str">
        <v>-</v>
      </c>
      <c r="D15404" t="str">
        <v>-</v>
      </c>
      <c r="E15404" t="str">
        <v/>
      </c>
      <c r="F15404" t="str">
        <v>-</v>
      </c>
      <c r="G15404" t="str">
        <v>-</v>
      </c>
    </row>
    <row r="15405">
      <c r="A15405">
        <v>15404</v>
      </c>
      <c r="B15405" t="str">
        <v>UBND Ủy ban nhân dân xã Quảng Thành  tỉnh Thừa Thiên Huế</v>
      </c>
      <c r="C15405" t="str">
        <v>-</v>
      </c>
      <c r="D15405" t="str">
        <v>-</v>
      </c>
      <c r="E15405" t="str">
        <v>-</v>
      </c>
      <c r="F15405" t="str">
        <v>-</v>
      </c>
      <c r="G15405" t="str">
        <v>-</v>
      </c>
    </row>
    <row r="15406">
      <c r="A15406">
        <v>15405</v>
      </c>
      <c r="B15406" t="str">
        <v>Công an xã Quảng Thọ  tỉnh Thừa Thiên Huế</v>
      </c>
      <c r="C15406" t="str">
        <v>-</v>
      </c>
      <c r="D15406" t="str">
        <v>-</v>
      </c>
      <c r="E15406" t="str">
        <v/>
      </c>
      <c r="F15406" t="str">
        <v>-</v>
      </c>
      <c r="G15406" t="str">
        <v>-</v>
      </c>
    </row>
    <row r="15407">
      <c r="A15407">
        <v>15406</v>
      </c>
      <c r="B15407" t="str">
        <v>UBND Ủy ban nhân dân xã Quảng Thọ  tỉnh Thừa Thiên Huế</v>
      </c>
      <c r="C15407" t="str">
        <v>-</v>
      </c>
      <c r="D15407" t="str">
        <v>-</v>
      </c>
      <c r="E15407" t="str">
        <v>-</v>
      </c>
      <c r="F15407" t="str">
        <v>-</v>
      </c>
      <c r="G15407" t="str">
        <v>-</v>
      </c>
    </row>
    <row r="15408">
      <c r="A15408">
        <v>15407</v>
      </c>
      <c r="B15408" t="str">
        <v>Công an xã Quảng Phú  tỉnh Thừa Thiên Huế</v>
      </c>
      <c r="C15408" t="str">
        <v>-</v>
      </c>
      <c r="D15408" t="str">
        <v>-</v>
      </c>
      <c r="E15408" t="str">
        <v/>
      </c>
      <c r="F15408" t="str">
        <v>-</v>
      </c>
      <c r="G15408" t="str">
        <v>-</v>
      </c>
    </row>
    <row r="15409">
      <c r="A15409">
        <v>15408</v>
      </c>
      <c r="B15409" t="str">
        <v>UBND Ủy ban nhân dân xã Quảng Phú  tỉnh Thừa Thiên Huế</v>
      </c>
      <c r="C15409" t="str">
        <v>-</v>
      </c>
      <c r="D15409" t="str">
        <v>-</v>
      </c>
      <c r="E15409" t="str">
        <v>-</v>
      </c>
      <c r="F15409" t="str">
        <v>-</v>
      </c>
      <c r="G15409" t="str">
        <v>-</v>
      </c>
    </row>
    <row r="15410">
      <c r="A15410">
        <v>15409</v>
      </c>
      <c r="B15410" t="str">
        <v>Công an xã Phú Thuận  tỉnh Thừa Thiên Huế</v>
      </c>
      <c r="C15410" t="str">
        <v>-</v>
      </c>
      <c r="D15410" t="str">
        <v>-</v>
      </c>
      <c r="E15410" t="str">
        <v/>
      </c>
      <c r="F15410" t="str">
        <v>-</v>
      </c>
      <c r="G15410" t="str">
        <v>-</v>
      </c>
    </row>
    <row r="15411">
      <c r="A15411">
        <v>15410</v>
      </c>
      <c r="B15411" t="str">
        <v>UBND Ủy ban nhân dân xã Phú Thuận  tỉnh Thừa Thiên Huế</v>
      </c>
      <c r="C15411" t="str">
        <v>-</v>
      </c>
      <c r="D15411" t="str">
        <v>-</v>
      </c>
      <c r="E15411" t="str">
        <v>-</v>
      </c>
      <c r="F15411" t="str">
        <v>-</v>
      </c>
      <c r="G15411" t="str">
        <v>-</v>
      </c>
    </row>
    <row r="15412">
      <c r="A15412">
        <v>15411</v>
      </c>
      <c r="B15412" t="str">
        <v>Công an xã Phú Dương  tỉnh Thừa Thiên Huế</v>
      </c>
      <c r="C15412" t="str">
        <v>-</v>
      </c>
      <c r="D15412" t="str">
        <v>-</v>
      </c>
      <c r="E15412" t="str">
        <v/>
      </c>
      <c r="F15412" t="str">
        <v>-</v>
      </c>
      <c r="G15412" t="str">
        <v>-</v>
      </c>
    </row>
    <row r="15413">
      <c r="A15413">
        <v>15412</v>
      </c>
      <c r="B15413" t="str">
        <v>UBND Ủy ban nhân dân xã Phú Dương  tỉnh Thừa Thiên Huế</v>
      </c>
      <c r="C15413" t="str">
        <v>-</v>
      </c>
      <c r="D15413" t="str">
        <v>-</v>
      </c>
      <c r="E15413" t="str">
        <v>-</v>
      </c>
      <c r="F15413" t="str">
        <v>-</v>
      </c>
      <c r="G15413" t="str">
        <v>-</v>
      </c>
    </row>
    <row r="15414">
      <c r="A15414">
        <v>15413</v>
      </c>
      <c r="B15414" t="str">
        <v>Công an xã Phú Mậu  tỉnh Thừa Thiên Huế</v>
      </c>
      <c r="C15414" t="str">
        <v>-</v>
      </c>
      <c r="D15414" t="str">
        <v>-</v>
      </c>
      <c r="E15414" t="str">
        <v/>
      </c>
      <c r="F15414" t="str">
        <v>-</v>
      </c>
      <c r="G15414" t="str">
        <v>-</v>
      </c>
    </row>
    <row r="15415">
      <c r="A15415">
        <v>15414</v>
      </c>
      <c r="B15415" t="str">
        <v>UBND Ủy ban nhân dân xã Phú Mậu  tỉnh Thừa Thiên Huế</v>
      </c>
      <c r="C15415" t="str">
        <v>-</v>
      </c>
      <c r="D15415" t="str">
        <v>-</v>
      </c>
      <c r="E15415" t="str">
        <v>-</v>
      </c>
      <c r="F15415" t="str">
        <v>-</v>
      </c>
      <c r="G15415" t="str">
        <v>-</v>
      </c>
    </row>
    <row r="15416">
      <c r="A15416">
        <v>15415</v>
      </c>
      <c r="B15416" t="str">
        <v>Công an xã Phú An  tỉnh Thừa Thiên Huế</v>
      </c>
      <c r="C15416" t="str">
        <v>-</v>
      </c>
      <c r="D15416" t="str">
        <v>-</v>
      </c>
      <c r="E15416" t="str">
        <v/>
      </c>
      <c r="F15416" t="str">
        <v>-</v>
      </c>
      <c r="G15416" t="str">
        <v>-</v>
      </c>
    </row>
    <row r="15417">
      <c r="A15417">
        <v>15416</v>
      </c>
      <c r="B15417" t="str">
        <v>UBND Ủy ban nhân dân xã Phú An  tỉnh Thừa Thiên Huế</v>
      </c>
      <c r="C15417" t="str">
        <v>-</v>
      </c>
      <c r="D15417" t="str">
        <v>-</v>
      </c>
      <c r="E15417" t="str">
        <v>-</v>
      </c>
      <c r="F15417" t="str">
        <v>-</v>
      </c>
      <c r="G15417" t="str">
        <v>-</v>
      </c>
    </row>
    <row r="15418">
      <c r="A15418">
        <v>15417</v>
      </c>
      <c r="B15418" t="str">
        <v>Công an xã Phú Hải  tỉnh Thừa Thiên Huế</v>
      </c>
      <c r="C15418" t="str">
        <v>-</v>
      </c>
      <c r="D15418" t="str">
        <v>-</v>
      </c>
      <c r="E15418" t="str">
        <v/>
      </c>
      <c r="F15418" t="str">
        <v>-</v>
      </c>
      <c r="G15418" t="str">
        <v>-</v>
      </c>
    </row>
    <row r="15419">
      <c r="A15419">
        <v>15418</v>
      </c>
      <c r="B15419" t="str">
        <v>UBND Ủy ban nhân dân xã Phú Hải  tỉnh Thừa Thiên Huế</v>
      </c>
      <c r="C15419" t="str">
        <v>-</v>
      </c>
      <c r="D15419" t="str">
        <v>-</v>
      </c>
      <c r="E15419" t="str">
        <v>-</v>
      </c>
      <c r="F15419" t="str">
        <v>-</v>
      </c>
      <c r="G15419" t="str">
        <v>-</v>
      </c>
    </row>
    <row r="15420">
      <c r="A15420">
        <v>15419</v>
      </c>
      <c r="B15420" t="str">
        <v>Công an xã Phú Xuân  tỉnh Thừa Thiên Huế</v>
      </c>
      <c r="C15420" t="str">
        <v>-</v>
      </c>
      <c r="D15420" t="str">
        <v>-</v>
      </c>
      <c r="E15420" t="str">
        <v/>
      </c>
      <c r="F15420" t="str">
        <v>-</v>
      </c>
      <c r="G15420" t="str">
        <v>-</v>
      </c>
    </row>
    <row r="15421">
      <c r="A15421">
        <v>15420</v>
      </c>
      <c r="B15421" t="str">
        <v>UBND Ủy ban nhân dân xã Phú Xuân  tỉnh Thừa Thiên Huế</v>
      </c>
      <c r="C15421" t="str">
        <v>-</v>
      </c>
      <c r="D15421" t="str">
        <v>-</v>
      </c>
      <c r="E15421" t="str">
        <v>-</v>
      </c>
      <c r="F15421" t="str">
        <v>-</v>
      </c>
      <c r="G15421" t="str">
        <v>-</v>
      </c>
    </row>
    <row r="15422">
      <c r="A15422">
        <v>15421</v>
      </c>
      <c r="B15422" t="str">
        <v>Công an xã Phú Diên  tỉnh Thừa Thiên Huế</v>
      </c>
      <c r="C15422" t="str">
        <v>-</v>
      </c>
      <c r="D15422" t="str">
        <v>-</v>
      </c>
      <c r="E15422" t="str">
        <v/>
      </c>
      <c r="F15422" t="str">
        <v>-</v>
      </c>
      <c r="G15422" t="str">
        <v>-</v>
      </c>
    </row>
    <row r="15423">
      <c r="A15423">
        <v>15422</v>
      </c>
      <c r="B15423" t="str">
        <v>UBND Ủy ban nhân dân xã Phú Diên  tỉnh Thừa Thiên Huế</v>
      </c>
      <c r="C15423" t="str">
        <v>-</v>
      </c>
      <c r="D15423" t="str">
        <v>-</v>
      </c>
      <c r="E15423" t="str">
        <v>-</v>
      </c>
      <c r="F15423" t="str">
        <v>-</v>
      </c>
      <c r="G15423" t="str">
        <v>-</v>
      </c>
    </row>
    <row r="15424">
      <c r="A15424">
        <v>15423</v>
      </c>
      <c r="B15424" t="str">
        <v>Công an xã Phú Thanh  tỉnh Thừa Thiên Huế</v>
      </c>
      <c r="C15424" t="str">
        <v>-</v>
      </c>
      <c r="D15424" t="str">
        <v>-</v>
      </c>
      <c r="E15424" t="str">
        <v/>
      </c>
      <c r="F15424" t="str">
        <v>-</v>
      </c>
      <c r="G15424" t="str">
        <v>-</v>
      </c>
    </row>
    <row r="15425">
      <c r="A15425">
        <v>15424</v>
      </c>
      <c r="B15425" t="str">
        <v>UBND Ủy ban nhân dân xã Phú Thanh  tỉnh Thừa Thiên Huế</v>
      </c>
      <c r="C15425" t="str">
        <v>-</v>
      </c>
      <c r="D15425" t="str">
        <v>-</v>
      </c>
      <c r="E15425" t="str">
        <v>-</v>
      </c>
      <c r="F15425" t="str">
        <v>-</v>
      </c>
      <c r="G15425" t="str">
        <v>-</v>
      </c>
    </row>
    <row r="15426">
      <c r="A15426">
        <v>15425</v>
      </c>
      <c r="B15426" t="str">
        <v>Công an xã Phú Mỹ  tỉnh Thừa Thiên Huế</v>
      </c>
      <c r="C15426" t="str">
        <v>-</v>
      </c>
      <c r="D15426" t="str">
        <v>-</v>
      </c>
      <c r="E15426" t="str">
        <v/>
      </c>
      <c r="F15426" t="str">
        <v>-</v>
      </c>
      <c r="G15426" t="str">
        <v>-</v>
      </c>
    </row>
    <row r="15427">
      <c r="A15427">
        <v>15426</v>
      </c>
      <c r="B15427" t="str">
        <v>UBND Ủy ban nhân dân xã Phú Mỹ  tỉnh Thừa Thiên Huế</v>
      </c>
      <c r="C15427" t="str">
        <v>-</v>
      </c>
      <c r="D15427" t="str">
        <v>-</v>
      </c>
      <c r="E15427" t="str">
        <v>-</v>
      </c>
      <c r="F15427" t="str">
        <v>-</v>
      </c>
      <c r="G15427" t="str">
        <v>-</v>
      </c>
    </row>
    <row r="15428">
      <c r="A15428">
        <v>15427</v>
      </c>
      <c r="B15428" t="str">
        <v>Công an xã Phú Thượng  tỉnh Thừa Thiên Huế</v>
      </c>
      <c r="C15428" t="str">
        <v>-</v>
      </c>
      <c r="D15428" t="str">
        <v>-</v>
      </c>
      <c r="E15428" t="str">
        <v/>
      </c>
      <c r="F15428" t="str">
        <v>-</v>
      </c>
      <c r="G15428" t="str">
        <v>-</v>
      </c>
    </row>
    <row r="15429">
      <c r="A15429">
        <v>15428</v>
      </c>
      <c r="B15429" t="str">
        <v>UBND Ủy ban nhân dân xã Phú Thượng  tỉnh Thừa Thiên Huế</v>
      </c>
      <c r="C15429" t="str">
        <v>-</v>
      </c>
      <c r="D15429" t="str">
        <v>-</v>
      </c>
      <c r="E15429" t="str">
        <v>-</v>
      </c>
      <c r="F15429" t="str">
        <v>-</v>
      </c>
      <c r="G15429" t="str">
        <v>-</v>
      </c>
    </row>
    <row r="15430">
      <c r="A15430">
        <v>15429</v>
      </c>
      <c r="B15430" t="str">
        <v>Công an xã Phú Hồ  tỉnh Thừa Thiên Huế</v>
      </c>
      <c r="C15430" t="str">
        <v>-</v>
      </c>
      <c r="D15430" t="str">
        <v>-</v>
      </c>
      <c r="E15430" t="str">
        <v/>
      </c>
      <c r="F15430" t="str">
        <v>-</v>
      </c>
      <c r="G15430" t="str">
        <v>-</v>
      </c>
    </row>
    <row r="15431">
      <c r="A15431">
        <v>15430</v>
      </c>
      <c r="B15431" t="str">
        <v>UBND Ủy ban nhân dân xã Phú Hồ  tỉnh Thừa Thiên Huế</v>
      </c>
      <c r="C15431" t="str">
        <v>-</v>
      </c>
      <c r="D15431" t="str">
        <v>-</v>
      </c>
      <c r="E15431" t="str">
        <v>-</v>
      </c>
      <c r="F15431" t="str">
        <v>-</v>
      </c>
      <c r="G15431" t="str">
        <v>-</v>
      </c>
    </row>
    <row r="15432">
      <c r="A15432">
        <v>15431</v>
      </c>
      <c r="B15432" t="str">
        <v>Công an xã Vinh Xuân  tỉnh Thừa Thiên Huế</v>
      </c>
      <c r="C15432" t="str">
        <v>-</v>
      </c>
      <c r="D15432" t="str">
        <v>-</v>
      </c>
      <c r="E15432" t="str">
        <v/>
      </c>
      <c r="F15432" t="str">
        <v>-</v>
      </c>
      <c r="G15432" t="str">
        <v>-</v>
      </c>
    </row>
    <row r="15433">
      <c r="A15433">
        <v>15432</v>
      </c>
      <c r="B15433" t="str">
        <v>UBND Ủy ban nhân dân xã Vinh Xuân  tỉnh Thừa Thiên Huế</v>
      </c>
      <c r="C15433" t="str">
        <v>-</v>
      </c>
      <c r="D15433" t="str">
        <v>-</v>
      </c>
      <c r="E15433" t="str">
        <v>-</v>
      </c>
      <c r="F15433" t="str">
        <v>-</v>
      </c>
      <c r="G15433" t="str">
        <v>-</v>
      </c>
    </row>
    <row r="15434">
      <c r="A15434">
        <v>15433</v>
      </c>
      <c r="B15434" t="str">
        <v>Công an xã Phú Lương  tỉnh Thừa Thiên Huế</v>
      </c>
      <c r="C15434" t="str">
        <v>-</v>
      </c>
      <c r="D15434" t="str">
        <v>-</v>
      </c>
      <c r="E15434" t="str">
        <v/>
      </c>
      <c r="F15434" t="str">
        <v>-</v>
      </c>
      <c r="G15434" t="str">
        <v>-</v>
      </c>
    </row>
    <row r="15435">
      <c r="A15435">
        <v>15434</v>
      </c>
      <c r="B15435" t="str">
        <v>UBND Ủy ban nhân dân xã Phú Lương  tỉnh Thừa Thiên Huế</v>
      </c>
      <c r="C15435" t="str">
        <v>-</v>
      </c>
      <c r="D15435" t="str">
        <v>-</v>
      </c>
      <c r="E15435" t="str">
        <v>-</v>
      </c>
      <c r="F15435" t="str">
        <v>-</v>
      </c>
      <c r="G15435" t="str">
        <v>-</v>
      </c>
    </row>
    <row r="15436">
      <c r="A15436">
        <v>15435</v>
      </c>
      <c r="B15436" t="str">
        <v>Công an xã Vinh Thanh  tỉnh Thừa Thiên Huế</v>
      </c>
      <c r="C15436" t="str">
        <v>-</v>
      </c>
      <c r="D15436" t="str">
        <v>-</v>
      </c>
      <c r="E15436" t="str">
        <v/>
      </c>
      <c r="F15436" t="str">
        <v>-</v>
      </c>
      <c r="G15436" t="str">
        <v>-</v>
      </c>
    </row>
    <row r="15437">
      <c r="A15437">
        <v>15436</v>
      </c>
      <c r="B15437" t="str">
        <v>UBND Ủy ban nhân dân xã Vinh Thanh  tỉnh Thừa Thiên Huế</v>
      </c>
      <c r="C15437" t="str">
        <v>-</v>
      </c>
      <c r="D15437" t="str">
        <v>-</v>
      </c>
      <c r="E15437" t="str">
        <v>-</v>
      </c>
      <c r="F15437" t="str">
        <v>-</v>
      </c>
      <c r="G15437" t="str">
        <v>-</v>
      </c>
    </row>
    <row r="15438">
      <c r="A15438">
        <v>15437</v>
      </c>
      <c r="B15438" t="str">
        <v>Công an xã Vinh An  tỉnh Thừa Thiên Huế</v>
      </c>
      <c r="C15438" t="str">
        <v>-</v>
      </c>
      <c r="D15438" t="str">
        <v>-</v>
      </c>
      <c r="E15438" t="str">
        <v/>
      </c>
      <c r="F15438" t="str">
        <v>-</v>
      </c>
      <c r="G15438" t="str">
        <v>-</v>
      </c>
    </row>
    <row r="15439">
      <c r="A15439">
        <v>15438</v>
      </c>
      <c r="B15439" t="str">
        <v>UBND Ủy ban nhân dân xã Vinh An  tỉnh Thừa Thiên Huế</v>
      </c>
      <c r="C15439" t="str">
        <v>-</v>
      </c>
      <c r="D15439" t="str">
        <v>-</v>
      </c>
      <c r="E15439" t="str">
        <v>-</v>
      </c>
      <c r="F15439" t="str">
        <v>-</v>
      </c>
      <c r="G15439" t="str">
        <v>-</v>
      </c>
    </row>
    <row r="15440">
      <c r="A15440">
        <v>15439</v>
      </c>
      <c r="B15440" t="str">
        <v>Công an xã Vinh Phú  tỉnh Thừa Thiên Huế</v>
      </c>
      <c r="C15440" t="str">
        <v>-</v>
      </c>
      <c r="D15440" t="str">
        <v>-</v>
      </c>
      <c r="E15440" t="str">
        <v/>
      </c>
      <c r="F15440" t="str">
        <v>-</v>
      </c>
      <c r="G15440" t="str">
        <v>-</v>
      </c>
    </row>
    <row r="15441">
      <c r="A15441">
        <v>15440</v>
      </c>
      <c r="B15441" t="str">
        <v>UBND Ủy ban nhân dân xã Vinh Phú  tỉnh Thừa Thiên Huế</v>
      </c>
      <c r="C15441" t="str">
        <v>-</v>
      </c>
      <c r="D15441" t="str">
        <v>-</v>
      </c>
      <c r="E15441" t="str">
        <v>-</v>
      </c>
      <c r="F15441" t="str">
        <v>-</v>
      </c>
      <c r="G15441" t="str">
        <v>-</v>
      </c>
    </row>
    <row r="15442">
      <c r="A15442">
        <v>15441</v>
      </c>
      <c r="B15442" t="str">
        <v>Công an xã Vinh Thái  tỉnh Thừa Thiên Huế</v>
      </c>
      <c r="C15442" t="str">
        <v>-</v>
      </c>
      <c r="D15442" t="str">
        <v>-</v>
      </c>
      <c r="E15442" t="str">
        <v/>
      </c>
      <c r="F15442" t="str">
        <v>-</v>
      </c>
      <c r="G15442" t="str">
        <v>-</v>
      </c>
    </row>
    <row r="15443">
      <c r="A15443">
        <v>15442</v>
      </c>
      <c r="B15443" t="str">
        <v>UBND Ủy ban nhân dân xã Vinh Thái  tỉnh Thừa Thiên Huế</v>
      </c>
      <c r="C15443" t="str">
        <v>-</v>
      </c>
      <c r="D15443" t="str">
        <v>-</v>
      </c>
      <c r="E15443" t="str">
        <v>-</v>
      </c>
      <c r="F15443" t="str">
        <v>-</v>
      </c>
      <c r="G15443" t="str">
        <v>-</v>
      </c>
    </row>
    <row r="15444">
      <c r="A15444">
        <v>15443</v>
      </c>
      <c r="B15444" t="str">
        <v>Công an xã Vinh Hà  tỉnh Thừa Thiên Huế</v>
      </c>
      <c r="C15444" t="str">
        <v>-</v>
      </c>
      <c r="D15444" t="str">
        <v>-</v>
      </c>
      <c r="E15444" t="str">
        <v/>
      </c>
      <c r="F15444" t="str">
        <v>-</v>
      </c>
      <c r="G15444" t="str">
        <v>-</v>
      </c>
    </row>
    <row r="15445">
      <c r="A15445">
        <v>15444</v>
      </c>
      <c r="B15445" t="str">
        <v>UBND Ủy ban nhân dân xã Vinh Hà  tỉnh Thừa Thiên Huế</v>
      </c>
      <c r="C15445" t="str">
        <v>-</v>
      </c>
      <c r="D15445" t="str">
        <v>-</v>
      </c>
      <c r="E15445" t="str">
        <v>-</v>
      </c>
      <c r="F15445" t="str">
        <v>-</v>
      </c>
      <c r="G15445" t="str">
        <v>-</v>
      </c>
    </row>
    <row r="15446">
      <c r="A15446">
        <v>15445</v>
      </c>
      <c r="B15446" t="str">
        <v>Công an phường Phú Bài  tỉnh Thừa Thiên Huế</v>
      </c>
      <c r="C15446" t="str">
        <v>-</v>
      </c>
      <c r="D15446" t="str">
        <v>-</v>
      </c>
      <c r="E15446" t="str">
        <v/>
      </c>
      <c r="F15446" t="str">
        <v>-</v>
      </c>
      <c r="G15446" t="str">
        <v>-</v>
      </c>
    </row>
    <row r="15447">
      <c r="A15447">
        <v>15446</v>
      </c>
      <c r="B15447" t="str">
        <v>UBND Ủy ban nhân dân phường Phú Bài  tỉnh Thừa Thiên Huế</v>
      </c>
      <c r="C15447" t="str">
        <v>-</v>
      </c>
      <c r="D15447" t="str">
        <v>-</v>
      </c>
      <c r="E15447" t="str">
        <v>-</v>
      </c>
      <c r="F15447" t="str">
        <v>-</v>
      </c>
      <c r="G15447" t="str">
        <v>-</v>
      </c>
    </row>
    <row r="15448">
      <c r="A15448">
        <v>15447</v>
      </c>
      <c r="B15448" t="str">
        <v>Công an xã Thủy Vân  tỉnh Thừa Thiên Huế</v>
      </c>
      <c r="C15448" t="str">
        <v>-</v>
      </c>
      <c r="D15448" t="str">
        <v>-</v>
      </c>
      <c r="E15448" t="str">
        <v/>
      </c>
      <c r="F15448" t="str">
        <v>-</v>
      </c>
      <c r="G15448" t="str">
        <v>-</v>
      </c>
    </row>
    <row r="15449">
      <c r="A15449">
        <v>15448</v>
      </c>
      <c r="B15449" t="str">
        <v>UBND Ủy ban nhân dân xã Thủy Vân  tỉnh Thừa Thiên Huế</v>
      </c>
      <c r="C15449" t="str">
        <v>-</v>
      </c>
      <c r="D15449" t="str">
        <v>-</v>
      </c>
      <c r="E15449" t="str">
        <v>-</v>
      </c>
      <c r="F15449" t="str">
        <v>-</v>
      </c>
      <c r="G15449" t="str">
        <v>-</v>
      </c>
    </row>
    <row r="15450">
      <c r="A15450">
        <v>15449</v>
      </c>
      <c r="B15450" t="str">
        <v>Công an xã Thủy Thanh  tỉnh Thừa Thiên Huế</v>
      </c>
      <c r="C15450" t="str">
        <v>-</v>
      </c>
      <c r="D15450" t="str">
        <v>-</v>
      </c>
      <c r="E15450" t="str">
        <v/>
      </c>
      <c r="F15450" t="str">
        <v>-</v>
      </c>
      <c r="G15450" t="str">
        <v>-</v>
      </c>
    </row>
    <row r="15451">
      <c r="A15451">
        <v>15450</v>
      </c>
      <c r="B15451" t="str">
        <v>UBND Ủy ban nhân dân xã Thủy Thanh  tỉnh Thừa Thiên Huế</v>
      </c>
      <c r="C15451" t="str">
        <v>-</v>
      </c>
      <c r="D15451" t="str">
        <v>-</v>
      </c>
      <c r="E15451" t="str">
        <v>-</v>
      </c>
      <c r="F15451" t="str">
        <v>-</v>
      </c>
      <c r="G15451" t="str">
        <v>-</v>
      </c>
    </row>
    <row r="15452">
      <c r="A15452">
        <v>15451</v>
      </c>
      <c r="B15452" t="str">
        <v>Công an phường Thủy Dương  tỉnh Thừa Thiên Huế</v>
      </c>
      <c r="C15452" t="str">
        <v>-</v>
      </c>
      <c r="D15452" t="str">
        <v>-</v>
      </c>
      <c r="E15452" t="str">
        <v/>
      </c>
      <c r="F15452" t="str">
        <v>-</v>
      </c>
      <c r="G15452" t="str">
        <v>-</v>
      </c>
    </row>
    <row r="15453">
      <c r="A15453">
        <v>15452</v>
      </c>
      <c r="B15453" t="str">
        <v>UBND Ủy ban nhân dân phường Thủy Dương  tỉnh Thừa Thiên Huế</v>
      </c>
      <c r="C15453" t="str">
        <v>-</v>
      </c>
      <c r="D15453" t="str">
        <v>-</v>
      </c>
      <c r="E15453" t="str">
        <v>-</v>
      </c>
      <c r="F15453" t="str">
        <v>-</v>
      </c>
      <c r="G15453" t="str">
        <v>-</v>
      </c>
    </row>
    <row r="15454">
      <c r="A15454">
        <v>15453</v>
      </c>
      <c r="B15454" t="str">
        <v>Công an phường Thủy Phương  tỉnh Thừa Thiên Huế</v>
      </c>
      <c r="C15454" t="str">
        <v>-</v>
      </c>
      <c r="D15454" t="str">
        <v>-</v>
      </c>
      <c r="E15454" t="str">
        <v/>
      </c>
      <c r="F15454" t="str">
        <v>-</v>
      </c>
      <c r="G15454" t="str">
        <v>-</v>
      </c>
    </row>
    <row r="15455">
      <c r="A15455">
        <v>15454</v>
      </c>
      <c r="B15455" t="str">
        <v>UBND Ủy ban nhân dân phường Thủy Phương  tỉnh Thừa Thiên Huế</v>
      </c>
      <c r="C15455" t="str">
        <v>-</v>
      </c>
      <c r="D15455" t="str">
        <v>-</v>
      </c>
      <c r="E15455" t="str">
        <v>-</v>
      </c>
      <c r="F15455" t="str">
        <v>-</v>
      </c>
      <c r="G15455" t="str">
        <v>-</v>
      </c>
    </row>
    <row r="15456">
      <c r="A15456">
        <v>15455</v>
      </c>
      <c r="B15456" t="str">
        <v>Công an phường Thủy Châu  tỉnh Thừa Thiên Huế</v>
      </c>
      <c r="C15456" t="str">
        <v>-</v>
      </c>
      <c r="D15456" t="str">
        <v>-</v>
      </c>
      <c r="E15456" t="str">
        <v/>
      </c>
      <c r="F15456" t="str">
        <v>-</v>
      </c>
      <c r="G15456" t="str">
        <v>-</v>
      </c>
    </row>
    <row r="15457">
      <c r="A15457">
        <v>15456</v>
      </c>
      <c r="B15457" t="str">
        <v>UBND Ủy ban nhân dân phường Thủy Châu  tỉnh Thừa Thiên Huế</v>
      </c>
      <c r="C15457" t="str">
        <v>-</v>
      </c>
      <c r="D15457" t="str">
        <v>-</v>
      </c>
      <c r="E15457" t="str">
        <v>-</v>
      </c>
      <c r="F15457" t="str">
        <v>-</v>
      </c>
      <c r="G15457" t="str">
        <v>-</v>
      </c>
    </row>
    <row r="15458">
      <c r="A15458">
        <v>15457</v>
      </c>
      <c r="B15458" t="str">
        <v>Công an phường Thủy Lương  tỉnh Thừa Thiên Huế</v>
      </c>
      <c r="C15458" t="str">
        <v>-</v>
      </c>
      <c r="D15458" t="str">
        <v>-</v>
      </c>
      <c r="E15458" t="str">
        <v/>
      </c>
      <c r="F15458" t="str">
        <v>-</v>
      </c>
      <c r="G15458" t="str">
        <v>-</v>
      </c>
    </row>
    <row r="15459">
      <c r="A15459">
        <v>15458</v>
      </c>
      <c r="B15459" t="str">
        <v>UBND Ủy ban nhân dân phường Thủy Lương  tỉnh Thừa Thiên Huế</v>
      </c>
      <c r="C15459" t="str">
        <v>-</v>
      </c>
      <c r="D15459" t="str">
        <v>-</v>
      </c>
      <c r="E15459" t="str">
        <v>-</v>
      </c>
      <c r="F15459" t="str">
        <v>-</v>
      </c>
      <c r="G15459" t="str">
        <v>-</v>
      </c>
    </row>
    <row r="15460">
      <c r="A15460">
        <v>15459</v>
      </c>
      <c r="B15460" t="str">
        <v>Công an xã Thủy Bằng  tỉnh Thừa Thiên Huế</v>
      </c>
      <c r="C15460" t="str">
        <v>-</v>
      </c>
      <c r="D15460" t="str">
        <v>-</v>
      </c>
      <c r="E15460" t="str">
        <v/>
      </c>
      <c r="F15460" t="str">
        <v>-</v>
      </c>
      <c r="G15460" t="str">
        <v>-</v>
      </c>
    </row>
    <row r="15461">
      <c r="A15461">
        <v>15460</v>
      </c>
      <c r="B15461" t="str">
        <v>UBND Ủy ban nhân dân xã Thủy Bằng  tỉnh Thừa Thiên Huế</v>
      </c>
      <c r="C15461" t="str">
        <v>-</v>
      </c>
      <c r="D15461" t="str">
        <v>-</v>
      </c>
      <c r="E15461" t="str">
        <v>-</v>
      </c>
      <c r="F15461" t="str">
        <v>-</v>
      </c>
      <c r="G15461" t="str">
        <v>-</v>
      </c>
    </row>
    <row r="15462">
      <c r="A15462">
        <v>15461</v>
      </c>
      <c r="B15462" t="str">
        <v>Công an xã Thủy Tân  tỉnh Thừa Thiên Huế</v>
      </c>
      <c r="C15462" t="str">
        <v>-</v>
      </c>
      <c r="D15462" t="str">
        <v>-</v>
      </c>
      <c r="E15462" t="str">
        <v/>
      </c>
      <c r="F15462" t="str">
        <v>-</v>
      </c>
      <c r="G15462" t="str">
        <v>-</v>
      </c>
    </row>
    <row r="15463">
      <c r="A15463">
        <v>15462</v>
      </c>
      <c r="B15463" t="str">
        <v>UBND Ủy ban nhân dân xã Thủy Tân  tỉnh Thừa Thiên Huế</v>
      </c>
      <c r="C15463" t="str">
        <v>-</v>
      </c>
      <c r="D15463" t="str">
        <v>-</v>
      </c>
      <c r="E15463" t="str">
        <v>-</v>
      </c>
      <c r="F15463" t="str">
        <v>-</v>
      </c>
      <c r="G15463" t="str">
        <v>-</v>
      </c>
    </row>
    <row r="15464">
      <c r="A15464">
        <v>15463</v>
      </c>
      <c r="B15464" t="str">
        <v>Công an xã Thủy Phù  tỉnh Thừa Thiên Huế</v>
      </c>
      <c r="C15464" t="str">
        <v>-</v>
      </c>
      <c r="D15464" t="str">
        <v>-</v>
      </c>
      <c r="E15464" t="str">
        <v/>
      </c>
      <c r="F15464" t="str">
        <v>-</v>
      </c>
      <c r="G15464" t="str">
        <v>-</v>
      </c>
    </row>
    <row r="15465">
      <c r="A15465">
        <v>15464</v>
      </c>
      <c r="B15465" t="str">
        <v>UBND Ủy ban nhân dân xã Thủy Phù  tỉnh Thừa Thiên Huế</v>
      </c>
      <c r="C15465" t="str">
        <v>-</v>
      </c>
      <c r="D15465" t="str">
        <v>-</v>
      </c>
      <c r="E15465" t="str">
        <v>-</v>
      </c>
      <c r="F15465" t="str">
        <v>-</v>
      </c>
      <c r="G15465" t="str">
        <v>-</v>
      </c>
    </row>
    <row r="15466">
      <c r="A15466">
        <v>15465</v>
      </c>
      <c r="B15466" t="str">
        <v>Công an xã Phú Sơn  tỉnh Thừa Thiên Huế</v>
      </c>
      <c r="C15466" t="str">
        <v>-</v>
      </c>
      <c r="D15466" t="str">
        <v>-</v>
      </c>
      <c r="E15466" t="str">
        <v/>
      </c>
      <c r="F15466" t="str">
        <v>-</v>
      </c>
      <c r="G15466" t="str">
        <v>-</v>
      </c>
    </row>
    <row r="15467">
      <c r="A15467">
        <v>15466</v>
      </c>
      <c r="B15467" t="str">
        <v>UBND Ủy ban nhân dân xã Phú Sơn  tỉnh Thừa Thiên Huế</v>
      </c>
      <c r="C15467" t="str">
        <v>-</v>
      </c>
      <c r="D15467" t="str">
        <v>-</v>
      </c>
      <c r="E15467" t="str">
        <v>-</v>
      </c>
      <c r="F15467" t="str">
        <v>-</v>
      </c>
      <c r="G15467" t="str">
        <v>-</v>
      </c>
    </row>
    <row r="15468">
      <c r="A15468">
        <v>15467</v>
      </c>
      <c r="B15468" t="str">
        <v>Công an xã Dương Hòa  tỉnh Thừa Thiên Huế</v>
      </c>
      <c r="C15468" t="str">
        <v>-</v>
      </c>
      <c r="D15468" t="str">
        <v>-</v>
      </c>
      <c r="E15468" t="str">
        <v/>
      </c>
      <c r="F15468" t="str">
        <v>-</v>
      </c>
      <c r="G15468" t="str">
        <v>-</v>
      </c>
    </row>
    <row r="15469">
      <c r="A15469">
        <v>15468</v>
      </c>
      <c r="B15469" t="str">
        <v>UBND Ủy ban nhân dân xã Dương Hòa  tỉnh Thừa Thiên Huế</v>
      </c>
      <c r="C15469" t="str">
        <v>-</v>
      </c>
      <c r="D15469" t="str">
        <v>-</v>
      </c>
      <c r="E15469" t="str">
        <v>-</v>
      </c>
      <c r="F15469" t="str">
        <v>-</v>
      </c>
      <c r="G15469" t="str">
        <v>-</v>
      </c>
    </row>
    <row r="15470">
      <c r="A15470">
        <v>15469</v>
      </c>
      <c r="B15470" t="str">
        <v>Công an phường Tứ Hạ  tỉnh Thừa Thiên Huế</v>
      </c>
      <c r="C15470" t="str">
        <v>-</v>
      </c>
      <c r="D15470" t="str">
        <v>-</v>
      </c>
      <c r="E15470" t="str">
        <v/>
      </c>
      <c r="F15470" t="str">
        <v>-</v>
      </c>
      <c r="G15470" t="str">
        <v>-</v>
      </c>
    </row>
    <row r="15471">
      <c r="A15471">
        <v>15470</v>
      </c>
      <c r="B15471" t="str">
        <v>UBND Ủy ban nhân dân phường Tứ Hạ  tỉnh Thừa Thiên Huế</v>
      </c>
      <c r="C15471" t="str">
        <v>-</v>
      </c>
      <c r="D15471" t="str">
        <v>-</v>
      </c>
      <c r="E15471" t="str">
        <v>-</v>
      </c>
      <c r="F15471" t="str">
        <v>-</v>
      </c>
      <c r="G15471" t="str">
        <v>-</v>
      </c>
    </row>
    <row r="15472">
      <c r="A15472">
        <v>15471</v>
      </c>
      <c r="B15472" t="str">
        <v>Công an xã Hải Dương  tỉnh Thừa Thiên Huế</v>
      </c>
      <c r="C15472" t="str">
        <v>-</v>
      </c>
      <c r="D15472" t="str">
        <v>-</v>
      </c>
      <c r="E15472" t="str">
        <v/>
      </c>
      <c r="F15472" t="str">
        <v>-</v>
      </c>
      <c r="G15472" t="str">
        <v>-</v>
      </c>
    </row>
    <row r="15473">
      <c r="A15473">
        <v>15472</v>
      </c>
      <c r="B15473" t="str">
        <v>UBND Ủy ban nhân dân xã Hải Dương  tỉnh Thừa Thiên Huế</v>
      </c>
      <c r="C15473" t="str">
        <v>-</v>
      </c>
      <c r="D15473" t="str">
        <v>-</v>
      </c>
      <c r="E15473" t="str">
        <v>-</v>
      </c>
      <c r="F15473" t="str">
        <v>-</v>
      </c>
      <c r="G15473" t="str">
        <v>-</v>
      </c>
    </row>
    <row r="15474">
      <c r="A15474">
        <v>15473</v>
      </c>
      <c r="B15474" t="str">
        <v>Công an xã Hương Phong  tỉnh Thừa Thiên Huế</v>
      </c>
      <c r="C15474" t="str">
        <v>-</v>
      </c>
      <c r="D15474" t="str">
        <v>-</v>
      </c>
      <c r="E15474" t="str">
        <v/>
      </c>
      <c r="F15474" t="str">
        <v>-</v>
      </c>
      <c r="G15474" t="str">
        <v>-</v>
      </c>
    </row>
    <row r="15475">
      <c r="A15475">
        <v>15474</v>
      </c>
      <c r="B15475" t="str">
        <v>UBND Ủy ban nhân dân xã Hương Phong  tỉnh Thừa Thiên Huế</v>
      </c>
      <c r="C15475" t="str">
        <v>-</v>
      </c>
      <c r="D15475" t="str">
        <v>-</v>
      </c>
      <c r="E15475" t="str">
        <v>-</v>
      </c>
      <c r="F15475" t="str">
        <v>-</v>
      </c>
      <c r="G15475" t="str">
        <v>-</v>
      </c>
    </row>
    <row r="15476">
      <c r="A15476">
        <v>15475</v>
      </c>
      <c r="B15476" t="str">
        <v>Công an xã Hương Toàn  tỉnh Thừa Thiên Huế</v>
      </c>
      <c r="C15476" t="str">
        <v>-</v>
      </c>
      <c r="D15476" t="str">
        <v>-</v>
      </c>
      <c r="E15476" t="str">
        <v/>
      </c>
      <c r="F15476" t="str">
        <v>-</v>
      </c>
      <c r="G15476" t="str">
        <v>-</v>
      </c>
    </row>
    <row r="15477">
      <c r="A15477">
        <v>15476</v>
      </c>
      <c r="B15477" t="str">
        <v>UBND Ủy ban nhân dân xã Hương Toàn  tỉnh Thừa Thiên Huế</v>
      </c>
      <c r="C15477" t="str">
        <v>-</v>
      </c>
      <c r="D15477" t="str">
        <v>-</v>
      </c>
      <c r="E15477" t="str">
        <v>-</v>
      </c>
      <c r="F15477" t="str">
        <v>-</v>
      </c>
      <c r="G15477" t="str">
        <v>-</v>
      </c>
    </row>
    <row r="15478">
      <c r="A15478">
        <v>15477</v>
      </c>
      <c r="B15478" t="str">
        <v>Công an phường Hương Vân  tỉnh Thừa Thiên Huế</v>
      </c>
      <c r="C15478" t="str">
        <v>-</v>
      </c>
      <c r="D15478" t="str">
        <v>-</v>
      </c>
      <c r="E15478" t="str">
        <v/>
      </c>
      <c r="F15478" t="str">
        <v>-</v>
      </c>
      <c r="G15478" t="str">
        <v>-</v>
      </c>
    </row>
    <row r="15479">
      <c r="A15479">
        <v>15478</v>
      </c>
      <c r="B15479" t="str">
        <v>UBND Ủy ban nhân dân phường Hương Vân  tỉnh Thừa Thiên Huế</v>
      </c>
      <c r="C15479" t="str">
        <v>-</v>
      </c>
      <c r="D15479" t="str">
        <v>-</v>
      </c>
      <c r="E15479" t="str">
        <v>-</v>
      </c>
      <c r="F15479" t="str">
        <v>-</v>
      </c>
      <c r="G15479" t="str">
        <v>-</v>
      </c>
    </row>
    <row r="15480">
      <c r="A15480">
        <v>15479</v>
      </c>
      <c r="B15480" t="str">
        <v>Công an phường Hương Văn  tỉnh Thừa Thiên Huế</v>
      </c>
      <c r="C15480" t="str">
        <v>-</v>
      </c>
      <c r="D15480" t="str">
        <v>-</v>
      </c>
      <c r="E15480" t="str">
        <v/>
      </c>
      <c r="F15480" t="str">
        <v>-</v>
      </c>
      <c r="G15480" t="str">
        <v>-</v>
      </c>
    </row>
    <row r="15481">
      <c r="A15481">
        <v>15480</v>
      </c>
      <c r="B15481" t="str">
        <v>UBND Ủy ban nhân dân phường Hương Văn  tỉnh Thừa Thiên Huế</v>
      </c>
      <c r="C15481" t="str">
        <v>-</v>
      </c>
      <c r="D15481" t="str">
        <v>-</v>
      </c>
      <c r="E15481" t="str">
        <v>-</v>
      </c>
      <c r="F15481" t="str">
        <v>-</v>
      </c>
      <c r="G15481" t="str">
        <v>-</v>
      </c>
    </row>
    <row r="15482">
      <c r="A15482">
        <v>15481</v>
      </c>
      <c r="B15482" t="str">
        <v>Công an xã Hương Vinh  tỉnh Thừa Thiên Huế</v>
      </c>
      <c r="C15482" t="str">
        <v>-</v>
      </c>
      <c r="D15482" t="str">
        <v>-</v>
      </c>
      <c r="E15482" t="str">
        <v/>
      </c>
      <c r="F15482" t="str">
        <v>-</v>
      </c>
      <c r="G15482" t="str">
        <v>-</v>
      </c>
    </row>
    <row r="15483">
      <c r="A15483">
        <v>15482</v>
      </c>
      <c r="B15483" t="str">
        <v>UBND Ủy ban nhân dân xã Hương Vinh  tỉnh Thừa Thiên Huế</v>
      </c>
      <c r="C15483" t="str">
        <v>-</v>
      </c>
      <c r="D15483" t="str">
        <v>-</v>
      </c>
      <c r="E15483" t="str">
        <v>-</v>
      </c>
      <c r="F15483" t="str">
        <v>-</v>
      </c>
      <c r="G15483" t="str">
        <v>-</v>
      </c>
    </row>
    <row r="15484">
      <c r="A15484">
        <v>15483</v>
      </c>
      <c r="B15484" t="str">
        <v>Công an phường Hương Xuân  tỉnh Thừa Thiên Huế</v>
      </c>
      <c r="C15484" t="str">
        <v>-</v>
      </c>
      <c r="D15484" t="str">
        <v>-</v>
      </c>
      <c r="E15484" t="str">
        <v/>
      </c>
      <c r="F15484" t="str">
        <v>-</v>
      </c>
      <c r="G15484" t="str">
        <v>-</v>
      </c>
    </row>
    <row r="15485">
      <c r="A15485">
        <v>15484</v>
      </c>
      <c r="B15485" t="str">
        <v>UBND Ủy ban nhân dân phường Hương Xuân  tỉnh Thừa Thiên Huế</v>
      </c>
      <c r="C15485" t="str">
        <v>-</v>
      </c>
      <c r="D15485" t="str">
        <v>-</v>
      </c>
      <c r="E15485" t="str">
        <v>-</v>
      </c>
      <c r="F15485" t="str">
        <v>-</v>
      </c>
      <c r="G15485" t="str">
        <v>-</v>
      </c>
    </row>
    <row r="15486">
      <c r="A15486">
        <v>15485</v>
      </c>
      <c r="B15486" t="str">
        <v>Công an phường Hương Chữ  tỉnh Thừa Thiên Huế</v>
      </c>
      <c r="C15486" t="str">
        <v>-</v>
      </c>
      <c r="D15486" t="str">
        <v>-</v>
      </c>
      <c r="E15486" t="str">
        <v/>
      </c>
      <c r="F15486" t="str">
        <v>-</v>
      </c>
      <c r="G15486" t="str">
        <v>-</v>
      </c>
    </row>
    <row r="15487">
      <c r="A15487">
        <v>15486</v>
      </c>
      <c r="B15487" t="str">
        <v>UBND Ủy ban nhân dân phường Hương Chữ  tỉnh Thừa Thiên Huế</v>
      </c>
      <c r="C15487" t="str">
        <v>-</v>
      </c>
      <c r="D15487" t="str">
        <v>-</v>
      </c>
      <c r="E15487" t="str">
        <v>-</v>
      </c>
      <c r="F15487" t="str">
        <v>-</v>
      </c>
      <c r="G15487" t="str">
        <v>-</v>
      </c>
    </row>
    <row r="15488">
      <c r="A15488">
        <v>15487</v>
      </c>
      <c r="B15488" t="str">
        <v>Công an phường Hương An  tỉnh Thừa Thiên Huế</v>
      </c>
      <c r="C15488" t="str">
        <v>-</v>
      </c>
      <c r="D15488" t="str">
        <v>-</v>
      </c>
      <c r="E15488" t="str">
        <v/>
      </c>
      <c r="F15488" t="str">
        <v>-</v>
      </c>
      <c r="G15488" t="str">
        <v>-</v>
      </c>
    </row>
    <row r="15489">
      <c r="A15489">
        <v>15488</v>
      </c>
      <c r="B15489" t="str">
        <v>UBND Ủy ban nhân dân phường Hương An  tỉnh Thừa Thiên Huế</v>
      </c>
      <c r="C15489" t="str">
        <v>-</v>
      </c>
      <c r="D15489" t="str">
        <v>-</v>
      </c>
      <c r="E15489" t="str">
        <v>-</v>
      </c>
      <c r="F15489" t="str">
        <v>-</v>
      </c>
      <c r="G15489" t="str">
        <v>-</v>
      </c>
    </row>
    <row r="15490">
      <c r="A15490">
        <v>15489</v>
      </c>
      <c r="B15490" t="str">
        <v>Công an xã Hương Bình  tỉnh Thừa Thiên Huế</v>
      </c>
      <c r="C15490" t="str">
        <v>-</v>
      </c>
      <c r="D15490" t="str">
        <v>-</v>
      </c>
      <c r="E15490" t="str">
        <v/>
      </c>
      <c r="F15490" t="str">
        <v>-</v>
      </c>
      <c r="G15490" t="str">
        <v>-</v>
      </c>
    </row>
    <row r="15491">
      <c r="A15491">
        <v>15490</v>
      </c>
      <c r="B15491" t="str">
        <v>UBND Ủy ban nhân dân xã Hương Bình  tỉnh Thừa Thiên Huế</v>
      </c>
      <c r="C15491" t="str">
        <v>-</v>
      </c>
      <c r="D15491" t="str">
        <v>-</v>
      </c>
      <c r="E15491" t="str">
        <v>-</v>
      </c>
      <c r="F15491" t="str">
        <v>-</v>
      </c>
      <c r="G15491" t="str">
        <v>-</v>
      </c>
    </row>
    <row r="15492">
      <c r="A15492">
        <v>15491</v>
      </c>
      <c r="B15492" t="str">
        <v>Công an phường Hương Hồ  tỉnh Thừa Thiên Huế</v>
      </c>
      <c r="C15492" t="str">
        <v>-</v>
      </c>
      <c r="D15492" t="str">
        <v>-</v>
      </c>
      <c r="E15492" t="str">
        <v/>
      </c>
      <c r="F15492" t="str">
        <v>-</v>
      </c>
      <c r="G15492" t="str">
        <v>-</v>
      </c>
    </row>
    <row r="15493">
      <c r="A15493">
        <v>15492</v>
      </c>
      <c r="B15493" t="str">
        <v>UBND Ủy ban nhân dân phường Hương Hồ  tỉnh Thừa Thiên Huế</v>
      </c>
      <c r="C15493" t="str">
        <v>-</v>
      </c>
      <c r="D15493" t="str">
        <v>-</v>
      </c>
      <c r="E15493" t="str">
        <v>-</v>
      </c>
      <c r="F15493" t="str">
        <v>-</v>
      </c>
      <c r="G15493" t="str">
        <v>-</v>
      </c>
    </row>
    <row r="15494">
      <c r="A15494">
        <v>15493</v>
      </c>
      <c r="B15494" t="str">
        <v>Công an xã Hương Thọ  tỉnh Thừa Thiên Huế</v>
      </c>
      <c r="C15494" t="str">
        <v>-</v>
      </c>
      <c r="D15494" t="str">
        <v>-</v>
      </c>
      <c r="E15494" t="str">
        <v/>
      </c>
      <c r="F15494" t="str">
        <v>-</v>
      </c>
      <c r="G15494" t="str">
        <v>-</v>
      </c>
    </row>
    <row r="15495">
      <c r="A15495">
        <v>15494</v>
      </c>
      <c r="B15495" t="str">
        <v>UBND Ủy ban nhân dân xã Hương Thọ  tỉnh Thừa Thiên Huế</v>
      </c>
      <c r="C15495" t="str">
        <v>-</v>
      </c>
      <c r="D15495" t="str">
        <v>-</v>
      </c>
      <c r="E15495" t="str">
        <v>-</v>
      </c>
      <c r="F15495" t="str">
        <v>-</v>
      </c>
      <c r="G15495" t="str">
        <v>-</v>
      </c>
    </row>
    <row r="15496">
      <c r="A15496">
        <v>15495</v>
      </c>
      <c r="B15496" t="str">
        <v>Công an xã Bình Điền  tỉnh Thừa Thiên Huế</v>
      </c>
      <c r="C15496" t="str">
        <v>-</v>
      </c>
      <c r="D15496" t="str">
        <v>-</v>
      </c>
      <c r="E15496" t="str">
        <v/>
      </c>
      <c r="F15496" t="str">
        <v>-</v>
      </c>
      <c r="G15496" t="str">
        <v>-</v>
      </c>
    </row>
    <row r="15497">
      <c r="A15497">
        <v>15496</v>
      </c>
      <c r="B15497" t="str">
        <v>UBND Ủy ban nhân dân xã Bình Điền  tỉnh Thừa Thiên Huế</v>
      </c>
      <c r="C15497" t="str">
        <v>-</v>
      </c>
      <c r="D15497" t="str">
        <v>-</v>
      </c>
      <c r="E15497" t="str">
        <v>-</v>
      </c>
      <c r="F15497" t="str">
        <v>-</v>
      </c>
      <c r="G15497" t="str">
        <v>-</v>
      </c>
    </row>
    <row r="15498">
      <c r="A15498">
        <v>15497</v>
      </c>
      <c r="B15498" t="str">
        <v>Công an xã Hồng Tiến  tỉnh Thừa Thiên Huế</v>
      </c>
      <c r="C15498" t="str">
        <v>-</v>
      </c>
      <c r="D15498" t="str">
        <v>-</v>
      </c>
      <c r="E15498" t="str">
        <v/>
      </c>
      <c r="F15498" t="str">
        <v>-</v>
      </c>
      <c r="G15498" t="str">
        <v>-</v>
      </c>
    </row>
    <row r="15499">
      <c r="A15499">
        <v>15498</v>
      </c>
      <c r="B15499" t="str">
        <v>UBND Ủy ban nhân dân xã Hồng Tiến  tỉnh Thừa Thiên Huế</v>
      </c>
      <c r="C15499" t="str">
        <v>-</v>
      </c>
      <c r="D15499" t="str">
        <v>-</v>
      </c>
      <c r="E15499" t="str">
        <v>-</v>
      </c>
      <c r="F15499" t="str">
        <v>-</v>
      </c>
      <c r="G15499" t="str">
        <v>-</v>
      </c>
    </row>
    <row r="15500">
      <c r="A15500">
        <v>15499</v>
      </c>
      <c r="B15500" t="str">
        <v>Công an xã Bình Thành  tỉnh Thừa Thiên Huế</v>
      </c>
      <c r="C15500" t="str">
        <v>-</v>
      </c>
      <c r="D15500" t="str">
        <v>-</v>
      </c>
      <c r="E15500" t="str">
        <v/>
      </c>
      <c r="F15500" t="str">
        <v>-</v>
      </c>
      <c r="G15500" t="str">
        <v>-</v>
      </c>
    </row>
    <row r="15501">
      <c r="A15501">
        <v>15500</v>
      </c>
      <c r="B15501" t="str">
        <v>UBND Ủy ban nhân dân xã Bình Thành  tỉnh Thừa Thiên Huế</v>
      </c>
      <c r="C15501" t="str">
        <v>-</v>
      </c>
      <c r="D15501" t="str">
        <v>-</v>
      </c>
      <c r="E15501" t="str">
        <v>-</v>
      </c>
      <c r="F15501" t="str">
        <v>-</v>
      </c>
      <c r="G15501" t="str">
        <v>-</v>
      </c>
    </row>
    <row r="15502">
      <c r="A15502">
        <v>15501</v>
      </c>
      <c r="B15502" t="str">
        <v>Công an xã Hồng Vân  tỉnh Thừa Thiên Huế</v>
      </c>
      <c r="C15502" t="str">
        <v>-</v>
      </c>
      <c r="D15502" t="str">
        <v>-</v>
      </c>
      <c r="E15502" t="str">
        <v/>
      </c>
      <c r="F15502" t="str">
        <v>-</v>
      </c>
      <c r="G15502" t="str">
        <v>-</v>
      </c>
    </row>
    <row r="15503">
      <c r="A15503">
        <v>15502</v>
      </c>
      <c r="B15503" t="str">
        <v>UBND Ủy ban nhân dân xã Hồng Vân  tỉnh Thừa Thiên Huế</v>
      </c>
      <c r="C15503" t="str">
        <v>-</v>
      </c>
      <c r="D15503" t="str">
        <v>-</v>
      </c>
      <c r="E15503" t="str">
        <v>-</v>
      </c>
      <c r="F15503" t="str">
        <v>-</v>
      </c>
      <c r="G15503" t="str">
        <v>-</v>
      </c>
    </row>
    <row r="15504">
      <c r="A15504">
        <v>15503</v>
      </c>
      <c r="B15504" t="str">
        <v>Công an xã Hồng Hạ  tỉnh Thừa Thiên Huế</v>
      </c>
      <c r="C15504" t="str">
        <v>-</v>
      </c>
      <c r="D15504" t="str">
        <v>-</v>
      </c>
      <c r="E15504" t="str">
        <v/>
      </c>
      <c r="F15504" t="str">
        <v>-</v>
      </c>
      <c r="G15504" t="str">
        <v>-</v>
      </c>
    </row>
    <row r="15505">
      <c r="A15505">
        <v>15504</v>
      </c>
      <c r="B15505" t="str">
        <v>UBND Ủy ban nhân dân xã Hồng Hạ  tỉnh Thừa Thiên Huế</v>
      </c>
      <c r="C15505" t="str">
        <v>-</v>
      </c>
      <c r="D15505" t="str">
        <v>-</v>
      </c>
      <c r="E15505" t="str">
        <v>-</v>
      </c>
      <c r="F15505" t="str">
        <v>-</v>
      </c>
      <c r="G15505" t="str">
        <v>-</v>
      </c>
    </row>
    <row r="15506">
      <c r="A15506">
        <v>15505</v>
      </c>
      <c r="B15506" t="str">
        <v>Công an xã Hồng Kim  tỉnh Thừa Thiên Huế</v>
      </c>
      <c r="C15506" t="str">
        <v>-</v>
      </c>
      <c r="D15506" t="str">
        <v>-</v>
      </c>
      <c r="E15506" t="str">
        <v/>
      </c>
      <c r="F15506" t="str">
        <v>-</v>
      </c>
      <c r="G15506" t="str">
        <v>-</v>
      </c>
    </row>
    <row r="15507">
      <c r="A15507">
        <v>15506</v>
      </c>
      <c r="B15507" t="str">
        <v>UBND Ủy ban nhân dân xã Hồng Kim  tỉnh Thừa Thiên Huế</v>
      </c>
      <c r="C15507" t="str">
        <v>-</v>
      </c>
      <c r="D15507" t="str">
        <v>-</v>
      </c>
      <c r="E15507" t="str">
        <v>-</v>
      </c>
      <c r="F15507" t="str">
        <v>-</v>
      </c>
      <c r="G15507" t="str">
        <v>-</v>
      </c>
    </row>
    <row r="15508">
      <c r="A15508">
        <v>15507</v>
      </c>
      <c r="B15508" t="str">
        <v>Công an xã Hồng Trung  tỉnh Thừa Thiên Huế</v>
      </c>
      <c r="C15508" t="str">
        <v>-</v>
      </c>
      <c r="D15508" t="str">
        <v>-</v>
      </c>
      <c r="E15508" t="str">
        <v/>
      </c>
      <c r="F15508" t="str">
        <v>-</v>
      </c>
      <c r="G15508" t="str">
        <v>-</v>
      </c>
    </row>
    <row r="15509">
      <c r="A15509">
        <v>15508</v>
      </c>
      <c r="B15509" t="str">
        <v>UBND Ủy ban nhân dân xã Hồng Trung  tỉnh Thừa Thiên Huế</v>
      </c>
      <c r="C15509" t="str">
        <v>-</v>
      </c>
      <c r="D15509" t="str">
        <v>-</v>
      </c>
      <c r="E15509" t="str">
        <v>-</v>
      </c>
      <c r="F15509" t="str">
        <v>-</v>
      </c>
      <c r="G15509" t="str">
        <v>-</v>
      </c>
    </row>
    <row r="15510">
      <c r="A15510">
        <v>15509</v>
      </c>
      <c r="B15510" t="str">
        <v>Công an xã Hương Nguyên  tỉnh Thừa Thiên Huế</v>
      </c>
      <c r="C15510" t="str">
        <v>-</v>
      </c>
      <c r="D15510" t="str">
        <v>-</v>
      </c>
      <c r="E15510" t="str">
        <v/>
      </c>
      <c r="F15510" t="str">
        <v>-</v>
      </c>
      <c r="G15510" t="str">
        <v>-</v>
      </c>
    </row>
    <row r="15511">
      <c r="A15511">
        <v>15510</v>
      </c>
      <c r="B15511" t="str">
        <v>UBND Ủy ban nhân dân xã Hương Nguyên  tỉnh Thừa Thiên Huế</v>
      </c>
      <c r="C15511" t="str">
        <v>-</v>
      </c>
      <c r="D15511" t="str">
        <v>-</v>
      </c>
      <c r="E15511" t="str">
        <v>-</v>
      </c>
      <c r="F15511" t="str">
        <v>-</v>
      </c>
      <c r="G15511" t="str">
        <v>-</v>
      </c>
    </row>
    <row r="15512">
      <c r="A15512">
        <v>15511</v>
      </c>
      <c r="B15512" t="str">
        <v>Công an xã Bắc Sơn  tỉnh Thừa Thiên Huế</v>
      </c>
      <c r="C15512" t="str">
        <v>-</v>
      </c>
      <c r="D15512" t="str">
        <v>-</v>
      </c>
      <c r="E15512" t="str">
        <v/>
      </c>
      <c r="F15512" t="str">
        <v>-</v>
      </c>
      <c r="G15512" t="str">
        <v>-</v>
      </c>
    </row>
    <row r="15513">
      <c r="A15513">
        <v>15512</v>
      </c>
      <c r="B15513" t="str">
        <v>UBND Ủy ban nhân dân xã Bắc Sơn  tỉnh Thừa Thiên Huế</v>
      </c>
      <c r="C15513" t="str">
        <v>-</v>
      </c>
      <c r="D15513" t="str">
        <v>-</v>
      </c>
      <c r="E15513" t="str">
        <v>-</v>
      </c>
      <c r="F15513" t="str">
        <v>-</v>
      </c>
      <c r="G15513" t="str">
        <v>-</v>
      </c>
    </row>
    <row r="15514">
      <c r="A15514">
        <v>15513</v>
      </c>
      <c r="B15514" t="str">
        <v>Công an xã Hồng Bắc  tỉnh Thừa Thiên Huế</v>
      </c>
      <c r="C15514" t="str">
        <v>-</v>
      </c>
      <c r="D15514" t="str">
        <v>-</v>
      </c>
      <c r="E15514" t="str">
        <v/>
      </c>
      <c r="F15514" t="str">
        <v>-</v>
      </c>
      <c r="G15514" t="str">
        <v>-</v>
      </c>
    </row>
    <row r="15515">
      <c r="A15515">
        <v>15514</v>
      </c>
      <c r="B15515" t="str">
        <v>UBND Ủy ban nhân dân xã Hồng Bắc  tỉnh Thừa Thiên Huế</v>
      </c>
      <c r="C15515" t="str">
        <v>-</v>
      </c>
      <c r="D15515" t="str">
        <v>-</v>
      </c>
      <c r="E15515" t="str">
        <v>-</v>
      </c>
      <c r="F15515" t="str">
        <v>-</v>
      </c>
      <c r="G15515" t="str">
        <v>-</v>
      </c>
    </row>
    <row r="15516">
      <c r="A15516">
        <v>15515</v>
      </c>
      <c r="B15516" t="str">
        <v>Công an xã A Ngo  tỉnh Thừa Thiên Huế</v>
      </c>
      <c r="C15516" t="str">
        <v>-</v>
      </c>
      <c r="D15516" t="str">
        <v>-</v>
      </c>
      <c r="E15516" t="str">
        <v/>
      </c>
      <c r="F15516" t="str">
        <v>-</v>
      </c>
      <c r="G15516" t="str">
        <v>-</v>
      </c>
    </row>
    <row r="15517">
      <c r="A15517">
        <v>15516</v>
      </c>
      <c r="B15517" t="str">
        <v>UBND Ủy ban nhân dân xã A Ngo  tỉnh Thừa Thiên Huế</v>
      </c>
      <c r="C15517" t="str">
        <v>-</v>
      </c>
      <c r="D15517" t="str">
        <v>-</v>
      </c>
      <c r="E15517" t="str">
        <v>-</v>
      </c>
      <c r="F15517" t="str">
        <v>-</v>
      </c>
      <c r="G15517" t="str">
        <v>-</v>
      </c>
    </row>
    <row r="15518">
      <c r="A15518">
        <v>15517</v>
      </c>
      <c r="B15518" t="str">
        <v>Công an xã Sơn Thủy  tỉnh Thừa Thiên Huế</v>
      </c>
      <c r="C15518" t="str">
        <v>-</v>
      </c>
      <c r="D15518" t="str">
        <v>-</v>
      </c>
      <c r="E15518" t="str">
        <v/>
      </c>
      <c r="F15518" t="str">
        <v>-</v>
      </c>
      <c r="G15518" t="str">
        <v>-</v>
      </c>
    </row>
    <row r="15519">
      <c r="A15519">
        <v>15518</v>
      </c>
      <c r="B15519" t="str">
        <v>UBND Ủy ban nhân dân xã Sơn Thủy  tỉnh Thừa Thiên Huế</v>
      </c>
      <c r="C15519" t="str">
        <v>-</v>
      </c>
      <c r="D15519" t="str">
        <v>-</v>
      </c>
      <c r="E15519" t="str">
        <v>-</v>
      </c>
      <c r="F15519" t="str">
        <v>-</v>
      </c>
      <c r="G15519" t="str">
        <v>-</v>
      </c>
    </row>
    <row r="15520">
      <c r="A15520">
        <v>15519</v>
      </c>
      <c r="B15520" t="str">
        <v>Công an xã Phú Vinh  tỉnh Thừa Thiên Huế</v>
      </c>
      <c r="C15520" t="str">
        <v>-</v>
      </c>
      <c r="D15520" t="str">
        <v>-</v>
      </c>
      <c r="E15520" t="str">
        <v/>
      </c>
      <c r="F15520" t="str">
        <v>-</v>
      </c>
      <c r="G15520" t="str">
        <v>-</v>
      </c>
    </row>
    <row r="15521">
      <c r="A15521">
        <v>15520</v>
      </c>
      <c r="B15521" t="str">
        <v>UBND Ủy ban nhân dân xã Phú Vinh  tỉnh Thừa Thiên Huế</v>
      </c>
      <c r="C15521" t="str">
        <v>-</v>
      </c>
      <c r="D15521" t="str">
        <v>-</v>
      </c>
      <c r="E15521" t="str">
        <v>-</v>
      </c>
      <c r="F15521" t="str">
        <v>-</v>
      </c>
      <c r="G15521" t="str">
        <v>-</v>
      </c>
    </row>
    <row r="15522">
      <c r="A15522">
        <v>15521</v>
      </c>
      <c r="B15522" t="str">
        <v>Công an xã Hồng Quảng  tỉnh Thừa Thiên Huế</v>
      </c>
      <c r="C15522" t="str">
        <v>-</v>
      </c>
      <c r="D15522" t="str">
        <v>-</v>
      </c>
      <c r="E15522" t="str">
        <v/>
      </c>
      <c r="F15522" t="str">
        <v>-</v>
      </c>
      <c r="G15522" t="str">
        <v>-</v>
      </c>
    </row>
    <row r="15523">
      <c r="A15523">
        <v>15522</v>
      </c>
      <c r="B15523" t="str">
        <v>UBND Ủy ban nhân dân xã Hồng Quảng  tỉnh Thừa Thiên Huế</v>
      </c>
      <c r="C15523" t="str">
        <v>-</v>
      </c>
      <c r="D15523" t="str">
        <v>-</v>
      </c>
      <c r="E15523" t="str">
        <v>-</v>
      </c>
      <c r="F15523" t="str">
        <v>-</v>
      </c>
      <c r="G15523" t="str">
        <v>-</v>
      </c>
    </row>
    <row r="15524">
      <c r="A15524">
        <v>15523</v>
      </c>
      <c r="B15524" t="str">
        <v>Công an xã Hương Phong  tỉnh Thừa Thiên Huế</v>
      </c>
      <c r="C15524" t="str">
        <v>-</v>
      </c>
      <c r="D15524" t="str">
        <v>-</v>
      </c>
      <c r="E15524" t="str">
        <v/>
      </c>
      <c r="F15524" t="str">
        <v>-</v>
      </c>
      <c r="G15524" t="str">
        <v>-</v>
      </c>
    </row>
    <row r="15525">
      <c r="A15525">
        <v>15524</v>
      </c>
      <c r="B15525" t="str">
        <v>UBND Ủy ban nhân dân xã Hương Phong  tỉnh Thừa Thiên Huế</v>
      </c>
      <c r="C15525" t="str">
        <v>-</v>
      </c>
      <c r="D15525" t="str">
        <v>-</v>
      </c>
      <c r="E15525" t="str">
        <v>-</v>
      </c>
      <c r="F15525" t="str">
        <v>-</v>
      </c>
      <c r="G15525" t="str">
        <v>-</v>
      </c>
    </row>
    <row r="15526">
      <c r="A15526">
        <v>15525</v>
      </c>
      <c r="B15526" t="str">
        <v>Công an xã Nhâm  tỉnh Thừa Thiên Huế</v>
      </c>
      <c r="C15526" t="str">
        <v>-</v>
      </c>
      <c r="D15526" t="str">
        <v>-</v>
      </c>
      <c r="E15526" t="str">
        <v/>
      </c>
      <c r="F15526" t="str">
        <v>-</v>
      </c>
      <c r="G15526" t="str">
        <v>-</v>
      </c>
    </row>
    <row r="15527">
      <c r="A15527">
        <v>15526</v>
      </c>
      <c r="B15527" t="str">
        <v>UBND Ủy ban nhân dân xã Nhâm  tỉnh Thừa Thiên Huế</v>
      </c>
      <c r="C15527" t="str">
        <v>-</v>
      </c>
      <c r="D15527" t="str">
        <v>-</v>
      </c>
      <c r="E15527" t="str">
        <v>-</v>
      </c>
      <c r="F15527" t="str">
        <v>-</v>
      </c>
      <c r="G15527" t="str">
        <v>-</v>
      </c>
    </row>
    <row r="15528">
      <c r="A15528">
        <v>15527</v>
      </c>
      <c r="B15528" t="str">
        <v>Công an xã Hồng Thượng  tỉnh Thừa Thiên Huế</v>
      </c>
      <c r="C15528" t="str">
        <v>-</v>
      </c>
      <c r="D15528" t="str">
        <v>-</v>
      </c>
      <c r="E15528" t="str">
        <v/>
      </c>
      <c r="F15528" t="str">
        <v>-</v>
      </c>
      <c r="G15528" t="str">
        <v>-</v>
      </c>
    </row>
    <row r="15529">
      <c r="A15529">
        <v>15528</v>
      </c>
      <c r="B15529" t="str">
        <v>UBND Ủy ban nhân dân xã Hồng Thượng  tỉnh Thừa Thiên Huế</v>
      </c>
      <c r="C15529" t="str">
        <v>-</v>
      </c>
      <c r="D15529" t="str">
        <v>-</v>
      </c>
      <c r="E15529" t="str">
        <v>-</v>
      </c>
      <c r="F15529" t="str">
        <v>-</v>
      </c>
      <c r="G15529" t="str">
        <v>-</v>
      </c>
    </row>
    <row r="15530">
      <c r="A15530">
        <v>15529</v>
      </c>
      <c r="B15530" t="str">
        <v>Công an xã Hồng Thái  tỉnh Thừa Thiên Huế</v>
      </c>
      <c r="C15530" t="str">
        <v>-</v>
      </c>
      <c r="D15530" t="str">
        <v>-</v>
      </c>
      <c r="E15530" t="str">
        <v/>
      </c>
      <c r="F15530" t="str">
        <v>-</v>
      </c>
      <c r="G15530" t="str">
        <v>-</v>
      </c>
    </row>
    <row r="15531">
      <c r="A15531">
        <v>15530</v>
      </c>
      <c r="B15531" t="str">
        <v>UBND Ủy ban nhân dân xã Hồng Thái  tỉnh Thừa Thiên Huế</v>
      </c>
      <c r="C15531" t="str">
        <v>-</v>
      </c>
      <c r="D15531" t="str">
        <v>-</v>
      </c>
      <c r="E15531" t="str">
        <v>-</v>
      </c>
      <c r="F15531" t="str">
        <v>-</v>
      </c>
      <c r="G15531" t="str">
        <v>-</v>
      </c>
    </row>
    <row r="15532">
      <c r="A15532">
        <v>15531</v>
      </c>
      <c r="B15532" t="str">
        <v>Công an xã Hương Lâm  tỉnh Thừa Thiên Huế</v>
      </c>
      <c r="C15532" t="str">
        <v>-</v>
      </c>
      <c r="D15532" t="str">
        <v>-</v>
      </c>
      <c r="E15532" t="str">
        <v/>
      </c>
      <c r="F15532" t="str">
        <v>-</v>
      </c>
      <c r="G15532" t="str">
        <v>-</v>
      </c>
    </row>
    <row r="15533">
      <c r="A15533">
        <v>15532</v>
      </c>
      <c r="B15533" t="str">
        <v>UBND Ủy ban nhân dân xã Hương Lâm  tỉnh Thừa Thiên Huế</v>
      </c>
      <c r="C15533" t="str">
        <v>-</v>
      </c>
      <c r="D15533" t="str">
        <v>-</v>
      </c>
      <c r="E15533" t="str">
        <v>-</v>
      </c>
      <c r="F15533" t="str">
        <v>-</v>
      </c>
      <c r="G15533" t="str">
        <v>-</v>
      </c>
    </row>
    <row r="15534">
      <c r="A15534">
        <v>15533</v>
      </c>
      <c r="B15534" t="str">
        <v>Công an xã A Roằng  tỉnh Thừa Thiên Huế</v>
      </c>
      <c r="C15534" t="str">
        <v>-</v>
      </c>
      <c r="D15534" t="str">
        <v>-</v>
      </c>
      <c r="E15534" t="str">
        <v/>
      </c>
      <c r="F15534" t="str">
        <v>-</v>
      </c>
      <c r="G15534" t="str">
        <v>-</v>
      </c>
    </row>
    <row r="15535">
      <c r="A15535">
        <v>15534</v>
      </c>
      <c r="B15535" t="str">
        <v>UBND Ủy ban nhân dân xã A Roằng  tỉnh Thừa Thiên Huế</v>
      </c>
      <c r="C15535" t="str">
        <v>-</v>
      </c>
      <c r="D15535" t="str">
        <v>-</v>
      </c>
      <c r="E15535" t="str">
        <v>-</v>
      </c>
      <c r="F15535" t="str">
        <v>-</v>
      </c>
      <c r="G15535" t="str">
        <v>-</v>
      </c>
    </row>
    <row r="15536">
      <c r="A15536">
        <v>15535</v>
      </c>
      <c r="B15536" t="str">
        <v>Công an xã Đông Sơn  tỉnh Thừa Thiên Huế</v>
      </c>
      <c r="C15536" t="str">
        <v>-</v>
      </c>
      <c r="D15536" t="str">
        <v>-</v>
      </c>
      <c r="E15536" t="str">
        <v/>
      </c>
      <c r="F15536" t="str">
        <v>-</v>
      </c>
      <c r="G15536" t="str">
        <v>-</v>
      </c>
    </row>
    <row r="15537">
      <c r="A15537">
        <v>15536</v>
      </c>
      <c r="B15537" t="str">
        <v>UBND Ủy ban nhân dân xã Đông Sơn  tỉnh Thừa Thiên Huế</v>
      </c>
      <c r="C15537" t="str">
        <v>-</v>
      </c>
      <c r="D15537" t="str">
        <v>-</v>
      </c>
      <c r="E15537" t="str">
        <v>-</v>
      </c>
      <c r="F15537" t="str">
        <v>-</v>
      </c>
      <c r="G15537" t="str">
        <v>-</v>
      </c>
    </row>
    <row r="15538">
      <c r="A15538">
        <v>15537</v>
      </c>
      <c r="B15538" t="str">
        <v>Công an xã A Đớt  tỉnh Thừa Thiên Huế</v>
      </c>
      <c r="C15538" t="str">
        <v>-</v>
      </c>
      <c r="D15538" t="str">
        <v>-</v>
      </c>
      <c r="E15538" t="str">
        <v/>
      </c>
      <c r="F15538" t="str">
        <v>-</v>
      </c>
      <c r="G15538" t="str">
        <v>-</v>
      </c>
    </row>
    <row r="15539">
      <c r="A15539">
        <v>15538</v>
      </c>
      <c r="B15539" t="str">
        <v>UBND Ủy ban nhân dân xã A Đớt  tỉnh Thừa Thiên Huế</v>
      </c>
      <c r="C15539" t="str">
        <v>-</v>
      </c>
      <c r="D15539" t="str">
        <v>-</v>
      </c>
      <c r="E15539" t="str">
        <v>-</v>
      </c>
      <c r="F15539" t="str">
        <v>-</v>
      </c>
      <c r="G15539" t="str">
        <v>-</v>
      </c>
    </row>
    <row r="15540">
      <c r="A15540">
        <v>15539</v>
      </c>
      <c r="B15540" t="str">
        <v>Công an xã Hồng Thủy  tỉnh Thừa Thiên Huế</v>
      </c>
      <c r="C15540" t="str">
        <v>-</v>
      </c>
      <c r="D15540" t="str">
        <v>-</v>
      </c>
      <c r="E15540" t="str">
        <v/>
      </c>
      <c r="F15540" t="str">
        <v>-</v>
      </c>
      <c r="G15540" t="str">
        <v>-</v>
      </c>
    </row>
    <row r="15541">
      <c r="A15541">
        <v>15540</v>
      </c>
      <c r="B15541" t="str">
        <v>UBND Ủy ban nhân dân xã Hồng Thủy  tỉnh Thừa Thiên Huế</v>
      </c>
      <c r="C15541" t="str">
        <v>-</v>
      </c>
      <c r="D15541" t="str">
        <v>-</v>
      </c>
      <c r="E15541" t="str">
        <v>-</v>
      </c>
      <c r="F15541" t="str">
        <v>-</v>
      </c>
      <c r="G15541" t="str">
        <v>-</v>
      </c>
    </row>
    <row r="15542">
      <c r="A15542">
        <v>15541</v>
      </c>
      <c r="B15542" t="str">
        <v>Công an xã Vinh Mỹ  tỉnh Thừa Thiên Huế</v>
      </c>
      <c r="C15542" t="str">
        <v>-</v>
      </c>
      <c r="D15542" t="str">
        <v>-</v>
      </c>
      <c r="E15542" t="str">
        <v/>
      </c>
      <c r="F15542" t="str">
        <v>-</v>
      </c>
      <c r="G15542" t="str">
        <v>-</v>
      </c>
    </row>
    <row r="15543">
      <c r="A15543">
        <v>15542</v>
      </c>
      <c r="B15543" t="str">
        <v>UBND Ủy ban nhân dân xã Vinh Mỹ  tỉnh Thừa Thiên Huế</v>
      </c>
      <c r="C15543" t="str">
        <v>-</v>
      </c>
      <c r="D15543" t="str">
        <v>-</v>
      </c>
      <c r="E15543" t="str">
        <v>-</v>
      </c>
      <c r="F15543" t="str">
        <v>-</v>
      </c>
      <c r="G15543" t="str">
        <v>-</v>
      </c>
    </row>
    <row r="15544">
      <c r="A15544">
        <v>15543</v>
      </c>
      <c r="B15544" t="str">
        <v>Công an xã Vinh Hưng  tỉnh Thừa Thiên Huế</v>
      </c>
      <c r="C15544" t="str">
        <v>-</v>
      </c>
      <c r="D15544" t="str">
        <v>-</v>
      </c>
      <c r="E15544" t="str">
        <v/>
      </c>
      <c r="F15544" t="str">
        <v>-</v>
      </c>
      <c r="G15544" t="str">
        <v>-</v>
      </c>
    </row>
    <row r="15545">
      <c r="A15545">
        <v>15544</v>
      </c>
      <c r="B15545" t="str">
        <v>UBND Ủy ban nhân dân xã Vinh Hưng  tỉnh Thừa Thiên Huế</v>
      </c>
      <c r="C15545" t="str">
        <v>-</v>
      </c>
      <c r="D15545" t="str">
        <v>-</v>
      </c>
      <c r="E15545" t="str">
        <v>-</v>
      </c>
      <c r="F15545" t="str">
        <v>-</v>
      </c>
      <c r="G15545" t="str">
        <v>-</v>
      </c>
    </row>
    <row r="15546">
      <c r="A15546">
        <v>15545</v>
      </c>
      <c r="B15546" t="str">
        <v>Công an xã Vinh Hải  tỉnh Thừa Thiên Huế</v>
      </c>
      <c r="C15546" t="str">
        <v>-</v>
      </c>
      <c r="D15546" t="str">
        <v>-</v>
      </c>
      <c r="E15546" t="str">
        <v/>
      </c>
      <c r="F15546" t="str">
        <v>-</v>
      </c>
      <c r="G15546" t="str">
        <v>-</v>
      </c>
    </row>
    <row r="15547">
      <c r="A15547">
        <v>15546</v>
      </c>
      <c r="B15547" t="str">
        <v>UBND Ủy ban nhân dân xã Vinh Hải  tỉnh Thừa Thiên Huế</v>
      </c>
      <c r="C15547" t="str">
        <v>-</v>
      </c>
      <c r="D15547" t="str">
        <v>-</v>
      </c>
      <c r="E15547" t="str">
        <v>-</v>
      </c>
      <c r="F15547" t="str">
        <v>-</v>
      </c>
      <c r="G15547" t="str">
        <v>-</v>
      </c>
    </row>
    <row r="15548">
      <c r="A15548">
        <v>15547</v>
      </c>
      <c r="B15548" t="str">
        <v>Công an xã Vinh Giang  tỉnh Thừa Thiên Huế</v>
      </c>
      <c r="C15548" t="str">
        <v>-</v>
      </c>
      <c r="D15548" t="str">
        <v>-</v>
      </c>
      <c r="E15548" t="str">
        <v/>
      </c>
      <c r="F15548" t="str">
        <v>-</v>
      </c>
      <c r="G15548" t="str">
        <v>-</v>
      </c>
    </row>
    <row r="15549">
      <c r="A15549">
        <v>15548</v>
      </c>
      <c r="B15549" t="str">
        <v>UBND Ủy ban nhân dân xã Vinh Giang  tỉnh Thừa Thiên Huế</v>
      </c>
      <c r="C15549" t="str">
        <v>-</v>
      </c>
      <c r="D15549" t="str">
        <v>-</v>
      </c>
      <c r="E15549" t="str">
        <v>-</v>
      </c>
      <c r="F15549" t="str">
        <v>-</v>
      </c>
      <c r="G15549" t="str">
        <v>-</v>
      </c>
    </row>
    <row r="15550">
      <c r="A15550">
        <v>15549</v>
      </c>
      <c r="B15550" t="str">
        <v>Công an xã Vinh Hiền  tỉnh Thừa Thiên Huế</v>
      </c>
      <c r="C15550" t="str">
        <v>-</v>
      </c>
      <c r="D15550" t="str">
        <v>-</v>
      </c>
      <c r="E15550" t="str">
        <v/>
      </c>
      <c r="F15550" t="str">
        <v>-</v>
      </c>
      <c r="G15550" t="str">
        <v>-</v>
      </c>
    </row>
    <row r="15551">
      <c r="A15551">
        <v>15550</v>
      </c>
      <c r="B15551" t="str">
        <v>UBND Ủy ban nhân dân xã Vinh Hiền  tỉnh Thừa Thiên Huế</v>
      </c>
      <c r="C15551" t="str">
        <v>-</v>
      </c>
      <c r="D15551" t="str">
        <v>-</v>
      </c>
      <c r="E15551" t="str">
        <v>-</v>
      </c>
      <c r="F15551" t="str">
        <v>-</v>
      </c>
      <c r="G15551" t="str">
        <v>-</v>
      </c>
    </row>
    <row r="15552">
      <c r="A15552">
        <v>15551</v>
      </c>
      <c r="B15552" t="str">
        <v>Công an xã Lộc Bổn  tỉnh Thừa Thiên Huế</v>
      </c>
      <c r="C15552" t="str">
        <v>-</v>
      </c>
      <c r="D15552" t="str">
        <v>-</v>
      </c>
      <c r="E15552" t="str">
        <v/>
      </c>
      <c r="F15552" t="str">
        <v>-</v>
      </c>
      <c r="G15552" t="str">
        <v>-</v>
      </c>
    </row>
    <row r="15553">
      <c r="A15553">
        <v>15552</v>
      </c>
      <c r="B15553" t="str">
        <v>UBND Ủy ban nhân dân xã Lộc Bổn  tỉnh Thừa Thiên Huế</v>
      </c>
      <c r="C15553" t="str">
        <v>-</v>
      </c>
      <c r="D15553" t="str">
        <v>-</v>
      </c>
      <c r="E15553" t="str">
        <v>-</v>
      </c>
      <c r="F15553" t="str">
        <v>-</v>
      </c>
      <c r="G15553" t="str">
        <v>-</v>
      </c>
    </row>
    <row r="15554">
      <c r="A15554">
        <v>15553</v>
      </c>
      <c r="B15554" t="str">
        <v>Công an xã Lộc Sơn  tỉnh Thừa Thiên Huế</v>
      </c>
      <c r="C15554" t="str">
        <v>-</v>
      </c>
      <c r="D15554" t="str">
        <v>-</v>
      </c>
      <c r="E15554" t="str">
        <v/>
      </c>
      <c r="F15554" t="str">
        <v>-</v>
      </c>
      <c r="G15554" t="str">
        <v>-</v>
      </c>
    </row>
    <row r="15555">
      <c r="A15555">
        <v>15554</v>
      </c>
      <c r="B15555" t="str">
        <v>UBND Ủy ban nhân dân xã Lộc Sơn  tỉnh Thừa Thiên Huế</v>
      </c>
      <c r="C15555" t="str">
        <v>-</v>
      </c>
      <c r="D15555" t="str">
        <v>-</v>
      </c>
      <c r="E15555" t="str">
        <v>-</v>
      </c>
      <c r="F15555" t="str">
        <v>-</v>
      </c>
      <c r="G15555" t="str">
        <v>-</v>
      </c>
    </row>
    <row r="15556">
      <c r="A15556">
        <v>15555</v>
      </c>
      <c r="B15556" t="str">
        <v>Công an xã Lộc Bình  tỉnh Thừa Thiên Huế</v>
      </c>
      <c r="C15556" t="str">
        <v>-</v>
      </c>
      <c r="D15556" t="str">
        <v>-</v>
      </c>
      <c r="E15556" t="str">
        <v/>
      </c>
      <c r="F15556" t="str">
        <v>-</v>
      </c>
      <c r="G15556" t="str">
        <v>-</v>
      </c>
    </row>
    <row r="15557">
      <c r="A15557">
        <v>15556</v>
      </c>
      <c r="B15557" t="str">
        <v>UBND Ủy ban nhân dân xã Lộc Bình  tỉnh Thừa Thiên Huế</v>
      </c>
      <c r="C15557" t="str">
        <v>-</v>
      </c>
      <c r="D15557" t="str">
        <v>-</v>
      </c>
      <c r="E15557" t="str">
        <v>-</v>
      </c>
      <c r="F15557" t="str">
        <v>-</v>
      </c>
      <c r="G15557" t="str">
        <v>-</v>
      </c>
    </row>
    <row r="15558">
      <c r="A15558">
        <v>15557</v>
      </c>
      <c r="B15558" t="str">
        <v>Công an xã Lộc Vĩnh  tỉnh Thừa Thiên Huế</v>
      </c>
      <c r="C15558" t="str">
        <v>-</v>
      </c>
      <c r="D15558" t="str">
        <v>-</v>
      </c>
      <c r="E15558" t="str">
        <v/>
      </c>
      <c r="F15558" t="str">
        <v>-</v>
      </c>
      <c r="G15558" t="str">
        <v>-</v>
      </c>
    </row>
    <row r="15559">
      <c r="A15559">
        <v>15558</v>
      </c>
      <c r="B15559" t="str">
        <v>UBND Ủy ban nhân dân xã Lộc Vĩnh  tỉnh Thừa Thiên Huế</v>
      </c>
      <c r="C15559" t="str">
        <v>-</v>
      </c>
      <c r="D15559" t="str">
        <v>-</v>
      </c>
      <c r="E15559" t="str">
        <v>-</v>
      </c>
      <c r="F15559" t="str">
        <v>-</v>
      </c>
      <c r="G15559" t="str">
        <v>-</v>
      </c>
    </row>
    <row r="15560">
      <c r="A15560">
        <v>15559</v>
      </c>
      <c r="B15560" t="str">
        <v>Công an xã Lộc An  tỉnh Thừa Thiên Huế</v>
      </c>
      <c r="C15560" t="str">
        <v>-</v>
      </c>
      <c r="D15560" t="str">
        <v>-</v>
      </c>
      <c r="E15560" t="str">
        <v/>
      </c>
      <c r="F15560" t="str">
        <v>-</v>
      </c>
      <c r="G15560" t="str">
        <v>-</v>
      </c>
    </row>
    <row r="15561">
      <c r="A15561">
        <v>15560</v>
      </c>
      <c r="B15561" t="str">
        <v>UBND Ủy ban nhân dân xã Lộc An  tỉnh Thừa Thiên Huế</v>
      </c>
      <c r="C15561" t="str">
        <v>-</v>
      </c>
      <c r="D15561" t="str">
        <v>-</v>
      </c>
      <c r="E15561" t="str">
        <v>-</v>
      </c>
      <c r="F15561" t="str">
        <v>-</v>
      </c>
      <c r="G15561" t="str">
        <v>-</v>
      </c>
    </row>
    <row r="15562">
      <c r="A15562">
        <v>15561</v>
      </c>
      <c r="B15562" t="str">
        <v>Công an xã Lộc Điền  tỉnh Thừa Thiên Huế</v>
      </c>
      <c r="C15562" t="str">
        <v>-</v>
      </c>
      <c r="D15562" t="str">
        <v>-</v>
      </c>
      <c r="E15562" t="str">
        <v/>
      </c>
      <c r="F15562" t="str">
        <v>-</v>
      </c>
      <c r="G15562" t="str">
        <v>-</v>
      </c>
    </row>
    <row r="15563">
      <c r="A15563">
        <v>15562</v>
      </c>
      <c r="B15563" t="str">
        <v>UBND Ủy ban nhân dân xã Lộc Điền  tỉnh Thừa Thiên Huế</v>
      </c>
      <c r="C15563" t="str">
        <v>-</v>
      </c>
      <c r="D15563" t="str">
        <v>-</v>
      </c>
      <c r="E15563" t="str">
        <v>-</v>
      </c>
      <c r="F15563" t="str">
        <v>-</v>
      </c>
      <c r="G15563" t="str">
        <v>-</v>
      </c>
    </row>
    <row r="15564">
      <c r="A15564">
        <v>15563</v>
      </c>
      <c r="B15564" t="str">
        <v>Công an xã Lộc Thủy  tỉnh Thừa Thiên Huế</v>
      </c>
      <c r="C15564" t="str">
        <v>-</v>
      </c>
      <c r="D15564" t="str">
        <v>-</v>
      </c>
      <c r="E15564" t="str">
        <v/>
      </c>
      <c r="F15564" t="str">
        <v>-</v>
      </c>
      <c r="G15564" t="str">
        <v>-</v>
      </c>
    </row>
    <row r="15565">
      <c r="A15565">
        <v>15564</v>
      </c>
      <c r="B15565" t="str">
        <v>UBND Ủy ban nhân dân xã Lộc Thủy  tỉnh Thừa Thiên Huế</v>
      </c>
      <c r="C15565" t="str">
        <v>-</v>
      </c>
      <c r="D15565" t="str">
        <v>-</v>
      </c>
      <c r="E15565" t="str">
        <v>-</v>
      </c>
      <c r="F15565" t="str">
        <v>-</v>
      </c>
      <c r="G15565" t="str">
        <v>-</v>
      </c>
    </row>
    <row r="15566">
      <c r="A15566">
        <v>15565</v>
      </c>
      <c r="B15566" t="str">
        <v>Công an xã Lộc Trì  tỉnh Thừa Thiên Huế</v>
      </c>
      <c r="C15566" t="str">
        <v>-</v>
      </c>
      <c r="D15566" t="str">
        <v>-</v>
      </c>
      <c r="E15566" t="str">
        <v/>
      </c>
      <c r="F15566" t="str">
        <v>-</v>
      </c>
      <c r="G15566" t="str">
        <v>-</v>
      </c>
    </row>
    <row r="15567">
      <c r="A15567">
        <v>15566</v>
      </c>
      <c r="B15567" t="str">
        <v>UBND Ủy ban nhân dân xã Lộc Trì  tỉnh Thừa Thiên Huế</v>
      </c>
      <c r="C15567" t="str">
        <v>-</v>
      </c>
      <c r="D15567" t="str">
        <v>-</v>
      </c>
      <c r="E15567" t="str">
        <v>-</v>
      </c>
      <c r="F15567" t="str">
        <v>-</v>
      </c>
      <c r="G15567" t="str">
        <v>-</v>
      </c>
    </row>
    <row r="15568">
      <c r="A15568">
        <v>15567</v>
      </c>
      <c r="B15568" t="str">
        <v>Công an xã Lộc Tiến  tỉnh Thừa Thiên Huế</v>
      </c>
      <c r="C15568" t="str">
        <v>-</v>
      </c>
      <c r="D15568" t="str">
        <v>-</v>
      </c>
      <c r="E15568" t="str">
        <v/>
      </c>
      <c r="F15568" t="str">
        <v>-</v>
      </c>
      <c r="G15568" t="str">
        <v>-</v>
      </c>
    </row>
    <row r="15569">
      <c r="A15569">
        <v>15568</v>
      </c>
      <c r="B15569" t="str">
        <v>UBND Ủy ban nhân dân xã Lộc Tiến  tỉnh Thừa Thiên Huế</v>
      </c>
      <c r="C15569" t="str">
        <v>-</v>
      </c>
      <c r="D15569" t="str">
        <v>-</v>
      </c>
      <c r="E15569" t="str">
        <v>-</v>
      </c>
      <c r="F15569" t="str">
        <v>-</v>
      </c>
      <c r="G15569" t="str">
        <v>-</v>
      </c>
    </row>
    <row r="15570">
      <c r="A15570">
        <v>15569</v>
      </c>
      <c r="B15570" t="str">
        <v>Công an xã Lộc Hòa  tỉnh Thừa Thiên Huế</v>
      </c>
      <c r="C15570" t="str">
        <v>-</v>
      </c>
      <c r="D15570" t="str">
        <v>-</v>
      </c>
      <c r="E15570" t="str">
        <v/>
      </c>
      <c r="F15570" t="str">
        <v>-</v>
      </c>
      <c r="G15570" t="str">
        <v>-</v>
      </c>
    </row>
    <row r="15571">
      <c r="A15571">
        <v>15570</v>
      </c>
      <c r="B15571" t="str">
        <v>UBND Ủy ban nhân dân xã Lộc Hòa  tỉnh Thừa Thiên Huế</v>
      </c>
      <c r="C15571" t="str">
        <v>-</v>
      </c>
      <c r="D15571" t="str">
        <v>-</v>
      </c>
      <c r="E15571" t="str">
        <v>-</v>
      </c>
      <c r="F15571" t="str">
        <v>-</v>
      </c>
      <c r="G15571" t="str">
        <v>-</v>
      </c>
    </row>
    <row r="15572">
      <c r="A15572">
        <v>15571</v>
      </c>
      <c r="B15572" t="str">
        <v>Công an xã Xuân Lộc  tỉnh Thừa Thiên Huế</v>
      </c>
      <c r="C15572" t="str">
        <v>-</v>
      </c>
      <c r="D15572" t="str">
        <v>-</v>
      </c>
      <c r="E15572" t="str">
        <v/>
      </c>
      <c r="F15572" t="str">
        <v>-</v>
      </c>
      <c r="G15572" t="str">
        <v>-</v>
      </c>
    </row>
    <row r="15573">
      <c r="A15573">
        <v>15572</v>
      </c>
      <c r="B15573" t="str">
        <v>UBND Ủy ban nhân dân xã Xuân Lộc  tỉnh Thừa Thiên Huế</v>
      </c>
      <c r="C15573" t="str">
        <v>-</v>
      </c>
      <c r="D15573" t="str">
        <v>-</v>
      </c>
      <c r="E15573" t="str">
        <v>-</v>
      </c>
      <c r="F15573" t="str">
        <v>-</v>
      </c>
      <c r="G15573" t="str">
        <v>-</v>
      </c>
    </row>
    <row r="15574">
      <c r="A15574">
        <v>15573</v>
      </c>
      <c r="B15574" t="str">
        <v>Công an xã Hương Phú  tỉnh Thừa Thiên Huế</v>
      </c>
      <c r="C15574" t="str">
        <v>-</v>
      </c>
      <c r="D15574" t="str">
        <v>-</v>
      </c>
      <c r="E15574" t="str">
        <v/>
      </c>
      <c r="F15574" t="str">
        <v>-</v>
      </c>
      <c r="G15574" t="str">
        <v>-</v>
      </c>
    </row>
    <row r="15575">
      <c r="A15575">
        <v>15574</v>
      </c>
      <c r="B15575" t="str">
        <v>UBND Ủy ban nhân dân xã Hương Phú  tỉnh Thừa Thiên Huế</v>
      </c>
      <c r="C15575" t="str">
        <v>-</v>
      </c>
      <c r="D15575" t="str">
        <v>-</v>
      </c>
      <c r="E15575" t="str">
        <v>-</v>
      </c>
      <c r="F15575" t="str">
        <v>-</v>
      </c>
      <c r="G15575" t="str">
        <v>-</v>
      </c>
    </row>
    <row r="15576">
      <c r="A15576">
        <v>15575</v>
      </c>
      <c r="B15576" t="str">
        <v>Công an xã Hương Sơn  tỉnh Thừa Thiên Huế</v>
      </c>
      <c r="C15576" t="str">
        <v>-</v>
      </c>
      <c r="D15576" t="str">
        <v>-</v>
      </c>
      <c r="E15576" t="str">
        <v/>
      </c>
      <c r="F15576" t="str">
        <v>-</v>
      </c>
      <c r="G15576" t="str">
        <v>-</v>
      </c>
    </row>
    <row r="15577">
      <c r="A15577">
        <v>15576</v>
      </c>
      <c r="B15577" t="str">
        <v>UBND Ủy ban nhân dân xã Hương Sơn  tỉnh Thừa Thiên Huế</v>
      </c>
      <c r="C15577" t="str">
        <v>-</v>
      </c>
      <c r="D15577" t="str">
        <v>-</v>
      </c>
      <c r="E15577" t="str">
        <v>-</v>
      </c>
      <c r="F15577" t="str">
        <v>-</v>
      </c>
      <c r="G15577" t="str">
        <v>-</v>
      </c>
    </row>
    <row r="15578">
      <c r="A15578">
        <v>15577</v>
      </c>
      <c r="B15578" t="str">
        <v>Công an xã Hương Lộc  tỉnh Thừa Thiên Huế</v>
      </c>
      <c r="C15578" t="str">
        <v>-</v>
      </c>
      <c r="D15578" t="str">
        <v>-</v>
      </c>
      <c r="E15578" t="str">
        <v/>
      </c>
      <c r="F15578" t="str">
        <v>-</v>
      </c>
      <c r="G15578" t="str">
        <v>-</v>
      </c>
    </row>
    <row r="15579">
      <c r="A15579">
        <v>15578</v>
      </c>
      <c r="B15579" t="str">
        <v>UBND Ủy ban nhân dân xã Hương Lộc  tỉnh Thừa Thiên Huế</v>
      </c>
      <c r="C15579" t="str">
        <v>-</v>
      </c>
      <c r="D15579" t="str">
        <v>-</v>
      </c>
      <c r="E15579" t="str">
        <v>-</v>
      </c>
      <c r="F15579" t="str">
        <v>-</v>
      </c>
      <c r="G15579" t="str">
        <v>-</v>
      </c>
    </row>
    <row r="15580">
      <c r="A15580">
        <v>15579</v>
      </c>
      <c r="B15580" t="str">
        <v>Công an xã Thượng Quảng  tỉnh Thừa Thiên Huế</v>
      </c>
      <c r="C15580" t="str">
        <v>-</v>
      </c>
      <c r="D15580" t="str">
        <v>-</v>
      </c>
      <c r="E15580" t="str">
        <v/>
      </c>
      <c r="F15580" t="str">
        <v>-</v>
      </c>
      <c r="G15580" t="str">
        <v>-</v>
      </c>
    </row>
    <row r="15581">
      <c r="A15581">
        <v>15580</v>
      </c>
      <c r="B15581" t="str">
        <v>UBND Ủy ban nhân dân xã Thượng Quảng  tỉnh Thừa Thiên Huế</v>
      </c>
      <c r="C15581" t="str">
        <v>-</v>
      </c>
      <c r="D15581" t="str">
        <v>-</v>
      </c>
      <c r="E15581" t="str">
        <v>-</v>
      </c>
      <c r="F15581" t="str">
        <v>-</v>
      </c>
      <c r="G15581" t="str">
        <v>-</v>
      </c>
    </row>
    <row r="15582">
      <c r="A15582">
        <v>15581</v>
      </c>
      <c r="B15582" t="str">
        <v>Công an xã Hương Hòa  tỉnh Thừa Thiên Huế</v>
      </c>
      <c r="C15582" t="str">
        <v>-</v>
      </c>
      <c r="D15582" t="str">
        <v>-</v>
      </c>
      <c r="E15582" t="str">
        <v/>
      </c>
      <c r="F15582" t="str">
        <v>-</v>
      </c>
      <c r="G15582" t="str">
        <v>-</v>
      </c>
    </row>
    <row r="15583">
      <c r="A15583">
        <v>15582</v>
      </c>
      <c r="B15583" t="str">
        <v>UBND Ủy ban nhân dân xã Hương Hòa  tỉnh Thừa Thiên Huế</v>
      </c>
      <c r="C15583" t="str">
        <v>-</v>
      </c>
      <c r="D15583" t="str">
        <v>-</v>
      </c>
      <c r="E15583" t="str">
        <v>-</v>
      </c>
      <c r="F15583" t="str">
        <v>-</v>
      </c>
      <c r="G15583" t="str">
        <v>-</v>
      </c>
    </row>
    <row r="15584">
      <c r="A15584">
        <v>15583</v>
      </c>
      <c r="B15584" t="str">
        <v>Công an xã Hương Giang  tỉnh Thừa Thiên Huế</v>
      </c>
      <c r="C15584" t="str">
        <v>-</v>
      </c>
      <c r="D15584" t="str">
        <v>-</v>
      </c>
      <c r="E15584" t="str">
        <v/>
      </c>
      <c r="F15584" t="str">
        <v>-</v>
      </c>
      <c r="G15584" t="str">
        <v>-</v>
      </c>
    </row>
    <row r="15585">
      <c r="A15585">
        <v>15584</v>
      </c>
      <c r="B15585" t="str">
        <v>UBND Ủy ban nhân dân xã Hương Giang  tỉnh Thừa Thiên Huế</v>
      </c>
      <c r="C15585" t="str">
        <v>-</v>
      </c>
      <c r="D15585" t="str">
        <v>-</v>
      </c>
      <c r="E15585" t="str">
        <v>-</v>
      </c>
      <c r="F15585" t="str">
        <v>-</v>
      </c>
      <c r="G15585" t="str">
        <v>-</v>
      </c>
    </row>
    <row r="15586">
      <c r="A15586">
        <v>15585</v>
      </c>
      <c r="B15586" t="str">
        <v>Công an xã Hương Hữu  tỉnh Thừa Thiên Huế</v>
      </c>
      <c r="C15586" t="str">
        <v>-</v>
      </c>
      <c r="D15586" t="str">
        <v>-</v>
      </c>
      <c r="E15586" t="str">
        <v/>
      </c>
      <c r="F15586" t="str">
        <v>-</v>
      </c>
      <c r="G15586" t="str">
        <v>-</v>
      </c>
    </row>
    <row r="15587">
      <c r="A15587">
        <v>15586</v>
      </c>
      <c r="B15587" t="str">
        <v>UBND Ủy ban nhân dân xã Hương Hữu  tỉnh Thừa Thiên Huế</v>
      </c>
      <c r="C15587" t="str">
        <v>-</v>
      </c>
      <c r="D15587" t="str">
        <v>-</v>
      </c>
      <c r="E15587" t="str">
        <v>-</v>
      </c>
      <c r="F15587" t="str">
        <v>-</v>
      </c>
      <c r="G15587" t="str">
        <v>-</v>
      </c>
    </row>
    <row r="15588">
      <c r="A15588">
        <v>15587</v>
      </c>
      <c r="B15588" t="str">
        <v>Công an xã Thượng Lộ  tỉnh Thừa Thiên Huế</v>
      </c>
      <c r="C15588" t="str">
        <v>-</v>
      </c>
      <c r="D15588" t="str">
        <v>-</v>
      </c>
      <c r="E15588" t="str">
        <v/>
      </c>
      <c r="F15588" t="str">
        <v>-</v>
      </c>
      <c r="G15588" t="str">
        <v>-</v>
      </c>
    </row>
    <row r="15589">
      <c r="A15589">
        <v>15588</v>
      </c>
      <c r="B15589" t="str">
        <v>UBND Ủy ban nhân dân xã Thượng Lộ  tỉnh Thừa Thiên Huế</v>
      </c>
      <c r="C15589" t="str">
        <v>-</v>
      </c>
      <c r="D15589" t="str">
        <v>-</v>
      </c>
      <c r="E15589" t="str">
        <v>-</v>
      </c>
      <c r="F15589" t="str">
        <v>-</v>
      </c>
      <c r="G15589" t="str">
        <v>-</v>
      </c>
    </row>
    <row r="15590">
      <c r="A15590">
        <v>15589</v>
      </c>
      <c r="B15590" t="str">
        <v>Công an xã Thượng Long  tỉnh Thừa Thiên Huế</v>
      </c>
      <c r="C15590" t="str">
        <v>-</v>
      </c>
      <c r="D15590" t="str">
        <v>-</v>
      </c>
      <c r="E15590" t="str">
        <v/>
      </c>
      <c r="F15590" t="str">
        <v>-</v>
      </c>
      <c r="G15590" t="str">
        <v>-</v>
      </c>
    </row>
    <row r="15591">
      <c r="A15591">
        <v>15590</v>
      </c>
      <c r="B15591" t="str">
        <v>UBND Ủy ban nhân dân xã Thượng Long  tỉnh Thừa Thiên Huế</v>
      </c>
      <c r="C15591" t="str">
        <v>-</v>
      </c>
      <c r="D15591" t="str">
        <v>-</v>
      </c>
      <c r="E15591" t="str">
        <v>-</v>
      </c>
      <c r="F15591" t="str">
        <v>-</v>
      </c>
      <c r="G15591" t="str">
        <v>-</v>
      </c>
    </row>
    <row r="15592">
      <c r="A15592">
        <v>15591</v>
      </c>
      <c r="B15592" t="str">
        <v>Công an xã Thượng Nhật  tỉnh Thừa Thiên Huế</v>
      </c>
      <c r="C15592" t="str">
        <v>-</v>
      </c>
      <c r="D15592" t="str">
        <v>-</v>
      </c>
      <c r="E15592" t="str">
        <v/>
      </c>
      <c r="F15592" t="str">
        <v>-</v>
      </c>
      <c r="G15592" t="str">
        <v>-</v>
      </c>
    </row>
    <row r="15593">
      <c r="A15593">
        <v>15592</v>
      </c>
      <c r="B15593" t="str">
        <v>UBND Ủy ban nhân dân xã Thượng Nhật  tỉnh Thừa Thiên Huế</v>
      </c>
      <c r="C15593" t="str">
        <v>-</v>
      </c>
      <c r="D15593" t="str">
        <v>-</v>
      </c>
      <c r="E15593" t="str">
        <v>-</v>
      </c>
      <c r="F15593" t="str">
        <v>-</v>
      </c>
      <c r="G15593" t="str">
        <v>-</v>
      </c>
    </row>
    <row r="15594">
      <c r="A15594">
        <v>15593</v>
      </c>
      <c r="B15594" t="str">
        <v>Công an phường Hòa Hiệp Bắc  thành phố Đà Nẵng</v>
      </c>
      <c r="C15594" t="str">
        <v>-</v>
      </c>
      <c r="D15594" t="str">
        <v>-</v>
      </c>
      <c r="E15594" t="str">
        <v/>
      </c>
      <c r="F15594" t="str">
        <v>-</v>
      </c>
      <c r="G15594" t="str">
        <v>-</v>
      </c>
    </row>
    <row r="15595">
      <c r="A15595">
        <v>15594</v>
      </c>
      <c r="B15595" t="str">
        <v>UBND Ủy ban nhân dân phường Hòa Hiệp Bắc  thành phố Đà Nẵng</v>
      </c>
      <c r="C15595" t="str">
        <v>-</v>
      </c>
      <c r="D15595" t="str">
        <v>-</v>
      </c>
      <c r="E15595" t="str">
        <v>-</v>
      </c>
      <c r="F15595" t="str">
        <v>-</v>
      </c>
      <c r="G15595" t="str">
        <v>-</v>
      </c>
    </row>
    <row r="15596">
      <c r="A15596">
        <v>15595</v>
      </c>
      <c r="B15596" t="str">
        <v>Công an phường Hòa Hiệp Nam  thành phố Đà Nẵng</v>
      </c>
      <c r="C15596" t="str">
        <v>-</v>
      </c>
      <c r="D15596" t="str">
        <v>-</v>
      </c>
      <c r="E15596" t="str">
        <v/>
      </c>
      <c r="F15596" t="str">
        <v>-</v>
      </c>
      <c r="G15596" t="str">
        <v>-</v>
      </c>
    </row>
    <row r="15597">
      <c r="A15597">
        <v>15596</v>
      </c>
      <c r="B15597" t="str">
        <v>UBND Ủy ban nhân dân phường Hòa Hiệp Nam  thành phố Đà Nẵng</v>
      </c>
      <c r="C15597" t="str">
        <v>-</v>
      </c>
      <c r="D15597" t="str">
        <v>-</v>
      </c>
      <c r="E15597" t="str">
        <v>-</v>
      </c>
      <c r="F15597" t="str">
        <v>-</v>
      </c>
      <c r="G15597" t="str">
        <v>-</v>
      </c>
    </row>
    <row r="15598">
      <c r="A15598">
        <v>15597</v>
      </c>
      <c r="B15598" t="str">
        <v>Công an phường Hòa Khánh Bắc  thành phố Đà Nẵng</v>
      </c>
      <c r="C15598" t="str">
        <v>-</v>
      </c>
      <c r="D15598" t="str">
        <v>-</v>
      </c>
      <c r="E15598" t="str">
        <v/>
      </c>
      <c r="F15598" t="str">
        <v>-</v>
      </c>
      <c r="G15598" t="str">
        <v>-</v>
      </c>
    </row>
    <row r="15599">
      <c r="A15599">
        <v>15598</v>
      </c>
      <c r="B15599" t="str">
        <v>UBND Ủy ban nhân dân phường Hòa Khánh Bắc  thành phố Đà Nẵng</v>
      </c>
      <c r="C15599" t="str">
        <v>-</v>
      </c>
      <c r="D15599" t="str">
        <v>-</v>
      </c>
      <c r="E15599" t="str">
        <v>-</v>
      </c>
      <c r="F15599" t="str">
        <v>-</v>
      </c>
      <c r="G15599" t="str">
        <v>-</v>
      </c>
    </row>
    <row r="15600">
      <c r="A15600">
        <v>15599</v>
      </c>
      <c r="B15600" t="str">
        <v>Công an phường Hòa Khánh Nam  thành phố Đà Nẵng</v>
      </c>
      <c r="C15600" t="str">
        <v>-</v>
      </c>
      <c r="D15600" t="str">
        <v>-</v>
      </c>
      <c r="E15600" t="str">
        <v/>
      </c>
      <c r="F15600" t="str">
        <v>-</v>
      </c>
      <c r="G15600" t="str">
        <v>-</v>
      </c>
    </row>
    <row r="15601">
      <c r="A15601">
        <v>15600</v>
      </c>
      <c r="B15601" t="str">
        <v>UBND Ủy ban nhân dân phường Hòa Khánh Nam  thành phố Đà Nẵng</v>
      </c>
      <c r="C15601" t="str">
        <v>-</v>
      </c>
      <c r="D15601" t="str">
        <v>-</v>
      </c>
      <c r="E15601" t="str">
        <v>-</v>
      </c>
      <c r="F15601" t="str">
        <v>-</v>
      </c>
      <c r="G15601" t="str">
        <v>-</v>
      </c>
    </row>
    <row r="15602">
      <c r="A15602">
        <v>15601</v>
      </c>
      <c r="B15602" t="str">
        <v>Công an phường Hòa Minh  thành phố Đà Nẵng</v>
      </c>
      <c r="C15602" t="str">
        <v>-</v>
      </c>
      <c r="D15602" t="str">
        <v>-</v>
      </c>
      <c r="E15602" t="str">
        <v/>
      </c>
      <c r="F15602" t="str">
        <v>-</v>
      </c>
      <c r="G15602" t="str">
        <v>-</v>
      </c>
    </row>
    <row r="15603">
      <c r="A15603">
        <v>15602</v>
      </c>
      <c r="B15603" t="str">
        <v>UBND Ủy ban nhân dân phường Hòa Minh  thành phố Đà Nẵng</v>
      </c>
      <c r="C15603" t="str">
        <v>-</v>
      </c>
      <c r="D15603" t="str">
        <v>-</v>
      </c>
      <c r="E15603" t="str">
        <v>-</v>
      </c>
      <c r="F15603" t="str">
        <v>-</v>
      </c>
      <c r="G15603" t="str">
        <v>-</v>
      </c>
    </row>
    <row r="15604">
      <c r="A15604">
        <v>15603</v>
      </c>
      <c r="B15604" t="str">
        <v>Công an phường Tam Thuận  thành phố Đà Nẵng</v>
      </c>
      <c r="C15604" t="str">
        <v>-</v>
      </c>
      <c r="D15604" t="str">
        <v>-</v>
      </c>
      <c r="E15604" t="str">
        <v/>
      </c>
      <c r="F15604" t="str">
        <v>-</v>
      </c>
      <c r="G15604" t="str">
        <v>-</v>
      </c>
    </row>
    <row r="15605">
      <c r="A15605">
        <v>15604</v>
      </c>
      <c r="B15605" t="str">
        <v>UBND Ủy ban nhân dân phường Tam Thuận  thành phố Đà Nẵng</v>
      </c>
      <c r="C15605" t="str">
        <v>-</v>
      </c>
      <c r="D15605" t="str">
        <v>-</v>
      </c>
      <c r="E15605" t="str">
        <v>-</v>
      </c>
      <c r="F15605" t="str">
        <v>-</v>
      </c>
      <c r="G15605" t="str">
        <v>-</v>
      </c>
    </row>
    <row r="15606">
      <c r="A15606">
        <v>15605</v>
      </c>
      <c r="B15606" t="str">
        <v>Công an phường Thanh Khê Tây  thành phố Đà Nẵng</v>
      </c>
      <c r="C15606" t="str">
        <v>-</v>
      </c>
      <c r="D15606" t="str">
        <v>-</v>
      </c>
      <c r="E15606" t="str">
        <v/>
      </c>
      <c r="F15606" t="str">
        <v>-</v>
      </c>
      <c r="G15606" t="str">
        <v>-</v>
      </c>
    </row>
    <row r="15607">
      <c r="A15607">
        <v>15606</v>
      </c>
      <c r="B15607" t="str">
        <v>UBND Ủy ban nhân dân phường Thanh Khê Tây  thành phố Đà Nẵng</v>
      </c>
      <c r="C15607" t="str">
        <v>-</v>
      </c>
      <c r="D15607" t="str">
        <v>-</v>
      </c>
      <c r="E15607" t="str">
        <v>-</v>
      </c>
      <c r="F15607" t="str">
        <v>-</v>
      </c>
      <c r="G15607" t="str">
        <v>-</v>
      </c>
    </row>
    <row r="15608">
      <c r="A15608">
        <v>15607</v>
      </c>
      <c r="B15608" t="str">
        <v>Công an phường Thanh Khê Đông  thành phố Đà Nẵng</v>
      </c>
      <c r="C15608" t="str">
        <v>-</v>
      </c>
      <c r="D15608" t="str">
        <v>-</v>
      </c>
      <c r="E15608" t="str">
        <v/>
      </c>
      <c r="F15608" t="str">
        <v>-</v>
      </c>
      <c r="G15608" t="str">
        <v>-</v>
      </c>
    </row>
    <row r="15609">
      <c r="A15609">
        <v>15608</v>
      </c>
      <c r="B15609" t="str">
        <v>UBND Ủy ban nhân dân phường Thanh Khê Đông  thành phố Đà Nẵng</v>
      </c>
      <c r="C15609" t="str">
        <v>-</v>
      </c>
      <c r="D15609" t="str">
        <v>-</v>
      </c>
      <c r="E15609" t="str">
        <v>-</v>
      </c>
      <c r="F15609" t="str">
        <v>-</v>
      </c>
      <c r="G15609" t="str">
        <v>-</v>
      </c>
    </row>
    <row r="15610">
      <c r="A15610">
        <v>15609</v>
      </c>
      <c r="B15610" t="str">
        <v>Công an phường Xuân Hà  thành phố Đà Nẵng</v>
      </c>
      <c r="C15610" t="str">
        <v>-</v>
      </c>
      <c r="D15610" t="str">
        <v>-</v>
      </c>
      <c r="E15610" t="str">
        <v/>
      </c>
      <c r="F15610" t="str">
        <v>-</v>
      </c>
      <c r="G15610" t="str">
        <v>-</v>
      </c>
    </row>
    <row r="15611">
      <c r="A15611">
        <v>15610</v>
      </c>
      <c r="B15611" t="str">
        <v>UBND Ủy ban nhân dân phường Xuân Hà  thành phố Đà Nẵng</v>
      </c>
      <c r="C15611" t="str">
        <v>-</v>
      </c>
      <c r="D15611" t="str">
        <v>-</v>
      </c>
      <c r="E15611" t="str">
        <v>-</v>
      </c>
      <c r="F15611" t="str">
        <v>-</v>
      </c>
      <c r="G15611" t="str">
        <v>-</v>
      </c>
    </row>
    <row r="15612">
      <c r="A15612">
        <v>15611</v>
      </c>
      <c r="B15612" t="str">
        <v>Công an phường Tân Chính  thành phố Đà Nẵng</v>
      </c>
      <c r="C15612" t="str">
        <v>-</v>
      </c>
      <c r="D15612" t="str">
        <v>-</v>
      </c>
      <c r="E15612" t="str">
        <v/>
      </c>
      <c r="F15612" t="str">
        <v>-</v>
      </c>
      <c r="G15612" t="str">
        <v>-</v>
      </c>
    </row>
    <row r="15613">
      <c r="A15613">
        <v>15612</v>
      </c>
      <c r="B15613" t="str">
        <v>UBND Ủy ban nhân dân phường Tân Chính  thành phố Đà Nẵng</v>
      </c>
      <c r="C15613" t="str">
        <v>-</v>
      </c>
      <c r="D15613" t="str">
        <v>-</v>
      </c>
      <c r="E15613" t="str">
        <v>-</v>
      </c>
      <c r="F15613" t="str">
        <v>-</v>
      </c>
      <c r="G15613" t="str">
        <v>-</v>
      </c>
    </row>
    <row r="15614">
      <c r="A15614">
        <v>15613</v>
      </c>
      <c r="B15614" t="str">
        <v>Công an phường Chính Gián  thành phố Đà Nẵng</v>
      </c>
      <c r="C15614" t="str">
        <v>-</v>
      </c>
      <c r="D15614" t="str">
        <v>-</v>
      </c>
      <c r="E15614" t="str">
        <v/>
      </c>
      <c r="F15614" t="str">
        <v>-</v>
      </c>
      <c r="G15614" t="str">
        <v>-</v>
      </c>
    </row>
    <row r="15615">
      <c r="A15615">
        <v>15614</v>
      </c>
      <c r="B15615" t="str">
        <v>UBND Ủy ban nhân dân phường Chính Gián  thành phố Đà Nẵng</v>
      </c>
      <c r="C15615" t="str">
        <v>-</v>
      </c>
      <c r="D15615" t="str">
        <v>-</v>
      </c>
      <c r="E15615" t="str">
        <v>-</v>
      </c>
      <c r="F15615" t="str">
        <v>-</v>
      </c>
      <c r="G15615" t="str">
        <v>-</v>
      </c>
    </row>
    <row r="15616">
      <c r="A15616">
        <v>15615</v>
      </c>
      <c r="B15616" t="str">
        <v>Công an phường Vĩnh Trung  thành phố Đà Nẵng</v>
      </c>
      <c r="C15616" t="str">
        <v>-</v>
      </c>
      <c r="D15616" t="str">
        <v>-</v>
      </c>
      <c r="E15616" t="str">
        <v/>
      </c>
      <c r="F15616" t="str">
        <v>-</v>
      </c>
      <c r="G15616" t="str">
        <v>-</v>
      </c>
    </row>
    <row r="15617">
      <c r="A15617">
        <v>15616</v>
      </c>
      <c r="B15617" t="str">
        <v>UBND Ủy ban nhân dân phường Vĩnh Trung  thành phố Đà Nẵng</v>
      </c>
      <c r="C15617" t="str">
        <v>-</v>
      </c>
      <c r="D15617" t="str">
        <v>-</v>
      </c>
      <c r="E15617" t="str">
        <v>-</v>
      </c>
      <c r="F15617" t="str">
        <v>-</v>
      </c>
      <c r="G15617" t="str">
        <v>-</v>
      </c>
    </row>
    <row r="15618">
      <c r="A15618">
        <v>15617</v>
      </c>
      <c r="B15618" t="str">
        <v>Công an phường Thạc Gián  thành phố Đà Nẵng</v>
      </c>
      <c r="C15618" t="str">
        <v>-</v>
      </c>
      <c r="D15618" t="str">
        <v>-</v>
      </c>
      <c r="E15618" t="str">
        <v/>
      </c>
      <c r="F15618" t="str">
        <v>-</v>
      </c>
      <c r="G15618" t="str">
        <v>-</v>
      </c>
    </row>
    <row r="15619">
      <c r="A15619">
        <v>15618</v>
      </c>
      <c r="B15619" t="str">
        <v>UBND Ủy ban nhân dân phường Thạc Gián  thành phố Đà Nẵng</v>
      </c>
      <c r="C15619" t="str">
        <v>-</v>
      </c>
      <c r="D15619" t="str">
        <v>-</v>
      </c>
      <c r="E15619" t="str">
        <v>-</v>
      </c>
      <c r="F15619" t="str">
        <v>-</v>
      </c>
      <c r="G15619" t="str">
        <v>-</v>
      </c>
    </row>
    <row r="15620">
      <c r="A15620">
        <v>15619</v>
      </c>
      <c r="B15620" t="str">
        <v>Công an phường An Khê  thành phố Đà Nẵng</v>
      </c>
      <c r="C15620" t="str">
        <v>-</v>
      </c>
      <c r="D15620" t="str">
        <v>-</v>
      </c>
      <c r="E15620" t="str">
        <v/>
      </c>
      <c r="F15620" t="str">
        <v>-</v>
      </c>
      <c r="G15620" t="str">
        <v>-</v>
      </c>
    </row>
    <row r="15621">
      <c r="A15621">
        <v>15620</v>
      </c>
      <c r="B15621" t="str">
        <v>UBND Ủy ban nhân dân phường An Khê  thành phố Đà Nẵng</v>
      </c>
      <c r="C15621" t="str">
        <v>-</v>
      </c>
      <c r="D15621" t="str">
        <v>-</v>
      </c>
      <c r="E15621" t="str">
        <v>-</v>
      </c>
      <c r="F15621" t="str">
        <v>-</v>
      </c>
      <c r="G15621" t="str">
        <v>-</v>
      </c>
    </row>
    <row r="15622">
      <c r="A15622">
        <v>15621</v>
      </c>
      <c r="B15622" t="str">
        <v>Công an phường Hòa Khê  thành phố Đà Nẵng</v>
      </c>
      <c r="C15622" t="str">
        <v>-</v>
      </c>
      <c r="D15622" t="str">
        <v>-</v>
      </c>
      <c r="E15622" t="str">
        <v/>
      </c>
      <c r="F15622" t="str">
        <v>-</v>
      </c>
      <c r="G15622" t="str">
        <v>-</v>
      </c>
    </row>
    <row r="15623">
      <c r="A15623">
        <v>15622</v>
      </c>
      <c r="B15623" t="str">
        <v>UBND Ủy ban nhân dân phường Hòa Khê  thành phố Đà Nẵng</v>
      </c>
      <c r="C15623" t="str">
        <v>-</v>
      </c>
      <c r="D15623" t="str">
        <v>-</v>
      </c>
      <c r="E15623" t="str">
        <v>-</v>
      </c>
      <c r="F15623" t="str">
        <v>-</v>
      </c>
      <c r="G15623" t="str">
        <v>-</v>
      </c>
    </row>
    <row r="15624">
      <c r="A15624">
        <v>15623</v>
      </c>
      <c r="B15624" t="str">
        <v>Công an phường Thanh Bình  thành phố Đà Nẵng</v>
      </c>
      <c r="C15624" t="str">
        <v>-</v>
      </c>
      <c r="D15624" t="str">
        <v>-</v>
      </c>
      <c r="E15624" t="str">
        <v/>
      </c>
      <c r="F15624" t="str">
        <v>-</v>
      </c>
      <c r="G15624" t="str">
        <v>-</v>
      </c>
    </row>
    <row r="15625">
      <c r="A15625">
        <v>15624</v>
      </c>
      <c r="B15625" t="str">
        <v>UBND Ủy ban nhân dân phường Thanh Bình  thành phố Đà Nẵng</v>
      </c>
      <c r="C15625" t="str">
        <v>-</v>
      </c>
      <c r="D15625" t="str">
        <v>-</v>
      </c>
      <c r="E15625" t="str">
        <v>-</v>
      </c>
      <c r="F15625" t="str">
        <v>-</v>
      </c>
      <c r="G15625" t="str">
        <v>-</v>
      </c>
    </row>
    <row r="15626">
      <c r="A15626">
        <v>15625</v>
      </c>
      <c r="B15626" t="str">
        <v>Công an phường Thuận Phước  thành phố Đà Nẵng</v>
      </c>
      <c r="C15626" t="str">
        <v>-</v>
      </c>
      <c r="D15626" t="str">
        <v>-</v>
      </c>
      <c r="E15626" t="str">
        <v/>
      </c>
      <c r="F15626" t="str">
        <v>-</v>
      </c>
      <c r="G15626" t="str">
        <v>-</v>
      </c>
    </row>
    <row r="15627">
      <c r="A15627">
        <v>15626</v>
      </c>
      <c r="B15627" t="str">
        <v>UBND Ủy ban nhân dân phường Thuận Phước  thành phố Đà Nẵng</v>
      </c>
      <c r="C15627" t="str">
        <v>-</v>
      </c>
      <c r="D15627" t="str">
        <v>-</v>
      </c>
      <c r="E15627" t="str">
        <v>-</v>
      </c>
      <c r="F15627" t="str">
        <v>-</v>
      </c>
      <c r="G15627" t="str">
        <v>-</v>
      </c>
    </row>
    <row r="15628">
      <c r="A15628">
        <v>15627</v>
      </c>
      <c r="B15628" t="str">
        <v>Công an phường Thạch Thang  thành phố Đà Nẵng</v>
      </c>
      <c r="C15628" t="str">
        <v>-</v>
      </c>
      <c r="D15628" t="str">
        <v>-</v>
      </c>
      <c r="E15628" t="str">
        <v/>
      </c>
      <c r="F15628" t="str">
        <v>-</v>
      </c>
      <c r="G15628" t="str">
        <v>-</v>
      </c>
    </row>
    <row r="15629">
      <c r="A15629">
        <v>15628</v>
      </c>
      <c r="B15629" t="str">
        <v>UBND Ủy ban nhân dân phường Thạch Thang  thành phố Đà Nẵng</v>
      </c>
      <c r="C15629" t="str">
        <v>-</v>
      </c>
      <c r="D15629" t="str">
        <v>-</v>
      </c>
      <c r="E15629" t="str">
        <v>-</v>
      </c>
      <c r="F15629" t="str">
        <v>-</v>
      </c>
      <c r="G15629" t="str">
        <v>-</v>
      </c>
    </row>
    <row r="15630">
      <c r="A15630">
        <v>15629</v>
      </c>
      <c r="B15630" t="str">
        <v>Công an phường Hải Châu  I  thành phố Đà Nẵng</v>
      </c>
      <c r="C15630" t="str">
        <v>-</v>
      </c>
      <c r="D15630" t="str">
        <v>-</v>
      </c>
      <c r="E15630" t="str">
        <v/>
      </c>
      <c r="F15630" t="str">
        <v>-</v>
      </c>
      <c r="G15630" t="str">
        <v>-</v>
      </c>
    </row>
    <row r="15631">
      <c r="A15631">
        <v>15630</v>
      </c>
      <c r="B15631" t="str">
        <v>UBND Ủy ban nhân dân phường Hải Châu  I  thành phố Đà Nẵng</v>
      </c>
      <c r="C15631" t="str">
        <v>-</v>
      </c>
      <c r="D15631" t="str">
        <v>-</v>
      </c>
      <c r="E15631" t="str">
        <v>-</v>
      </c>
      <c r="F15631" t="str">
        <v>-</v>
      </c>
      <c r="G15631" t="str">
        <v>-</v>
      </c>
    </row>
    <row r="15632">
      <c r="A15632">
        <v>15631</v>
      </c>
      <c r="B15632" t="str">
        <v>Công an phường Hải Châu II  thành phố Đà Nẵng</v>
      </c>
      <c r="C15632" t="str">
        <v>-</v>
      </c>
      <c r="D15632" t="str">
        <v>-</v>
      </c>
      <c r="E15632" t="str">
        <v/>
      </c>
      <c r="F15632" t="str">
        <v>-</v>
      </c>
      <c r="G15632" t="str">
        <v>-</v>
      </c>
    </row>
    <row r="15633">
      <c r="A15633">
        <v>15632</v>
      </c>
      <c r="B15633" t="str">
        <v>UBND Ủy ban nhân dân phường Hải Châu II  thành phố Đà Nẵng</v>
      </c>
      <c r="C15633" t="str">
        <v>-</v>
      </c>
      <c r="D15633" t="str">
        <v>-</v>
      </c>
      <c r="E15633" t="str">
        <v>-</v>
      </c>
      <c r="F15633" t="str">
        <v>-</v>
      </c>
      <c r="G15633" t="str">
        <v>-</v>
      </c>
    </row>
    <row r="15634">
      <c r="A15634">
        <v>15633</v>
      </c>
      <c r="B15634" t="str">
        <v>Công an phường Phước Ninh  thành phố Đà Nẵng</v>
      </c>
      <c r="C15634" t="str">
        <v>-</v>
      </c>
      <c r="D15634" t="str">
        <v>-</v>
      </c>
      <c r="E15634" t="str">
        <v/>
      </c>
      <c r="F15634" t="str">
        <v>-</v>
      </c>
      <c r="G15634" t="str">
        <v>-</v>
      </c>
    </row>
    <row r="15635">
      <c r="A15635">
        <v>15634</v>
      </c>
      <c r="B15635" t="str">
        <v>UBND Ủy ban nhân dân phường Phước Ninh  thành phố Đà Nẵng</v>
      </c>
      <c r="C15635" t="str">
        <v>-</v>
      </c>
      <c r="D15635" t="str">
        <v>-</v>
      </c>
      <c r="E15635" t="str">
        <v>-</v>
      </c>
      <c r="F15635" t="str">
        <v>-</v>
      </c>
      <c r="G15635" t="str">
        <v>-</v>
      </c>
    </row>
    <row r="15636">
      <c r="A15636">
        <v>15635</v>
      </c>
      <c r="B15636" t="str">
        <v>Công an phường Hòa Thuận Tây  thành phố Đà Nẵng</v>
      </c>
      <c r="C15636" t="str">
        <v>-</v>
      </c>
      <c r="D15636" t="str">
        <v>-</v>
      </c>
      <c r="E15636" t="str">
        <v/>
      </c>
      <c r="F15636" t="str">
        <v>-</v>
      </c>
      <c r="G15636" t="str">
        <v>-</v>
      </c>
    </row>
    <row r="15637">
      <c r="A15637">
        <v>15636</v>
      </c>
      <c r="B15637" t="str">
        <v>UBND Ủy ban nhân dân phường Hòa Thuận Tây  thành phố Đà Nẵng</v>
      </c>
      <c r="C15637" t="str">
        <v>-</v>
      </c>
      <c r="D15637" t="str">
        <v>-</v>
      </c>
      <c r="E15637" t="str">
        <v>-</v>
      </c>
      <c r="F15637" t="str">
        <v>-</v>
      </c>
      <c r="G15637" t="str">
        <v>-</v>
      </c>
    </row>
    <row r="15638">
      <c r="A15638">
        <v>15637</v>
      </c>
      <c r="B15638" t="str">
        <v>Công an phường Hòa Thuận Đông  thành phố Đà Nẵng</v>
      </c>
      <c r="C15638" t="str">
        <v>-</v>
      </c>
      <c r="D15638" t="str">
        <v>-</v>
      </c>
      <c r="E15638" t="str">
        <v/>
      </c>
      <c r="F15638" t="str">
        <v>-</v>
      </c>
      <c r="G15638" t="str">
        <v>-</v>
      </c>
    </row>
    <row r="15639">
      <c r="A15639">
        <v>15638</v>
      </c>
      <c r="B15639" t="str">
        <v>UBND Ủy ban nhân dân phường Hòa Thuận Đông  thành phố Đà Nẵng</v>
      </c>
      <c r="C15639" t="str">
        <v>-</v>
      </c>
      <c r="D15639" t="str">
        <v>-</v>
      </c>
      <c r="E15639" t="str">
        <v>-</v>
      </c>
      <c r="F15639" t="str">
        <v>-</v>
      </c>
      <c r="G15639" t="str">
        <v>-</v>
      </c>
    </row>
    <row r="15640">
      <c r="A15640">
        <v>15639</v>
      </c>
      <c r="B15640" t="str">
        <v>Công an phường Nam Dương  thành phố Đà Nẵng</v>
      </c>
      <c r="C15640" t="str">
        <v>-</v>
      </c>
      <c r="D15640" t="str">
        <v>-</v>
      </c>
      <c r="E15640" t="str">
        <v/>
      </c>
      <c r="F15640" t="str">
        <v>-</v>
      </c>
      <c r="G15640" t="str">
        <v>-</v>
      </c>
    </row>
    <row r="15641">
      <c r="A15641">
        <v>15640</v>
      </c>
      <c r="B15641" t="str">
        <v>UBND Ủy ban nhân dân phường Nam Dương  thành phố Đà Nẵng</v>
      </c>
      <c r="C15641" t="str">
        <v>-</v>
      </c>
      <c r="D15641" t="str">
        <v>-</v>
      </c>
      <c r="E15641" t="str">
        <v>-</v>
      </c>
      <c r="F15641" t="str">
        <v>-</v>
      </c>
      <c r="G15641" t="str">
        <v>-</v>
      </c>
    </row>
    <row r="15642">
      <c r="A15642">
        <v>15641</v>
      </c>
      <c r="B15642" t="str">
        <v>Công an phường Bình Hiên  thành phố Đà Nẵng</v>
      </c>
      <c r="C15642" t="str">
        <v>-</v>
      </c>
      <c r="D15642" t="str">
        <v>-</v>
      </c>
      <c r="E15642" t="str">
        <v/>
      </c>
      <c r="F15642" t="str">
        <v>-</v>
      </c>
      <c r="G15642" t="str">
        <v>-</v>
      </c>
    </row>
    <row r="15643">
      <c r="A15643">
        <v>15642</v>
      </c>
      <c r="B15643" t="str">
        <v>UBND Ủy ban nhân dân phường Bình Hiên  thành phố Đà Nẵng</v>
      </c>
      <c r="C15643" t="str">
        <v>-</v>
      </c>
      <c r="D15643" t="str">
        <v>-</v>
      </c>
      <c r="E15643" t="str">
        <v>-</v>
      </c>
      <c r="F15643" t="str">
        <v>-</v>
      </c>
      <c r="G15643" t="str">
        <v>-</v>
      </c>
    </row>
    <row r="15644">
      <c r="A15644">
        <v>15643</v>
      </c>
      <c r="B15644" t="str">
        <v>Công an phường Bình Thuận  thành phố Đà Nẵng</v>
      </c>
      <c r="C15644" t="str">
        <v>-</v>
      </c>
      <c r="D15644" t="str">
        <v>-</v>
      </c>
      <c r="E15644" t="str">
        <v/>
      </c>
      <c r="F15644" t="str">
        <v>-</v>
      </c>
      <c r="G15644" t="str">
        <v>-</v>
      </c>
    </row>
    <row r="15645">
      <c r="A15645">
        <v>15644</v>
      </c>
      <c r="B15645" t="str">
        <v>UBND Ủy ban nhân dân phường Bình Thuận  thành phố Đà Nẵng</v>
      </c>
      <c r="C15645" t="str">
        <v>-</v>
      </c>
      <c r="D15645" t="str">
        <v>-</v>
      </c>
      <c r="E15645" t="str">
        <v>-</v>
      </c>
      <c r="F15645" t="str">
        <v>-</v>
      </c>
      <c r="G15645" t="str">
        <v>-</v>
      </c>
    </row>
    <row r="15646">
      <c r="A15646">
        <v>15645</v>
      </c>
      <c r="B15646" t="str">
        <v>Công an phường Hòa Cường Bắc  thành phố Đà Nẵng</v>
      </c>
      <c r="C15646" t="str">
        <v>-</v>
      </c>
      <c r="D15646" t="str">
        <v>-</v>
      </c>
      <c r="E15646" t="str">
        <v/>
      </c>
      <c r="F15646" t="str">
        <v>-</v>
      </c>
      <c r="G15646" t="str">
        <v>-</v>
      </c>
    </row>
    <row r="15647">
      <c r="A15647">
        <v>15646</v>
      </c>
      <c r="B15647" t="str">
        <v>UBND Ủy ban nhân dân phường Hòa Cường Bắc  thành phố Đà Nẵng</v>
      </c>
      <c r="C15647" t="str">
        <v>-</v>
      </c>
      <c r="D15647" t="str">
        <v>-</v>
      </c>
      <c r="E15647" t="str">
        <v>-</v>
      </c>
      <c r="F15647" t="str">
        <v>-</v>
      </c>
      <c r="G15647" t="str">
        <v>-</v>
      </c>
    </row>
    <row r="15648">
      <c r="A15648">
        <v>15647</v>
      </c>
      <c r="B15648" t="str">
        <v>Công an phường Hòa Cường Nam  thành phố Đà Nẵng</v>
      </c>
      <c r="C15648" t="str">
        <v>-</v>
      </c>
      <c r="D15648" t="str">
        <v>-</v>
      </c>
      <c r="E15648" t="str">
        <v/>
      </c>
      <c r="F15648" t="str">
        <v>-</v>
      </c>
      <c r="G15648" t="str">
        <v>-</v>
      </c>
    </row>
    <row r="15649">
      <c r="A15649">
        <v>15648</v>
      </c>
      <c r="B15649" t="str">
        <v>UBND Ủy ban nhân dân phường Hòa Cường Nam  thành phố Đà Nẵng</v>
      </c>
      <c r="C15649" t="str">
        <v>-</v>
      </c>
      <c r="D15649" t="str">
        <v>-</v>
      </c>
      <c r="E15649" t="str">
        <v>-</v>
      </c>
      <c r="F15649" t="str">
        <v>-</v>
      </c>
      <c r="G15649" t="str">
        <v>-</v>
      </c>
    </row>
    <row r="15650">
      <c r="A15650">
        <v>15649</v>
      </c>
      <c r="B15650" t="str">
        <v>Công an phường Thọ Quang  thành phố Đà Nẵng</v>
      </c>
      <c r="C15650" t="str">
        <v>-</v>
      </c>
      <c r="D15650" t="str">
        <v>-</v>
      </c>
      <c r="E15650" t="str">
        <v/>
      </c>
      <c r="F15650" t="str">
        <v>-</v>
      </c>
      <c r="G15650" t="str">
        <v>-</v>
      </c>
    </row>
    <row r="15651">
      <c r="A15651">
        <v>15650</v>
      </c>
      <c r="B15651" t="str">
        <v>UBND Ủy ban nhân dân phường Thọ Quang  thành phố Đà Nẵng</v>
      </c>
      <c r="C15651" t="str">
        <v>-</v>
      </c>
      <c r="D15651" t="str">
        <v>-</v>
      </c>
      <c r="E15651" t="str">
        <v>-</v>
      </c>
      <c r="F15651" t="str">
        <v>-</v>
      </c>
      <c r="G15651" t="str">
        <v>-</v>
      </c>
    </row>
    <row r="15652">
      <c r="A15652">
        <v>15651</v>
      </c>
      <c r="B15652" t="str">
        <v>Công an phường Nại Hiên Đông  thành phố Đà Nẵng</v>
      </c>
      <c r="C15652" t="str">
        <v>-</v>
      </c>
      <c r="D15652" t="str">
        <v>-</v>
      </c>
      <c r="E15652" t="str">
        <v/>
      </c>
      <c r="F15652" t="str">
        <v>-</v>
      </c>
      <c r="G15652" t="str">
        <v>-</v>
      </c>
    </row>
    <row r="15653">
      <c r="A15653">
        <v>15652</v>
      </c>
      <c r="B15653" t="str">
        <v>UBND Ủy ban nhân dân phường Nại Hiên Đông  thành phố Đà Nẵng</v>
      </c>
      <c r="C15653" t="str">
        <v>-</v>
      </c>
      <c r="D15653" t="str">
        <v>-</v>
      </c>
      <c r="E15653" t="str">
        <v>-</v>
      </c>
      <c r="F15653" t="str">
        <v>-</v>
      </c>
      <c r="G15653" t="str">
        <v>-</v>
      </c>
    </row>
    <row r="15654">
      <c r="A15654">
        <v>15653</v>
      </c>
      <c r="B15654" t="str">
        <v>Công an phường Mân Thái  thành phố Đà Nẵng</v>
      </c>
      <c r="C15654" t="str">
        <v>-</v>
      </c>
      <c r="D15654" t="str">
        <v>-</v>
      </c>
      <c r="E15654" t="str">
        <v/>
      </c>
      <c r="F15654" t="str">
        <v>-</v>
      </c>
      <c r="G15654" t="str">
        <v>-</v>
      </c>
    </row>
    <row r="15655">
      <c r="A15655">
        <v>15654</v>
      </c>
      <c r="B15655" t="str">
        <v>UBND Ủy ban nhân dân phường Mân Thái  thành phố Đà Nẵng</v>
      </c>
      <c r="C15655" t="str">
        <v>-</v>
      </c>
      <c r="D15655" t="str">
        <v>-</v>
      </c>
      <c r="E15655" t="str">
        <v>-</v>
      </c>
      <c r="F15655" t="str">
        <v>-</v>
      </c>
      <c r="G15655" t="str">
        <v>-</v>
      </c>
    </row>
    <row r="15656">
      <c r="A15656">
        <v>15655</v>
      </c>
      <c r="B15656" t="str">
        <v>Công an phường An Hải Bắc  thành phố Đà Nẵng</v>
      </c>
      <c r="C15656" t="str">
        <v>-</v>
      </c>
      <c r="D15656" t="str">
        <v>-</v>
      </c>
      <c r="E15656" t="str">
        <v/>
      </c>
      <c r="F15656" t="str">
        <v>-</v>
      </c>
      <c r="G15656" t="str">
        <v>-</v>
      </c>
    </row>
    <row r="15657">
      <c r="A15657">
        <v>15656</v>
      </c>
      <c r="B15657" t="str">
        <v>UBND Ủy ban nhân dân phường An Hải Bắc  thành phố Đà Nẵng</v>
      </c>
      <c r="C15657" t="str">
        <v>-</v>
      </c>
      <c r="D15657" t="str">
        <v>-</v>
      </c>
      <c r="E15657" t="str">
        <v>-</v>
      </c>
      <c r="F15657" t="str">
        <v>-</v>
      </c>
      <c r="G15657" t="str">
        <v>-</v>
      </c>
    </row>
    <row r="15658">
      <c r="A15658">
        <v>15657</v>
      </c>
      <c r="B15658" t="str">
        <v>Công an phường Phước Mỹ  thành phố Đà Nẵng</v>
      </c>
      <c r="C15658" t="str">
        <v>-</v>
      </c>
      <c r="D15658" t="str">
        <v>-</v>
      </c>
      <c r="E15658" t="str">
        <v/>
      </c>
      <c r="F15658" t="str">
        <v>-</v>
      </c>
      <c r="G15658" t="str">
        <v>-</v>
      </c>
    </row>
    <row r="15659">
      <c r="A15659">
        <v>15658</v>
      </c>
      <c r="B15659" t="str">
        <v>UBND Ủy ban nhân dân phường Phước Mỹ  thành phố Đà Nẵng</v>
      </c>
      <c r="C15659" t="str">
        <v>-</v>
      </c>
      <c r="D15659" t="str">
        <v>-</v>
      </c>
      <c r="E15659" t="str">
        <v>-</v>
      </c>
      <c r="F15659" t="str">
        <v>-</v>
      </c>
      <c r="G15659" t="str">
        <v>-</v>
      </c>
    </row>
    <row r="15660">
      <c r="A15660">
        <v>15659</v>
      </c>
      <c r="B15660" t="str">
        <v>Công an phường An Hải Tây  thành phố Đà Nẵng</v>
      </c>
      <c r="C15660" t="str">
        <v>-</v>
      </c>
      <c r="D15660" t="str">
        <v>-</v>
      </c>
      <c r="E15660" t="str">
        <v/>
      </c>
      <c r="F15660" t="str">
        <v>-</v>
      </c>
      <c r="G15660" t="str">
        <v>-</v>
      </c>
    </row>
    <row r="15661">
      <c r="A15661">
        <v>15660</v>
      </c>
      <c r="B15661" t="str">
        <v>UBND Ủy ban nhân dân phường An Hải Tây  thành phố Đà Nẵng</v>
      </c>
      <c r="C15661" t="str">
        <v>-</v>
      </c>
      <c r="D15661" t="str">
        <v>-</v>
      </c>
      <c r="E15661" t="str">
        <v>-</v>
      </c>
      <c r="F15661" t="str">
        <v>-</v>
      </c>
      <c r="G15661" t="str">
        <v>-</v>
      </c>
    </row>
    <row r="15662">
      <c r="A15662">
        <v>15661</v>
      </c>
      <c r="B15662" t="str">
        <v>Công an phường An Hải Đông  thành phố Đà Nẵng</v>
      </c>
      <c r="C15662" t="str">
        <v>-</v>
      </c>
      <c r="D15662" t="str">
        <v>-</v>
      </c>
      <c r="E15662" t="str">
        <v/>
      </c>
      <c r="F15662" t="str">
        <v>-</v>
      </c>
      <c r="G15662" t="str">
        <v>-</v>
      </c>
    </row>
    <row r="15663">
      <c r="A15663">
        <v>15662</v>
      </c>
      <c r="B15663" t="str">
        <v>UBND Ủy ban nhân dân phường An Hải Đông  thành phố Đà Nẵng</v>
      </c>
      <c r="C15663" t="str">
        <v>-</v>
      </c>
      <c r="D15663" t="str">
        <v>-</v>
      </c>
      <c r="E15663" t="str">
        <v>-</v>
      </c>
      <c r="F15663" t="str">
        <v>-</v>
      </c>
      <c r="G15663" t="str">
        <v>-</v>
      </c>
    </row>
    <row r="15664">
      <c r="A15664">
        <v>15663</v>
      </c>
      <c r="B15664" t="str">
        <v>Công an phường Mỹ An  thành phố Đà Nẵng</v>
      </c>
      <c r="C15664" t="str">
        <v>-</v>
      </c>
      <c r="D15664" t="str">
        <v>-</v>
      </c>
      <c r="E15664" t="str">
        <v/>
      </c>
      <c r="F15664" t="str">
        <v>-</v>
      </c>
      <c r="G15664" t="str">
        <v>-</v>
      </c>
    </row>
    <row r="15665">
      <c r="A15665">
        <v>15664</v>
      </c>
      <c r="B15665" t="str">
        <v>UBND Ủy ban nhân dân phường Mỹ An  thành phố Đà Nẵng</v>
      </c>
      <c r="C15665" t="str">
        <v>-</v>
      </c>
      <c r="D15665" t="str">
        <v>-</v>
      </c>
      <c r="E15665" t="str">
        <v>-</v>
      </c>
      <c r="F15665" t="str">
        <v>-</v>
      </c>
      <c r="G15665" t="str">
        <v>-</v>
      </c>
    </row>
    <row r="15666">
      <c r="A15666">
        <v>15665</v>
      </c>
      <c r="B15666" t="str">
        <v>Công an phường Khuê Mỹ  thành phố Đà Nẵng</v>
      </c>
      <c r="C15666" t="str">
        <v>-</v>
      </c>
      <c r="D15666" t="str">
        <v>-</v>
      </c>
      <c r="E15666" t="str">
        <v/>
      </c>
      <c r="F15666" t="str">
        <v>-</v>
      </c>
      <c r="G15666" t="str">
        <v>-</v>
      </c>
    </row>
    <row r="15667">
      <c r="A15667">
        <v>15666</v>
      </c>
      <c r="B15667" t="str">
        <v>UBND Ủy ban nhân dân phường Khuê Mỹ  thành phố Đà Nẵng</v>
      </c>
      <c r="C15667" t="str">
        <v>-</v>
      </c>
      <c r="D15667" t="str">
        <v>-</v>
      </c>
      <c r="E15667" t="str">
        <v>-</v>
      </c>
      <c r="F15667" t="str">
        <v>-</v>
      </c>
      <c r="G15667" t="str">
        <v>-</v>
      </c>
    </row>
    <row r="15668">
      <c r="A15668">
        <v>15667</v>
      </c>
      <c r="B15668" t="str">
        <v>Công an phường Hoà Quý  thành phố Đà Nẵng</v>
      </c>
      <c r="C15668" t="str">
        <v>-</v>
      </c>
      <c r="D15668" t="str">
        <v>-</v>
      </c>
      <c r="E15668" t="str">
        <v/>
      </c>
      <c r="F15668" t="str">
        <v>-</v>
      </c>
      <c r="G15668" t="str">
        <v>-</v>
      </c>
    </row>
    <row r="15669">
      <c r="A15669">
        <v>15668</v>
      </c>
      <c r="B15669" t="str">
        <v>UBND Ủy ban nhân dân phường Hoà Quý  thành phố Đà Nẵng</v>
      </c>
      <c r="C15669" t="str">
        <v>-</v>
      </c>
      <c r="D15669" t="str">
        <v>-</v>
      </c>
      <c r="E15669" t="str">
        <v>-</v>
      </c>
      <c r="F15669" t="str">
        <v>-</v>
      </c>
      <c r="G15669" t="str">
        <v>-</v>
      </c>
    </row>
    <row r="15670">
      <c r="A15670">
        <v>15669</v>
      </c>
      <c r="B15670" t="str">
        <v>Công an phường Hoà Hải  thành phố Đà Nẵng</v>
      </c>
      <c r="C15670" t="str">
        <v>-</v>
      </c>
      <c r="D15670" t="str">
        <v>-</v>
      </c>
      <c r="E15670" t="str">
        <v/>
      </c>
      <c r="F15670" t="str">
        <v>-</v>
      </c>
      <c r="G15670" t="str">
        <v>-</v>
      </c>
    </row>
    <row r="15671">
      <c r="A15671">
        <v>15670</v>
      </c>
      <c r="B15671" t="str">
        <v>UBND Ủy ban nhân dân phường Hoà Hải  thành phố Đà Nẵng</v>
      </c>
      <c r="C15671" t="str">
        <v>-</v>
      </c>
      <c r="D15671" t="str">
        <v>-</v>
      </c>
      <c r="E15671" t="str">
        <v>-</v>
      </c>
      <c r="F15671" t="str">
        <v>-</v>
      </c>
      <c r="G15671" t="str">
        <v>-</v>
      </c>
    </row>
    <row r="15672">
      <c r="A15672">
        <v>15671</v>
      </c>
      <c r="B15672" t="str">
        <v>Công an phường Khuê Trung  thành phố Đà Nẵng</v>
      </c>
      <c r="C15672" t="str">
        <v>-</v>
      </c>
      <c r="D15672" t="str">
        <v>-</v>
      </c>
      <c r="E15672" t="str">
        <v/>
      </c>
      <c r="F15672" t="str">
        <v>-</v>
      </c>
      <c r="G15672" t="str">
        <v>-</v>
      </c>
    </row>
    <row r="15673">
      <c r="A15673">
        <v>15672</v>
      </c>
      <c r="B15673" t="str">
        <v>UBND Ủy ban nhân dân phường Khuê Trung  thành phố Đà Nẵng</v>
      </c>
      <c r="C15673" t="str">
        <v>-</v>
      </c>
      <c r="D15673" t="str">
        <v>-</v>
      </c>
      <c r="E15673" t="str">
        <v>-</v>
      </c>
      <c r="F15673" t="str">
        <v>-</v>
      </c>
      <c r="G15673" t="str">
        <v>-</v>
      </c>
    </row>
    <row r="15674">
      <c r="A15674">
        <v>15673</v>
      </c>
      <c r="B15674" t="str">
        <v>Công an phường Hòa Phát  thành phố Đà Nẵng</v>
      </c>
      <c r="C15674" t="str">
        <v>-</v>
      </c>
      <c r="D15674" t="str">
        <v>-</v>
      </c>
      <c r="E15674" t="str">
        <v/>
      </c>
      <c r="F15674" t="str">
        <v>-</v>
      </c>
      <c r="G15674" t="str">
        <v>-</v>
      </c>
    </row>
    <row r="15675">
      <c r="A15675">
        <v>15674</v>
      </c>
      <c r="B15675" t="str">
        <v>UBND Ủy ban nhân dân phường Hòa Phát  thành phố Đà Nẵng</v>
      </c>
      <c r="C15675" t="str">
        <v>-</v>
      </c>
      <c r="D15675" t="str">
        <v>-</v>
      </c>
      <c r="E15675" t="str">
        <v>-</v>
      </c>
      <c r="F15675" t="str">
        <v>-</v>
      </c>
      <c r="G15675" t="str">
        <v>-</v>
      </c>
    </row>
    <row r="15676">
      <c r="A15676">
        <v>15675</v>
      </c>
      <c r="B15676" t="str">
        <v>Công an phường Hòa An  thành phố Đà Nẵng</v>
      </c>
      <c r="C15676" t="str">
        <v>-</v>
      </c>
      <c r="D15676" t="str">
        <v>-</v>
      </c>
      <c r="E15676" t="str">
        <v/>
      </c>
      <c r="F15676" t="str">
        <v>-</v>
      </c>
      <c r="G15676" t="str">
        <v>-</v>
      </c>
    </row>
    <row r="15677">
      <c r="A15677">
        <v>15676</v>
      </c>
      <c r="B15677" t="str">
        <v>UBND Ủy ban nhân dân phường Hòa An  thành phố Đà Nẵng</v>
      </c>
      <c r="C15677" t="str">
        <v>-</v>
      </c>
      <c r="D15677" t="str">
        <v>-</v>
      </c>
      <c r="E15677" t="str">
        <v>-</v>
      </c>
      <c r="F15677" t="str">
        <v>-</v>
      </c>
      <c r="G15677" t="str">
        <v>-</v>
      </c>
    </row>
    <row r="15678">
      <c r="A15678">
        <v>15677</v>
      </c>
      <c r="B15678" t="str">
        <v>Công an phường Hòa Thọ Tây  thành phố Đà Nẵng</v>
      </c>
      <c r="C15678" t="str">
        <v>-</v>
      </c>
      <c r="D15678" t="str">
        <v>-</v>
      </c>
      <c r="E15678" t="str">
        <v/>
      </c>
      <c r="F15678" t="str">
        <v>-</v>
      </c>
      <c r="G15678" t="str">
        <v>-</v>
      </c>
    </row>
    <row r="15679">
      <c r="A15679">
        <v>15678</v>
      </c>
      <c r="B15679" t="str">
        <v>UBND Ủy ban nhân dân phường Hòa Thọ Tây  thành phố Đà Nẵng</v>
      </c>
      <c r="C15679" t="str">
        <v>-</v>
      </c>
      <c r="D15679" t="str">
        <v>-</v>
      </c>
      <c r="E15679" t="str">
        <v>-</v>
      </c>
      <c r="F15679" t="str">
        <v>-</v>
      </c>
      <c r="G15679" t="str">
        <v>-</v>
      </c>
    </row>
    <row r="15680">
      <c r="A15680">
        <v>15679</v>
      </c>
      <c r="B15680" t="str">
        <v>Công an phường Hòa Thọ Đông  thành phố Đà Nẵng</v>
      </c>
      <c r="C15680" t="str">
        <v>-</v>
      </c>
      <c r="D15680" t="str">
        <v>-</v>
      </c>
      <c r="E15680" t="str">
        <v/>
      </c>
      <c r="F15680" t="str">
        <v>-</v>
      </c>
      <c r="G15680" t="str">
        <v>-</v>
      </c>
    </row>
    <row r="15681">
      <c r="A15681">
        <v>15680</v>
      </c>
      <c r="B15681" t="str">
        <v>UBND Ủy ban nhân dân phường Hòa Thọ Đông  thành phố Đà Nẵng</v>
      </c>
      <c r="C15681" t="str">
        <v>-</v>
      </c>
      <c r="D15681" t="str">
        <v>-</v>
      </c>
      <c r="E15681" t="str">
        <v>-</v>
      </c>
      <c r="F15681" t="str">
        <v>-</v>
      </c>
      <c r="G15681" t="str">
        <v>-</v>
      </c>
    </row>
    <row r="15682">
      <c r="A15682">
        <v>15681</v>
      </c>
      <c r="B15682" t="str">
        <v>Công an phường Hòa Xuân  thành phố Đà Nẵng</v>
      </c>
      <c r="C15682" t="str">
        <v>-</v>
      </c>
      <c r="D15682" t="str">
        <v>-</v>
      </c>
      <c r="E15682" t="str">
        <v/>
      </c>
      <c r="F15682" t="str">
        <v>-</v>
      </c>
      <c r="G15682" t="str">
        <v>-</v>
      </c>
    </row>
    <row r="15683">
      <c r="A15683">
        <v>15682</v>
      </c>
      <c r="B15683" t="str">
        <v>UBND Ủy ban nhân dân phường Hòa Xuân  thành phố Đà Nẵng</v>
      </c>
      <c r="C15683" t="str">
        <v>-</v>
      </c>
      <c r="D15683" t="str">
        <v>-</v>
      </c>
      <c r="E15683" t="str">
        <v>-</v>
      </c>
      <c r="F15683" t="str">
        <v>-</v>
      </c>
      <c r="G15683" t="str">
        <v>-</v>
      </c>
    </row>
    <row r="15684">
      <c r="A15684">
        <v>15683</v>
      </c>
      <c r="B15684" t="str">
        <v>Công an xã Hòa Bắc  thành phố Đà Nẵng</v>
      </c>
      <c r="C15684" t="str">
        <v>-</v>
      </c>
      <c r="D15684" t="str">
        <v>-</v>
      </c>
      <c r="E15684" t="str">
        <v/>
      </c>
      <c r="F15684" t="str">
        <v>-</v>
      </c>
      <c r="G15684" t="str">
        <v>-</v>
      </c>
    </row>
    <row r="15685">
      <c r="A15685">
        <v>15684</v>
      </c>
      <c r="B15685" t="str">
        <v>UBND Ủy ban nhân dân xã Hòa Bắc  thành phố Đà Nẵng</v>
      </c>
      <c r="C15685" t="str">
        <v>-</v>
      </c>
      <c r="D15685" t="str">
        <v>-</v>
      </c>
      <c r="E15685" t="str">
        <v>-</v>
      </c>
      <c r="F15685" t="str">
        <v>-</v>
      </c>
      <c r="G15685" t="str">
        <v>-</v>
      </c>
    </row>
    <row r="15686">
      <c r="A15686">
        <v>15685</v>
      </c>
      <c r="B15686" t="str">
        <v>Công an xã Hòa Liên  thành phố Đà Nẵng</v>
      </c>
      <c r="C15686" t="str">
        <v>-</v>
      </c>
      <c r="D15686" t="str">
        <v>-</v>
      </c>
      <c r="E15686" t="str">
        <v/>
      </c>
      <c r="F15686" t="str">
        <v>-</v>
      </c>
      <c r="G15686" t="str">
        <v>-</v>
      </c>
    </row>
    <row r="15687">
      <c r="A15687">
        <v>15686</v>
      </c>
      <c r="B15687" t="str">
        <v>UBND Ủy ban nhân dân xã Hòa Liên  thành phố Đà Nẵng</v>
      </c>
      <c r="C15687" t="str">
        <v>-</v>
      </c>
      <c r="D15687" t="str">
        <v>-</v>
      </c>
      <c r="E15687" t="str">
        <v>-</v>
      </c>
      <c r="F15687" t="str">
        <v>-</v>
      </c>
      <c r="G15687" t="str">
        <v>-</v>
      </c>
    </row>
    <row r="15688">
      <c r="A15688">
        <v>15687</v>
      </c>
      <c r="B15688" t="str">
        <v>Công an xã Hòa Ninh  thành phố Đà Nẵng</v>
      </c>
      <c r="C15688" t="str">
        <v>-</v>
      </c>
      <c r="D15688" t="str">
        <v>-</v>
      </c>
      <c r="E15688" t="str">
        <v/>
      </c>
      <c r="F15688" t="str">
        <v>-</v>
      </c>
      <c r="G15688" t="str">
        <v>-</v>
      </c>
    </row>
    <row r="15689">
      <c r="A15689">
        <v>15688</v>
      </c>
      <c r="B15689" t="str">
        <v>UBND Ủy ban nhân dân xã Hòa Ninh  thành phố Đà Nẵng</v>
      </c>
      <c r="C15689" t="str">
        <v>-</v>
      </c>
      <c r="D15689" t="str">
        <v>-</v>
      </c>
      <c r="E15689" t="str">
        <v>-</v>
      </c>
      <c r="F15689" t="str">
        <v>-</v>
      </c>
      <c r="G15689" t="str">
        <v>-</v>
      </c>
    </row>
    <row r="15690">
      <c r="A15690">
        <v>15689</v>
      </c>
      <c r="B15690" t="str">
        <v>Công an xã Hòa Sơn  thành phố Đà Nẵng</v>
      </c>
      <c r="C15690" t="str">
        <v>-</v>
      </c>
      <c r="D15690" t="str">
        <v>-</v>
      </c>
      <c r="E15690" t="str">
        <v/>
      </c>
      <c r="F15690" t="str">
        <v>-</v>
      </c>
      <c r="G15690" t="str">
        <v>-</v>
      </c>
    </row>
    <row r="15691">
      <c r="A15691">
        <v>15690</v>
      </c>
      <c r="B15691" t="str">
        <v>UBND Ủy ban nhân dân xã Hòa Sơn  thành phố Đà Nẵng</v>
      </c>
      <c r="C15691" t="str">
        <v>-</v>
      </c>
      <c r="D15691" t="str">
        <v>-</v>
      </c>
      <c r="E15691" t="str">
        <v>-</v>
      </c>
      <c r="F15691" t="str">
        <v>-</v>
      </c>
      <c r="G15691" t="str">
        <v>-</v>
      </c>
    </row>
    <row r="15692">
      <c r="A15692">
        <v>15691</v>
      </c>
      <c r="B15692" t="str">
        <v>Công an xã Hòa Nhơn  thành phố Đà Nẵng</v>
      </c>
      <c r="C15692" t="str">
        <v>-</v>
      </c>
      <c r="D15692" t="str">
        <v>-</v>
      </c>
      <c r="E15692" t="str">
        <v/>
      </c>
      <c r="F15692" t="str">
        <v>-</v>
      </c>
      <c r="G15692" t="str">
        <v>-</v>
      </c>
    </row>
    <row r="15693">
      <c r="A15693">
        <v>15692</v>
      </c>
      <c r="B15693" t="str">
        <v>UBND Ủy ban nhân dân xã Hòa Nhơn  thành phố Đà Nẵng</v>
      </c>
      <c r="C15693" t="str">
        <v>-</v>
      </c>
      <c r="D15693" t="str">
        <v>-</v>
      </c>
      <c r="E15693" t="str">
        <v>-</v>
      </c>
      <c r="F15693" t="str">
        <v>-</v>
      </c>
      <c r="G15693" t="str">
        <v>-</v>
      </c>
    </row>
    <row r="15694">
      <c r="A15694">
        <v>15693</v>
      </c>
      <c r="B15694" t="str">
        <v>Công an xã Hòa Phú  thành phố Đà Nẵng</v>
      </c>
      <c r="C15694" t="str">
        <v>-</v>
      </c>
      <c r="D15694" t="str">
        <v>-</v>
      </c>
      <c r="E15694" t="str">
        <v/>
      </c>
      <c r="F15694" t="str">
        <v>-</v>
      </c>
      <c r="G15694" t="str">
        <v>-</v>
      </c>
    </row>
    <row r="15695">
      <c r="A15695">
        <v>15694</v>
      </c>
      <c r="B15695" t="str">
        <v>UBND Ủy ban nhân dân xã Hòa Phú  thành phố Đà Nẵng</v>
      </c>
      <c r="C15695" t="str">
        <v>-</v>
      </c>
      <c r="D15695" t="str">
        <v>-</v>
      </c>
      <c r="E15695" t="str">
        <v>-</v>
      </c>
      <c r="F15695" t="str">
        <v>-</v>
      </c>
      <c r="G15695" t="str">
        <v>-</v>
      </c>
    </row>
    <row r="15696">
      <c r="A15696">
        <v>15695</v>
      </c>
      <c r="B15696" t="str">
        <v>Công an xã Hòa Phong  thành phố Đà Nẵng</v>
      </c>
      <c r="C15696" t="str">
        <v>-</v>
      </c>
      <c r="D15696" t="str">
        <v>-</v>
      </c>
      <c r="E15696" t="str">
        <v/>
      </c>
      <c r="F15696" t="str">
        <v>-</v>
      </c>
      <c r="G15696" t="str">
        <v>-</v>
      </c>
    </row>
    <row r="15697">
      <c r="A15697">
        <v>15696</v>
      </c>
      <c r="B15697" t="str">
        <v>UBND Ủy ban nhân dân xã Hòa Phong  thành phố Đà Nẵng</v>
      </c>
      <c r="C15697" t="str">
        <v>-</v>
      </c>
      <c r="D15697" t="str">
        <v>-</v>
      </c>
      <c r="E15697" t="str">
        <v>-</v>
      </c>
      <c r="F15697" t="str">
        <v>-</v>
      </c>
      <c r="G15697" t="str">
        <v>-</v>
      </c>
    </row>
    <row r="15698">
      <c r="A15698">
        <v>15697</v>
      </c>
      <c r="B15698" t="str">
        <v>Công an xã Hòa Châu  thành phố Đà Nẵng</v>
      </c>
      <c r="C15698" t="str">
        <v>-</v>
      </c>
      <c r="D15698" t="str">
        <v>-</v>
      </c>
      <c r="E15698" t="str">
        <v/>
      </c>
      <c r="F15698" t="str">
        <v>-</v>
      </c>
      <c r="G15698" t="str">
        <v>-</v>
      </c>
    </row>
    <row r="15699">
      <c r="A15699">
        <v>15698</v>
      </c>
      <c r="B15699" t="str">
        <v>UBND Ủy ban nhân dân xã Hòa Châu  thành phố Đà Nẵng</v>
      </c>
      <c r="C15699" t="str">
        <v>-</v>
      </c>
      <c r="D15699" t="str">
        <v>-</v>
      </c>
      <c r="E15699" t="str">
        <v>-</v>
      </c>
      <c r="F15699" t="str">
        <v>-</v>
      </c>
      <c r="G15699" t="str">
        <v>-</v>
      </c>
    </row>
    <row r="15700">
      <c r="A15700">
        <v>15699</v>
      </c>
      <c r="B15700" t="str">
        <v>Công an xã Hòa Tiến  thành phố Đà Nẵng</v>
      </c>
      <c r="C15700" t="str">
        <v>-</v>
      </c>
      <c r="D15700" t="str">
        <v>-</v>
      </c>
      <c r="E15700" t="str">
        <v/>
      </c>
      <c r="F15700" t="str">
        <v>-</v>
      </c>
      <c r="G15700" t="str">
        <v>-</v>
      </c>
    </row>
    <row r="15701">
      <c r="A15701">
        <v>15700</v>
      </c>
      <c r="B15701" t="str">
        <v>UBND Ủy ban nhân dân xã Hòa Tiến  thành phố Đà Nẵng</v>
      </c>
      <c r="C15701" t="str">
        <v>-</v>
      </c>
      <c r="D15701" t="str">
        <v>-</v>
      </c>
      <c r="E15701" t="str">
        <v>-</v>
      </c>
      <c r="F15701" t="str">
        <v>-</v>
      </c>
      <c r="G15701" t="str">
        <v>-</v>
      </c>
    </row>
    <row r="15702">
      <c r="A15702">
        <v>15701</v>
      </c>
      <c r="B15702" t="str">
        <v>Công an xã Hòa Phước  thành phố Đà Nẵng</v>
      </c>
      <c r="C15702" t="str">
        <v>-</v>
      </c>
      <c r="D15702" t="str">
        <v>-</v>
      </c>
      <c r="E15702" t="str">
        <v/>
      </c>
      <c r="F15702" t="str">
        <v>-</v>
      </c>
      <c r="G15702" t="str">
        <v>-</v>
      </c>
    </row>
    <row r="15703">
      <c r="A15703">
        <v>15702</v>
      </c>
      <c r="B15703" t="str">
        <v>UBND Ủy ban nhân dân xã Hòa Phước  thành phố Đà Nẵng</v>
      </c>
      <c r="C15703" t="str">
        <v>-</v>
      </c>
      <c r="D15703" t="str">
        <v>-</v>
      </c>
      <c r="E15703" t="str">
        <v>-</v>
      </c>
      <c r="F15703" t="str">
        <v>-</v>
      </c>
      <c r="G15703" t="str">
        <v>-</v>
      </c>
    </row>
    <row r="15704">
      <c r="A15704">
        <v>15703</v>
      </c>
      <c r="B15704" t="str">
        <v>Công an xã Hòa Khương  thành phố Đà Nẵng</v>
      </c>
      <c r="C15704" t="str">
        <v>-</v>
      </c>
      <c r="D15704" t="str">
        <v>-</v>
      </c>
      <c r="E15704" t="str">
        <v/>
      </c>
      <c r="F15704" t="str">
        <v>-</v>
      </c>
      <c r="G15704" t="str">
        <v>-</v>
      </c>
    </row>
    <row r="15705">
      <c r="A15705">
        <v>15704</v>
      </c>
      <c r="B15705" t="str">
        <v>UBND Ủy ban nhân dân xã Hòa Khương  thành phố Đà Nẵng</v>
      </c>
      <c r="C15705" t="str">
        <v>-</v>
      </c>
      <c r="D15705" t="str">
        <v>-</v>
      </c>
      <c r="E15705" t="str">
        <v>-</v>
      </c>
      <c r="F15705" t="str">
        <v>-</v>
      </c>
      <c r="G15705" t="str">
        <v>-</v>
      </c>
    </row>
    <row r="15706">
      <c r="A15706">
        <v>15705</v>
      </c>
      <c r="B15706" t="str">
        <v>Công an phường Tân Thạnh  tỉnh Quảng Nam</v>
      </c>
      <c r="C15706" t="str">
        <v>-</v>
      </c>
      <c r="D15706" t="str">
        <v>-</v>
      </c>
      <c r="E15706" t="str">
        <v/>
      </c>
      <c r="F15706" t="str">
        <v>-</v>
      </c>
      <c r="G15706" t="str">
        <v>-</v>
      </c>
    </row>
    <row r="15707">
      <c r="A15707">
        <v>15706</v>
      </c>
      <c r="B15707" t="str">
        <v>UBND Ủy ban nhân dân phường Tân Thạnh  tỉnh Quảng Nam</v>
      </c>
      <c r="C15707" t="str">
        <v>-</v>
      </c>
      <c r="D15707" t="str">
        <v>-</v>
      </c>
      <c r="E15707" t="str">
        <v>-</v>
      </c>
      <c r="F15707" t="str">
        <v>-</v>
      </c>
      <c r="G15707" t="str">
        <v>-</v>
      </c>
    </row>
    <row r="15708">
      <c r="A15708">
        <v>15707</v>
      </c>
      <c r="B15708" t="str">
        <v>Công an phường Phước Hòa  tỉnh Quảng Nam</v>
      </c>
      <c r="C15708" t="str">
        <v>-</v>
      </c>
      <c r="D15708" t="str">
        <v>-</v>
      </c>
      <c r="E15708" t="str">
        <v/>
      </c>
      <c r="F15708" t="str">
        <v>-</v>
      </c>
      <c r="G15708" t="str">
        <v>-</v>
      </c>
    </row>
    <row r="15709">
      <c r="A15709">
        <v>15708</v>
      </c>
      <c r="B15709" t="str">
        <v>UBND Ủy ban nhân dân phường Phước Hòa  tỉnh Quảng Nam</v>
      </c>
      <c r="C15709" t="str">
        <v>-</v>
      </c>
      <c r="D15709" t="str">
        <v>-</v>
      </c>
      <c r="E15709" t="str">
        <v>-</v>
      </c>
      <c r="F15709" t="str">
        <v>-</v>
      </c>
      <c r="G15709" t="str">
        <v>-</v>
      </c>
    </row>
    <row r="15710">
      <c r="A15710">
        <v>15709</v>
      </c>
      <c r="B15710" t="str">
        <v>Công an phường An Mỹ  tỉnh Quảng Nam</v>
      </c>
      <c r="C15710" t="str">
        <v>-</v>
      </c>
      <c r="D15710" t="str">
        <v>-</v>
      </c>
      <c r="E15710" t="str">
        <v/>
      </c>
      <c r="F15710" t="str">
        <v>-</v>
      </c>
      <c r="G15710" t="str">
        <v>-</v>
      </c>
    </row>
    <row r="15711">
      <c r="A15711">
        <v>15710</v>
      </c>
      <c r="B15711" t="str">
        <v>UBND Ủy ban nhân dân phường An Mỹ  tỉnh Quảng Nam</v>
      </c>
      <c r="C15711" t="str">
        <v>-</v>
      </c>
      <c r="D15711" t="str">
        <v>-</v>
      </c>
      <c r="E15711" t="str">
        <v>-</v>
      </c>
      <c r="F15711" t="str">
        <v>-</v>
      </c>
      <c r="G15711" t="str">
        <v>-</v>
      </c>
    </row>
    <row r="15712">
      <c r="A15712">
        <v>15711</v>
      </c>
      <c r="B15712" t="str">
        <v>Công an phường Hòa Hương  tỉnh Quảng Nam</v>
      </c>
      <c r="C15712" t="str">
        <v>-</v>
      </c>
      <c r="D15712" t="str">
        <v>-</v>
      </c>
      <c r="E15712" t="str">
        <v/>
      </c>
      <c r="F15712" t="str">
        <v>-</v>
      </c>
      <c r="G15712" t="str">
        <v>-</v>
      </c>
    </row>
    <row r="15713">
      <c r="A15713">
        <v>15712</v>
      </c>
      <c r="B15713" t="str">
        <v>UBND Ủy ban nhân dân phường Hòa Hương  tỉnh Quảng Nam</v>
      </c>
      <c r="C15713" t="str">
        <v>-</v>
      </c>
      <c r="D15713" t="str">
        <v>-</v>
      </c>
      <c r="E15713" t="str">
        <v>-</v>
      </c>
      <c r="F15713" t="str">
        <v>-</v>
      </c>
      <c r="G15713" t="str">
        <v>-</v>
      </c>
    </row>
    <row r="15714">
      <c r="A15714">
        <v>15713</v>
      </c>
      <c r="B15714" t="str">
        <v>Công an phường An Xuân  tỉnh Quảng Nam</v>
      </c>
      <c r="C15714" t="str">
        <v>-</v>
      </c>
      <c r="D15714" t="str">
        <v>-</v>
      </c>
      <c r="E15714" t="str">
        <v/>
      </c>
      <c r="F15714" t="str">
        <v>-</v>
      </c>
      <c r="G15714" t="str">
        <v>-</v>
      </c>
    </row>
    <row r="15715">
      <c r="A15715">
        <v>15714</v>
      </c>
      <c r="B15715" t="str">
        <v>UBND Ủy ban nhân dân phường An Xuân  tỉnh Quảng Nam</v>
      </c>
      <c r="C15715" t="str">
        <v>-</v>
      </c>
      <c r="D15715" t="str">
        <v>-</v>
      </c>
      <c r="E15715" t="str">
        <v>-</v>
      </c>
      <c r="F15715" t="str">
        <v>-</v>
      </c>
      <c r="G15715" t="str">
        <v>-</v>
      </c>
    </row>
    <row r="15716">
      <c r="A15716">
        <v>15715</v>
      </c>
      <c r="B15716" t="str">
        <v>Công an phường An Sơn  tỉnh Quảng Nam</v>
      </c>
      <c r="C15716" t="str">
        <v>-</v>
      </c>
      <c r="D15716" t="str">
        <v>-</v>
      </c>
      <c r="E15716" t="str">
        <v/>
      </c>
      <c r="F15716" t="str">
        <v>-</v>
      </c>
      <c r="G15716" t="str">
        <v>-</v>
      </c>
    </row>
    <row r="15717">
      <c r="A15717">
        <v>15716</v>
      </c>
      <c r="B15717" t="str">
        <v>UBND Ủy ban nhân dân phường An Sơn  tỉnh Quảng Nam</v>
      </c>
      <c r="C15717" t="str">
        <v>-</v>
      </c>
      <c r="D15717" t="str">
        <v>-</v>
      </c>
      <c r="E15717" t="str">
        <v>-</v>
      </c>
      <c r="F15717" t="str">
        <v>-</v>
      </c>
      <c r="G15717" t="str">
        <v>-</v>
      </c>
    </row>
    <row r="15718">
      <c r="A15718">
        <v>15717</v>
      </c>
      <c r="B15718" t="str">
        <v>Công an phường Trường Xuân  tỉnh Quảng Nam</v>
      </c>
      <c r="C15718" t="str">
        <v>-</v>
      </c>
      <c r="D15718" t="str">
        <v>-</v>
      </c>
      <c r="E15718" t="str">
        <v/>
      </c>
      <c r="F15718" t="str">
        <v>-</v>
      </c>
      <c r="G15718" t="str">
        <v>-</v>
      </c>
    </row>
    <row r="15719">
      <c r="A15719">
        <v>15718</v>
      </c>
      <c r="B15719" t="str">
        <v>UBND Ủy ban nhân dân phường Trường Xuân  tỉnh Quảng Nam</v>
      </c>
      <c r="C15719" t="str">
        <v>-</v>
      </c>
      <c r="D15719" t="str">
        <v>-</v>
      </c>
      <c r="E15719" t="str">
        <v>-</v>
      </c>
      <c r="F15719" t="str">
        <v>-</v>
      </c>
      <c r="G15719" t="str">
        <v>-</v>
      </c>
    </row>
    <row r="15720">
      <c r="A15720">
        <v>15719</v>
      </c>
      <c r="B15720" t="str">
        <v>Công an phường An Phú  tỉnh Quảng Nam</v>
      </c>
      <c r="C15720" t="str">
        <v>-</v>
      </c>
      <c r="D15720" t="str">
        <v>-</v>
      </c>
      <c r="E15720" t="str">
        <v/>
      </c>
      <c r="F15720" t="str">
        <v>-</v>
      </c>
      <c r="G15720" t="str">
        <v>-</v>
      </c>
    </row>
    <row r="15721">
      <c r="A15721">
        <v>15720</v>
      </c>
      <c r="B15721" t="str">
        <v>UBND Ủy ban nhân dân phường An Phú  tỉnh Quảng Nam</v>
      </c>
      <c r="C15721" t="str">
        <v>-</v>
      </c>
      <c r="D15721" t="str">
        <v>-</v>
      </c>
      <c r="E15721" t="str">
        <v>-</v>
      </c>
      <c r="F15721" t="str">
        <v>-</v>
      </c>
      <c r="G15721" t="str">
        <v>-</v>
      </c>
    </row>
    <row r="15722">
      <c r="A15722">
        <v>15721</v>
      </c>
      <c r="B15722" t="str">
        <v>Công an xã Tam Thanh  tỉnh Quảng Nam</v>
      </c>
      <c r="C15722" t="str">
        <v>-</v>
      </c>
      <c r="D15722" t="str">
        <v>-</v>
      </c>
      <c r="E15722" t="str">
        <v/>
      </c>
      <c r="F15722" t="str">
        <v>-</v>
      </c>
      <c r="G15722" t="str">
        <v>-</v>
      </c>
    </row>
    <row r="15723">
      <c r="A15723">
        <v>15722</v>
      </c>
      <c r="B15723" t="str">
        <v>UBND Ủy ban nhân dân xã Tam Thanh  tỉnh Quảng Nam</v>
      </c>
      <c r="C15723" t="str">
        <v>-</v>
      </c>
      <c r="D15723" t="str">
        <v>-</v>
      </c>
      <c r="E15723" t="str">
        <v>-</v>
      </c>
      <c r="F15723" t="str">
        <v>-</v>
      </c>
      <c r="G15723" t="str">
        <v>-</v>
      </c>
    </row>
    <row r="15724">
      <c r="A15724">
        <v>15723</v>
      </c>
      <c r="B15724" t="str">
        <v>Công an xã Tam Thăng  tỉnh Quảng Nam</v>
      </c>
      <c r="C15724" t="str">
        <v>-</v>
      </c>
      <c r="D15724" t="str">
        <v>-</v>
      </c>
      <c r="E15724" t="str">
        <v/>
      </c>
      <c r="F15724" t="str">
        <v>-</v>
      </c>
      <c r="G15724" t="str">
        <v>-</v>
      </c>
    </row>
    <row r="15725">
      <c r="A15725">
        <v>15724</v>
      </c>
      <c r="B15725" t="str">
        <v>UBND Ủy ban nhân dân xã Tam Thăng  tỉnh Quảng Nam</v>
      </c>
      <c r="C15725" t="str">
        <v>-</v>
      </c>
      <c r="D15725" t="str">
        <v>-</v>
      </c>
      <c r="E15725" t="str">
        <v>-</v>
      </c>
      <c r="F15725" t="str">
        <v>-</v>
      </c>
      <c r="G15725" t="str">
        <v>-</v>
      </c>
    </row>
    <row r="15726">
      <c r="A15726">
        <v>15725</v>
      </c>
      <c r="B15726" t="str">
        <v>Công an xã Tam Phú  tỉnh Quảng Nam</v>
      </c>
      <c r="C15726" t="str">
        <v>-</v>
      </c>
      <c r="D15726" t="str">
        <v>-</v>
      </c>
      <c r="E15726" t="str">
        <v/>
      </c>
      <c r="F15726" t="str">
        <v>-</v>
      </c>
      <c r="G15726" t="str">
        <v>-</v>
      </c>
    </row>
    <row r="15727">
      <c r="A15727">
        <v>15726</v>
      </c>
      <c r="B15727" t="str">
        <v>UBND Ủy ban nhân dân xã Tam Phú  tỉnh Quảng Nam</v>
      </c>
      <c r="C15727" t="str">
        <v>-</v>
      </c>
      <c r="D15727" t="str">
        <v>-</v>
      </c>
      <c r="E15727" t="str">
        <v>-</v>
      </c>
      <c r="F15727" t="str">
        <v>-</v>
      </c>
      <c r="G15727" t="str">
        <v>-</v>
      </c>
    </row>
    <row r="15728">
      <c r="A15728">
        <v>15727</v>
      </c>
      <c r="B15728" t="str">
        <v>Công an phường Hoà Thuận  tỉnh Quảng Nam</v>
      </c>
      <c r="C15728" t="str">
        <v>-</v>
      </c>
      <c r="D15728" t="str">
        <v>-</v>
      </c>
      <c r="E15728" t="str">
        <v/>
      </c>
      <c r="F15728" t="str">
        <v>-</v>
      </c>
      <c r="G15728" t="str">
        <v>-</v>
      </c>
    </row>
    <row r="15729">
      <c r="A15729">
        <v>15728</v>
      </c>
      <c r="B15729" t="str">
        <v>UBND Ủy ban nhân dân phường Hoà Thuận  tỉnh Quảng Nam</v>
      </c>
      <c r="C15729" t="str">
        <v>-</v>
      </c>
      <c r="D15729" t="str">
        <v>-</v>
      </c>
      <c r="E15729" t="str">
        <v>-</v>
      </c>
      <c r="F15729" t="str">
        <v>-</v>
      </c>
      <c r="G15729" t="str">
        <v>-</v>
      </c>
    </row>
    <row r="15730">
      <c r="A15730">
        <v>15729</v>
      </c>
      <c r="B15730" t="str">
        <v>Công an xã Tam Ngọc  tỉnh Quảng Nam</v>
      </c>
      <c r="C15730" t="str">
        <v>-</v>
      </c>
      <c r="D15730" t="str">
        <v>-</v>
      </c>
      <c r="E15730" t="str">
        <v/>
      </c>
      <c r="F15730" t="str">
        <v>-</v>
      </c>
      <c r="G15730" t="str">
        <v>-</v>
      </c>
    </row>
    <row r="15731">
      <c r="A15731">
        <v>15730</v>
      </c>
      <c r="B15731" t="str">
        <v>UBND Ủy ban nhân dân xã Tam Ngọc  tỉnh Quảng Nam</v>
      </c>
      <c r="C15731" t="str">
        <v>-</v>
      </c>
      <c r="D15731" t="str">
        <v>-</v>
      </c>
      <c r="E15731" t="str">
        <v>-</v>
      </c>
      <c r="F15731" t="str">
        <v>-</v>
      </c>
      <c r="G15731" t="str">
        <v>-</v>
      </c>
    </row>
    <row r="15732">
      <c r="A15732">
        <v>15731</v>
      </c>
      <c r="B15732" t="str">
        <v>Công an phường Minh An  tỉnh Quảng Nam</v>
      </c>
      <c r="C15732" t="str">
        <v>-</v>
      </c>
      <c r="D15732" t="str">
        <v>-</v>
      </c>
      <c r="E15732" t="str">
        <v/>
      </c>
      <c r="F15732" t="str">
        <v>-</v>
      </c>
      <c r="G15732" t="str">
        <v>-</v>
      </c>
    </row>
    <row r="15733">
      <c r="A15733">
        <v>15732</v>
      </c>
      <c r="B15733" t="str">
        <v>UBND Ủy ban nhân dân phường Minh An  tỉnh Quảng Nam</v>
      </c>
      <c r="C15733" t="str">
        <v>-</v>
      </c>
      <c r="D15733" t="str">
        <v>-</v>
      </c>
      <c r="E15733" t="str">
        <v>-</v>
      </c>
      <c r="F15733" t="str">
        <v>-</v>
      </c>
      <c r="G15733" t="str">
        <v>-</v>
      </c>
    </row>
    <row r="15734">
      <c r="A15734">
        <v>15733</v>
      </c>
      <c r="B15734" t="str">
        <v>Công an phường Tân An  tỉnh Quảng Nam</v>
      </c>
      <c r="C15734" t="str">
        <v>-</v>
      </c>
      <c r="D15734" t="str">
        <v>-</v>
      </c>
      <c r="E15734" t="str">
        <v/>
      </c>
      <c r="F15734" t="str">
        <v>-</v>
      </c>
      <c r="G15734" t="str">
        <v>-</v>
      </c>
    </row>
    <row r="15735">
      <c r="A15735">
        <v>15734</v>
      </c>
      <c r="B15735" t="str">
        <v>UBND Ủy ban nhân dân phường Tân An  tỉnh Quảng Nam</v>
      </c>
      <c r="C15735" t="str">
        <v>-</v>
      </c>
      <c r="D15735" t="str">
        <v>-</v>
      </c>
      <c r="E15735" t="str">
        <v>-</v>
      </c>
      <c r="F15735" t="str">
        <v>-</v>
      </c>
      <c r="G15735" t="str">
        <v>-</v>
      </c>
    </row>
    <row r="15736">
      <c r="A15736">
        <v>15735</v>
      </c>
      <c r="B15736" t="str">
        <v>Công an phường Cẩm Phô  tỉnh Quảng Nam</v>
      </c>
      <c r="C15736" t="str">
        <v>-</v>
      </c>
      <c r="D15736" t="str">
        <v>-</v>
      </c>
      <c r="E15736" t="str">
        <v/>
      </c>
      <c r="F15736" t="str">
        <v>-</v>
      </c>
      <c r="G15736" t="str">
        <v>-</v>
      </c>
    </row>
    <row r="15737">
      <c r="A15737">
        <v>15736</v>
      </c>
      <c r="B15737" t="str">
        <v>UBND Ủy ban nhân dân phường Cẩm Phô  tỉnh Quảng Nam</v>
      </c>
      <c r="C15737" t="str">
        <v>-</v>
      </c>
      <c r="D15737" t="str">
        <v>-</v>
      </c>
      <c r="E15737" t="str">
        <v>-</v>
      </c>
      <c r="F15737" t="str">
        <v>-</v>
      </c>
      <c r="G15737" t="str">
        <v>-</v>
      </c>
    </row>
    <row r="15738">
      <c r="A15738">
        <v>15737</v>
      </c>
      <c r="B15738" t="str">
        <v>Công an phường Thanh Hà  tỉnh Quảng Nam</v>
      </c>
      <c r="C15738" t="str">
        <v>-</v>
      </c>
      <c r="D15738" t="str">
        <v>-</v>
      </c>
      <c r="E15738" t="str">
        <v/>
      </c>
      <c r="F15738" t="str">
        <v>-</v>
      </c>
      <c r="G15738" t="str">
        <v>-</v>
      </c>
    </row>
    <row r="15739">
      <c r="A15739">
        <v>15738</v>
      </c>
      <c r="B15739" t="str">
        <v>UBND Ủy ban nhân dân phường Thanh Hà  tỉnh Quảng Nam</v>
      </c>
      <c r="C15739" t="str">
        <v>-</v>
      </c>
      <c r="D15739" t="str">
        <v>-</v>
      </c>
      <c r="E15739" t="str">
        <v>-</v>
      </c>
      <c r="F15739" t="str">
        <v>-</v>
      </c>
      <c r="G15739" t="str">
        <v>-</v>
      </c>
    </row>
    <row r="15740">
      <c r="A15740">
        <v>15739</v>
      </c>
      <c r="B15740" t="str">
        <v>Công an phường Sơn Phong  tỉnh Quảng Nam</v>
      </c>
      <c r="C15740" t="str">
        <v>-</v>
      </c>
      <c r="D15740" t="str">
        <v>-</v>
      </c>
      <c r="E15740" t="str">
        <v/>
      </c>
      <c r="F15740" t="str">
        <v>-</v>
      </c>
      <c r="G15740" t="str">
        <v>-</v>
      </c>
    </row>
    <row r="15741">
      <c r="A15741">
        <v>15740</v>
      </c>
      <c r="B15741" t="str">
        <v>UBND Ủy ban nhân dân phường Sơn Phong  tỉnh Quảng Nam</v>
      </c>
      <c r="C15741" t="str">
        <v>-</v>
      </c>
      <c r="D15741" t="str">
        <v>-</v>
      </c>
      <c r="E15741" t="str">
        <v>-</v>
      </c>
      <c r="F15741" t="str">
        <v>-</v>
      </c>
      <c r="G15741" t="str">
        <v>-</v>
      </c>
    </row>
    <row r="15742">
      <c r="A15742">
        <v>15741</v>
      </c>
      <c r="B15742" t="str">
        <v>Công an phường Cẩm Châu  tỉnh Quảng Nam</v>
      </c>
      <c r="C15742" t="str">
        <v>-</v>
      </c>
      <c r="D15742" t="str">
        <v>-</v>
      </c>
      <c r="E15742" t="str">
        <v/>
      </c>
      <c r="F15742" t="str">
        <v>-</v>
      </c>
      <c r="G15742" t="str">
        <v>-</v>
      </c>
    </row>
    <row r="15743">
      <c r="A15743">
        <v>15742</v>
      </c>
      <c r="B15743" t="str">
        <v>UBND Ủy ban nhân dân phường Cẩm Châu  tỉnh Quảng Nam</v>
      </c>
      <c r="C15743" t="str">
        <v>-</v>
      </c>
      <c r="D15743" t="str">
        <v>-</v>
      </c>
      <c r="E15743" t="str">
        <v>-</v>
      </c>
      <c r="F15743" t="str">
        <v>-</v>
      </c>
      <c r="G15743" t="str">
        <v>-</v>
      </c>
    </row>
    <row r="15744">
      <c r="A15744">
        <v>15743</v>
      </c>
      <c r="B15744" t="str">
        <v>Công an phường Cửa Đại  tỉnh Quảng Nam</v>
      </c>
      <c r="C15744" t="str">
        <v>-</v>
      </c>
      <c r="D15744" t="str">
        <v>-</v>
      </c>
      <c r="E15744" t="str">
        <v/>
      </c>
      <c r="F15744" t="str">
        <v>-</v>
      </c>
      <c r="G15744" t="str">
        <v>-</v>
      </c>
    </row>
    <row r="15745">
      <c r="A15745">
        <v>15744</v>
      </c>
      <c r="B15745" t="str">
        <v>UBND Ủy ban nhân dân phường Cửa Đại  tỉnh Quảng Nam</v>
      </c>
      <c r="C15745" t="str">
        <v>-</v>
      </c>
      <c r="D15745" t="str">
        <v>-</v>
      </c>
      <c r="E15745" t="str">
        <v>-</v>
      </c>
      <c r="F15745" t="str">
        <v>-</v>
      </c>
      <c r="G15745" t="str">
        <v>-</v>
      </c>
    </row>
    <row r="15746">
      <c r="A15746">
        <v>15745</v>
      </c>
      <c r="B15746" t="str">
        <v>Công an phường Cẩm An  tỉnh Quảng Nam</v>
      </c>
      <c r="C15746" t="str">
        <v>-</v>
      </c>
      <c r="D15746" t="str">
        <v>-</v>
      </c>
      <c r="E15746" t="str">
        <v/>
      </c>
      <c r="F15746" t="str">
        <v>-</v>
      </c>
      <c r="G15746" t="str">
        <v>-</v>
      </c>
    </row>
    <row r="15747">
      <c r="A15747">
        <v>15746</v>
      </c>
      <c r="B15747" t="str">
        <v>UBND Ủy ban nhân dân phường Cẩm An  tỉnh Quảng Nam</v>
      </c>
      <c r="C15747" t="str">
        <v>-</v>
      </c>
      <c r="D15747" t="str">
        <v>-</v>
      </c>
      <c r="E15747" t="str">
        <v>-</v>
      </c>
      <c r="F15747" t="str">
        <v>-</v>
      </c>
      <c r="G15747" t="str">
        <v>-</v>
      </c>
    </row>
    <row r="15748">
      <c r="A15748">
        <v>15747</v>
      </c>
      <c r="B15748" t="str">
        <v>Công an xã Cẩm Hà  tỉnh Quảng Nam</v>
      </c>
      <c r="C15748" t="str">
        <v>-</v>
      </c>
      <c r="D15748" t="str">
        <v>-</v>
      </c>
      <c r="E15748" t="str">
        <v/>
      </c>
      <c r="F15748" t="str">
        <v>-</v>
      </c>
      <c r="G15748" t="str">
        <v>-</v>
      </c>
    </row>
    <row r="15749">
      <c r="A15749">
        <v>15748</v>
      </c>
      <c r="B15749" t="str">
        <v>UBND Ủy ban nhân dân xã Cẩm Hà  tỉnh Quảng Nam</v>
      </c>
      <c r="C15749" t="str">
        <v>-</v>
      </c>
      <c r="D15749" t="str">
        <v>-</v>
      </c>
      <c r="E15749" t="str">
        <v>-</v>
      </c>
      <c r="F15749" t="str">
        <v>-</v>
      </c>
      <c r="G15749" t="str">
        <v>-</v>
      </c>
    </row>
    <row r="15750">
      <c r="A15750">
        <v>15749</v>
      </c>
      <c r="B15750" t="str">
        <v>Công an xã Cẩm Kim  tỉnh Quảng Nam</v>
      </c>
      <c r="C15750" t="str">
        <v>-</v>
      </c>
      <c r="D15750" t="str">
        <v>-</v>
      </c>
      <c r="E15750" t="str">
        <v/>
      </c>
      <c r="F15750" t="str">
        <v>-</v>
      </c>
      <c r="G15750" t="str">
        <v>-</v>
      </c>
    </row>
    <row r="15751">
      <c r="A15751">
        <v>15750</v>
      </c>
      <c r="B15751" t="str">
        <v>UBND Ủy ban nhân dân xã Cẩm Kim  tỉnh Quảng Nam</v>
      </c>
      <c r="C15751" t="str">
        <v>-</v>
      </c>
      <c r="D15751" t="str">
        <v>-</v>
      </c>
      <c r="E15751" t="str">
        <v>-</v>
      </c>
      <c r="F15751" t="str">
        <v>-</v>
      </c>
      <c r="G15751" t="str">
        <v>-</v>
      </c>
    </row>
    <row r="15752">
      <c r="A15752">
        <v>15751</v>
      </c>
      <c r="B15752" t="str">
        <v>Công an phường Cẩm Nam  tỉnh Quảng Nam</v>
      </c>
      <c r="C15752" t="str">
        <v>-</v>
      </c>
      <c r="D15752" t="str">
        <v>-</v>
      </c>
      <c r="E15752" t="str">
        <v/>
      </c>
      <c r="F15752" t="str">
        <v>-</v>
      </c>
      <c r="G15752" t="str">
        <v>-</v>
      </c>
    </row>
    <row r="15753">
      <c r="A15753">
        <v>15752</v>
      </c>
      <c r="B15753" t="str">
        <v>UBND Ủy ban nhân dân phường Cẩm Nam  tỉnh Quảng Nam</v>
      </c>
      <c r="C15753" t="str">
        <v>-</v>
      </c>
      <c r="D15753" t="str">
        <v>-</v>
      </c>
      <c r="E15753" t="str">
        <v>-</v>
      </c>
      <c r="F15753" t="str">
        <v>-</v>
      </c>
      <c r="G15753" t="str">
        <v>-</v>
      </c>
    </row>
    <row r="15754">
      <c r="A15754">
        <v>15753</v>
      </c>
      <c r="B15754" t="str">
        <v>Công an xã Cẩm Thanh  tỉnh Quảng Nam</v>
      </c>
      <c r="C15754" t="str">
        <v>-</v>
      </c>
      <c r="D15754" t="str">
        <v>-</v>
      </c>
      <c r="E15754" t="str">
        <v/>
      </c>
      <c r="F15754" t="str">
        <v>-</v>
      </c>
      <c r="G15754" t="str">
        <v>-</v>
      </c>
    </row>
    <row r="15755">
      <c r="A15755">
        <v>15754</v>
      </c>
      <c r="B15755" t="str">
        <v>UBND Ủy ban nhân dân xã Cẩm Thanh  tỉnh Quảng Nam</v>
      </c>
      <c r="C15755" t="str">
        <v>-</v>
      </c>
      <c r="D15755" t="str">
        <v>-</v>
      </c>
      <c r="E15755" t="str">
        <v>-</v>
      </c>
      <c r="F15755" t="str">
        <v>-</v>
      </c>
      <c r="G15755" t="str">
        <v>-</v>
      </c>
    </row>
    <row r="15756">
      <c r="A15756">
        <v>15755</v>
      </c>
      <c r="B15756" t="str">
        <v>Công an xã Tân Hiệp  tỉnh Quảng Nam</v>
      </c>
      <c r="C15756" t="str">
        <v>-</v>
      </c>
      <c r="D15756" t="str">
        <v>-</v>
      </c>
      <c r="E15756" t="str">
        <v/>
      </c>
      <c r="F15756" t="str">
        <v>-</v>
      </c>
      <c r="G15756" t="str">
        <v>-</v>
      </c>
    </row>
    <row r="15757">
      <c r="A15757">
        <v>15756</v>
      </c>
      <c r="B15757" t="str">
        <v>UBND Ủy ban nhân dân xã Tân Hiệp  tỉnh Quảng Nam</v>
      </c>
      <c r="C15757" t="str">
        <v>-</v>
      </c>
      <c r="D15757" t="str">
        <v>-</v>
      </c>
      <c r="E15757" t="str">
        <v>-</v>
      </c>
      <c r="F15757" t="str">
        <v>-</v>
      </c>
      <c r="G15757" t="str">
        <v>-</v>
      </c>
    </row>
    <row r="15758">
      <c r="A15758">
        <v>15757</v>
      </c>
      <c r="B15758" t="str">
        <v>Công an xã Ch'ơm  tỉnh Quảng Nam</v>
      </c>
      <c r="C15758" t="str">
        <v>-</v>
      </c>
      <c r="D15758" t="str">
        <v>-</v>
      </c>
      <c r="E15758" t="str">
        <v/>
      </c>
      <c r="F15758" t="str">
        <v>-</v>
      </c>
      <c r="G15758" t="str">
        <v>-</v>
      </c>
    </row>
    <row r="15759">
      <c r="A15759">
        <v>15758</v>
      </c>
      <c r="B15759" t="str">
        <v>UBND Ủy ban nhân dân xã Ch'ơm  tỉnh Quảng Nam</v>
      </c>
      <c r="C15759" t="str">
        <v>-</v>
      </c>
      <c r="D15759" t="str">
        <v>-</v>
      </c>
      <c r="E15759" t="str">
        <v>-</v>
      </c>
      <c r="F15759" t="str">
        <v>-</v>
      </c>
      <c r="G15759" t="str">
        <v>-</v>
      </c>
    </row>
    <row r="15760">
      <c r="A15760">
        <v>15759</v>
      </c>
      <c r="B15760" t="str">
        <v>Công an xã Ga Ri  tỉnh Quảng Nam</v>
      </c>
      <c r="C15760" t="str">
        <v>-</v>
      </c>
      <c r="D15760" t="str">
        <v>-</v>
      </c>
      <c r="E15760" t="str">
        <v/>
      </c>
      <c r="F15760" t="str">
        <v>-</v>
      </c>
      <c r="G15760" t="str">
        <v>-</v>
      </c>
    </row>
    <row r="15761">
      <c r="A15761">
        <v>15760</v>
      </c>
      <c r="B15761" t="str">
        <v>UBND Ủy ban nhân dân xã Ga Ri  tỉnh Quảng Nam</v>
      </c>
      <c r="C15761" t="str">
        <v>-</v>
      </c>
      <c r="D15761" t="str">
        <v>-</v>
      </c>
      <c r="E15761" t="str">
        <v>-</v>
      </c>
      <c r="F15761" t="str">
        <v>-</v>
      </c>
      <c r="G15761" t="str">
        <v>-</v>
      </c>
    </row>
    <row r="15762">
      <c r="A15762">
        <v>15761</v>
      </c>
      <c r="B15762" t="str">
        <v>Công an xã A Xan  tỉnh Quảng Nam</v>
      </c>
      <c r="C15762" t="str">
        <v>-</v>
      </c>
      <c r="D15762" t="str">
        <v>-</v>
      </c>
      <c r="E15762" t="str">
        <v/>
      </c>
      <c r="F15762" t="str">
        <v>-</v>
      </c>
      <c r="G15762" t="str">
        <v>-</v>
      </c>
    </row>
    <row r="15763">
      <c r="A15763">
        <v>15762</v>
      </c>
      <c r="B15763" t="str">
        <v>UBND Ủy ban nhân dân xã A Xan  tỉnh Quảng Nam</v>
      </c>
      <c r="C15763" t="str">
        <v>-</v>
      </c>
      <c r="D15763" t="str">
        <v>-</v>
      </c>
      <c r="E15763" t="str">
        <v>-</v>
      </c>
      <c r="F15763" t="str">
        <v>-</v>
      </c>
      <c r="G15763" t="str">
        <v>-</v>
      </c>
    </row>
    <row r="15764">
      <c r="A15764">
        <v>15763</v>
      </c>
      <c r="B15764" t="str">
        <v>Công an xã Tr'Hy  tỉnh Quảng Nam</v>
      </c>
      <c r="C15764" t="str">
        <v>-</v>
      </c>
      <c r="D15764" t="str">
        <v>-</v>
      </c>
      <c r="E15764" t="str">
        <v/>
      </c>
      <c r="F15764" t="str">
        <v>-</v>
      </c>
      <c r="G15764" t="str">
        <v>-</v>
      </c>
    </row>
    <row r="15765">
      <c r="A15765">
        <v>15764</v>
      </c>
      <c r="B15765" t="str">
        <v>UBND Ủy ban nhân dân xã Tr'Hy  tỉnh Quảng Nam</v>
      </c>
      <c r="C15765" t="str">
        <v>-</v>
      </c>
      <c r="D15765" t="str">
        <v>-</v>
      </c>
      <c r="E15765" t="str">
        <v>-</v>
      </c>
      <c r="F15765" t="str">
        <v>-</v>
      </c>
      <c r="G15765" t="str">
        <v>-</v>
      </c>
    </row>
    <row r="15766">
      <c r="A15766">
        <v>15765</v>
      </c>
      <c r="B15766" t="str">
        <v>Công an xã Lăng  tỉnh Quảng Nam</v>
      </c>
      <c r="C15766" t="str">
        <v>-</v>
      </c>
      <c r="D15766" t="str">
        <v>-</v>
      </c>
      <c r="E15766" t="str">
        <v/>
      </c>
      <c r="F15766" t="str">
        <v>-</v>
      </c>
      <c r="G15766" t="str">
        <v>-</v>
      </c>
    </row>
    <row r="15767">
      <c r="A15767">
        <v>15766</v>
      </c>
      <c r="B15767" t="str">
        <v>UBND Ủy ban nhân dân xã Lăng  tỉnh Quảng Nam</v>
      </c>
      <c r="C15767" t="str">
        <v>-</v>
      </c>
      <c r="D15767" t="str">
        <v>-</v>
      </c>
      <c r="E15767" t="str">
        <v>-</v>
      </c>
      <c r="F15767" t="str">
        <v>-</v>
      </c>
      <c r="G15767" t="str">
        <v>-</v>
      </c>
    </row>
    <row r="15768">
      <c r="A15768">
        <v>15767</v>
      </c>
      <c r="B15768" t="str">
        <v>Công an xã A Nông  tỉnh Quảng Nam</v>
      </c>
      <c r="C15768" t="str">
        <v>-</v>
      </c>
      <c r="D15768" t="str">
        <v>-</v>
      </c>
      <c r="E15768" t="str">
        <v/>
      </c>
      <c r="F15768" t="str">
        <v>-</v>
      </c>
      <c r="G15768" t="str">
        <v>-</v>
      </c>
    </row>
    <row r="15769">
      <c r="A15769">
        <v>15768</v>
      </c>
      <c r="B15769" t="str">
        <v>UBND Ủy ban nhân dân xã A Nông  tỉnh Quảng Nam</v>
      </c>
      <c r="C15769" t="str">
        <v>-</v>
      </c>
      <c r="D15769" t="str">
        <v>-</v>
      </c>
      <c r="E15769" t="str">
        <v>-</v>
      </c>
      <c r="F15769" t="str">
        <v>-</v>
      </c>
      <c r="G15769" t="str">
        <v>-</v>
      </c>
    </row>
    <row r="15770">
      <c r="A15770">
        <v>15769</v>
      </c>
      <c r="B15770" t="str">
        <v>Công an xã A Tiêng  tỉnh Quảng Nam</v>
      </c>
      <c r="C15770" t="str">
        <v>-</v>
      </c>
      <c r="D15770" t="str">
        <v>-</v>
      </c>
      <c r="E15770" t="str">
        <v/>
      </c>
      <c r="F15770" t="str">
        <v>-</v>
      </c>
      <c r="G15770" t="str">
        <v>-</v>
      </c>
    </row>
    <row r="15771">
      <c r="A15771">
        <v>15770</v>
      </c>
      <c r="B15771" t="str">
        <v>UBND Ủy ban nhân dân xã A Tiêng  tỉnh Quảng Nam</v>
      </c>
      <c r="C15771" t="str">
        <v>-</v>
      </c>
      <c r="D15771" t="str">
        <v>-</v>
      </c>
      <c r="E15771" t="str">
        <v>-</v>
      </c>
      <c r="F15771" t="str">
        <v>-</v>
      </c>
      <c r="G15771" t="str">
        <v>-</v>
      </c>
    </row>
    <row r="15772">
      <c r="A15772">
        <v>15771</v>
      </c>
      <c r="B15772" t="str">
        <v>Công an xã Bha Lê  tỉnh Quảng Nam</v>
      </c>
      <c r="C15772" t="str">
        <v>-</v>
      </c>
      <c r="D15772" t="str">
        <v>-</v>
      </c>
      <c r="E15772" t="str">
        <v/>
      </c>
      <c r="F15772" t="str">
        <v>-</v>
      </c>
      <c r="G15772" t="str">
        <v>-</v>
      </c>
    </row>
    <row r="15773">
      <c r="A15773">
        <v>15772</v>
      </c>
      <c r="B15773" t="str">
        <v>UBND Ủy ban nhân dân xã Bha Lê  tỉnh Quảng Nam</v>
      </c>
      <c r="C15773" t="str">
        <v>-</v>
      </c>
      <c r="D15773" t="str">
        <v>-</v>
      </c>
      <c r="E15773" t="str">
        <v>-</v>
      </c>
      <c r="F15773" t="str">
        <v>-</v>
      </c>
      <c r="G15773" t="str">
        <v>-</v>
      </c>
    </row>
    <row r="15774">
      <c r="A15774">
        <v>15773</v>
      </c>
      <c r="B15774" t="str">
        <v>Công an xã A Vương  tỉnh Quảng Nam</v>
      </c>
      <c r="C15774" t="str">
        <v>-</v>
      </c>
      <c r="D15774" t="str">
        <v>-</v>
      </c>
      <c r="E15774" t="str">
        <v/>
      </c>
      <c r="F15774" t="str">
        <v>-</v>
      </c>
      <c r="G15774" t="str">
        <v>-</v>
      </c>
    </row>
    <row r="15775">
      <c r="A15775">
        <v>15774</v>
      </c>
      <c r="B15775" t="str">
        <v>UBND Ủy ban nhân dân xã A Vương  tỉnh Quảng Nam</v>
      </c>
      <c r="C15775" t="str">
        <v>-</v>
      </c>
      <c r="D15775" t="str">
        <v>-</v>
      </c>
      <c r="E15775" t="str">
        <v>-</v>
      </c>
      <c r="F15775" t="str">
        <v>-</v>
      </c>
      <c r="G15775" t="str">
        <v>-</v>
      </c>
    </row>
    <row r="15776">
      <c r="A15776">
        <v>15775</v>
      </c>
      <c r="B15776" t="str">
        <v>Công an xã Dang  tỉnh Quảng Nam</v>
      </c>
      <c r="C15776" t="str">
        <v>-</v>
      </c>
      <c r="D15776" t="str">
        <v>-</v>
      </c>
      <c r="E15776" t="str">
        <v/>
      </c>
      <c r="F15776" t="str">
        <v>-</v>
      </c>
      <c r="G15776" t="str">
        <v>-</v>
      </c>
    </row>
    <row r="15777">
      <c r="A15777">
        <v>15776</v>
      </c>
      <c r="B15777" t="str">
        <v>UBND Ủy ban nhân dân xã Dang  tỉnh Quảng Nam</v>
      </c>
      <c r="C15777" t="str">
        <v>-</v>
      </c>
      <c r="D15777" t="str">
        <v>-</v>
      </c>
      <c r="E15777" t="str">
        <v>-</v>
      </c>
      <c r="F15777" t="str">
        <v>-</v>
      </c>
      <c r="G15777" t="str">
        <v>-</v>
      </c>
    </row>
    <row r="15778">
      <c r="A15778">
        <v>15777</v>
      </c>
      <c r="B15778" t="str">
        <v>Công an xã Tà Lu  tỉnh Quảng Nam</v>
      </c>
      <c r="C15778" t="str">
        <v>-</v>
      </c>
      <c r="D15778" t="str">
        <v>-</v>
      </c>
      <c r="E15778" t="str">
        <v/>
      </c>
      <c r="F15778" t="str">
        <v>-</v>
      </c>
      <c r="G15778" t="str">
        <v>-</v>
      </c>
    </row>
    <row r="15779">
      <c r="A15779">
        <v>15778</v>
      </c>
      <c r="B15779" t="str">
        <v>UBND Ủy ban nhân dân xã Tà Lu  tỉnh Quảng Nam</v>
      </c>
      <c r="C15779" t="str">
        <v>-</v>
      </c>
      <c r="D15779" t="str">
        <v>-</v>
      </c>
      <c r="E15779" t="str">
        <v>-</v>
      </c>
      <c r="F15779" t="str">
        <v>-</v>
      </c>
      <c r="G15779" t="str">
        <v>-</v>
      </c>
    </row>
    <row r="15780">
      <c r="A15780">
        <v>15779</v>
      </c>
      <c r="B15780" t="str">
        <v>Công an xã Sông Kôn  tỉnh Quảng Nam</v>
      </c>
      <c r="C15780" t="str">
        <v>-</v>
      </c>
      <c r="D15780" t="str">
        <v>-</v>
      </c>
      <c r="E15780" t="str">
        <v/>
      </c>
      <c r="F15780" t="str">
        <v>-</v>
      </c>
      <c r="G15780" t="str">
        <v>-</v>
      </c>
    </row>
    <row r="15781">
      <c r="A15781">
        <v>15780</v>
      </c>
      <c r="B15781" t="str">
        <v>UBND Ủy ban nhân dân xã Sông Kôn  tỉnh Quảng Nam</v>
      </c>
      <c r="C15781" t="str">
        <v>-</v>
      </c>
      <c r="D15781" t="str">
        <v>-</v>
      </c>
      <c r="E15781" t="str">
        <v>-</v>
      </c>
      <c r="F15781" t="str">
        <v>-</v>
      </c>
      <c r="G15781" t="str">
        <v>-</v>
      </c>
    </row>
    <row r="15782">
      <c r="A15782">
        <v>15781</v>
      </c>
      <c r="B15782" t="str">
        <v>Công an xã Jơ Ngây  tỉnh Quảng Nam</v>
      </c>
      <c r="C15782" t="str">
        <v>-</v>
      </c>
      <c r="D15782" t="str">
        <v>-</v>
      </c>
      <c r="E15782" t="str">
        <v/>
      </c>
      <c r="F15782" t="str">
        <v>-</v>
      </c>
      <c r="G15782" t="str">
        <v>-</v>
      </c>
    </row>
    <row r="15783">
      <c r="A15783">
        <v>15782</v>
      </c>
      <c r="B15783" t="str">
        <v>UBND Ủy ban nhân dân xã Jơ Ngây  tỉnh Quảng Nam</v>
      </c>
      <c r="C15783" t="str">
        <v>-</v>
      </c>
      <c r="D15783" t="str">
        <v>-</v>
      </c>
      <c r="E15783" t="str">
        <v>-</v>
      </c>
      <c r="F15783" t="str">
        <v>-</v>
      </c>
      <c r="G15783" t="str">
        <v>-</v>
      </c>
    </row>
    <row r="15784">
      <c r="A15784">
        <v>15783</v>
      </c>
      <c r="B15784" t="str">
        <v>Công an xã A Ting  tỉnh Quảng Nam</v>
      </c>
      <c r="C15784" t="str">
        <v>-</v>
      </c>
      <c r="D15784" t="str">
        <v>-</v>
      </c>
      <c r="E15784" t="str">
        <v/>
      </c>
      <c r="F15784" t="str">
        <v>-</v>
      </c>
      <c r="G15784" t="str">
        <v>-</v>
      </c>
    </row>
    <row r="15785">
      <c r="A15785">
        <v>15784</v>
      </c>
      <c r="B15785" t="str">
        <v>UBND Ủy ban nhân dân xã A Ting  tỉnh Quảng Nam</v>
      </c>
      <c r="C15785" t="str">
        <v>-</v>
      </c>
      <c r="D15785" t="str">
        <v>-</v>
      </c>
      <c r="E15785" t="str">
        <v>-</v>
      </c>
      <c r="F15785" t="str">
        <v>-</v>
      </c>
      <c r="G15785" t="str">
        <v>-</v>
      </c>
    </row>
    <row r="15786">
      <c r="A15786">
        <v>15785</v>
      </c>
      <c r="B15786" t="str">
        <v>Công an xã  Tư  tỉnh Quảng Nam</v>
      </c>
      <c r="C15786" t="str">
        <v>-</v>
      </c>
      <c r="D15786" t="str">
        <v>-</v>
      </c>
      <c r="E15786" t="str">
        <v/>
      </c>
      <c r="F15786" t="str">
        <v>-</v>
      </c>
      <c r="G15786" t="str">
        <v>-</v>
      </c>
    </row>
    <row r="15787">
      <c r="A15787">
        <v>15786</v>
      </c>
      <c r="B15787" t="str">
        <v>UBND Ủy ban nhân dân xã  Tư  tỉnh Quảng Nam</v>
      </c>
      <c r="C15787" t="str">
        <v>-</v>
      </c>
      <c r="D15787" t="str">
        <v>-</v>
      </c>
      <c r="E15787" t="str">
        <v>-</v>
      </c>
      <c r="F15787" t="str">
        <v>-</v>
      </c>
      <c r="G15787" t="str">
        <v>-</v>
      </c>
    </row>
    <row r="15788">
      <c r="A15788">
        <v>15787</v>
      </c>
      <c r="B15788" t="str">
        <v>Công an xã Ba  tỉnh Quảng Nam</v>
      </c>
      <c r="C15788" t="str">
        <v>-</v>
      </c>
      <c r="D15788" t="str">
        <v>-</v>
      </c>
      <c r="E15788" t="str">
        <v/>
      </c>
      <c r="F15788" t="str">
        <v>-</v>
      </c>
      <c r="G15788" t="str">
        <v>-</v>
      </c>
    </row>
    <row r="15789">
      <c r="A15789">
        <v>15788</v>
      </c>
      <c r="B15789" t="str">
        <v>UBND Ủy ban nhân dân xã Ba  tỉnh Quảng Nam</v>
      </c>
      <c r="C15789" t="str">
        <v>-</v>
      </c>
      <c r="D15789" t="str">
        <v>-</v>
      </c>
      <c r="E15789" t="str">
        <v>-</v>
      </c>
      <c r="F15789" t="str">
        <v>-</v>
      </c>
      <c r="G15789" t="str">
        <v>-</v>
      </c>
    </row>
    <row r="15790">
      <c r="A15790">
        <v>15789</v>
      </c>
      <c r="B15790" t="str">
        <v>Công an xã A Rooi  tỉnh Quảng Nam</v>
      </c>
      <c r="C15790" t="str">
        <v>-</v>
      </c>
      <c r="D15790" t="str">
        <v>-</v>
      </c>
      <c r="E15790" t="str">
        <v/>
      </c>
      <c r="F15790" t="str">
        <v>-</v>
      </c>
      <c r="G15790" t="str">
        <v>-</v>
      </c>
    </row>
    <row r="15791">
      <c r="A15791">
        <v>15790</v>
      </c>
      <c r="B15791" t="str">
        <v>UBND Ủy ban nhân dân xã A Rooi  tỉnh Quảng Nam</v>
      </c>
      <c r="C15791" t="str">
        <v>-</v>
      </c>
      <c r="D15791" t="str">
        <v>-</v>
      </c>
      <c r="E15791" t="str">
        <v>-</v>
      </c>
      <c r="F15791" t="str">
        <v>-</v>
      </c>
      <c r="G15791" t="str">
        <v>-</v>
      </c>
    </row>
    <row r="15792">
      <c r="A15792">
        <v>15791</v>
      </c>
      <c r="B15792" t="str">
        <v>Công an xã Za Hung  tỉnh Quảng Nam</v>
      </c>
      <c r="C15792" t="str">
        <v>-</v>
      </c>
      <c r="D15792" t="str">
        <v>-</v>
      </c>
      <c r="E15792" t="str">
        <v/>
      </c>
      <c r="F15792" t="str">
        <v>-</v>
      </c>
      <c r="G15792" t="str">
        <v>-</v>
      </c>
    </row>
    <row r="15793">
      <c r="A15793">
        <v>15792</v>
      </c>
      <c r="B15793" t="str">
        <v>UBND Ủy ban nhân dân xã Za Hung  tỉnh Quảng Nam</v>
      </c>
      <c r="C15793" t="str">
        <v>-</v>
      </c>
      <c r="D15793" t="str">
        <v>-</v>
      </c>
      <c r="E15793" t="str">
        <v>-</v>
      </c>
      <c r="F15793" t="str">
        <v>-</v>
      </c>
      <c r="G15793" t="str">
        <v>-</v>
      </c>
    </row>
    <row r="15794">
      <c r="A15794">
        <v>15793</v>
      </c>
      <c r="B15794" t="str">
        <v>Công an xã Mà Cooi  tỉnh Quảng Nam</v>
      </c>
      <c r="C15794" t="str">
        <v>-</v>
      </c>
      <c r="D15794" t="str">
        <v>-</v>
      </c>
      <c r="E15794" t="str">
        <v/>
      </c>
      <c r="F15794" t="str">
        <v>-</v>
      </c>
      <c r="G15794" t="str">
        <v>-</v>
      </c>
    </row>
    <row r="15795">
      <c r="A15795">
        <v>15794</v>
      </c>
      <c r="B15795" t="str">
        <v>UBND Ủy ban nhân dân xã Mà Cooi  tỉnh Quảng Nam</v>
      </c>
      <c r="C15795" t="str">
        <v>-</v>
      </c>
      <c r="D15795" t="str">
        <v>-</v>
      </c>
      <c r="E15795" t="str">
        <v>-</v>
      </c>
      <c r="F15795" t="str">
        <v>-</v>
      </c>
      <c r="G15795" t="str">
        <v>-</v>
      </c>
    </row>
    <row r="15796">
      <c r="A15796">
        <v>15795</v>
      </c>
      <c r="B15796" t="str">
        <v>Công an xã Ka Dăng  tỉnh Quảng Nam</v>
      </c>
      <c r="C15796" t="str">
        <v>-</v>
      </c>
      <c r="D15796" t="str">
        <v>-</v>
      </c>
      <c r="E15796" t="str">
        <v/>
      </c>
      <c r="F15796" t="str">
        <v>-</v>
      </c>
      <c r="G15796" t="str">
        <v>-</v>
      </c>
    </row>
    <row r="15797">
      <c r="A15797">
        <v>15796</v>
      </c>
      <c r="B15797" t="str">
        <v>UBND Ủy ban nhân dân xã Ka Dăng  tỉnh Quảng Nam</v>
      </c>
      <c r="C15797" t="str">
        <v>-</v>
      </c>
      <c r="D15797" t="str">
        <v>-</v>
      </c>
      <c r="E15797" t="str">
        <v>-</v>
      </c>
      <c r="F15797" t="str">
        <v>-</v>
      </c>
      <c r="G15797" t="str">
        <v>-</v>
      </c>
    </row>
    <row r="15798">
      <c r="A15798">
        <v>15797</v>
      </c>
      <c r="B15798" t="str">
        <v>Công an xã Đại Sơn  tỉnh Quảng Nam</v>
      </c>
      <c r="C15798" t="str">
        <v>-</v>
      </c>
      <c r="D15798" t="str">
        <v>-</v>
      </c>
      <c r="E15798" t="str">
        <v/>
      </c>
      <c r="F15798" t="str">
        <v>-</v>
      </c>
      <c r="G15798" t="str">
        <v>-</v>
      </c>
    </row>
    <row r="15799">
      <c r="A15799">
        <v>15798</v>
      </c>
      <c r="B15799" t="str">
        <v>UBND Ủy ban nhân dân xã Đại Sơn  tỉnh Quảng Nam</v>
      </c>
      <c r="C15799" t="str">
        <v>-</v>
      </c>
      <c r="D15799" t="str">
        <v>-</v>
      </c>
      <c r="E15799" t="str">
        <v>-</v>
      </c>
      <c r="F15799" t="str">
        <v>-</v>
      </c>
      <c r="G15799" t="str">
        <v>-</v>
      </c>
    </row>
    <row r="15800">
      <c r="A15800">
        <v>15799</v>
      </c>
      <c r="B15800" t="str">
        <v>Công an xã Đại Lãnh  tỉnh Quảng Nam</v>
      </c>
      <c r="C15800" t="str">
        <v>-</v>
      </c>
      <c r="D15800" t="str">
        <v>-</v>
      </c>
      <c r="E15800" t="str">
        <v/>
      </c>
      <c r="F15800" t="str">
        <v>-</v>
      </c>
      <c r="G15800" t="str">
        <v>-</v>
      </c>
    </row>
    <row r="15801">
      <c r="A15801">
        <v>15800</v>
      </c>
      <c r="B15801" t="str">
        <v>UBND Ủy ban nhân dân xã Đại Lãnh  tỉnh Quảng Nam</v>
      </c>
      <c r="C15801" t="str">
        <v>-</v>
      </c>
      <c r="D15801" t="str">
        <v>-</v>
      </c>
      <c r="E15801" t="str">
        <v>-</v>
      </c>
      <c r="F15801" t="str">
        <v>-</v>
      </c>
      <c r="G15801" t="str">
        <v>-</v>
      </c>
    </row>
    <row r="15802">
      <c r="A15802">
        <v>15801</v>
      </c>
      <c r="B15802" t="str">
        <v>Công an xã Đại Hưng  tỉnh Quảng Nam</v>
      </c>
      <c r="C15802" t="str">
        <v>-</v>
      </c>
      <c r="D15802" t="str">
        <v>-</v>
      </c>
      <c r="E15802" t="str">
        <v/>
      </c>
      <c r="F15802" t="str">
        <v>-</v>
      </c>
      <c r="G15802" t="str">
        <v>-</v>
      </c>
    </row>
    <row r="15803">
      <c r="A15803">
        <v>15802</v>
      </c>
      <c r="B15803" t="str">
        <v>UBND Ủy ban nhân dân xã Đại Hưng  tỉnh Quảng Nam</v>
      </c>
      <c r="C15803" t="str">
        <v>-</v>
      </c>
      <c r="D15803" t="str">
        <v>-</v>
      </c>
      <c r="E15803" t="str">
        <v>-</v>
      </c>
      <c r="F15803" t="str">
        <v>-</v>
      </c>
      <c r="G15803" t="str">
        <v>-</v>
      </c>
    </row>
    <row r="15804">
      <c r="A15804">
        <v>15803</v>
      </c>
      <c r="B15804" t="str">
        <v>Công an xã Đại Hồng  tỉnh Quảng Nam</v>
      </c>
      <c r="C15804" t="str">
        <v>-</v>
      </c>
      <c r="D15804" t="str">
        <v>-</v>
      </c>
      <c r="E15804" t="str">
        <v/>
      </c>
      <c r="F15804" t="str">
        <v>-</v>
      </c>
      <c r="G15804" t="str">
        <v>-</v>
      </c>
    </row>
    <row r="15805">
      <c r="A15805">
        <v>15804</v>
      </c>
      <c r="B15805" t="str">
        <v>UBND Ủy ban nhân dân xã Đại Hồng  tỉnh Quảng Nam</v>
      </c>
      <c r="C15805" t="str">
        <v>-</v>
      </c>
      <c r="D15805" t="str">
        <v>-</v>
      </c>
      <c r="E15805" t="str">
        <v>-</v>
      </c>
      <c r="F15805" t="str">
        <v>-</v>
      </c>
      <c r="G15805" t="str">
        <v>-</v>
      </c>
    </row>
    <row r="15806">
      <c r="A15806">
        <v>15805</v>
      </c>
      <c r="B15806" t="str">
        <v>Công an xã Đại Đồng  tỉnh Quảng Nam</v>
      </c>
      <c r="C15806" t="str">
        <v>-</v>
      </c>
      <c r="D15806" t="str">
        <v>-</v>
      </c>
      <c r="E15806" t="str">
        <v/>
      </c>
      <c r="F15806" t="str">
        <v>-</v>
      </c>
      <c r="G15806" t="str">
        <v>-</v>
      </c>
    </row>
    <row r="15807">
      <c r="A15807">
        <v>15806</v>
      </c>
      <c r="B15807" t="str">
        <v>UBND Ủy ban nhân dân xã Đại Đồng  tỉnh Quảng Nam</v>
      </c>
      <c r="C15807" t="str">
        <v>-</v>
      </c>
      <c r="D15807" t="str">
        <v>-</v>
      </c>
      <c r="E15807" t="str">
        <v>-</v>
      </c>
      <c r="F15807" t="str">
        <v>-</v>
      </c>
      <c r="G15807" t="str">
        <v>-</v>
      </c>
    </row>
    <row r="15808">
      <c r="A15808">
        <v>15807</v>
      </c>
      <c r="B15808" t="str">
        <v>Công an xã Đại Quang  tỉnh Quảng Nam</v>
      </c>
      <c r="C15808" t="str">
        <v>-</v>
      </c>
      <c r="D15808" t="str">
        <v>-</v>
      </c>
      <c r="E15808" t="str">
        <v/>
      </c>
      <c r="F15808" t="str">
        <v>-</v>
      </c>
      <c r="G15808" t="str">
        <v>-</v>
      </c>
    </row>
    <row r="15809">
      <c r="A15809">
        <v>15808</v>
      </c>
      <c r="B15809" t="str">
        <v>UBND Ủy ban nhân dân xã Đại Quang  tỉnh Quảng Nam</v>
      </c>
      <c r="C15809" t="str">
        <v>-</v>
      </c>
      <c r="D15809" t="str">
        <v>-</v>
      </c>
      <c r="E15809" t="str">
        <v>-</v>
      </c>
      <c r="F15809" t="str">
        <v>-</v>
      </c>
      <c r="G15809" t="str">
        <v>-</v>
      </c>
    </row>
    <row r="15810">
      <c r="A15810">
        <v>15809</v>
      </c>
      <c r="B15810" t="str">
        <v>Công an xã Đại Nghĩa  tỉnh Quảng Nam</v>
      </c>
      <c r="C15810" t="str">
        <v>-</v>
      </c>
      <c r="D15810" t="str">
        <v>-</v>
      </c>
      <c r="E15810" t="str">
        <v/>
      </c>
      <c r="F15810" t="str">
        <v>-</v>
      </c>
      <c r="G15810" t="str">
        <v>-</v>
      </c>
    </row>
    <row r="15811">
      <c r="A15811">
        <v>15810</v>
      </c>
      <c r="B15811" t="str">
        <v>UBND Ủy ban nhân dân xã Đại Nghĩa  tỉnh Quảng Nam</v>
      </c>
      <c r="C15811" t="str">
        <v>-</v>
      </c>
      <c r="D15811" t="str">
        <v>-</v>
      </c>
      <c r="E15811" t="str">
        <v>-</v>
      </c>
      <c r="F15811" t="str">
        <v>-</v>
      </c>
      <c r="G15811" t="str">
        <v>-</v>
      </c>
    </row>
    <row r="15812">
      <c r="A15812">
        <v>15811</v>
      </c>
      <c r="B15812" t="str">
        <v>Công an xã Đại Hiệp  tỉnh Quảng Nam</v>
      </c>
      <c r="C15812" t="str">
        <v>-</v>
      </c>
      <c r="D15812" t="str">
        <v>-</v>
      </c>
      <c r="E15812" t="str">
        <v/>
      </c>
      <c r="F15812" t="str">
        <v>-</v>
      </c>
      <c r="G15812" t="str">
        <v>-</v>
      </c>
    </row>
    <row r="15813">
      <c r="A15813">
        <v>15812</v>
      </c>
      <c r="B15813" t="str">
        <v>UBND Ủy ban nhân dân xã Đại Hiệp  tỉnh Quảng Nam</v>
      </c>
      <c r="C15813" t="str">
        <v>-</v>
      </c>
      <c r="D15813" t="str">
        <v>-</v>
      </c>
      <c r="E15813" t="str">
        <v>-</v>
      </c>
      <c r="F15813" t="str">
        <v>-</v>
      </c>
      <c r="G15813" t="str">
        <v>-</v>
      </c>
    </row>
    <row r="15814">
      <c r="A15814">
        <v>15813</v>
      </c>
      <c r="B15814" t="str">
        <v>Công an xã Đại Thạnh  tỉnh Quảng Nam</v>
      </c>
      <c r="C15814" t="str">
        <v>-</v>
      </c>
      <c r="D15814" t="str">
        <v>-</v>
      </c>
      <c r="E15814" t="str">
        <v/>
      </c>
      <c r="F15814" t="str">
        <v>-</v>
      </c>
      <c r="G15814" t="str">
        <v>-</v>
      </c>
    </row>
    <row r="15815">
      <c r="A15815">
        <v>15814</v>
      </c>
      <c r="B15815" t="str">
        <v>UBND Ủy ban nhân dân xã Đại Thạnh  tỉnh Quảng Nam</v>
      </c>
      <c r="C15815" t="str">
        <v>-</v>
      </c>
      <c r="D15815" t="str">
        <v>-</v>
      </c>
      <c r="E15815" t="str">
        <v>-</v>
      </c>
      <c r="F15815" t="str">
        <v>-</v>
      </c>
      <c r="G15815" t="str">
        <v>-</v>
      </c>
    </row>
    <row r="15816">
      <c r="A15816">
        <v>15815</v>
      </c>
      <c r="B15816" t="str">
        <v>Công an xã Đại Chánh  tỉnh Quảng Nam</v>
      </c>
      <c r="C15816" t="str">
        <v>-</v>
      </c>
      <c r="D15816" t="str">
        <v>-</v>
      </c>
      <c r="E15816" t="str">
        <v/>
      </c>
      <c r="F15816" t="str">
        <v>-</v>
      </c>
      <c r="G15816" t="str">
        <v>-</v>
      </c>
    </row>
    <row r="15817">
      <c r="A15817">
        <v>15816</v>
      </c>
      <c r="B15817" t="str">
        <v>UBND Ủy ban nhân dân xã Đại Chánh  tỉnh Quảng Nam</v>
      </c>
      <c r="C15817" t="str">
        <v>-</v>
      </c>
      <c r="D15817" t="str">
        <v>-</v>
      </c>
      <c r="E15817" t="str">
        <v>-</v>
      </c>
      <c r="F15817" t="str">
        <v>-</v>
      </c>
      <c r="G15817" t="str">
        <v>-</v>
      </c>
    </row>
    <row r="15818">
      <c r="A15818">
        <v>15817</v>
      </c>
      <c r="B15818" t="str">
        <v>Công an xã Đại Tân  tỉnh Quảng Nam</v>
      </c>
      <c r="C15818" t="str">
        <v>-</v>
      </c>
      <c r="D15818" t="str">
        <v>-</v>
      </c>
      <c r="E15818" t="str">
        <v/>
      </c>
      <c r="F15818" t="str">
        <v>-</v>
      </c>
      <c r="G15818" t="str">
        <v>-</v>
      </c>
    </row>
    <row r="15819">
      <c r="A15819">
        <v>15818</v>
      </c>
      <c r="B15819" t="str">
        <v>UBND Ủy ban nhân dân xã Đại Tân  tỉnh Quảng Nam</v>
      </c>
      <c r="C15819" t="str">
        <v>-</v>
      </c>
      <c r="D15819" t="str">
        <v>-</v>
      </c>
      <c r="E15819" t="str">
        <v>-</v>
      </c>
      <c r="F15819" t="str">
        <v>-</v>
      </c>
      <c r="G15819" t="str">
        <v>-</v>
      </c>
    </row>
    <row r="15820">
      <c r="A15820">
        <v>15819</v>
      </c>
      <c r="B15820" t="str">
        <v>Công an xã Đại Phong  tỉnh Quảng Nam</v>
      </c>
      <c r="C15820" t="str">
        <v>-</v>
      </c>
      <c r="D15820" t="str">
        <v>-</v>
      </c>
      <c r="E15820" t="str">
        <v/>
      </c>
      <c r="F15820" t="str">
        <v>-</v>
      </c>
      <c r="G15820" t="str">
        <v>-</v>
      </c>
    </row>
    <row r="15821">
      <c r="A15821">
        <v>15820</v>
      </c>
      <c r="B15821" t="str">
        <v>UBND Ủy ban nhân dân xã Đại Phong  tỉnh Quảng Nam</v>
      </c>
      <c r="C15821" t="str">
        <v>-</v>
      </c>
      <c r="D15821" t="str">
        <v>-</v>
      </c>
      <c r="E15821" t="str">
        <v>-</v>
      </c>
      <c r="F15821" t="str">
        <v>-</v>
      </c>
      <c r="G15821" t="str">
        <v>-</v>
      </c>
    </row>
    <row r="15822">
      <c r="A15822">
        <v>15821</v>
      </c>
      <c r="B15822" t="str">
        <v>Công an xã Đại Minh  tỉnh Quảng Nam</v>
      </c>
      <c r="C15822" t="str">
        <v>-</v>
      </c>
      <c r="D15822" t="str">
        <v>-</v>
      </c>
      <c r="E15822" t="str">
        <v/>
      </c>
      <c r="F15822" t="str">
        <v>-</v>
      </c>
      <c r="G15822" t="str">
        <v>-</v>
      </c>
    </row>
    <row r="15823">
      <c r="A15823">
        <v>15822</v>
      </c>
      <c r="B15823" t="str">
        <v>UBND Ủy ban nhân dân xã Đại Minh  tỉnh Quảng Nam</v>
      </c>
      <c r="C15823" t="str">
        <v>-</v>
      </c>
      <c r="D15823" t="str">
        <v>-</v>
      </c>
      <c r="E15823" t="str">
        <v>-</v>
      </c>
      <c r="F15823" t="str">
        <v>-</v>
      </c>
      <c r="G15823" t="str">
        <v>-</v>
      </c>
    </row>
    <row r="15824">
      <c r="A15824">
        <v>15823</v>
      </c>
      <c r="B15824" t="str">
        <v>Công an xã Đại Thắng  tỉnh Quảng Nam</v>
      </c>
      <c r="C15824" t="str">
        <v>-</v>
      </c>
      <c r="D15824" t="str">
        <v>-</v>
      </c>
      <c r="E15824" t="str">
        <v/>
      </c>
      <c r="F15824" t="str">
        <v>-</v>
      </c>
      <c r="G15824" t="str">
        <v>-</v>
      </c>
    </row>
    <row r="15825">
      <c r="A15825">
        <v>15824</v>
      </c>
      <c r="B15825" t="str">
        <v>UBND Ủy ban nhân dân xã Đại Thắng  tỉnh Quảng Nam</v>
      </c>
      <c r="C15825" t="str">
        <v>-</v>
      </c>
      <c r="D15825" t="str">
        <v>-</v>
      </c>
      <c r="E15825" t="str">
        <v>-</v>
      </c>
      <c r="F15825" t="str">
        <v>-</v>
      </c>
      <c r="G15825" t="str">
        <v>-</v>
      </c>
    </row>
    <row r="15826">
      <c r="A15826">
        <v>15825</v>
      </c>
      <c r="B15826" t="str">
        <v>Công an xã Đại Cường  tỉnh Quảng Nam</v>
      </c>
      <c r="C15826" t="str">
        <v>-</v>
      </c>
      <c r="D15826" t="str">
        <v>-</v>
      </c>
      <c r="E15826" t="str">
        <v/>
      </c>
      <c r="F15826" t="str">
        <v>-</v>
      </c>
      <c r="G15826" t="str">
        <v>-</v>
      </c>
    </row>
    <row r="15827">
      <c r="A15827">
        <v>15826</v>
      </c>
      <c r="B15827" t="str">
        <v>UBND Ủy ban nhân dân xã Đại Cường  tỉnh Quảng Nam</v>
      </c>
      <c r="C15827" t="str">
        <v>-</v>
      </c>
      <c r="D15827" t="str">
        <v>-</v>
      </c>
      <c r="E15827" t="str">
        <v>-</v>
      </c>
      <c r="F15827" t="str">
        <v>-</v>
      </c>
      <c r="G15827" t="str">
        <v>-</v>
      </c>
    </row>
    <row r="15828">
      <c r="A15828">
        <v>15827</v>
      </c>
      <c r="B15828" t="str">
        <v>Công an xã Đại An  tỉnh Quảng Nam</v>
      </c>
      <c r="C15828" t="str">
        <v>-</v>
      </c>
      <c r="D15828" t="str">
        <v>-</v>
      </c>
      <c r="E15828" t="str">
        <v/>
      </c>
      <c r="F15828" t="str">
        <v>-</v>
      </c>
      <c r="G15828" t="str">
        <v>-</v>
      </c>
    </row>
    <row r="15829">
      <c r="A15829">
        <v>15828</v>
      </c>
      <c r="B15829" t="str">
        <v>UBND Ủy ban nhân dân xã Đại An  tỉnh Quảng Nam</v>
      </c>
      <c r="C15829" t="str">
        <v>-</v>
      </c>
      <c r="D15829" t="str">
        <v>-</v>
      </c>
      <c r="E15829" t="str">
        <v>-</v>
      </c>
      <c r="F15829" t="str">
        <v>-</v>
      </c>
      <c r="G15829" t="str">
        <v>-</v>
      </c>
    </row>
    <row r="15830">
      <c r="A15830">
        <v>15829</v>
      </c>
      <c r="B15830" t="str">
        <v>Công an xã Đại Hòa  tỉnh Quảng Nam</v>
      </c>
      <c r="C15830" t="str">
        <v>-</v>
      </c>
      <c r="D15830" t="str">
        <v>-</v>
      </c>
      <c r="E15830" t="str">
        <v/>
      </c>
      <c r="F15830" t="str">
        <v>-</v>
      </c>
      <c r="G15830" t="str">
        <v>-</v>
      </c>
    </row>
    <row r="15831">
      <c r="A15831">
        <v>15830</v>
      </c>
      <c r="B15831" t="str">
        <v>UBND Ủy ban nhân dân xã Đại Hòa  tỉnh Quảng Nam</v>
      </c>
      <c r="C15831" t="str">
        <v>-</v>
      </c>
      <c r="D15831" t="str">
        <v>-</v>
      </c>
      <c r="E15831" t="str">
        <v>-</v>
      </c>
      <c r="F15831" t="str">
        <v>-</v>
      </c>
      <c r="G15831" t="str">
        <v>-</v>
      </c>
    </row>
    <row r="15832">
      <c r="A15832">
        <v>15831</v>
      </c>
      <c r="B15832" t="str">
        <v>Công an phường Vĩnh Điện  tỉnh Quảng Nam</v>
      </c>
      <c r="C15832" t="str">
        <v>-</v>
      </c>
      <c r="D15832" t="str">
        <v>-</v>
      </c>
      <c r="E15832" t="str">
        <v/>
      </c>
      <c r="F15832" t="str">
        <v>-</v>
      </c>
      <c r="G15832" t="str">
        <v>-</v>
      </c>
    </row>
    <row r="15833">
      <c r="A15833">
        <v>15832</v>
      </c>
      <c r="B15833" t="str">
        <v>UBND Ủy ban nhân dân phường Vĩnh Điện  tỉnh Quảng Nam</v>
      </c>
      <c r="C15833" t="str">
        <v>-</v>
      </c>
      <c r="D15833" t="str">
        <v>-</v>
      </c>
      <c r="E15833" t="str">
        <v>-</v>
      </c>
      <c r="F15833" t="str">
        <v>-</v>
      </c>
      <c r="G15833" t="str">
        <v>-</v>
      </c>
    </row>
    <row r="15834">
      <c r="A15834">
        <v>15833</v>
      </c>
      <c r="B15834" t="str">
        <v>Công an xã Điện Tiến  tỉnh Quảng Nam</v>
      </c>
      <c r="C15834" t="str">
        <v>-</v>
      </c>
      <c r="D15834" t="str">
        <v>-</v>
      </c>
      <c r="E15834" t="str">
        <v/>
      </c>
      <c r="F15834" t="str">
        <v>-</v>
      </c>
      <c r="G15834" t="str">
        <v>-</v>
      </c>
    </row>
    <row r="15835">
      <c r="A15835">
        <v>15834</v>
      </c>
      <c r="B15835" t="str">
        <v>UBND Ủy ban nhân dân xã Điện Tiến  tỉnh Quảng Nam</v>
      </c>
      <c r="C15835" t="str">
        <v>-</v>
      </c>
      <c r="D15835" t="str">
        <v>-</v>
      </c>
      <c r="E15835" t="str">
        <v>-</v>
      </c>
      <c r="F15835" t="str">
        <v>-</v>
      </c>
      <c r="G15835" t="str">
        <v>-</v>
      </c>
    </row>
    <row r="15836">
      <c r="A15836">
        <v>15835</v>
      </c>
      <c r="B15836" t="str">
        <v>Công an xã Điện Hòa  tỉnh Quảng Nam</v>
      </c>
      <c r="C15836" t="str">
        <v>-</v>
      </c>
      <c r="D15836" t="str">
        <v>-</v>
      </c>
      <c r="E15836" t="str">
        <v/>
      </c>
      <c r="F15836" t="str">
        <v>-</v>
      </c>
      <c r="G15836" t="str">
        <v>-</v>
      </c>
    </row>
    <row r="15837">
      <c r="A15837">
        <v>15836</v>
      </c>
      <c r="B15837" t="str">
        <v>UBND Ủy ban nhân dân xã Điện Hòa  tỉnh Quảng Nam</v>
      </c>
      <c r="C15837" t="str">
        <v>-</v>
      </c>
      <c r="D15837" t="str">
        <v>-</v>
      </c>
      <c r="E15837" t="str">
        <v>-</v>
      </c>
      <c r="F15837" t="str">
        <v>-</v>
      </c>
      <c r="G15837" t="str">
        <v>-</v>
      </c>
    </row>
    <row r="15838">
      <c r="A15838">
        <v>15837</v>
      </c>
      <c r="B15838" t="str">
        <v>Công an xã Điện Thắng Bắc  tỉnh Quảng Nam</v>
      </c>
      <c r="C15838" t="str">
        <v>-</v>
      </c>
      <c r="D15838" t="str">
        <v>-</v>
      </c>
      <c r="E15838" t="str">
        <v/>
      </c>
      <c r="F15838" t="str">
        <v>-</v>
      </c>
      <c r="G15838" t="str">
        <v>-</v>
      </c>
    </row>
    <row r="15839">
      <c r="A15839">
        <v>15838</v>
      </c>
      <c r="B15839" t="str">
        <v>UBND Ủy ban nhân dân xã Điện Thắng Bắc  tỉnh Quảng Nam</v>
      </c>
      <c r="C15839" t="str">
        <v>-</v>
      </c>
      <c r="D15839" t="str">
        <v>-</v>
      </c>
      <c r="E15839" t="str">
        <v>-</v>
      </c>
      <c r="F15839" t="str">
        <v>-</v>
      </c>
      <c r="G15839" t="str">
        <v>-</v>
      </c>
    </row>
    <row r="15840">
      <c r="A15840">
        <v>15839</v>
      </c>
      <c r="B15840" t="str">
        <v>Công an xã Điện Thắng Trung  tỉnh Quảng Nam</v>
      </c>
      <c r="C15840" t="str">
        <v>-</v>
      </c>
      <c r="D15840" t="str">
        <v>-</v>
      </c>
      <c r="E15840" t="str">
        <v/>
      </c>
      <c r="F15840" t="str">
        <v>-</v>
      </c>
      <c r="G15840" t="str">
        <v>-</v>
      </c>
    </row>
    <row r="15841">
      <c r="A15841">
        <v>15840</v>
      </c>
      <c r="B15841" t="str">
        <v>UBND Ủy ban nhân dân xã Điện Thắng Trung  tỉnh Quảng Nam</v>
      </c>
      <c r="C15841" t="str">
        <v>-</v>
      </c>
      <c r="D15841" t="str">
        <v>-</v>
      </c>
      <c r="E15841" t="str">
        <v>-</v>
      </c>
      <c r="F15841" t="str">
        <v>-</v>
      </c>
      <c r="G15841" t="str">
        <v>-</v>
      </c>
    </row>
    <row r="15842">
      <c r="A15842">
        <v>15841</v>
      </c>
      <c r="B15842" t="str">
        <v>Công an xã Điện Thắng Nam  tỉnh Quảng Nam</v>
      </c>
      <c r="C15842" t="str">
        <v>-</v>
      </c>
      <c r="D15842" t="str">
        <v>-</v>
      </c>
      <c r="E15842" t="str">
        <v/>
      </c>
      <c r="F15842" t="str">
        <v>-</v>
      </c>
      <c r="G15842" t="str">
        <v>-</v>
      </c>
    </row>
    <row r="15843">
      <c r="A15843">
        <v>15842</v>
      </c>
      <c r="B15843" t="str">
        <v>UBND Ủy ban nhân dân xã Điện Thắng Nam  tỉnh Quảng Nam</v>
      </c>
      <c r="C15843" t="str">
        <v>-</v>
      </c>
      <c r="D15843" t="str">
        <v>-</v>
      </c>
      <c r="E15843" t="str">
        <v>-</v>
      </c>
      <c r="F15843" t="str">
        <v>-</v>
      </c>
      <c r="G15843" t="str">
        <v>-</v>
      </c>
    </row>
    <row r="15844">
      <c r="A15844">
        <v>15843</v>
      </c>
      <c r="B15844" t="str">
        <v>Công an phường Điện Ngọc  tỉnh Quảng Nam</v>
      </c>
      <c r="C15844" t="str">
        <v>-</v>
      </c>
      <c r="D15844" t="str">
        <v>-</v>
      </c>
      <c r="E15844" t="str">
        <v/>
      </c>
      <c r="F15844" t="str">
        <v>-</v>
      </c>
      <c r="G15844" t="str">
        <v>-</v>
      </c>
    </row>
    <row r="15845">
      <c r="A15845">
        <v>15844</v>
      </c>
      <c r="B15845" t="str">
        <v>UBND Ủy ban nhân dân phường Điện Ngọc  tỉnh Quảng Nam</v>
      </c>
      <c r="C15845" t="str">
        <v>-</v>
      </c>
      <c r="D15845" t="str">
        <v>-</v>
      </c>
      <c r="E15845" t="str">
        <v>-</v>
      </c>
      <c r="F15845" t="str">
        <v>-</v>
      </c>
      <c r="G15845" t="str">
        <v>-</v>
      </c>
    </row>
    <row r="15846">
      <c r="A15846">
        <v>15845</v>
      </c>
      <c r="B15846" t="str">
        <v>Công an xã Điện Hồng  tỉnh Quảng Nam</v>
      </c>
      <c r="C15846" t="str">
        <v>-</v>
      </c>
      <c r="D15846" t="str">
        <v>-</v>
      </c>
      <c r="E15846" t="str">
        <v/>
      </c>
      <c r="F15846" t="str">
        <v>-</v>
      </c>
      <c r="G15846" t="str">
        <v>-</v>
      </c>
    </row>
    <row r="15847">
      <c r="A15847">
        <v>15846</v>
      </c>
      <c r="B15847" t="str">
        <v>UBND Ủy ban nhân dân xã Điện Hồng  tỉnh Quảng Nam</v>
      </c>
      <c r="C15847" t="str">
        <v>-</v>
      </c>
      <c r="D15847" t="str">
        <v>-</v>
      </c>
      <c r="E15847" t="str">
        <v>-</v>
      </c>
      <c r="F15847" t="str">
        <v>-</v>
      </c>
      <c r="G15847" t="str">
        <v>-</v>
      </c>
    </row>
    <row r="15848">
      <c r="A15848">
        <v>15847</v>
      </c>
      <c r="B15848" t="str">
        <v>Công an xã Điện Thọ  tỉnh Quảng Nam</v>
      </c>
      <c r="C15848" t="str">
        <v>-</v>
      </c>
      <c r="D15848" t="str">
        <v>-</v>
      </c>
      <c r="E15848" t="str">
        <v/>
      </c>
      <c r="F15848" t="str">
        <v>-</v>
      </c>
      <c r="G15848" t="str">
        <v>-</v>
      </c>
    </row>
    <row r="15849">
      <c r="A15849">
        <v>15848</v>
      </c>
      <c r="B15849" t="str">
        <v>UBND Ủy ban nhân dân xã Điện Thọ  tỉnh Quảng Nam</v>
      </c>
      <c r="C15849" t="str">
        <v>-</v>
      </c>
      <c r="D15849" t="str">
        <v>-</v>
      </c>
      <c r="E15849" t="str">
        <v>-</v>
      </c>
      <c r="F15849" t="str">
        <v>-</v>
      </c>
      <c r="G15849" t="str">
        <v>-</v>
      </c>
    </row>
    <row r="15850">
      <c r="A15850">
        <v>15849</v>
      </c>
      <c r="B15850" t="str">
        <v>Công an xã Điện Phước  tỉnh Quảng Nam</v>
      </c>
      <c r="C15850" t="str">
        <v>-</v>
      </c>
      <c r="D15850" t="str">
        <v>-</v>
      </c>
      <c r="E15850" t="str">
        <v/>
      </c>
      <c r="F15850" t="str">
        <v>-</v>
      </c>
      <c r="G15850" t="str">
        <v>-</v>
      </c>
    </row>
    <row r="15851">
      <c r="A15851">
        <v>15850</v>
      </c>
      <c r="B15851" t="str">
        <v>UBND Ủy ban nhân dân xã Điện Phước  tỉnh Quảng Nam</v>
      </c>
      <c r="C15851" t="str">
        <v>-</v>
      </c>
      <c r="D15851" t="str">
        <v>-</v>
      </c>
      <c r="E15851" t="str">
        <v>-</v>
      </c>
      <c r="F15851" t="str">
        <v>-</v>
      </c>
      <c r="G15851" t="str">
        <v>-</v>
      </c>
    </row>
    <row r="15852">
      <c r="A15852">
        <v>15851</v>
      </c>
      <c r="B15852" t="str">
        <v>Công an phường Điện An  tỉnh Quảng Nam</v>
      </c>
      <c r="C15852" t="str">
        <v>-</v>
      </c>
      <c r="D15852" t="str">
        <v>-</v>
      </c>
      <c r="E15852" t="str">
        <v/>
      </c>
      <c r="F15852" t="str">
        <v>-</v>
      </c>
      <c r="G15852" t="str">
        <v>-</v>
      </c>
    </row>
    <row r="15853">
      <c r="A15853">
        <v>15852</v>
      </c>
      <c r="B15853" t="str">
        <v>UBND Ủy ban nhân dân phường Điện An  tỉnh Quảng Nam</v>
      </c>
      <c r="C15853" t="str">
        <v>-</v>
      </c>
      <c r="D15853" t="str">
        <v>-</v>
      </c>
      <c r="E15853" t="str">
        <v>-</v>
      </c>
      <c r="F15853" t="str">
        <v>-</v>
      </c>
      <c r="G15853" t="str">
        <v>-</v>
      </c>
    </row>
    <row r="15854">
      <c r="A15854">
        <v>15853</v>
      </c>
      <c r="B15854" t="str">
        <v>Công an phường Điện Nam Bắc  tỉnh Quảng Nam</v>
      </c>
      <c r="C15854" t="str">
        <v>-</v>
      </c>
      <c r="D15854" t="str">
        <v>-</v>
      </c>
      <c r="E15854" t="str">
        <v/>
      </c>
      <c r="F15854" t="str">
        <v>-</v>
      </c>
      <c r="G15854" t="str">
        <v>-</v>
      </c>
    </row>
    <row r="15855">
      <c r="A15855">
        <v>15854</v>
      </c>
      <c r="B15855" t="str">
        <v>UBND Ủy ban nhân dân phường Điện Nam Bắc  tỉnh Quảng Nam</v>
      </c>
      <c r="C15855" t="str">
        <v>-</v>
      </c>
      <c r="D15855" t="str">
        <v>-</v>
      </c>
      <c r="E15855" t="str">
        <v>-</v>
      </c>
      <c r="F15855" t="str">
        <v>-</v>
      </c>
      <c r="G15855" t="str">
        <v>-</v>
      </c>
    </row>
    <row r="15856">
      <c r="A15856">
        <v>15855</v>
      </c>
      <c r="B15856" t="str">
        <v>Công an phường Điện Nam Trung  tỉnh Quảng Nam</v>
      </c>
      <c r="C15856" t="str">
        <v>-</v>
      </c>
      <c r="D15856" t="str">
        <v>-</v>
      </c>
      <c r="E15856" t="str">
        <v/>
      </c>
      <c r="F15856" t="str">
        <v>-</v>
      </c>
      <c r="G15856" t="str">
        <v>-</v>
      </c>
    </row>
    <row r="15857">
      <c r="A15857">
        <v>15856</v>
      </c>
      <c r="B15857" t="str">
        <v>UBND Ủy ban nhân dân phường Điện Nam Trung  tỉnh Quảng Nam</v>
      </c>
      <c r="C15857" t="str">
        <v>-</v>
      </c>
      <c r="D15857" t="str">
        <v>-</v>
      </c>
      <c r="E15857" t="str">
        <v>-</v>
      </c>
      <c r="F15857" t="str">
        <v>-</v>
      </c>
      <c r="G15857" t="str">
        <v>-</v>
      </c>
    </row>
    <row r="15858">
      <c r="A15858">
        <v>15857</v>
      </c>
      <c r="B15858" t="str">
        <v>Công an phường Điện Nam Đông  tỉnh Quảng Nam</v>
      </c>
      <c r="C15858" t="str">
        <v>-</v>
      </c>
      <c r="D15858" t="str">
        <v>-</v>
      </c>
      <c r="E15858" t="str">
        <v/>
      </c>
      <c r="F15858" t="str">
        <v>-</v>
      </c>
      <c r="G15858" t="str">
        <v>-</v>
      </c>
    </row>
    <row r="15859">
      <c r="A15859">
        <v>15858</v>
      </c>
      <c r="B15859" t="str">
        <v>UBND Ủy ban nhân dân phường Điện Nam Đông  tỉnh Quảng Nam</v>
      </c>
      <c r="C15859" t="str">
        <v>-</v>
      </c>
      <c r="D15859" t="str">
        <v>-</v>
      </c>
      <c r="E15859" t="str">
        <v>-</v>
      </c>
      <c r="F15859" t="str">
        <v>-</v>
      </c>
      <c r="G15859" t="str">
        <v>-</v>
      </c>
    </row>
    <row r="15860">
      <c r="A15860">
        <v>15859</v>
      </c>
      <c r="B15860" t="str">
        <v>Công an phường Điện Dương  tỉnh Quảng Nam</v>
      </c>
      <c r="C15860" t="str">
        <v>-</v>
      </c>
      <c r="D15860" t="str">
        <v>-</v>
      </c>
      <c r="E15860" t="str">
        <v/>
      </c>
      <c r="F15860" t="str">
        <v>-</v>
      </c>
      <c r="G15860" t="str">
        <v>-</v>
      </c>
    </row>
    <row r="15861">
      <c r="A15861">
        <v>15860</v>
      </c>
      <c r="B15861" t="str">
        <v>UBND Ủy ban nhân dân phường Điện Dương  tỉnh Quảng Nam</v>
      </c>
      <c r="C15861" t="str">
        <v>-</v>
      </c>
      <c r="D15861" t="str">
        <v>-</v>
      </c>
      <c r="E15861" t="str">
        <v>-</v>
      </c>
      <c r="F15861" t="str">
        <v>-</v>
      </c>
      <c r="G15861" t="str">
        <v>-</v>
      </c>
    </row>
    <row r="15862">
      <c r="A15862">
        <v>15861</v>
      </c>
      <c r="B15862" t="str">
        <v>Công an xã Điện Quang  tỉnh Quảng Nam</v>
      </c>
      <c r="C15862" t="str">
        <v>-</v>
      </c>
      <c r="D15862" t="str">
        <v>-</v>
      </c>
      <c r="E15862" t="str">
        <v/>
      </c>
      <c r="F15862" t="str">
        <v>-</v>
      </c>
      <c r="G15862" t="str">
        <v>-</v>
      </c>
    </row>
    <row r="15863">
      <c r="A15863">
        <v>15862</v>
      </c>
      <c r="B15863" t="str">
        <v>UBND Ủy ban nhân dân xã Điện Quang  tỉnh Quảng Nam</v>
      </c>
      <c r="C15863" t="str">
        <v>-</v>
      </c>
      <c r="D15863" t="str">
        <v>-</v>
      </c>
      <c r="E15863" t="str">
        <v>-</v>
      </c>
      <c r="F15863" t="str">
        <v>-</v>
      </c>
      <c r="G15863" t="str">
        <v>-</v>
      </c>
    </row>
    <row r="15864">
      <c r="A15864">
        <v>15863</v>
      </c>
      <c r="B15864" t="str">
        <v>Công an xã Điện Trung  tỉnh Quảng Nam</v>
      </c>
      <c r="C15864" t="str">
        <v>-</v>
      </c>
      <c r="D15864" t="str">
        <v>-</v>
      </c>
      <c r="E15864" t="str">
        <v/>
      </c>
      <c r="F15864" t="str">
        <v>-</v>
      </c>
      <c r="G15864" t="str">
        <v>-</v>
      </c>
    </row>
    <row r="15865">
      <c r="A15865">
        <v>15864</v>
      </c>
      <c r="B15865" t="str">
        <v>UBND Ủy ban nhân dân xã Điện Trung  tỉnh Quảng Nam</v>
      </c>
      <c r="C15865" t="str">
        <v>-</v>
      </c>
      <c r="D15865" t="str">
        <v>-</v>
      </c>
      <c r="E15865" t="str">
        <v>-</v>
      </c>
      <c r="F15865" t="str">
        <v>-</v>
      </c>
      <c r="G15865" t="str">
        <v>-</v>
      </c>
    </row>
    <row r="15866">
      <c r="A15866">
        <v>15865</v>
      </c>
      <c r="B15866" t="str">
        <v>Công an xã Điện Phong  tỉnh Quảng Nam</v>
      </c>
      <c r="C15866" t="str">
        <v>-</v>
      </c>
      <c r="D15866" t="str">
        <v>-</v>
      </c>
      <c r="E15866" t="str">
        <v/>
      </c>
      <c r="F15866" t="str">
        <v>-</v>
      </c>
      <c r="G15866" t="str">
        <v>-</v>
      </c>
    </row>
    <row r="15867">
      <c r="A15867">
        <v>15866</v>
      </c>
      <c r="B15867" t="str">
        <v>UBND Ủy ban nhân dân xã Điện Phong  tỉnh Quảng Nam</v>
      </c>
      <c r="C15867" t="str">
        <v>-</v>
      </c>
      <c r="D15867" t="str">
        <v>-</v>
      </c>
      <c r="E15867" t="str">
        <v>-</v>
      </c>
      <c r="F15867" t="str">
        <v>-</v>
      </c>
      <c r="G15867" t="str">
        <v>-</v>
      </c>
    </row>
    <row r="15868">
      <c r="A15868">
        <v>15867</v>
      </c>
      <c r="B15868" t="str">
        <v>Công an xã Điện Minh  tỉnh Quảng Nam</v>
      </c>
      <c r="C15868" t="str">
        <v>-</v>
      </c>
      <c r="D15868" t="str">
        <v>-</v>
      </c>
      <c r="E15868" t="str">
        <v/>
      </c>
      <c r="F15868" t="str">
        <v>-</v>
      </c>
      <c r="G15868" t="str">
        <v>-</v>
      </c>
    </row>
    <row r="15869">
      <c r="A15869">
        <v>15868</v>
      </c>
      <c r="B15869" t="str">
        <v>UBND Ủy ban nhân dân xã Điện Minh  tỉnh Quảng Nam</v>
      </c>
      <c r="C15869" t="str">
        <v>-</v>
      </c>
      <c r="D15869" t="str">
        <v>-</v>
      </c>
      <c r="E15869" t="str">
        <v>-</v>
      </c>
      <c r="F15869" t="str">
        <v>-</v>
      </c>
      <c r="G15869" t="str">
        <v>-</v>
      </c>
    </row>
    <row r="15870">
      <c r="A15870">
        <v>15869</v>
      </c>
      <c r="B15870" t="str">
        <v>Công an xã Điện Phương  tỉnh Quảng Nam</v>
      </c>
      <c r="C15870" t="str">
        <v>-</v>
      </c>
      <c r="D15870" t="str">
        <v>-</v>
      </c>
      <c r="E15870" t="str">
        <v/>
      </c>
      <c r="F15870" t="str">
        <v>-</v>
      </c>
      <c r="G15870" t="str">
        <v>-</v>
      </c>
    </row>
    <row r="15871">
      <c r="A15871">
        <v>15870</v>
      </c>
      <c r="B15871" t="str">
        <v>UBND Ủy ban nhân dân xã Điện Phương  tỉnh Quảng Nam</v>
      </c>
      <c r="C15871" t="str">
        <v>-</v>
      </c>
      <c r="D15871" t="str">
        <v>-</v>
      </c>
      <c r="E15871" t="str">
        <v>-</v>
      </c>
      <c r="F15871" t="str">
        <v>-</v>
      </c>
      <c r="G15871" t="str">
        <v>-</v>
      </c>
    </row>
    <row r="15872">
      <c r="A15872">
        <v>15871</v>
      </c>
      <c r="B15872" t="str">
        <v>Công an xã Duy Thu  tỉnh Quảng Nam</v>
      </c>
      <c r="C15872" t="str">
        <v>-</v>
      </c>
      <c r="D15872" t="str">
        <v>-</v>
      </c>
      <c r="E15872" t="str">
        <v/>
      </c>
      <c r="F15872" t="str">
        <v>-</v>
      </c>
      <c r="G15872" t="str">
        <v>-</v>
      </c>
    </row>
    <row r="15873">
      <c r="A15873">
        <v>15872</v>
      </c>
      <c r="B15873" t="str">
        <v>UBND Ủy ban nhân dân xã Duy Thu  tỉnh Quảng Nam</v>
      </c>
      <c r="C15873" t="str">
        <v>-</v>
      </c>
      <c r="D15873" t="str">
        <v>-</v>
      </c>
      <c r="E15873" t="str">
        <v>-</v>
      </c>
      <c r="F15873" t="str">
        <v>-</v>
      </c>
      <c r="G15873" t="str">
        <v>-</v>
      </c>
    </row>
    <row r="15874">
      <c r="A15874">
        <v>15873</v>
      </c>
      <c r="B15874" t="str">
        <v>Công an xã Duy Phú  tỉnh Quảng Nam</v>
      </c>
      <c r="C15874" t="str">
        <v>-</v>
      </c>
      <c r="D15874" t="str">
        <v>-</v>
      </c>
      <c r="E15874" t="str">
        <v/>
      </c>
      <c r="F15874" t="str">
        <v>-</v>
      </c>
      <c r="G15874" t="str">
        <v>-</v>
      </c>
    </row>
    <row r="15875">
      <c r="A15875">
        <v>15874</v>
      </c>
      <c r="B15875" t="str">
        <v>UBND Ủy ban nhân dân xã Duy Phú  tỉnh Quảng Nam</v>
      </c>
      <c r="C15875" t="str">
        <v>-</v>
      </c>
      <c r="D15875" t="str">
        <v>-</v>
      </c>
      <c r="E15875" t="str">
        <v>-</v>
      </c>
      <c r="F15875" t="str">
        <v>-</v>
      </c>
      <c r="G15875" t="str">
        <v>-</v>
      </c>
    </row>
    <row r="15876">
      <c r="A15876">
        <v>15875</v>
      </c>
      <c r="B15876" t="str">
        <v>Công an xã Duy Tân  tỉnh Quảng Nam</v>
      </c>
      <c r="C15876" t="str">
        <v>-</v>
      </c>
      <c r="D15876" t="str">
        <v>-</v>
      </c>
      <c r="E15876" t="str">
        <v/>
      </c>
      <c r="F15876" t="str">
        <v>-</v>
      </c>
      <c r="G15876" t="str">
        <v>-</v>
      </c>
    </row>
    <row r="15877">
      <c r="A15877">
        <v>15876</v>
      </c>
      <c r="B15877" t="str">
        <v>UBND Ủy ban nhân dân xã Duy Tân  tỉnh Quảng Nam</v>
      </c>
      <c r="C15877" t="str">
        <v>-</v>
      </c>
      <c r="D15877" t="str">
        <v>-</v>
      </c>
      <c r="E15877" t="str">
        <v>-</v>
      </c>
      <c r="F15877" t="str">
        <v>-</v>
      </c>
      <c r="G15877" t="str">
        <v>-</v>
      </c>
    </row>
    <row r="15878">
      <c r="A15878">
        <v>15877</v>
      </c>
      <c r="B15878" t="str">
        <v>Công an xã Duy Hòa  tỉnh Quảng Nam</v>
      </c>
      <c r="C15878" t="str">
        <v>-</v>
      </c>
      <c r="D15878" t="str">
        <v>-</v>
      </c>
      <c r="E15878" t="str">
        <v/>
      </c>
      <c r="F15878" t="str">
        <v>-</v>
      </c>
      <c r="G15878" t="str">
        <v>-</v>
      </c>
    </row>
    <row r="15879">
      <c r="A15879">
        <v>15878</v>
      </c>
      <c r="B15879" t="str">
        <v>UBND Ủy ban nhân dân xã Duy Hòa  tỉnh Quảng Nam</v>
      </c>
      <c r="C15879" t="str">
        <v>-</v>
      </c>
      <c r="D15879" t="str">
        <v>-</v>
      </c>
      <c r="E15879" t="str">
        <v>-</v>
      </c>
      <c r="F15879" t="str">
        <v>-</v>
      </c>
      <c r="G15879" t="str">
        <v>-</v>
      </c>
    </row>
    <row r="15880">
      <c r="A15880">
        <v>15879</v>
      </c>
      <c r="B15880" t="str">
        <v>Công an xã Duy Châu  tỉnh Quảng Nam</v>
      </c>
      <c r="C15880" t="str">
        <v>-</v>
      </c>
      <c r="D15880" t="str">
        <v>-</v>
      </c>
      <c r="E15880" t="str">
        <v/>
      </c>
      <c r="F15880" t="str">
        <v>-</v>
      </c>
      <c r="G15880" t="str">
        <v>-</v>
      </c>
    </row>
    <row r="15881">
      <c r="A15881">
        <v>15880</v>
      </c>
      <c r="B15881" t="str">
        <v>UBND Ủy ban nhân dân xã Duy Châu  tỉnh Quảng Nam</v>
      </c>
      <c r="C15881" t="str">
        <v>-</v>
      </c>
      <c r="D15881" t="str">
        <v>-</v>
      </c>
      <c r="E15881" t="str">
        <v>-</v>
      </c>
      <c r="F15881" t="str">
        <v>-</v>
      </c>
      <c r="G15881" t="str">
        <v>-</v>
      </c>
    </row>
    <row r="15882">
      <c r="A15882">
        <v>15881</v>
      </c>
      <c r="B15882" t="str">
        <v>Công an xã Duy Trinh  tỉnh Quảng Nam</v>
      </c>
      <c r="C15882" t="str">
        <v>-</v>
      </c>
      <c r="D15882" t="str">
        <v>-</v>
      </c>
      <c r="E15882" t="str">
        <v/>
      </c>
      <c r="F15882" t="str">
        <v>-</v>
      </c>
      <c r="G15882" t="str">
        <v>-</v>
      </c>
    </row>
    <row r="15883">
      <c r="A15883">
        <v>15882</v>
      </c>
      <c r="B15883" t="str">
        <v>UBND Ủy ban nhân dân xã Duy Trinh  tỉnh Quảng Nam</v>
      </c>
      <c r="C15883" t="str">
        <v>-</v>
      </c>
      <c r="D15883" t="str">
        <v>-</v>
      </c>
      <c r="E15883" t="str">
        <v>-</v>
      </c>
      <c r="F15883" t="str">
        <v>-</v>
      </c>
      <c r="G15883" t="str">
        <v>-</v>
      </c>
    </row>
    <row r="15884">
      <c r="A15884">
        <v>15883</v>
      </c>
      <c r="B15884" t="str">
        <v>Công an xã Duy Sơn  tỉnh Quảng Nam</v>
      </c>
      <c r="C15884" t="str">
        <v>-</v>
      </c>
      <c r="D15884" t="str">
        <v>-</v>
      </c>
      <c r="E15884" t="str">
        <v/>
      </c>
      <c r="F15884" t="str">
        <v>-</v>
      </c>
      <c r="G15884" t="str">
        <v>-</v>
      </c>
    </row>
    <row r="15885">
      <c r="A15885">
        <v>15884</v>
      </c>
      <c r="B15885" t="str">
        <v>UBND Ủy ban nhân dân xã Duy Sơn  tỉnh Quảng Nam</v>
      </c>
      <c r="C15885" t="str">
        <v>-</v>
      </c>
      <c r="D15885" t="str">
        <v>-</v>
      </c>
      <c r="E15885" t="str">
        <v>-</v>
      </c>
      <c r="F15885" t="str">
        <v>-</v>
      </c>
      <c r="G15885" t="str">
        <v>-</v>
      </c>
    </row>
    <row r="15886">
      <c r="A15886">
        <v>15885</v>
      </c>
      <c r="B15886" t="str">
        <v>Công an xã Duy Trung  tỉnh Quảng Nam</v>
      </c>
      <c r="C15886" t="str">
        <v>-</v>
      </c>
      <c r="D15886" t="str">
        <v>-</v>
      </c>
      <c r="E15886" t="str">
        <v/>
      </c>
      <c r="F15886" t="str">
        <v>-</v>
      </c>
      <c r="G15886" t="str">
        <v>-</v>
      </c>
    </row>
    <row r="15887">
      <c r="A15887">
        <v>15886</v>
      </c>
      <c r="B15887" t="str">
        <v>UBND Ủy ban nhân dân xã Duy Trung  tỉnh Quảng Nam</v>
      </c>
      <c r="C15887" t="str">
        <v>-</v>
      </c>
      <c r="D15887" t="str">
        <v>-</v>
      </c>
      <c r="E15887" t="str">
        <v>-</v>
      </c>
      <c r="F15887" t="str">
        <v>-</v>
      </c>
      <c r="G15887" t="str">
        <v>-</v>
      </c>
    </row>
    <row r="15888">
      <c r="A15888">
        <v>15887</v>
      </c>
      <c r="B15888" t="str">
        <v>Công an xã Duy Phước  tỉnh Quảng Nam</v>
      </c>
      <c r="C15888" t="str">
        <v>-</v>
      </c>
      <c r="D15888" t="str">
        <v>-</v>
      </c>
      <c r="E15888" t="str">
        <v/>
      </c>
      <c r="F15888" t="str">
        <v>-</v>
      </c>
      <c r="G15888" t="str">
        <v>-</v>
      </c>
    </row>
    <row r="15889">
      <c r="A15889">
        <v>15888</v>
      </c>
      <c r="B15889" t="str">
        <v>UBND Ủy ban nhân dân xã Duy Phước  tỉnh Quảng Nam</v>
      </c>
      <c r="C15889" t="str">
        <v>-</v>
      </c>
      <c r="D15889" t="str">
        <v>-</v>
      </c>
      <c r="E15889" t="str">
        <v>-</v>
      </c>
      <c r="F15889" t="str">
        <v>-</v>
      </c>
      <c r="G15889" t="str">
        <v>-</v>
      </c>
    </row>
    <row r="15890">
      <c r="A15890">
        <v>15889</v>
      </c>
      <c r="B15890" t="str">
        <v>Công an xã Duy Thành  tỉnh Quảng Nam</v>
      </c>
      <c r="C15890" t="str">
        <v>-</v>
      </c>
      <c r="D15890" t="str">
        <v>-</v>
      </c>
      <c r="E15890" t="str">
        <v/>
      </c>
      <c r="F15890" t="str">
        <v>-</v>
      </c>
      <c r="G15890" t="str">
        <v>-</v>
      </c>
    </row>
    <row r="15891">
      <c r="A15891">
        <v>15890</v>
      </c>
      <c r="B15891" t="str">
        <v>UBND Ủy ban nhân dân xã Duy Thành  tỉnh Quảng Nam</v>
      </c>
      <c r="C15891" t="str">
        <v>-</v>
      </c>
      <c r="D15891" t="str">
        <v>-</v>
      </c>
      <c r="E15891" t="str">
        <v>-</v>
      </c>
      <c r="F15891" t="str">
        <v>-</v>
      </c>
      <c r="G15891" t="str">
        <v>-</v>
      </c>
    </row>
    <row r="15892">
      <c r="A15892">
        <v>15891</v>
      </c>
      <c r="B15892" t="str">
        <v>Công an xã Duy Vinh  tỉnh Quảng Nam</v>
      </c>
      <c r="C15892" t="str">
        <v>-</v>
      </c>
      <c r="D15892" t="str">
        <v>-</v>
      </c>
      <c r="E15892" t="str">
        <v/>
      </c>
      <c r="F15892" t="str">
        <v>-</v>
      </c>
      <c r="G15892" t="str">
        <v>-</v>
      </c>
    </row>
    <row r="15893">
      <c r="A15893">
        <v>15892</v>
      </c>
      <c r="B15893" t="str">
        <v>UBND Ủy ban nhân dân xã Duy Vinh  tỉnh Quảng Nam</v>
      </c>
      <c r="C15893" t="str">
        <v>-</v>
      </c>
      <c r="D15893" t="str">
        <v>-</v>
      </c>
      <c r="E15893" t="str">
        <v>-</v>
      </c>
      <c r="F15893" t="str">
        <v>-</v>
      </c>
      <c r="G15893" t="str">
        <v>-</v>
      </c>
    </row>
    <row r="15894">
      <c r="A15894">
        <v>15893</v>
      </c>
      <c r="B15894" t="str">
        <v>Công an xã Duy Nghĩa  tỉnh Quảng Nam</v>
      </c>
      <c r="C15894" t="str">
        <v>-</v>
      </c>
      <c r="D15894" t="str">
        <v>-</v>
      </c>
      <c r="E15894" t="str">
        <v/>
      </c>
      <c r="F15894" t="str">
        <v>-</v>
      </c>
      <c r="G15894" t="str">
        <v>-</v>
      </c>
    </row>
    <row r="15895">
      <c r="A15895">
        <v>15894</v>
      </c>
      <c r="B15895" t="str">
        <v>UBND Ủy ban nhân dân xã Duy Nghĩa  tỉnh Quảng Nam</v>
      </c>
      <c r="C15895" t="str">
        <v>-</v>
      </c>
      <c r="D15895" t="str">
        <v>-</v>
      </c>
      <c r="E15895" t="str">
        <v>-</v>
      </c>
      <c r="F15895" t="str">
        <v>-</v>
      </c>
      <c r="G15895" t="str">
        <v>-</v>
      </c>
    </row>
    <row r="15896">
      <c r="A15896">
        <v>15895</v>
      </c>
      <c r="B15896" t="str">
        <v>Công an xã Duy Hải  tỉnh Quảng Nam</v>
      </c>
      <c r="C15896" t="str">
        <v>-</v>
      </c>
      <c r="D15896" t="str">
        <v>-</v>
      </c>
      <c r="E15896" t="str">
        <v/>
      </c>
      <c r="F15896" t="str">
        <v>-</v>
      </c>
      <c r="G15896" t="str">
        <v>-</v>
      </c>
    </row>
    <row r="15897">
      <c r="A15897">
        <v>15896</v>
      </c>
      <c r="B15897" t="str">
        <v>UBND Ủy ban nhân dân xã Duy Hải  tỉnh Quảng Nam</v>
      </c>
      <c r="C15897" t="str">
        <v>-</v>
      </c>
      <c r="D15897" t="str">
        <v>-</v>
      </c>
      <c r="E15897" t="str">
        <v>-</v>
      </c>
      <c r="F15897" t="str">
        <v>-</v>
      </c>
      <c r="G15897" t="str">
        <v>-</v>
      </c>
    </row>
    <row r="15898">
      <c r="A15898">
        <v>15897</v>
      </c>
      <c r="B15898" t="str">
        <v>Công an xã Quế Xuân 1  tỉnh Quảng Nam</v>
      </c>
      <c r="C15898" t="str">
        <v>-</v>
      </c>
      <c r="D15898" t="str">
        <v>-</v>
      </c>
      <c r="E15898" t="str">
        <v/>
      </c>
      <c r="F15898" t="str">
        <v>-</v>
      </c>
      <c r="G15898" t="str">
        <v>-</v>
      </c>
    </row>
    <row r="15899">
      <c r="A15899">
        <v>15898</v>
      </c>
      <c r="B15899" t="str">
        <v>UBND Ủy ban nhân dân xã Quế Xuân 1  tỉnh Quảng Nam</v>
      </c>
      <c r="C15899" t="str">
        <v>-</v>
      </c>
      <c r="D15899" t="str">
        <v>-</v>
      </c>
      <c r="E15899" t="str">
        <v>-</v>
      </c>
      <c r="F15899" t="str">
        <v>-</v>
      </c>
      <c r="G15899" t="str">
        <v>-</v>
      </c>
    </row>
    <row r="15900">
      <c r="A15900">
        <v>15899</v>
      </c>
      <c r="B15900" t="str">
        <v>Công an xã Quế Xuân 2  tỉnh Quảng Nam</v>
      </c>
      <c r="C15900" t="str">
        <v>-</v>
      </c>
      <c r="D15900" t="str">
        <v>-</v>
      </c>
      <c r="E15900" t="str">
        <v/>
      </c>
      <c r="F15900" t="str">
        <v>-</v>
      </c>
      <c r="G15900" t="str">
        <v>-</v>
      </c>
    </row>
    <row r="15901">
      <c r="A15901">
        <v>15900</v>
      </c>
      <c r="B15901" t="str">
        <v>UBND Ủy ban nhân dân xã Quế Xuân 2  tỉnh Quảng Nam</v>
      </c>
      <c r="C15901" t="str">
        <v>-</v>
      </c>
      <c r="D15901" t="str">
        <v>-</v>
      </c>
      <c r="E15901" t="str">
        <v>-</v>
      </c>
      <c r="F15901" t="str">
        <v>-</v>
      </c>
      <c r="G15901" t="str">
        <v>-</v>
      </c>
    </row>
    <row r="15902">
      <c r="A15902">
        <v>15901</v>
      </c>
      <c r="B15902" t="str">
        <v>Công an xã Quế Phú  tỉnh Quảng Nam</v>
      </c>
      <c r="C15902" t="str">
        <v>-</v>
      </c>
      <c r="D15902" t="str">
        <v>-</v>
      </c>
      <c r="E15902" t="str">
        <v/>
      </c>
      <c r="F15902" t="str">
        <v>-</v>
      </c>
      <c r="G15902" t="str">
        <v>-</v>
      </c>
    </row>
    <row r="15903">
      <c r="A15903">
        <v>15902</v>
      </c>
      <c r="B15903" t="str">
        <v>UBND Ủy ban nhân dân xã Quế Phú  tỉnh Quảng Nam</v>
      </c>
      <c r="C15903" t="str">
        <v>-</v>
      </c>
      <c r="D15903" t="str">
        <v>-</v>
      </c>
      <c r="E15903" t="str">
        <v>-</v>
      </c>
      <c r="F15903" t="str">
        <v>-</v>
      </c>
      <c r="G15903" t="str">
        <v>-</v>
      </c>
    </row>
    <row r="15904">
      <c r="A15904">
        <v>15903</v>
      </c>
      <c r="B15904" t="str">
        <v>Công an xã Hương An  tỉnh Quảng Nam</v>
      </c>
      <c r="C15904" t="str">
        <v>-</v>
      </c>
      <c r="D15904" t="str">
        <v>-</v>
      </c>
      <c r="E15904" t="str">
        <v/>
      </c>
      <c r="F15904" t="str">
        <v>-</v>
      </c>
      <c r="G15904" t="str">
        <v>-</v>
      </c>
    </row>
    <row r="15905">
      <c r="A15905">
        <v>15904</v>
      </c>
      <c r="B15905" t="str">
        <v>UBND Ủy ban nhân dân xã Hương An  tỉnh Quảng Nam</v>
      </c>
      <c r="C15905" t="str">
        <v>-</v>
      </c>
      <c r="D15905" t="str">
        <v>-</v>
      </c>
      <c r="E15905" t="str">
        <v>-</v>
      </c>
      <c r="F15905" t="str">
        <v>-</v>
      </c>
      <c r="G15905" t="str">
        <v>-</v>
      </c>
    </row>
    <row r="15906">
      <c r="A15906">
        <v>15905</v>
      </c>
      <c r="B15906" t="str">
        <v>Công an xã Quế Cường  tỉnh Quảng Nam</v>
      </c>
      <c r="C15906" t="str">
        <v>-</v>
      </c>
      <c r="D15906" t="str">
        <v>-</v>
      </c>
      <c r="E15906" t="str">
        <v/>
      </c>
      <c r="F15906" t="str">
        <v>-</v>
      </c>
      <c r="G15906" t="str">
        <v>-</v>
      </c>
    </row>
    <row r="15907">
      <c r="A15907">
        <v>15906</v>
      </c>
      <c r="B15907" t="str">
        <v>UBND Ủy ban nhân dân xã Quế Cường  tỉnh Quảng Nam</v>
      </c>
      <c r="C15907" t="str">
        <v>-</v>
      </c>
      <c r="D15907" t="str">
        <v>-</v>
      </c>
      <c r="E15907" t="str">
        <v>-</v>
      </c>
      <c r="F15907" t="str">
        <v>-</v>
      </c>
      <c r="G15907" t="str">
        <v>-</v>
      </c>
    </row>
    <row r="15908">
      <c r="A15908">
        <v>15907</v>
      </c>
      <c r="B15908" t="str">
        <v>Công an xã Quế Hiệp  tỉnh Quảng Nam</v>
      </c>
      <c r="C15908" t="str">
        <v>-</v>
      </c>
      <c r="D15908" t="str">
        <v>-</v>
      </c>
      <c r="E15908" t="str">
        <v/>
      </c>
      <c r="F15908" t="str">
        <v>-</v>
      </c>
      <c r="G15908" t="str">
        <v>-</v>
      </c>
    </row>
    <row r="15909">
      <c r="A15909">
        <v>15908</v>
      </c>
      <c r="B15909" t="str">
        <v>UBND Ủy ban nhân dân xã Quế Hiệp  tỉnh Quảng Nam</v>
      </c>
      <c r="C15909" t="str">
        <v>-</v>
      </c>
      <c r="D15909" t="str">
        <v>-</v>
      </c>
      <c r="E15909" t="str">
        <v>-</v>
      </c>
      <c r="F15909" t="str">
        <v>-</v>
      </c>
      <c r="G15909" t="str">
        <v>-</v>
      </c>
    </row>
    <row r="15910">
      <c r="A15910">
        <v>15909</v>
      </c>
      <c r="B15910" t="str">
        <v>Công an xã Quế Thuận  tỉnh Quảng Nam</v>
      </c>
      <c r="C15910" t="str">
        <v>-</v>
      </c>
      <c r="D15910" t="str">
        <v>-</v>
      </c>
      <c r="E15910" t="str">
        <v/>
      </c>
      <c r="F15910" t="str">
        <v>-</v>
      </c>
      <c r="G15910" t="str">
        <v>-</v>
      </c>
    </row>
    <row r="15911">
      <c r="A15911">
        <v>15910</v>
      </c>
      <c r="B15911" t="str">
        <v>UBND Ủy ban nhân dân xã Quế Thuận  tỉnh Quảng Nam</v>
      </c>
      <c r="C15911" t="str">
        <v>-</v>
      </c>
      <c r="D15911" t="str">
        <v>-</v>
      </c>
      <c r="E15911" t="str">
        <v>-</v>
      </c>
      <c r="F15911" t="str">
        <v>-</v>
      </c>
      <c r="G15911" t="str">
        <v>-</v>
      </c>
    </row>
    <row r="15912">
      <c r="A15912">
        <v>15911</v>
      </c>
      <c r="B15912" t="str">
        <v>Công an xã Phú Thọ  tỉnh Quảng Nam</v>
      </c>
      <c r="C15912" t="str">
        <v>-</v>
      </c>
      <c r="D15912" t="str">
        <v>-</v>
      </c>
      <c r="E15912" t="str">
        <v/>
      </c>
      <c r="F15912" t="str">
        <v>-</v>
      </c>
      <c r="G15912" t="str">
        <v>-</v>
      </c>
    </row>
    <row r="15913">
      <c r="A15913">
        <v>15912</v>
      </c>
      <c r="B15913" t="str">
        <v>UBND Ủy ban nhân dân xã Phú Thọ  tỉnh Quảng Nam</v>
      </c>
      <c r="C15913" t="str">
        <v>-</v>
      </c>
      <c r="D15913" t="str">
        <v>-</v>
      </c>
      <c r="E15913" t="str">
        <v>-</v>
      </c>
      <c r="F15913" t="str">
        <v>-</v>
      </c>
      <c r="G15913" t="str">
        <v>-</v>
      </c>
    </row>
    <row r="15914">
      <c r="A15914">
        <v>15913</v>
      </c>
      <c r="B15914" t="str">
        <v>Công an xã Quế Long  tỉnh Quảng Nam</v>
      </c>
      <c r="C15914" t="str">
        <v>-</v>
      </c>
      <c r="D15914" t="str">
        <v>-</v>
      </c>
      <c r="E15914" t="str">
        <v/>
      </c>
      <c r="F15914" t="str">
        <v>-</v>
      </c>
      <c r="G15914" t="str">
        <v>-</v>
      </c>
    </row>
    <row r="15915">
      <c r="A15915">
        <v>15914</v>
      </c>
      <c r="B15915" t="str">
        <v>UBND Ủy ban nhân dân xã Quế Long  tỉnh Quảng Nam</v>
      </c>
      <c r="C15915" t="str">
        <v>-</v>
      </c>
      <c r="D15915" t="str">
        <v>-</v>
      </c>
      <c r="E15915" t="str">
        <v>-</v>
      </c>
      <c r="F15915" t="str">
        <v>-</v>
      </c>
      <c r="G15915" t="str">
        <v>-</v>
      </c>
    </row>
    <row r="15916">
      <c r="A15916">
        <v>15915</v>
      </c>
      <c r="B15916" t="str">
        <v>Công an xã Quế Châu  tỉnh Quảng Nam</v>
      </c>
      <c r="C15916" t="str">
        <v>-</v>
      </c>
      <c r="D15916" t="str">
        <v>-</v>
      </c>
      <c r="E15916" t="str">
        <v/>
      </c>
      <c r="F15916" t="str">
        <v>-</v>
      </c>
      <c r="G15916" t="str">
        <v>-</v>
      </c>
    </row>
    <row r="15917">
      <c r="A15917">
        <v>15916</v>
      </c>
      <c r="B15917" t="str">
        <v>UBND Ủy ban nhân dân xã Quế Châu  tỉnh Quảng Nam</v>
      </c>
      <c r="C15917" t="str">
        <v>-</v>
      </c>
      <c r="D15917" t="str">
        <v>-</v>
      </c>
      <c r="E15917" t="str">
        <v>-</v>
      </c>
      <c r="F15917" t="str">
        <v>-</v>
      </c>
      <c r="G15917" t="str">
        <v>-</v>
      </c>
    </row>
    <row r="15918">
      <c r="A15918">
        <v>15917</v>
      </c>
      <c r="B15918" t="str">
        <v>Công an xã Quế Phong  tỉnh Quảng Nam</v>
      </c>
      <c r="C15918" t="str">
        <v>-</v>
      </c>
      <c r="D15918" t="str">
        <v>-</v>
      </c>
      <c r="E15918" t="str">
        <v/>
      </c>
      <c r="F15918" t="str">
        <v>-</v>
      </c>
      <c r="G15918" t="str">
        <v>-</v>
      </c>
    </row>
    <row r="15919">
      <c r="A15919">
        <v>15918</v>
      </c>
      <c r="B15919" t="str">
        <v>UBND Ủy ban nhân dân xã Quế Phong  tỉnh Quảng Nam</v>
      </c>
      <c r="C15919" t="str">
        <v>-</v>
      </c>
      <c r="D15919" t="str">
        <v>-</v>
      </c>
      <c r="E15919" t="str">
        <v>-</v>
      </c>
      <c r="F15919" t="str">
        <v>-</v>
      </c>
      <c r="G15919" t="str">
        <v>-</v>
      </c>
    </row>
    <row r="15920">
      <c r="A15920">
        <v>15919</v>
      </c>
      <c r="B15920" t="str">
        <v>Công an xã Quế An  tỉnh Quảng Nam</v>
      </c>
      <c r="C15920" t="str">
        <v>-</v>
      </c>
      <c r="D15920" t="str">
        <v>-</v>
      </c>
      <c r="E15920" t="str">
        <v/>
      </c>
      <c r="F15920" t="str">
        <v>-</v>
      </c>
      <c r="G15920" t="str">
        <v>-</v>
      </c>
    </row>
    <row r="15921">
      <c r="A15921">
        <v>15920</v>
      </c>
      <c r="B15921" t="str">
        <v>UBND Ủy ban nhân dân xã Quế An  tỉnh Quảng Nam</v>
      </c>
      <c r="C15921" t="str">
        <v>-</v>
      </c>
      <c r="D15921" t="str">
        <v>-</v>
      </c>
      <c r="E15921" t="str">
        <v>-</v>
      </c>
      <c r="F15921" t="str">
        <v>-</v>
      </c>
      <c r="G15921" t="str">
        <v>-</v>
      </c>
    </row>
    <row r="15922">
      <c r="A15922">
        <v>15921</v>
      </c>
      <c r="B15922" t="str">
        <v>Công an xã Quế Minh  tỉnh Quảng Nam</v>
      </c>
      <c r="C15922" t="str">
        <v>-</v>
      </c>
      <c r="D15922" t="str">
        <v>-</v>
      </c>
      <c r="E15922" t="str">
        <v/>
      </c>
      <c r="F15922" t="str">
        <v>-</v>
      </c>
      <c r="G15922" t="str">
        <v>-</v>
      </c>
    </row>
    <row r="15923">
      <c r="A15923">
        <v>15922</v>
      </c>
      <c r="B15923" t="str">
        <v>UBND Ủy ban nhân dân xã Quế Minh  tỉnh Quảng Nam</v>
      </c>
      <c r="C15923" t="str">
        <v>-</v>
      </c>
      <c r="D15923" t="str">
        <v>-</v>
      </c>
      <c r="E15923" t="str">
        <v>-</v>
      </c>
      <c r="F15923" t="str">
        <v>-</v>
      </c>
      <c r="G15923" t="str">
        <v>-</v>
      </c>
    </row>
    <row r="15924">
      <c r="A15924">
        <v>15923</v>
      </c>
      <c r="B15924" t="str">
        <v>Công an xã Laêê  tỉnh Quảng Nam</v>
      </c>
      <c r="C15924" t="str">
        <v>-</v>
      </c>
      <c r="D15924" t="str">
        <v>-</v>
      </c>
      <c r="E15924" t="str">
        <v/>
      </c>
      <c r="F15924" t="str">
        <v>-</v>
      </c>
      <c r="G15924" t="str">
        <v>-</v>
      </c>
    </row>
    <row r="15925">
      <c r="A15925">
        <v>15924</v>
      </c>
      <c r="B15925" t="str">
        <v>UBND Ủy ban nhân dân xã Laêê  tỉnh Quảng Nam</v>
      </c>
      <c r="C15925" t="str">
        <v>-</v>
      </c>
      <c r="D15925" t="str">
        <v>-</v>
      </c>
      <c r="E15925" t="str">
        <v>-</v>
      </c>
      <c r="F15925" t="str">
        <v>-</v>
      </c>
      <c r="G15925" t="str">
        <v>-</v>
      </c>
    </row>
    <row r="15926">
      <c r="A15926">
        <v>15925</v>
      </c>
      <c r="B15926" t="str">
        <v>Công an xã Chơ Chun  tỉnh Quảng Nam</v>
      </c>
      <c r="C15926" t="str">
        <v>-</v>
      </c>
      <c r="D15926" t="str">
        <v>-</v>
      </c>
      <c r="E15926" t="str">
        <v/>
      </c>
      <c r="F15926" t="str">
        <v>-</v>
      </c>
      <c r="G15926" t="str">
        <v>-</v>
      </c>
    </row>
    <row r="15927">
      <c r="A15927">
        <v>15926</v>
      </c>
      <c r="B15927" t="str">
        <v>UBND Ủy ban nhân dân xã Chơ Chun  tỉnh Quảng Nam</v>
      </c>
      <c r="C15927" t="str">
        <v>-</v>
      </c>
      <c r="D15927" t="str">
        <v>-</v>
      </c>
      <c r="E15927" t="str">
        <v>-</v>
      </c>
      <c r="F15927" t="str">
        <v>-</v>
      </c>
      <c r="G15927" t="str">
        <v>-</v>
      </c>
    </row>
    <row r="15928">
      <c r="A15928">
        <v>15927</v>
      </c>
      <c r="B15928" t="str">
        <v>Công an xã Zuôich  tỉnh Quảng Nam</v>
      </c>
      <c r="C15928" t="str">
        <v>-</v>
      </c>
      <c r="D15928" t="str">
        <v>-</v>
      </c>
      <c r="E15928" t="str">
        <v/>
      </c>
      <c r="F15928" t="str">
        <v>-</v>
      </c>
      <c r="G15928" t="str">
        <v>-</v>
      </c>
    </row>
    <row r="15929">
      <c r="A15929">
        <v>15928</v>
      </c>
      <c r="B15929" t="str">
        <v>UBND Ủy ban nhân dân xã Zuôich  tỉnh Quảng Nam</v>
      </c>
      <c r="C15929" t="str">
        <v>-</v>
      </c>
      <c r="D15929" t="str">
        <v>-</v>
      </c>
      <c r="E15929" t="str">
        <v>-</v>
      </c>
      <c r="F15929" t="str">
        <v>-</v>
      </c>
      <c r="G15929" t="str">
        <v>-</v>
      </c>
    </row>
    <row r="15930">
      <c r="A15930">
        <v>15929</v>
      </c>
      <c r="B15930" t="str">
        <v>Công an xã Tà Pơơ  tỉnh Quảng Nam</v>
      </c>
      <c r="C15930" t="str">
        <v>-</v>
      </c>
      <c r="D15930" t="str">
        <v>-</v>
      </c>
      <c r="E15930" t="str">
        <v/>
      </c>
      <c r="F15930" t="str">
        <v>-</v>
      </c>
      <c r="G15930" t="str">
        <v>-</v>
      </c>
    </row>
    <row r="15931">
      <c r="A15931">
        <v>15930</v>
      </c>
      <c r="B15931" t="str">
        <v>UBND Ủy ban nhân dân xã Tà Pơơ  tỉnh Quảng Nam</v>
      </c>
      <c r="C15931" t="str">
        <v>-</v>
      </c>
      <c r="D15931" t="str">
        <v>-</v>
      </c>
      <c r="E15931" t="str">
        <v>-</v>
      </c>
      <c r="F15931" t="str">
        <v>-</v>
      </c>
      <c r="G15931" t="str">
        <v>-</v>
      </c>
    </row>
    <row r="15932">
      <c r="A15932">
        <v>15931</v>
      </c>
      <c r="B15932" t="str">
        <v>Công an xã La Dêê  tỉnh Quảng Nam</v>
      </c>
      <c r="C15932" t="str">
        <v>-</v>
      </c>
      <c r="D15932" t="str">
        <v>-</v>
      </c>
      <c r="E15932" t="str">
        <v/>
      </c>
      <c r="F15932" t="str">
        <v>-</v>
      </c>
      <c r="G15932" t="str">
        <v>-</v>
      </c>
    </row>
    <row r="15933">
      <c r="A15933">
        <v>15932</v>
      </c>
      <c r="B15933" t="str">
        <v>UBND Ủy ban nhân dân xã La Dêê  tỉnh Quảng Nam</v>
      </c>
      <c r="C15933" t="str">
        <v>-</v>
      </c>
      <c r="D15933" t="str">
        <v>-</v>
      </c>
      <c r="E15933" t="str">
        <v>-</v>
      </c>
      <c r="F15933" t="str">
        <v>-</v>
      </c>
      <c r="G15933" t="str">
        <v>-</v>
      </c>
    </row>
    <row r="15934">
      <c r="A15934">
        <v>15933</v>
      </c>
      <c r="B15934" t="str">
        <v>Công an xã Đắc Tôi  tỉnh Quảng Nam</v>
      </c>
      <c r="C15934" t="str">
        <v>-</v>
      </c>
      <c r="D15934" t="str">
        <v>-</v>
      </c>
      <c r="E15934" t="str">
        <v/>
      </c>
      <c r="F15934" t="str">
        <v>-</v>
      </c>
      <c r="G15934" t="str">
        <v>-</v>
      </c>
    </row>
    <row r="15935">
      <c r="A15935">
        <v>15934</v>
      </c>
      <c r="B15935" t="str">
        <v>UBND Ủy ban nhân dân xã Đắc Tôi  tỉnh Quảng Nam</v>
      </c>
      <c r="C15935" t="str">
        <v>-</v>
      </c>
      <c r="D15935" t="str">
        <v>-</v>
      </c>
      <c r="E15935" t="str">
        <v>-</v>
      </c>
      <c r="F15935" t="str">
        <v>-</v>
      </c>
      <c r="G15935" t="str">
        <v>-</v>
      </c>
    </row>
    <row r="15936">
      <c r="A15936">
        <v>15935</v>
      </c>
      <c r="B15936" t="str">
        <v>Công an xã Chà Vàl  tỉnh Quảng Nam</v>
      </c>
      <c r="C15936" t="str">
        <v>-</v>
      </c>
      <c r="D15936" t="str">
        <v>-</v>
      </c>
      <c r="E15936" t="str">
        <v/>
      </c>
      <c r="F15936" t="str">
        <v>-</v>
      </c>
      <c r="G15936" t="str">
        <v>-</v>
      </c>
    </row>
    <row r="15937">
      <c r="A15937">
        <v>15936</v>
      </c>
      <c r="B15937" t="str">
        <v>UBND Ủy ban nhân dân xã Chà Vàl  tỉnh Quảng Nam</v>
      </c>
      <c r="C15937" t="str">
        <v>-</v>
      </c>
      <c r="D15937" t="str">
        <v>-</v>
      </c>
      <c r="E15937" t="str">
        <v>-</v>
      </c>
      <c r="F15937" t="str">
        <v>-</v>
      </c>
      <c r="G15937" t="str">
        <v>-</v>
      </c>
    </row>
    <row r="15938">
      <c r="A15938">
        <v>15937</v>
      </c>
      <c r="B15938" t="str">
        <v>Công an xã Tà Bhinh  tỉnh Quảng Nam</v>
      </c>
      <c r="C15938" t="str">
        <v>-</v>
      </c>
      <c r="D15938" t="str">
        <v>-</v>
      </c>
      <c r="E15938" t="str">
        <v/>
      </c>
      <c r="F15938" t="str">
        <v>-</v>
      </c>
      <c r="G15938" t="str">
        <v>-</v>
      </c>
    </row>
    <row r="15939">
      <c r="A15939">
        <v>15938</v>
      </c>
      <c r="B15939" t="str">
        <v>UBND Ủy ban nhân dân xã Tà Bhinh  tỉnh Quảng Nam</v>
      </c>
      <c r="C15939" t="str">
        <v>-</v>
      </c>
      <c r="D15939" t="str">
        <v>-</v>
      </c>
      <c r="E15939" t="str">
        <v>-</v>
      </c>
      <c r="F15939" t="str">
        <v>-</v>
      </c>
      <c r="G15939" t="str">
        <v>-</v>
      </c>
    </row>
    <row r="15940">
      <c r="A15940">
        <v>15939</v>
      </c>
      <c r="B15940" t="str">
        <v>Công an xã Cà Dy  tỉnh Quảng Nam</v>
      </c>
      <c r="C15940" t="str">
        <v>-</v>
      </c>
      <c r="D15940" t="str">
        <v>-</v>
      </c>
      <c r="E15940" t="str">
        <v/>
      </c>
      <c r="F15940" t="str">
        <v>-</v>
      </c>
      <c r="G15940" t="str">
        <v>-</v>
      </c>
    </row>
    <row r="15941">
      <c r="A15941">
        <v>15940</v>
      </c>
      <c r="B15941" t="str">
        <v>UBND Ủy ban nhân dân xã Cà Dy  tỉnh Quảng Nam</v>
      </c>
      <c r="C15941" t="str">
        <v>-</v>
      </c>
      <c r="D15941" t="str">
        <v>-</v>
      </c>
      <c r="E15941" t="str">
        <v>-</v>
      </c>
      <c r="F15941" t="str">
        <v>-</v>
      </c>
      <c r="G15941" t="str">
        <v>-</v>
      </c>
    </row>
    <row r="15942">
      <c r="A15942">
        <v>15941</v>
      </c>
      <c r="B15942" t="str">
        <v>Công an xã Đắc Pre  tỉnh Quảng Nam</v>
      </c>
      <c r="C15942" t="str">
        <v>-</v>
      </c>
      <c r="D15942" t="str">
        <v>-</v>
      </c>
      <c r="E15942" t="str">
        <v/>
      </c>
      <c r="F15942" t="str">
        <v>-</v>
      </c>
      <c r="G15942" t="str">
        <v>-</v>
      </c>
    </row>
    <row r="15943">
      <c r="A15943">
        <v>15942</v>
      </c>
      <c r="B15943" t="str">
        <v>UBND Ủy ban nhân dân xã Đắc Pre  tỉnh Quảng Nam</v>
      </c>
      <c r="C15943" t="str">
        <v>-</v>
      </c>
      <c r="D15943" t="str">
        <v>-</v>
      </c>
      <c r="E15943" t="str">
        <v>-</v>
      </c>
      <c r="F15943" t="str">
        <v>-</v>
      </c>
      <c r="G15943" t="str">
        <v>-</v>
      </c>
    </row>
    <row r="15944">
      <c r="A15944">
        <v>15943</v>
      </c>
      <c r="B15944" t="str">
        <v>Công an xã Đắc Pring  tỉnh Quảng Nam</v>
      </c>
      <c r="C15944" t="str">
        <v>-</v>
      </c>
      <c r="D15944" t="str">
        <v>-</v>
      </c>
      <c r="E15944" t="str">
        <v/>
      </c>
      <c r="F15944" t="str">
        <v>-</v>
      </c>
      <c r="G15944" t="str">
        <v>-</v>
      </c>
    </row>
    <row r="15945">
      <c r="A15945">
        <v>15944</v>
      </c>
      <c r="B15945" t="str">
        <v>UBND Ủy ban nhân dân xã Đắc Pring  tỉnh Quảng Nam</v>
      </c>
      <c r="C15945" t="str">
        <v>-</v>
      </c>
      <c r="D15945" t="str">
        <v>-</v>
      </c>
      <c r="E15945" t="str">
        <v>-</v>
      </c>
      <c r="F15945" t="str">
        <v>-</v>
      </c>
      <c r="G15945" t="str">
        <v>-</v>
      </c>
    </row>
    <row r="15946">
      <c r="A15946">
        <v>15945</v>
      </c>
      <c r="B15946" t="str">
        <v>Công an xã Phước Xuân  tỉnh Quảng Nam</v>
      </c>
      <c r="C15946" t="str">
        <v>-</v>
      </c>
      <c r="D15946" t="str">
        <v>-</v>
      </c>
      <c r="E15946" t="str">
        <v/>
      </c>
      <c r="F15946" t="str">
        <v>-</v>
      </c>
      <c r="G15946" t="str">
        <v>-</v>
      </c>
    </row>
    <row r="15947">
      <c r="A15947">
        <v>15946</v>
      </c>
      <c r="B15947" t="str">
        <v>UBND Ủy ban nhân dân xã Phước Xuân  tỉnh Quảng Nam</v>
      </c>
      <c r="C15947" t="str">
        <v>-</v>
      </c>
      <c r="D15947" t="str">
        <v>-</v>
      </c>
      <c r="E15947" t="str">
        <v>-</v>
      </c>
      <c r="F15947" t="str">
        <v>-</v>
      </c>
      <c r="G15947" t="str">
        <v>-</v>
      </c>
    </row>
    <row r="15948">
      <c r="A15948">
        <v>15947</v>
      </c>
      <c r="B15948" t="str">
        <v>Công an xã Phước Hiệp  tỉnh Quảng Nam</v>
      </c>
      <c r="C15948" t="str">
        <v>-</v>
      </c>
      <c r="D15948" t="str">
        <v>-</v>
      </c>
      <c r="E15948" t="str">
        <v/>
      </c>
      <c r="F15948" t="str">
        <v>-</v>
      </c>
      <c r="G15948" t="str">
        <v>-</v>
      </c>
    </row>
    <row r="15949">
      <c r="A15949">
        <v>15948</v>
      </c>
      <c r="B15949" t="str">
        <v>UBND Ủy ban nhân dân xã Phước Hiệp  tỉnh Quảng Nam</v>
      </c>
      <c r="C15949" t="str">
        <v>-</v>
      </c>
      <c r="D15949" t="str">
        <v>-</v>
      </c>
      <c r="E15949" t="str">
        <v>-</v>
      </c>
      <c r="F15949" t="str">
        <v>-</v>
      </c>
      <c r="G15949" t="str">
        <v>-</v>
      </c>
    </row>
    <row r="15950">
      <c r="A15950">
        <v>15949</v>
      </c>
      <c r="B15950" t="str">
        <v>Công an xã Phước Hoà  tỉnh Quảng Nam</v>
      </c>
      <c r="C15950" t="str">
        <v>-</v>
      </c>
      <c r="D15950" t="str">
        <v>-</v>
      </c>
      <c r="E15950" t="str">
        <v/>
      </c>
      <c r="F15950" t="str">
        <v>-</v>
      </c>
      <c r="G15950" t="str">
        <v>-</v>
      </c>
    </row>
    <row r="15951">
      <c r="A15951">
        <v>15950</v>
      </c>
      <c r="B15951" t="str">
        <v>UBND Ủy ban nhân dân xã Phước Hoà  tỉnh Quảng Nam</v>
      </c>
      <c r="C15951" t="str">
        <v>-</v>
      </c>
      <c r="D15951" t="str">
        <v>-</v>
      </c>
      <c r="E15951" t="str">
        <v>-</v>
      </c>
      <c r="F15951" t="str">
        <v>-</v>
      </c>
      <c r="G15951" t="str">
        <v>-</v>
      </c>
    </row>
    <row r="15952">
      <c r="A15952">
        <v>15951</v>
      </c>
      <c r="B15952" t="str">
        <v>Công an xã Phước Đức  tỉnh Quảng Nam</v>
      </c>
      <c r="C15952" t="str">
        <v>-</v>
      </c>
      <c r="D15952" t="str">
        <v>-</v>
      </c>
      <c r="E15952" t="str">
        <v/>
      </c>
      <c r="F15952" t="str">
        <v>-</v>
      </c>
      <c r="G15952" t="str">
        <v>-</v>
      </c>
    </row>
    <row r="15953">
      <c r="A15953">
        <v>15952</v>
      </c>
      <c r="B15953" t="str">
        <v>UBND Ủy ban nhân dân xã Phước Đức  tỉnh Quảng Nam</v>
      </c>
      <c r="C15953" t="str">
        <v>-</v>
      </c>
      <c r="D15953" t="str">
        <v>-</v>
      </c>
      <c r="E15953" t="str">
        <v>-</v>
      </c>
      <c r="F15953" t="str">
        <v>-</v>
      </c>
      <c r="G15953" t="str">
        <v>-</v>
      </c>
    </row>
    <row r="15954">
      <c r="A15954">
        <v>15953</v>
      </c>
      <c r="B15954" t="str">
        <v>Công an xã Phước Năng  tỉnh Quảng Nam</v>
      </c>
      <c r="C15954" t="str">
        <v>-</v>
      </c>
      <c r="D15954" t="str">
        <v>-</v>
      </c>
      <c r="E15954" t="str">
        <v/>
      </c>
      <c r="F15954" t="str">
        <v>-</v>
      </c>
      <c r="G15954" t="str">
        <v>-</v>
      </c>
    </row>
    <row r="15955">
      <c r="A15955">
        <v>15954</v>
      </c>
      <c r="B15955" t="str">
        <v>UBND Ủy ban nhân dân xã Phước Năng  tỉnh Quảng Nam</v>
      </c>
      <c r="C15955" t="str">
        <v>-</v>
      </c>
      <c r="D15955" t="str">
        <v>-</v>
      </c>
      <c r="E15955" t="str">
        <v>-</v>
      </c>
      <c r="F15955" t="str">
        <v>-</v>
      </c>
      <c r="G15955" t="str">
        <v>-</v>
      </c>
    </row>
    <row r="15956">
      <c r="A15956">
        <v>15955</v>
      </c>
      <c r="B15956" t="str">
        <v>Công an xã Phước Mỹ  tỉnh Quảng Nam</v>
      </c>
      <c r="C15956" t="str">
        <v>-</v>
      </c>
      <c r="D15956" t="str">
        <v>-</v>
      </c>
      <c r="E15956" t="str">
        <v/>
      </c>
      <c r="F15956" t="str">
        <v>-</v>
      </c>
      <c r="G15956" t="str">
        <v>-</v>
      </c>
    </row>
    <row r="15957">
      <c r="A15957">
        <v>15956</v>
      </c>
      <c r="B15957" t="str">
        <v>UBND Ủy ban nhân dân xã Phước Mỹ  tỉnh Quảng Nam</v>
      </c>
      <c r="C15957" t="str">
        <v>-</v>
      </c>
      <c r="D15957" t="str">
        <v>-</v>
      </c>
      <c r="E15957" t="str">
        <v>-</v>
      </c>
      <c r="F15957" t="str">
        <v>-</v>
      </c>
      <c r="G15957" t="str">
        <v>-</v>
      </c>
    </row>
    <row r="15958">
      <c r="A15958">
        <v>15957</v>
      </c>
      <c r="B15958" t="str">
        <v>Công an xã Phước Chánh  tỉnh Quảng Nam</v>
      </c>
      <c r="C15958" t="str">
        <v>-</v>
      </c>
      <c r="D15958" t="str">
        <v>-</v>
      </c>
      <c r="E15958" t="str">
        <v/>
      </c>
      <c r="F15958" t="str">
        <v>-</v>
      </c>
      <c r="G15958" t="str">
        <v>-</v>
      </c>
    </row>
    <row r="15959">
      <c r="A15959">
        <v>15958</v>
      </c>
      <c r="B15959" t="str">
        <v>UBND Ủy ban nhân dân xã Phước Chánh  tỉnh Quảng Nam</v>
      </c>
      <c r="C15959" t="str">
        <v>-</v>
      </c>
      <c r="D15959" t="str">
        <v>-</v>
      </c>
      <c r="E15959" t="str">
        <v>-</v>
      </c>
      <c r="F15959" t="str">
        <v>-</v>
      </c>
      <c r="G15959" t="str">
        <v>-</v>
      </c>
    </row>
    <row r="15960">
      <c r="A15960">
        <v>15959</v>
      </c>
      <c r="B15960" t="str">
        <v>Công an xã Phước Công  tỉnh Quảng Nam</v>
      </c>
      <c r="C15960" t="str">
        <v>-</v>
      </c>
      <c r="D15960" t="str">
        <v>-</v>
      </c>
      <c r="E15960" t="str">
        <v/>
      </c>
      <c r="F15960" t="str">
        <v>-</v>
      </c>
      <c r="G15960" t="str">
        <v>-</v>
      </c>
    </row>
    <row r="15961">
      <c r="A15961">
        <v>15960</v>
      </c>
      <c r="B15961" t="str">
        <v>UBND Ủy ban nhân dân xã Phước Công  tỉnh Quảng Nam</v>
      </c>
      <c r="C15961" t="str">
        <v>-</v>
      </c>
      <c r="D15961" t="str">
        <v>-</v>
      </c>
      <c r="E15961" t="str">
        <v>-</v>
      </c>
      <c r="F15961" t="str">
        <v>-</v>
      </c>
      <c r="G15961" t="str">
        <v>-</v>
      </c>
    </row>
    <row r="15962">
      <c r="A15962">
        <v>15961</v>
      </c>
      <c r="B15962" t="str">
        <v>Công an xã Phước Kim  tỉnh Quảng Nam</v>
      </c>
      <c r="C15962" t="str">
        <v>-</v>
      </c>
      <c r="D15962" t="str">
        <v>-</v>
      </c>
      <c r="E15962" t="str">
        <v/>
      </c>
      <c r="F15962" t="str">
        <v>-</v>
      </c>
      <c r="G15962" t="str">
        <v>-</v>
      </c>
    </row>
    <row r="15963">
      <c r="A15963">
        <v>15962</v>
      </c>
      <c r="B15963" t="str">
        <v>UBND Ủy ban nhân dân xã Phước Kim  tỉnh Quảng Nam</v>
      </c>
      <c r="C15963" t="str">
        <v>-</v>
      </c>
      <c r="D15963" t="str">
        <v>-</v>
      </c>
      <c r="E15963" t="str">
        <v>-</v>
      </c>
      <c r="F15963" t="str">
        <v>-</v>
      </c>
      <c r="G15963" t="str">
        <v>-</v>
      </c>
    </row>
    <row r="15964">
      <c r="A15964">
        <v>15963</v>
      </c>
      <c r="B15964" t="str">
        <v>Công an xã Phước Lộc  tỉnh Quảng Nam</v>
      </c>
      <c r="C15964" t="str">
        <v>-</v>
      </c>
      <c r="D15964" t="str">
        <v>-</v>
      </c>
      <c r="E15964" t="str">
        <v/>
      </c>
      <c r="F15964" t="str">
        <v>-</v>
      </c>
      <c r="G15964" t="str">
        <v>-</v>
      </c>
    </row>
    <row r="15965">
      <c r="A15965">
        <v>15964</v>
      </c>
      <c r="B15965" t="str">
        <v>UBND Ủy ban nhân dân xã Phước Lộc  tỉnh Quảng Nam</v>
      </c>
      <c r="C15965" t="str">
        <v>-</v>
      </c>
      <c r="D15965" t="str">
        <v>-</v>
      </c>
      <c r="E15965" t="str">
        <v>-</v>
      </c>
      <c r="F15965" t="str">
        <v>-</v>
      </c>
      <c r="G15965" t="str">
        <v>-</v>
      </c>
    </row>
    <row r="15966">
      <c r="A15966">
        <v>15965</v>
      </c>
      <c r="B15966" t="str">
        <v>Công an xã Phước Thành  tỉnh Quảng Nam</v>
      </c>
      <c r="C15966" t="str">
        <v>-</v>
      </c>
      <c r="D15966" t="str">
        <v>-</v>
      </c>
      <c r="E15966" t="str">
        <v/>
      </c>
      <c r="F15966" t="str">
        <v>-</v>
      </c>
      <c r="G15966" t="str">
        <v>-</v>
      </c>
    </row>
    <row r="15967">
      <c r="A15967">
        <v>15966</v>
      </c>
      <c r="B15967" t="str">
        <v>UBND Ủy ban nhân dân xã Phước Thành  tỉnh Quảng Nam</v>
      </c>
      <c r="C15967" t="str">
        <v>-</v>
      </c>
      <c r="D15967" t="str">
        <v>-</v>
      </c>
      <c r="E15967" t="str">
        <v>-</v>
      </c>
      <c r="F15967" t="str">
        <v>-</v>
      </c>
      <c r="G15967" t="str">
        <v>-</v>
      </c>
    </row>
    <row r="15968">
      <c r="A15968">
        <v>15967</v>
      </c>
      <c r="B15968" t="str">
        <v>Công an xã Hiệp Hòa  tỉnh Quảng Nam</v>
      </c>
      <c r="C15968" t="str">
        <v>-</v>
      </c>
      <c r="D15968" t="str">
        <v>-</v>
      </c>
      <c r="E15968" t="str">
        <v/>
      </c>
      <c r="F15968" t="str">
        <v>-</v>
      </c>
      <c r="G15968" t="str">
        <v>-</v>
      </c>
    </row>
    <row r="15969">
      <c r="A15969">
        <v>15968</v>
      </c>
      <c r="B15969" t="str">
        <v>UBND Ủy ban nhân dân xã Hiệp Hòa  tỉnh Quảng Nam</v>
      </c>
      <c r="C15969" t="str">
        <v>-</v>
      </c>
      <c r="D15969" t="str">
        <v>-</v>
      </c>
      <c r="E15969" t="str">
        <v>-</v>
      </c>
      <c r="F15969" t="str">
        <v>-</v>
      </c>
      <c r="G15969" t="str">
        <v>-</v>
      </c>
    </row>
    <row r="15970">
      <c r="A15970">
        <v>15969</v>
      </c>
      <c r="B15970" t="str">
        <v>Công an xã Hiệp Thuận  tỉnh Quảng Nam</v>
      </c>
      <c r="C15970" t="str">
        <v>-</v>
      </c>
      <c r="D15970" t="str">
        <v>-</v>
      </c>
      <c r="E15970" t="str">
        <v/>
      </c>
      <c r="F15970" t="str">
        <v>-</v>
      </c>
      <c r="G15970" t="str">
        <v>-</v>
      </c>
    </row>
    <row r="15971">
      <c r="A15971">
        <v>15970</v>
      </c>
      <c r="B15971" t="str">
        <v>UBND Ủy ban nhân dân xã Hiệp Thuận  tỉnh Quảng Nam</v>
      </c>
      <c r="C15971" t="str">
        <v>-</v>
      </c>
      <c r="D15971" t="str">
        <v>-</v>
      </c>
      <c r="E15971" t="str">
        <v>-</v>
      </c>
      <c r="F15971" t="str">
        <v>-</v>
      </c>
      <c r="G15971" t="str">
        <v>-</v>
      </c>
    </row>
    <row r="15972">
      <c r="A15972">
        <v>15971</v>
      </c>
      <c r="B15972" t="str">
        <v>Công an xã Bình Lâm  tỉnh Quảng Nam</v>
      </c>
      <c r="C15972" t="str">
        <v>-</v>
      </c>
      <c r="D15972" t="str">
        <v>-</v>
      </c>
      <c r="E15972" t="str">
        <v/>
      </c>
      <c r="F15972" t="str">
        <v>-</v>
      </c>
      <c r="G15972" t="str">
        <v>-</v>
      </c>
    </row>
    <row r="15973">
      <c r="A15973">
        <v>15972</v>
      </c>
      <c r="B15973" t="str">
        <v>UBND Ủy ban nhân dân xã Bình Lâm  tỉnh Quảng Nam</v>
      </c>
      <c r="C15973" t="str">
        <v>-</v>
      </c>
      <c r="D15973" t="str">
        <v>-</v>
      </c>
      <c r="E15973" t="str">
        <v>-</v>
      </c>
      <c r="F15973" t="str">
        <v>-</v>
      </c>
      <c r="G15973" t="str">
        <v>-</v>
      </c>
    </row>
    <row r="15974">
      <c r="A15974">
        <v>15973</v>
      </c>
      <c r="B15974" t="str">
        <v>Công an xã Sông Trà  tỉnh Quảng Nam</v>
      </c>
      <c r="C15974" t="str">
        <v>-</v>
      </c>
      <c r="D15974" t="str">
        <v>-</v>
      </c>
      <c r="E15974" t="str">
        <v/>
      </c>
      <c r="F15974" t="str">
        <v>-</v>
      </c>
      <c r="G15974" t="str">
        <v>-</v>
      </c>
    </row>
    <row r="15975">
      <c r="A15975">
        <v>15974</v>
      </c>
      <c r="B15975" t="str">
        <v>UBND Ủy ban nhân dân xã Sông Trà  tỉnh Quảng Nam</v>
      </c>
      <c r="C15975" t="str">
        <v>-</v>
      </c>
      <c r="D15975" t="str">
        <v>-</v>
      </c>
      <c r="E15975" t="str">
        <v>-</v>
      </c>
      <c r="F15975" t="str">
        <v>-</v>
      </c>
      <c r="G15975" t="str">
        <v>-</v>
      </c>
    </row>
    <row r="15976">
      <c r="A15976">
        <v>15975</v>
      </c>
      <c r="B15976" t="str">
        <v>Công an xã Phước Trà  tỉnh Quảng Nam</v>
      </c>
      <c r="C15976" t="str">
        <v>-</v>
      </c>
      <c r="D15976" t="str">
        <v>-</v>
      </c>
      <c r="E15976" t="str">
        <v/>
      </c>
      <c r="F15976" t="str">
        <v>-</v>
      </c>
      <c r="G15976" t="str">
        <v>-</v>
      </c>
    </row>
    <row r="15977">
      <c r="A15977">
        <v>15976</v>
      </c>
      <c r="B15977" t="str">
        <v>UBND Ủy ban nhân dân xã Phước Trà  tỉnh Quảng Nam</v>
      </c>
      <c r="C15977" t="str">
        <v>-</v>
      </c>
      <c r="D15977" t="str">
        <v>-</v>
      </c>
      <c r="E15977" t="str">
        <v>-</v>
      </c>
      <c r="F15977" t="str">
        <v>-</v>
      </c>
      <c r="G15977" t="str">
        <v>-</v>
      </c>
    </row>
    <row r="15978">
      <c r="A15978">
        <v>15977</v>
      </c>
      <c r="B15978" t="str">
        <v>Công an xã Phước Gia  tỉnh Quảng Nam</v>
      </c>
      <c r="C15978" t="str">
        <v>-</v>
      </c>
      <c r="D15978" t="str">
        <v>-</v>
      </c>
      <c r="E15978" t="str">
        <v/>
      </c>
      <c r="F15978" t="str">
        <v>-</v>
      </c>
      <c r="G15978" t="str">
        <v>-</v>
      </c>
    </row>
    <row r="15979">
      <c r="A15979">
        <v>15978</v>
      </c>
      <c r="B15979" t="str">
        <v>UBND Ủy ban nhân dân xã Phước Gia  tỉnh Quảng Nam</v>
      </c>
      <c r="C15979" t="str">
        <v>-</v>
      </c>
      <c r="D15979" t="str">
        <v>-</v>
      </c>
      <c r="E15979" t="str">
        <v>-</v>
      </c>
      <c r="F15979" t="str">
        <v>-</v>
      </c>
      <c r="G15979" t="str">
        <v>-</v>
      </c>
    </row>
    <row r="15980">
      <c r="A15980">
        <v>15979</v>
      </c>
      <c r="B15980" t="str">
        <v>Công an xã Quế Bình  tỉnh Quảng Nam</v>
      </c>
      <c r="C15980" t="str">
        <v>-</v>
      </c>
      <c r="D15980" t="str">
        <v>-</v>
      </c>
      <c r="E15980" t="str">
        <v/>
      </c>
      <c r="F15980" t="str">
        <v>-</v>
      </c>
      <c r="G15980" t="str">
        <v>-</v>
      </c>
    </row>
    <row r="15981">
      <c r="A15981">
        <v>15980</v>
      </c>
      <c r="B15981" t="str">
        <v>UBND Ủy ban nhân dân xã Quế Bình  tỉnh Quảng Nam</v>
      </c>
      <c r="C15981" t="str">
        <v>-</v>
      </c>
      <c r="D15981" t="str">
        <v>-</v>
      </c>
      <c r="E15981" t="str">
        <v>-</v>
      </c>
      <c r="F15981" t="str">
        <v>-</v>
      </c>
      <c r="G15981" t="str">
        <v>-</v>
      </c>
    </row>
    <row r="15982">
      <c r="A15982">
        <v>15981</v>
      </c>
      <c r="B15982" t="str">
        <v>Công an xã Quế Lưu  tỉnh Quảng Nam</v>
      </c>
      <c r="C15982" t="str">
        <v>-</v>
      </c>
      <c r="D15982" t="str">
        <v>-</v>
      </c>
      <c r="E15982" t="str">
        <v/>
      </c>
      <c r="F15982" t="str">
        <v>-</v>
      </c>
      <c r="G15982" t="str">
        <v>-</v>
      </c>
    </row>
    <row r="15983">
      <c r="A15983">
        <v>15982</v>
      </c>
      <c r="B15983" t="str">
        <v>UBND Ủy ban nhân dân xã Quế Lưu  tỉnh Quảng Nam</v>
      </c>
      <c r="C15983" t="str">
        <v>-</v>
      </c>
      <c r="D15983" t="str">
        <v>-</v>
      </c>
      <c r="E15983" t="str">
        <v>-</v>
      </c>
      <c r="F15983" t="str">
        <v>-</v>
      </c>
      <c r="G15983" t="str">
        <v>-</v>
      </c>
    </row>
    <row r="15984">
      <c r="A15984">
        <v>15983</v>
      </c>
      <c r="B15984" t="str">
        <v>Công an xã Thăng Phước  tỉnh Quảng Nam</v>
      </c>
      <c r="C15984" t="str">
        <v>-</v>
      </c>
      <c r="D15984" t="str">
        <v>-</v>
      </c>
      <c r="E15984" t="str">
        <v/>
      </c>
      <c r="F15984" t="str">
        <v>-</v>
      </c>
      <c r="G15984" t="str">
        <v>-</v>
      </c>
    </row>
    <row r="15985">
      <c r="A15985">
        <v>15984</v>
      </c>
      <c r="B15985" t="str">
        <v>UBND Ủy ban nhân dân xã Thăng Phước  tỉnh Quảng Nam</v>
      </c>
      <c r="C15985" t="str">
        <v>-</v>
      </c>
      <c r="D15985" t="str">
        <v>-</v>
      </c>
      <c r="E15985" t="str">
        <v>-</v>
      </c>
      <c r="F15985" t="str">
        <v>-</v>
      </c>
      <c r="G15985" t="str">
        <v>-</v>
      </c>
    </row>
    <row r="15986">
      <c r="A15986">
        <v>15985</v>
      </c>
      <c r="B15986" t="str">
        <v>Công an xã Bình Sơn  tỉnh Quảng Nam</v>
      </c>
      <c r="C15986" t="str">
        <v>-</v>
      </c>
      <c r="D15986" t="str">
        <v>-</v>
      </c>
      <c r="E15986" t="str">
        <v/>
      </c>
      <c r="F15986" t="str">
        <v>-</v>
      </c>
      <c r="G15986" t="str">
        <v>-</v>
      </c>
    </row>
    <row r="15987">
      <c r="A15987">
        <v>15986</v>
      </c>
      <c r="B15987" t="str">
        <v>UBND Ủy ban nhân dân xã Bình Sơn  tỉnh Quảng Nam</v>
      </c>
      <c r="C15987" t="str">
        <v>-</v>
      </c>
      <c r="D15987" t="str">
        <v>-</v>
      </c>
      <c r="E15987" t="str">
        <v>-</v>
      </c>
      <c r="F15987" t="str">
        <v>-</v>
      </c>
      <c r="G15987" t="str">
        <v>-</v>
      </c>
    </row>
    <row r="15988">
      <c r="A15988">
        <v>15987</v>
      </c>
      <c r="B15988" t="str">
        <v>Công an xã Bình Dương  tỉnh Quảng Nam</v>
      </c>
      <c r="C15988" t="str">
        <v>-</v>
      </c>
      <c r="D15988" t="str">
        <v>-</v>
      </c>
      <c r="E15988" t="str">
        <v/>
      </c>
      <c r="F15988" t="str">
        <v>-</v>
      </c>
      <c r="G15988" t="str">
        <v>-</v>
      </c>
    </row>
    <row r="15989">
      <c r="A15989">
        <v>15988</v>
      </c>
      <c r="B15989" t="str">
        <v>UBND Ủy ban nhân dân xã Bình Dương  tỉnh Quảng Nam</v>
      </c>
      <c r="C15989" t="str">
        <v>-</v>
      </c>
      <c r="D15989" t="str">
        <v>-</v>
      </c>
      <c r="E15989" t="str">
        <v>-</v>
      </c>
      <c r="F15989" t="str">
        <v>-</v>
      </c>
      <c r="G15989" t="str">
        <v>-</v>
      </c>
    </row>
    <row r="15990">
      <c r="A15990">
        <v>15989</v>
      </c>
      <c r="B15990" t="str">
        <v>Công an xã Bình Giang  tỉnh Quảng Nam</v>
      </c>
      <c r="C15990" t="str">
        <v>-</v>
      </c>
      <c r="D15990" t="str">
        <v>-</v>
      </c>
      <c r="E15990" t="str">
        <v/>
      </c>
      <c r="F15990" t="str">
        <v>-</v>
      </c>
      <c r="G15990" t="str">
        <v>-</v>
      </c>
    </row>
    <row r="15991">
      <c r="A15991">
        <v>15990</v>
      </c>
      <c r="B15991" t="str">
        <v>UBND Ủy ban nhân dân xã Bình Giang  tỉnh Quảng Nam</v>
      </c>
      <c r="C15991" t="str">
        <v>-</v>
      </c>
      <c r="D15991" t="str">
        <v>-</v>
      </c>
      <c r="E15991" t="str">
        <v>-</v>
      </c>
      <c r="F15991" t="str">
        <v>-</v>
      </c>
      <c r="G15991" t="str">
        <v>-</v>
      </c>
    </row>
    <row r="15992">
      <c r="A15992">
        <v>15991</v>
      </c>
      <c r="B15992" t="str">
        <v>Công an xã Bình Nguyên  tỉnh Quảng Nam</v>
      </c>
      <c r="C15992" t="str">
        <v>-</v>
      </c>
      <c r="D15992" t="str">
        <v>-</v>
      </c>
      <c r="E15992" t="str">
        <v/>
      </c>
      <c r="F15992" t="str">
        <v>-</v>
      </c>
      <c r="G15992" t="str">
        <v>-</v>
      </c>
    </row>
    <row r="15993">
      <c r="A15993">
        <v>15992</v>
      </c>
      <c r="B15993" t="str">
        <v>UBND Ủy ban nhân dân xã Bình Nguyên  tỉnh Quảng Nam</v>
      </c>
      <c r="C15993" t="str">
        <v>-</v>
      </c>
      <c r="D15993" t="str">
        <v>-</v>
      </c>
      <c r="E15993" t="str">
        <v>-</v>
      </c>
      <c r="F15993" t="str">
        <v>-</v>
      </c>
      <c r="G15993" t="str">
        <v>-</v>
      </c>
    </row>
    <row r="15994">
      <c r="A15994">
        <v>15993</v>
      </c>
      <c r="B15994" t="str">
        <v>Công an xã Bình Phục  tỉnh Quảng Nam</v>
      </c>
      <c r="C15994" t="str">
        <v>-</v>
      </c>
      <c r="D15994" t="str">
        <v>-</v>
      </c>
      <c r="E15994" t="str">
        <v/>
      </c>
      <c r="F15994" t="str">
        <v>-</v>
      </c>
      <c r="G15994" t="str">
        <v>-</v>
      </c>
    </row>
    <row r="15995">
      <c r="A15995">
        <v>15994</v>
      </c>
      <c r="B15995" t="str">
        <v>UBND Ủy ban nhân dân xã Bình Phục  tỉnh Quảng Nam</v>
      </c>
      <c r="C15995" t="str">
        <v>-</v>
      </c>
      <c r="D15995" t="str">
        <v>-</v>
      </c>
      <c r="E15995" t="str">
        <v>-</v>
      </c>
      <c r="F15995" t="str">
        <v>-</v>
      </c>
      <c r="G15995" t="str">
        <v>-</v>
      </c>
    </row>
    <row r="15996">
      <c r="A15996">
        <v>15995</v>
      </c>
      <c r="B15996" t="str">
        <v>Công an xã Bình Triều  tỉnh Quảng Nam</v>
      </c>
      <c r="C15996" t="str">
        <v>-</v>
      </c>
      <c r="D15996" t="str">
        <v>-</v>
      </c>
      <c r="E15996" t="str">
        <v/>
      </c>
      <c r="F15996" t="str">
        <v>-</v>
      </c>
      <c r="G15996" t="str">
        <v>-</v>
      </c>
    </row>
    <row r="15997">
      <c r="A15997">
        <v>15996</v>
      </c>
      <c r="B15997" t="str">
        <v>UBND Ủy ban nhân dân xã Bình Triều  tỉnh Quảng Nam</v>
      </c>
      <c r="C15997" t="str">
        <v>-</v>
      </c>
      <c r="D15997" t="str">
        <v>-</v>
      </c>
      <c r="E15997" t="str">
        <v>-</v>
      </c>
      <c r="F15997" t="str">
        <v>-</v>
      </c>
      <c r="G15997" t="str">
        <v>-</v>
      </c>
    </row>
    <row r="15998">
      <c r="A15998">
        <v>15997</v>
      </c>
      <c r="B15998" t="str">
        <v>Công an xã Bình Đào  tỉnh Quảng Nam</v>
      </c>
      <c r="C15998" t="str">
        <v>-</v>
      </c>
      <c r="D15998" t="str">
        <v>-</v>
      </c>
      <c r="E15998" t="str">
        <v/>
      </c>
      <c r="F15998" t="str">
        <v>-</v>
      </c>
      <c r="G15998" t="str">
        <v>-</v>
      </c>
    </row>
    <row r="15999">
      <c r="B15999" t="str">
        <v>UBND Ủy ban nhân dân xã Bình Đào  tỉnh Quảng Nam</v>
      </c>
      <c r="C15999" t="str">
        <v>-</v>
      </c>
      <c r="D15999" t="str">
        <v>-</v>
      </c>
      <c r="E15999" t="str">
        <v>-</v>
      </c>
      <c r="F15999" t="str">
        <v>-</v>
      </c>
      <c r="G15999" t="str">
        <v>-</v>
      </c>
    </row>
    <row r="16000">
      <c r="B16000" t="str">
        <v>Công an xã Bình Minh  tỉnh Quảng Nam</v>
      </c>
      <c r="C16000" t="str">
        <v>-</v>
      </c>
      <c r="D16000" t="str">
        <v>-</v>
      </c>
      <c r="E16000" t="str">
        <v/>
      </c>
      <c r="F16000" t="str">
        <v>-</v>
      </c>
      <c r="G16000" t="str">
        <v>-</v>
      </c>
    </row>
    <row r="16001">
      <c r="B16001" t="str">
        <v>UBND Ủy ban nhân dân xã Bình Minh  tỉnh Quảng Nam</v>
      </c>
      <c r="C16001" t="str">
        <v>-</v>
      </c>
      <c r="D16001" t="str">
        <v>-</v>
      </c>
      <c r="E16001" t="str">
        <v>-</v>
      </c>
      <c r="F16001" t="str">
        <v>-</v>
      </c>
      <c r="G16001" t="str">
        <v>-</v>
      </c>
    </row>
    <row r="16002">
      <c r="B16002" t="str">
        <v>Công an xã Bình Lãnh  tỉnh Quảng Nam</v>
      </c>
      <c r="C16002" t="str">
        <v>-</v>
      </c>
      <c r="D16002" t="str">
        <v>-</v>
      </c>
      <c r="E16002" t="str">
        <v/>
      </c>
      <c r="F16002" t="str">
        <v>-</v>
      </c>
      <c r="G16002" t="str">
        <v>-</v>
      </c>
    </row>
    <row r="16003">
      <c r="B16003" t="str">
        <v>UBND Ủy ban nhân dân xã Bình Lãnh  tỉnh Quảng Nam</v>
      </c>
      <c r="C16003" t="str">
        <v>-</v>
      </c>
      <c r="D16003" t="str">
        <v>-</v>
      </c>
      <c r="E16003" t="str">
        <v>-</v>
      </c>
      <c r="F16003" t="str">
        <v>-</v>
      </c>
      <c r="G16003" t="str">
        <v>-</v>
      </c>
    </row>
    <row r="16004">
      <c r="B16004" t="str">
        <v>Công an xã Bình Trị  tỉnh Quảng Nam</v>
      </c>
      <c r="C16004" t="str">
        <v>-</v>
      </c>
      <c r="D16004" t="str">
        <v>-</v>
      </c>
      <c r="E16004" t="str">
        <v/>
      </c>
      <c r="F16004" t="str">
        <v>-</v>
      </c>
      <c r="G16004" t="str">
        <v>-</v>
      </c>
    </row>
    <row r="16005">
      <c r="B16005" t="str">
        <v>UBND Ủy ban nhân dân xã Bình Trị  tỉnh Quảng Nam</v>
      </c>
      <c r="C16005" t="str">
        <v>-</v>
      </c>
      <c r="D16005" t="str">
        <v>-</v>
      </c>
      <c r="E16005" t="str">
        <v>-</v>
      </c>
      <c r="F16005" t="str">
        <v>-</v>
      </c>
      <c r="G16005" t="str">
        <v>-</v>
      </c>
    </row>
    <row r="16006">
      <c r="B16006" t="str">
        <v>Công an xã Bình Định Bắc  tỉnh Quảng Nam</v>
      </c>
      <c r="C16006" t="str">
        <v>-</v>
      </c>
      <c r="D16006" t="str">
        <v>-</v>
      </c>
      <c r="E16006" t="str">
        <v/>
      </c>
      <c r="F16006" t="str">
        <v>-</v>
      </c>
      <c r="G16006" t="str">
        <v>-</v>
      </c>
    </row>
    <row r="16007">
      <c r="B16007" t="str">
        <v>UBND Ủy ban nhân dân xã Bình Định Bắc  tỉnh Quảng Nam</v>
      </c>
      <c r="C16007" t="str">
        <v>-</v>
      </c>
      <c r="D16007" t="str">
        <v>-</v>
      </c>
      <c r="E16007" t="str">
        <v>-</v>
      </c>
      <c r="F16007" t="str">
        <v>-</v>
      </c>
      <c r="G16007" t="str">
        <v>-</v>
      </c>
    </row>
    <row r="16008">
      <c r="B16008" t="str">
        <v>Công an xã Bình Định Nam  tỉnh Quảng Nam</v>
      </c>
      <c r="C16008" t="str">
        <v>-</v>
      </c>
      <c r="D16008" t="str">
        <v>-</v>
      </c>
      <c r="E16008" t="str">
        <v/>
      </c>
      <c r="F16008" t="str">
        <v>-</v>
      </c>
      <c r="G16008" t="str">
        <v>-</v>
      </c>
    </row>
    <row r="16009">
      <c r="B16009" t="str">
        <v>UBND Ủy ban nhân dân xã Bình Định Nam  tỉnh Quảng Nam</v>
      </c>
      <c r="C16009" t="str">
        <v>-</v>
      </c>
      <c r="D16009" t="str">
        <v>-</v>
      </c>
      <c r="E16009" t="str">
        <v>-</v>
      </c>
      <c r="F16009" t="str">
        <v>-</v>
      </c>
      <c r="G16009" t="str">
        <v>-</v>
      </c>
    </row>
    <row r="16010">
      <c r="B16010" t="str">
        <v>Công an xã Bình Quý  tỉnh Quảng Nam</v>
      </c>
      <c r="C16010" t="str">
        <v>-</v>
      </c>
      <c r="D16010" t="str">
        <v>-</v>
      </c>
      <c r="E16010" t="str">
        <v/>
      </c>
      <c r="F16010" t="str">
        <v>-</v>
      </c>
      <c r="G16010" t="str">
        <v>-</v>
      </c>
    </row>
    <row r="16011">
      <c r="B16011" t="str">
        <v>UBND Ủy ban nhân dân xã Bình Quý  tỉnh Quảng Nam</v>
      </c>
      <c r="C16011" t="str">
        <v>-</v>
      </c>
      <c r="D16011" t="str">
        <v>-</v>
      </c>
      <c r="E16011" t="str">
        <v>-</v>
      </c>
      <c r="F16011" t="str">
        <v>-</v>
      </c>
      <c r="G16011" t="str">
        <v>-</v>
      </c>
    </row>
    <row r="16012">
      <c r="B16012" t="str">
        <v>Công an xã Bình Phú  tỉnh Quảng Nam</v>
      </c>
      <c r="C16012" t="str">
        <v>-</v>
      </c>
      <c r="D16012" t="str">
        <v>-</v>
      </c>
      <c r="E16012" t="str">
        <v/>
      </c>
      <c r="F16012" t="str">
        <v>-</v>
      </c>
      <c r="G16012" t="str">
        <v>-</v>
      </c>
    </row>
    <row r="16013">
      <c r="B16013" t="str">
        <v>UBND Ủy ban nhân dân xã Bình Phú  tỉnh Quảng Nam</v>
      </c>
      <c r="C16013" t="str">
        <v>-</v>
      </c>
      <c r="D16013" t="str">
        <v>-</v>
      </c>
      <c r="E16013" t="str">
        <v>-</v>
      </c>
      <c r="F16013" t="str">
        <v>-</v>
      </c>
      <c r="G16013" t="str">
        <v>-</v>
      </c>
    </row>
    <row r="16014">
      <c r="B16014" t="str">
        <v>Công an xã Bình Chánh  tỉnh Quảng Nam</v>
      </c>
      <c r="C16014" t="str">
        <v>-</v>
      </c>
      <c r="D16014" t="str">
        <v>-</v>
      </c>
      <c r="E16014" t="str">
        <v/>
      </c>
      <c r="F16014" t="str">
        <v>-</v>
      </c>
      <c r="G16014" t="str">
        <v>-</v>
      </c>
    </row>
    <row r="16015">
      <c r="B16015" t="str">
        <v>UBND Ủy ban nhân dân xã Bình Chánh  tỉnh Quảng Nam</v>
      </c>
      <c r="C16015" t="str">
        <v>-</v>
      </c>
      <c r="D16015" t="str">
        <v>-</v>
      </c>
      <c r="E16015" t="str">
        <v>-</v>
      </c>
      <c r="F16015" t="str">
        <v>-</v>
      </c>
      <c r="G16015" t="str">
        <v>-</v>
      </c>
    </row>
    <row r="16016">
      <c r="B16016" t="str">
        <v>Công an xã Bình Tú  tỉnh Quảng Nam</v>
      </c>
      <c r="C16016" t="str">
        <v>-</v>
      </c>
      <c r="D16016" t="str">
        <v>-</v>
      </c>
      <c r="E16016" t="str">
        <v/>
      </c>
      <c r="F16016" t="str">
        <v>-</v>
      </c>
      <c r="G16016" t="str">
        <v>-</v>
      </c>
    </row>
    <row r="16017">
      <c r="B16017" t="str">
        <v>UBND Ủy ban nhân dân xã Bình Tú  tỉnh Quảng Nam</v>
      </c>
      <c r="C16017" t="str">
        <v>-</v>
      </c>
      <c r="D16017" t="str">
        <v>-</v>
      </c>
      <c r="E16017" t="str">
        <v>-</v>
      </c>
      <c r="F16017" t="str">
        <v>-</v>
      </c>
      <c r="G16017" t="str">
        <v>-</v>
      </c>
    </row>
    <row r="16018">
      <c r="B16018" t="str">
        <v>Công an xã Bình Sa  tỉnh Quảng Nam</v>
      </c>
      <c r="C16018" t="str">
        <v>-</v>
      </c>
      <c r="D16018" t="str">
        <v>-</v>
      </c>
      <c r="E16018" t="str">
        <v/>
      </c>
      <c r="F16018" t="str">
        <v>-</v>
      </c>
      <c r="G16018" t="str">
        <v>-</v>
      </c>
    </row>
    <row r="16019">
      <c r="B16019" t="str">
        <v>UBND Ủy ban nhân dân xã Bình Sa  tỉnh Quảng Nam</v>
      </c>
      <c r="C16019" t="str">
        <v>-</v>
      </c>
      <c r="D16019" t="str">
        <v>-</v>
      </c>
      <c r="E16019" t="str">
        <v>-</v>
      </c>
      <c r="F16019" t="str">
        <v>-</v>
      </c>
      <c r="G16019" t="str">
        <v>-</v>
      </c>
    </row>
    <row r="16020">
      <c r="B16020" t="str">
        <v>Công an xã Bình Hải  tỉnh Quảng Nam</v>
      </c>
      <c r="C16020" t="str">
        <v>-</v>
      </c>
      <c r="D16020" t="str">
        <v>-</v>
      </c>
      <c r="E16020" t="str">
        <v/>
      </c>
      <c r="F16020" t="str">
        <v>-</v>
      </c>
      <c r="G16020" t="str">
        <v>-</v>
      </c>
    </row>
    <row r="16021">
      <c r="B16021" t="str">
        <v>UBND Ủy ban nhân dân xã Bình Hải  tỉnh Quảng Nam</v>
      </c>
      <c r="C16021" t="str">
        <v>-</v>
      </c>
      <c r="D16021" t="str">
        <v>-</v>
      </c>
      <c r="E16021" t="str">
        <v>-</v>
      </c>
      <c r="F16021" t="str">
        <v>-</v>
      </c>
      <c r="G16021" t="str">
        <v>-</v>
      </c>
    </row>
    <row r="16022">
      <c r="B16022" t="str">
        <v>Công an xã Bình Quế  tỉnh Quảng Nam</v>
      </c>
      <c r="C16022" t="str">
        <v>-</v>
      </c>
      <c r="D16022" t="str">
        <v>-</v>
      </c>
      <c r="E16022" t="str">
        <v/>
      </c>
      <c r="F16022" t="str">
        <v>-</v>
      </c>
      <c r="G16022" t="str">
        <v>-</v>
      </c>
    </row>
    <row r="16023">
      <c r="B16023" t="str">
        <v>UBND Ủy ban nhân dân xã Bình Quế  tỉnh Quảng Nam</v>
      </c>
      <c r="C16023" t="str">
        <v>-</v>
      </c>
      <c r="D16023" t="str">
        <v>-</v>
      </c>
      <c r="E16023" t="str">
        <v>-</v>
      </c>
      <c r="F16023" t="str">
        <v>-</v>
      </c>
      <c r="G16023" t="str">
        <v>-</v>
      </c>
    </row>
    <row r="16024">
      <c r="B16024" t="str">
        <v>Công an xã Bình An  tỉnh Quảng Nam</v>
      </c>
      <c r="C16024" t="str">
        <v>-</v>
      </c>
      <c r="D16024" t="str">
        <v>-</v>
      </c>
      <c r="E16024" t="str">
        <v/>
      </c>
      <c r="F16024" t="str">
        <v>-</v>
      </c>
      <c r="G16024" t="str">
        <v>-</v>
      </c>
    </row>
    <row r="16025">
      <c r="B16025" t="str">
        <v>UBND Ủy ban nhân dân xã Bình An  tỉnh Quảng Nam</v>
      </c>
      <c r="C16025" t="str">
        <v>-</v>
      </c>
      <c r="D16025" t="str">
        <v>-</v>
      </c>
      <c r="E16025" t="str">
        <v>-</v>
      </c>
      <c r="F16025" t="str">
        <v>-</v>
      </c>
      <c r="G16025" t="str">
        <v>-</v>
      </c>
    </row>
    <row r="16026">
      <c r="B16026" t="str">
        <v>Công an xã Bình Trung  tỉnh Quảng Nam</v>
      </c>
      <c r="C16026" t="str">
        <v>-</v>
      </c>
      <c r="D16026" t="str">
        <v>-</v>
      </c>
      <c r="E16026" t="str">
        <v/>
      </c>
      <c r="F16026" t="str">
        <v>-</v>
      </c>
      <c r="G16026" t="str">
        <v>-</v>
      </c>
    </row>
    <row r="16027">
      <c r="B16027" t="str">
        <v>UBND Ủy ban nhân dân xã Bình Trung  tỉnh Quảng Nam</v>
      </c>
      <c r="C16027" t="str">
        <v>-</v>
      </c>
      <c r="D16027" t="str">
        <v>-</v>
      </c>
      <c r="E16027" t="str">
        <v>-</v>
      </c>
      <c r="F16027" t="str">
        <v>-</v>
      </c>
      <c r="G16027" t="str">
        <v>-</v>
      </c>
    </row>
    <row r="16028">
      <c r="B16028" t="str">
        <v>Công an xã Bình Nam  tỉnh Quảng Nam</v>
      </c>
      <c r="C16028" t="str">
        <v>-</v>
      </c>
      <c r="D16028" t="str">
        <v>-</v>
      </c>
      <c r="E16028" t="str">
        <v/>
      </c>
      <c r="F16028" t="str">
        <v>-</v>
      </c>
      <c r="G16028" t="str">
        <v>-</v>
      </c>
    </row>
    <row r="16029">
      <c r="B16029" t="str">
        <v>UBND Ủy ban nhân dân xã Bình Nam  tỉnh Quảng Nam</v>
      </c>
      <c r="C16029" t="str">
        <v>-</v>
      </c>
      <c r="D16029" t="str">
        <v>-</v>
      </c>
      <c r="E16029" t="str">
        <v>-</v>
      </c>
      <c r="F16029" t="str">
        <v>-</v>
      </c>
      <c r="G16029" t="str">
        <v>-</v>
      </c>
    </row>
    <row r="16030">
      <c r="B16030" t="str">
        <v>Công an xã Tiên Sơn  tỉnh Quảng Nam</v>
      </c>
      <c r="C16030" t="str">
        <v>-</v>
      </c>
      <c r="D16030" t="str">
        <v>-</v>
      </c>
      <c r="E16030" t="str">
        <v/>
      </c>
      <c r="F16030" t="str">
        <v>-</v>
      </c>
      <c r="G16030" t="str">
        <v>-</v>
      </c>
    </row>
    <row r="16031">
      <c r="B16031" t="str">
        <v>UBND Ủy ban nhân dân xã Tiên Sơn  tỉnh Quảng Nam</v>
      </c>
      <c r="C16031" t="str">
        <v>-</v>
      </c>
      <c r="D16031" t="str">
        <v>-</v>
      </c>
      <c r="E16031" t="str">
        <v>-</v>
      </c>
      <c r="F16031" t="str">
        <v>-</v>
      </c>
      <c r="G16031" t="str">
        <v>-</v>
      </c>
    </row>
    <row r="16032">
      <c r="B16032" t="str">
        <v>Công an xã Tiên Hà  tỉnh Quảng Nam</v>
      </c>
      <c r="C16032" t="str">
        <v>-</v>
      </c>
      <c r="D16032" t="str">
        <v>-</v>
      </c>
      <c r="E16032" t="str">
        <v/>
      </c>
      <c r="F16032" t="str">
        <v>-</v>
      </c>
      <c r="G16032" t="str">
        <v>-</v>
      </c>
    </row>
    <row r="16033">
      <c r="B16033" t="str">
        <v>UBND Ủy ban nhân dân xã Tiên Hà  tỉnh Quảng Nam</v>
      </c>
      <c r="C16033" t="str">
        <v>-</v>
      </c>
      <c r="D16033" t="str">
        <v>-</v>
      </c>
      <c r="E16033" t="str">
        <v>-</v>
      </c>
      <c r="F16033" t="str">
        <v>-</v>
      </c>
      <c r="G16033" t="str">
        <v>-</v>
      </c>
    </row>
    <row r="16034">
      <c r="B16034" t="str">
        <v>Công an xã Tiên Cẩm  tỉnh Quảng Nam</v>
      </c>
      <c r="C16034" t="str">
        <v>-</v>
      </c>
      <c r="D16034" t="str">
        <v>-</v>
      </c>
      <c r="E16034" t="str">
        <v/>
      </c>
      <c r="F16034" t="str">
        <v>-</v>
      </c>
      <c r="G16034" t="str">
        <v>-</v>
      </c>
    </row>
    <row r="16035">
      <c r="B16035" t="str">
        <v>UBND Ủy ban nhân dân xã Tiên Cẩm  tỉnh Quảng Nam</v>
      </c>
      <c r="C16035" t="str">
        <v>-</v>
      </c>
      <c r="D16035" t="str">
        <v>-</v>
      </c>
      <c r="E16035" t="str">
        <v>-</v>
      </c>
      <c r="F16035" t="str">
        <v>-</v>
      </c>
      <c r="G16035" t="str">
        <v>-</v>
      </c>
    </row>
    <row r="16036">
      <c r="B16036" t="str">
        <v>Công an xã Tiên Châu  tỉnh Quảng Nam</v>
      </c>
      <c r="C16036" t="str">
        <v>-</v>
      </c>
      <c r="D16036" t="str">
        <v>-</v>
      </c>
      <c r="E16036" t="str">
        <v/>
      </c>
      <c r="F16036" t="str">
        <v>-</v>
      </c>
      <c r="G16036" t="str">
        <v>-</v>
      </c>
    </row>
    <row r="16037">
      <c r="B16037" t="str">
        <v>UBND Ủy ban nhân dân xã Tiên Châu  tỉnh Quảng Nam</v>
      </c>
      <c r="C16037" t="str">
        <v>-</v>
      </c>
      <c r="D16037" t="str">
        <v>-</v>
      </c>
      <c r="E16037" t="str">
        <v>-</v>
      </c>
      <c r="F16037" t="str">
        <v>-</v>
      </c>
      <c r="G16037" t="str">
        <v>-</v>
      </c>
    </row>
    <row r="16038">
      <c r="B16038" t="str">
        <v>Công an xã Tiên Lãnh  tỉnh Quảng Nam</v>
      </c>
      <c r="C16038" t="str">
        <v>-</v>
      </c>
      <c r="D16038" t="str">
        <v>-</v>
      </c>
      <c r="E16038" t="str">
        <v/>
      </c>
      <c r="F16038" t="str">
        <v>-</v>
      </c>
      <c r="G16038" t="str">
        <v>-</v>
      </c>
    </row>
    <row r="16039">
      <c r="B16039" t="str">
        <v>UBND Ủy ban nhân dân xã Tiên Lãnh  tỉnh Quảng Nam</v>
      </c>
      <c r="C16039" t="str">
        <v>-</v>
      </c>
      <c r="D16039" t="str">
        <v>-</v>
      </c>
      <c r="E16039" t="str">
        <v>-</v>
      </c>
      <c r="F16039" t="str">
        <v>-</v>
      </c>
      <c r="G16039" t="str">
        <v>-</v>
      </c>
    </row>
    <row r="16040">
      <c r="B16040" t="str">
        <v>Công an xã Tiên Ngọc  tỉnh Quảng Nam</v>
      </c>
      <c r="C16040" t="str">
        <v>-</v>
      </c>
      <c r="D16040" t="str">
        <v>-</v>
      </c>
      <c r="E16040" t="str">
        <v/>
      </c>
      <c r="F16040" t="str">
        <v>-</v>
      </c>
      <c r="G16040" t="str">
        <v>-</v>
      </c>
    </row>
    <row r="16041">
      <c r="B16041" t="str">
        <v>UBND Ủy ban nhân dân xã Tiên Ngọc  tỉnh Quảng Nam</v>
      </c>
      <c r="C16041" t="str">
        <v>-</v>
      </c>
      <c r="D16041" t="str">
        <v>-</v>
      </c>
      <c r="E16041" t="str">
        <v>-</v>
      </c>
      <c r="F16041" t="str">
        <v>-</v>
      </c>
      <c r="G16041" t="str">
        <v>-</v>
      </c>
    </row>
    <row r="16042">
      <c r="B16042" t="str">
        <v>Công an xã Tiên Hiệp  tỉnh Quảng Nam</v>
      </c>
      <c r="C16042" t="str">
        <v>-</v>
      </c>
      <c r="D16042" t="str">
        <v>-</v>
      </c>
      <c r="E16042" t="str">
        <v/>
      </c>
      <c r="F16042" t="str">
        <v>-</v>
      </c>
      <c r="G16042" t="str">
        <v>-</v>
      </c>
    </row>
    <row r="16043">
      <c r="B16043" t="str">
        <v>UBND Ủy ban nhân dân xã Tiên Hiệp  tỉnh Quảng Nam</v>
      </c>
      <c r="C16043" t="str">
        <v>-</v>
      </c>
      <c r="D16043" t="str">
        <v>-</v>
      </c>
      <c r="E16043" t="str">
        <v>-</v>
      </c>
      <c r="F16043" t="str">
        <v>-</v>
      </c>
      <c r="G16043" t="str">
        <v>-</v>
      </c>
    </row>
    <row r="16044">
      <c r="B16044" t="str">
        <v>Công an xã Tiên Cảnh  tỉnh Quảng Nam</v>
      </c>
      <c r="C16044" t="str">
        <v>-</v>
      </c>
      <c r="D16044" t="str">
        <v>-</v>
      </c>
      <c r="E16044" t="str">
        <v/>
      </c>
      <c r="F16044" t="str">
        <v>-</v>
      </c>
      <c r="G16044" t="str">
        <v>-</v>
      </c>
    </row>
    <row r="16045">
      <c r="B16045" t="str">
        <v>UBND Ủy ban nhân dân xã Tiên Cảnh  tỉnh Quảng Nam</v>
      </c>
      <c r="C16045" t="str">
        <v>-</v>
      </c>
      <c r="D16045" t="str">
        <v>-</v>
      </c>
      <c r="E16045" t="str">
        <v>-</v>
      </c>
      <c r="F16045" t="str">
        <v>-</v>
      </c>
      <c r="G16045" t="str">
        <v>-</v>
      </c>
    </row>
    <row r="16046">
      <c r="B16046" t="str">
        <v>Công an xã Tiên Mỹ  tỉnh Quảng Nam</v>
      </c>
      <c r="C16046" t="str">
        <v>-</v>
      </c>
      <c r="D16046" t="str">
        <v>-</v>
      </c>
      <c r="E16046" t="str">
        <v/>
      </c>
      <c r="F16046" t="str">
        <v>-</v>
      </c>
      <c r="G16046" t="str">
        <v>-</v>
      </c>
    </row>
    <row r="16047">
      <c r="B16047" t="str">
        <v>UBND Ủy ban nhân dân xã Tiên Mỹ  tỉnh Quảng Nam</v>
      </c>
      <c r="C16047" t="str">
        <v>-</v>
      </c>
      <c r="D16047" t="str">
        <v>-</v>
      </c>
      <c r="E16047" t="str">
        <v>-</v>
      </c>
      <c r="F16047" t="str">
        <v>-</v>
      </c>
      <c r="G16047" t="str">
        <v>-</v>
      </c>
    </row>
    <row r="16048">
      <c r="B16048" t="str">
        <v>Công an xã Tiên Phong  tỉnh Quảng Nam</v>
      </c>
      <c r="C16048" t="str">
        <v>-</v>
      </c>
      <c r="D16048" t="str">
        <v>-</v>
      </c>
      <c r="E16048" t="str">
        <v/>
      </c>
      <c r="F16048" t="str">
        <v>-</v>
      </c>
      <c r="G16048" t="str">
        <v>-</v>
      </c>
    </row>
    <row r="16049">
      <c r="B16049" t="str">
        <v>UBND Ủy ban nhân dân xã Tiên Phong  tỉnh Quảng Nam</v>
      </c>
      <c r="C16049" t="str">
        <v>-</v>
      </c>
      <c r="D16049" t="str">
        <v>-</v>
      </c>
      <c r="E16049" t="str">
        <v>-</v>
      </c>
      <c r="F16049" t="str">
        <v>-</v>
      </c>
      <c r="G16049" t="str">
        <v>-</v>
      </c>
    </row>
    <row r="16050">
      <c r="B16050" t="str">
        <v>Công an xã Tiên Thọ  tỉnh Quảng Nam</v>
      </c>
      <c r="C16050" t="str">
        <v>-</v>
      </c>
      <c r="D16050" t="str">
        <v>-</v>
      </c>
      <c r="E16050" t="str">
        <v/>
      </c>
      <c r="F16050" t="str">
        <v>-</v>
      </c>
      <c r="G16050" t="str">
        <v>-</v>
      </c>
    </row>
    <row r="16051">
      <c r="B16051" t="str">
        <v>UBND Ủy ban nhân dân xã Tiên Thọ  tỉnh Quảng Nam</v>
      </c>
      <c r="C16051" t="str">
        <v>-</v>
      </c>
      <c r="D16051" t="str">
        <v>-</v>
      </c>
      <c r="E16051" t="str">
        <v>-</v>
      </c>
      <c r="F16051" t="str">
        <v>-</v>
      </c>
      <c r="G16051" t="str">
        <v>-</v>
      </c>
    </row>
    <row r="16052">
      <c r="B16052" t="str">
        <v>Công an xã Tiên An  tỉnh Quảng Nam</v>
      </c>
      <c r="C16052" t="str">
        <v>-</v>
      </c>
      <c r="D16052" t="str">
        <v>-</v>
      </c>
      <c r="E16052" t="str">
        <v/>
      </c>
      <c r="F16052" t="str">
        <v>-</v>
      </c>
      <c r="G16052" t="str">
        <v>-</v>
      </c>
    </row>
    <row r="16053">
      <c r="B16053" t="str">
        <v>UBND Ủy ban nhân dân xã Tiên An  tỉnh Quảng Nam</v>
      </c>
      <c r="C16053" t="str">
        <v>-</v>
      </c>
      <c r="D16053" t="str">
        <v>-</v>
      </c>
      <c r="E16053" t="str">
        <v>-</v>
      </c>
      <c r="F16053" t="str">
        <v>-</v>
      </c>
      <c r="G16053" t="str">
        <v>-</v>
      </c>
    </row>
    <row r="16054">
      <c r="B16054" t="str">
        <v>Công an xã Tiên Lộc  tỉnh Quảng Nam</v>
      </c>
      <c r="C16054" t="str">
        <v>-</v>
      </c>
      <c r="D16054" t="str">
        <v>-</v>
      </c>
      <c r="E16054" t="str">
        <v/>
      </c>
      <c r="F16054" t="str">
        <v>-</v>
      </c>
      <c r="G16054" t="str">
        <v>-</v>
      </c>
    </row>
    <row r="16055">
      <c r="B16055" t="str">
        <v>UBND Ủy ban nhân dân xã Tiên Lộc  tỉnh Quảng Nam</v>
      </c>
      <c r="C16055" t="str">
        <v>-</v>
      </c>
      <c r="D16055" t="str">
        <v>-</v>
      </c>
      <c r="E16055" t="str">
        <v>-</v>
      </c>
      <c r="F16055" t="str">
        <v>-</v>
      </c>
      <c r="G16055" t="str">
        <v>-</v>
      </c>
    </row>
    <row r="16056">
      <c r="B16056" t="str">
        <v>Công an xã Tiên Lập  tỉnh Quảng Nam</v>
      </c>
      <c r="C16056" t="str">
        <v>-</v>
      </c>
      <c r="D16056" t="str">
        <v>-</v>
      </c>
      <c r="E16056" t="str">
        <v/>
      </c>
      <c r="F16056" t="str">
        <v>-</v>
      </c>
      <c r="G16056" t="str">
        <v>-</v>
      </c>
    </row>
    <row r="16057">
      <c r="B16057" t="str">
        <v>UBND Ủy ban nhân dân xã Tiên Lập  tỉnh Quảng Nam</v>
      </c>
      <c r="C16057" t="str">
        <v>-</v>
      </c>
      <c r="D16057" t="str">
        <v>-</v>
      </c>
      <c r="E16057" t="str">
        <v>-</v>
      </c>
      <c r="F16057" t="str">
        <v>-</v>
      </c>
      <c r="G16057" t="str">
        <v>-</v>
      </c>
    </row>
    <row r="16058">
      <c r="B16058" t="str">
        <v>Công an xã Trà Sơn  tỉnh Quảng Nam</v>
      </c>
      <c r="C16058" t="str">
        <v>-</v>
      </c>
      <c r="D16058" t="str">
        <v>-</v>
      </c>
      <c r="E16058" t="str">
        <v/>
      </c>
      <c r="F16058" t="str">
        <v>-</v>
      </c>
      <c r="G16058" t="str">
        <v>-</v>
      </c>
    </row>
    <row r="16059">
      <c r="B16059" t="str">
        <v>UBND Ủy ban nhân dân xã Trà Sơn  tỉnh Quảng Nam</v>
      </c>
      <c r="C16059" t="str">
        <v>-</v>
      </c>
      <c r="D16059" t="str">
        <v>-</v>
      </c>
      <c r="E16059" t="str">
        <v>-</v>
      </c>
      <c r="F16059" t="str">
        <v>-</v>
      </c>
      <c r="G16059" t="str">
        <v>-</v>
      </c>
    </row>
    <row r="16060">
      <c r="B16060" t="str">
        <v>Công an xã Trà Kót  tỉnh Quảng Nam</v>
      </c>
      <c r="C16060" t="str">
        <v>-</v>
      </c>
      <c r="D16060" t="str">
        <v>-</v>
      </c>
      <c r="E16060" t="str">
        <v/>
      </c>
      <c r="F16060" t="str">
        <v>-</v>
      </c>
      <c r="G16060" t="str">
        <v>-</v>
      </c>
    </row>
    <row r="16061">
      <c r="B16061" t="str">
        <v>UBND Ủy ban nhân dân xã Trà Kót  tỉnh Quảng Nam</v>
      </c>
      <c r="C16061" t="str">
        <v>-</v>
      </c>
      <c r="D16061" t="str">
        <v>-</v>
      </c>
      <c r="E16061" t="str">
        <v>-</v>
      </c>
      <c r="F16061" t="str">
        <v>-</v>
      </c>
      <c r="G16061" t="str">
        <v>-</v>
      </c>
    </row>
    <row r="16062">
      <c r="B16062" t="str">
        <v>Công an xã Trà Nú  tỉnh Quảng Nam</v>
      </c>
      <c r="C16062" t="str">
        <v>-</v>
      </c>
      <c r="D16062" t="str">
        <v>-</v>
      </c>
      <c r="E16062" t="str">
        <v/>
      </c>
      <c r="F16062" t="str">
        <v>-</v>
      </c>
      <c r="G16062" t="str">
        <v>-</v>
      </c>
    </row>
    <row r="16063">
      <c r="B16063" t="str">
        <v>UBND Ủy ban nhân dân xã Trà Nú  tỉnh Quảng Nam</v>
      </c>
      <c r="C16063" t="str">
        <v>-</v>
      </c>
      <c r="D16063" t="str">
        <v>-</v>
      </c>
      <c r="E16063" t="str">
        <v>-</v>
      </c>
      <c r="F16063" t="str">
        <v>-</v>
      </c>
      <c r="G16063" t="str">
        <v>-</v>
      </c>
    </row>
    <row r="16064">
      <c r="B16064" t="str">
        <v>Công an xã Trà Đông  tỉnh Quảng Nam</v>
      </c>
      <c r="C16064" t="str">
        <v>-</v>
      </c>
      <c r="D16064" t="str">
        <v>-</v>
      </c>
      <c r="E16064" t="str">
        <v/>
      </c>
      <c r="F16064" t="str">
        <v>-</v>
      </c>
      <c r="G16064" t="str">
        <v>-</v>
      </c>
    </row>
    <row r="16065">
      <c r="B16065" t="str">
        <v>UBND Ủy ban nhân dân xã Trà Đông  tỉnh Quảng Nam</v>
      </c>
      <c r="C16065" t="str">
        <v>-</v>
      </c>
      <c r="D16065" t="str">
        <v>-</v>
      </c>
      <c r="E16065" t="str">
        <v>-</v>
      </c>
      <c r="F16065" t="str">
        <v>-</v>
      </c>
      <c r="G16065" t="str">
        <v>-</v>
      </c>
    </row>
    <row r="16066">
      <c r="B16066" t="str">
        <v>Công an xã Trà Dương  tỉnh Quảng Nam</v>
      </c>
      <c r="C16066" t="str">
        <v>-</v>
      </c>
      <c r="D16066" t="str">
        <v>-</v>
      </c>
      <c r="E16066" t="str">
        <v/>
      </c>
      <c r="F16066" t="str">
        <v>-</v>
      </c>
      <c r="G16066" t="str">
        <v>-</v>
      </c>
    </row>
    <row r="16067">
      <c r="B16067" t="str">
        <v>UBND Ủy ban nhân dân xã Trà Dương  tỉnh Quảng Nam</v>
      </c>
      <c r="C16067" t="str">
        <v>-</v>
      </c>
      <c r="D16067" t="str">
        <v>-</v>
      </c>
      <c r="E16067" t="str">
        <v>-</v>
      </c>
      <c r="F16067" t="str">
        <v>-</v>
      </c>
      <c r="G16067" t="str">
        <v>-</v>
      </c>
    </row>
    <row r="16068">
      <c r="B16068" t="str">
        <v>Công an xã Trà Giang  tỉnh Quảng Nam</v>
      </c>
      <c r="C16068" t="str">
        <v>-</v>
      </c>
      <c r="D16068" t="str">
        <v>-</v>
      </c>
      <c r="E16068" t="str">
        <v/>
      </c>
      <c r="F16068" t="str">
        <v>-</v>
      </c>
      <c r="G16068" t="str">
        <v>-</v>
      </c>
    </row>
    <row r="16069">
      <c r="B16069" t="str">
        <v>UBND Ủy ban nhân dân xã Trà Giang  tỉnh Quảng Nam</v>
      </c>
      <c r="C16069" t="str">
        <v>-</v>
      </c>
      <c r="D16069" t="str">
        <v>-</v>
      </c>
      <c r="E16069" t="str">
        <v>-</v>
      </c>
      <c r="F16069" t="str">
        <v>-</v>
      </c>
      <c r="G16069" t="str">
        <v>-</v>
      </c>
    </row>
    <row r="16070">
      <c r="B16070" t="str">
        <v>Công an xã Trà Bui  tỉnh Quảng Nam</v>
      </c>
      <c r="C16070" t="str">
        <v>-</v>
      </c>
      <c r="D16070" t="str">
        <v>-</v>
      </c>
      <c r="E16070" t="str">
        <v/>
      </c>
      <c r="F16070" t="str">
        <v>-</v>
      </c>
      <c r="G16070" t="str">
        <v>-</v>
      </c>
    </row>
    <row r="16071">
      <c r="B16071" t="str">
        <v>UBND Ủy ban nhân dân xã Trà Bui  tỉnh Quảng Nam</v>
      </c>
      <c r="C16071" t="str">
        <v>-</v>
      </c>
      <c r="D16071" t="str">
        <v>-</v>
      </c>
      <c r="E16071" t="str">
        <v>-</v>
      </c>
      <c r="F16071" t="str">
        <v>-</v>
      </c>
      <c r="G16071" t="str">
        <v>-</v>
      </c>
    </row>
    <row r="16072">
      <c r="B16072" t="str">
        <v>Công an xã Trà Đốc  tỉnh Quảng Nam</v>
      </c>
      <c r="C16072" t="str">
        <v>-</v>
      </c>
      <c r="D16072" t="str">
        <v>-</v>
      </c>
      <c r="E16072" t="str">
        <v/>
      </c>
      <c r="F16072" t="str">
        <v>-</v>
      </c>
      <c r="G16072" t="str">
        <v>-</v>
      </c>
    </row>
    <row r="16073">
      <c r="B16073" t="str">
        <v>UBND Ủy ban nhân dân xã Trà Đốc  tỉnh Quảng Nam</v>
      </c>
      <c r="C16073" t="str">
        <v>-</v>
      </c>
      <c r="D16073" t="str">
        <v>-</v>
      </c>
      <c r="E16073" t="str">
        <v>-</v>
      </c>
      <c r="F16073" t="str">
        <v>-</v>
      </c>
      <c r="G16073" t="str">
        <v>-</v>
      </c>
    </row>
    <row r="16074">
      <c r="B16074" t="str">
        <v>Công an xã Trà Tân  tỉnh Quảng Nam</v>
      </c>
      <c r="C16074" t="str">
        <v>-</v>
      </c>
      <c r="D16074" t="str">
        <v>-</v>
      </c>
      <c r="E16074" t="str">
        <v/>
      </c>
      <c r="F16074" t="str">
        <v>-</v>
      </c>
      <c r="G16074" t="str">
        <v>-</v>
      </c>
    </row>
    <row r="16075">
      <c r="B16075" t="str">
        <v>UBND Ủy ban nhân dân xã Trà Tân  tỉnh Quảng Nam</v>
      </c>
      <c r="C16075" t="str">
        <v>-</v>
      </c>
      <c r="D16075" t="str">
        <v>-</v>
      </c>
      <c r="E16075" t="str">
        <v>-</v>
      </c>
      <c r="F16075" t="str">
        <v>-</v>
      </c>
      <c r="G16075" t="str">
        <v>-</v>
      </c>
    </row>
    <row r="16076">
      <c r="B16076" t="str">
        <v>Công an xã Trà Giác  tỉnh Quảng Nam</v>
      </c>
      <c r="C16076" t="str">
        <v>-</v>
      </c>
      <c r="D16076" t="str">
        <v>-</v>
      </c>
      <c r="E16076" t="str">
        <v/>
      </c>
      <c r="F16076" t="str">
        <v>-</v>
      </c>
      <c r="G16076" t="str">
        <v>-</v>
      </c>
    </row>
    <row r="16077">
      <c r="B16077" t="str">
        <v>UBND Ủy ban nhân dân xã Trà Giác  tỉnh Quảng Nam</v>
      </c>
      <c r="C16077" t="str">
        <v>-</v>
      </c>
      <c r="D16077" t="str">
        <v>-</v>
      </c>
      <c r="E16077" t="str">
        <v>-</v>
      </c>
      <c r="F16077" t="str">
        <v>-</v>
      </c>
      <c r="G16077" t="str">
        <v>-</v>
      </c>
    </row>
    <row r="16078">
      <c r="B16078" t="str">
        <v>Công an xã Trà Giáp  tỉnh Quảng Nam</v>
      </c>
      <c r="C16078" t="str">
        <v>-</v>
      </c>
      <c r="D16078" t="str">
        <v>-</v>
      </c>
      <c r="E16078" t="str">
        <v/>
      </c>
      <c r="F16078" t="str">
        <v>-</v>
      </c>
      <c r="G16078" t="str">
        <v>-</v>
      </c>
    </row>
    <row r="16079">
      <c r="B16079" t="str">
        <v>UBND Ủy ban nhân dân xã Trà Giáp  tỉnh Quảng Nam</v>
      </c>
      <c r="C16079" t="str">
        <v>-</v>
      </c>
      <c r="D16079" t="str">
        <v>-</v>
      </c>
      <c r="E16079" t="str">
        <v>-</v>
      </c>
      <c r="F16079" t="str">
        <v>-</v>
      </c>
      <c r="G16079" t="str">
        <v>-</v>
      </c>
    </row>
    <row r="16080">
      <c r="B16080" t="str">
        <v>Công an xã Trà Ka  tỉnh Quảng Nam</v>
      </c>
      <c r="C16080" t="str">
        <v>-</v>
      </c>
      <c r="D16080" t="str">
        <v>-</v>
      </c>
      <c r="E16080" t="str">
        <v/>
      </c>
      <c r="F16080" t="str">
        <v>-</v>
      </c>
      <c r="G16080" t="str">
        <v>-</v>
      </c>
    </row>
    <row r="16081">
      <c r="B16081" t="str">
        <v>UBND Ủy ban nhân dân xã Trà Ka  tỉnh Quảng Nam</v>
      </c>
      <c r="C16081" t="str">
        <v>-</v>
      </c>
      <c r="D16081" t="str">
        <v>-</v>
      </c>
      <c r="E16081" t="str">
        <v>-</v>
      </c>
      <c r="F16081" t="str">
        <v>-</v>
      </c>
      <c r="G16081" t="str">
        <v>-</v>
      </c>
    </row>
    <row r="16082">
      <c r="B16082" t="str">
        <v>Công an xã Trà Leng  tỉnh Quảng Nam</v>
      </c>
      <c r="C16082" t="str">
        <v>-</v>
      </c>
      <c r="D16082" t="str">
        <v>-</v>
      </c>
      <c r="E16082" t="str">
        <v/>
      </c>
      <c r="F16082" t="str">
        <v>-</v>
      </c>
      <c r="G16082" t="str">
        <v>-</v>
      </c>
    </row>
    <row r="16083">
      <c r="B16083" t="str">
        <v>UBND Ủy ban nhân dân xã Trà Leng  tỉnh Quảng Nam</v>
      </c>
      <c r="C16083" t="str">
        <v>-</v>
      </c>
      <c r="D16083" t="str">
        <v>-</v>
      </c>
      <c r="E16083" t="str">
        <v>-</v>
      </c>
      <c r="F16083" t="str">
        <v>-</v>
      </c>
      <c r="G16083" t="str">
        <v>-</v>
      </c>
    </row>
    <row r="16084">
      <c r="B16084" t="str">
        <v>Công an xã Trà Dơn  tỉnh Quảng Nam</v>
      </c>
      <c r="C16084" t="str">
        <v>-</v>
      </c>
      <c r="D16084" t="str">
        <v>-</v>
      </c>
      <c r="E16084" t="str">
        <v/>
      </c>
      <c r="F16084" t="str">
        <v>-</v>
      </c>
      <c r="G16084" t="str">
        <v>-</v>
      </c>
    </row>
    <row r="16085">
      <c r="B16085" t="str">
        <v>UBND Ủy ban nhân dân xã Trà Dơn  tỉnh Quảng Nam</v>
      </c>
      <c r="C16085" t="str">
        <v>-</v>
      </c>
      <c r="D16085" t="str">
        <v>-</v>
      </c>
      <c r="E16085" t="str">
        <v>-</v>
      </c>
      <c r="F16085" t="str">
        <v>-</v>
      </c>
      <c r="G16085" t="str">
        <v>-</v>
      </c>
    </row>
    <row r="16086">
      <c r="B16086" t="str">
        <v>Công an xã Trà Tập  tỉnh Quảng Nam</v>
      </c>
      <c r="C16086" t="str">
        <v>-</v>
      </c>
      <c r="D16086" t="str">
        <v>-</v>
      </c>
      <c r="E16086" t="str">
        <v/>
      </c>
      <c r="F16086" t="str">
        <v>-</v>
      </c>
      <c r="G16086" t="str">
        <v>-</v>
      </c>
    </row>
    <row r="16087">
      <c r="B16087" t="str">
        <v>UBND Ủy ban nhân dân xã Trà Tập  tỉnh Quảng Nam</v>
      </c>
      <c r="C16087" t="str">
        <v>-</v>
      </c>
      <c r="D16087" t="str">
        <v>-</v>
      </c>
      <c r="E16087" t="str">
        <v>-</v>
      </c>
      <c r="F16087" t="str">
        <v>-</v>
      </c>
      <c r="G16087" t="str">
        <v>-</v>
      </c>
    </row>
    <row r="16088">
      <c r="B16088" t="str">
        <v>Công an xã Trà Mai  tỉnh Quảng Nam</v>
      </c>
      <c r="C16088" t="str">
        <v>-</v>
      </c>
      <c r="D16088" t="str">
        <v>-</v>
      </c>
      <c r="E16088" t="str">
        <v/>
      </c>
      <c r="F16088" t="str">
        <v>-</v>
      </c>
      <c r="G16088" t="str">
        <v>-</v>
      </c>
    </row>
    <row r="16089">
      <c r="B16089" t="str">
        <v>UBND Ủy ban nhân dân xã Trà Mai  tỉnh Quảng Nam</v>
      </c>
      <c r="C16089" t="str">
        <v>-</v>
      </c>
      <c r="D16089" t="str">
        <v>-</v>
      </c>
      <c r="E16089" t="str">
        <v>-</v>
      </c>
      <c r="F16089" t="str">
        <v>-</v>
      </c>
      <c r="G16089" t="str">
        <v>-</v>
      </c>
    </row>
    <row r="16090">
      <c r="B16090" t="str">
        <v>Công an xã Trà Cang  tỉnh Quảng Nam</v>
      </c>
      <c r="C16090" t="str">
        <v>-</v>
      </c>
      <c r="D16090" t="str">
        <v>-</v>
      </c>
      <c r="E16090" t="str">
        <v/>
      </c>
      <c r="F16090" t="str">
        <v>-</v>
      </c>
      <c r="G16090" t="str">
        <v>-</v>
      </c>
    </row>
    <row r="16091">
      <c r="B16091" t="str">
        <v>UBND Ủy ban nhân dân xã Trà Cang  tỉnh Quảng Nam</v>
      </c>
      <c r="C16091" t="str">
        <v>-</v>
      </c>
      <c r="D16091" t="str">
        <v>-</v>
      </c>
      <c r="E16091" t="str">
        <v>-</v>
      </c>
      <c r="F16091" t="str">
        <v>-</v>
      </c>
      <c r="G16091" t="str">
        <v>-</v>
      </c>
    </row>
    <row r="16092">
      <c r="B16092" t="str">
        <v>Công an xã Trà Linh  tỉnh Quảng Nam</v>
      </c>
      <c r="C16092" t="str">
        <v>-</v>
      </c>
      <c r="D16092" t="str">
        <v>-</v>
      </c>
      <c r="E16092" t="str">
        <v/>
      </c>
      <c r="F16092" t="str">
        <v>-</v>
      </c>
      <c r="G16092" t="str">
        <v>-</v>
      </c>
    </row>
    <row r="16093">
      <c r="B16093" t="str">
        <v>UBND Ủy ban nhân dân xã Trà Linh  tỉnh Quảng Nam</v>
      </c>
      <c r="C16093" t="str">
        <v>-</v>
      </c>
      <c r="D16093" t="str">
        <v>-</v>
      </c>
      <c r="E16093" t="str">
        <v>-</v>
      </c>
      <c r="F16093" t="str">
        <v>-</v>
      </c>
      <c r="G16093" t="str">
        <v>-</v>
      </c>
    </row>
    <row r="16094">
      <c r="B16094" t="str">
        <v>Công an xã Trà Nam  tỉnh Quảng Nam</v>
      </c>
      <c r="C16094" t="str">
        <v>-</v>
      </c>
      <c r="D16094" t="str">
        <v>-</v>
      </c>
      <c r="E16094" t="str">
        <v/>
      </c>
      <c r="F16094" t="str">
        <v>-</v>
      </c>
      <c r="G16094" t="str">
        <v>-</v>
      </c>
    </row>
    <row r="16095">
      <c r="B16095" t="str">
        <v>UBND Ủy ban nhân dân xã Trà Nam  tỉnh Quảng Nam</v>
      </c>
      <c r="C16095" t="str">
        <v>-</v>
      </c>
      <c r="D16095" t="str">
        <v>-</v>
      </c>
      <c r="E16095" t="str">
        <v>-</v>
      </c>
      <c r="F16095" t="str">
        <v>-</v>
      </c>
      <c r="G16095" t="str">
        <v>-</v>
      </c>
    </row>
    <row r="16096">
      <c r="B16096" t="str">
        <v>Công an xã Trà Don  tỉnh Quảng Nam</v>
      </c>
      <c r="C16096" t="str">
        <v>-</v>
      </c>
      <c r="D16096" t="str">
        <v>-</v>
      </c>
      <c r="E16096" t="str">
        <v/>
      </c>
      <c r="F16096" t="str">
        <v>-</v>
      </c>
      <c r="G16096" t="str">
        <v>-</v>
      </c>
    </row>
    <row r="16097">
      <c r="B16097" t="str">
        <v>UBND Ủy ban nhân dân xã Trà Don  tỉnh Quảng Nam</v>
      </c>
      <c r="C16097" t="str">
        <v>-</v>
      </c>
      <c r="D16097" t="str">
        <v>-</v>
      </c>
      <c r="E16097" t="str">
        <v>-</v>
      </c>
      <c r="F16097" t="str">
        <v>-</v>
      </c>
      <c r="G16097" t="str">
        <v>-</v>
      </c>
    </row>
    <row r="16098">
      <c r="B16098" t="str">
        <v>Công an xã Trà Vân  tỉnh Quảng Nam</v>
      </c>
      <c r="C16098" t="str">
        <v>-</v>
      </c>
      <c r="D16098" t="str">
        <v>-</v>
      </c>
      <c r="E16098" t="str">
        <v/>
      </c>
      <c r="F16098" t="str">
        <v>-</v>
      </c>
      <c r="G16098" t="str">
        <v>-</v>
      </c>
    </row>
    <row r="16099">
      <c r="B16099" t="str">
        <v>UBND Ủy ban nhân dân xã Trà Vân  tỉnh Quảng Nam</v>
      </c>
      <c r="C16099" t="str">
        <v>-</v>
      </c>
      <c r="D16099" t="str">
        <v>-</v>
      </c>
      <c r="E16099" t="str">
        <v>-</v>
      </c>
      <c r="F16099" t="str">
        <v>-</v>
      </c>
      <c r="G16099" t="str">
        <v>-</v>
      </c>
    </row>
    <row r="16100">
      <c r="B16100" t="str">
        <v>Công an xã Trà Vinh  tỉnh Quảng Nam</v>
      </c>
      <c r="C16100" t="str">
        <v>-</v>
      </c>
      <c r="D16100" t="str">
        <v>-</v>
      </c>
      <c r="E16100" t="str">
        <v/>
      </c>
      <c r="F16100" t="str">
        <v>-</v>
      </c>
      <c r="G16100" t="str">
        <v>-</v>
      </c>
    </row>
    <row r="16101">
      <c r="B16101" t="str">
        <v>UBND Ủy ban nhân dân xã Trà Vinh  tỉnh Quảng Nam</v>
      </c>
      <c r="C16101" t="str">
        <v>-</v>
      </c>
      <c r="D16101" t="str">
        <v>-</v>
      </c>
      <c r="E16101" t="str">
        <v>-</v>
      </c>
      <c r="F16101" t="str">
        <v>-</v>
      </c>
      <c r="G16101" t="str">
        <v>-</v>
      </c>
    </row>
    <row r="16102">
      <c r="B16102" t="str">
        <v>Công an xã Tam Xuân I  tỉnh Quảng Nam</v>
      </c>
      <c r="C16102" t="str">
        <v>-</v>
      </c>
      <c r="D16102" t="str">
        <v>-</v>
      </c>
      <c r="E16102" t="str">
        <v/>
      </c>
      <c r="F16102" t="str">
        <v>-</v>
      </c>
      <c r="G16102" t="str">
        <v>-</v>
      </c>
    </row>
    <row r="16103">
      <c r="B16103" t="str">
        <v>UBND Ủy ban nhân dân xã Tam Xuân I  tỉnh Quảng Nam</v>
      </c>
      <c r="C16103" t="str">
        <v>-</v>
      </c>
      <c r="D16103" t="str">
        <v>-</v>
      </c>
      <c r="E16103" t="str">
        <v>-</v>
      </c>
      <c r="F16103" t="str">
        <v>-</v>
      </c>
      <c r="G16103" t="str">
        <v>-</v>
      </c>
    </row>
    <row r="16104">
      <c r="B16104" t="str">
        <v>Công an xã Tam Xuân II  tỉnh Quảng Nam</v>
      </c>
      <c r="C16104" t="str">
        <v>-</v>
      </c>
      <c r="D16104" t="str">
        <v>-</v>
      </c>
      <c r="E16104" t="str">
        <v/>
      </c>
      <c r="F16104" t="str">
        <v>-</v>
      </c>
      <c r="G16104" t="str">
        <v>-</v>
      </c>
    </row>
    <row r="16105">
      <c r="B16105" t="str">
        <v>UBND Ủy ban nhân dân xã Tam Xuân II  tỉnh Quảng Nam</v>
      </c>
      <c r="C16105" t="str">
        <v>-</v>
      </c>
      <c r="D16105" t="str">
        <v>-</v>
      </c>
      <c r="E16105" t="str">
        <v>-</v>
      </c>
      <c r="F16105" t="str">
        <v>-</v>
      </c>
      <c r="G16105" t="str">
        <v>-</v>
      </c>
    </row>
    <row r="16106">
      <c r="B16106" t="str">
        <v>Công an xã Tam Tiến  tỉnh Quảng Nam</v>
      </c>
      <c r="C16106" t="str">
        <v>-</v>
      </c>
      <c r="D16106" t="str">
        <v>-</v>
      </c>
      <c r="E16106" t="str">
        <v/>
      </c>
      <c r="F16106" t="str">
        <v>-</v>
      </c>
      <c r="G16106" t="str">
        <v>-</v>
      </c>
    </row>
    <row r="16107">
      <c r="B16107" t="str">
        <v>UBND Ủy ban nhân dân xã Tam Tiến  tỉnh Quảng Nam</v>
      </c>
      <c r="C16107" t="str">
        <v>-</v>
      </c>
      <c r="D16107" t="str">
        <v>-</v>
      </c>
      <c r="E16107" t="str">
        <v>-</v>
      </c>
      <c r="F16107" t="str">
        <v>-</v>
      </c>
      <c r="G16107" t="str">
        <v>-</v>
      </c>
    </row>
    <row r="16108">
      <c r="B16108" t="str">
        <v>Công an xã Tam Sơn  tỉnh Quảng Nam</v>
      </c>
      <c r="C16108" t="str">
        <v>-</v>
      </c>
      <c r="D16108" t="str">
        <v>-</v>
      </c>
      <c r="E16108" t="str">
        <v/>
      </c>
      <c r="F16108" t="str">
        <v>-</v>
      </c>
      <c r="G16108" t="str">
        <v>-</v>
      </c>
    </row>
    <row r="16109">
      <c r="B16109" t="str">
        <v>UBND Ủy ban nhân dân xã Tam Sơn  tỉnh Quảng Nam</v>
      </c>
      <c r="C16109" t="str">
        <v>-</v>
      </c>
      <c r="D16109" t="str">
        <v>-</v>
      </c>
      <c r="E16109" t="str">
        <v>-</v>
      </c>
      <c r="F16109" t="str">
        <v>-</v>
      </c>
      <c r="G16109" t="str">
        <v>-</v>
      </c>
    </row>
    <row r="16110">
      <c r="B16110" t="str">
        <v>Công an xã Tam Thạnh  tỉnh Quảng Nam</v>
      </c>
      <c r="C16110" t="str">
        <v>-</v>
      </c>
      <c r="D16110" t="str">
        <v>-</v>
      </c>
      <c r="E16110" t="str">
        <v/>
      </c>
      <c r="F16110" t="str">
        <v>-</v>
      </c>
      <c r="G16110" t="str">
        <v>-</v>
      </c>
    </row>
    <row r="16111">
      <c r="B16111" t="str">
        <v>UBND Ủy ban nhân dân xã Tam Thạnh  tỉnh Quảng Nam</v>
      </c>
      <c r="C16111" t="str">
        <v>-</v>
      </c>
      <c r="D16111" t="str">
        <v>-</v>
      </c>
      <c r="E16111" t="str">
        <v>-</v>
      </c>
      <c r="F16111" t="str">
        <v>-</v>
      </c>
      <c r="G16111" t="str">
        <v>-</v>
      </c>
    </row>
    <row r="16112">
      <c r="B16112" t="str">
        <v>Công an xã Tam Anh Bắc  tỉnh Quảng Nam</v>
      </c>
      <c r="C16112" t="str">
        <v>-</v>
      </c>
      <c r="D16112" t="str">
        <v>-</v>
      </c>
      <c r="E16112" t="str">
        <v/>
      </c>
      <c r="F16112" t="str">
        <v>-</v>
      </c>
      <c r="G16112" t="str">
        <v>-</v>
      </c>
    </row>
    <row r="16113">
      <c r="B16113" t="str">
        <v>UBND Ủy ban nhân dân xã Tam Anh Bắc  tỉnh Quảng Nam</v>
      </c>
      <c r="C16113" t="str">
        <v>-</v>
      </c>
      <c r="D16113" t="str">
        <v>-</v>
      </c>
      <c r="E16113" t="str">
        <v>-</v>
      </c>
      <c r="F16113" t="str">
        <v>-</v>
      </c>
      <c r="G16113" t="str">
        <v>-</v>
      </c>
    </row>
    <row r="16114">
      <c r="B16114" t="str">
        <v>Công an xã Tam Anh Nam  tỉnh Quảng Nam</v>
      </c>
      <c r="C16114" t="str">
        <v>-</v>
      </c>
      <c r="D16114" t="str">
        <v>-</v>
      </c>
      <c r="E16114" t="str">
        <v/>
      </c>
      <c r="F16114" t="str">
        <v>-</v>
      </c>
      <c r="G16114" t="str">
        <v>-</v>
      </c>
    </row>
    <row r="16115">
      <c r="B16115" t="str">
        <v>UBND Ủy ban nhân dân xã Tam Anh Nam  tỉnh Quảng Nam</v>
      </c>
      <c r="C16115" t="str">
        <v>-</v>
      </c>
      <c r="D16115" t="str">
        <v>-</v>
      </c>
      <c r="E16115" t="str">
        <v>-</v>
      </c>
      <c r="F16115" t="str">
        <v>-</v>
      </c>
      <c r="G16115" t="str">
        <v>-</v>
      </c>
    </row>
    <row r="16116">
      <c r="B16116" t="str">
        <v>Công an xã Tam Hòa  tỉnh Quảng Nam</v>
      </c>
      <c r="C16116" t="str">
        <v>-</v>
      </c>
      <c r="D16116" t="str">
        <v>-</v>
      </c>
      <c r="E16116" t="str">
        <v/>
      </c>
      <c r="F16116" t="str">
        <v>-</v>
      </c>
      <c r="G16116" t="str">
        <v>-</v>
      </c>
    </row>
    <row r="16117">
      <c r="B16117" t="str">
        <v>UBND Ủy ban nhân dân xã Tam Hòa  tỉnh Quảng Nam</v>
      </c>
      <c r="C16117" t="str">
        <v>-</v>
      </c>
      <c r="D16117" t="str">
        <v>-</v>
      </c>
      <c r="E16117" t="str">
        <v>-</v>
      </c>
      <c r="F16117" t="str">
        <v>-</v>
      </c>
      <c r="G16117" t="str">
        <v>-</v>
      </c>
    </row>
    <row r="16118">
      <c r="B16118" t="str">
        <v>Công an xã Tam Hiệp  tỉnh Quảng Nam</v>
      </c>
      <c r="C16118" t="str">
        <v>-</v>
      </c>
      <c r="D16118" t="str">
        <v>-</v>
      </c>
      <c r="E16118" t="str">
        <v/>
      </c>
      <c r="F16118" t="str">
        <v>-</v>
      </c>
      <c r="G16118" t="str">
        <v>-</v>
      </c>
    </row>
    <row r="16119">
      <c r="B16119" t="str">
        <v>UBND Ủy ban nhân dân xã Tam Hiệp  tỉnh Quảng Nam</v>
      </c>
      <c r="C16119" t="str">
        <v>-</v>
      </c>
      <c r="D16119" t="str">
        <v>-</v>
      </c>
      <c r="E16119" t="str">
        <v>-</v>
      </c>
      <c r="F16119" t="str">
        <v>-</v>
      </c>
      <c r="G16119" t="str">
        <v>-</v>
      </c>
    </row>
    <row r="16120">
      <c r="B16120" t="str">
        <v>Công an xã Tam Hải  tỉnh Quảng Nam</v>
      </c>
      <c r="C16120" t="str">
        <v>-</v>
      </c>
      <c r="D16120" t="str">
        <v>-</v>
      </c>
      <c r="E16120" t="str">
        <v/>
      </c>
      <c r="F16120" t="str">
        <v>-</v>
      </c>
      <c r="G16120" t="str">
        <v>-</v>
      </c>
    </row>
    <row r="16121">
      <c r="B16121" t="str">
        <v>UBND Ủy ban nhân dân xã Tam Hải  tỉnh Quảng Nam</v>
      </c>
      <c r="C16121" t="str">
        <v>-</v>
      </c>
      <c r="D16121" t="str">
        <v>-</v>
      </c>
      <c r="E16121" t="str">
        <v>-</v>
      </c>
      <c r="F16121" t="str">
        <v>-</v>
      </c>
      <c r="G16121" t="str">
        <v>-</v>
      </c>
    </row>
    <row r="16122">
      <c r="B16122" t="str">
        <v>Công an xã Tam Giang  tỉnh Quảng Nam</v>
      </c>
      <c r="C16122" t="str">
        <v>-</v>
      </c>
      <c r="D16122" t="str">
        <v>-</v>
      </c>
      <c r="E16122" t="str">
        <v/>
      </c>
      <c r="F16122" t="str">
        <v>-</v>
      </c>
      <c r="G16122" t="str">
        <v>-</v>
      </c>
    </row>
    <row r="16123">
      <c r="B16123" t="str">
        <v>UBND Ủy ban nhân dân xã Tam Giang  tỉnh Quảng Nam</v>
      </c>
      <c r="C16123" t="str">
        <v>-</v>
      </c>
      <c r="D16123" t="str">
        <v>-</v>
      </c>
      <c r="E16123" t="str">
        <v>-</v>
      </c>
      <c r="F16123" t="str">
        <v>-</v>
      </c>
      <c r="G16123" t="str">
        <v>-</v>
      </c>
    </row>
    <row r="16124">
      <c r="B16124" t="str">
        <v>Công an xã Tam Quang  tỉnh Quảng Nam</v>
      </c>
      <c r="C16124" t="str">
        <v>-</v>
      </c>
      <c r="D16124" t="str">
        <v>-</v>
      </c>
      <c r="E16124" t="str">
        <v/>
      </c>
      <c r="F16124" t="str">
        <v>-</v>
      </c>
      <c r="G16124" t="str">
        <v>-</v>
      </c>
    </row>
    <row r="16125">
      <c r="B16125" t="str">
        <v>UBND Ủy ban nhân dân xã Tam Quang  tỉnh Quảng Nam</v>
      </c>
      <c r="C16125" t="str">
        <v>-</v>
      </c>
      <c r="D16125" t="str">
        <v>-</v>
      </c>
      <c r="E16125" t="str">
        <v>-</v>
      </c>
      <c r="F16125" t="str">
        <v>-</v>
      </c>
      <c r="G16125" t="str">
        <v>-</v>
      </c>
    </row>
    <row r="16126">
      <c r="B16126" t="str">
        <v>Công an xã Tam Nghĩa  tỉnh Quảng Nam</v>
      </c>
      <c r="C16126" t="str">
        <v>-</v>
      </c>
      <c r="D16126" t="str">
        <v>-</v>
      </c>
      <c r="E16126" t="str">
        <v/>
      </c>
      <c r="F16126" t="str">
        <v>-</v>
      </c>
      <c r="G16126" t="str">
        <v>-</v>
      </c>
    </row>
    <row r="16127">
      <c r="B16127" t="str">
        <v>UBND Ủy ban nhân dân xã Tam Nghĩa  tỉnh Quảng Nam</v>
      </c>
      <c r="C16127" t="str">
        <v>-</v>
      </c>
      <c r="D16127" t="str">
        <v>-</v>
      </c>
      <c r="E16127" t="str">
        <v>-</v>
      </c>
      <c r="F16127" t="str">
        <v>-</v>
      </c>
      <c r="G16127" t="str">
        <v>-</v>
      </c>
    </row>
    <row r="16128">
      <c r="B16128" t="str">
        <v>Công an xã Tam Mỹ Tây  tỉnh Quảng Nam</v>
      </c>
      <c r="C16128" t="str">
        <v>-</v>
      </c>
      <c r="D16128" t="str">
        <v>-</v>
      </c>
      <c r="E16128" t="str">
        <v/>
      </c>
      <c r="F16128" t="str">
        <v>-</v>
      </c>
      <c r="G16128" t="str">
        <v>-</v>
      </c>
    </row>
    <row r="16129">
      <c r="B16129" t="str">
        <v>UBND Ủy ban nhân dân xã Tam Mỹ Tây  tỉnh Quảng Nam</v>
      </c>
      <c r="C16129" t="str">
        <v>-</v>
      </c>
      <c r="D16129" t="str">
        <v>-</v>
      </c>
      <c r="E16129" t="str">
        <v>-</v>
      </c>
      <c r="F16129" t="str">
        <v>-</v>
      </c>
      <c r="G16129" t="str">
        <v>-</v>
      </c>
    </row>
    <row r="16130">
      <c r="B16130" t="str">
        <v>Công an xã Tam Mỹ Đông  tỉnh Quảng Nam</v>
      </c>
      <c r="C16130" t="str">
        <v>-</v>
      </c>
      <c r="D16130" t="str">
        <v>-</v>
      </c>
      <c r="E16130" t="str">
        <v/>
      </c>
      <c r="F16130" t="str">
        <v>-</v>
      </c>
      <c r="G16130" t="str">
        <v>-</v>
      </c>
    </row>
    <row r="16131">
      <c r="B16131" t="str">
        <v>UBND Ủy ban nhân dân xã Tam Mỹ Đông  tỉnh Quảng Nam</v>
      </c>
      <c r="C16131" t="str">
        <v>-</v>
      </c>
      <c r="D16131" t="str">
        <v>-</v>
      </c>
      <c r="E16131" t="str">
        <v>-</v>
      </c>
      <c r="F16131" t="str">
        <v>-</v>
      </c>
      <c r="G16131" t="str">
        <v>-</v>
      </c>
    </row>
    <row r="16132">
      <c r="B16132" t="str">
        <v>Công an xã Tam Trà  tỉnh Quảng Nam</v>
      </c>
      <c r="C16132" t="str">
        <v>-</v>
      </c>
      <c r="D16132" t="str">
        <v>-</v>
      </c>
      <c r="E16132" t="str">
        <v/>
      </c>
      <c r="F16132" t="str">
        <v>-</v>
      </c>
      <c r="G16132" t="str">
        <v>-</v>
      </c>
    </row>
    <row r="16133">
      <c r="B16133" t="str">
        <v>UBND Ủy ban nhân dân xã Tam Trà  tỉnh Quảng Nam</v>
      </c>
      <c r="C16133" t="str">
        <v>-</v>
      </c>
      <c r="D16133" t="str">
        <v>-</v>
      </c>
      <c r="E16133" t="str">
        <v>-</v>
      </c>
      <c r="F16133" t="str">
        <v>-</v>
      </c>
      <c r="G16133" t="str">
        <v>-</v>
      </c>
    </row>
    <row r="16134">
      <c r="B16134" t="str">
        <v>Công an xã Tam Thành  tỉnh Quảng Nam</v>
      </c>
      <c r="C16134" t="str">
        <v>-</v>
      </c>
      <c r="D16134" t="str">
        <v>-</v>
      </c>
      <c r="E16134" t="str">
        <v/>
      </c>
      <c r="F16134" t="str">
        <v>-</v>
      </c>
      <c r="G16134" t="str">
        <v>-</v>
      </c>
    </row>
    <row r="16135">
      <c r="B16135" t="str">
        <v>UBND Ủy ban nhân dân xã Tam Thành  tỉnh Quảng Nam</v>
      </c>
      <c r="C16135" t="str">
        <v>-</v>
      </c>
      <c r="D16135" t="str">
        <v>-</v>
      </c>
      <c r="E16135" t="str">
        <v>-</v>
      </c>
      <c r="F16135" t="str">
        <v>-</v>
      </c>
      <c r="G16135" t="str">
        <v>-</v>
      </c>
    </row>
    <row r="16136">
      <c r="B16136" t="str">
        <v>Công an xã Tam An  tỉnh Quảng Nam</v>
      </c>
      <c r="C16136" t="str">
        <v>-</v>
      </c>
      <c r="D16136" t="str">
        <v>-</v>
      </c>
      <c r="E16136" t="str">
        <v/>
      </c>
      <c r="F16136" t="str">
        <v>-</v>
      </c>
      <c r="G16136" t="str">
        <v>-</v>
      </c>
    </row>
    <row r="16137">
      <c r="B16137" t="str">
        <v>UBND Ủy ban nhân dân xã Tam An  tỉnh Quảng Nam</v>
      </c>
      <c r="C16137" t="str">
        <v>-</v>
      </c>
      <c r="D16137" t="str">
        <v>-</v>
      </c>
      <c r="E16137" t="str">
        <v>-</v>
      </c>
      <c r="F16137" t="str">
        <v>-</v>
      </c>
      <c r="G16137" t="str">
        <v>-</v>
      </c>
    </row>
    <row r="16138">
      <c r="B16138" t="str">
        <v>Công an xã Tam Đàn  tỉnh Quảng Nam</v>
      </c>
      <c r="C16138" t="str">
        <v>-</v>
      </c>
      <c r="D16138" t="str">
        <v>-</v>
      </c>
      <c r="E16138" t="str">
        <v/>
      </c>
      <c r="F16138" t="str">
        <v>-</v>
      </c>
      <c r="G16138" t="str">
        <v>-</v>
      </c>
    </row>
    <row r="16139">
      <c r="B16139" t="str">
        <v>UBND Ủy ban nhân dân xã Tam Đàn  tỉnh Quảng Nam</v>
      </c>
      <c r="C16139" t="str">
        <v>-</v>
      </c>
      <c r="D16139" t="str">
        <v>-</v>
      </c>
      <c r="E16139" t="str">
        <v>-</v>
      </c>
      <c r="F16139" t="str">
        <v>-</v>
      </c>
      <c r="G16139" t="str">
        <v>-</v>
      </c>
    </row>
    <row r="16140">
      <c r="B16140" t="str">
        <v>Công an xã Tam Lộc  tỉnh Quảng Nam</v>
      </c>
      <c r="C16140" t="str">
        <v>-</v>
      </c>
      <c r="D16140" t="str">
        <v>-</v>
      </c>
      <c r="E16140" t="str">
        <v/>
      </c>
      <c r="F16140" t="str">
        <v>-</v>
      </c>
      <c r="G16140" t="str">
        <v>-</v>
      </c>
    </row>
    <row r="16141">
      <c r="B16141" t="str">
        <v>UBND Ủy ban nhân dân xã Tam Lộc  tỉnh Quảng Nam</v>
      </c>
      <c r="C16141" t="str">
        <v>-</v>
      </c>
      <c r="D16141" t="str">
        <v>-</v>
      </c>
      <c r="E16141" t="str">
        <v>-</v>
      </c>
      <c r="F16141" t="str">
        <v>-</v>
      </c>
      <c r="G16141" t="str">
        <v>-</v>
      </c>
    </row>
    <row r="16142">
      <c r="B16142" t="str">
        <v>Công an xã Tam Phước  tỉnh Quảng Nam</v>
      </c>
      <c r="C16142" t="str">
        <v>-</v>
      </c>
      <c r="D16142" t="str">
        <v>-</v>
      </c>
      <c r="E16142" t="str">
        <v/>
      </c>
      <c r="F16142" t="str">
        <v>-</v>
      </c>
      <c r="G16142" t="str">
        <v>-</v>
      </c>
    </row>
    <row r="16143">
      <c r="B16143" t="str">
        <v>UBND Ủy ban nhân dân xã Tam Phước  tỉnh Quảng Nam</v>
      </c>
      <c r="C16143" t="str">
        <v>-</v>
      </c>
      <c r="D16143" t="str">
        <v>-</v>
      </c>
      <c r="E16143" t="str">
        <v>-</v>
      </c>
      <c r="F16143" t="str">
        <v>-</v>
      </c>
      <c r="G16143" t="str">
        <v>-</v>
      </c>
    </row>
    <row r="16144">
      <c r="B16144" t="str">
        <v>Công an xã Tam Vinh  tỉnh Quảng Nam</v>
      </c>
      <c r="C16144" t="str">
        <v>-</v>
      </c>
      <c r="D16144" t="str">
        <v>-</v>
      </c>
      <c r="E16144" t="str">
        <v/>
      </c>
      <c r="F16144" t="str">
        <v>-</v>
      </c>
      <c r="G16144" t="str">
        <v>-</v>
      </c>
    </row>
    <row r="16145">
      <c r="B16145" t="str">
        <v>UBND Ủy ban nhân dân xã Tam Vinh  tỉnh Quảng Nam</v>
      </c>
      <c r="C16145" t="str">
        <v>-</v>
      </c>
      <c r="D16145" t="str">
        <v>-</v>
      </c>
      <c r="E16145" t="str">
        <v>-</v>
      </c>
      <c r="F16145" t="str">
        <v>-</v>
      </c>
      <c r="G16145" t="str">
        <v>-</v>
      </c>
    </row>
    <row r="16146">
      <c r="B16146" t="str">
        <v>Công an xã Tam Thái  tỉnh Quảng Nam</v>
      </c>
      <c r="C16146" t="str">
        <v>-</v>
      </c>
      <c r="D16146" t="str">
        <v>-</v>
      </c>
      <c r="E16146" t="str">
        <v/>
      </c>
      <c r="F16146" t="str">
        <v>-</v>
      </c>
      <c r="G16146" t="str">
        <v>-</v>
      </c>
    </row>
    <row r="16147">
      <c r="B16147" t="str">
        <v>UBND Ủy ban nhân dân xã Tam Thái  tỉnh Quảng Nam</v>
      </c>
      <c r="C16147" t="str">
        <v>-</v>
      </c>
      <c r="D16147" t="str">
        <v>-</v>
      </c>
      <c r="E16147" t="str">
        <v>-</v>
      </c>
      <c r="F16147" t="str">
        <v>-</v>
      </c>
      <c r="G16147" t="str">
        <v>-</v>
      </c>
    </row>
    <row r="16148">
      <c r="B16148" t="str">
        <v>Công an xã Tam Đại  tỉnh Quảng Nam</v>
      </c>
      <c r="C16148" t="str">
        <v>-</v>
      </c>
      <c r="D16148" t="str">
        <v>-</v>
      </c>
      <c r="E16148" t="str">
        <v/>
      </c>
      <c r="F16148" t="str">
        <v>-</v>
      </c>
      <c r="G16148" t="str">
        <v>-</v>
      </c>
    </row>
    <row r="16149">
      <c r="B16149" t="str">
        <v>UBND Ủy ban nhân dân xã Tam Đại  tỉnh Quảng Nam</v>
      </c>
      <c r="C16149" t="str">
        <v>-</v>
      </c>
      <c r="D16149" t="str">
        <v>-</v>
      </c>
      <c r="E16149" t="str">
        <v>-</v>
      </c>
      <c r="F16149" t="str">
        <v>-</v>
      </c>
      <c r="G16149" t="str">
        <v>-</v>
      </c>
    </row>
    <row r="16150">
      <c r="B16150" t="str">
        <v>Công an xã Tam Dân  tỉnh Quảng Nam</v>
      </c>
      <c r="C16150" t="str">
        <v>-</v>
      </c>
      <c r="D16150" t="str">
        <v>-</v>
      </c>
      <c r="E16150" t="str">
        <v/>
      </c>
      <c r="F16150" t="str">
        <v>-</v>
      </c>
      <c r="G16150" t="str">
        <v>-</v>
      </c>
    </row>
    <row r="16151">
      <c r="B16151" t="str">
        <v>UBND Ủy ban nhân dân xã Tam Dân  tỉnh Quảng Nam</v>
      </c>
      <c r="C16151" t="str">
        <v>-</v>
      </c>
      <c r="D16151" t="str">
        <v>-</v>
      </c>
      <c r="E16151" t="str">
        <v>-</v>
      </c>
      <c r="F16151" t="str">
        <v>-</v>
      </c>
      <c r="G16151" t="str">
        <v>-</v>
      </c>
    </row>
    <row r="16152">
      <c r="B16152" t="str">
        <v>Công an xã Tam Lãnh  tỉnh Quảng Nam</v>
      </c>
      <c r="C16152" t="str">
        <v>-</v>
      </c>
      <c r="D16152" t="str">
        <v>-</v>
      </c>
      <c r="E16152" t="str">
        <v/>
      </c>
      <c r="F16152" t="str">
        <v>-</v>
      </c>
      <c r="G16152" t="str">
        <v>-</v>
      </c>
    </row>
    <row r="16153">
      <c r="B16153" t="str">
        <v>UBND Ủy ban nhân dân xã Tam Lãnh  tỉnh Quảng Nam</v>
      </c>
      <c r="C16153" t="str">
        <v>-</v>
      </c>
      <c r="D16153" t="str">
        <v>-</v>
      </c>
      <c r="E16153" t="str">
        <v>-</v>
      </c>
      <c r="F16153" t="str">
        <v>-</v>
      </c>
      <c r="G16153" t="str">
        <v>-</v>
      </c>
    </row>
    <row r="16154">
      <c r="B16154" t="str">
        <v>Công an xã Quế Trung  tỉnh Quảng Nam</v>
      </c>
      <c r="C16154" t="str">
        <v>-</v>
      </c>
      <c r="D16154" t="str">
        <v>-</v>
      </c>
      <c r="E16154" t="str">
        <v/>
      </c>
      <c r="F16154" t="str">
        <v>-</v>
      </c>
      <c r="G16154" t="str">
        <v>-</v>
      </c>
    </row>
    <row r="16155">
      <c r="B16155" t="str">
        <v>UBND Ủy ban nhân dân xã Quế Trung  tỉnh Quảng Nam</v>
      </c>
      <c r="C16155" t="str">
        <v>-</v>
      </c>
      <c r="D16155" t="str">
        <v>-</v>
      </c>
      <c r="E16155" t="str">
        <v>-</v>
      </c>
      <c r="F16155" t="str">
        <v>-</v>
      </c>
      <c r="G16155" t="str">
        <v>-</v>
      </c>
    </row>
    <row r="16156">
      <c r="B16156" t="str">
        <v>Công an xã Quế Ninh  tỉnh Quảng Nam</v>
      </c>
      <c r="C16156" t="str">
        <v>-</v>
      </c>
      <c r="D16156" t="str">
        <v>-</v>
      </c>
      <c r="E16156" t="str">
        <v/>
      </c>
      <c r="F16156" t="str">
        <v>-</v>
      </c>
      <c r="G16156" t="str">
        <v>-</v>
      </c>
    </row>
    <row r="16157">
      <c r="B16157" t="str">
        <v>UBND Ủy ban nhân dân xã Quế Ninh  tỉnh Quảng Nam</v>
      </c>
      <c r="C16157" t="str">
        <v>-</v>
      </c>
      <c r="D16157" t="str">
        <v>-</v>
      </c>
      <c r="E16157" t="str">
        <v>-</v>
      </c>
      <c r="F16157" t="str">
        <v>-</v>
      </c>
      <c r="G16157" t="str">
        <v>-</v>
      </c>
    </row>
    <row r="16158">
      <c r="B16158" t="str">
        <v>Công an xã Phước Ninh  tỉnh Quảng Nam</v>
      </c>
      <c r="C16158" t="str">
        <v>-</v>
      </c>
      <c r="D16158" t="str">
        <v>-</v>
      </c>
      <c r="E16158" t="str">
        <v/>
      </c>
      <c r="F16158" t="str">
        <v>-</v>
      </c>
      <c r="G16158" t="str">
        <v>-</v>
      </c>
    </row>
    <row r="16159">
      <c r="B16159" t="str">
        <v>UBND Ủy ban nhân dân xã Phước Ninh  tỉnh Quảng Nam</v>
      </c>
      <c r="C16159" t="str">
        <v>-</v>
      </c>
      <c r="D16159" t="str">
        <v>-</v>
      </c>
      <c r="E16159" t="str">
        <v>-</v>
      </c>
      <c r="F16159" t="str">
        <v>-</v>
      </c>
      <c r="G16159" t="str">
        <v>-</v>
      </c>
    </row>
    <row r="16160">
      <c r="B16160" t="str">
        <v>Công an xã Quế Lộc  tỉnh Quảng Nam</v>
      </c>
      <c r="C16160" t="str">
        <v>-</v>
      </c>
      <c r="D16160" t="str">
        <v>-</v>
      </c>
      <c r="E16160" t="str">
        <v/>
      </c>
      <c r="F16160" t="str">
        <v>-</v>
      </c>
      <c r="G16160" t="str">
        <v>-</v>
      </c>
    </row>
    <row r="16161">
      <c r="B16161" t="str">
        <v>UBND Ủy ban nhân dân xã Quế Lộc  tỉnh Quảng Nam</v>
      </c>
      <c r="C16161" t="str">
        <v>-</v>
      </c>
      <c r="D16161" t="str">
        <v>-</v>
      </c>
      <c r="E16161" t="str">
        <v>-</v>
      </c>
      <c r="F16161" t="str">
        <v>-</v>
      </c>
      <c r="G16161" t="str">
        <v>-</v>
      </c>
    </row>
    <row r="16162">
      <c r="B16162" t="str">
        <v>Công an xã Sơn Viên  tỉnh Quảng Nam</v>
      </c>
      <c r="C16162" t="str">
        <v>-</v>
      </c>
      <c r="D16162" t="str">
        <v>-</v>
      </c>
      <c r="E16162" t="str">
        <v/>
      </c>
      <c r="F16162" t="str">
        <v>-</v>
      </c>
      <c r="G16162" t="str">
        <v>-</v>
      </c>
    </row>
    <row r="16163">
      <c r="B16163" t="str">
        <v>UBND Ủy ban nhân dân xã Sơn Viên  tỉnh Quảng Nam</v>
      </c>
      <c r="C16163" t="str">
        <v>-</v>
      </c>
      <c r="D16163" t="str">
        <v>-</v>
      </c>
      <c r="E16163" t="str">
        <v>-</v>
      </c>
      <c r="F16163" t="str">
        <v>-</v>
      </c>
      <c r="G16163" t="str">
        <v>-</v>
      </c>
    </row>
    <row r="16164">
      <c r="B16164" t="str">
        <v>Công an xã Quế Phước  tỉnh Quảng Nam</v>
      </c>
      <c r="C16164" t="str">
        <v>-</v>
      </c>
      <c r="D16164" t="str">
        <v>-</v>
      </c>
      <c r="E16164" t="str">
        <v/>
      </c>
      <c r="F16164" t="str">
        <v>-</v>
      </c>
      <c r="G16164" t="str">
        <v>-</v>
      </c>
    </row>
    <row r="16165">
      <c r="B16165" t="str">
        <v>UBND Ủy ban nhân dân xã Quế Phước  tỉnh Quảng Nam</v>
      </c>
      <c r="C16165" t="str">
        <v>-</v>
      </c>
      <c r="D16165" t="str">
        <v>-</v>
      </c>
      <c r="E16165" t="str">
        <v>-</v>
      </c>
      <c r="F16165" t="str">
        <v>-</v>
      </c>
      <c r="G16165" t="str">
        <v>-</v>
      </c>
    </row>
    <row r="16166">
      <c r="B16166" t="str">
        <v>Công an xã Quế Lâm  tỉnh Quảng Nam</v>
      </c>
      <c r="C16166" t="str">
        <v>-</v>
      </c>
      <c r="D16166" t="str">
        <v>-</v>
      </c>
      <c r="E16166" t="str">
        <v/>
      </c>
      <c r="F16166" t="str">
        <v>-</v>
      </c>
      <c r="G16166" t="str">
        <v>-</v>
      </c>
    </row>
    <row r="16167">
      <c r="B16167" t="str">
        <v>UBND Ủy ban nhân dân xã Quế Lâm  tỉnh Quảng Nam</v>
      </c>
      <c r="C16167" t="str">
        <v>-</v>
      </c>
      <c r="D16167" t="str">
        <v>-</v>
      </c>
      <c r="E16167" t="str">
        <v>-</v>
      </c>
      <c r="F16167" t="str">
        <v>-</v>
      </c>
      <c r="G16167" t="str">
        <v>-</v>
      </c>
    </row>
    <row r="16168">
      <c r="B16168" t="str">
        <v>Công an phường Lê Hồng Phong  tỉnh Quảng Ngãi</v>
      </c>
      <c r="C16168" t="str">
        <v>-</v>
      </c>
      <c r="D16168" t="str">
        <v>-</v>
      </c>
      <c r="E16168" t="str">
        <v/>
      </c>
      <c r="F16168" t="str">
        <v>-</v>
      </c>
      <c r="G16168" t="str">
        <v>-</v>
      </c>
    </row>
    <row r="16169">
      <c r="B16169" t="str">
        <v>UBND Ủy ban nhân dân phường Lê Hồng Phong  tỉnh Quảng Ngãi</v>
      </c>
      <c r="C16169" t="str">
        <v>-</v>
      </c>
      <c r="D16169" t="str">
        <v>-</v>
      </c>
      <c r="E16169" t="str">
        <v>-</v>
      </c>
      <c r="F16169" t="str">
        <v>-</v>
      </c>
      <c r="G16169" t="str">
        <v>-</v>
      </c>
    </row>
    <row r="16170">
      <c r="B16170" t="str">
        <v>Công an phường Trần Phú  tỉnh Quảng Ngãi</v>
      </c>
      <c r="C16170" t="str">
        <v>-</v>
      </c>
      <c r="D16170" t="str">
        <v>-</v>
      </c>
      <c r="E16170" t="str">
        <v/>
      </c>
      <c r="F16170" t="str">
        <v>-</v>
      </c>
      <c r="G16170" t="str">
        <v>-</v>
      </c>
    </row>
    <row r="16171">
      <c r="B16171" t="str">
        <v>UBND Ủy ban nhân dân phường Trần Phú  tỉnh Quảng Ngãi</v>
      </c>
      <c r="C16171" t="str">
        <v>-</v>
      </c>
      <c r="D16171" t="str">
        <v>-</v>
      </c>
      <c r="E16171" t="str">
        <v>-</v>
      </c>
      <c r="F16171" t="str">
        <v>-</v>
      </c>
      <c r="G16171" t="str">
        <v>-</v>
      </c>
    </row>
    <row r="16172">
      <c r="B16172" t="str">
        <v>Công an phường Quảng Phú  tỉnh Quảng Ngãi</v>
      </c>
      <c r="C16172" t="str">
        <v>-</v>
      </c>
      <c r="D16172" t="str">
        <v>-</v>
      </c>
      <c r="E16172" t="str">
        <v/>
      </c>
      <c r="F16172" t="str">
        <v>-</v>
      </c>
      <c r="G16172" t="str">
        <v>-</v>
      </c>
    </row>
    <row r="16173">
      <c r="B16173" t="str">
        <v>UBND Ủy ban nhân dân phường Quảng Phú  tỉnh Quảng Ngãi</v>
      </c>
      <c r="C16173" t="str">
        <v>-</v>
      </c>
      <c r="D16173" t="str">
        <v>-</v>
      </c>
      <c r="E16173" t="str">
        <v>-</v>
      </c>
      <c r="F16173" t="str">
        <v>-</v>
      </c>
      <c r="G16173" t="str">
        <v>-</v>
      </c>
    </row>
    <row r="16174">
      <c r="B16174" t="str">
        <v>Công an phường Nghĩa Chánh  tỉnh Quảng Ngãi</v>
      </c>
      <c r="C16174" t="str">
        <v>-</v>
      </c>
      <c r="D16174" t="str">
        <v>-</v>
      </c>
      <c r="E16174" t="str">
        <v/>
      </c>
      <c r="F16174" t="str">
        <v>-</v>
      </c>
      <c r="G16174" t="str">
        <v>-</v>
      </c>
    </row>
    <row r="16175">
      <c r="B16175" t="str">
        <v>UBND Ủy ban nhân dân phường Nghĩa Chánh  tỉnh Quảng Ngãi</v>
      </c>
      <c r="C16175" t="str">
        <v>-</v>
      </c>
      <c r="D16175" t="str">
        <v>-</v>
      </c>
      <c r="E16175" t="str">
        <v>-</v>
      </c>
      <c r="F16175" t="str">
        <v>-</v>
      </c>
      <c r="G16175" t="str">
        <v>-</v>
      </c>
    </row>
    <row r="16176">
      <c r="B16176" t="str">
        <v>Công an phường Trần Hưng Đạo  tỉnh Quảng Ngãi</v>
      </c>
      <c r="C16176" t="str">
        <v>-</v>
      </c>
      <c r="D16176" t="str">
        <v>-</v>
      </c>
      <c r="E16176" t="str">
        <v/>
      </c>
      <c r="F16176" t="str">
        <v>-</v>
      </c>
      <c r="G16176" t="str">
        <v>-</v>
      </c>
    </row>
    <row r="16177">
      <c r="B16177" t="str">
        <v>UBND Ủy ban nhân dân phường Trần Hưng Đạo  tỉnh Quảng Ngãi</v>
      </c>
      <c r="C16177" t="str">
        <v>-</v>
      </c>
      <c r="D16177" t="str">
        <v>-</v>
      </c>
      <c r="E16177" t="str">
        <v>-</v>
      </c>
      <c r="F16177" t="str">
        <v>-</v>
      </c>
      <c r="G16177" t="str">
        <v>-</v>
      </c>
    </row>
    <row r="16178">
      <c r="B16178" t="str">
        <v>Công an phường Nguyễn Nghiêm  tỉnh Quảng Ngãi</v>
      </c>
      <c r="C16178" t="str">
        <v>-</v>
      </c>
      <c r="D16178" t="str">
        <v>-</v>
      </c>
      <c r="E16178" t="str">
        <v/>
      </c>
      <c r="F16178" t="str">
        <v>-</v>
      </c>
      <c r="G16178" t="str">
        <v>-</v>
      </c>
    </row>
    <row r="16179">
      <c r="B16179" t="str">
        <v>UBND Ủy ban nhân dân phường Nguyễn Nghiêm  tỉnh Quảng Ngãi</v>
      </c>
      <c r="C16179" t="str">
        <v>-</v>
      </c>
      <c r="D16179" t="str">
        <v>-</v>
      </c>
      <c r="E16179" t="str">
        <v>-</v>
      </c>
      <c r="F16179" t="str">
        <v>-</v>
      </c>
      <c r="G16179" t="str">
        <v>-</v>
      </c>
    </row>
    <row r="16180">
      <c r="B16180" t="str">
        <v>Công an phường Nghĩa Lộ  tỉnh Quảng Ngãi</v>
      </c>
      <c r="C16180" t="str">
        <v>-</v>
      </c>
      <c r="D16180" t="str">
        <v>-</v>
      </c>
      <c r="E16180" t="str">
        <v/>
      </c>
      <c r="F16180" t="str">
        <v>-</v>
      </c>
      <c r="G16180" t="str">
        <v>-</v>
      </c>
    </row>
    <row r="16181">
      <c r="B16181" t="str">
        <v>UBND Ủy ban nhân dân phường Nghĩa Lộ  tỉnh Quảng Ngãi</v>
      </c>
      <c r="C16181" t="str">
        <v>-</v>
      </c>
      <c r="D16181" t="str">
        <v>-</v>
      </c>
      <c r="E16181" t="str">
        <v>-</v>
      </c>
      <c r="F16181" t="str">
        <v>-</v>
      </c>
      <c r="G16181" t="str">
        <v>-</v>
      </c>
    </row>
    <row r="16182">
      <c r="B16182" t="str">
        <v>Công an phường Chánh Lộ  tỉnh Quảng Ngãi</v>
      </c>
      <c r="C16182" t="str">
        <v>-</v>
      </c>
      <c r="D16182" t="str">
        <v>-</v>
      </c>
      <c r="E16182" t="str">
        <v/>
      </c>
      <c r="F16182" t="str">
        <v>-</v>
      </c>
      <c r="G16182" t="str">
        <v>-</v>
      </c>
    </row>
    <row r="16183">
      <c r="B16183" t="str">
        <v>UBND Ủy ban nhân dân phường Chánh Lộ  tỉnh Quảng Ngãi</v>
      </c>
      <c r="C16183" t="str">
        <v>-</v>
      </c>
      <c r="D16183" t="str">
        <v>-</v>
      </c>
      <c r="E16183" t="str">
        <v>-</v>
      </c>
      <c r="F16183" t="str">
        <v>-</v>
      </c>
      <c r="G16183" t="str">
        <v>-</v>
      </c>
    </row>
    <row r="16184">
      <c r="B16184" t="str">
        <v>Công an xã Nghĩa Dũng  tỉnh Quảng Ngãi</v>
      </c>
      <c r="C16184" t="str">
        <v>-</v>
      </c>
      <c r="D16184" t="str">
        <v>-</v>
      </c>
      <c r="E16184" t="str">
        <v/>
      </c>
      <c r="F16184" t="str">
        <v>-</v>
      </c>
      <c r="G16184" t="str">
        <v>-</v>
      </c>
    </row>
    <row r="16185">
      <c r="B16185" t="str">
        <v>UBND Ủy ban nhân dân xã Nghĩa Dũng  tỉnh Quảng Ngãi</v>
      </c>
      <c r="C16185" t="str">
        <v>-</v>
      </c>
      <c r="D16185" t="str">
        <v>-</v>
      </c>
      <c r="E16185" t="str">
        <v>-</v>
      </c>
      <c r="F16185" t="str">
        <v>-</v>
      </c>
      <c r="G16185" t="str">
        <v>-</v>
      </c>
    </row>
    <row r="16186">
      <c r="B16186" t="str">
        <v>Công an xã Nghĩa Dõng  tỉnh Quảng Ngãi</v>
      </c>
      <c r="C16186" t="str">
        <v>-</v>
      </c>
      <c r="D16186" t="str">
        <v>-</v>
      </c>
      <c r="E16186" t="str">
        <v/>
      </c>
      <c r="F16186" t="str">
        <v>-</v>
      </c>
      <c r="G16186" t="str">
        <v>-</v>
      </c>
    </row>
    <row r="16187">
      <c r="B16187" t="str">
        <v>UBND Ủy ban nhân dân xã Nghĩa Dõng  tỉnh Quảng Ngãi</v>
      </c>
      <c r="C16187" t="str">
        <v>-</v>
      </c>
      <c r="D16187" t="str">
        <v>-</v>
      </c>
      <c r="E16187" t="str">
        <v>-</v>
      </c>
      <c r="F16187" t="str">
        <v>-</v>
      </c>
      <c r="G16187" t="str">
        <v>-</v>
      </c>
    </row>
    <row r="16188">
      <c r="B16188" t="str">
        <v>Công an phường Trương Quang Trọng  tỉnh Quảng Ngãi</v>
      </c>
      <c r="C16188" t="str">
        <v>-</v>
      </c>
      <c r="D16188" t="str">
        <v>-</v>
      </c>
      <c r="E16188" t="str">
        <v/>
      </c>
      <c r="F16188" t="str">
        <v>-</v>
      </c>
      <c r="G16188" t="str">
        <v>-</v>
      </c>
    </row>
    <row r="16189">
      <c r="B16189" t="str">
        <v>UBND Ủy ban nhân dân phường Trương Quang Trọng  tỉnh Quảng Ngãi</v>
      </c>
      <c r="C16189" t="str">
        <v>-</v>
      </c>
      <c r="D16189" t="str">
        <v>-</v>
      </c>
      <c r="E16189" t="str">
        <v>-</v>
      </c>
      <c r="F16189" t="str">
        <v>-</v>
      </c>
      <c r="G16189" t="str">
        <v>-</v>
      </c>
    </row>
    <row r="16190">
      <c r="B16190" t="str">
        <v>Công an xã Tịnh Hòa  tỉnh Quảng Ngãi</v>
      </c>
      <c r="C16190" t="str">
        <v>-</v>
      </c>
      <c r="D16190" t="str">
        <v>-</v>
      </c>
      <c r="E16190" t="str">
        <v/>
      </c>
      <c r="F16190" t="str">
        <v>-</v>
      </c>
      <c r="G16190" t="str">
        <v>-</v>
      </c>
    </row>
    <row r="16191">
      <c r="B16191" t="str">
        <v>UBND Ủy ban nhân dân xã Tịnh Hòa  tỉnh Quảng Ngãi</v>
      </c>
      <c r="C16191" t="str">
        <v>-</v>
      </c>
      <c r="D16191" t="str">
        <v>-</v>
      </c>
      <c r="E16191" t="str">
        <v>-</v>
      </c>
      <c r="F16191" t="str">
        <v>-</v>
      </c>
      <c r="G16191" t="str">
        <v>-</v>
      </c>
    </row>
    <row r="16192">
      <c r="B16192" t="str">
        <v>Công an xã Tịnh Kỳ  tỉnh Quảng Ngãi</v>
      </c>
      <c r="C16192" t="str">
        <v>-</v>
      </c>
      <c r="D16192" t="str">
        <v>-</v>
      </c>
      <c r="E16192" t="str">
        <v/>
      </c>
      <c r="F16192" t="str">
        <v>-</v>
      </c>
      <c r="G16192" t="str">
        <v>-</v>
      </c>
    </row>
    <row r="16193">
      <c r="B16193" t="str">
        <v>UBND Ủy ban nhân dân xã Tịnh Kỳ  tỉnh Quảng Ngãi</v>
      </c>
      <c r="C16193" t="str">
        <v>-</v>
      </c>
      <c r="D16193" t="str">
        <v>-</v>
      </c>
      <c r="E16193" t="str">
        <v>-</v>
      </c>
      <c r="F16193" t="str">
        <v>-</v>
      </c>
      <c r="G16193" t="str">
        <v>-</v>
      </c>
    </row>
    <row r="16194">
      <c r="B16194" t="str">
        <v>Công an xã Tịnh Thiện  tỉnh Quảng Ngãi</v>
      </c>
      <c r="C16194" t="str">
        <v>-</v>
      </c>
      <c r="D16194" t="str">
        <v>-</v>
      </c>
      <c r="E16194" t="str">
        <v/>
      </c>
      <c r="F16194" t="str">
        <v>-</v>
      </c>
      <c r="G16194" t="str">
        <v>-</v>
      </c>
    </row>
    <row r="16195">
      <c r="B16195" t="str">
        <v>UBND Ủy ban nhân dân xã Tịnh Thiện  tỉnh Quảng Ngãi</v>
      </c>
      <c r="C16195" t="str">
        <v>-</v>
      </c>
      <c r="D16195" t="str">
        <v>-</v>
      </c>
      <c r="E16195" t="str">
        <v>-</v>
      </c>
      <c r="F16195" t="str">
        <v>-</v>
      </c>
      <c r="G16195" t="str">
        <v>-</v>
      </c>
    </row>
    <row r="16196">
      <c r="B16196" t="str">
        <v>Công an xã Tịnh Ấn Đông  tỉnh Quảng Ngãi</v>
      </c>
      <c r="C16196" t="str">
        <v>-</v>
      </c>
      <c r="D16196" t="str">
        <v>-</v>
      </c>
      <c r="E16196" t="str">
        <v/>
      </c>
      <c r="F16196" t="str">
        <v>-</v>
      </c>
      <c r="G16196" t="str">
        <v>-</v>
      </c>
    </row>
    <row r="16197">
      <c r="B16197" t="str">
        <v>UBND Ủy ban nhân dân xã Tịnh Ấn Đông  tỉnh Quảng Ngãi</v>
      </c>
      <c r="C16197" t="str">
        <v>-</v>
      </c>
      <c r="D16197" t="str">
        <v>-</v>
      </c>
      <c r="E16197" t="str">
        <v>-</v>
      </c>
      <c r="F16197" t="str">
        <v>-</v>
      </c>
      <c r="G16197" t="str">
        <v>-</v>
      </c>
    </row>
    <row r="16198">
      <c r="B16198" t="str">
        <v>Công an xã Tịnh Châu  tỉnh Quảng Ngãi</v>
      </c>
      <c r="C16198" t="str">
        <v>-</v>
      </c>
      <c r="D16198" t="str">
        <v>-</v>
      </c>
      <c r="E16198" t="str">
        <v/>
      </c>
      <c r="F16198" t="str">
        <v>-</v>
      </c>
      <c r="G16198" t="str">
        <v>-</v>
      </c>
    </row>
    <row r="16199">
      <c r="B16199" t="str">
        <v>UBND Ủy ban nhân dân xã Tịnh Châu  tỉnh Quảng Ngãi</v>
      </c>
      <c r="C16199" t="str">
        <v>-</v>
      </c>
      <c r="D16199" t="str">
        <v>-</v>
      </c>
      <c r="E16199" t="str">
        <v>-</v>
      </c>
      <c r="F16199" t="str">
        <v>-</v>
      </c>
      <c r="G16199" t="str">
        <v>-</v>
      </c>
    </row>
    <row r="16200">
      <c r="B16200" t="str">
        <v>Công an xã Tịnh Khê  tỉnh Quảng Ngãi</v>
      </c>
      <c r="C16200" t="str">
        <v>-</v>
      </c>
      <c r="D16200" t="str">
        <v>-</v>
      </c>
      <c r="E16200" t="str">
        <v/>
      </c>
      <c r="F16200" t="str">
        <v>-</v>
      </c>
      <c r="G16200" t="str">
        <v>-</v>
      </c>
    </row>
    <row r="16201">
      <c r="B16201" t="str">
        <v>UBND Ủy ban nhân dân xã Tịnh Khê  tỉnh Quảng Ngãi</v>
      </c>
      <c r="C16201" t="str">
        <v>-</v>
      </c>
      <c r="D16201" t="str">
        <v>-</v>
      </c>
      <c r="E16201" t="str">
        <v>-</v>
      </c>
      <c r="F16201" t="str">
        <v>-</v>
      </c>
      <c r="G16201" t="str">
        <v>-</v>
      </c>
    </row>
    <row r="16202">
      <c r="B16202" t="str">
        <v>Công an xã Tịnh Long  tỉnh Quảng Ngãi</v>
      </c>
      <c r="C16202" t="str">
        <v>-</v>
      </c>
      <c r="D16202" t="str">
        <v>-</v>
      </c>
      <c r="E16202" t="str">
        <v/>
      </c>
      <c r="F16202" t="str">
        <v>-</v>
      </c>
      <c r="G16202" t="str">
        <v>-</v>
      </c>
    </row>
    <row r="16203">
      <c r="B16203" t="str">
        <v>UBND Ủy ban nhân dân xã Tịnh Long  tỉnh Quảng Ngãi</v>
      </c>
      <c r="C16203" t="str">
        <v>-</v>
      </c>
      <c r="D16203" t="str">
        <v>-</v>
      </c>
      <c r="E16203" t="str">
        <v>-</v>
      </c>
      <c r="F16203" t="str">
        <v>-</v>
      </c>
      <c r="G16203" t="str">
        <v>-</v>
      </c>
    </row>
    <row r="16204">
      <c r="B16204" t="str">
        <v>Công an xã Tịnh Ấn Tây  tỉnh Quảng Ngãi</v>
      </c>
      <c r="C16204" t="str">
        <v>-</v>
      </c>
      <c r="D16204" t="str">
        <v>-</v>
      </c>
      <c r="E16204" t="str">
        <v/>
      </c>
      <c r="F16204" t="str">
        <v>-</v>
      </c>
      <c r="G16204" t="str">
        <v>-</v>
      </c>
    </row>
    <row r="16205">
      <c r="B16205" t="str">
        <v>UBND Ủy ban nhân dân xã Tịnh Ấn Tây  tỉnh Quảng Ngãi</v>
      </c>
      <c r="C16205" t="str">
        <v>-</v>
      </c>
      <c r="D16205" t="str">
        <v>-</v>
      </c>
      <c r="E16205" t="str">
        <v>-</v>
      </c>
      <c r="F16205" t="str">
        <v>-</v>
      </c>
      <c r="G16205" t="str">
        <v>-</v>
      </c>
    </row>
    <row r="16206">
      <c r="B16206" t="str">
        <v>Công an xã Tịnh An  tỉnh Quảng Ngãi</v>
      </c>
      <c r="C16206" t="str">
        <v>-</v>
      </c>
      <c r="D16206" t="str">
        <v>-</v>
      </c>
      <c r="E16206" t="str">
        <v/>
      </c>
      <c r="F16206" t="str">
        <v>-</v>
      </c>
      <c r="G16206" t="str">
        <v>-</v>
      </c>
    </row>
    <row r="16207">
      <c r="B16207" t="str">
        <v>UBND Ủy ban nhân dân xã Tịnh An  tỉnh Quảng Ngãi</v>
      </c>
      <c r="C16207" t="str">
        <v>-</v>
      </c>
      <c r="D16207" t="str">
        <v>-</v>
      </c>
      <c r="E16207" t="str">
        <v>-</v>
      </c>
      <c r="F16207" t="str">
        <v>-</v>
      </c>
      <c r="G16207" t="str">
        <v>-</v>
      </c>
    </row>
    <row r="16208">
      <c r="B16208" t="str">
        <v>Công an xã Nghĩa Phú  tỉnh Quảng Ngãi</v>
      </c>
      <c r="C16208" t="str">
        <v>-</v>
      </c>
      <c r="D16208" t="str">
        <v>-</v>
      </c>
      <c r="E16208" t="str">
        <v/>
      </c>
      <c r="F16208" t="str">
        <v>-</v>
      </c>
      <c r="G16208" t="str">
        <v>-</v>
      </c>
    </row>
    <row r="16209">
      <c r="B16209" t="str">
        <v>UBND Ủy ban nhân dân xã Nghĩa Phú  tỉnh Quảng Ngãi</v>
      </c>
      <c r="C16209" t="str">
        <v>-</v>
      </c>
      <c r="D16209" t="str">
        <v>-</v>
      </c>
      <c r="E16209" t="str">
        <v>-</v>
      </c>
      <c r="F16209" t="str">
        <v>-</v>
      </c>
      <c r="G16209" t="str">
        <v>-</v>
      </c>
    </row>
    <row r="16210">
      <c r="B16210" t="str">
        <v>Công an xã Nghĩa Hà  tỉnh Quảng Ngãi</v>
      </c>
      <c r="C16210" t="str">
        <v>-</v>
      </c>
      <c r="D16210" t="str">
        <v>-</v>
      </c>
      <c r="E16210" t="str">
        <v/>
      </c>
      <c r="F16210" t="str">
        <v>-</v>
      </c>
      <c r="G16210" t="str">
        <v>-</v>
      </c>
    </row>
    <row r="16211">
      <c r="B16211" t="str">
        <v>UBND Ủy ban nhân dân xã Nghĩa Hà  tỉnh Quảng Ngãi</v>
      </c>
      <c r="C16211" t="str">
        <v>-</v>
      </c>
      <c r="D16211" t="str">
        <v>-</v>
      </c>
      <c r="E16211" t="str">
        <v>-</v>
      </c>
      <c r="F16211" t="str">
        <v>-</v>
      </c>
      <c r="G16211" t="str">
        <v>-</v>
      </c>
    </row>
    <row r="16212">
      <c r="B16212" t="str">
        <v>Công an xã Nghĩa An  tỉnh Quảng Ngãi</v>
      </c>
      <c r="C16212" t="str">
        <v>-</v>
      </c>
      <c r="D16212" t="str">
        <v>-</v>
      </c>
      <c r="E16212" t="str">
        <v/>
      </c>
      <c r="F16212" t="str">
        <v>-</v>
      </c>
      <c r="G16212" t="str">
        <v>-</v>
      </c>
    </row>
    <row r="16213">
      <c r="B16213" t="str">
        <v>UBND Ủy ban nhân dân xã Nghĩa An  tỉnh Quảng Ngãi</v>
      </c>
      <c r="C16213" t="str">
        <v>-</v>
      </c>
      <c r="D16213" t="str">
        <v>-</v>
      </c>
      <c r="E16213" t="str">
        <v>-</v>
      </c>
      <c r="F16213" t="str">
        <v>-</v>
      </c>
      <c r="G16213" t="str">
        <v>-</v>
      </c>
    </row>
    <row r="16214">
      <c r="B16214" t="str">
        <v>Công an xã Bình Thuận  tỉnh Quảng Ngãi</v>
      </c>
      <c r="C16214" t="str">
        <v>-</v>
      </c>
      <c r="D16214" t="str">
        <v>-</v>
      </c>
      <c r="E16214" t="str">
        <v/>
      </c>
      <c r="F16214" t="str">
        <v>-</v>
      </c>
      <c r="G16214" t="str">
        <v>-</v>
      </c>
    </row>
    <row r="16215">
      <c r="B16215" t="str">
        <v>UBND Ủy ban nhân dân xã Bình Thuận  tỉnh Quảng Ngãi</v>
      </c>
      <c r="C16215" t="str">
        <v>-</v>
      </c>
      <c r="D16215" t="str">
        <v>-</v>
      </c>
      <c r="E16215" t="str">
        <v>-</v>
      </c>
      <c r="F16215" t="str">
        <v>-</v>
      </c>
      <c r="G16215" t="str">
        <v>-</v>
      </c>
    </row>
    <row r="16216">
      <c r="B16216" t="str">
        <v>Công an xã Bình Thạnh  tỉnh Quảng Ngãi</v>
      </c>
      <c r="C16216" t="str">
        <v>-</v>
      </c>
      <c r="D16216" t="str">
        <v>-</v>
      </c>
      <c r="E16216" t="str">
        <v/>
      </c>
      <c r="F16216" t="str">
        <v>-</v>
      </c>
      <c r="G16216" t="str">
        <v>-</v>
      </c>
    </row>
    <row r="16217">
      <c r="B16217" t="str">
        <v>UBND Ủy ban nhân dân xã Bình Thạnh  tỉnh Quảng Ngãi</v>
      </c>
      <c r="C16217" t="str">
        <v>-</v>
      </c>
      <c r="D16217" t="str">
        <v>-</v>
      </c>
      <c r="E16217" t="str">
        <v>-</v>
      </c>
      <c r="F16217" t="str">
        <v>-</v>
      </c>
      <c r="G16217" t="str">
        <v>-</v>
      </c>
    </row>
    <row r="16218">
      <c r="B16218" t="str">
        <v>Công an xã Bình Đông  tỉnh Quảng Ngãi</v>
      </c>
      <c r="C16218" t="str">
        <v>-</v>
      </c>
      <c r="D16218" t="str">
        <v>-</v>
      </c>
      <c r="E16218" t="str">
        <v/>
      </c>
      <c r="F16218" t="str">
        <v>-</v>
      </c>
      <c r="G16218" t="str">
        <v>-</v>
      </c>
    </row>
    <row r="16219">
      <c r="B16219" t="str">
        <v>UBND Ủy ban nhân dân xã Bình Đông  tỉnh Quảng Ngãi</v>
      </c>
      <c r="C16219" t="str">
        <v>-</v>
      </c>
      <c r="D16219" t="str">
        <v>-</v>
      </c>
      <c r="E16219" t="str">
        <v>-</v>
      </c>
      <c r="F16219" t="str">
        <v>-</v>
      </c>
      <c r="G16219" t="str">
        <v>-</v>
      </c>
    </row>
    <row r="16220">
      <c r="B16220" t="str">
        <v>Công an xã Bình Chánh  tỉnh Quảng Ngãi</v>
      </c>
      <c r="C16220" t="str">
        <v>-</v>
      </c>
      <c r="D16220" t="str">
        <v>-</v>
      </c>
      <c r="E16220" t="str">
        <v/>
      </c>
      <c r="F16220" t="str">
        <v>-</v>
      </c>
      <c r="G16220" t="str">
        <v>-</v>
      </c>
    </row>
    <row r="16221">
      <c r="B16221" t="str">
        <v>UBND Ủy ban nhân dân xã Bình Chánh  tỉnh Quảng Ngãi</v>
      </c>
      <c r="C16221" t="str">
        <v>-</v>
      </c>
      <c r="D16221" t="str">
        <v>-</v>
      </c>
      <c r="E16221" t="str">
        <v>-</v>
      </c>
      <c r="F16221" t="str">
        <v>-</v>
      </c>
      <c r="G16221" t="str">
        <v>-</v>
      </c>
    </row>
    <row r="16222">
      <c r="B16222" t="str">
        <v>Công an xã Bình Nguyên  tỉnh Quảng Ngãi</v>
      </c>
      <c r="C16222" t="str">
        <v>-</v>
      </c>
      <c r="D16222" t="str">
        <v>-</v>
      </c>
      <c r="E16222" t="str">
        <v/>
      </c>
      <c r="F16222" t="str">
        <v>-</v>
      </c>
      <c r="G16222" t="str">
        <v>-</v>
      </c>
    </row>
    <row r="16223">
      <c r="B16223" t="str">
        <v>UBND Ủy ban nhân dân xã Bình Nguyên  tỉnh Quảng Ngãi</v>
      </c>
      <c r="C16223" t="str">
        <v>-</v>
      </c>
      <c r="D16223" t="str">
        <v>-</v>
      </c>
      <c r="E16223" t="str">
        <v>-</v>
      </c>
      <c r="F16223" t="str">
        <v>-</v>
      </c>
      <c r="G16223" t="str">
        <v>-</v>
      </c>
    </row>
    <row r="16224">
      <c r="B16224" t="str">
        <v>Công an xã Bình Khương  tỉnh Quảng Ngãi</v>
      </c>
      <c r="C16224" t="str">
        <v>-</v>
      </c>
      <c r="D16224" t="str">
        <v>-</v>
      </c>
      <c r="E16224" t="str">
        <v/>
      </c>
      <c r="F16224" t="str">
        <v>-</v>
      </c>
      <c r="G16224" t="str">
        <v>-</v>
      </c>
    </row>
    <row r="16225">
      <c r="B16225" t="str">
        <v>UBND Ủy ban nhân dân xã Bình Khương  tỉnh Quảng Ngãi</v>
      </c>
      <c r="C16225" t="str">
        <v>-</v>
      </c>
      <c r="D16225" t="str">
        <v>-</v>
      </c>
      <c r="E16225" t="str">
        <v>-</v>
      </c>
      <c r="F16225" t="str">
        <v>-</v>
      </c>
      <c r="G16225" t="str">
        <v>-</v>
      </c>
    </row>
    <row r="16226">
      <c r="B16226" t="str">
        <v>Công an xã Bình Trị  tỉnh Quảng Ngãi</v>
      </c>
      <c r="C16226" t="str">
        <v>-</v>
      </c>
      <c r="D16226" t="str">
        <v>-</v>
      </c>
      <c r="E16226" t="str">
        <v/>
      </c>
      <c r="F16226" t="str">
        <v>-</v>
      </c>
      <c r="G16226" t="str">
        <v>-</v>
      </c>
    </row>
    <row r="16227">
      <c r="B16227" t="str">
        <v>UBND Ủy ban nhân dân xã Bình Trị  tỉnh Quảng Ngãi</v>
      </c>
      <c r="C16227" t="str">
        <v>-</v>
      </c>
      <c r="D16227" t="str">
        <v>-</v>
      </c>
      <c r="E16227" t="str">
        <v>-</v>
      </c>
      <c r="F16227" t="str">
        <v>-</v>
      </c>
      <c r="G16227" t="str">
        <v>-</v>
      </c>
    </row>
    <row r="16228">
      <c r="B16228" t="str">
        <v>Công an xã Bình An  tỉnh Quảng Ngãi</v>
      </c>
      <c r="C16228" t="str">
        <v>-</v>
      </c>
      <c r="D16228" t="str">
        <v>-</v>
      </c>
      <c r="E16228" t="str">
        <v/>
      </c>
      <c r="F16228" t="str">
        <v>-</v>
      </c>
      <c r="G16228" t="str">
        <v>-</v>
      </c>
    </row>
    <row r="16229">
      <c r="B16229" t="str">
        <v>UBND Ủy ban nhân dân xã Bình An  tỉnh Quảng Ngãi</v>
      </c>
      <c r="C16229" t="str">
        <v>-</v>
      </c>
      <c r="D16229" t="str">
        <v>-</v>
      </c>
      <c r="E16229" t="str">
        <v>-</v>
      </c>
      <c r="F16229" t="str">
        <v>-</v>
      </c>
      <c r="G16229" t="str">
        <v>-</v>
      </c>
    </row>
    <row r="16230">
      <c r="B16230" t="str">
        <v>Công an xã Bình Hải  tỉnh Quảng Ngãi</v>
      </c>
      <c r="C16230" t="str">
        <v>-</v>
      </c>
      <c r="D16230" t="str">
        <v>-</v>
      </c>
      <c r="E16230" t="str">
        <v/>
      </c>
      <c r="F16230" t="str">
        <v>-</v>
      </c>
      <c r="G16230" t="str">
        <v>-</v>
      </c>
    </row>
    <row r="16231">
      <c r="B16231" t="str">
        <v>UBND Ủy ban nhân dân xã Bình Hải  tỉnh Quảng Ngãi</v>
      </c>
      <c r="C16231" t="str">
        <v>-</v>
      </c>
      <c r="D16231" t="str">
        <v>-</v>
      </c>
      <c r="E16231" t="str">
        <v>-</v>
      </c>
      <c r="F16231" t="str">
        <v>-</v>
      </c>
      <c r="G16231" t="str">
        <v>-</v>
      </c>
    </row>
    <row r="16232">
      <c r="B16232" t="str">
        <v>Công an xã Bình Dương  tỉnh Quảng Ngãi</v>
      </c>
      <c r="C16232" t="str">
        <v>-</v>
      </c>
      <c r="D16232" t="str">
        <v>-</v>
      </c>
      <c r="E16232" t="str">
        <v/>
      </c>
      <c r="F16232" t="str">
        <v>-</v>
      </c>
      <c r="G16232" t="str">
        <v>-</v>
      </c>
    </row>
    <row r="16233">
      <c r="B16233" t="str">
        <v>UBND Ủy ban nhân dân xã Bình Dương  tỉnh Quảng Ngãi</v>
      </c>
      <c r="C16233" t="str">
        <v>-</v>
      </c>
      <c r="D16233" t="str">
        <v>-</v>
      </c>
      <c r="E16233" t="str">
        <v>-</v>
      </c>
      <c r="F16233" t="str">
        <v>-</v>
      </c>
      <c r="G16233" t="str">
        <v>-</v>
      </c>
    </row>
    <row r="16234">
      <c r="B16234" t="str">
        <v>Công an xã Bình Phước  tỉnh Quảng Ngãi</v>
      </c>
      <c r="C16234" t="str">
        <v>-</v>
      </c>
      <c r="D16234" t="str">
        <v>-</v>
      </c>
      <c r="E16234" t="str">
        <v/>
      </c>
      <c r="F16234" t="str">
        <v>-</v>
      </c>
      <c r="G16234" t="str">
        <v>-</v>
      </c>
    </row>
    <row r="16235">
      <c r="B16235" t="str">
        <v>UBND Ủy ban nhân dân xã Bình Phước  tỉnh Quảng Ngãi</v>
      </c>
      <c r="C16235" t="str">
        <v>-</v>
      </c>
      <c r="D16235" t="str">
        <v>-</v>
      </c>
      <c r="E16235" t="str">
        <v>-</v>
      </c>
      <c r="F16235" t="str">
        <v>-</v>
      </c>
      <c r="G16235" t="str">
        <v>-</v>
      </c>
    </row>
    <row r="16236">
      <c r="B16236" t="str">
        <v>Công an xã Bình Thới  tỉnh Quảng Ngãi</v>
      </c>
      <c r="C16236" t="str">
        <v>-</v>
      </c>
      <c r="D16236" t="str">
        <v>-</v>
      </c>
      <c r="E16236" t="str">
        <v/>
      </c>
      <c r="F16236" t="str">
        <v>-</v>
      </c>
      <c r="G16236" t="str">
        <v>-</v>
      </c>
    </row>
    <row r="16237">
      <c r="B16237" t="str">
        <v>UBND Ủy ban nhân dân xã Bình Thới  tỉnh Quảng Ngãi</v>
      </c>
      <c r="C16237" t="str">
        <v>-</v>
      </c>
      <c r="D16237" t="str">
        <v>-</v>
      </c>
      <c r="E16237" t="str">
        <v>-</v>
      </c>
      <c r="F16237" t="str">
        <v>-</v>
      </c>
      <c r="G16237" t="str">
        <v>-</v>
      </c>
    </row>
    <row r="16238">
      <c r="B16238" t="str">
        <v>Công an xã Bình Hòa  tỉnh Quảng Ngãi</v>
      </c>
      <c r="C16238" t="str">
        <v>-</v>
      </c>
      <c r="D16238" t="str">
        <v>-</v>
      </c>
      <c r="E16238" t="str">
        <v/>
      </c>
      <c r="F16238" t="str">
        <v>-</v>
      </c>
      <c r="G16238" t="str">
        <v>-</v>
      </c>
    </row>
    <row r="16239">
      <c r="B16239" t="str">
        <v>UBND Ủy ban nhân dân xã Bình Hòa  tỉnh Quảng Ngãi</v>
      </c>
      <c r="C16239" t="str">
        <v>-</v>
      </c>
      <c r="D16239" t="str">
        <v>-</v>
      </c>
      <c r="E16239" t="str">
        <v>-</v>
      </c>
      <c r="F16239" t="str">
        <v>-</v>
      </c>
      <c r="G16239" t="str">
        <v>-</v>
      </c>
    </row>
    <row r="16240">
      <c r="B16240" t="str">
        <v>Công an xã Bình Trung  tỉnh Quảng Ngãi</v>
      </c>
      <c r="C16240" t="str">
        <v>-</v>
      </c>
      <c r="D16240" t="str">
        <v>-</v>
      </c>
      <c r="E16240" t="str">
        <v/>
      </c>
      <c r="F16240" t="str">
        <v>-</v>
      </c>
      <c r="G16240" t="str">
        <v>-</v>
      </c>
    </row>
    <row r="16241">
      <c r="B16241" t="str">
        <v>UBND Ủy ban nhân dân xã Bình Trung  tỉnh Quảng Ngãi</v>
      </c>
      <c r="C16241" t="str">
        <v>-</v>
      </c>
      <c r="D16241" t="str">
        <v>-</v>
      </c>
      <c r="E16241" t="str">
        <v>-</v>
      </c>
      <c r="F16241" t="str">
        <v>-</v>
      </c>
      <c r="G16241" t="str">
        <v>-</v>
      </c>
    </row>
    <row r="16242">
      <c r="B16242" t="str">
        <v>Công an xã Bình Minh  tỉnh Quảng Ngãi</v>
      </c>
      <c r="C16242" t="str">
        <v>-</v>
      </c>
      <c r="D16242" t="str">
        <v>-</v>
      </c>
      <c r="E16242" t="str">
        <v/>
      </c>
      <c r="F16242" t="str">
        <v>-</v>
      </c>
      <c r="G16242" t="str">
        <v>-</v>
      </c>
    </row>
    <row r="16243">
      <c r="B16243" t="str">
        <v>UBND Ủy ban nhân dân xã Bình Minh  tỉnh Quảng Ngãi</v>
      </c>
      <c r="C16243" t="str">
        <v>-</v>
      </c>
      <c r="D16243" t="str">
        <v>-</v>
      </c>
      <c r="E16243" t="str">
        <v>-</v>
      </c>
      <c r="F16243" t="str">
        <v>-</v>
      </c>
      <c r="G16243" t="str">
        <v>-</v>
      </c>
    </row>
    <row r="16244">
      <c r="B16244" t="str">
        <v>Công an xã Bình Long  tỉnh Quảng Ngãi</v>
      </c>
      <c r="C16244" t="str">
        <v>-</v>
      </c>
      <c r="D16244" t="str">
        <v>-</v>
      </c>
      <c r="E16244" t="str">
        <v/>
      </c>
      <c r="F16244" t="str">
        <v>-</v>
      </c>
      <c r="G16244" t="str">
        <v>-</v>
      </c>
    </row>
    <row r="16245">
      <c r="B16245" t="str">
        <v>UBND Ủy ban nhân dân xã Bình Long  tỉnh Quảng Ngãi</v>
      </c>
      <c r="C16245" t="str">
        <v>-</v>
      </c>
      <c r="D16245" t="str">
        <v>-</v>
      </c>
      <c r="E16245" t="str">
        <v>-</v>
      </c>
      <c r="F16245" t="str">
        <v>-</v>
      </c>
      <c r="G16245" t="str">
        <v>-</v>
      </c>
    </row>
    <row r="16246">
      <c r="B16246" t="str">
        <v>Công an xã Bình Thanh Tây  tỉnh Quảng Ngãi</v>
      </c>
      <c r="C16246" t="str">
        <v>-</v>
      </c>
      <c r="D16246" t="str">
        <v>-</v>
      </c>
      <c r="E16246" t="str">
        <v/>
      </c>
      <c r="F16246" t="str">
        <v>-</v>
      </c>
      <c r="G16246" t="str">
        <v>-</v>
      </c>
    </row>
    <row r="16247">
      <c r="B16247" t="str">
        <v>UBND Ủy ban nhân dân xã Bình Thanh Tây  tỉnh Quảng Ngãi</v>
      </c>
      <c r="C16247" t="str">
        <v>-</v>
      </c>
      <c r="D16247" t="str">
        <v>-</v>
      </c>
      <c r="E16247" t="str">
        <v>-</v>
      </c>
      <c r="F16247" t="str">
        <v>-</v>
      </c>
      <c r="G16247" t="str">
        <v>-</v>
      </c>
    </row>
    <row r="16248">
      <c r="B16248" t="str">
        <v>Công an xã Bình Phú  tỉnh Quảng Ngãi</v>
      </c>
      <c r="C16248" t="str">
        <v>-</v>
      </c>
      <c r="D16248" t="str">
        <v>-</v>
      </c>
      <c r="E16248" t="str">
        <v/>
      </c>
      <c r="F16248" t="str">
        <v>-</v>
      </c>
      <c r="G16248" t="str">
        <v>-</v>
      </c>
    </row>
    <row r="16249">
      <c r="B16249" t="str">
        <v>UBND Ủy ban nhân dân xã Bình Phú  tỉnh Quảng Ngãi</v>
      </c>
      <c r="C16249" t="str">
        <v>-</v>
      </c>
      <c r="D16249" t="str">
        <v>-</v>
      </c>
      <c r="E16249" t="str">
        <v>-</v>
      </c>
      <c r="F16249" t="str">
        <v>-</v>
      </c>
      <c r="G16249" t="str">
        <v>-</v>
      </c>
    </row>
    <row r="16250">
      <c r="B16250" t="str">
        <v>Công an xã Bình Thanh Đông  tỉnh Quảng Ngãi</v>
      </c>
      <c r="C16250" t="str">
        <v>-</v>
      </c>
      <c r="D16250" t="str">
        <v>-</v>
      </c>
      <c r="E16250" t="str">
        <v/>
      </c>
      <c r="F16250" t="str">
        <v>-</v>
      </c>
      <c r="G16250" t="str">
        <v>-</v>
      </c>
    </row>
    <row r="16251">
      <c r="B16251" t="str">
        <v>UBND Ủy ban nhân dân xã Bình Thanh Đông  tỉnh Quảng Ngãi</v>
      </c>
      <c r="C16251" t="str">
        <v>-</v>
      </c>
      <c r="D16251" t="str">
        <v>-</v>
      </c>
      <c r="E16251" t="str">
        <v>-</v>
      </c>
      <c r="F16251" t="str">
        <v>-</v>
      </c>
      <c r="G16251" t="str">
        <v>-</v>
      </c>
    </row>
    <row r="16252">
      <c r="B16252" t="str">
        <v>Công an xã Bình Chương  tỉnh Quảng Ngãi</v>
      </c>
      <c r="C16252" t="str">
        <v>-</v>
      </c>
      <c r="D16252" t="str">
        <v>-</v>
      </c>
      <c r="E16252" t="str">
        <v/>
      </c>
      <c r="F16252" t="str">
        <v>-</v>
      </c>
      <c r="G16252" t="str">
        <v>-</v>
      </c>
    </row>
    <row r="16253">
      <c r="B16253" t="str">
        <v>UBND Ủy ban nhân dân xã Bình Chương  tỉnh Quảng Ngãi</v>
      </c>
      <c r="C16253" t="str">
        <v>-</v>
      </c>
      <c r="D16253" t="str">
        <v>-</v>
      </c>
      <c r="E16253" t="str">
        <v>-</v>
      </c>
      <c r="F16253" t="str">
        <v>-</v>
      </c>
      <c r="G16253" t="str">
        <v>-</v>
      </c>
    </row>
    <row r="16254">
      <c r="B16254" t="str">
        <v>Công an xã Bình Hiệp  tỉnh Quảng Ngãi</v>
      </c>
      <c r="C16254" t="str">
        <v>-</v>
      </c>
      <c r="D16254" t="str">
        <v>-</v>
      </c>
      <c r="E16254" t="str">
        <v/>
      </c>
      <c r="F16254" t="str">
        <v>-</v>
      </c>
      <c r="G16254" t="str">
        <v>-</v>
      </c>
    </row>
    <row r="16255">
      <c r="B16255" t="str">
        <v>UBND Ủy ban nhân dân xã Bình Hiệp  tỉnh Quảng Ngãi</v>
      </c>
      <c r="C16255" t="str">
        <v>-</v>
      </c>
      <c r="D16255" t="str">
        <v>-</v>
      </c>
      <c r="E16255" t="str">
        <v>-</v>
      </c>
      <c r="F16255" t="str">
        <v>-</v>
      </c>
      <c r="G16255" t="str">
        <v>-</v>
      </c>
    </row>
    <row r="16256">
      <c r="B16256" t="str">
        <v>Công an xã Bình Mỹ  tỉnh Quảng Ngãi</v>
      </c>
      <c r="C16256" t="str">
        <v>-</v>
      </c>
      <c r="D16256" t="str">
        <v>-</v>
      </c>
      <c r="E16256" t="str">
        <v/>
      </c>
      <c r="F16256" t="str">
        <v>-</v>
      </c>
      <c r="G16256" t="str">
        <v>-</v>
      </c>
    </row>
    <row r="16257">
      <c r="B16257" t="str">
        <v>UBND Ủy ban nhân dân xã Bình Mỹ  tỉnh Quảng Ngãi</v>
      </c>
      <c r="C16257" t="str">
        <v>-</v>
      </c>
      <c r="D16257" t="str">
        <v>-</v>
      </c>
      <c r="E16257" t="str">
        <v>-</v>
      </c>
      <c r="F16257" t="str">
        <v>-</v>
      </c>
      <c r="G16257" t="str">
        <v>-</v>
      </c>
    </row>
    <row r="16258">
      <c r="B16258" t="str">
        <v>Công an xã Bình Tân  tỉnh Quảng Ngãi</v>
      </c>
      <c r="C16258" t="str">
        <v>-</v>
      </c>
      <c r="D16258" t="str">
        <v>-</v>
      </c>
      <c r="E16258" t="str">
        <v/>
      </c>
      <c r="F16258" t="str">
        <v>-</v>
      </c>
      <c r="G16258" t="str">
        <v>-</v>
      </c>
    </row>
    <row r="16259">
      <c r="B16259" t="str">
        <v>UBND Ủy ban nhân dân xã Bình Tân  tỉnh Quảng Ngãi</v>
      </c>
      <c r="C16259" t="str">
        <v>-</v>
      </c>
      <c r="D16259" t="str">
        <v>-</v>
      </c>
      <c r="E16259" t="str">
        <v>-</v>
      </c>
      <c r="F16259" t="str">
        <v>-</v>
      </c>
      <c r="G16259" t="str">
        <v>-</v>
      </c>
    </row>
    <row r="16260">
      <c r="B16260" t="str">
        <v>Công an xã Bình Châu  tỉnh Quảng Ngãi</v>
      </c>
      <c r="C16260" t="str">
        <v>-</v>
      </c>
      <c r="D16260" t="str">
        <v>-</v>
      </c>
      <c r="E16260" t="str">
        <v/>
      </c>
      <c r="F16260" t="str">
        <v>-</v>
      </c>
      <c r="G16260" t="str">
        <v>-</v>
      </c>
    </row>
    <row r="16261">
      <c r="B16261" t="str">
        <v>UBND Ủy ban nhân dân xã Bình Châu  tỉnh Quảng Ngãi</v>
      </c>
      <c r="C16261" t="str">
        <v>-</v>
      </c>
      <c r="D16261" t="str">
        <v>-</v>
      </c>
      <c r="E16261" t="str">
        <v>-</v>
      </c>
      <c r="F16261" t="str">
        <v>-</v>
      </c>
      <c r="G16261" t="str">
        <v>-</v>
      </c>
    </row>
    <row r="16262">
      <c r="B16262" t="str">
        <v>Công an xã Trà Giang  tỉnh Quảng Ngãi</v>
      </c>
      <c r="C16262" t="str">
        <v>-</v>
      </c>
      <c r="D16262" t="str">
        <v>-</v>
      </c>
      <c r="E16262" t="str">
        <v/>
      </c>
      <c r="F16262" t="str">
        <v>-</v>
      </c>
      <c r="G16262" t="str">
        <v>-</v>
      </c>
    </row>
    <row r="16263">
      <c r="B16263" t="str">
        <v>UBND Ủy ban nhân dân xã Trà Giang  tỉnh Quảng Ngãi</v>
      </c>
      <c r="C16263" t="str">
        <v>-</v>
      </c>
      <c r="D16263" t="str">
        <v>-</v>
      </c>
      <c r="E16263" t="str">
        <v>-</v>
      </c>
      <c r="F16263" t="str">
        <v>-</v>
      </c>
      <c r="G16263" t="str">
        <v>-</v>
      </c>
    </row>
    <row r="16264">
      <c r="B16264" t="str">
        <v>Công an xã Trà Thủy  tỉnh Quảng Ngãi</v>
      </c>
      <c r="C16264" t="str">
        <v>-</v>
      </c>
      <c r="D16264" t="str">
        <v>-</v>
      </c>
      <c r="E16264" t="str">
        <v/>
      </c>
      <c r="F16264" t="str">
        <v>-</v>
      </c>
      <c r="G16264" t="str">
        <v>-</v>
      </c>
    </row>
    <row r="16265">
      <c r="B16265" t="str">
        <v>UBND Ủy ban nhân dân xã Trà Thủy  tỉnh Quảng Ngãi</v>
      </c>
      <c r="C16265" t="str">
        <v>-</v>
      </c>
      <c r="D16265" t="str">
        <v>-</v>
      </c>
      <c r="E16265" t="str">
        <v>-</v>
      </c>
      <c r="F16265" t="str">
        <v>-</v>
      </c>
      <c r="G16265" t="str">
        <v>-</v>
      </c>
    </row>
    <row r="16266">
      <c r="B16266" t="str">
        <v>Công an xã Trà Hiệp  tỉnh Quảng Ngãi</v>
      </c>
      <c r="C16266" t="str">
        <v>-</v>
      </c>
      <c r="D16266" t="str">
        <v>-</v>
      </c>
      <c r="E16266" t="str">
        <v/>
      </c>
      <c r="F16266" t="str">
        <v>-</v>
      </c>
      <c r="G16266" t="str">
        <v>-</v>
      </c>
    </row>
    <row r="16267">
      <c r="B16267" t="str">
        <v>UBND Ủy ban nhân dân xã Trà Hiệp  tỉnh Quảng Ngãi</v>
      </c>
      <c r="C16267" t="str">
        <v>-</v>
      </c>
      <c r="D16267" t="str">
        <v>-</v>
      </c>
      <c r="E16267" t="str">
        <v>-</v>
      </c>
      <c r="F16267" t="str">
        <v>-</v>
      </c>
      <c r="G16267" t="str">
        <v>-</v>
      </c>
    </row>
    <row r="16268">
      <c r="B16268" t="str">
        <v>Công an xã Trà Bình  tỉnh Quảng Ngãi</v>
      </c>
      <c r="C16268" t="str">
        <v>-</v>
      </c>
      <c r="D16268" t="str">
        <v>-</v>
      </c>
      <c r="E16268" t="str">
        <v/>
      </c>
      <c r="F16268" t="str">
        <v>-</v>
      </c>
      <c r="G16268" t="str">
        <v>-</v>
      </c>
    </row>
    <row r="16269">
      <c r="B16269" t="str">
        <v>UBND Ủy ban nhân dân xã Trà Bình  tỉnh Quảng Ngãi</v>
      </c>
      <c r="C16269" t="str">
        <v>-</v>
      </c>
      <c r="D16269" t="str">
        <v>-</v>
      </c>
      <c r="E16269" t="str">
        <v>-</v>
      </c>
      <c r="F16269" t="str">
        <v>-</v>
      </c>
      <c r="G16269" t="str">
        <v>-</v>
      </c>
    </row>
    <row r="16270">
      <c r="B16270" t="str">
        <v>Công an xã Trà Phú  tỉnh Quảng Ngãi</v>
      </c>
      <c r="C16270" t="str">
        <v>-</v>
      </c>
      <c r="D16270" t="str">
        <v>-</v>
      </c>
      <c r="E16270" t="str">
        <v/>
      </c>
      <c r="F16270" t="str">
        <v>-</v>
      </c>
      <c r="G16270" t="str">
        <v>-</v>
      </c>
    </row>
    <row r="16271">
      <c r="B16271" t="str">
        <v>UBND Ủy ban nhân dân xã Trà Phú  tỉnh Quảng Ngãi</v>
      </c>
      <c r="C16271" t="str">
        <v>-</v>
      </c>
      <c r="D16271" t="str">
        <v>-</v>
      </c>
      <c r="E16271" t="str">
        <v>-</v>
      </c>
      <c r="F16271" t="str">
        <v>-</v>
      </c>
      <c r="G16271" t="str">
        <v>-</v>
      </c>
    </row>
    <row r="16272">
      <c r="B16272" t="str">
        <v>Công an xã Trà Lâm  tỉnh Quảng Ngãi</v>
      </c>
      <c r="C16272" t="str">
        <v>-</v>
      </c>
      <c r="D16272" t="str">
        <v>-</v>
      </c>
      <c r="E16272" t="str">
        <v/>
      </c>
      <c r="F16272" t="str">
        <v>-</v>
      </c>
      <c r="G16272" t="str">
        <v>-</v>
      </c>
    </row>
    <row r="16273">
      <c r="B16273" t="str">
        <v>UBND Ủy ban nhân dân xã Trà Lâm  tỉnh Quảng Ngãi</v>
      </c>
      <c r="C16273" t="str">
        <v>-</v>
      </c>
      <c r="D16273" t="str">
        <v>-</v>
      </c>
      <c r="E16273" t="str">
        <v>-</v>
      </c>
      <c r="F16273" t="str">
        <v>-</v>
      </c>
      <c r="G16273" t="str">
        <v>-</v>
      </c>
    </row>
    <row r="16274">
      <c r="B16274" t="str">
        <v>Công an xã Trà Tân  tỉnh Quảng Ngãi</v>
      </c>
      <c r="C16274" t="str">
        <v>-</v>
      </c>
      <c r="D16274" t="str">
        <v>-</v>
      </c>
      <c r="E16274" t="str">
        <v/>
      </c>
      <c r="F16274" t="str">
        <v>-</v>
      </c>
      <c r="G16274" t="str">
        <v>-</v>
      </c>
    </row>
    <row r="16275">
      <c r="B16275" t="str">
        <v>UBND Ủy ban nhân dân xã Trà Tân  tỉnh Quảng Ngãi</v>
      </c>
      <c r="C16275" t="str">
        <v>-</v>
      </c>
      <c r="D16275" t="str">
        <v>-</v>
      </c>
      <c r="E16275" t="str">
        <v>-</v>
      </c>
      <c r="F16275" t="str">
        <v>-</v>
      </c>
      <c r="G16275" t="str">
        <v>-</v>
      </c>
    </row>
    <row r="16276">
      <c r="B16276" t="str">
        <v>Công an xã Trà Sơn  tỉnh Quảng Ngãi</v>
      </c>
      <c r="C16276" t="str">
        <v>-</v>
      </c>
      <c r="D16276" t="str">
        <v>-</v>
      </c>
      <c r="E16276" t="str">
        <v/>
      </c>
      <c r="F16276" t="str">
        <v>-</v>
      </c>
      <c r="G16276" t="str">
        <v>-</v>
      </c>
    </row>
    <row r="16277">
      <c r="B16277" t="str">
        <v>UBND Ủy ban nhân dân xã Trà Sơn  tỉnh Quảng Ngãi</v>
      </c>
      <c r="C16277" t="str">
        <v>-</v>
      </c>
      <c r="D16277" t="str">
        <v>-</v>
      </c>
      <c r="E16277" t="str">
        <v>-</v>
      </c>
      <c r="F16277" t="str">
        <v>-</v>
      </c>
      <c r="G16277" t="str">
        <v>-</v>
      </c>
    </row>
    <row r="16278">
      <c r="B16278" t="str">
        <v>Công an xã Trà Bùi  tỉnh Quảng Ngãi</v>
      </c>
      <c r="C16278" t="str">
        <v>-</v>
      </c>
      <c r="D16278" t="str">
        <v>-</v>
      </c>
      <c r="E16278" t="str">
        <v/>
      </c>
      <c r="F16278" t="str">
        <v>-</v>
      </c>
      <c r="G16278" t="str">
        <v>-</v>
      </c>
    </row>
    <row r="16279">
      <c r="B16279" t="str">
        <v>UBND Ủy ban nhân dân xã Trà Bùi  tỉnh Quảng Ngãi</v>
      </c>
      <c r="C16279" t="str">
        <v>-</v>
      </c>
      <c r="D16279" t="str">
        <v>-</v>
      </c>
      <c r="E16279" t="str">
        <v>-</v>
      </c>
      <c r="F16279" t="str">
        <v>-</v>
      </c>
      <c r="G16279" t="str">
        <v>-</v>
      </c>
    </row>
    <row r="16280">
      <c r="B16280" t="str">
        <v>Công an xã Trà Thanh  tỉnh Quảng Ngãi</v>
      </c>
      <c r="C16280" t="str">
        <v>-</v>
      </c>
      <c r="D16280" t="str">
        <v>-</v>
      </c>
      <c r="E16280" t="str">
        <v/>
      </c>
      <c r="F16280" t="str">
        <v>-</v>
      </c>
      <c r="G16280" t="str">
        <v>-</v>
      </c>
    </row>
    <row r="16281">
      <c r="B16281" t="str">
        <v>UBND Ủy ban nhân dân xã Trà Thanh  tỉnh Quảng Ngãi</v>
      </c>
      <c r="C16281" t="str">
        <v>-</v>
      </c>
      <c r="D16281" t="str">
        <v>-</v>
      </c>
      <c r="E16281" t="str">
        <v>-</v>
      </c>
      <c r="F16281" t="str">
        <v>-</v>
      </c>
      <c r="G16281" t="str">
        <v>-</v>
      </c>
    </row>
    <row r="16282">
      <c r="B16282" t="str">
        <v>Công an xã Trà Khê  tỉnh Quảng Ngãi</v>
      </c>
      <c r="C16282" t="str">
        <v>-</v>
      </c>
      <c r="D16282" t="str">
        <v>-</v>
      </c>
      <c r="E16282" t="str">
        <v/>
      </c>
      <c r="F16282" t="str">
        <v>-</v>
      </c>
      <c r="G16282" t="str">
        <v>-</v>
      </c>
    </row>
    <row r="16283">
      <c r="B16283" t="str">
        <v>UBND Ủy ban nhân dân xã Trà Khê  tỉnh Quảng Ngãi</v>
      </c>
      <c r="C16283" t="str">
        <v>-</v>
      </c>
      <c r="D16283" t="str">
        <v>-</v>
      </c>
      <c r="E16283" t="str">
        <v>-</v>
      </c>
      <c r="F16283" t="str">
        <v>-</v>
      </c>
      <c r="G16283" t="str">
        <v>-</v>
      </c>
    </row>
    <row r="16284">
      <c r="B16284" t="str">
        <v>Công an xã Trà Quân  tỉnh Quảng Ngãi</v>
      </c>
      <c r="C16284" t="str">
        <v>-</v>
      </c>
      <c r="D16284" t="str">
        <v>-</v>
      </c>
      <c r="E16284" t="str">
        <v/>
      </c>
      <c r="F16284" t="str">
        <v>-</v>
      </c>
      <c r="G16284" t="str">
        <v>-</v>
      </c>
    </row>
    <row r="16285">
      <c r="B16285" t="str">
        <v>UBND Ủy ban nhân dân xã Trà Quân  tỉnh Quảng Ngãi</v>
      </c>
      <c r="C16285" t="str">
        <v>-</v>
      </c>
      <c r="D16285" t="str">
        <v>-</v>
      </c>
      <c r="E16285" t="str">
        <v>-</v>
      </c>
      <c r="F16285" t="str">
        <v>-</v>
      </c>
      <c r="G16285" t="str">
        <v>-</v>
      </c>
    </row>
    <row r="16286">
      <c r="B16286" t="str">
        <v>Công an xã Trà Phong  tỉnh Quảng Ngãi</v>
      </c>
      <c r="C16286" t="str">
        <v>-</v>
      </c>
      <c r="D16286" t="str">
        <v>-</v>
      </c>
      <c r="E16286" t="str">
        <v/>
      </c>
      <c r="F16286" t="str">
        <v>-</v>
      </c>
      <c r="G16286" t="str">
        <v>-</v>
      </c>
    </row>
    <row r="16287">
      <c r="B16287" t="str">
        <v>UBND Ủy ban nhân dân xã Trà Phong  tỉnh Quảng Ngãi</v>
      </c>
      <c r="C16287" t="str">
        <v>-</v>
      </c>
      <c r="D16287" t="str">
        <v>-</v>
      </c>
      <c r="E16287" t="str">
        <v>-</v>
      </c>
      <c r="F16287" t="str">
        <v>-</v>
      </c>
      <c r="G16287" t="str">
        <v>-</v>
      </c>
    </row>
    <row r="16288">
      <c r="B16288" t="str">
        <v>Công an xã Trà Lãnh  tỉnh Quảng Ngãi</v>
      </c>
      <c r="C16288" t="str">
        <v>-</v>
      </c>
      <c r="D16288" t="str">
        <v>-</v>
      </c>
      <c r="E16288" t="str">
        <v/>
      </c>
      <c r="F16288" t="str">
        <v>-</v>
      </c>
      <c r="G16288" t="str">
        <v>-</v>
      </c>
    </row>
    <row r="16289">
      <c r="B16289" t="str">
        <v>UBND Ủy ban nhân dân xã Trà Lãnh  tỉnh Quảng Ngãi</v>
      </c>
      <c r="C16289" t="str">
        <v>-</v>
      </c>
      <c r="D16289" t="str">
        <v>-</v>
      </c>
      <c r="E16289" t="str">
        <v>-</v>
      </c>
      <c r="F16289" t="str">
        <v>-</v>
      </c>
      <c r="G16289" t="str">
        <v>-</v>
      </c>
    </row>
    <row r="16290">
      <c r="B16290" t="str">
        <v>Công an xã Trà Nham  tỉnh Quảng Ngãi</v>
      </c>
      <c r="C16290" t="str">
        <v>-</v>
      </c>
      <c r="D16290" t="str">
        <v>-</v>
      </c>
      <c r="E16290" t="str">
        <v/>
      </c>
      <c r="F16290" t="str">
        <v>-</v>
      </c>
      <c r="G16290" t="str">
        <v>-</v>
      </c>
    </row>
    <row r="16291">
      <c r="B16291" t="str">
        <v>UBND Ủy ban nhân dân xã Trà Nham  tỉnh Quảng Ngãi</v>
      </c>
      <c r="C16291" t="str">
        <v>-</v>
      </c>
      <c r="D16291" t="str">
        <v>-</v>
      </c>
      <c r="E16291" t="str">
        <v>-</v>
      </c>
      <c r="F16291" t="str">
        <v>-</v>
      </c>
      <c r="G16291" t="str">
        <v>-</v>
      </c>
    </row>
    <row r="16292">
      <c r="B16292" t="str">
        <v>Công an xã Trà Xinh  tỉnh Quảng Ngãi</v>
      </c>
      <c r="C16292" t="str">
        <v>-</v>
      </c>
      <c r="D16292" t="str">
        <v>-</v>
      </c>
      <c r="E16292" t="str">
        <v/>
      </c>
      <c r="F16292" t="str">
        <v>-</v>
      </c>
      <c r="G16292" t="str">
        <v>-</v>
      </c>
    </row>
    <row r="16293">
      <c r="B16293" t="str">
        <v>UBND Ủy ban nhân dân xã Trà Xinh  tỉnh Quảng Ngãi</v>
      </c>
      <c r="C16293" t="str">
        <v>-</v>
      </c>
      <c r="D16293" t="str">
        <v>-</v>
      </c>
      <c r="E16293" t="str">
        <v>-</v>
      </c>
      <c r="F16293" t="str">
        <v>-</v>
      </c>
      <c r="G16293" t="str">
        <v>-</v>
      </c>
    </row>
    <row r="16294">
      <c r="B16294" t="str">
        <v>Công an xã Trà Thọ  tỉnh Quảng Ngãi</v>
      </c>
      <c r="C16294" t="str">
        <v>-</v>
      </c>
      <c r="D16294" t="str">
        <v>-</v>
      </c>
      <c r="E16294" t="str">
        <v/>
      </c>
      <c r="F16294" t="str">
        <v>-</v>
      </c>
      <c r="G16294" t="str">
        <v>-</v>
      </c>
    </row>
    <row r="16295">
      <c r="B16295" t="str">
        <v>UBND Ủy ban nhân dân xã Trà Thọ  tỉnh Quảng Ngãi</v>
      </c>
      <c r="C16295" t="str">
        <v>-</v>
      </c>
      <c r="D16295" t="str">
        <v>-</v>
      </c>
      <c r="E16295" t="str">
        <v>-</v>
      </c>
      <c r="F16295" t="str">
        <v>-</v>
      </c>
      <c r="G16295" t="str">
        <v>-</v>
      </c>
    </row>
    <row r="16296">
      <c r="B16296" t="str">
        <v>Công an xã Trà Trung  tỉnh Quảng Ngãi</v>
      </c>
      <c r="C16296" t="str">
        <v>-</v>
      </c>
      <c r="D16296" t="str">
        <v>-</v>
      </c>
      <c r="E16296" t="str">
        <v/>
      </c>
      <c r="F16296" t="str">
        <v>-</v>
      </c>
      <c r="G16296" t="str">
        <v>-</v>
      </c>
    </row>
    <row r="16297">
      <c r="B16297" t="str">
        <v>UBND Ủy ban nhân dân xã Trà Trung  tỉnh Quảng Ngãi</v>
      </c>
      <c r="C16297" t="str">
        <v>-</v>
      </c>
      <c r="D16297" t="str">
        <v>-</v>
      </c>
      <c r="E16297" t="str">
        <v>-</v>
      </c>
      <c r="F16297" t="str">
        <v>-</v>
      </c>
      <c r="G16297" t="str">
        <v>-</v>
      </c>
    </row>
    <row r="16298">
      <c r="B16298" t="str">
        <v>Công an xã Tịnh Thọ  tỉnh Quảng Ngãi</v>
      </c>
      <c r="C16298" t="str">
        <v>-</v>
      </c>
      <c r="D16298" t="str">
        <v>-</v>
      </c>
      <c r="E16298" t="str">
        <v/>
      </c>
      <c r="F16298" t="str">
        <v>-</v>
      </c>
      <c r="G16298" t="str">
        <v>-</v>
      </c>
    </row>
    <row r="16299">
      <c r="B16299" t="str">
        <v>UBND Ủy ban nhân dân xã Tịnh Thọ  tỉnh Quảng Ngãi</v>
      </c>
      <c r="C16299" t="str">
        <v>-</v>
      </c>
      <c r="D16299" t="str">
        <v>-</v>
      </c>
      <c r="E16299" t="str">
        <v>-</v>
      </c>
      <c r="F16299" t="str">
        <v>-</v>
      </c>
      <c r="G16299" t="str">
        <v>-</v>
      </c>
    </row>
    <row r="16300">
      <c r="B16300" t="str">
        <v>Công an xã Tịnh Trà  tỉnh Quảng Ngãi</v>
      </c>
      <c r="C16300" t="str">
        <v>-</v>
      </c>
      <c r="D16300" t="str">
        <v>-</v>
      </c>
      <c r="E16300" t="str">
        <v/>
      </c>
      <c r="F16300" t="str">
        <v>-</v>
      </c>
      <c r="G16300" t="str">
        <v>-</v>
      </c>
    </row>
    <row r="16301">
      <c r="B16301" t="str">
        <v>UBND Ủy ban nhân dân xã Tịnh Trà  tỉnh Quảng Ngãi</v>
      </c>
      <c r="C16301" t="str">
        <v>-</v>
      </c>
      <c r="D16301" t="str">
        <v>-</v>
      </c>
      <c r="E16301" t="str">
        <v>-</v>
      </c>
      <c r="F16301" t="str">
        <v>-</v>
      </c>
      <c r="G16301" t="str">
        <v>-</v>
      </c>
    </row>
    <row r="16302">
      <c r="B16302" t="str">
        <v>Công an xã Tịnh Phong  tỉnh Quảng Ngãi</v>
      </c>
      <c r="C16302" t="str">
        <v>-</v>
      </c>
      <c r="D16302" t="str">
        <v>-</v>
      </c>
      <c r="E16302" t="str">
        <v/>
      </c>
      <c r="F16302" t="str">
        <v>-</v>
      </c>
      <c r="G16302" t="str">
        <v>-</v>
      </c>
    </row>
    <row r="16303">
      <c r="B16303" t="str">
        <v>UBND Ủy ban nhân dân xã Tịnh Phong  tỉnh Quảng Ngãi</v>
      </c>
      <c r="C16303" t="str">
        <v>-</v>
      </c>
      <c r="D16303" t="str">
        <v>-</v>
      </c>
      <c r="E16303" t="str">
        <v>-</v>
      </c>
      <c r="F16303" t="str">
        <v>-</v>
      </c>
      <c r="G16303" t="str">
        <v>-</v>
      </c>
    </row>
    <row r="16304">
      <c r="B16304" t="str">
        <v>Công an xã Tịnh Hiệp  tỉnh Quảng Ngãi</v>
      </c>
      <c r="C16304" t="str">
        <v>-</v>
      </c>
      <c r="D16304" t="str">
        <v>-</v>
      </c>
      <c r="E16304" t="str">
        <v/>
      </c>
      <c r="F16304" t="str">
        <v>-</v>
      </c>
      <c r="G16304" t="str">
        <v>-</v>
      </c>
    </row>
    <row r="16305">
      <c r="B16305" t="str">
        <v>UBND Ủy ban nhân dân xã Tịnh Hiệp  tỉnh Quảng Ngãi</v>
      </c>
      <c r="C16305" t="str">
        <v>-</v>
      </c>
      <c r="D16305" t="str">
        <v>-</v>
      </c>
      <c r="E16305" t="str">
        <v>-</v>
      </c>
      <c r="F16305" t="str">
        <v>-</v>
      </c>
      <c r="G16305" t="str">
        <v>-</v>
      </c>
    </row>
    <row r="16306">
      <c r="B16306" t="str">
        <v>Công an xã Tịnh Bình  tỉnh Quảng Ngãi</v>
      </c>
      <c r="C16306" t="str">
        <v>-</v>
      </c>
      <c r="D16306" t="str">
        <v>-</v>
      </c>
      <c r="E16306" t="str">
        <v/>
      </c>
      <c r="F16306" t="str">
        <v>-</v>
      </c>
      <c r="G16306" t="str">
        <v>-</v>
      </c>
    </row>
    <row r="16307">
      <c r="B16307" t="str">
        <v>UBND Ủy ban nhân dân xã Tịnh Bình  tỉnh Quảng Ngãi</v>
      </c>
      <c r="C16307" t="str">
        <v>-</v>
      </c>
      <c r="D16307" t="str">
        <v>-</v>
      </c>
      <c r="E16307" t="str">
        <v>-</v>
      </c>
      <c r="F16307" t="str">
        <v>-</v>
      </c>
      <c r="G16307" t="str">
        <v>-</v>
      </c>
    </row>
    <row r="16308">
      <c r="B16308" t="str">
        <v>Công an xã Tịnh Đông  tỉnh Quảng Ngãi</v>
      </c>
      <c r="C16308" t="str">
        <v>-</v>
      </c>
      <c r="D16308" t="str">
        <v>-</v>
      </c>
      <c r="E16308" t="str">
        <v/>
      </c>
      <c r="F16308" t="str">
        <v>-</v>
      </c>
      <c r="G16308" t="str">
        <v>-</v>
      </c>
    </row>
    <row r="16309">
      <c r="B16309" t="str">
        <v>UBND Ủy ban nhân dân xã Tịnh Đông  tỉnh Quảng Ngãi</v>
      </c>
      <c r="C16309" t="str">
        <v>-</v>
      </c>
      <c r="D16309" t="str">
        <v>-</v>
      </c>
      <c r="E16309" t="str">
        <v>-</v>
      </c>
      <c r="F16309" t="str">
        <v>-</v>
      </c>
      <c r="G16309" t="str">
        <v>-</v>
      </c>
    </row>
    <row r="16310">
      <c r="B16310" t="str">
        <v>Công an xã Tịnh Bắc  tỉnh Quảng Ngãi</v>
      </c>
      <c r="C16310" t="str">
        <v>-</v>
      </c>
      <c r="D16310" t="str">
        <v>-</v>
      </c>
      <c r="E16310" t="str">
        <v/>
      </c>
      <c r="F16310" t="str">
        <v>-</v>
      </c>
      <c r="G16310" t="str">
        <v>-</v>
      </c>
    </row>
    <row r="16311">
      <c r="B16311" t="str">
        <v>UBND Ủy ban nhân dân xã Tịnh Bắc  tỉnh Quảng Ngãi</v>
      </c>
      <c r="C16311" t="str">
        <v>-</v>
      </c>
      <c r="D16311" t="str">
        <v>-</v>
      </c>
      <c r="E16311" t="str">
        <v>-</v>
      </c>
      <c r="F16311" t="str">
        <v>-</v>
      </c>
      <c r="G16311" t="str">
        <v>-</v>
      </c>
    </row>
    <row r="16312">
      <c r="B16312" t="str">
        <v>Công an xã Tịnh Sơn  tỉnh Quảng Ngãi</v>
      </c>
      <c r="C16312" t="str">
        <v>-</v>
      </c>
      <c r="D16312" t="str">
        <v>-</v>
      </c>
      <c r="E16312" t="str">
        <v/>
      </c>
      <c r="F16312" t="str">
        <v>-</v>
      </c>
      <c r="G16312" t="str">
        <v>-</v>
      </c>
    </row>
    <row r="16313">
      <c r="B16313" t="str">
        <v>UBND Ủy ban nhân dân xã Tịnh Sơn  tỉnh Quảng Ngãi</v>
      </c>
      <c r="C16313" t="str">
        <v>-</v>
      </c>
      <c r="D16313" t="str">
        <v>-</v>
      </c>
      <c r="E16313" t="str">
        <v>-</v>
      </c>
      <c r="F16313" t="str">
        <v>-</v>
      </c>
      <c r="G16313" t="str">
        <v>-</v>
      </c>
    </row>
    <row r="16314">
      <c r="B16314" t="str">
        <v>Công an xã Tịnh Hà  tỉnh Quảng Ngãi</v>
      </c>
      <c r="C16314" t="str">
        <v>-</v>
      </c>
      <c r="D16314" t="str">
        <v>-</v>
      </c>
      <c r="E16314" t="str">
        <v/>
      </c>
      <c r="F16314" t="str">
        <v>-</v>
      </c>
      <c r="G16314" t="str">
        <v>-</v>
      </c>
    </row>
    <row r="16315">
      <c r="B16315" t="str">
        <v>UBND Ủy ban nhân dân xã Tịnh Hà  tỉnh Quảng Ngãi</v>
      </c>
      <c r="C16315" t="str">
        <v>-</v>
      </c>
      <c r="D16315" t="str">
        <v>-</v>
      </c>
      <c r="E16315" t="str">
        <v>-</v>
      </c>
      <c r="F16315" t="str">
        <v>-</v>
      </c>
      <c r="G16315" t="str">
        <v>-</v>
      </c>
    </row>
    <row r="16316">
      <c r="B16316" t="str">
        <v>Công an xã Tịnh Giang  tỉnh Quảng Ngãi</v>
      </c>
      <c r="C16316" t="str">
        <v>-</v>
      </c>
      <c r="D16316" t="str">
        <v>-</v>
      </c>
      <c r="E16316" t="str">
        <v/>
      </c>
      <c r="F16316" t="str">
        <v>-</v>
      </c>
      <c r="G16316" t="str">
        <v>-</v>
      </c>
    </row>
    <row r="16317">
      <c r="B16317" t="str">
        <v>UBND Ủy ban nhân dân xã Tịnh Giang  tỉnh Quảng Ngãi</v>
      </c>
      <c r="C16317" t="str">
        <v>-</v>
      </c>
      <c r="D16317" t="str">
        <v>-</v>
      </c>
      <c r="E16317" t="str">
        <v>-</v>
      </c>
      <c r="F16317" t="str">
        <v>-</v>
      </c>
      <c r="G16317" t="str">
        <v>-</v>
      </c>
    </row>
    <row r="16318">
      <c r="B16318" t="str">
        <v>Công an xã Tịnh Minh  tỉnh Quảng Ngãi</v>
      </c>
      <c r="C16318" t="str">
        <v>-</v>
      </c>
      <c r="D16318" t="str">
        <v>-</v>
      </c>
      <c r="E16318" t="str">
        <v/>
      </c>
      <c r="F16318" t="str">
        <v>-</v>
      </c>
      <c r="G16318" t="str">
        <v>-</v>
      </c>
    </row>
    <row r="16319">
      <c r="B16319" t="str">
        <v>UBND Ủy ban nhân dân xã Tịnh Minh  tỉnh Quảng Ngãi</v>
      </c>
      <c r="C16319" t="str">
        <v>-</v>
      </c>
      <c r="D16319" t="str">
        <v>-</v>
      </c>
      <c r="E16319" t="str">
        <v>-</v>
      </c>
      <c r="F16319" t="str">
        <v>-</v>
      </c>
      <c r="G16319" t="str">
        <v>-</v>
      </c>
    </row>
    <row r="16320">
      <c r="B16320" t="str">
        <v>Công an xã Nghĩa Lâm  tỉnh Quảng Ngãi</v>
      </c>
      <c r="C16320" t="str">
        <v>-</v>
      </c>
      <c r="D16320" t="str">
        <v>-</v>
      </c>
      <c r="E16320" t="str">
        <v/>
      </c>
      <c r="F16320" t="str">
        <v>-</v>
      </c>
      <c r="G16320" t="str">
        <v>-</v>
      </c>
    </row>
    <row r="16321">
      <c r="B16321" t="str">
        <v>UBND Ủy ban nhân dân xã Nghĩa Lâm  tỉnh Quảng Ngãi</v>
      </c>
      <c r="C16321" t="str">
        <v>-</v>
      </c>
      <c r="D16321" t="str">
        <v>-</v>
      </c>
      <c r="E16321" t="str">
        <v>-</v>
      </c>
      <c r="F16321" t="str">
        <v>-</v>
      </c>
      <c r="G16321" t="str">
        <v>-</v>
      </c>
    </row>
    <row r="16322">
      <c r="B16322" t="str">
        <v>Công an xã Nghĩa Thắng  tỉnh Quảng Ngãi</v>
      </c>
      <c r="C16322" t="str">
        <v>-</v>
      </c>
      <c r="D16322" t="str">
        <v>-</v>
      </c>
      <c r="E16322" t="str">
        <v/>
      </c>
      <c r="F16322" t="str">
        <v>-</v>
      </c>
      <c r="G16322" t="str">
        <v>-</v>
      </c>
    </row>
    <row r="16323">
      <c r="B16323" t="str">
        <v>UBND Ủy ban nhân dân xã Nghĩa Thắng  tỉnh Quảng Ngãi</v>
      </c>
      <c r="C16323" t="str">
        <v>-</v>
      </c>
      <c r="D16323" t="str">
        <v>-</v>
      </c>
      <c r="E16323" t="str">
        <v>-</v>
      </c>
      <c r="F16323" t="str">
        <v>-</v>
      </c>
      <c r="G16323" t="str">
        <v>-</v>
      </c>
    </row>
    <row r="16324">
      <c r="B16324" t="str">
        <v>Công an xã Nghĩa Thuận  tỉnh Quảng Ngãi</v>
      </c>
      <c r="C16324" t="str">
        <v>-</v>
      </c>
      <c r="D16324" t="str">
        <v>-</v>
      </c>
      <c r="E16324" t="str">
        <v/>
      </c>
      <c r="F16324" t="str">
        <v>-</v>
      </c>
      <c r="G16324" t="str">
        <v>-</v>
      </c>
    </row>
    <row r="16325">
      <c r="B16325" t="str">
        <v>UBND Ủy ban nhân dân xã Nghĩa Thuận  tỉnh Quảng Ngãi</v>
      </c>
      <c r="C16325" t="str">
        <v>-</v>
      </c>
      <c r="D16325" t="str">
        <v>-</v>
      </c>
      <c r="E16325" t="str">
        <v>-</v>
      </c>
      <c r="F16325" t="str">
        <v>-</v>
      </c>
      <c r="G16325" t="str">
        <v>-</v>
      </c>
    </row>
    <row r="16326">
      <c r="B16326" t="str">
        <v>Công an xã Nghĩa Kỳ  tỉnh Quảng Ngãi</v>
      </c>
      <c r="C16326" t="str">
        <v>-</v>
      </c>
      <c r="D16326" t="str">
        <v>-</v>
      </c>
      <c r="E16326" t="str">
        <v/>
      </c>
      <c r="F16326" t="str">
        <v>-</v>
      </c>
      <c r="G16326" t="str">
        <v>-</v>
      </c>
    </row>
    <row r="16327">
      <c r="B16327" t="str">
        <v>UBND Ủy ban nhân dân xã Nghĩa Kỳ  tỉnh Quảng Ngãi</v>
      </c>
      <c r="C16327" t="str">
        <v>-</v>
      </c>
      <c r="D16327" t="str">
        <v>-</v>
      </c>
      <c r="E16327" t="str">
        <v>-</v>
      </c>
      <c r="F16327" t="str">
        <v>-</v>
      </c>
      <c r="G16327" t="str">
        <v>-</v>
      </c>
    </row>
    <row r="16328">
      <c r="B16328" t="str">
        <v>Công an xã Nghĩa Sơn  tỉnh Quảng Ngãi</v>
      </c>
      <c r="C16328" t="str">
        <v>-</v>
      </c>
      <c r="D16328" t="str">
        <v>-</v>
      </c>
      <c r="E16328" t="str">
        <v/>
      </c>
      <c r="F16328" t="str">
        <v>-</v>
      </c>
      <c r="G16328" t="str">
        <v>-</v>
      </c>
    </row>
    <row r="16329">
      <c r="B16329" t="str">
        <v>UBND Ủy ban nhân dân xã Nghĩa Sơn  tỉnh Quảng Ngãi</v>
      </c>
      <c r="C16329" t="str">
        <v>-</v>
      </c>
      <c r="D16329" t="str">
        <v>-</v>
      </c>
      <c r="E16329" t="str">
        <v>-</v>
      </c>
      <c r="F16329" t="str">
        <v>-</v>
      </c>
      <c r="G16329" t="str">
        <v>-</v>
      </c>
    </row>
    <row r="16330">
      <c r="B16330" t="str">
        <v>Công an xã Nghĩa Thọ  tỉnh Quảng Ngãi</v>
      </c>
      <c r="C16330" t="str">
        <v>-</v>
      </c>
      <c r="D16330" t="str">
        <v>-</v>
      </c>
      <c r="E16330" t="str">
        <v/>
      </c>
      <c r="F16330" t="str">
        <v>-</v>
      </c>
      <c r="G16330" t="str">
        <v>-</v>
      </c>
    </row>
    <row r="16331">
      <c r="B16331" t="str">
        <v>UBND Ủy ban nhân dân xã Nghĩa Thọ  tỉnh Quảng Ngãi</v>
      </c>
      <c r="C16331" t="str">
        <v>-</v>
      </c>
      <c r="D16331" t="str">
        <v>-</v>
      </c>
      <c r="E16331" t="str">
        <v>-</v>
      </c>
      <c r="F16331" t="str">
        <v>-</v>
      </c>
      <c r="G16331" t="str">
        <v>-</v>
      </c>
    </row>
    <row r="16332">
      <c r="B16332" t="str">
        <v>Công an xã Nghĩa Hòa  tỉnh Quảng Ngãi</v>
      </c>
      <c r="C16332" t="str">
        <v>-</v>
      </c>
      <c r="D16332" t="str">
        <v>-</v>
      </c>
      <c r="E16332" t="str">
        <v/>
      </c>
      <c r="F16332" t="str">
        <v>-</v>
      </c>
      <c r="G16332" t="str">
        <v>-</v>
      </c>
    </row>
    <row r="16333">
      <c r="B16333" t="str">
        <v>UBND Ủy ban nhân dân xã Nghĩa Hòa  tỉnh Quảng Ngãi</v>
      </c>
      <c r="C16333" t="str">
        <v>-</v>
      </c>
      <c r="D16333" t="str">
        <v>-</v>
      </c>
      <c r="E16333" t="str">
        <v>-</v>
      </c>
      <c r="F16333" t="str">
        <v>-</v>
      </c>
      <c r="G16333" t="str">
        <v>-</v>
      </c>
    </row>
    <row r="16334">
      <c r="B16334" t="str">
        <v>Công an xã Nghĩa Điền  tỉnh Quảng Ngãi</v>
      </c>
      <c r="C16334" t="str">
        <v>-</v>
      </c>
      <c r="D16334" t="str">
        <v>-</v>
      </c>
      <c r="E16334" t="str">
        <v/>
      </c>
      <c r="F16334" t="str">
        <v>-</v>
      </c>
      <c r="G16334" t="str">
        <v>-</v>
      </c>
    </row>
    <row r="16335">
      <c r="B16335" t="str">
        <v>UBND Ủy ban nhân dân xã Nghĩa Điền  tỉnh Quảng Ngãi</v>
      </c>
      <c r="C16335" t="str">
        <v>-</v>
      </c>
      <c r="D16335" t="str">
        <v>-</v>
      </c>
      <c r="E16335" t="str">
        <v>-</v>
      </c>
      <c r="F16335" t="str">
        <v>-</v>
      </c>
      <c r="G16335" t="str">
        <v>-</v>
      </c>
    </row>
    <row r="16336">
      <c r="B16336" t="str">
        <v>Công an xã Nghĩa Thương  tỉnh Quảng Ngãi</v>
      </c>
      <c r="C16336" t="str">
        <v>-</v>
      </c>
      <c r="D16336" t="str">
        <v>-</v>
      </c>
      <c r="E16336" t="str">
        <v/>
      </c>
      <c r="F16336" t="str">
        <v>-</v>
      </c>
      <c r="G16336" t="str">
        <v>-</v>
      </c>
    </row>
    <row r="16337">
      <c r="B16337" t="str">
        <v>UBND Ủy ban nhân dân xã Nghĩa Thương  tỉnh Quảng Ngãi</v>
      </c>
      <c r="C16337" t="str">
        <v>-</v>
      </c>
      <c r="D16337" t="str">
        <v>-</v>
      </c>
      <c r="E16337" t="str">
        <v>-</v>
      </c>
      <c r="F16337" t="str">
        <v>-</v>
      </c>
      <c r="G16337" t="str">
        <v>-</v>
      </c>
    </row>
    <row r="16338">
      <c r="B16338" t="str">
        <v>Công an xã Nghĩa Trung  tỉnh Quảng Ngãi</v>
      </c>
      <c r="C16338" t="str">
        <v>-</v>
      </c>
      <c r="D16338" t="str">
        <v>-</v>
      </c>
      <c r="E16338" t="str">
        <v/>
      </c>
      <c r="F16338" t="str">
        <v>-</v>
      </c>
      <c r="G16338" t="str">
        <v>-</v>
      </c>
    </row>
    <row r="16339">
      <c r="B16339" t="str">
        <v>UBND Ủy ban nhân dân xã Nghĩa Trung  tỉnh Quảng Ngãi</v>
      </c>
      <c r="C16339" t="str">
        <v>-</v>
      </c>
      <c r="D16339" t="str">
        <v>-</v>
      </c>
      <c r="E16339" t="str">
        <v>-</v>
      </c>
      <c r="F16339" t="str">
        <v>-</v>
      </c>
      <c r="G16339" t="str">
        <v>-</v>
      </c>
    </row>
    <row r="16340">
      <c r="B16340" t="str">
        <v>Công an xã Nghĩa Hiệp  tỉnh Quảng Ngãi</v>
      </c>
      <c r="C16340" t="str">
        <v>-</v>
      </c>
      <c r="D16340" t="str">
        <v>-</v>
      </c>
      <c r="E16340" t="str">
        <v/>
      </c>
      <c r="F16340" t="str">
        <v>-</v>
      </c>
      <c r="G16340" t="str">
        <v>-</v>
      </c>
    </row>
    <row r="16341">
      <c r="B16341" t="str">
        <v>UBND Ủy ban nhân dân xã Nghĩa Hiệp  tỉnh Quảng Ngãi</v>
      </c>
      <c r="C16341" t="str">
        <v>-</v>
      </c>
      <c r="D16341" t="str">
        <v>-</v>
      </c>
      <c r="E16341" t="str">
        <v>-</v>
      </c>
      <c r="F16341" t="str">
        <v>-</v>
      </c>
      <c r="G16341" t="str">
        <v>-</v>
      </c>
    </row>
    <row r="16342">
      <c r="B16342" t="str">
        <v>Công an xã Nghĩa Phương  tỉnh Quảng Ngãi</v>
      </c>
      <c r="C16342" t="str">
        <v>-</v>
      </c>
      <c r="D16342" t="str">
        <v>-</v>
      </c>
      <c r="E16342" t="str">
        <v/>
      </c>
      <c r="F16342" t="str">
        <v>-</v>
      </c>
      <c r="G16342" t="str">
        <v>-</v>
      </c>
    </row>
    <row r="16343">
      <c r="B16343" t="str">
        <v>UBND Ủy ban nhân dân xã Nghĩa Phương  tỉnh Quảng Ngãi</v>
      </c>
      <c r="C16343" t="str">
        <v>-</v>
      </c>
      <c r="D16343" t="str">
        <v>-</v>
      </c>
      <c r="E16343" t="str">
        <v>-</v>
      </c>
      <c r="F16343" t="str">
        <v>-</v>
      </c>
      <c r="G16343" t="str">
        <v>-</v>
      </c>
    </row>
    <row r="16344">
      <c r="B16344" t="str">
        <v>Công an xã Nghĩa Mỹ  tỉnh Quảng Ngãi</v>
      </c>
      <c r="C16344" t="str">
        <v>-</v>
      </c>
      <c r="D16344" t="str">
        <v>-</v>
      </c>
      <c r="E16344" t="str">
        <v/>
      </c>
      <c r="F16344" t="str">
        <v>-</v>
      </c>
      <c r="G16344" t="str">
        <v>-</v>
      </c>
    </row>
    <row r="16345">
      <c r="B16345" t="str">
        <v>UBND Ủy ban nhân dân xã Nghĩa Mỹ  tỉnh Quảng Ngãi</v>
      </c>
      <c r="C16345" t="str">
        <v>-</v>
      </c>
      <c r="D16345" t="str">
        <v>-</v>
      </c>
      <c r="E16345" t="str">
        <v>-</v>
      </c>
      <c r="F16345" t="str">
        <v>-</v>
      </c>
      <c r="G16345" t="str">
        <v>-</v>
      </c>
    </row>
    <row r="16346">
      <c r="B16346" t="str">
        <v>Công an xã Sơn Hạ  tỉnh Quảng Ngãi</v>
      </c>
      <c r="C16346" t="str">
        <v>-</v>
      </c>
      <c r="D16346" t="str">
        <v>-</v>
      </c>
      <c r="E16346" t="str">
        <v/>
      </c>
      <c r="F16346" t="str">
        <v>-</v>
      </c>
      <c r="G16346" t="str">
        <v>-</v>
      </c>
    </row>
    <row r="16347">
      <c r="B16347" t="str">
        <v>UBND Ủy ban nhân dân xã Sơn Hạ  tỉnh Quảng Ngãi</v>
      </c>
      <c r="C16347" t="str">
        <v>-</v>
      </c>
      <c r="D16347" t="str">
        <v>-</v>
      </c>
      <c r="E16347" t="str">
        <v>-</v>
      </c>
      <c r="F16347" t="str">
        <v>-</v>
      </c>
      <c r="G16347" t="str">
        <v>-</v>
      </c>
    </row>
    <row r="16348">
      <c r="B16348" t="str">
        <v>Công an xã Sơn Thành  tỉnh Quảng Ngãi</v>
      </c>
      <c r="C16348" t="str">
        <v>-</v>
      </c>
      <c r="D16348" t="str">
        <v>-</v>
      </c>
      <c r="E16348" t="str">
        <v/>
      </c>
      <c r="F16348" t="str">
        <v>-</v>
      </c>
      <c r="G16348" t="str">
        <v>-</v>
      </c>
    </row>
    <row r="16349">
      <c r="B16349" t="str">
        <v>UBND Ủy ban nhân dân xã Sơn Thành  tỉnh Quảng Ngãi</v>
      </c>
      <c r="C16349" t="str">
        <v>-</v>
      </c>
      <c r="D16349" t="str">
        <v>-</v>
      </c>
      <c r="E16349" t="str">
        <v>-</v>
      </c>
      <c r="F16349" t="str">
        <v>-</v>
      </c>
      <c r="G16349" t="str">
        <v>-</v>
      </c>
    </row>
    <row r="16350">
      <c r="B16350" t="str">
        <v>Công an xã Sơn Nham  tỉnh Quảng Ngãi</v>
      </c>
      <c r="C16350" t="str">
        <v>-</v>
      </c>
      <c r="D16350" t="str">
        <v>-</v>
      </c>
      <c r="E16350" t="str">
        <v/>
      </c>
      <c r="F16350" t="str">
        <v>-</v>
      </c>
      <c r="G16350" t="str">
        <v>-</v>
      </c>
    </row>
    <row r="16351">
      <c r="B16351" t="str">
        <v>UBND Ủy ban nhân dân xã Sơn Nham  tỉnh Quảng Ngãi</v>
      </c>
      <c r="C16351" t="str">
        <v>-</v>
      </c>
      <c r="D16351" t="str">
        <v>-</v>
      </c>
      <c r="E16351" t="str">
        <v>-</v>
      </c>
      <c r="F16351" t="str">
        <v>-</v>
      </c>
      <c r="G16351" t="str">
        <v>-</v>
      </c>
    </row>
    <row r="16352">
      <c r="B16352" t="str">
        <v>Công an xã Sơn Bao  tỉnh Quảng Ngãi</v>
      </c>
      <c r="C16352" t="str">
        <v>-</v>
      </c>
      <c r="D16352" t="str">
        <v>-</v>
      </c>
      <c r="E16352" t="str">
        <v/>
      </c>
      <c r="F16352" t="str">
        <v>-</v>
      </c>
      <c r="G16352" t="str">
        <v>-</v>
      </c>
    </row>
    <row r="16353">
      <c r="B16353" t="str">
        <v>UBND Ủy ban nhân dân xã Sơn Bao  tỉnh Quảng Ngãi</v>
      </c>
      <c r="C16353" t="str">
        <v>-</v>
      </c>
      <c r="D16353" t="str">
        <v>-</v>
      </c>
      <c r="E16353" t="str">
        <v>-</v>
      </c>
      <c r="F16353" t="str">
        <v>-</v>
      </c>
      <c r="G16353" t="str">
        <v>-</v>
      </c>
    </row>
    <row r="16354">
      <c r="B16354" t="str">
        <v>Công an xã Sơn Linh  tỉnh Quảng Ngãi</v>
      </c>
      <c r="C16354" t="str">
        <v>-</v>
      </c>
      <c r="D16354" t="str">
        <v>-</v>
      </c>
      <c r="E16354" t="str">
        <v/>
      </c>
      <c r="F16354" t="str">
        <v>-</v>
      </c>
      <c r="G16354" t="str">
        <v>-</v>
      </c>
    </row>
    <row r="16355">
      <c r="B16355" t="str">
        <v>UBND Ủy ban nhân dân xã Sơn Linh  tỉnh Quảng Ngãi</v>
      </c>
      <c r="C16355" t="str">
        <v>-</v>
      </c>
      <c r="D16355" t="str">
        <v>-</v>
      </c>
      <c r="E16355" t="str">
        <v>-</v>
      </c>
      <c r="F16355" t="str">
        <v>-</v>
      </c>
      <c r="G16355" t="str">
        <v>-</v>
      </c>
    </row>
    <row r="16356">
      <c r="B16356" t="str">
        <v>Công an xã Sơn Giang  tỉnh Quảng Ngãi</v>
      </c>
      <c r="C16356" t="str">
        <v>-</v>
      </c>
      <c r="D16356" t="str">
        <v>-</v>
      </c>
      <c r="E16356" t="str">
        <v/>
      </c>
      <c r="F16356" t="str">
        <v>-</v>
      </c>
      <c r="G16356" t="str">
        <v>-</v>
      </c>
    </row>
    <row r="16357">
      <c r="B16357" t="str">
        <v>UBND Ủy ban nhân dân xã Sơn Giang  tỉnh Quảng Ngãi</v>
      </c>
      <c r="C16357" t="str">
        <v>-</v>
      </c>
      <c r="D16357" t="str">
        <v>-</v>
      </c>
      <c r="E16357" t="str">
        <v>-</v>
      </c>
      <c r="F16357" t="str">
        <v>-</v>
      </c>
      <c r="G16357" t="str">
        <v>-</v>
      </c>
    </row>
    <row r="16358">
      <c r="B16358" t="str">
        <v>Công an xã Sơn Trung  tỉnh Quảng Ngãi</v>
      </c>
      <c r="C16358" t="str">
        <v>-</v>
      </c>
      <c r="D16358" t="str">
        <v>-</v>
      </c>
      <c r="E16358" t="str">
        <v/>
      </c>
      <c r="F16358" t="str">
        <v>-</v>
      </c>
      <c r="G16358" t="str">
        <v>-</v>
      </c>
    </row>
    <row r="16359">
      <c r="B16359" t="str">
        <v>UBND Ủy ban nhân dân xã Sơn Trung  tỉnh Quảng Ngãi</v>
      </c>
      <c r="C16359" t="str">
        <v>-</v>
      </c>
      <c r="D16359" t="str">
        <v>-</v>
      </c>
      <c r="E16359" t="str">
        <v>-</v>
      </c>
      <c r="F16359" t="str">
        <v>-</v>
      </c>
      <c r="G16359" t="str">
        <v>-</v>
      </c>
    </row>
    <row r="16360">
      <c r="B16360" t="str">
        <v>Công an xã Sơn Thượng  tỉnh Quảng Ngãi</v>
      </c>
      <c r="C16360" t="str">
        <v>-</v>
      </c>
      <c r="D16360" t="str">
        <v>-</v>
      </c>
      <c r="E16360" t="str">
        <v/>
      </c>
      <c r="F16360" t="str">
        <v>-</v>
      </c>
      <c r="G16360" t="str">
        <v>-</v>
      </c>
    </row>
    <row r="16361">
      <c r="B16361" t="str">
        <v>UBND Ủy ban nhân dân xã Sơn Thượng  tỉnh Quảng Ngãi</v>
      </c>
      <c r="C16361" t="str">
        <v>-</v>
      </c>
      <c r="D16361" t="str">
        <v>-</v>
      </c>
      <c r="E16361" t="str">
        <v>-</v>
      </c>
      <c r="F16361" t="str">
        <v>-</v>
      </c>
      <c r="G16361" t="str">
        <v>-</v>
      </c>
    </row>
    <row r="16362">
      <c r="B16362" t="str">
        <v>Công an xã Sơn Cao  tỉnh Quảng Ngãi</v>
      </c>
      <c r="C16362" t="str">
        <v>-</v>
      </c>
      <c r="D16362" t="str">
        <v>-</v>
      </c>
      <c r="E16362" t="str">
        <v/>
      </c>
      <c r="F16362" t="str">
        <v>-</v>
      </c>
      <c r="G16362" t="str">
        <v>-</v>
      </c>
    </row>
    <row r="16363">
      <c r="B16363" t="str">
        <v>UBND Ủy ban nhân dân xã Sơn Cao  tỉnh Quảng Ngãi</v>
      </c>
      <c r="C16363" t="str">
        <v>-</v>
      </c>
      <c r="D16363" t="str">
        <v>-</v>
      </c>
      <c r="E16363" t="str">
        <v>-</v>
      </c>
      <c r="F16363" t="str">
        <v>-</v>
      </c>
      <c r="G16363" t="str">
        <v>-</v>
      </c>
    </row>
    <row r="16364">
      <c r="B16364" t="str">
        <v>Công an xã Sơn Hải  tỉnh Quảng Ngãi</v>
      </c>
      <c r="C16364" t="str">
        <v>-</v>
      </c>
      <c r="D16364" t="str">
        <v>-</v>
      </c>
      <c r="E16364" t="str">
        <v/>
      </c>
      <c r="F16364" t="str">
        <v>-</v>
      </c>
      <c r="G16364" t="str">
        <v>-</v>
      </c>
    </row>
    <row r="16365">
      <c r="B16365" t="str">
        <v>UBND Ủy ban nhân dân xã Sơn Hải  tỉnh Quảng Ngãi</v>
      </c>
      <c r="C16365" t="str">
        <v>-</v>
      </c>
      <c r="D16365" t="str">
        <v>-</v>
      </c>
      <c r="E16365" t="str">
        <v>-</v>
      </c>
      <c r="F16365" t="str">
        <v>-</v>
      </c>
      <c r="G16365" t="str">
        <v>-</v>
      </c>
    </row>
    <row r="16366">
      <c r="B16366" t="str">
        <v>Công an xã Sơn Thủy  tỉnh Quảng Ngãi</v>
      </c>
      <c r="C16366" t="str">
        <v>-</v>
      </c>
      <c r="D16366" t="str">
        <v>-</v>
      </c>
      <c r="E16366" t="str">
        <v/>
      </c>
      <c r="F16366" t="str">
        <v>-</v>
      </c>
      <c r="G16366" t="str">
        <v>-</v>
      </c>
    </row>
    <row r="16367">
      <c r="B16367" t="str">
        <v>UBND Ủy ban nhân dân xã Sơn Thủy  tỉnh Quảng Ngãi</v>
      </c>
      <c r="C16367" t="str">
        <v>-</v>
      </c>
      <c r="D16367" t="str">
        <v>-</v>
      </c>
      <c r="E16367" t="str">
        <v>-</v>
      </c>
      <c r="F16367" t="str">
        <v>-</v>
      </c>
      <c r="G16367" t="str">
        <v>-</v>
      </c>
    </row>
    <row r="16368">
      <c r="B16368" t="str">
        <v>Công an xã Sơn Kỳ  tỉnh Quảng Ngãi</v>
      </c>
      <c r="C16368" t="str">
        <v>-</v>
      </c>
      <c r="D16368" t="str">
        <v>-</v>
      </c>
      <c r="E16368" t="str">
        <v/>
      </c>
      <c r="F16368" t="str">
        <v>-</v>
      </c>
      <c r="G16368" t="str">
        <v>-</v>
      </c>
    </row>
    <row r="16369">
      <c r="B16369" t="str">
        <v>UBND Ủy ban nhân dân xã Sơn Kỳ  tỉnh Quảng Ngãi</v>
      </c>
      <c r="C16369" t="str">
        <v>-</v>
      </c>
      <c r="D16369" t="str">
        <v>-</v>
      </c>
      <c r="E16369" t="str">
        <v>-</v>
      </c>
      <c r="F16369" t="str">
        <v>-</v>
      </c>
      <c r="G16369" t="str">
        <v>-</v>
      </c>
    </row>
    <row r="16370">
      <c r="B16370" t="str">
        <v>Công an xã Sơn Ba  tỉnh Quảng Ngãi</v>
      </c>
      <c r="C16370" t="str">
        <v>-</v>
      </c>
      <c r="D16370" t="str">
        <v>-</v>
      </c>
      <c r="E16370" t="str">
        <v/>
      </c>
      <c r="F16370" t="str">
        <v>-</v>
      </c>
      <c r="G16370" t="str">
        <v>-</v>
      </c>
    </row>
    <row r="16371">
      <c r="B16371" t="str">
        <v>UBND Ủy ban nhân dân xã Sơn Ba  tỉnh Quảng Ngãi</v>
      </c>
      <c r="C16371" t="str">
        <v>-</v>
      </c>
      <c r="D16371" t="str">
        <v>-</v>
      </c>
      <c r="E16371" t="str">
        <v>-</v>
      </c>
      <c r="F16371" t="str">
        <v>-</v>
      </c>
      <c r="G16371" t="str">
        <v>-</v>
      </c>
    </row>
    <row r="16372">
      <c r="B16372" t="str">
        <v>Công an xã Sơn Bua  tỉnh Quảng Ngãi</v>
      </c>
      <c r="C16372" t="str">
        <v>-</v>
      </c>
      <c r="D16372" t="str">
        <v>-</v>
      </c>
      <c r="E16372" t="str">
        <v/>
      </c>
      <c r="F16372" t="str">
        <v>-</v>
      </c>
      <c r="G16372" t="str">
        <v>-</v>
      </c>
    </row>
    <row r="16373">
      <c r="B16373" t="str">
        <v>UBND Ủy ban nhân dân xã Sơn Bua  tỉnh Quảng Ngãi</v>
      </c>
      <c r="C16373" t="str">
        <v>-</v>
      </c>
      <c r="D16373" t="str">
        <v>-</v>
      </c>
      <c r="E16373" t="str">
        <v>-</v>
      </c>
      <c r="F16373" t="str">
        <v>-</v>
      </c>
      <c r="G16373" t="str">
        <v>-</v>
      </c>
    </row>
    <row r="16374">
      <c r="B16374" t="str">
        <v>Công an xã Sơn Mùa  tỉnh Quảng Ngãi</v>
      </c>
      <c r="C16374" t="str">
        <v>-</v>
      </c>
      <c r="D16374" t="str">
        <v>-</v>
      </c>
      <c r="E16374" t="str">
        <v/>
      </c>
      <c r="F16374" t="str">
        <v>-</v>
      </c>
      <c r="G16374" t="str">
        <v>-</v>
      </c>
    </row>
    <row r="16375">
      <c r="B16375" t="str">
        <v>UBND Ủy ban nhân dân xã Sơn Mùa  tỉnh Quảng Ngãi</v>
      </c>
      <c r="C16375" t="str">
        <v>-</v>
      </c>
      <c r="D16375" t="str">
        <v>-</v>
      </c>
      <c r="E16375" t="str">
        <v>-</v>
      </c>
      <c r="F16375" t="str">
        <v>-</v>
      </c>
      <c r="G16375" t="str">
        <v>-</v>
      </c>
    </row>
    <row r="16376">
      <c r="B16376" t="str">
        <v>Công an xã Sơn Liên  tỉnh Quảng Ngãi</v>
      </c>
      <c r="C16376" t="str">
        <v>-</v>
      </c>
      <c r="D16376" t="str">
        <v>-</v>
      </c>
      <c r="E16376" t="str">
        <v/>
      </c>
      <c r="F16376" t="str">
        <v>-</v>
      </c>
      <c r="G16376" t="str">
        <v>-</v>
      </c>
    </row>
    <row r="16377">
      <c r="B16377" t="str">
        <v>UBND Ủy ban nhân dân xã Sơn Liên  tỉnh Quảng Ngãi</v>
      </c>
      <c r="C16377" t="str">
        <v>-</v>
      </c>
      <c r="D16377" t="str">
        <v>-</v>
      </c>
      <c r="E16377" t="str">
        <v>-</v>
      </c>
      <c r="F16377" t="str">
        <v>-</v>
      </c>
      <c r="G16377" t="str">
        <v>-</v>
      </c>
    </row>
    <row r="16378">
      <c r="B16378" t="str">
        <v>Công an xã Sơn Tân  tỉnh Quảng Ngãi</v>
      </c>
      <c r="C16378" t="str">
        <v>-</v>
      </c>
      <c r="D16378" t="str">
        <v>-</v>
      </c>
      <c r="E16378" t="str">
        <v/>
      </c>
      <c r="F16378" t="str">
        <v>-</v>
      </c>
      <c r="G16378" t="str">
        <v>-</v>
      </c>
    </row>
    <row r="16379">
      <c r="B16379" t="str">
        <v>UBND Ủy ban nhân dân xã Sơn Tân  tỉnh Quảng Ngãi</v>
      </c>
      <c r="C16379" t="str">
        <v>-</v>
      </c>
      <c r="D16379" t="str">
        <v>-</v>
      </c>
      <c r="E16379" t="str">
        <v>-</v>
      </c>
      <c r="F16379" t="str">
        <v>-</v>
      </c>
      <c r="G16379" t="str">
        <v>-</v>
      </c>
    </row>
    <row r="16380">
      <c r="B16380" t="str">
        <v>Công an xã Sơn Màu  tỉnh Quảng Ngãi</v>
      </c>
      <c r="C16380" t="str">
        <v>-</v>
      </c>
      <c r="D16380" t="str">
        <v>-</v>
      </c>
      <c r="E16380" t="str">
        <v/>
      </c>
      <c r="F16380" t="str">
        <v>-</v>
      </c>
      <c r="G16380" t="str">
        <v>-</v>
      </c>
    </row>
    <row r="16381">
      <c r="B16381" t="str">
        <v>UBND Ủy ban nhân dân xã Sơn Màu  tỉnh Quảng Ngãi</v>
      </c>
      <c r="C16381" t="str">
        <v>-</v>
      </c>
      <c r="D16381" t="str">
        <v>-</v>
      </c>
      <c r="E16381" t="str">
        <v>-</v>
      </c>
      <c r="F16381" t="str">
        <v>-</v>
      </c>
      <c r="G16381" t="str">
        <v>-</v>
      </c>
    </row>
    <row r="16382">
      <c r="B16382" t="str">
        <v>Công an xã Sơn Dung  tỉnh Quảng Ngãi</v>
      </c>
      <c r="C16382" t="str">
        <v>-</v>
      </c>
      <c r="D16382" t="str">
        <v>-</v>
      </c>
      <c r="E16382" t="str">
        <v/>
      </c>
      <c r="F16382" t="str">
        <v>-</v>
      </c>
      <c r="G16382" t="str">
        <v>-</v>
      </c>
    </row>
    <row r="16383">
      <c r="B16383" t="str">
        <v>UBND Ủy ban nhân dân xã Sơn Dung  tỉnh Quảng Ngãi</v>
      </c>
      <c r="C16383" t="str">
        <v>-</v>
      </c>
      <c r="D16383" t="str">
        <v>-</v>
      </c>
      <c r="E16383" t="str">
        <v>-</v>
      </c>
      <c r="F16383" t="str">
        <v>-</v>
      </c>
      <c r="G16383" t="str">
        <v>-</v>
      </c>
    </row>
    <row r="16384">
      <c r="B16384" t="str">
        <v>Công an xã Sơn Long  tỉnh Quảng Ngãi</v>
      </c>
      <c r="C16384" t="str">
        <v>-</v>
      </c>
      <c r="D16384" t="str">
        <v>-</v>
      </c>
      <c r="E16384" t="str">
        <v/>
      </c>
      <c r="F16384" t="str">
        <v>-</v>
      </c>
      <c r="G16384" t="str">
        <v>-</v>
      </c>
    </row>
    <row r="16385">
      <c r="B16385" t="str">
        <v>UBND Ủy ban nhân dân xã Sơn Long  tỉnh Quảng Ngãi</v>
      </c>
      <c r="C16385" t="str">
        <v>-</v>
      </c>
      <c r="D16385" t="str">
        <v>-</v>
      </c>
      <c r="E16385" t="str">
        <v>-</v>
      </c>
      <c r="F16385" t="str">
        <v>-</v>
      </c>
      <c r="G16385" t="str">
        <v>-</v>
      </c>
    </row>
    <row r="16386">
      <c r="B16386" t="str">
        <v>Công an xã Sơn Tinh  tỉnh Quảng Ngãi</v>
      </c>
      <c r="C16386" t="str">
        <v>-</v>
      </c>
      <c r="D16386" t="str">
        <v>-</v>
      </c>
      <c r="E16386" t="str">
        <v/>
      </c>
      <c r="F16386" t="str">
        <v>-</v>
      </c>
      <c r="G16386" t="str">
        <v>-</v>
      </c>
    </row>
    <row r="16387">
      <c r="B16387" t="str">
        <v>UBND Ủy ban nhân dân xã Sơn Tinh  tỉnh Quảng Ngãi</v>
      </c>
      <c r="C16387" t="str">
        <v>-</v>
      </c>
      <c r="D16387" t="str">
        <v>-</v>
      </c>
      <c r="E16387" t="str">
        <v>-</v>
      </c>
      <c r="F16387" t="str">
        <v>-</v>
      </c>
      <c r="G16387" t="str">
        <v>-</v>
      </c>
    </row>
    <row r="16388">
      <c r="B16388" t="str">
        <v>Công an xã Sơn Lập  tỉnh Quảng Ngãi</v>
      </c>
      <c r="C16388" t="str">
        <v>-</v>
      </c>
      <c r="D16388" t="str">
        <v>-</v>
      </c>
      <c r="E16388" t="str">
        <v/>
      </c>
      <c r="F16388" t="str">
        <v>-</v>
      </c>
      <c r="G16388" t="str">
        <v>-</v>
      </c>
    </row>
    <row r="16389">
      <c r="B16389" t="str">
        <v>UBND Ủy ban nhân dân xã Sơn Lập  tỉnh Quảng Ngãi</v>
      </c>
      <c r="C16389" t="str">
        <v>-</v>
      </c>
      <c r="D16389" t="str">
        <v>-</v>
      </c>
      <c r="E16389" t="str">
        <v>-</v>
      </c>
      <c r="F16389" t="str">
        <v>-</v>
      </c>
      <c r="G16389" t="str">
        <v>-</v>
      </c>
    </row>
    <row r="16390">
      <c r="B16390" t="str">
        <v>Công an xã Long Sơn  tỉnh Quảng Ngãi</v>
      </c>
      <c r="C16390" t="str">
        <v>-</v>
      </c>
      <c r="D16390" t="str">
        <v>-</v>
      </c>
      <c r="E16390" t="str">
        <v/>
      </c>
      <c r="F16390" t="str">
        <v>-</v>
      </c>
      <c r="G16390" t="str">
        <v>-</v>
      </c>
    </row>
    <row r="16391">
      <c r="B16391" t="str">
        <v>UBND Ủy ban nhân dân xã Long Sơn  tỉnh Quảng Ngãi</v>
      </c>
      <c r="C16391" t="str">
        <v>-</v>
      </c>
      <c r="D16391" t="str">
        <v>-</v>
      </c>
      <c r="E16391" t="str">
        <v>-</v>
      </c>
      <c r="F16391" t="str">
        <v>-</v>
      </c>
      <c r="G16391" t="str">
        <v>-</v>
      </c>
    </row>
    <row r="16392">
      <c r="B16392" t="str">
        <v>Công an xã Long Mai  tỉnh Quảng Ngãi</v>
      </c>
      <c r="C16392" t="str">
        <v>-</v>
      </c>
      <c r="D16392" t="str">
        <v>-</v>
      </c>
      <c r="E16392" t="str">
        <v/>
      </c>
      <c r="F16392" t="str">
        <v>-</v>
      </c>
      <c r="G16392" t="str">
        <v>-</v>
      </c>
    </row>
    <row r="16393">
      <c r="B16393" t="str">
        <v>UBND Ủy ban nhân dân xã Long Mai  tỉnh Quảng Ngãi</v>
      </c>
      <c r="C16393" t="str">
        <v>-</v>
      </c>
      <c r="D16393" t="str">
        <v>-</v>
      </c>
      <c r="E16393" t="str">
        <v>-</v>
      </c>
      <c r="F16393" t="str">
        <v>-</v>
      </c>
      <c r="G16393" t="str">
        <v>-</v>
      </c>
    </row>
    <row r="16394">
      <c r="B16394" t="str">
        <v>Công an xã Thanh An  tỉnh Quảng Ngãi</v>
      </c>
      <c r="C16394" t="str">
        <v>-</v>
      </c>
      <c r="D16394" t="str">
        <v>-</v>
      </c>
      <c r="E16394" t="str">
        <v/>
      </c>
      <c r="F16394" t="str">
        <v>-</v>
      </c>
      <c r="G16394" t="str">
        <v>-</v>
      </c>
    </row>
    <row r="16395">
      <c r="B16395" t="str">
        <v>UBND Ủy ban nhân dân xã Thanh An  tỉnh Quảng Ngãi</v>
      </c>
      <c r="C16395" t="str">
        <v>-</v>
      </c>
      <c r="D16395" t="str">
        <v>-</v>
      </c>
      <c r="E16395" t="str">
        <v>-</v>
      </c>
      <c r="F16395" t="str">
        <v>-</v>
      </c>
      <c r="G16395" t="str">
        <v>-</v>
      </c>
    </row>
    <row r="16396">
      <c r="B16396" t="str">
        <v>Công an xã Long Môn  tỉnh Quảng Ngãi</v>
      </c>
      <c r="C16396" t="str">
        <v>-</v>
      </c>
      <c r="D16396" t="str">
        <v>-</v>
      </c>
      <c r="E16396" t="str">
        <v/>
      </c>
      <c r="F16396" t="str">
        <v>-</v>
      </c>
      <c r="G16396" t="str">
        <v>-</v>
      </c>
    </row>
    <row r="16397">
      <c r="B16397" t="str">
        <v>UBND Ủy ban nhân dân xã Long Môn  tỉnh Quảng Ngãi</v>
      </c>
      <c r="C16397" t="str">
        <v>-</v>
      </c>
      <c r="D16397" t="str">
        <v>-</v>
      </c>
      <c r="E16397" t="str">
        <v>-</v>
      </c>
      <c r="F16397" t="str">
        <v>-</v>
      </c>
      <c r="G16397" t="str">
        <v>-</v>
      </c>
    </row>
    <row r="16398">
      <c r="B16398" t="str">
        <v>Công an xã Long Hiệp  tỉnh Quảng Ngãi</v>
      </c>
      <c r="C16398" t="str">
        <v>-</v>
      </c>
      <c r="D16398" t="str">
        <v>-</v>
      </c>
      <c r="E16398" t="str">
        <v/>
      </c>
      <c r="F16398" t="str">
        <v>-</v>
      </c>
      <c r="G16398" t="str">
        <v>-</v>
      </c>
    </row>
    <row r="16399">
      <c r="B16399" t="str">
        <v>UBND Ủy ban nhân dân xã Long Hiệp  tỉnh Quảng Ngãi</v>
      </c>
      <c r="C16399" t="str">
        <v>-</v>
      </c>
      <c r="D16399" t="str">
        <v>-</v>
      </c>
      <c r="E16399" t="str">
        <v>-</v>
      </c>
      <c r="F16399" t="str">
        <v>-</v>
      </c>
      <c r="G16399" t="str">
        <v>-</v>
      </c>
    </row>
    <row r="16400">
      <c r="B16400" t="str">
        <v>Công an xã Hành Thuận  tỉnh Quảng Ngãi</v>
      </c>
      <c r="C16400" t="str">
        <v>-</v>
      </c>
      <c r="D16400" t="str">
        <v>-</v>
      </c>
      <c r="E16400" t="str">
        <v/>
      </c>
      <c r="F16400" t="str">
        <v>-</v>
      </c>
      <c r="G16400" t="str">
        <v>-</v>
      </c>
    </row>
    <row r="16401">
      <c r="B16401" t="str">
        <v>UBND Ủy ban nhân dân xã Hành Thuận  tỉnh Quảng Ngãi</v>
      </c>
      <c r="C16401" t="str">
        <v>-</v>
      </c>
      <c r="D16401" t="str">
        <v>-</v>
      </c>
      <c r="E16401" t="str">
        <v>-</v>
      </c>
      <c r="F16401" t="str">
        <v>-</v>
      </c>
      <c r="G16401" t="str">
        <v>-</v>
      </c>
    </row>
    <row r="16402">
      <c r="B16402" t="str">
        <v>Công an xã Hành Dũng  tỉnh Quảng Ngãi</v>
      </c>
      <c r="C16402" t="str">
        <v>-</v>
      </c>
      <c r="D16402" t="str">
        <v>-</v>
      </c>
      <c r="E16402" t="str">
        <v/>
      </c>
      <c r="F16402" t="str">
        <v>-</v>
      </c>
      <c r="G16402" t="str">
        <v>-</v>
      </c>
    </row>
    <row r="16403">
      <c r="B16403" t="str">
        <v>UBND Ủy ban nhân dân xã Hành Dũng  tỉnh Quảng Ngãi</v>
      </c>
      <c r="C16403" t="str">
        <v>-</v>
      </c>
      <c r="D16403" t="str">
        <v>-</v>
      </c>
      <c r="E16403" t="str">
        <v>-</v>
      </c>
      <c r="F16403" t="str">
        <v>-</v>
      </c>
      <c r="G16403" t="str">
        <v>-</v>
      </c>
    </row>
    <row r="16404">
      <c r="B16404" t="str">
        <v>Công an xã Hành Trung  tỉnh Quảng Ngãi</v>
      </c>
      <c r="C16404" t="str">
        <v>-</v>
      </c>
      <c r="D16404" t="str">
        <v>-</v>
      </c>
      <c r="E16404" t="str">
        <v/>
      </c>
      <c r="F16404" t="str">
        <v>-</v>
      </c>
      <c r="G16404" t="str">
        <v>-</v>
      </c>
    </row>
    <row r="16405">
      <c r="B16405" t="str">
        <v>UBND Ủy ban nhân dân xã Hành Trung  tỉnh Quảng Ngãi</v>
      </c>
      <c r="C16405" t="str">
        <v>-</v>
      </c>
      <c r="D16405" t="str">
        <v>-</v>
      </c>
      <c r="E16405" t="str">
        <v>-</v>
      </c>
      <c r="F16405" t="str">
        <v>-</v>
      </c>
      <c r="G16405" t="str">
        <v>-</v>
      </c>
    </row>
    <row r="16406">
      <c r="B16406" t="str">
        <v>Công an xã Hành Nhân  tỉnh Quảng Ngãi</v>
      </c>
      <c r="C16406" t="str">
        <v>-</v>
      </c>
      <c r="D16406" t="str">
        <v>-</v>
      </c>
      <c r="E16406" t="str">
        <v/>
      </c>
      <c r="F16406" t="str">
        <v>-</v>
      </c>
      <c r="G16406" t="str">
        <v>-</v>
      </c>
    </row>
    <row r="16407">
      <c r="B16407" t="str">
        <v>UBND Ủy ban nhân dân xã Hành Nhân  tỉnh Quảng Ngãi</v>
      </c>
      <c r="C16407" t="str">
        <v>-</v>
      </c>
      <c r="D16407" t="str">
        <v>-</v>
      </c>
      <c r="E16407" t="str">
        <v>-</v>
      </c>
      <c r="F16407" t="str">
        <v>-</v>
      </c>
      <c r="G16407" t="str">
        <v>-</v>
      </c>
    </row>
    <row r="16408">
      <c r="B16408" t="str">
        <v>Công an xã Hành Đức  tỉnh Quảng Ngãi</v>
      </c>
      <c r="C16408" t="str">
        <v>-</v>
      </c>
      <c r="D16408" t="str">
        <v>-</v>
      </c>
      <c r="E16408" t="str">
        <v/>
      </c>
      <c r="F16408" t="str">
        <v>-</v>
      </c>
      <c r="G16408" t="str">
        <v>-</v>
      </c>
    </row>
    <row r="16409">
      <c r="B16409" t="str">
        <v>UBND Ủy ban nhân dân xã Hành Đức  tỉnh Quảng Ngãi</v>
      </c>
      <c r="C16409" t="str">
        <v>-</v>
      </c>
      <c r="D16409" t="str">
        <v>-</v>
      </c>
      <c r="E16409" t="str">
        <v>-</v>
      </c>
      <c r="F16409" t="str">
        <v>-</v>
      </c>
      <c r="G16409" t="str">
        <v>-</v>
      </c>
    </row>
    <row r="16410">
      <c r="B16410" t="str">
        <v>Công an xã Hành Minh  tỉnh Quảng Ngãi</v>
      </c>
      <c r="C16410" t="str">
        <v>-</v>
      </c>
      <c r="D16410" t="str">
        <v>-</v>
      </c>
      <c r="E16410" t="str">
        <v/>
      </c>
      <c r="F16410" t="str">
        <v>-</v>
      </c>
      <c r="G16410" t="str">
        <v>-</v>
      </c>
    </row>
    <row r="16411">
      <c r="B16411" t="str">
        <v>UBND Ủy ban nhân dân xã Hành Minh  tỉnh Quảng Ngãi</v>
      </c>
      <c r="C16411" t="str">
        <v>-</v>
      </c>
      <c r="D16411" t="str">
        <v>-</v>
      </c>
      <c r="E16411" t="str">
        <v>-</v>
      </c>
      <c r="F16411" t="str">
        <v>-</v>
      </c>
      <c r="G16411" t="str">
        <v>-</v>
      </c>
    </row>
    <row r="16412">
      <c r="B16412" t="str">
        <v>Công an xã Hành Phước  tỉnh Quảng Ngãi</v>
      </c>
      <c r="C16412" t="str">
        <v>-</v>
      </c>
      <c r="D16412" t="str">
        <v>-</v>
      </c>
      <c r="E16412" t="str">
        <v/>
      </c>
      <c r="F16412" t="str">
        <v>-</v>
      </c>
      <c r="G16412" t="str">
        <v>-</v>
      </c>
    </row>
    <row r="16413">
      <c r="B16413" t="str">
        <v>UBND Ủy ban nhân dân xã Hành Phước  tỉnh Quảng Ngãi</v>
      </c>
      <c r="C16413" t="str">
        <v>-</v>
      </c>
      <c r="D16413" t="str">
        <v>-</v>
      </c>
      <c r="E16413" t="str">
        <v>-</v>
      </c>
      <c r="F16413" t="str">
        <v>-</v>
      </c>
      <c r="G16413" t="str">
        <v>-</v>
      </c>
    </row>
    <row r="16414">
      <c r="B16414" t="str">
        <v>Công an xã Hành Thiện  tỉnh Quảng Ngãi</v>
      </c>
      <c r="C16414" t="str">
        <v>-</v>
      </c>
      <c r="D16414" t="str">
        <v>-</v>
      </c>
      <c r="E16414" t="str">
        <v/>
      </c>
      <c r="F16414" t="str">
        <v>-</v>
      </c>
      <c r="G16414" t="str">
        <v>-</v>
      </c>
    </row>
    <row r="16415">
      <c r="B16415" t="str">
        <v>UBND Ủy ban nhân dân xã Hành Thiện  tỉnh Quảng Ngãi</v>
      </c>
      <c r="C16415" t="str">
        <v>-</v>
      </c>
      <c r="D16415" t="str">
        <v>-</v>
      </c>
      <c r="E16415" t="str">
        <v>-</v>
      </c>
      <c r="F16415" t="str">
        <v>-</v>
      </c>
      <c r="G16415" t="str">
        <v>-</v>
      </c>
    </row>
    <row r="16416">
      <c r="B16416" t="str">
        <v>Công an xã Hành Thịnh  tỉnh Quảng Ngãi</v>
      </c>
      <c r="C16416" t="str">
        <v>-</v>
      </c>
      <c r="D16416" t="str">
        <v>-</v>
      </c>
      <c r="E16416" t="str">
        <v/>
      </c>
      <c r="F16416" t="str">
        <v>-</v>
      </c>
      <c r="G16416" t="str">
        <v>-</v>
      </c>
    </row>
    <row r="16417">
      <c r="B16417" t="str">
        <v>UBND Ủy ban nhân dân xã Hành Thịnh  tỉnh Quảng Ngãi</v>
      </c>
      <c r="C16417" t="str">
        <v>-</v>
      </c>
      <c r="D16417" t="str">
        <v>-</v>
      </c>
      <c r="E16417" t="str">
        <v>-</v>
      </c>
      <c r="F16417" t="str">
        <v>-</v>
      </c>
      <c r="G16417" t="str">
        <v>-</v>
      </c>
    </row>
    <row r="16418">
      <c r="B16418" t="str">
        <v>Công an xã Hành Tín Tây  tỉnh Quảng Ngãi</v>
      </c>
      <c r="C16418" t="str">
        <v>-</v>
      </c>
      <c r="D16418" t="str">
        <v>-</v>
      </c>
      <c r="E16418" t="str">
        <v/>
      </c>
      <c r="F16418" t="str">
        <v>-</v>
      </c>
      <c r="G16418" t="str">
        <v>-</v>
      </c>
    </row>
    <row r="16419">
      <c r="B16419" t="str">
        <v>UBND Ủy ban nhân dân xã Hành Tín Tây  tỉnh Quảng Ngãi</v>
      </c>
      <c r="C16419" t="str">
        <v>-</v>
      </c>
      <c r="D16419" t="str">
        <v>-</v>
      </c>
      <c r="E16419" t="str">
        <v>-</v>
      </c>
      <c r="F16419" t="str">
        <v>-</v>
      </c>
      <c r="G16419" t="str">
        <v>-</v>
      </c>
    </row>
    <row r="16420">
      <c r="B16420" t="str">
        <v>Công an xã Hành Tín  Đông  tỉnh Quảng Ngãi</v>
      </c>
      <c r="C16420" t="str">
        <v>-</v>
      </c>
      <c r="D16420" t="str">
        <v>-</v>
      </c>
      <c r="E16420" t="str">
        <v/>
      </c>
      <c r="F16420" t="str">
        <v>-</v>
      </c>
      <c r="G16420" t="str">
        <v>-</v>
      </c>
    </row>
    <row r="16421">
      <c r="B16421" t="str">
        <v>UBND Ủy ban nhân dân xã Hành Tín  Đông  tỉnh Quảng Ngãi</v>
      </c>
      <c r="C16421" t="str">
        <v>-</v>
      </c>
      <c r="D16421" t="str">
        <v>-</v>
      </c>
      <c r="E16421" t="str">
        <v>-</v>
      </c>
      <c r="F16421" t="str">
        <v>-</v>
      </c>
      <c r="G16421" t="str">
        <v>-</v>
      </c>
    </row>
    <row r="16422">
      <c r="B16422" t="str">
        <v>Công an xã Đức Lợi  tỉnh Quảng Ngãi</v>
      </c>
      <c r="C16422" t="str">
        <v>-</v>
      </c>
      <c r="D16422" t="str">
        <v>-</v>
      </c>
      <c r="E16422" t="str">
        <v/>
      </c>
      <c r="F16422" t="str">
        <v>-</v>
      </c>
      <c r="G16422" t="str">
        <v>-</v>
      </c>
    </row>
    <row r="16423">
      <c r="B16423" t="str">
        <v>UBND Ủy ban nhân dân xã Đức Lợi  tỉnh Quảng Ngãi</v>
      </c>
      <c r="C16423" t="str">
        <v>-</v>
      </c>
      <c r="D16423" t="str">
        <v>-</v>
      </c>
      <c r="E16423" t="str">
        <v>-</v>
      </c>
      <c r="F16423" t="str">
        <v>-</v>
      </c>
      <c r="G16423" t="str">
        <v>-</v>
      </c>
    </row>
    <row r="16424">
      <c r="B16424" t="str">
        <v>Công an xã Đức Thắng  tỉnh Quảng Ngãi</v>
      </c>
      <c r="C16424" t="str">
        <v>-</v>
      </c>
      <c r="D16424" t="str">
        <v>-</v>
      </c>
      <c r="E16424" t="str">
        <v/>
      </c>
      <c r="F16424" t="str">
        <v>-</v>
      </c>
      <c r="G16424" t="str">
        <v>-</v>
      </c>
    </row>
    <row r="16425">
      <c r="B16425" t="str">
        <v>UBND Ủy ban nhân dân xã Đức Thắng  tỉnh Quảng Ngãi</v>
      </c>
      <c r="C16425" t="str">
        <v>-</v>
      </c>
      <c r="D16425" t="str">
        <v>-</v>
      </c>
      <c r="E16425" t="str">
        <v>-</v>
      </c>
      <c r="F16425" t="str">
        <v>-</v>
      </c>
      <c r="G16425" t="str">
        <v>-</v>
      </c>
    </row>
    <row r="16426">
      <c r="B16426" t="str">
        <v>Công an xã Đức Nhuận  tỉnh Quảng Ngãi</v>
      </c>
      <c r="C16426" t="str">
        <v>-</v>
      </c>
      <c r="D16426" t="str">
        <v>-</v>
      </c>
      <c r="E16426" t="str">
        <v/>
      </c>
      <c r="F16426" t="str">
        <v>-</v>
      </c>
      <c r="G16426" t="str">
        <v>-</v>
      </c>
    </row>
    <row r="16427">
      <c r="B16427" t="str">
        <v>UBND Ủy ban nhân dân xã Đức Nhuận  tỉnh Quảng Ngãi</v>
      </c>
      <c r="C16427" t="str">
        <v>-</v>
      </c>
      <c r="D16427" t="str">
        <v>-</v>
      </c>
      <c r="E16427" t="str">
        <v>-</v>
      </c>
      <c r="F16427" t="str">
        <v>-</v>
      </c>
      <c r="G16427" t="str">
        <v>-</v>
      </c>
    </row>
    <row r="16428">
      <c r="B16428" t="str">
        <v>Công an xã Đức Chánh  tỉnh Quảng Ngãi</v>
      </c>
      <c r="C16428" t="str">
        <v>-</v>
      </c>
      <c r="D16428" t="str">
        <v>-</v>
      </c>
      <c r="E16428" t="str">
        <v/>
      </c>
      <c r="F16428" t="str">
        <v>-</v>
      </c>
      <c r="G16428" t="str">
        <v>-</v>
      </c>
    </row>
    <row r="16429">
      <c r="B16429" t="str">
        <v>UBND Ủy ban nhân dân xã Đức Chánh  tỉnh Quảng Ngãi</v>
      </c>
      <c r="C16429" t="str">
        <v>-</v>
      </c>
      <c r="D16429" t="str">
        <v>-</v>
      </c>
      <c r="E16429" t="str">
        <v>-</v>
      </c>
      <c r="F16429" t="str">
        <v>-</v>
      </c>
      <c r="G16429" t="str">
        <v>-</v>
      </c>
    </row>
    <row r="16430">
      <c r="B16430" t="str">
        <v>Công an xã Đức Hiệp  tỉnh Quảng Ngãi</v>
      </c>
      <c r="C16430" t="str">
        <v>-</v>
      </c>
      <c r="D16430" t="str">
        <v>-</v>
      </c>
      <c r="E16430" t="str">
        <v/>
      </c>
      <c r="F16430" t="str">
        <v>-</v>
      </c>
      <c r="G16430" t="str">
        <v>-</v>
      </c>
    </row>
    <row r="16431">
      <c r="B16431" t="str">
        <v>UBND Ủy ban nhân dân xã Đức Hiệp  tỉnh Quảng Ngãi</v>
      </c>
      <c r="C16431" t="str">
        <v>-</v>
      </c>
      <c r="D16431" t="str">
        <v>-</v>
      </c>
      <c r="E16431" t="str">
        <v>-</v>
      </c>
      <c r="F16431" t="str">
        <v>-</v>
      </c>
      <c r="G16431" t="str">
        <v>-</v>
      </c>
    </row>
    <row r="16432">
      <c r="B16432" t="str">
        <v>Công an xã Đức Minh  tỉnh Quảng Ngãi</v>
      </c>
      <c r="C16432" t="str">
        <v>-</v>
      </c>
      <c r="D16432" t="str">
        <v>-</v>
      </c>
      <c r="E16432" t="str">
        <v/>
      </c>
      <c r="F16432" t="str">
        <v>-</v>
      </c>
      <c r="G16432" t="str">
        <v>-</v>
      </c>
    </row>
    <row r="16433">
      <c r="B16433" t="str">
        <v>UBND Ủy ban nhân dân xã Đức Minh  tỉnh Quảng Ngãi</v>
      </c>
      <c r="C16433" t="str">
        <v>-</v>
      </c>
      <c r="D16433" t="str">
        <v>-</v>
      </c>
      <c r="E16433" t="str">
        <v>-</v>
      </c>
      <c r="F16433" t="str">
        <v>-</v>
      </c>
      <c r="G16433" t="str">
        <v>-</v>
      </c>
    </row>
    <row r="16434">
      <c r="B16434" t="str">
        <v>Công an xã Đức Thạnh  tỉnh Quảng Ngãi</v>
      </c>
      <c r="C16434" t="str">
        <v>-</v>
      </c>
      <c r="D16434" t="str">
        <v>-</v>
      </c>
      <c r="E16434" t="str">
        <v/>
      </c>
      <c r="F16434" t="str">
        <v>-</v>
      </c>
      <c r="G16434" t="str">
        <v>-</v>
      </c>
    </row>
    <row r="16435">
      <c r="B16435" t="str">
        <v>UBND Ủy ban nhân dân xã Đức Thạnh  tỉnh Quảng Ngãi</v>
      </c>
      <c r="C16435" t="str">
        <v>-</v>
      </c>
      <c r="D16435" t="str">
        <v>-</v>
      </c>
      <c r="E16435" t="str">
        <v>-</v>
      </c>
      <c r="F16435" t="str">
        <v>-</v>
      </c>
      <c r="G16435" t="str">
        <v>-</v>
      </c>
    </row>
    <row r="16436">
      <c r="B16436" t="str">
        <v>Công an xã Đức Hòa  tỉnh Quảng Ngãi</v>
      </c>
      <c r="C16436" t="str">
        <v>-</v>
      </c>
      <c r="D16436" t="str">
        <v>-</v>
      </c>
      <c r="E16436" t="str">
        <v/>
      </c>
      <c r="F16436" t="str">
        <v>-</v>
      </c>
      <c r="G16436" t="str">
        <v>-</v>
      </c>
    </row>
    <row r="16437">
      <c r="B16437" t="str">
        <v>UBND Ủy ban nhân dân xã Đức Hòa  tỉnh Quảng Ngãi</v>
      </c>
      <c r="C16437" t="str">
        <v>-</v>
      </c>
      <c r="D16437" t="str">
        <v>-</v>
      </c>
      <c r="E16437" t="str">
        <v>-</v>
      </c>
      <c r="F16437" t="str">
        <v>-</v>
      </c>
      <c r="G16437" t="str">
        <v>-</v>
      </c>
    </row>
    <row r="16438">
      <c r="B16438" t="str">
        <v>Công an xã Đức Tân  tỉnh Quảng Ngãi</v>
      </c>
      <c r="C16438" t="str">
        <v>-</v>
      </c>
      <c r="D16438" t="str">
        <v>-</v>
      </c>
      <c r="E16438" t="str">
        <v/>
      </c>
      <c r="F16438" t="str">
        <v>-</v>
      </c>
      <c r="G16438" t="str">
        <v>-</v>
      </c>
    </row>
    <row r="16439">
      <c r="B16439" t="str">
        <v>UBND Ủy ban nhân dân xã Đức Tân  tỉnh Quảng Ngãi</v>
      </c>
      <c r="C16439" t="str">
        <v>-</v>
      </c>
      <c r="D16439" t="str">
        <v>-</v>
      </c>
      <c r="E16439" t="str">
        <v>-</v>
      </c>
      <c r="F16439" t="str">
        <v>-</v>
      </c>
      <c r="G16439" t="str">
        <v>-</v>
      </c>
    </row>
    <row r="16440">
      <c r="B16440" t="str">
        <v>Công an xã Đức Phú  tỉnh Quảng Ngãi</v>
      </c>
      <c r="C16440" t="str">
        <v>-</v>
      </c>
      <c r="D16440" t="str">
        <v>-</v>
      </c>
      <c r="E16440" t="str">
        <v/>
      </c>
      <c r="F16440" t="str">
        <v>-</v>
      </c>
      <c r="G16440" t="str">
        <v>-</v>
      </c>
    </row>
    <row r="16441">
      <c r="B16441" t="str">
        <v>UBND Ủy ban nhân dân xã Đức Phú  tỉnh Quảng Ngãi</v>
      </c>
      <c r="C16441" t="str">
        <v>-</v>
      </c>
      <c r="D16441" t="str">
        <v>-</v>
      </c>
      <c r="E16441" t="str">
        <v>-</v>
      </c>
      <c r="F16441" t="str">
        <v>-</v>
      </c>
      <c r="G16441" t="str">
        <v>-</v>
      </c>
    </row>
    <row r="16442">
      <c r="B16442" t="str">
        <v>Công an xã Đức Phong  tỉnh Quảng Ngãi</v>
      </c>
      <c r="C16442" t="str">
        <v>-</v>
      </c>
      <c r="D16442" t="str">
        <v>-</v>
      </c>
      <c r="E16442" t="str">
        <v/>
      </c>
      <c r="F16442" t="str">
        <v>-</v>
      </c>
      <c r="G16442" t="str">
        <v>-</v>
      </c>
    </row>
    <row r="16443">
      <c r="B16443" t="str">
        <v>UBND Ủy ban nhân dân xã Đức Phong  tỉnh Quảng Ngãi</v>
      </c>
      <c r="C16443" t="str">
        <v>-</v>
      </c>
      <c r="D16443" t="str">
        <v>-</v>
      </c>
      <c r="E16443" t="str">
        <v>-</v>
      </c>
      <c r="F16443" t="str">
        <v>-</v>
      </c>
      <c r="G16443" t="str">
        <v>-</v>
      </c>
    </row>
    <row r="16444">
      <c r="B16444" t="str">
        <v>Công an xã Đức Lân  tỉnh Quảng Ngãi</v>
      </c>
      <c r="C16444" t="str">
        <v>-</v>
      </c>
      <c r="D16444" t="str">
        <v>-</v>
      </c>
      <c r="E16444" t="str">
        <v/>
      </c>
      <c r="F16444" t="str">
        <v>-</v>
      </c>
      <c r="G16444" t="str">
        <v>-</v>
      </c>
    </row>
    <row r="16445">
      <c r="B16445" t="str">
        <v>UBND Ủy ban nhân dân xã Đức Lân  tỉnh Quảng Ngãi</v>
      </c>
      <c r="C16445" t="str">
        <v>-</v>
      </c>
      <c r="D16445" t="str">
        <v>-</v>
      </c>
      <c r="E16445" t="str">
        <v>-</v>
      </c>
      <c r="F16445" t="str">
        <v>-</v>
      </c>
      <c r="G16445" t="str">
        <v>-</v>
      </c>
    </row>
    <row r="16446">
      <c r="B16446" t="str">
        <v>Công an xã Phổ An  tỉnh Quảng Ngãi</v>
      </c>
      <c r="C16446" t="str">
        <v>-</v>
      </c>
      <c r="D16446" t="str">
        <v>-</v>
      </c>
      <c r="E16446" t="str">
        <v/>
      </c>
      <c r="F16446" t="str">
        <v>-</v>
      </c>
      <c r="G16446" t="str">
        <v>-</v>
      </c>
    </row>
    <row r="16447">
      <c r="B16447" t="str">
        <v>UBND Ủy ban nhân dân xã Phổ An  tỉnh Quảng Ngãi</v>
      </c>
      <c r="C16447" t="str">
        <v>-</v>
      </c>
      <c r="D16447" t="str">
        <v>-</v>
      </c>
      <c r="E16447" t="str">
        <v>-</v>
      </c>
      <c r="F16447" t="str">
        <v>-</v>
      </c>
      <c r="G16447" t="str">
        <v>-</v>
      </c>
    </row>
    <row r="16448">
      <c r="B16448" t="str">
        <v>Công an xã Phổ Phong  tỉnh Quảng Ngãi</v>
      </c>
      <c r="C16448" t="str">
        <v>-</v>
      </c>
      <c r="D16448" t="str">
        <v>-</v>
      </c>
      <c r="E16448" t="str">
        <v/>
      </c>
      <c r="F16448" t="str">
        <v>-</v>
      </c>
      <c r="G16448" t="str">
        <v>-</v>
      </c>
    </row>
    <row r="16449">
      <c r="B16449" t="str">
        <v>UBND Ủy ban nhân dân xã Phổ Phong  tỉnh Quảng Ngãi</v>
      </c>
      <c r="C16449" t="str">
        <v>-</v>
      </c>
      <c r="D16449" t="str">
        <v>-</v>
      </c>
      <c r="E16449" t="str">
        <v>-</v>
      </c>
      <c r="F16449" t="str">
        <v>-</v>
      </c>
      <c r="G16449" t="str">
        <v>-</v>
      </c>
    </row>
    <row r="16450">
      <c r="B16450" t="str">
        <v>Công an xã Phổ Thuận  tỉnh Quảng Ngãi</v>
      </c>
      <c r="C16450" t="str">
        <v>-</v>
      </c>
      <c r="D16450" t="str">
        <v>-</v>
      </c>
      <c r="E16450" t="str">
        <v/>
      </c>
      <c r="F16450" t="str">
        <v>-</v>
      </c>
      <c r="G16450" t="str">
        <v>-</v>
      </c>
    </row>
    <row r="16451">
      <c r="B16451" t="str">
        <v>UBND Ủy ban nhân dân xã Phổ Thuận  tỉnh Quảng Ngãi</v>
      </c>
      <c r="C16451" t="str">
        <v>-</v>
      </c>
      <c r="D16451" t="str">
        <v>-</v>
      </c>
      <c r="E16451" t="str">
        <v>-</v>
      </c>
      <c r="F16451" t="str">
        <v>-</v>
      </c>
      <c r="G16451" t="str">
        <v>-</v>
      </c>
    </row>
    <row r="16452">
      <c r="B16452" t="str">
        <v>Công an xã Phổ Văn  tỉnh Quảng Ngãi</v>
      </c>
      <c r="C16452" t="str">
        <v>-</v>
      </c>
      <c r="D16452" t="str">
        <v>-</v>
      </c>
      <c r="E16452" t="str">
        <v/>
      </c>
      <c r="F16452" t="str">
        <v>-</v>
      </c>
      <c r="G16452" t="str">
        <v>-</v>
      </c>
    </row>
    <row r="16453">
      <c r="B16453" t="str">
        <v>UBND Ủy ban nhân dân xã Phổ Văn  tỉnh Quảng Ngãi</v>
      </c>
      <c r="C16453" t="str">
        <v>-</v>
      </c>
      <c r="D16453" t="str">
        <v>-</v>
      </c>
      <c r="E16453" t="str">
        <v>-</v>
      </c>
      <c r="F16453" t="str">
        <v>-</v>
      </c>
      <c r="G16453" t="str">
        <v>-</v>
      </c>
    </row>
    <row r="16454">
      <c r="B16454" t="str">
        <v>Công an xã Phổ Quang  tỉnh Quảng Ngãi</v>
      </c>
      <c r="C16454" t="str">
        <v>-</v>
      </c>
      <c r="D16454" t="str">
        <v>-</v>
      </c>
      <c r="E16454" t="str">
        <v/>
      </c>
      <c r="F16454" t="str">
        <v>-</v>
      </c>
      <c r="G16454" t="str">
        <v>-</v>
      </c>
    </row>
    <row r="16455">
      <c r="B16455" t="str">
        <v>UBND Ủy ban nhân dân xã Phổ Quang  tỉnh Quảng Ngãi</v>
      </c>
      <c r="C16455" t="str">
        <v>-</v>
      </c>
      <c r="D16455" t="str">
        <v>-</v>
      </c>
      <c r="E16455" t="str">
        <v>-</v>
      </c>
      <c r="F16455" t="str">
        <v>-</v>
      </c>
      <c r="G16455" t="str">
        <v>-</v>
      </c>
    </row>
    <row r="16456">
      <c r="B16456" t="str">
        <v>Công an xã Phổ Nhơn  tỉnh Quảng Ngãi</v>
      </c>
      <c r="C16456" t="str">
        <v>-</v>
      </c>
      <c r="D16456" t="str">
        <v>-</v>
      </c>
      <c r="E16456" t="str">
        <v/>
      </c>
      <c r="F16456" t="str">
        <v>-</v>
      </c>
      <c r="G16456" t="str">
        <v>-</v>
      </c>
    </row>
    <row r="16457">
      <c r="B16457" t="str">
        <v>UBND Ủy ban nhân dân xã Phổ Nhơn  tỉnh Quảng Ngãi</v>
      </c>
      <c r="C16457" t="str">
        <v>-</v>
      </c>
      <c r="D16457" t="str">
        <v>-</v>
      </c>
      <c r="E16457" t="str">
        <v>-</v>
      </c>
      <c r="F16457" t="str">
        <v>-</v>
      </c>
      <c r="G16457" t="str">
        <v>-</v>
      </c>
    </row>
    <row r="16458">
      <c r="B16458" t="str">
        <v>Công an xã Phổ Ninh  tỉnh Quảng Ngãi</v>
      </c>
      <c r="C16458" t="str">
        <v>-</v>
      </c>
      <c r="D16458" t="str">
        <v>-</v>
      </c>
      <c r="E16458" t="str">
        <v/>
      </c>
      <c r="F16458" t="str">
        <v>-</v>
      </c>
      <c r="G16458" t="str">
        <v>-</v>
      </c>
    </row>
    <row r="16459">
      <c r="B16459" t="str">
        <v>UBND Ủy ban nhân dân xã Phổ Ninh  tỉnh Quảng Ngãi</v>
      </c>
      <c r="C16459" t="str">
        <v>-</v>
      </c>
      <c r="D16459" t="str">
        <v>-</v>
      </c>
      <c r="E16459" t="str">
        <v>-</v>
      </c>
      <c r="F16459" t="str">
        <v>-</v>
      </c>
      <c r="G16459" t="str">
        <v>-</v>
      </c>
    </row>
    <row r="16460">
      <c r="B16460" t="str">
        <v>Công an xã Phổ Minh  tỉnh Quảng Ngãi</v>
      </c>
      <c r="C16460" t="str">
        <v>-</v>
      </c>
      <c r="D16460" t="str">
        <v>-</v>
      </c>
      <c r="E16460" t="str">
        <v/>
      </c>
      <c r="F16460" t="str">
        <v>-</v>
      </c>
      <c r="G16460" t="str">
        <v>-</v>
      </c>
    </row>
    <row r="16461">
      <c r="B16461" t="str">
        <v>UBND Ủy ban nhân dân xã Phổ Minh  tỉnh Quảng Ngãi</v>
      </c>
      <c r="C16461" t="str">
        <v>-</v>
      </c>
      <c r="D16461" t="str">
        <v>-</v>
      </c>
      <c r="E16461" t="str">
        <v>-</v>
      </c>
      <c r="F16461" t="str">
        <v>-</v>
      </c>
      <c r="G16461" t="str">
        <v>-</v>
      </c>
    </row>
    <row r="16462">
      <c r="B16462" t="str">
        <v>Công an xã Phổ Vinh  tỉnh Quảng Ngãi</v>
      </c>
      <c r="C16462" t="str">
        <v>-</v>
      </c>
      <c r="D16462" t="str">
        <v>-</v>
      </c>
      <c r="E16462" t="str">
        <v/>
      </c>
      <c r="F16462" t="str">
        <v>-</v>
      </c>
      <c r="G16462" t="str">
        <v>-</v>
      </c>
    </row>
    <row r="16463">
      <c r="B16463" t="str">
        <v>UBND Ủy ban nhân dân xã Phổ Vinh  tỉnh Quảng Ngãi</v>
      </c>
      <c r="C16463" t="str">
        <v>-</v>
      </c>
      <c r="D16463" t="str">
        <v>-</v>
      </c>
      <c r="E16463" t="str">
        <v>-</v>
      </c>
      <c r="F16463" t="str">
        <v>-</v>
      </c>
      <c r="G16463" t="str">
        <v>-</v>
      </c>
    </row>
    <row r="16464">
      <c r="B16464" t="str">
        <v>Công an xã Phổ Hòa  tỉnh Quảng Ngãi</v>
      </c>
      <c r="C16464" t="str">
        <v>-</v>
      </c>
      <c r="D16464" t="str">
        <v>-</v>
      </c>
      <c r="E16464" t="str">
        <v/>
      </c>
      <c r="F16464" t="str">
        <v>-</v>
      </c>
      <c r="G16464" t="str">
        <v>-</v>
      </c>
    </row>
    <row r="16465">
      <c r="B16465" t="str">
        <v>UBND Ủy ban nhân dân xã Phổ Hòa  tỉnh Quảng Ngãi</v>
      </c>
      <c r="C16465" t="str">
        <v>-</v>
      </c>
      <c r="D16465" t="str">
        <v>-</v>
      </c>
      <c r="E16465" t="str">
        <v>-</v>
      </c>
      <c r="F16465" t="str">
        <v>-</v>
      </c>
      <c r="G16465" t="str">
        <v>-</v>
      </c>
    </row>
    <row r="16466">
      <c r="B16466" t="str">
        <v>Công an xã Phổ Cường  tỉnh Quảng Ngãi</v>
      </c>
      <c r="C16466" t="str">
        <v>-</v>
      </c>
      <c r="D16466" t="str">
        <v>-</v>
      </c>
      <c r="E16466" t="str">
        <v/>
      </c>
      <c r="F16466" t="str">
        <v>-</v>
      </c>
      <c r="G16466" t="str">
        <v>-</v>
      </c>
    </row>
    <row r="16467">
      <c r="B16467" t="str">
        <v>UBND Ủy ban nhân dân xã Phổ Cường  tỉnh Quảng Ngãi</v>
      </c>
      <c r="C16467" t="str">
        <v>-</v>
      </c>
      <c r="D16467" t="str">
        <v>-</v>
      </c>
      <c r="E16467" t="str">
        <v>-</v>
      </c>
      <c r="F16467" t="str">
        <v>-</v>
      </c>
      <c r="G16467" t="str">
        <v>-</v>
      </c>
    </row>
    <row r="16468">
      <c r="B16468" t="str">
        <v>Công an xã Phổ Khánh  tỉnh Quảng Ngãi</v>
      </c>
      <c r="C16468" t="str">
        <v>-</v>
      </c>
      <c r="D16468" t="str">
        <v>-</v>
      </c>
      <c r="E16468" t="str">
        <v/>
      </c>
      <c r="F16468" t="str">
        <v>-</v>
      </c>
      <c r="G16468" t="str">
        <v>-</v>
      </c>
    </row>
    <row r="16469">
      <c r="B16469" t="str">
        <v>UBND Ủy ban nhân dân xã Phổ Khánh  tỉnh Quảng Ngãi</v>
      </c>
      <c r="C16469" t="str">
        <v>-</v>
      </c>
      <c r="D16469" t="str">
        <v>-</v>
      </c>
      <c r="E16469" t="str">
        <v>-</v>
      </c>
      <c r="F16469" t="str">
        <v>-</v>
      </c>
      <c r="G16469" t="str">
        <v>-</v>
      </c>
    </row>
    <row r="16470">
      <c r="B16470" t="str">
        <v>Công an xã Phổ Thạnh  tỉnh Quảng Ngãi</v>
      </c>
      <c r="C16470" t="str">
        <v>-</v>
      </c>
      <c r="D16470" t="str">
        <v>-</v>
      </c>
      <c r="E16470" t="str">
        <v/>
      </c>
      <c r="F16470" t="str">
        <v>-</v>
      </c>
      <c r="G16470" t="str">
        <v>-</v>
      </c>
    </row>
    <row r="16471">
      <c r="B16471" t="str">
        <v>UBND Ủy ban nhân dân xã Phổ Thạnh  tỉnh Quảng Ngãi</v>
      </c>
      <c r="C16471" t="str">
        <v>-</v>
      </c>
      <c r="D16471" t="str">
        <v>-</v>
      </c>
      <c r="E16471" t="str">
        <v>-</v>
      </c>
      <c r="F16471" t="str">
        <v>-</v>
      </c>
      <c r="G16471" t="str">
        <v>-</v>
      </c>
    </row>
    <row r="16472">
      <c r="B16472" t="str">
        <v>Công an xã Phổ Châu  tỉnh Quảng Ngãi</v>
      </c>
      <c r="C16472" t="str">
        <v>-</v>
      </c>
      <c r="D16472" t="str">
        <v>-</v>
      </c>
      <c r="E16472" t="str">
        <v/>
      </c>
      <c r="F16472" t="str">
        <v>-</v>
      </c>
      <c r="G16472" t="str">
        <v>-</v>
      </c>
    </row>
    <row r="16473">
      <c r="B16473" t="str">
        <v>UBND Ủy ban nhân dân xã Phổ Châu  tỉnh Quảng Ngãi</v>
      </c>
      <c r="C16473" t="str">
        <v>-</v>
      </c>
      <c r="D16473" t="str">
        <v>-</v>
      </c>
      <c r="E16473" t="str">
        <v>-</v>
      </c>
      <c r="F16473" t="str">
        <v>-</v>
      </c>
      <c r="G16473" t="str">
        <v>-</v>
      </c>
    </row>
    <row r="16474">
      <c r="B16474" t="str">
        <v>Công an xã Ba Điền  tỉnh Quảng Ngãi</v>
      </c>
      <c r="C16474" t="str">
        <v>-</v>
      </c>
      <c r="D16474" t="str">
        <v>-</v>
      </c>
      <c r="E16474" t="str">
        <v/>
      </c>
      <c r="F16474" t="str">
        <v>-</v>
      </c>
      <c r="G16474" t="str">
        <v>-</v>
      </c>
    </row>
    <row r="16475">
      <c r="B16475" t="str">
        <v>UBND Ủy ban nhân dân xã Ba Điền  tỉnh Quảng Ngãi</v>
      </c>
      <c r="C16475" t="str">
        <v>-</v>
      </c>
      <c r="D16475" t="str">
        <v>-</v>
      </c>
      <c r="E16475" t="str">
        <v>-</v>
      </c>
      <c r="F16475" t="str">
        <v>-</v>
      </c>
      <c r="G16475" t="str">
        <v>-</v>
      </c>
    </row>
    <row r="16476">
      <c r="B16476" t="str">
        <v>Công an xã Ba Vinh  tỉnh Quảng Ngãi</v>
      </c>
      <c r="C16476" t="str">
        <v>-</v>
      </c>
      <c r="D16476" t="str">
        <v>-</v>
      </c>
      <c r="E16476" t="str">
        <v/>
      </c>
      <c r="F16476" t="str">
        <v>-</v>
      </c>
      <c r="G16476" t="str">
        <v>-</v>
      </c>
    </row>
    <row r="16477">
      <c r="B16477" t="str">
        <v>UBND Ủy ban nhân dân xã Ba Vinh  tỉnh Quảng Ngãi</v>
      </c>
      <c r="C16477" t="str">
        <v>-</v>
      </c>
      <c r="D16477" t="str">
        <v>-</v>
      </c>
      <c r="E16477" t="str">
        <v>-</v>
      </c>
      <c r="F16477" t="str">
        <v>-</v>
      </c>
      <c r="G16477" t="str">
        <v>-</v>
      </c>
    </row>
    <row r="16478">
      <c r="B16478" t="str">
        <v>Công an xã Ba Thành  tỉnh Quảng Ngãi</v>
      </c>
      <c r="C16478" t="str">
        <v>-</v>
      </c>
      <c r="D16478" t="str">
        <v>-</v>
      </c>
      <c r="E16478" t="str">
        <v/>
      </c>
      <c r="F16478" t="str">
        <v>-</v>
      </c>
      <c r="G16478" t="str">
        <v>-</v>
      </c>
    </row>
    <row r="16479">
      <c r="B16479" t="str">
        <v>UBND Ủy ban nhân dân xã Ba Thành  tỉnh Quảng Ngãi</v>
      </c>
      <c r="C16479" t="str">
        <v>-</v>
      </c>
      <c r="D16479" t="str">
        <v>-</v>
      </c>
      <c r="E16479" t="str">
        <v>-</v>
      </c>
      <c r="F16479" t="str">
        <v>-</v>
      </c>
      <c r="G16479" t="str">
        <v>-</v>
      </c>
    </row>
    <row r="16480">
      <c r="B16480" t="str">
        <v>Công an xã Ba Động  tỉnh Quảng Ngãi</v>
      </c>
      <c r="C16480" t="str">
        <v>-</v>
      </c>
      <c r="D16480" t="str">
        <v>-</v>
      </c>
      <c r="E16480" t="str">
        <v/>
      </c>
      <c r="F16480" t="str">
        <v>-</v>
      </c>
      <c r="G16480" t="str">
        <v>-</v>
      </c>
    </row>
    <row r="16481">
      <c r="B16481" t="str">
        <v>UBND Ủy ban nhân dân xã Ba Động  tỉnh Quảng Ngãi</v>
      </c>
      <c r="C16481" t="str">
        <v>-</v>
      </c>
      <c r="D16481" t="str">
        <v>-</v>
      </c>
      <c r="E16481" t="str">
        <v>-</v>
      </c>
      <c r="F16481" t="str">
        <v>-</v>
      </c>
      <c r="G16481" t="str">
        <v>-</v>
      </c>
    </row>
    <row r="16482">
      <c r="B16482" t="str">
        <v>Công an xã Ba Dinh  tỉnh Quảng Ngãi</v>
      </c>
      <c r="C16482" t="str">
        <v>-</v>
      </c>
      <c r="D16482" t="str">
        <v>-</v>
      </c>
      <c r="E16482" t="str">
        <v/>
      </c>
      <c r="F16482" t="str">
        <v>-</v>
      </c>
      <c r="G16482" t="str">
        <v>-</v>
      </c>
    </row>
    <row r="16483">
      <c r="B16483" t="str">
        <v>UBND Ủy ban nhân dân xã Ba Dinh  tỉnh Quảng Ngãi</v>
      </c>
      <c r="C16483" t="str">
        <v>-</v>
      </c>
      <c r="D16483" t="str">
        <v>-</v>
      </c>
      <c r="E16483" t="str">
        <v>-</v>
      </c>
      <c r="F16483" t="str">
        <v>-</v>
      </c>
      <c r="G16483" t="str">
        <v>-</v>
      </c>
    </row>
    <row r="16484">
      <c r="B16484" t="str">
        <v>Công an xã Ba Giang  tỉnh Quảng Ngãi</v>
      </c>
      <c r="C16484" t="str">
        <v>-</v>
      </c>
      <c r="D16484" t="str">
        <v>-</v>
      </c>
      <c r="E16484" t="str">
        <v/>
      </c>
      <c r="F16484" t="str">
        <v>-</v>
      </c>
      <c r="G16484" t="str">
        <v>-</v>
      </c>
    </row>
    <row r="16485">
      <c r="B16485" t="str">
        <v>UBND Ủy ban nhân dân xã Ba Giang  tỉnh Quảng Ngãi</v>
      </c>
      <c r="C16485" t="str">
        <v>-</v>
      </c>
      <c r="D16485" t="str">
        <v>-</v>
      </c>
      <c r="E16485" t="str">
        <v>-</v>
      </c>
      <c r="F16485" t="str">
        <v>-</v>
      </c>
      <c r="G16485" t="str">
        <v>-</v>
      </c>
    </row>
    <row r="16486">
      <c r="B16486" t="str">
        <v>Công an xã Ba Liên  tỉnh Quảng Ngãi</v>
      </c>
      <c r="C16486" t="str">
        <v>-</v>
      </c>
      <c r="D16486" t="str">
        <v>-</v>
      </c>
      <c r="E16486" t="str">
        <v/>
      </c>
      <c r="F16486" t="str">
        <v>-</v>
      </c>
      <c r="G16486" t="str">
        <v>-</v>
      </c>
    </row>
    <row r="16487">
      <c r="B16487" t="str">
        <v>UBND Ủy ban nhân dân xã Ba Liên  tỉnh Quảng Ngãi</v>
      </c>
      <c r="C16487" t="str">
        <v>-</v>
      </c>
      <c r="D16487" t="str">
        <v>-</v>
      </c>
      <c r="E16487" t="str">
        <v>-</v>
      </c>
      <c r="F16487" t="str">
        <v>-</v>
      </c>
      <c r="G16487" t="str">
        <v>-</v>
      </c>
    </row>
    <row r="16488">
      <c r="B16488" t="str">
        <v>Công an xã Ba Ngạc  tỉnh Quảng Ngãi</v>
      </c>
      <c r="C16488" t="str">
        <v>-</v>
      </c>
      <c r="D16488" t="str">
        <v>-</v>
      </c>
      <c r="E16488" t="str">
        <v/>
      </c>
      <c r="F16488" t="str">
        <v>-</v>
      </c>
      <c r="G16488" t="str">
        <v>-</v>
      </c>
    </row>
    <row r="16489">
      <c r="B16489" t="str">
        <v>UBND Ủy ban nhân dân xã Ba Ngạc  tỉnh Quảng Ngãi</v>
      </c>
      <c r="C16489" t="str">
        <v>-</v>
      </c>
      <c r="D16489" t="str">
        <v>-</v>
      </c>
      <c r="E16489" t="str">
        <v>-</v>
      </c>
      <c r="F16489" t="str">
        <v>-</v>
      </c>
      <c r="G16489" t="str">
        <v>-</v>
      </c>
    </row>
    <row r="16490">
      <c r="B16490" t="str">
        <v>Công an xã Ba Khâm  tỉnh Quảng Ngãi</v>
      </c>
      <c r="C16490" t="str">
        <v>-</v>
      </c>
      <c r="D16490" t="str">
        <v>-</v>
      </c>
      <c r="E16490" t="str">
        <v/>
      </c>
      <c r="F16490" t="str">
        <v>-</v>
      </c>
      <c r="G16490" t="str">
        <v>-</v>
      </c>
    </row>
    <row r="16491">
      <c r="B16491" t="str">
        <v>UBND Ủy ban nhân dân xã Ba Khâm  tỉnh Quảng Ngãi</v>
      </c>
      <c r="C16491" t="str">
        <v>-</v>
      </c>
      <c r="D16491" t="str">
        <v>-</v>
      </c>
      <c r="E16491" t="str">
        <v>-</v>
      </c>
      <c r="F16491" t="str">
        <v>-</v>
      </c>
      <c r="G16491" t="str">
        <v>-</v>
      </c>
    </row>
    <row r="16492">
      <c r="B16492" t="str">
        <v>Công an xã Ba Cung  tỉnh Quảng Ngãi</v>
      </c>
      <c r="C16492" t="str">
        <v>-</v>
      </c>
      <c r="D16492" t="str">
        <v>-</v>
      </c>
      <c r="E16492" t="str">
        <v/>
      </c>
      <c r="F16492" t="str">
        <v>-</v>
      </c>
      <c r="G16492" t="str">
        <v>-</v>
      </c>
    </row>
    <row r="16493">
      <c r="B16493" t="str">
        <v>UBND Ủy ban nhân dân xã Ba Cung  tỉnh Quảng Ngãi</v>
      </c>
      <c r="C16493" t="str">
        <v>-</v>
      </c>
      <c r="D16493" t="str">
        <v>-</v>
      </c>
      <c r="E16493" t="str">
        <v>-</v>
      </c>
      <c r="F16493" t="str">
        <v>-</v>
      </c>
      <c r="G16493" t="str">
        <v>-</v>
      </c>
    </row>
    <row r="16494">
      <c r="B16494" t="str">
        <v>Công an xã Ba Chùa  tỉnh Quảng Ngãi</v>
      </c>
      <c r="C16494" t="str">
        <v>-</v>
      </c>
      <c r="D16494" t="str">
        <v>-</v>
      </c>
      <c r="E16494" t="str">
        <v/>
      </c>
      <c r="F16494" t="str">
        <v>-</v>
      </c>
      <c r="G16494" t="str">
        <v>-</v>
      </c>
    </row>
    <row r="16495">
      <c r="B16495" t="str">
        <v>UBND Ủy ban nhân dân xã Ba Chùa  tỉnh Quảng Ngãi</v>
      </c>
      <c r="C16495" t="str">
        <v>-</v>
      </c>
      <c r="D16495" t="str">
        <v>-</v>
      </c>
      <c r="E16495" t="str">
        <v>-</v>
      </c>
      <c r="F16495" t="str">
        <v>-</v>
      </c>
      <c r="G16495" t="str">
        <v>-</v>
      </c>
    </row>
    <row r="16496">
      <c r="B16496" t="str">
        <v>Công an xã Ba Tiêu  tỉnh Quảng Ngãi</v>
      </c>
      <c r="C16496" t="str">
        <v>-</v>
      </c>
      <c r="D16496" t="str">
        <v>-</v>
      </c>
      <c r="E16496" t="str">
        <v/>
      </c>
      <c r="F16496" t="str">
        <v>-</v>
      </c>
      <c r="G16496" t="str">
        <v>-</v>
      </c>
    </row>
    <row r="16497">
      <c r="B16497" t="str">
        <v>UBND Ủy ban nhân dân xã Ba Tiêu  tỉnh Quảng Ngãi</v>
      </c>
      <c r="C16497" t="str">
        <v>-</v>
      </c>
      <c r="D16497" t="str">
        <v>-</v>
      </c>
      <c r="E16497" t="str">
        <v>-</v>
      </c>
      <c r="F16497" t="str">
        <v>-</v>
      </c>
      <c r="G16497" t="str">
        <v>-</v>
      </c>
    </row>
    <row r="16498">
      <c r="B16498" t="str">
        <v>Công an xã Ba Trang  tỉnh Quảng Ngãi</v>
      </c>
      <c r="C16498" t="str">
        <v>-</v>
      </c>
      <c r="D16498" t="str">
        <v>-</v>
      </c>
      <c r="E16498" t="str">
        <v/>
      </c>
      <c r="F16498" t="str">
        <v>-</v>
      </c>
      <c r="G16498" t="str">
        <v>-</v>
      </c>
    </row>
    <row r="16499">
      <c r="B16499" t="str">
        <v>UBND Ủy ban nhân dân xã Ba Trang  tỉnh Quảng Ngãi</v>
      </c>
      <c r="C16499" t="str">
        <v>-</v>
      </c>
      <c r="D16499" t="str">
        <v>-</v>
      </c>
      <c r="E16499" t="str">
        <v>-</v>
      </c>
      <c r="F16499" t="str">
        <v>-</v>
      </c>
      <c r="G16499" t="str">
        <v>-</v>
      </c>
    </row>
    <row r="16500">
      <c r="B16500" t="str">
        <v>Công an xã Ba Tô  tỉnh Quảng Ngãi</v>
      </c>
      <c r="C16500" t="str">
        <v>-</v>
      </c>
      <c r="D16500" t="str">
        <v>-</v>
      </c>
      <c r="E16500" t="str">
        <v/>
      </c>
      <c r="F16500" t="str">
        <v>-</v>
      </c>
      <c r="G16500" t="str">
        <v>-</v>
      </c>
    </row>
    <row r="16501">
      <c r="B16501" t="str">
        <v>UBND Ủy ban nhân dân xã Ba Tô  tỉnh Quảng Ngãi</v>
      </c>
      <c r="C16501" t="str">
        <v>-</v>
      </c>
      <c r="D16501" t="str">
        <v>-</v>
      </c>
      <c r="E16501" t="str">
        <v>-</v>
      </c>
      <c r="F16501" t="str">
        <v>-</v>
      </c>
      <c r="G16501" t="str">
        <v>-</v>
      </c>
    </row>
    <row r="16502">
      <c r="B16502" t="str">
        <v>Công an xã Ba Bích  tỉnh Quảng Ngãi</v>
      </c>
      <c r="C16502" t="str">
        <v>-</v>
      </c>
      <c r="D16502" t="str">
        <v>-</v>
      </c>
      <c r="E16502" t="str">
        <v/>
      </c>
      <c r="F16502" t="str">
        <v>-</v>
      </c>
      <c r="G16502" t="str">
        <v>-</v>
      </c>
    </row>
    <row r="16503">
      <c r="B16503" t="str">
        <v>UBND Ủy ban nhân dân xã Ba Bích  tỉnh Quảng Ngãi</v>
      </c>
      <c r="C16503" t="str">
        <v>-</v>
      </c>
      <c r="D16503" t="str">
        <v>-</v>
      </c>
      <c r="E16503" t="str">
        <v>-</v>
      </c>
      <c r="F16503" t="str">
        <v>-</v>
      </c>
      <c r="G16503" t="str">
        <v>-</v>
      </c>
    </row>
    <row r="16504">
      <c r="B16504" t="str">
        <v>Công an xã Ba Vì  tỉnh Quảng Ngãi</v>
      </c>
      <c r="C16504" t="str">
        <v>-</v>
      </c>
      <c r="D16504" t="str">
        <v>-</v>
      </c>
      <c r="E16504" t="str">
        <v/>
      </c>
      <c r="F16504" t="str">
        <v>-</v>
      </c>
      <c r="G16504" t="str">
        <v>-</v>
      </c>
    </row>
    <row r="16505">
      <c r="B16505" t="str">
        <v>UBND Ủy ban nhân dân xã Ba Vì  tỉnh Quảng Ngãi</v>
      </c>
      <c r="C16505" t="str">
        <v>-</v>
      </c>
      <c r="D16505" t="str">
        <v>-</v>
      </c>
      <c r="E16505" t="str">
        <v>-</v>
      </c>
      <c r="F16505" t="str">
        <v>-</v>
      </c>
      <c r="G16505" t="str">
        <v>-</v>
      </c>
    </row>
    <row r="16506">
      <c r="B16506" t="str">
        <v>Công an xã Ba Lế  tỉnh Quảng Ngãi</v>
      </c>
      <c r="C16506" t="str">
        <v>-</v>
      </c>
      <c r="D16506" t="str">
        <v>-</v>
      </c>
      <c r="E16506" t="str">
        <v/>
      </c>
      <c r="F16506" t="str">
        <v>-</v>
      </c>
      <c r="G16506" t="str">
        <v>-</v>
      </c>
    </row>
    <row r="16507">
      <c r="B16507" t="str">
        <v>UBND Ủy ban nhân dân xã Ba Lế  tỉnh Quảng Ngãi</v>
      </c>
      <c r="C16507" t="str">
        <v>-</v>
      </c>
      <c r="D16507" t="str">
        <v>-</v>
      </c>
      <c r="E16507" t="str">
        <v>-</v>
      </c>
      <c r="F16507" t="str">
        <v>-</v>
      </c>
      <c r="G16507" t="str">
        <v>-</v>
      </c>
    </row>
    <row r="16508">
      <c r="B16508" t="str">
        <v>Công an xã Ba Nam  tỉnh Quảng Ngãi</v>
      </c>
      <c r="C16508" t="str">
        <v>-</v>
      </c>
      <c r="D16508" t="str">
        <v>-</v>
      </c>
      <c r="E16508" t="str">
        <v/>
      </c>
      <c r="F16508" t="str">
        <v>-</v>
      </c>
      <c r="G16508" t="str">
        <v>-</v>
      </c>
    </row>
    <row r="16509">
      <c r="B16509" t="str">
        <v>UBND Ủy ban nhân dân xã Ba Nam  tỉnh Quảng Ngãi</v>
      </c>
      <c r="C16509" t="str">
        <v>-</v>
      </c>
      <c r="D16509" t="str">
        <v>-</v>
      </c>
      <c r="E16509" t="str">
        <v>-</v>
      </c>
      <c r="F16509" t="str">
        <v>-</v>
      </c>
      <c r="G16509" t="str">
        <v>-</v>
      </c>
    </row>
    <row r="16510">
      <c r="B16510" t="str">
        <v>Công an xã Ba Xa  tỉnh Quảng Ngãi</v>
      </c>
      <c r="C16510" t="str">
        <v>-</v>
      </c>
      <c r="D16510" t="str">
        <v>-</v>
      </c>
      <c r="E16510" t="str">
        <v/>
      </c>
      <c r="F16510" t="str">
        <v>-</v>
      </c>
      <c r="G16510" t="str">
        <v>-</v>
      </c>
    </row>
    <row r="16511">
      <c r="B16511" t="str">
        <v>UBND Ủy ban nhân dân xã Ba Xa  tỉnh Quảng Ngãi</v>
      </c>
      <c r="C16511" t="str">
        <v>-</v>
      </c>
      <c r="D16511" t="str">
        <v>-</v>
      </c>
      <c r="E16511" t="str">
        <v>-</v>
      </c>
      <c r="F16511" t="str">
        <v>-</v>
      </c>
      <c r="G16511" t="str">
        <v>-</v>
      </c>
    </row>
    <row r="16512">
      <c r="B16512" t="str">
        <v>Công an xã An Vĩnh  tỉnh Quảng Ngãi</v>
      </c>
      <c r="C16512" t="str">
        <v>-</v>
      </c>
      <c r="D16512" t="str">
        <v>-</v>
      </c>
      <c r="E16512" t="str">
        <v/>
      </c>
      <c r="F16512" t="str">
        <v>-</v>
      </c>
      <c r="G16512" t="str">
        <v>-</v>
      </c>
    </row>
    <row r="16513">
      <c r="B16513" t="str">
        <v>UBND Ủy ban nhân dân xã An Vĩnh  tỉnh Quảng Ngãi</v>
      </c>
      <c r="C16513" t="str">
        <v>-</v>
      </c>
      <c r="D16513" t="str">
        <v>-</v>
      </c>
      <c r="E16513" t="str">
        <v>-</v>
      </c>
      <c r="F16513" t="str">
        <v>-</v>
      </c>
      <c r="G16513" t="str">
        <v>-</v>
      </c>
    </row>
    <row r="16514">
      <c r="B16514" t="str">
        <v>Công an xã An Hải  tỉnh Quảng Ngãi</v>
      </c>
      <c r="C16514" t="str">
        <v>-</v>
      </c>
      <c r="D16514" t="str">
        <v>-</v>
      </c>
      <c r="E16514" t="str">
        <v/>
      </c>
      <c r="F16514" t="str">
        <v>-</v>
      </c>
      <c r="G16514" t="str">
        <v>-</v>
      </c>
    </row>
    <row r="16515">
      <c r="B16515" t="str">
        <v>UBND Ủy ban nhân dân xã An Hải  tỉnh Quảng Ngãi</v>
      </c>
      <c r="C16515" t="str">
        <v>-</v>
      </c>
      <c r="D16515" t="str">
        <v>-</v>
      </c>
      <c r="E16515" t="str">
        <v>-</v>
      </c>
      <c r="F16515" t="str">
        <v>-</v>
      </c>
      <c r="G16515" t="str">
        <v>-</v>
      </c>
    </row>
    <row r="16516">
      <c r="B16516" t="str">
        <v>Công an xã An Bình  tỉnh Quảng Ngãi</v>
      </c>
      <c r="C16516" t="str">
        <v>-</v>
      </c>
      <c r="D16516" t="str">
        <v>-</v>
      </c>
      <c r="E16516" t="str">
        <v/>
      </c>
      <c r="F16516" t="str">
        <v>-</v>
      </c>
      <c r="G16516" t="str">
        <v>-</v>
      </c>
    </row>
    <row r="16517">
      <c r="B16517" t="str">
        <v>UBND Ủy ban nhân dân xã An Bình  tỉnh Quảng Ngãi</v>
      </c>
      <c r="C16517" t="str">
        <v>-</v>
      </c>
      <c r="D16517" t="str">
        <v>-</v>
      </c>
      <c r="E16517" t="str">
        <v>-</v>
      </c>
      <c r="F16517" t="str">
        <v>-</v>
      </c>
      <c r="G16517" t="str">
        <v>-</v>
      </c>
    </row>
    <row r="16518">
      <c r="B16518" t="str">
        <v>Công an phường Nhơn Bình  tỉnh Bình Định</v>
      </c>
      <c r="C16518" t="str">
        <v>-</v>
      </c>
      <c r="D16518" t="str">
        <v>-</v>
      </c>
      <c r="E16518" t="str">
        <v/>
      </c>
      <c r="F16518" t="str">
        <v>-</v>
      </c>
      <c r="G16518" t="str">
        <v>-</v>
      </c>
    </row>
    <row r="16519">
      <c r="B16519" t="str">
        <v>UBND Ủy ban nhân dân phường Nhơn Bình  tỉnh Bình Định</v>
      </c>
      <c r="C16519" t="str">
        <v>-</v>
      </c>
      <c r="D16519" t="str">
        <v>-</v>
      </c>
      <c r="E16519" t="str">
        <v>-</v>
      </c>
      <c r="F16519" t="str">
        <v>-</v>
      </c>
      <c r="G16519" t="str">
        <v>-</v>
      </c>
    </row>
    <row r="16520">
      <c r="B16520" t="str">
        <v>Công an phường Nhơn Phú  tỉnh Bình Định</v>
      </c>
      <c r="C16520" t="str">
        <v>-</v>
      </c>
      <c r="D16520" t="str">
        <v>-</v>
      </c>
      <c r="E16520" t="str">
        <v/>
      </c>
      <c r="F16520" t="str">
        <v>-</v>
      </c>
      <c r="G16520" t="str">
        <v>-</v>
      </c>
    </row>
    <row r="16521">
      <c r="B16521" t="str">
        <v>UBND Ủy ban nhân dân phường Nhơn Phú  tỉnh Bình Định</v>
      </c>
      <c r="C16521" t="str">
        <v>-</v>
      </c>
      <c r="D16521" t="str">
        <v>-</v>
      </c>
      <c r="E16521" t="str">
        <v>-</v>
      </c>
      <c r="F16521" t="str">
        <v>-</v>
      </c>
      <c r="G16521" t="str">
        <v>-</v>
      </c>
    </row>
    <row r="16522">
      <c r="B16522" t="str">
        <v>Công an phường Đống Đa  tỉnh Bình Định</v>
      </c>
      <c r="C16522" t="str">
        <v>-</v>
      </c>
      <c r="D16522" t="str">
        <v>-</v>
      </c>
      <c r="E16522" t="str">
        <v/>
      </c>
      <c r="F16522" t="str">
        <v>-</v>
      </c>
      <c r="G16522" t="str">
        <v>-</v>
      </c>
    </row>
    <row r="16523">
      <c r="B16523" t="str">
        <v>UBND Ủy ban nhân dân phường Đống Đa  tỉnh Bình Định</v>
      </c>
      <c r="C16523" t="str">
        <v>-</v>
      </c>
      <c r="D16523" t="str">
        <v>-</v>
      </c>
      <c r="E16523" t="str">
        <v>-</v>
      </c>
      <c r="F16523" t="str">
        <v>-</v>
      </c>
      <c r="G16523" t="str">
        <v>-</v>
      </c>
    </row>
    <row r="16524">
      <c r="B16524" t="str">
        <v>Công an phường Trần Quang Diệu  tỉnh Bình Định</v>
      </c>
      <c r="C16524" t="str">
        <v>-</v>
      </c>
      <c r="D16524" t="str">
        <v>-</v>
      </c>
      <c r="E16524" t="str">
        <v/>
      </c>
      <c r="F16524" t="str">
        <v>-</v>
      </c>
      <c r="G16524" t="str">
        <v>-</v>
      </c>
    </row>
    <row r="16525">
      <c r="B16525" t="str">
        <v>UBND Ủy ban nhân dân phường Trần Quang Diệu  tỉnh Bình Định</v>
      </c>
      <c r="C16525" t="str">
        <v>-</v>
      </c>
      <c r="D16525" t="str">
        <v>-</v>
      </c>
      <c r="E16525" t="str">
        <v>-</v>
      </c>
      <c r="F16525" t="str">
        <v>-</v>
      </c>
      <c r="G16525" t="str">
        <v>-</v>
      </c>
    </row>
    <row r="16526">
      <c r="B16526" t="str">
        <v>Công an phường Hải Cảng  tỉnh Bình Định</v>
      </c>
      <c r="C16526" t="str">
        <v>-</v>
      </c>
      <c r="D16526" t="str">
        <v>-</v>
      </c>
      <c r="E16526" t="str">
        <v/>
      </c>
      <c r="F16526" t="str">
        <v>-</v>
      </c>
      <c r="G16526" t="str">
        <v>-</v>
      </c>
    </row>
    <row r="16527">
      <c r="B16527" t="str">
        <v>UBND Ủy ban nhân dân phường Hải Cảng  tỉnh Bình Định</v>
      </c>
      <c r="C16527" t="str">
        <v>-</v>
      </c>
      <c r="D16527" t="str">
        <v>-</v>
      </c>
      <c r="E16527" t="str">
        <v>-</v>
      </c>
      <c r="F16527" t="str">
        <v>-</v>
      </c>
      <c r="G16527" t="str">
        <v>-</v>
      </c>
    </row>
    <row r="16528">
      <c r="B16528" t="str">
        <v>Công an phường Quang Trung  tỉnh Bình Định</v>
      </c>
      <c r="C16528" t="str">
        <v>-</v>
      </c>
      <c r="D16528" t="str">
        <v>-</v>
      </c>
      <c r="E16528" t="str">
        <v/>
      </c>
      <c r="F16528" t="str">
        <v>-</v>
      </c>
      <c r="G16528" t="str">
        <v>-</v>
      </c>
    </row>
    <row r="16529">
      <c r="B16529" t="str">
        <v>UBND Ủy ban nhân dân phường Quang Trung  tỉnh Bình Định</v>
      </c>
      <c r="C16529" t="str">
        <v>-</v>
      </c>
      <c r="D16529" t="str">
        <v>-</v>
      </c>
      <c r="E16529" t="str">
        <v>-</v>
      </c>
      <c r="F16529" t="str">
        <v>-</v>
      </c>
      <c r="G16529" t="str">
        <v>-</v>
      </c>
    </row>
    <row r="16530">
      <c r="B16530" t="str">
        <v>Công an phường Thị Nại  tỉnh Bình Định</v>
      </c>
      <c r="C16530" t="str">
        <v>-</v>
      </c>
      <c r="D16530" t="str">
        <v>-</v>
      </c>
      <c r="E16530" t="str">
        <v/>
      </c>
      <c r="F16530" t="str">
        <v>-</v>
      </c>
      <c r="G16530" t="str">
        <v>-</v>
      </c>
    </row>
    <row r="16531">
      <c r="B16531" t="str">
        <v>UBND Ủy ban nhân dân phường Thị Nại  tỉnh Bình Định</v>
      </c>
      <c r="C16531" t="str">
        <v>-</v>
      </c>
      <c r="D16531" t="str">
        <v>-</v>
      </c>
      <c r="E16531" t="str">
        <v>-</v>
      </c>
      <c r="F16531" t="str">
        <v>-</v>
      </c>
      <c r="G16531" t="str">
        <v>-</v>
      </c>
    </row>
    <row r="16532">
      <c r="B16532" t="str">
        <v>Công an phường Lê Hồng Phong  tỉnh Bình Định</v>
      </c>
      <c r="C16532" t="str">
        <v>-</v>
      </c>
      <c r="D16532" t="str">
        <v>-</v>
      </c>
      <c r="E16532" t="str">
        <v/>
      </c>
      <c r="F16532" t="str">
        <v>-</v>
      </c>
      <c r="G16532" t="str">
        <v>-</v>
      </c>
    </row>
    <row r="16533">
      <c r="B16533" t="str">
        <v>UBND Ủy ban nhân dân phường Lê Hồng Phong  tỉnh Bình Định</v>
      </c>
      <c r="C16533" t="str">
        <v>-</v>
      </c>
      <c r="D16533" t="str">
        <v>-</v>
      </c>
      <c r="E16533" t="str">
        <v>-</v>
      </c>
      <c r="F16533" t="str">
        <v>-</v>
      </c>
      <c r="G16533" t="str">
        <v>-</v>
      </c>
    </row>
    <row r="16534">
      <c r="B16534" t="str">
        <v>Công an phường Trần Hưng Đạo  tỉnh Bình Định</v>
      </c>
      <c r="C16534" t="str">
        <v>-</v>
      </c>
      <c r="D16534" t="str">
        <v>-</v>
      </c>
      <c r="E16534" t="str">
        <v/>
      </c>
      <c r="F16534" t="str">
        <v>-</v>
      </c>
      <c r="G16534" t="str">
        <v>-</v>
      </c>
    </row>
    <row r="16535">
      <c r="B16535" t="str">
        <v>UBND Ủy ban nhân dân phường Trần Hưng Đạo  tỉnh Bình Định</v>
      </c>
      <c r="C16535" t="str">
        <v>-</v>
      </c>
      <c r="D16535" t="str">
        <v>-</v>
      </c>
      <c r="E16535" t="str">
        <v>-</v>
      </c>
      <c r="F16535" t="str">
        <v>-</v>
      </c>
      <c r="G16535" t="str">
        <v>-</v>
      </c>
    </row>
    <row r="16536">
      <c r="B16536" t="str">
        <v>Công an phường Ngô Mây  tỉnh Bình Định</v>
      </c>
      <c r="C16536" t="str">
        <v>-</v>
      </c>
      <c r="D16536" t="str">
        <v>-</v>
      </c>
      <c r="E16536" t="str">
        <v/>
      </c>
      <c r="F16536" t="str">
        <v>-</v>
      </c>
      <c r="G16536" t="str">
        <v>-</v>
      </c>
    </row>
    <row r="16537">
      <c r="B16537" t="str">
        <v>UBND Ủy ban nhân dân phường Ngô Mây  tỉnh Bình Định</v>
      </c>
      <c r="C16537" t="str">
        <v>-</v>
      </c>
      <c r="D16537" t="str">
        <v>-</v>
      </c>
      <c r="E16537" t="str">
        <v>-</v>
      </c>
      <c r="F16537" t="str">
        <v>-</v>
      </c>
      <c r="G16537" t="str">
        <v>-</v>
      </c>
    </row>
    <row r="16538">
      <c r="B16538" t="str">
        <v>Công an phường Lý Thường Kiệt  tỉnh Bình Định</v>
      </c>
      <c r="C16538" t="str">
        <v>-</v>
      </c>
      <c r="D16538" t="str">
        <v>-</v>
      </c>
      <c r="E16538" t="str">
        <v/>
      </c>
      <c r="F16538" t="str">
        <v>-</v>
      </c>
      <c r="G16538" t="str">
        <v>-</v>
      </c>
    </row>
    <row r="16539">
      <c r="B16539" t="str">
        <v>UBND Ủy ban nhân dân phường Lý Thường Kiệt  tỉnh Bình Định</v>
      </c>
      <c r="C16539" t="str">
        <v>-</v>
      </c>
      <c r="D16539" t="str">
        <v>-</v>
      </c>
      <c r="E16539" t="str">
        <v>-</v>
      </c>
      <c r="F16539" t="str">
        <v>-</v>
      </c>
      <c r="G16539" t="str">
        <v>-</v>
      </c>
    </row>
    <row r="16540">
      <c r="B16540" t="str">
        <v>Công an phường Lê Lợi  tỉnh Bình Định</v>
      </c>
      <c r="C16540" t="str">
        <v>-</v>
      </c>
      <c r="D16540" t="str">
        <v>-</v>
      </c>
      <c r="E16540" t="str">
        <v/>
      </c>
      <c r="F16540" t="str">
        <v>-</v>
      </c>
      <c r="G16540" t="str">
        <v>-</v>
      </c>
    </row>
    <row r="16541">
      <c r="B16541" t="str">
        <v>UBND Ủy ban nhân dân phường Lê Lợi  tỉnh Bình Định</v>
      </c>
      <c r="C16541" t="str">
        <v>-</v>
      </c>
      <c r="D16541" t="str">
        <v>-</v>
      </c>
      <c r="E16541" t="str">
        <v>-</v>
      </c>
      <c r="F16541" t="str">
        <v>-</v>
      </c>
      <c r="G16541" t="str">
        <v>-</v>
      </c>
    </row>
    <row r="16542">
      <c r="B16542" t="str">
        <v>Công an phường Trần Phú  tỉnh Bình Định</v>
      </c>
      <c r="C16542" t="str">
        <v>-</v>
      </c>
      <c r="D16542" t="str">
        <v>-</v>
      </c>
      <c r="E16542" t="str">
        <v/>
      </c>
      <c r="F16542" t="str">
        <v>-</v>
      </c>
      <c r="G16542" t="str">
        <v>-</v>
      </c>
    </row>
    <row r="16543">
      <c r="B16543" t="str">
        <v>UBND Ủy ban nhân dân phường Trần Phú  tỉnh Bình Định</v>
      </c>
      <c r="C16543" t="str">
        <v>-</v>
      </c>
      <c r="D16543" t="str">
        <v>-</v>
      </c>
      <c r="E16543" t="str">
        <v>-</v>
      </c>
      <c r="F16543" t="str">
        <v>-</v>
      </c>
      <c r="G16543" t="str">
        <v>-</v>
      </c>
    </row>
    <row r="16544">
      <c r="B16544" t="str">
        <v>Công an phường Bùi Thị Xuân  tỉnh Bình Định</v>
      </c>
      <c r="C16544" t="str">
        <v>-</v>
      </c>
      <c r="D16544" t="str">
        <v>-</v>
      </c>
      <c r="E16544" t="str">
        <v/>
      </c>
      <c r="F16544" t="str">
        <v>-</v>
      </c>
      <c r="G16544" t="str">
        <v>-</v>
      </c>
    </row>
    <row r="16545">
      <c r="B16545" t="str">
        <v>UBND Ủy ban nhân dân phường Bùi Thị Xuân  tỉnh Bình Định</v>
      </c>
      <c r="C16545" t="str">
        <v>-</v>
      </c>
      <c r="D16545" t="str">
        <v>-</v>
      </c>
      <c r="E16545" t="str">
        <v>-</v>
      </c>
      <c r="F16545" t="str">
        <v>-</v>
      </c>
      <c r="G16545" t="str">
        <v>-</v>
      </c>
    </row>
    <row r="16546">
      <c r="B16546" t="str">
        <v>Công an phường Nguyễn Văn Cừ  tỉnh Bình Định</v>
      </c>
      <c r="C16546" t="str">
        <v>-</v>
      </c>
      <c r="D16546" t="str">
        <v>-</v>
      </c>
      <c r="E16546" t="str">
        <v/>
      </c>
      <c r="F16546" t="str">
        <v>-</v>
      </c>
      <c r="G16546" t="str">
        <v>-</v>
      </c>
    </row>
    <row r="16547">
      <c r="B16547" t="str">
        <v>UBND Ủy ban nhân dân phường Nguyễn Văn Cừ  tỉnh Bình Định</v>
      </c>
      <c r="C16547" t="str">
        <v>-</v>
      </c>
      <c r="D16547" t="str">
        <v>-</v>
      </c>
      <c r="E16547" t="str">
        <v>-</v>
      </c>
      <c r="F16547" t="str">
        <v>-</v>
      </c>
      <c r="G16547" t="str">
        <v>-</v>
      </c>
    </row>
    <row r="16548">
      <c r="B16548" t="str">
        <v>Công an phường Ghềnh Ráng  tỉnh Bình Định</v>
      </c>
      <c r="C16548" t="str">
        <v>-</v>
      </c>
      <c r="D16548" t="str">
        <v>-</v>
      </c>
      <c r="E16548" t="str">
        <v/>
      </c>
      <c r="F16548" t="str">
        <v>-</v>
      </c>
      <c r="G16548" t="str">
        <v>-</v>
      </c>
    </row>
    <row r="16549">
      <c r="B16549" t="str">
        <v>UBND Ủy ban nhân dân phường Ghềnh Ráng  tỉnh Bình Định</v>
      </c>
      <c r="C16549" t="str">
        <v>-</v>
      </c>
      <c r="D16549" t="str">
        <v>-</v>
      </c>
      <c r="E16549" t="str">
        <v>-</v>
      </c>
      <c r="F16549" t="str">
        <v>-</v>
      </c>
      <c r="G16549" t="str">
        <v>-</v>
      </c>
    </row>
    <row r="16550">
      <c r="B16550" t="str">
        <v>Công an xã Nhơn Lý  tỉnh Bình Định</v>
      </c>
      <c r="C16550" t="str">
        <v>-</v>
      </c>
      <c r="D16550" t="str">
        <v>-</v>
      </c>
      <c r="E16550" t="str">
        <v/>
      </c>
      <c r="F16550" t="str">
        <v>-</v>
      </c>
      <c r="G16550" t="str">
        <v>-</v>
      </c>
    </row>
    <row r="16551">
      <c r="B16551" t="str">
        <v>UBND Ủy ban nhân dân xã Nhơn Lý  tỉnh Bình Định</v>
      </c>
      <c r="C16551" t="str">
        <v>-</v>
      </c>
      <c r="D16551" t="str">
        <v>-</v>
      </c>
      <c r="E16551" t="str">
        <v>-</v>
      </c>
      <c r="F16551" t="str">
        <v>-</v>
      </c>
      <c r="G16551" t="str">
        <v>-</v>
      </c>
    </row>
    <row r="16552">
      <c r="B16552" t="str">
        <v>Công an xã Nhơn Hội  tỉnh Bình Định</v>
      </c>
      <c r="C16552" t="str">
        <v>-</v>
      </c>
      <c r="D16552" t="str">
        <v>-</v>
      </c>
      <c r="E16552" t="str">
        <v/>
      </c>
      <c r="F16552" t="str">
        <v>-</v>
      </c>
      <c r="G16552" t="str">
        <v>-</v>
      </c>
    </row>
    <row r="16553">
      <c r="B16553" t="str">
        <v>UBND Ủy ban nhân dân xã Nhơn Hội  tỉnh Bình Định</v>
      </c>
      <c r="C16553" t="str">
        <v>-</v>
      </c>
      <c r="D16553" t="str">
        <v>-</v>
      </c>
      <c r="E16553" t="str">
        <v>-</v>
      </c>
      <c r="F16553" t="str">
        <v>-</v>
      </c>
      <c r="G16553" t="str">
        <v>-</v>
      </c>
    </row>
    <row r="16554">
      <c r="B16554" t="str">
        <v>Công an xã Nhơn Hải  tỉnh Bình Định</v>
      </c>
      <c r="C16554" t="str">
        <v>-</v>
      </c>
      <c r="D16554" t="str">
        <v>-</v>
      </c>
      <c r="E16554" t="str">
        <v/>
      </c>
      <c r="F16554" t="str">
        <v>-</v>
      </c>
      <c r="G16554" t="str">
        <v>-</v>
      </c>
    </row>
    <row r="16555">
      <c r="B16555" t="str">
        <v>UBND Ủy ban nhân dân xã Nhơn Hải  tỉnh Bình Định</v>
      </c>
      <c r="C16555" t="str">
        <v>-</v>
      </c>
      <c r="D16555" t="str">
        <v>-</v>
      </c>
      <c r="E16555" t="str">
        <v>-</v>
      </c>
      <c r="F16555" t="str">
        <v>-</v>
      </c>
      <c r="G16555" t="str">
        <v>-</v>
      </c>
    </row>
    <row r="16556">
      <c r="B16556" t="str">
        <v>Công an xã Nhơn Châu  tỉnh Bình Định</v>
      </c>
      <c r="C16556" t="str">
        <v>-</v>
      </c>
      <c r="D16556" t="str">
        <v>-</v>
      </c>
      <c r="E16556" t="str">
        <v/>
      </c>
      <c r="F16556" t="str">
        <v>-</v>
      </c>
      <c r="G16556" t="str">
        <v>-</v>
      </c>
    </row>
    <row r="16557">
      <c r="B16557" t="str">
        <v>UBND Ủy ban nhân dân xã Nhơn Châu  tỉnh Bình Định</v>
      </c>
      <c r="C16557" t="str">
        <v>-</v>
      </c>
      <c r="D16557" t="str">
        <v>-</v>
      </c>
      <c r="E16557" t="str">
        <v>-</v>
      </c>
      <c r="F16557" t="str">
        <v>-</v>
      </c>
      <c r="G16557" t="str">
        <v>-</v>
      </c>
    </row>
    <row r="16558">
      <c r="B16558" t="str">
        <v>Công an xã Phước Mỹ  tỉnh Bình Định</v>
      </c>
      <c r="C16558" t="str">
        <v>-</v>
      </c>
      <c r="D16558" t="str">
        <v>-</v>
      </c>
      <c r="E16558" t="str">
        <v/>
      </c>
      <c r="F16558" t="str">
        <v>-</v>
      </c>
      <c r="G16558" t="str">
        <v>-</v>
      </c>
    </row>
    <row r="16559">
      <c r="B16559" t="str">
        <v>UBND Ủy ban nhân dân xã Phước Mỹ  tỉnh Bình Định</v>
      </c>
      <c r="C16559" t="str">
        <v>-</v>
      </c>
      <c r="D16559" t="str">
        <v>-</v>
      </c>
      <c r="E16559" t="str">
        <v>-</v>
      </c>
      <c r="F16559" t="str">
        <v>-</v>
      </c>
      <c r="G16559" t="str">
        <v>-</v>
      </c>
    </row>
    <row r="16560">
      <c r="B16560" t="str">
        <v>Công an xã An Hưng  tỉnh Bình Định</v>
      </c>
      <c r="C16560" t="str">
        <v>-</v>
      </c>
      <c r="D16560" t="str">
        <v>-</v>
      </c>
      <c r="E16560" t="str">
        <v/>
      </c>
      <c r="F16560" t="str">
        <v>-</v>
      </c>
      <c r="G16560" t="str">
        <v>-</v>
      </c>
    </row>
    <row r="16561">
      <c r="B16561" t="str">
        <v>UBND Ủy ban nhân dân xã An Hưng  tỉnh Bình Định</v>
      </c>
      <c r="C16561" t="str">
        <v>-</v>
      </c>
      <c r="D16561" t="str">
        <v>-</v>
      </c>
      <c r="E16561" t="str">
        <v>-</v>
      </c>
      <c r="F16561" t="str">
        <v>-</v>
      </c>
      <c r="G16561" t="str">
        <v>-</v>
      </c>
    </row>
    <row r="16562">
      <c r="B16562" t="str">
        <v>Công an xã An Trung  tỉnh Bình Định</v>
      </c>
      <c r="C16562" t="str">
        <v>-</v>
      </c>
      <c r="D16562" t="str">
        <v>-</v>
      </c>
      <c r="E16562" t="str">
        <v/>
      </c>
      <c r="F16562" t="str">
        <v>-</v>
      </c>
      <c r="G16562" t="str">
        <v>-</v>
      </c>
    </row>
    <row r="16563">
      <c r="B16563" t="str">
        <v>UBND Ủy ban nhân dân xã An Trung  tỉnh Bình Định</v>
      </c>
      <c r="C16563" t="str">
        <v>-</v>
      </c>
      <c r="D16563" t="str">
        <v>-</v>
      </c>
      <c r="E16563" t="str">
        <v>-</v>
      </c>
      <c r="F16563" t="str">
        <v>-</v>
      </c>
      <c r="G16563" t="str">
        <v>-</v>
      </c>
    </row>
    <row r="16564">
      <c r="B16564" t="str">
        <v>Công an xã An Dũng  tỉnh Bình Định</v>
      </c>
      <c r="C16564" t="str">
        <v>-</v>
      </c>
      <c r="D16564" t="str">
        <v>-</v>
      </c>
      <c r="E16564" t="str">
        <v/>
      </c>
      <c r="F16564" t="str">
        <v>-</v>
      </c>
      <c r="G16564" t="str">
        <v>-</v>
      </c>
    </row>
    <row r="16565">
      <c r="B16565" t="str">
        <v>UBND Ủy ban nhân dân xã An Dũng  tỉnh Bình Định</v>
      </c>
      <c r="C16565" t="str">
        <v>-</v>
      </c>
      <c r="D16565" t="str">
        <v>-</v>
      </c>
      <c r="E16565" t="str">
        <v>-</v>
      </c>
      <c r="F16565" t="str">
        <v>-</v>
      </c>
      <c r="G16565" t="str">
        <v>-</v>
      </c>
    </row>
    <row r="16566">
      <c r="B16566" t="str">
        <v>Công an xã An Vinh  tỉnh Bình Định</v>
      </c>
      <c r="C16566" t="str">
        <v>-</v>
      </c>
      <c r="D16566" t="str">
        <v>-</v>
      </c>
      <c r="E16566" t="str">
        <v/>
      </c>
      <c r="F16566" t="str">
        <v>-</v>
      </c>
      <c r="G16566" t="str">
        <v>-</v>
      </c>
    </row>
    <row r="16567">
      <c r="B16567" t="str">
        <v>UBND Ủy ban nhân dân xã An Vinh  tỉnh Bình Định</v>
      </c>
      <c r="C16567" t="str">
        <v>-</v>
      </c>
      <c r="D16567" t="str">
        <v>-</v>
      </c>
      <c r="E16567" t="str">
        <v>-</v>
      </c>
      <c r="F16567" t="str">
        <v>-</v>
      </c>
      <c r="G16567" t="str">
        <v>-</v>
      </c>
    </row>
    <row r="16568">
      <c r="B16568" t="str">
        <v>Công an xã An Toàn  tỉnh Bình Định</v>
      </c>
      <c r="C16568" t="str">
        <v>-</v>
      </c>
      <c r="D16568" t="str">
        <v>-</v>
      </c>
      <c r="E16568" t="str">
        <v/>
      </c>
      <c r="F16568" t="str">
        <v>-</v>
      </c>
      <c r="G16568" t="str">
        <v>-</v>
      </c>
    </row>
    <row r="16569">
      <c r="B16569" t="str">
        <v>UBND Ủy ban nhân dân xã An Toàn  tỉnh Bình Định</v>
      </c>
      <c r="C16569" t="str">
        <v>-</v>
      </c>
      <c r="D16569" t="str">
        <v>-</v>
      </c>
      <c r="E16569" t="str">
        <v>-</v>
      </c>
      <c r="F16569" t="str">
        <v>-</v>
      </c>
      <c r="G16569" t="str">
        <v>-</v>
      </c>
    </row>
    <row r="16570">
      <c r="B16570" t="str">
        <v>Công an xã An Tân  tỉnh Bình Định</v>
      </c>
      <c r="C16570" t="str">
        <v>-</v>
      </c>
      <c r="D16570" t="str">
        <v>-</v>
      </c>
      <c r="E16570" t="str">
        <v/>
      </c>
      <c r="F16570" t="str">
        <v>-</v>
      </c>
      <c r="G16570" t="str">
        <v>-</v>
      </c>
    </row>
    <row r="16571">
      <c r="B16571" t="str">
        <v>UBND Ủy ban nhân dân xã An Tân  tỉnh Bình Định</v>
      </c>
      <c r="C16571" t="str">
        <v>-</v>
      </c>
      <c r="D16571" t="str">
        <v>-</v>
      </c>
      <c r="E16571" t="str">
        <v>-</v>
      </c>
      <c r="F16571" t="str">
        <v>-</v>
      </c>
      <c r="G16571" t="str">
        <v>-</v>
      </c>
    </row>
    <row r="16572">
      <c r="B16572" t="str">
        <v>Công an xã An Hòa  tỉnh Bình Định</v>
      </c>
      <c r="C16572" t="str">
        <v>-</v>
      </c>
      <c r="D16572" t="str">
        <v>-</v>
      </c>
      <c r="E16572" t="str">
        <v/>
      </c>
      <c r="F16572" t="str">
        <v>-</v>
      </c>
      <c r="G16572" t="str">
        <v>-</v>
      </c>
    </row>
    <row r="16573">
      <c r="B16573" t="str">
        <v>UBND Ủy ban nhân dân xã An Hòa  tỉnh Bình Định</v>
      </c>
      <c r="C16573" t="str">
        <v>-</v>
      </c>
      <c r="D16573" t="str">
        <v>-</v>
      </c>
      <c r="E16573" t="str">
        <v>-</v>
      </c>
      <c r="F16573" t="str">
        <v>-</v>
      </c>
      <c r="G16573" t="str">
        <v>-</v>
      </c>
    </row>
    <row r="16574">
      <c r="B16574" t="str">
        <v>Công an xã An Quang  tỉnh Bình Định</v>
      </c>
      <c r="C16574" t="str">
        <v>-</v>
      </c>
      <c r="D16574" t="str">
        <v>-</v>
      </c>
      <c r="E16574" t="str">
        <v/>
      </c>
      <c r="F16574" t="str">
        <v>-</v>
      </c>
      <c r="G16574" t="str">
        <v>-</v>
      </c>
    </row>
    <row r="16575">
      <c r="B16575" t="str">
        <v>UBND Ủy ban nhân dân xã An Quang  tỉnh Bình Định</v>
      </c>
      <c r="C16575" t="str">
        <v>-</v>
      </c>
      <c r="D16575" t="str">
        <v>-</v>
      </c>
      <c r="E16575" t="str">
        <v>-</v>
      </c>
      <c r="F16575" t="str">
        <v>-</v>
      </c>
      <c r="G16575" t="str">
        <v>-</v>
      </c>
    </row>
    <row r="16576">
      <c r="B16576" t="str">
        <v>Công an xã An Nghĩa  tỉnh Bình Định</v>
      </c>
      <c r="C16576" t="str">
        <v>-</v>
      </c>
      <c r="D16576" t="str">
        <v>-</v>
      </c>
      <c r="E16576" t="str">
        <v/>
      </c>
      <c r="F16576" t="str">
        <v>-</v>
      </c>
      <c r="G16576" t="str">
        <v>-</v>
      </c>
    </row>
    <row r="16577">
      <c r="B16577" t="str">
        <v>UBND Ủy ban nhân dân xã An Nghĩa  tỉnh Bình Định</v>
      </c>
      <c r="C16577" t="str">
        <v>-</v>
      </c>
      <c r="D16577" t="str">
        <v>-</v>
      </c>
      <c r="E16577" t="str">
        <v>-</v>
      </c>
      <c r="F16577" t="str">
        <v>-</v>
      </c>
      <c r="G16577" t="str">
        <v>-</v>
      </c>
    </row>
    <row r="16578">
      <c r="B16578" t="str">
        <v>Công an xã Hoài Sơn  tỉnh Bình Định</v>
      </c>
      <c r="C16578" t="str">
        <v>-</v>
      </c>
      <c r="D16578" t="str">
        <v>-</v>
      </c>
      <c r="E16578" t="str">
        <v/>
      </c>
      <c r="F16578" t="str">
        <v>-</v>
      </c>
      <c r="G16578" t="str">
        <v>-</v>
      </c>
    </row>
    <row r="16579">
      <c r="B16579" t="str">
        <v>UBND Ủy ban nhân dân xã Hoài Sơn  tỉnh Bình Định</v>
      </c>
      <c r="C16579" t="str">
        <v>-</v>
      </c>
      <c r="D16579" t="str">
        <v>-</v>
      </c>
      <c r="E16579" t="str">
        <v>-</v>
      </c>
      <c r="F16579" t="str">
        <v>-</v>
      </c>
      <c r="G16579" t="str">
        <v>-</v>
      </c>
    </row>
    <row r="16580">
      <c r="B16580" t="str">
        <v>Công an xã Hoài Châu Bắc  tỉnh Bình Định</v>
      </c>
      <c r="C16580" t="str">
        <v>-</v>
      </c>
      <c r="D16580" t="str">
        <v>-</v>
      </c>
      <c r="E16580" t="str">
        <v/>
      </c>
      <c r="F16580" t="str">
        <v>-</v>
      </c>
      <c r="G16580" t="str">
        <v>-</v>
      </c>
    </row>
    <row r="16581">
      <c r="B16581" t="str">
        <v>UBND Ủy ban nhân dân xã Hoài Châu Bắc  tỉnh Bình Định</v>
      </c>
      <c r="C16581" t="str">
        <v>-</v>
      </c>
      <c r="D16581" t="str">
        <v>-</v>
      </c>
      <c r="E16581" t="str">
        <v>-</v>
      </c>
      <c r="F16581" t="str">
        <v>-</v>
      </c>
      <c r="G16581" t="str">
        <v>-</v>
      </c>
    </row>
    <row r="16582">
      <c r="B16582" t="str">
        <v>Công an xã Hoài Châu  tỉnh Bình Định</v>
      </c>
      <c r="C16582" t="str">
        <v>-</v>
      </c>
      <c r="D16582" t="str">
        <v>-</v>
      </c>
      <c r="E16582" t="str">
        <v/>
      </c>
      <c r="F16582" t="str">
        <v>-</v>
      </c>
      <c r="G16582" t="str">
        <v>-</v>
      </c>
    </row>
    <row r="16583">
      <c r="B16583" t="str">
        <v>UBND Ủy ban nhân dân xã Hoài Châu  tỉnh Bình Định</v>
      </c>
      <c r="C16583" t="str">
        <v>-</v>
      </c>
      <c r="D16583" t="str">
        <v>-</v>
      </c>
      <c r="E16583" t="str">
        <v>-</v>
      </c>
      <c r="F16583" t="str">
        <v>-</v>
      </c>
      <c r="G16583" t="str">
        <v>-</v>
      </c>
    </row>
    <row r="16584">
      <c r="B16584" t="str">
        <v>Công an xã Hoài Phú  tỉnh Bình Định</v>
      </c>
      <c r="C16584" t="str">
        <v>-</v>
      </c>
      <c r="D16584" t="str">
        <v>-</v>
      </c>
      <c r="E16584" t="str">
        <v/>
      </c>
      <c r="F16584" t="str">
        <v>-</v>
      </c>
      <c r="G16584" t="str">
        <v>-</v>
      </c>
    </row>
    <row r="16585">
      <c r="B16585" t="str">
        <v>UBND Ủy ban nhân dân xã Hoài Phú  tỉnh Bình Định</v>
      </c>
      <c r="C16585" t="str">
        <v>-</v>
      </c>
      <c r="D16585" t="str">
        <v>-</v>
      </c>
      <c r="E16585" t="str">
        <v>-</v>
      </c>
      <c r="F16585" t="str">
        <v>-</v>
      </c>
      <c r="G16585" t="str">
        <v>-</v>
      </c>
    </row>
    <row r="16586">
      <c r="B16586" t="str">
        <v>Công an xã Tam Quan Bắc  tỉnh Bình Định</v>
      </c>
      <c r="C16586" t="str">
        <v>-</v>
      </c>
      <c r="D16586" t="str">
        <v>-</v>
      </c>
      <c r="E16586" t="str">
        <v/>
      </c>
      <c r="F16586" t="str">
        <v>-</v>
      </c>
      <c r="G16586" t="str">
        <v>-</v>
      </c>
    </row>
    <row r="16587">
      <c r="B16587" t="str">
        <v>UBND Ủy ban nhân dân xã Tam Quan Bắc  tỉnh Bình Định</v>
      </c>
      <c r="C16587" t="str">
        <v>-</v>
      </c>
      <c r="D16587" t="str">
        <v>-</v>
      </c>
      <c r="E16587" t="str">
        <v>-</v>
      </c>
      <c r="F16587" t="str">
        <v>-</v>
      </c>
      <c r="G16587" t="str">
        <v>-</v>
      </c>
    </row>
    <row r="16588">
      <c r="B16588" t="str">
        <v>Công an xã Tam Quan Nam  tỉnh Bình Định</v>
      </c>
      <c r="C16588" t="str">
        <v>-</v>
      </c>
      <c r="D16588" t="str">
        <v>-</v>
      </c>
      <c r="E16588" t="str">
        <v/>
      </c>
      <c r="F16588" t="str">
        <v>-</v>
      </c>
      <c r="G16588" t="str">
        <v>-</v>
      </c>
    </row>
    <row r="16589">
      <c r="B16589" t="str">
        <v>UBND Ủy ban nhân dân xã Tam Quan Nam  tỉnh Bình Định</v>
      </c>
      <c r="C16589" t="str">
        <v>-</v>
      </c>
      <c r="D16589" t="str">
        <v>-</v>
      </c>
      <c r="E16589" t="str">
        <v>-</v>
      </c>
      <c r="F16589" t="str">
        <v>-</v>
      </c>
      <c r="G16589" t="str">
        <v>-</v>
      </c>
    </row>
    <row r="16590">
      <c r="B16590" t="str">
        <v>Công an xã Hoài Hảo  tỉnh Bình Định</v>
      </c>
      <c r="C16590" t="str">
        <v>-</v>
      </c>
      <c r="D16590" t="str">
        <v>-</v>
      </c>
      <c r="E16590" t="str">
        <v/>
      </c>
      <c r="F16590" t="str">
        <v>-</v>
      </c>
      <c r="G16590" t="str">
        <v>-</v>
      </c>
    </row>
    <row r="16591">
      <c r="B16591" t="str">
        <v>UBND Ủy ban nhân dân xã Hoài Hảo  tỉnh Bình Định</v>
      </c>
      <c r="C16591" t="str">
        <v>-</v>
      </c>
      <c r="D16591" t="str">
        <v>-</v>
      </c>
      <c r="E16591" t="str">
        <v>-</v>
      </c>
      <c r="F16591" t="str">
        <v>-</v>
      </c>
      <c r="G16591" t="str">
        <v>-</v>
      </c>
    </row>
    <row r="16592">
      <c r="B16592" t="str">
        <v>Công an xã Hoài Thanh Tây  tỉnh Bình Định</v>
      </c>
      <c r="C16592" t="str">
        <v>-</v>
      </c>
      <c r="D16592" t="str">
        <v>-</v>
      </c>
      <c r="E16592" t="str">
        <v/>
      </c>
      <c r="F16592" t="str">
        <v>-</v>
      </c>
      <c r="G16592" t="str">
        <v>-</v>
      </c>
    </row>
    <row r="16593">
      <c r="B16593" t="str">
        <v>UBND Ủy ban nhân dân xã Hoài Thanh Tây  tỉnh Bình Định</v>
      </c>
      <c r="C16593" t="str">
        <v>-</v>
      </c>
      <c r="D16593" t="str">
        <v>-</v>
      </c>
      <c r="E16593" t="str">
        <v>-</v>
      </c>
      <c r="F16593" t="str">
        <v>-</v>
      </c>
      <c r="G16593" t="str">
        <v>-</v>
      </c>
    </row>
    <row r="16594">
      <c r="B16594" t="str">
        <v>Công an xã Hoài Thanh  tỉnh Bình Định</v>
      </c>
      <c r="C16594" t="str">
        <v>-</v>
      </c>
      <c r="D16594" t="str">
        <v>-</v>
      </c>
      <c r="E16594" t="str">
        <v/>
      </c>
      <c r="F16594" t="str">
        <v>-</v>
      </c>
      <c r="G16594" t="str">
        <v>-</v>
      </c>
    </row>
    <row r="16595">
      <c r="B16595" t="str">
        <v>UBND Ủy ban nhân dân xã Hoài Thanh  tỉnh Bình Định</v>
      </c>
      <c r="C16595" t="str">
        <v>-</v>
      </c>
      <c r="D16595" t="str">
        <v>-</v>
      </c>
      <c r="E16595" t="str">
        <v>-</v>
      </c>
      <c r="F16595" t="str">
        <v>-</v>
      </c>
      <c r="G16595" t="str">
        <v>-</v>
      </c>
    </row>
    <row r="16596">
      <c r="B16596" t="str">
        <v>Công an xã Hoài Hương  tỉnh Bình Định</v>
      </c>
      <c r="C16596" t="str">
        <v>-</v>
      </c>
      <c r="D16596" t="str">
        <v>-</v>
      </c>
      <c r="E16596" t="str">
        <v/>
      </c>
      <c r="F16596" t="str">
        <v>-</v>
      </c>
      <c r="G16596" t="str">
        <v>-</v>
      </c>
    </row>
    <row r="16597">
      <c r="B16597" t="str">
        <v>UBND Ủy ban nhân dân xã Hoài Hương  tỉnh Bình Định</v>
      </c>
      <c r="C16597" t="str">
        <v>-</v>
      </c>
      <c r="D16597" t="str">
        <v>-</v>
      </c>
      <c r="E16597" t="str">
        <v>-</v>
      </c>
      <c r="F16597" t="str">
        <v>-</v>
      </c>
      <c r="G16597" t="str">
        <v>-</v>
      </c>
    </row>
    <row r="16598">
      <c r="B16598" t="str">
        <v>Công an xã Hoài Tân  tỉnh Bình Định</v>
      </c>
      <c r="C16598" t="str">
        <v>-</v>
      </c>
      <c r="D16598" t="str">
        <v>-</v>
      </c>
      <c r="E16598" t="str">
        <v/>
      </c>
      <c r="F16598" t="str">
        <v>-</v>
      </c>
      <c r="G16598" t="str">
        <v>-</v>
      </c>
    </row>
    <row r="16599">
      <c r="B16599" t="str">
        <v>UBND Ủy ban nhân dân xã Hoài Tân  tỉnh Bình Định</v>
      </c>
      <c r="C16599" t="str">
        <v>-</v>
      </c>
      <c r="D16599" t="str">
        <v>-</v>
      </c>
      <c r="E16599" t="str">
        <v>-</v>
      </c>
      <c r="F16599" t="str">
        <v>-</v>
      </c>
      <c r="G16599" t="str">
        <v>-</v>
      </c>
    </row>
    <row r="16600">
      <c r="B16600" t="str">
        <v>Công an xã Hoài Hải  tỉnh Bình Định</v>
      </c>
      <c r="C16600" t="str">
        <v>-</v>
      </c>
      <c r="D16600" t="str">
        <v>-</v>
      </c>
      <c r="E16600" t="str">
        <v/>
      </c>
      <c r="F16600" t="str">
        <v>-</v>
      </c>
      <c r="G16600" t="str">
        <v>-</v>
      </c>
    </row>
    <row r="16601">
      <c r="B16601" t="str">
        <v>UBND Ủy ban nhân dân xã Hoài Hải  tỉnh Bình Định</v>
      </c>
      <c r="C16601" t="str">
        <v>-</v>
      </c>
      <c r="D16601" t="str">
        <v>-</v>
      </c>
      <c r="E16601" t="str">
        <v>-</v>
      </c>
      <c r="F16601" t="str">
        <v>-</v>
      </c>
      <c r="G16601" t="str">
        <v>-</v>
      </c>
    </row>
    <row r="16602">
      <c r="B16602" t="str">
        <v>Công an xã Hoài Xuân  tỉnh Bình Định</v>
      </c>
      <c r="C16602" t="str">
        <v>-</v>
      </c>
      <c r="D16602" t="str">
        <v>-</v>
      </c>
      <c r="E16602" t="str">
        <v/>
      </c>
      <c r="F16602" t="str">
        <v>-</v>
      </c>
      <c r="G16602" t="str">
        <v>-</v>
      </c>
    </row>
    <row r="16603">
      <c r="B16603" t="str">
        <v>UBND Ủy ban nhân dân xã Hoài Xuân  tỉnh Bình Định</v>
      </c>
      <c r="C16603" t="str">
        <v>-</v>
      </c>
      <c r="D16603" t="str">
        <v>-</v>
      </c>
      <c r="E16603" t="str">
        <v>-</v>
      </c>
      <c r="F16603" t="str">
        <v>-</v>
      </c>
      <c r="G16603" t="str">
        <v>-</v>
      </c>
    </row>
    <row r="16604">
      <c r="B16604" t="str">
        <v>Công an xã Hoài Mỹ  tỉnh Bình Định</v>
      </c>
      <c r="C16604" t="str">
        <v>-</v>
      </c>
      <c r="D16604" t="str">
        <v>-</v>
      </c>
      <c r="E16604" t="str">
        <v/>
      </c>
      <c r="F16604" t="str">
        <v>-</v>
      </c>
      <c r="G16604" t="str">
        <v>-</v>
      </c>
    </row>
    <row r="16605">
      <c r="B16605" t="str">
        <v>UBND Ủy ban nhân dân xã Hoài Mỹ  tỉnh Bình Định</v>
      </c>
      <c r="C16605" t="str">
        <v>-</v>
      </c>
      <c r="D16605" t="str">
        <v>-</v>
      </c>
      <c r="E16605" t="str">
        <v>-</v>
      </c>
      <c r="F16605" t="str">
        <v>-</v>
      </c>
      <c r="G16605" t="str">
        <v>-</v>
      </c>
    </row>
    <row r="16606">
      <c r="B16606" t="str">
        <v>Công an xã Hoài Đức  tỉnh Bình Định</v>
      </c>
      <c r="C16606" t="str">
        <v>-</v>
      </c>
      <c r="D16606" t="str">
        <v>-</v>
      </c>
      <c r="E16606" t="str">
        <v/>
      </c>
      <c r="F16606" t="str">
        <v>-</v>
      </c>
      <c r="G16606" t="str">
        <v>-</v>
      </c>
    </row>
    <row r="16607">
      <c r="B16607" t="str">
        <v>UBND Ủy ban nhân dân xã Hoài Đức  tỉnh Bình Định</v>
      </c>
      <c r="C16607" t="str">
        <v>-</v>
      </c>
      <c r="D16607" t="str">
        <v>-</v>
      </c>
      <c r="E16607" t="str">
        <v>-</v>
      </c>
      <c r="F16607" t="str">
        <v>-</v>
      </c>
      <c r="G16607" t="str">
        <v>-</v>
      </c>
    </row>
    <row r="16608">
      <c r="B16608" t="str">
        <v>Công an xã Ân Hảo Tây  tỉnh Bình Định</v>
      </c>
      <c r="C16608" t="str">
        <v>-</v>
      </c>
      <c r="D16608" t="str">
        <v>-</v>
      </c>
      <c r="E16608" t="str">
        <v/>
      </c>
      <c r="F16608" t="str">
        <v>-</v>
      </c>
      <c r="G16608" t="str">
        <v>-</v>
      </c>
    </row>
    <row r="16609">
      <c r="B16609" t="str">
        <v>UBND Ủy ban nhân dân xã Ân Hảo Tây  tỉnh Bình Định</v>
      </c>
      <c r="C16609" t="str">
        <v>-</v>
      </c>
      <c r="D16609" t="str">
        <v>-</v>
      </c>
      <c r="E16609" t="str">
        <v>-</v>
      </c>
      <c r="F16609" t="str">
        <v>-</v>
      </c>
      <c r="G16609" t="str">
        <v>-</v>
      </c>
    </row>
    <row r="16610">
      <c r="B16610" t="str">
        <v>Công an xã Ân Hảo Đông  tỉnh Bình Định</v>
      </c>
      <c r="C16610" t="str">
        <v>-</v>
      </c>
      <c r="D16610" t="str">
        <v>-</v>
      </c>
      <c r="E16610" t="str">
        <v/>
      </c>
      <c r="F16610" t="str">
        <v>-</v>
      </c>
      <c r="G16610" t="str">
        <v>-</v>
      </c>
    </row>
    <row r="16611">
      <c r="B16611" t="str">
        <v>UBND Ủy ban nhân dân xã Ân Hảo Đông  tỉnh Bình Định</v>
      </c>
      <c r="C16611" t="str">
        <v>-</v>
      </c>
      <c r="D16611" t="str">
        <v>-</v>
      </c>
      <c r="E16611" t="str">
        <v>-</v>
      </c>
      <c r="F16611" t="str">
        <v>-</v>
      </c>
      <c r="G16611" t="str">
        <v>-</v>
      </c>
    </row>
    <row r="16612">
      <c r="B16612" t="str">
        <v>Công an xã Ân Sơn  tỉnh Bình Định</v>
      </c>
      <c r="C16612" t="str">
        <v>-</v>
      </c>
      <c r="D16612" t="str">
        <v>-</v>
      </c>
      <c r="E16612" t="str">
        <v/>
      </c>
      <c r="F16612" t="str">
        <v>-</v>
      </c>
      <c r="G16612" t="str">
        <v>-</v>
      </c>
    </row>
    <row r="16613">
      <c r="B16613" t="str">
        <v>UBND Ủy ban nhân dân xã Ân Sơn  tỉnh Bình Định</v>
      </c>
      <c r="C16613" t="str">
        <v>-</v>
      </c>
      <c r="D16613" t="str">
        <v>-</v>
      </c>
      <c r="E16613" t="str">
        <v>-</v>
      </c>
      <c r="F16613" t="str">
        <v>-</v>
      </c>
      <c r="G16613" t="str">
        <v>-</v>
      </c>
    </row>
    <row r="16614">
      <c r="B16614" t="str">
        <v>Công an xã Ân Mỹ  tỉnh Bình Định</v>
      </c>
      <c r="C16614" t="str">
        <v>-</v>
      </c>
      <c r="D16614" t="str">
        <v>-</v>
      </c>
      <c r="E16614" t="str">
        <v/>
      </c>
      <c r="F16614" t="str">
        <v>-</v>
      </c>
      <c r="G16614" t="str">
        <v>-</v>
      </c>
    </row>
    <row r="16615">
      <c r="B16615" t="str">
        <v>UBND Ủy ban nhân dân xã Ân Mỹ  tỉnh Bình Định</v>
      </c>
      <c r="C16615" t="str">
        <v>-</v>
      </c>
      <c r="D16615" t="str">
        <v>-</v>
      </c>
      <c r="E16615" t="str">
        <v>-</v>
      </c>
      <c r="F16615" t="str">
        <v>-</v>
      </c>
      <c r="G16615" t="str">
        <v>-</v>
      </c>
    </row>
    <row r="16616">
      <c r="B16616" t="str">
        <v>Công an xã Dak Mang  tỉnh Bình Định</v>
      </c>
      <c r="C16616" t="str">
        <v>-</v>
      </c>
      <c r="D16616" t="str">
        <v>-</v>
      </c>
      <c r="E16616" t="str">
        <v/>
      </c>
      <c r="F16616" t="str">
        <v>-</v>
      </c>
      <c r="G16616" t="str">
        <v>-</v>
      </c>
    </row>
    <row r="16617">
      <c r="B16617" t="str">
        <v>UBND Ủy ban nhân dân xã Dak Mang  tỉnh Bình Định</v>
      </c>
      <c r="C16617" t="str">
        <v>-</v>
      </c>
      <c r="D16617" t="str">
        <v>-</v>
      </c>
      <c r="E16617" t="str">
        <v>-</v>
      </c>
      <c r="F16617" t="str">
        <v>-</v>
      </c>
      <c r="G16617" t="str">
        <v>-</v>
      </c>
    </row>
    <row r="16618">
      <c r="B16618" t="str">
        <v>Công an xã Ân Tín  tỉnh Bình Định</v>
      </c>
      <c r="C16618" t="str">
        <v>-</v>
      </c>
      <c r="D16618" t="str">
        <v>-</v>
      </c>
      <c r="E16618" t="str">
        <v/>
      </c>
      <c r="F16618" t="str">
        <v>-</v>
      </c>
      <c r="G16618" t="str">
        <v>-</v>
      </c>
    </row>
    <row r="16619">
      <c r="B16619" t="str">
        <v>UBND Ủy ban nhân dân xã Ân Tín  tỉnh Bình Định</v>
      </c>
      <c r="C16619" t="str">
        <v>-</v>
      </c>
      <c r="D16619" t="str">
        <v>-</v>
      </c>
      <c r="E16619" t="str">
        <v>-</v>
      </c>
      <c r="F16619" t="str">
        <v>-</v>
      </c>
      <c r="G16619" t="str">
        <v>-</v>
      </c>
    </row>
    <row r="16620">
      <c r="B16620" t="str">
        <v>Công an xã Ân Thạnh  tỉnh Bình Định</v>
      </c>
      <c r="C16620" t="str">
        <v>-</v>
      </c>
      <c r="D16620" t="str">
        <v>-</v>
      </c>
      <c r="E16620" t="str">
        <v/>
      </c>
      <c r="F16620" t="str">
        <v>-</v>
      </c>
      <c r="G16620" t="str">
        <v>-</v>
      </c>
    </row>
    <row r="16621">
      <c r="B16621" t="str">
        <v>UBND Ủy ban nhân dân xã Ân Thạnh  tỉnh Bình Định</v>
      </c>
      <c r="C16621" t="str">
        <v>-</v>
      </c>
      <c r="D16621" t="str">
        <v>-</v>
      </c>
      <c r="E16621" t="str">
        <v>-</v>
      </c>
      <c r="F16621" t="str">
        <v>-</v>
      </c>
      <c r="G16621" t="str">
        <v>-</v>
      </c>
    </row>
    <row r="16622">
      <c r="B16622" t="str">
        <v>Công an xã Ân Phong  tỉnh Bình Định</v>
      </c>
      <c r="C16622" t="str">
        <v>-</v>
      </c>
      <c r="D16622" t="str">
        <v>-</v>
      </c>
      <c r="E16622" t="str">
        <v/>
      </c>
      <c r="F16622" t="str">
        <v>-</v>
      </c>
      <c r="G16622" t="str">
        <v>-</v>
      </c>
    </row>
    <row r="16623">
      <c r="B16623" t="str">
        <v>UBND Ủy ban nhân dân xã Ân Phong  tỉnh Bình Định</v>
      </c>
      <c r="C16623" t="str">
        <v>-</v>
      </c>
      <c r="D16623" t="str">
        <v>-</v>
      </c>
      <c r="E16623" t="str">
        <v>-</v>
      </c>
      <c r="F16623" t="str">
        <v>-</v>
      </c>
      <c r="G16623" t="str">
        <v>-</v>
      </c>
    </row>
    <row r="16624">
      <c r="B16624" t="str">
        <v>Công an xã Ân Đức  tỉnh Bình Định</v>
      </c>
      <c r="C16624" t="str">
        <v>-</v>
      </c>
      <c r="D16624" t="str">
        <v>-</v>
      </c>
      <c r="E16624" t="str">
        <v/>
      </c>
      <c r="F16624" t="str">
        <v>-</v>
      </c>
      <c r="G16624" t="str">
        <v>-</v>
      </c>
    </row>
    <row r="16625">
      <c r="B16625" t="str">
        <v>UBND Ủy ban nhân dân xã Ân Đức  tỉnh Bình Định</v>
      </c>
      <c r="C16625" t="str">
        <v>-</v>
      </c>
      <c r="D16625" t="str">
        <v>-</v>
      </c>
      <c r="E16625" t="str">
        <v>-</v>
      </c>
      <c r="F16625" t="str">
        <v>-</v>
      </c>
      <c r="G16625" t="str">
        <v>-</v>
      </c>
    </row>
    <row r="16626">
      <c r="B16626" t="str">
        <v>Công an xã Ân Hữu  tỉnh Bình Định</v>
      </c>
      <c r="C16626" t="str">
        <v>-</v>
      </c>
      <c r="D16626" t="str">
        <v>-</v>
      </c>
      <c r="E16626" t="str">
        <v/>
      </c>
      <c r="F16626" t="str">
        <v>-</v>
      </c>
      <c r="G16626" t="str">
        <v>-</v>
      </c>
    </row>
    <row r="16627">
      <c r="B16627" t="str">
        <v>UBND Ủy ban nhân dân xã Ân Hữu  tỉnh Bình Định</v>
      </c>
      <c r="C16627" t="str">
        <v>-</v>
      </c>
      <c r="D16627" t="str">
        <v>-</v>
      </c>
      <c r="E16627" t="str">
        <v>-</v>
      </c>
      <c r="F16627" t="str">
        <v>-</v>
      </c>
      <c r="G16627" t="str">
        <v>-</v>
      </c>
    </row>
    <row r="16628">
      <c r="B16628" t="str">
        <v>Công an xã Bok Tới  tỉnh Bình Định</v>
      </c>
      <c r="C16628" t="str">
        <v>-</v>
      </c>
      <c r="D16628" t="str">
        <v>-</v>
      </c>
      <c r="E16628" t="str">
        <v/>
      </c>
      <c r="F16628" t="str">
        <v>-</v>
      </c>
      <c r="G16628" t="str">
        <v>-</v>
      </c>
    </row>
    <row r="16629">
      <c r="B16629" t="str">
        <v>UBND Ủy ban nhân dân xã Bok Tới  tỉnh Bình Định</v>
      </c>
      <c r="C16629" t="str">
        <v>-</v>
      </c>
      <c r="D16629" t="str">
        <v>-</v>
      </c>
      <c r="E16629" t="str">
        <v>-</v>
      </c>
      <c r="F16629" t="str">
        <v>-</v>
      </c>
      <c r="G16629" t="str">
        <v>-</v>
      </c>
    </row>
    <row r="16630">
      <c r="B16630" t="str">
        <v>Công an xã Ân Tường Tây  tỉnh Bình Định</v>
      </c>
      <c r="C16630" t="str">
        <v>-</v>
      </c>
      <c r="D16630" t="str">
        <v>-</v>
      </c>
      <c r="E16630" t="str">
        <v/>
      </c>
      <c r="F16630" t="str">
        <v>-</v>
      </c>
      <c r="G16630" t="str">
        <v>-</v>
      </c>
    </row>
    <row r="16631">
      <c r="B16631" t="str">
        <v>UBND Ủy ban nhân dân xã Ân Tường Tây  tỉnh Bình Định</v>
      </c>
      <c r="C16631" t="str">
        <v>-</v>
      </c>
      <c r="D16631" t="str">
        <v>-</v>
      </c>
      <c r="E16631" t="str">
        <v>-</v>
      </c>
      <c r="F16631" t="str">
        <v>-</v>
      </c>
      <c r="G16631" t="str">
        <v>-</v>
      </c>
    </row>
    <row r="16632">
      <c r="B16632" t="str">
        <v>Công an xã Ân Tường Đông  tỉnh Bình Định</v>
      </c>
      <c r="C16632" t="str">
        <v>-</v>
      </c>
      <c r="D16632" t="str">
        <v>-</v>
      </c>
      <c r="E16632" t="str">
        <v/>
      </c>
      <c r="F16632" t="str">
        <v>-</v>
      </c>
      <c r="G16632" t="str">
        <v>-</v>
      </c>
    </row>
    <row r="16633">
      <c r="B16633" t="str">
        <v>UBND Ủy ban nhân dân xã Ân Tường Đông  tỉnh Bình Định</v>
      </c>
      <c r="C16633" t="str">
        <v>-</v>
      </c>
      <c r="D16633" t="str">
        <v>-</v>
      </c>
      <c r="E16633" t="str">
        <v>-</v>
      </c>
      <c r="F16633" t="str">
        <v>-</v>
      </c>
      <c r="G16633" t="str">
        <v>-</v>
      </c>
    </row>
    <row r="16634">
      <c r="B16634" t="str">
        <v>Công an xã Ân Nghĩa  tỉnh Bình Định</v>
      </c>
      <c r="C16634" t="str">
        <v>-</v>
      </c>
      <c r="D16634" t="str">
        <v>-</v>
      </c>
      <c r="E16634" t="str">
        <v/>
      </c>
      <c r="F16634" t="str">
        <v>-</v>
      </c>
      <c r="G16634" t="str">
        <v>-</v>
      </c>
    </row>
    <row r="16635">
      <c r="B16635" t="str">
        <v>UBND Ủy ban nhân dân xã Ân Nghĩa  tỉnh Bình Định</v>
      </c>
      <c r="C16635" t="str">
        <v>-</v>
      </c>
      <c r="D16635" t="str">
        <v>-</v>
      </c>
      <c r="E16635" t="str">
        <v>-</v>
      </c>
      <c r="F16635" t="str">
        <v>-</v>
      </c>
      <c r="G16635" t="str">
        <v>-</v>
      </c>
    </row>
    <row r="16636">
      <c r="B16636" t="str">
        <v>Công an xã Mỹ Đức  tỉnh Bình Định</v>
      </c>
      <c r="C16636" t="str">
        <v>-</v>
      </c>
      <c r="D16636" t="str">
        <v>-</v>
      </c>
      <c r="E16636" t="str">
        <v/>
      </c>
      <c r="F16636" t="str">
        <v>-</v>
      </c>
      <c r="G16636" t="str">
        <v>-</v>
      </c>
    </row>
    <row r="16637">
      <c r="B16637" t="str">
        <v>UBND Ủy ban nhân dân xã Mỹ Đức  tỉnh Bình Định</v>
      </c>
      <c r="C16637" t="str">
        <v>-</v>
      </c>
      <c r="D16637" t="str">
        <v>-</v>
      </c>
      <c r="E16637" t="str">
        <v>-</v>
      </c>
      <c r="F16637" t="str">
        <v>-</v>
      </c>
      <c r="G16637" t="str">
        <v>-</v>
      </c>
    </row>
    <row r="16638">
      <c r="B16638" t="str">
        <v>Công an xã Mỹ Châu  tỉnh Bình Định</v>
      </c>
      <c r="C16638" t="str">
        <v>-</v>
      </c>
      <c r="D16638" t="str">
        <v>-</v>
      </c>
      <c r="E16638" t="str">
        <v/>
      </c>
      <c r="F16638" t="str">
        <v>-</v>
      </c>
      <c r="G16638" t="str">
        <v>-</v>
      </c>
    </row>
    <row r="16639">
      <c r="B16639" t="str">
        <v>UBND Ủy ban nhân dân xã Mỹ Châu  tỉnh Bình Định</v>
      </c>
      <c r="C16639" t="str">
        <v>-</v>
      </c>
      <c r="D16639" t="str">
        <v>-</v>
      </c>
      <c r="E16639" t="str">
        <v>-</v>
      </c>
      <c r="F16639" t="str">
        <v>-</v>
      </c>
      <c r="G16639" t="str">
        <v>-</v>
      </c>
    </row>
    <row r="16640">
      <c r="B16640" t="str">
        <v>Công an xã Mỹ Thắng  tỉnh Bình Định</v>
      </c>
      <c r="C16640" t="str">
        <v>-</v>
      </c>
      <c r="D16640" t="str">
        <v>-</v>
      </c>
      <c r="E16640" t="str">
        <v/>
      </c>
      <c r="F16640" t="str">
        <v>-</v>
      </c>
      <c r="G16640" t="str">
        <v>-</v>
      </c>
    </row>
    <row r="16641">
      <c r="B16641" t="str">
        <v>UBND Ủy ban nhân dân xã Mỹ Thắng  tỉnh Bình Định</v>
      </c>
      <c r="C16641" t="str">
        <v>-</v>
      </c>
      <c r="D16641" t="str">
        <v>-</v>
      </c>
      <c r="E16641" t="str">
        <v>-</v>
      </c>
      <c r="F16641" t="str">
        <v>-</v>
      </c>
      <c r="G16641" t="str">
        <v>-</v>
      </c>
    </row>
    <row r="16642">
      <c r="B16642" t="str">
        <v>Công an xã Mỹ Lộc  tỉnh Bình Định</v>
      </c>
      <c r="C16642" t="str">
        <v>-</v>
      </c>
      <c r="D16642" t="str">
        <v>-</v>
      </c>
      <c r="E16642" t="str">
        <v/>
      </c>
      <c r="F16642" t="str">
        <v>-</v>
      </c>
      <c r="G16642" t="str">
        <v>-</v>
      </c>
    </row>
    <row r="16643">
      <c r="B16643" t="str">
        <v>UBND Ủy ban nhân dân xã Mỹ Lộc  tỉnh Bình Định</v>
      </c>
      <c r="C16643" t="str">
        <v>-</v>
      </c>
      <c r="D16643" t="str">
        <v>-</v>
      </c>
      <c r="E16643" t="str">
        <v>-</v>
      </c>
      <c r="F16643" t="str">
        <v>-</v>
      </c>
      <c r="G16643" t="str">
        <v>-</v>
      </c>
    </row>
    <row r="16644">
      <c r="B16644" t="str">
        <v>Công an xã Mỹ Lợi  tỉnh Bình Định</v>
      </c>
      <c r="C16644" t="str">
        <v>-</v>
      </c>
      <c r="D16644" t="str">
        <v>-</v>
      </c>
      <c r="E16644" t="str">
        <v/>
      </c>
      <c r="F16644" t="str">
        <v>-</v>
      </c>
      <c r="G16644" t="str">
        <v>-</v>
      </c>
    </row>
    <row r="16645">
      <c r="B16645" t="str">
        <v>UBND Ủy ban nhân dân xã Mỹ Lợi  tỉnh Bình Định</v>
      </c>
      <c r="C16645" t="str">
        <v>-</v>
      </c>
      <c r="D16645" t="str">
        <v>-</v>
      </c>
      <c r="E16645" t="str">
        <v>-</v>
      </c>
      <c r="F16645" t="str">
        <v>-</v>
      </c>
      <c r="G16645" t="str">
        <v>-</v>
      </c>
    </row>
    <row r="16646">
      <c r="B16646" t="str">
        <v>Công an xã Mỹ An  tỉnh Bình Định</v>
      </c>
      <c r="C16646" t="str">
        <v>-</v>
      </c>
      <c r="D16646" t="str">
        <v>-</v>
      </c>
      <c r="E16646" t="str">
        <v/>
      </c>
      <c r="F16646" t="str">
        <v>-</v>
      </c>
      <c r="G16646" t="str">
        <v>-</v>
      </c>
    </row>
    <row r="16647">
      <c r="B16647" t="str">
        <v>UBND Ủy ban nhân dân xã Mỹ An  tỉnh Bình Định</v>
      </c>
      <c r="C16647" t="str">
        <v>-</v>
      </c>
      <c r="D16647" t="str">
        <v>-</v>
      </c>
      <c r="E16647" t="str">
        <v>-</v>
      </c>
      <c r="F16647" t="str">
        <v>-</v>
      </c>
      <c r="G16647" t="str">
        <v>-</v>
      </c>
    </row>
    <row r="16648">
      <c r="B16648" t="str">
        <v>Công an xã Mỹ Trinh  tỉnh Bình Định</v>
      </c>
      <c r="C16648" t="str">
        <v>-</v>
      </c>
      <c r="D16648" t="str">
        <v>-</v>
      </c>
      <c r="E16648" t="str">
        <v/>
      </c>
      <c r="F16648" t="str">
        <v>-</v>
      </c>
      <c r="G16648" t="str">
        <v>-</v>
      </c>
    </row>
    <row r="16649">
      <c r="B16649" t="str">
        <v>UBND Ủy ban nhân dân xã Mỹ Trinh  tỉnh Bình Định</v>
      </c>
      <c r="C16649" t="str">
        <v>-</v>
      </c>
      <c r="D16649" t="str">
        <v>-</v>
      </c>
      <c r="E16649" t="str">
        <v>-</v>
      </c>
      <c r="F16649" t="str">
        <v>-</v>
      </c>
      <c r="G16649" t="str">
        <v>-</v>
      </c>
    </row>
    <row r="16650">
      <c r="B16650" t="str">
        <v>Công an xã Mỹ Thọ  tỉnh Bình Định</v>
      </c>
      <c r="C16650" t="str">
        <v>-</v>
      </c>
      <c r="D16650" t="str">
        <v>-</v>
      </c>
      <c r="E16650" t="str">
        <v/>
      </c>
      <c r="F16650" t="str">
        <v>-</v>
      </c>
      <c r="G16650" t="str">
        <v>-</v>
      </c>
    </row>
    <row r="16651">
      <c r="B16651" t="str">
        <v>UBND Ủy ban nhân dân xã Mỹ Thọ  tỉnh Bình Định</v>
      </c>
      <c r="C16651" t="str">
        <v>-</v>
      </c>
      <c r="D16651" t="str">
        <v>-</v>
      </c>
      <c r="E16651" t="str">
        <v>-</v>
      </c>
      <c r="F16651" t="str">
        <v>-</v>
      </c>
      <c r="G16651" t="str">
        <v>-</v>
      </c>
    </row>
    <row r="16652">
      <c r="B16652" t="str">
        <v>Công an xã Mỹ Hòa  tỉnh Bình Định</v>
      </c>
      <c r="C16652" t="str">
        <v>-</v>
      </c>
      <c r="D16652" t="str">
        <v>-</v>
      </c>
      <c r="E16652" t="str">
        <v/>
      </c>
      <c r="F16652" t="str">
        <v>-</v>
      </c>
      <c r="G16652" t="str">
        <v>-</v>
      </c>
    </row>
    <row r="16653">
      <c r="B16653" t="str">
        <v>UBND Ủy ban nhân dân xã Mỹ Hòa  tỉnh Bình Định</v>
      </c>
      <c r="C16653" t="str">
        <v>-</v>
      </c>
      <c r="D16653" t="str">
        <v>-</v>
      </c>
      <c r="E16653" t="str">
        <v>-</v>
      </c>
      <c r="F16653" t="str">
        <v>-</v>
      </c>
      <c r="G16653" t="str">
        <v>-</v>
      </c>
    </row>
    <row r="16654">
      <c r="B16654" t="str">
        <v>Công an xã Mỹ Thành  tỉnh Bình Định</v>
      </c>
      <c r="C16654" t="str">
        <v>-</v>
      </c>
      <c r="D16654" t="str">
        <v>-</v>
      </c>
      <c r="E16654" t="str">
        <v/>
      </c>
      <c r="F16654" t="str">
        <v>-</v>
      </c>
      <c r="G16654" t="str">
        <v>-</v>
      </c>
    </row>
    <row r="16655">
      <c r="B16655" t="str">
        <v>UBND Ủy ban nhân dân xã Mỹ Thành  tỉnh Bình Định</v>
      </c>
      <c r="C16655" t="str">
        <v>-</v>
      </c>
      <c r="D16655" t="str">
        <v>-</v>
      </c>
      <c r="E16655" t="str">
        <v>-</v>
      </c>
      <c r="F16655" t="str">
        <v>-</v>
      </c>
      <c r="G16655" t="str">
        <v>-</v>
      </c>
    </row>
    <row r="16656">
      <c r="B16656" t="str">
        <v>Công an xã Mỹ Chánh  tỉnh Bình Định</v>
      </c>
      <c r="C16656" t="str">
        <v>-</v>
      </c>
      <c r="D16656" t="str">
        <v>-</v>
      </c>
      <c r="E16656" t="str">
        <v/>
      </c>
      <c r="F16656" t="str">
        <v>-</v>
      </c>
      <c r="G16656" t="str">
        <v>-</v>
      </c>
    </row>
    <row r="16657">
      <c r="B16657" t="str">
        <v>UBND Ủy ban nhân dân xã Mỹ Chánh  tỉnh Bình Định</v>
      </c>
      <c r="C16657" t="str">
        <v>-</v>
      </c>
      <c r="D16657" t="str">
        <v>-</v>
      </c>
      <c r="E16657" t="str">
        <v>-</v>
      </c>
      <c r="F16657" t="str">
        <v>-</v>
      </c>
      <c r="G16657" t="str">
        <v>-</v>
      </c>
    </row>
    <row r="16658">
      <c r="B16658" t="str">
        <v>Công an xã Mỹ Quang  tỉnh Bình Định</v>
      </c>
      <c r="C16658" t="str">
        <v>-</v>
      </c>
      <c r="D16658" t="str">
        <v>-</v>
      </c>
      <c r="E16658" t="str">
        <v/>
      </c>
      <c r="F16658" t="str">
        <v>-</v>
      </c>
      <c r="G16658" t="str">
        <v>-</v>
      </c>
    </row>
    <row r="16659">
      <c r="B16659" t="str">
        <v>UBND Ủy ban nhân dân xã Mỹ Quang  tỉnh Bình Định</v>
      </c>
      <c r="C16659" t="str">
        <v>-</v>
      </c>
      <c r="D16659" t="str">
        <v>-</v>
      </c>
      <c r="E16659" t="str">
        <v>-</v>
      </c>
      <c r="F16659" t="str">
        <v>-</v>
      </c>
      <c r="G16659" t="str">
        <v>-</v>
      </c>
    </row>
    <row r="16660">
      <c r="B16660" t="str">
        <v>Công an xã Mỹ Hiệp  tỉnh Bình Định</v>
      </c>
      <c r="C16660" t="str">
        <v>-</v>
      </c>
      <c r="D16660" t="str">
        <v>-</v>
      </c>
      <c r="E16660" t="str">
        <v/>
      </c>
      <c r="F16660" t="str">
        <v>-</v>
      </c>
      <c r="G16660" t="str">
        <v>-</v>
      </c>
    </row>
    <row r="16661">
      <c r="B16661" t="str">
        <v>UBND Ủy ban nhân dân xã Mỹ Hiệp  tỉnh Bình Định</v>
      </c>
      <c r="C16661" t="str">
        <v>-</v>
      </c>
      <c r="D16661" t="str">
        <v>-</v>
      </c>
      <c r="E16661" t="str">
        <v>-</v>
      </c>
      <c r="F16661" t="str">
        <v>-</v>
      </c>
      <c r="G16661" t="str">
        <v>-</v>
      </c>
    </row>
    <row r="16662">
      <c r="B16662" t="str">
        <v>Công an xã Mỹ Tài  tỉnh Bình Định</v>
      </c>
      <c r="C16662" t="str">
        <v>-</v>
      </c>
      <c r="D16662" t="str">
        <v>-</v>
      </c>
      <c r="E16662" t="str">
        <v/>
      </c>
      <c r="F16662" t="str">
        <v>-</v>
      </c>
      <c r="G16662" t="str">
        <v>-</v>
      </c>
    </row>
    <row r="16663">
      <c r="B16663" t="str">
        <v>UBND Ủy ban nhân dân xã Mỹ Tài  tỉnh Bình Định</v>
      </c>
      <c r="C16663" t="str">
        <v>-</v>
      </c>
      <c r="D16663" t="str">
        <v>-</v>
      </c>
      <c r="E16663" t="str">
        <v>-</v>
      </c>
      <c r="F16663" t="str">
        <v>-</v>
      </c>
      <c r="G16663" t="str">
        <v>-</v>
      </c>
    </row>
    <row r="16664">
      <c r="B16664" t="str">
        <v>Công an xã Mỹ Cát  tỉnh Bình Định</v>
      </c>
      <c r="C16664" t="str">
        <v>-</v>
      </c>
      <c r="D16664" t="str">
        <v>-</v>
      </c>
      <c r="E16664" t="str">
        <v/>
      </c>
      <c r="F16664" t="str">
        <v>-</v>
      </c>
      <c r="G16664" t="str">
        <v>-</v>
      </c>
    </row>
    <row r="16665">
      <c r="B16665" t="str">
        <v>UBND Ủy ban nhân dân xã Mỹ Cát  tỉnh Bình Định</v>
      </c>
      <c r="C16665" t="str">
        <v>-</v>
      </c>
      <c r="D16665" t="str">
        <v>-</v>
      </c>
      <c r="E16665" t="str">
        <v>-</v>
      </c>
      <c r="F16665" t="str">
        <v>-</v>
      </c>
      <c r="G16665" t="str">
        <v>-</v>
      </c>
    </row>
    <row r="16666">
      <c r="B16666" t="str">
        <v>Công an xã Mỹ Chánh Tây  tỉnh Bình Định</v>
      </c>
      <c r="C16666" t="str">
        <v>-</v>
      </c>
      <c r="D16666" t="str">
        <v>-</v>
      </c>
      <c r="E16666" t="str">
        <v/>
      </c>
      <c r="F16666" t="str">
        <v>-</v>
      </c>
      <c r="G16666" t="str">
        <v>-</v>
      </c>
    </row>
    <row r="16667">
      <c r="B16667" t="str">
        <v>UBND Ủy ban nhân dân xã Mỹ Chánh Tây  tỉnh Bình Định</v>
      </c>
      <c r="C16667" t="str">
        <v>-</v>
      </c>
      <c r="D16667" t="str">
        <v>-</v>
      </c>
      <c r="E16667" t="str">
        <v>-</v>
      </c>
      <c r="F16667" t="str">
        <v>-</v>
      </c>
      <c r="G16667" t="str">
        <v>-</v>
      </c>
    </row>
    <row r="16668">
      <c r="B16668" t="str">
        <v>Công an xã Vĩnh Sơn  tỉnh Bình Định</v>
      </c>
      <c r="C16668" t="str">
        <v>-</v>
      </c>
      <c r="D16668" t="str">
        <v>-</v>
      </c>
      <c r="E16668" t="str">
        <v/>
      </c>
      <c r="F16668" t="str">
        <v>-</v>
      </c>
      <c r="G16668" t="str">
        <v>-</v>
      </c>
    </row>
    <row r="16669">
      <c r="B16669" t="str">
        <v>UBND Ủy ban nhân dân xã Vĩnh Sơn  tỉnh Bình Định</v>
      </c>
      <c r="C16669" t="str">
        <v>-</v>
      </c>
      <c r="D16669" t="str">
        <v>-</v>
      </c>
      <c r="E16669" t="str">
        <v>-</v>
      </c>
      <c r="F16669" t="str">
        <v>-</v>
      </c>
      <c r="G16669" t="str">
        <v>-</v>
      </c>
    </row>
    <row r="16670">
      <c r="B16670" t="str">
        <v>Công an xã Vĩnh Kim  tỉnh Bình Định</v>
      </c>
      <c r="C16670" t="str">
        <v>-</v>
      </c>
      <c r="D16670" t="str">
        <v>-</v>
      </c>
      <c r="E16670" t="str">
        <v/>
      </c>
      <c r="F16670" t="str">
        <v>-</v>
      </c>
      <c r="G16670" t="str">
        <v>-</v>
      </c>
    </row>
    <row r="16671">
      <c r="B16671" t="str">
        <v>UBND Ủy ban nhân dân xã Vĩnh Kim  tỉnh Bình Định</v>
      </c>
      <c r="C16671" t="str">
        <v>-</v>
      </c>
      <c r="D16671" t="str">
        <v>-</v>
      </c>
      <c r="E16671" t="str">
        <v>-</v>
      </c>
      <c r="F16671" t="str">
        <v>-</v>
      </c>
      <c r="G16671" t="str">
        <v>-</v>
      </c>
    </row>
    <row r="16672">
      <c r="B16672" t="str">
        <v>Công an xã Vĩnh Hiệp  tỉnh Bình Định</v>
      </c>
      <c r="C16672" t="str">
        <v>-</v>
      </c>
      <c r="D16672" t="str">
        <v>-</v>
      </c>
      <c r="E16672" t="str">
        <v/>
      </c>
      <c r="F16672" t="str">
        <v>-</v>
      </c>
      <c r="G16672" t="str">
        <v>-</v>
      </c>
    </row>
    <row r="16673">
      <c r="B16673" t="str">
        <v>UBND Ủy ban nhân dân xã Vĩnh Hiệp  tỉnh Bình Định</v>
      </c>
      <c r="C16673" t="str">
        <v>-</v>
      </c>
      <c r="D16673" t="str">
        <v>-</v>
      </c>
      <c r="E16673" t="str">
        <v>-</v>
      </c>
      <c r="F16673" t="str">
        <v>-</v>
      </c>
      <c r="G16673" t="str">
        <v>-</v>
      </c>
    </row>
    <row r="16674">
      <c r="B16674" t="str">
        <v>Công an xã Vĩnh Hảo  tỉnh Bình Định</v>
      </c>
      <c r="C16674" t="str">
        <v>-</v>
      </c>
      <c r="D16674" t="str">
        <v>-</v>
      </c>
      <c r="E16674" t="str">
        <v/>
      </c>
      <c r="F16674" t="str">
        <v>-</v>
      </c>
      <c r="G16674" t="str">
        <v>-</v>
      </c>
    </row>
    <row r="16675">
      <c r="B16675" t="str">
        <v>UBND Ủy ban nhân dân xã Vĩnh Hảo  tỉnh Bình Định</v>
      </c>
      <c r="C16675" t="str">
        <v>-</v>
      </c>
      <c r="D16675" t="str">
        <v>-</v>
      </c>
      <c r="E16675" t="str">
        <v>-</v>
      </c>
      <c r="F16675" t="str">
        <v>-</v>
      </c>
      <c r="G16675" t="str">
        <v>-</v>
      </c>
    </row>
    <row r="16676">
      <c r="B16676" t="str">
        <v>Công an xã Vĩnh Hòa  tỉnh Bình Định</v>
      </c>
      <c r="C16676" t="str">
        <v>-</v>
      </c>
      <c r="D16676" t="str">
        <v>-</v>
      </c>
      <c r="E16676" t="str">
        <v/>
      </c>
      <c r="F16676" t="str">
        <v>-</v>
      </c>
      <c r="G16676" t="str">
        <v>-</v>
      </c>
    </row>
    <row r="16677">
      <c r="B16677" t="str">
        <v>UBND Ủy ban nhân dân xã Vĩnh Hòa  tỉnh Bình Định</v>
      </c>
      <c r="C16677" t="str">
        <v>-</v>
      </c>
      <c r="D16677" t="str">
        <v>-</v>
      </c>
      <c r="E16677" t="str">
        <v>-</v>
      </c>
      <c r="F16677" t="str">
        <v>-</v>
      </c>
      <c r="G16677" t="str">
        <v>-</v>
      </c>
    </row>
    <row r="16678">
      <c r="B16678" t="str">
        <v>Công an xã Vĩnh Thịnh  tỉnh Bình Định</v>
      </c>
      <c r="C16678" t="str">
        <v>-</v>
      </c>
      <c r="D16678" t="str">
        <v>-</v>
      </c>
      <c r="E16678" t="str">
        <v/>
      </c>
      <c r="F16678" t="str">
        <v>-</v>
      </c>
      <c r="G16678" t="str">
        <v>-</v>
      </c>
    </row>
    <row r="16679">
      <c r="B16679" t="str">
        <v>UBND Ủy ban nhân dân xã Vĩnh Thịnh  tỉnh Bình Định</v>
      </c>
      <c r="C16679" t="str">
        <v>-</v>
      </c>
      <c r="D16679" t="str">
        <v>-</v>
      </c>
      <c r="E16679" t="str">
        <v>-</v>
      </c>
      <c r="F16679" t="str">
        <v>-</v>
      </c>
      <c r="G16679" t="str">
        <v>-</v>
      </c>
    </row>
    <row r="16680">
      <c r="B16680" t="str">
        <v>Công an xã Vĩnh Thuận  tỉnh Bình Định</v>
      </c>
      <c r="C16680" t="str">
        <v>-</v>
      </c>
      <c r="D16680" t="str">
        <v>-</v>
      </c>
      <c r="E16680" t="str">
        <v/>
      </c>
      <c r="F16680" t="str">
        <v>-</v>
      </c>
      <c r="G16680" t="str">
        <v>-</v>
      </c>
    </row>
    <row r="16681">
      <c r="B16681" t="str">
        <v>UBND Ủy ban nhân dân xã Vĩnh Thuận  tỉnh Bình Định</v>
      </c>
      <c r="C16681" t="str">
        <v>-</v>
      </c>
      <c r="D16681" t="str">
        <v>-</v>
      </c>
      <c r="E16681" t="str">
        <v>-</v>
      </c>
      <c r="F16681" t="str">
        <v>-</v>
      </c>
      <c r="G16681" t="str">
        <v>-</v>
      </c>
    </row>
    <row r="16682">
      <c r="B16682" t="str">
        <v>Công an xã Vĩnh Quang  tỉnh Bình Định</v>
      </c>
      <c r="C16682" t="str">
        <v>-</v>
      </c>
      <c r="D16682" t="str">
        <v>-</v>
      </c>
      <c r="E16682" t="str">
        <v/>
      </c>
      <c r="F16682" t="str">
        <v>-</v>
      </c>
      <c r="G16682" t="str">
        <v>-</v>
      </c>
    </row>
    <row r="16683">
      <c r="B16683" t="str">
        <v>UBND Ủy ban nhân dân xã Vĩnh Quang  tỉnh Bình Định</v>
      </c>
      <c r="C16683" t="str">
        <v>-</v>
      </c>
      <c r="D16683" t="str">
        <v>-</v>
      </c>
      <c r="E16683" t="str">
        <v>-</v>
      </c>
      <c r="F16683" t="str">
        <v>-</v>
      </c>
      <c r="G16683" t="str">
        <v>-</v>
      </c>
    </row>
    <row r="16684">
      <c r="B16684" t="str">
        <v>Công an xã Bình Tân  tỉnh Bình Định</v>
      </c>
      <c r="C16684" t="str">
        <v>-</v>
      </c>
      <c r="D16684" t="str">
        <v>-</v>
      </c>
      <c r="E16684" t="str">
        <v/>
      </c>
      <c r="F16684" t="str">
        <v>-</v>
      </c>
      <c r="G16684" t="str">
        <v>-</v>
      </c>
    </row>
    <row r="16685">
      <c r="B16685" t="str">
        <v>UBND Ủy ban nhân dân xã Bình Tân  tỉnh Bình Định</v>
      </c>
      <c r="C16685" t="str">
        <v>-</v>
      </c>
      <c r="D16685" t="str">
        <v>-</v>
      </c>
      <c r="E16685" t="str">
        <v>-</v>
      </c>
      <c r="F16685" t="str">
        <v>-</v>
      </c>
      <c r="G16685" t="str">
        <v>-</v>
      </c>
    </row>
    <row r="16686">
      <c r="B16686" t="str">
        <v>Công an xã Tây Thuận  tỉnh Bình Định</v>
      </c>
      <c r="C16686" t="str">
        <v>-</v>
      </c>
      <c r="D16686" t="str">
        <v>-</v>
      </c>
      <c r="E16686" t="str">
        <v/>
      </c>
      <c r="F16686" t="str">
        <v>-</v>
      </c>
      <c r="G16686" t="str">
        <v>-</v>
      </c>
    </row>
    <row r="16687">
      <c r="B16687" t="str">
        <v>UBND Ủy ban nhân dân xã Tây Thuận  tỉnh Bình Định</v>
      </c>
      <c r="C16687" t="str">
        <v>-</v>
      </c>
      <c r="D16687" t="str">
        <v>-</v>
      </c>
      <c r="E16687" t="str">
        <v>-</v>
      </c>
      <c r="F16687" t="str">
        <v>-</v>
      </c>
      <c r="G16687" t="str">
        <v>-</v>
      </c>
    </row>
    <row r="16688">
      <c r="B16688" t="str">
        <v>Công an xã Bình Thuận  tỉnh Bình Định</v>
      </c>
      <c r="C16688" t="str">
        <v>-</v>
      </c>
      <c r="D16688" t="str">
        <v>-</v>
      </c>
      <c r="E16688" t="str">
        <v/>
      </c>
      <c r="F16688" t="str">
        <v>-</v>
      </c>
      <c r="G16688" t="str">
        <v>-</v>
      </c>
    </row>
    <row r="16689">
      <c r="B16689" t="str">
        <v>UBND Ủy ban nhân dân xã Bình Thuận  tỉnh Bình Định</v>
      </c>
      <c r="C16689" t="str">
        <v>-</v>
      </c>
      <c r="D16689" t="str">
        <v>-</v>
      </c>
      <c r="E16689" t="str">
        <v>-</v>
      </c>
      <c r="F16689" t="str">
        <v>-</v>
      </c>
      <c r="G16689" t="str">
        <v>-</v>
      </c>
    </row>
    <row r="16690">
      <c r="B16690" t="str">
        <v>Công an xã Tây Giang  tỉnh Bình Định</v>
      </c>
      <c r="C16690" t="str">
        <v>-</v>
      </c>
      <c r="D16690" t="str">
        <v>-</v>
      </c>
      <c r="E16690" t="str">
        <v/>
      </c>
      <c r="F16690" t="str">
        <v>-</v>
      </c>
      <c r="G16690" t="str">
        <v>-</v>
      </c>
    </row>
    <row r="16691">
      <c r="B16691" t="str">
        <v>UBND Ủy ban nhân dân xã Tây Giang  tỉnh Bình Định</v>
      </c>
      <c r="C16691" t="str">
        <v>-</v>
      </c>
      <c r="D16691" t="str">
        <v>-</v>
      </c>
      <c r="E16691" t="str">
        <v>-</v>
      </c>
      <c r="F16691" t="str">
        <v>-</v>
      </c>
      <c r="G16691" t="str">
        <v>-</v>
      </c>
    </row>
    <row r="16692">
      <c r="B16692" t="str">
        <v>Công an xã Bình Thành  tỉnh Bình Định</v>
      </c>
      <c r="C16692" t="str">
        <v>-</v>
      </c>
      <c r="D16692" t="str">
        <v>-</v>
      </c>
      <c r="E16692" t="str">
        <v/>
      </c>
      <c r="F16692" t="str">
        <v>-</v>
      </c>
      <c r="G16692" t="str">
        <v>-</v>
      </c>
    </row>
    <row r="16693">
      <c r="B16693" t="str">
        <v>UBND Ủy ban nhân dân xã Bình Thành  tỉnh Bình Định</v>
      </c>
      <c r="C16693" t="str">
        <v>-</v>
      </c>
      <c r="D16693" t="str">
        <v>-</v>
      </c>
      <c r="E16693" t="str">
        <v>-</v>
      </c>
      <c r="F16693" t="str">
        <v>-</v>
      </c>
      <c r="G16693" t="str">
        <v>-</v>
      </c>
    </row>
    <row r="16694">
      <c r="B16694" t="str">
        <v>Công an xã Tây An  tỉnh Bình Định</v>
      </c>
      <c r="C16694" t="str">
        <v>-</v>
      </c>
      <c r="D16694" t="str">
        <v>-</v>
      </c>
      <c r="E16694" t="str">
        <v/>
      </c>
      <c r="F16694" t="str">
        <v>-</v>
      </c>
      <c r="G16694" t="str">
        <v>-</v>
      </c>
    </row>
    <row r="16695">
      <c r="B16695" t="str">
        <v>UBND Ủy ban nhân dân xã Tây An  tỉnh Bình Định</v>
      </c>
      <c r="C16695" t="str">
        <v>-</v>
      </c>
      <c r="D16695" t="str">
        <v>-</v>
      </c>
      <c r="E16695" t="str">
        <v>-</v>
      </c>
      <c r="F16695" t="str">
        <v>-</v>
      </c>
      <c r="G16695" t="str">
        <v>-</v>
      </c>
    </row>
    <row r="16696">
      <c r="B16696" t="str">
        <v>Công an xã Bình Hòa  tỉnh Bình Định</v>
      </c>
      <c r="C16696" t="str">
        <v>-</v>
      </c>
      <c r="D16696" t="str">
        <v>-</v>
      </c>
      <c r="E16696" t="str">
        <v/>
      </c>
      <c r="F16696" t="str">
        <v>-</v>
      </c>
      <c r="G16696" t="str">
        <v>-</v>
      </c>
    </row>
    <row r="16697">
      <c r="B16697" t="str">
        <v>UBND Ủy ban nhân dân xã Bình Hòa  tỉnh Bình Định</v>
      </c>
      <c r="C16697" t="str">
        <v>-</v>
      </c>
      <c r="D16697" t="str">
        <v>-</v>
      </c>
      <c r="E16697" t="str">
        <v>-</v>
      </c>
      <c r="F16697" t="str">
        <v>-</v>
      </c>
      <c r="G16697" t="str">
        <v>-</v>
      </c>
    </row>
    <row r="16698">
      <c r="B16698" t="str">
        <v>Công an xã Tây Bình  tỉnh Bình Định</v>
      </c>
      <c r="C16698" t="str">
        <v>-</v>
      </c>
      <c r="D16698" t="str">
        <v>-</v>
      </c>
      <c r="E16698" t="str">
        <v/>
      </c>
      <c r="F16698" t="str">
        <v>-</v>
      </c>
      <c r="G16698" t="str">
        <v>-</v>
      </c>
    </row>
    <row r="16699">
      <c r="B16699" t="str">
        <v>UBND Ủy ban nhân dân xã Tây Bình  tỉnh Bình Định</v>
      </c>
      <c r="C16699" t="str">
        <v>-</v>
      </c>
      <c r="D16699" t="str">
        <v>-</v>
      </c>
      <c r="E16699" t="str">
        <v>-</v>
      </c>
      <c r="F16699" t="str">
        <v>-</v>
      </c>
      <c r="G16699" t="str">
        <v>-</v>
      </c>
    </row>
    <row r="16700">
      <c r="B16700" t="str">
        <v>Công an xã Bình Tường  tỉnh Bình Định</v>
      </c>
      <c r="C16700" t="str">
        <v>-</v>
      </c>
      <c r="D16700" t="str">
        <v>-</v>
      </c>
      <c r="E16700" t="str">
        <v/>
      </c>
      <c r="F16700" t="str">
        <v>-</v>
      </c>
      <c r="G16700" t="str">
        <v>-</v>
      </c>
    </row>
    <row r="16701">
      <c r="B16701" t="str">
        <v>UBND Ủy ban nhân dân xã Bình Tường  tỉnh Bình Định</v>
      </c>
      <c r="C16701" t="str">
        <v>-</v>
      </c>
      <c r="D16701" t="str">
        <v>-</v>
      </c>
      <c r="E16701" t="str">
        <v>-</v>
      </c>
      <c r="F16701" t="str">
        <v>-</v>
      </c>
      <c r="G16701" t="str">
        <v>-</v>
      </c>
    </row>
    <row r="16702">
      <c r="B16702" t="str">
        <v>Công an xã Tây Vinh  tỉnh Bình Định</v>
      </c>
      <c r="C16702" t="str">
        <v>-</v>
      </c>
      <c r="D16702" t="str">
        <v>-</v>
      </c>
      <c r="E16702" t="str">
        <v/>
      </c>
      <c r="F16702" t="str">
        <v>-</v>
      </c>
      <c r="G16702" t="str">
        <v>-</v>
      </c>
    </row>
    <row r="16703">
      <c r="B16703" t="str">
        <v>UBND Ủy ban nhân dân xã Tây Vinh  tỉnh Bình Định</v>
      </c>
      <c r="C16703" t="str">
        <v>-</v>
      </c>
      <c r="D16703" t="str">
        <v>-</v>
      </c>
      <c r="E16703" t="str">
        <v>-</v>
      </c>
      <c r="F16703" t="str">
        <v>-</v>
      </c>
      <c r="G16703" t="str">
        <v>-</v>
      </c>
    </row>
    <row r="16704">
      <c r="B16704" t="str">
        <v>Công an xã Vĩnh An  tỉnh Bình Định</v>
      </c>
      <c r="C16704" t="str">
        <v>-</v>
      </c>
      <c r="D16704" t="str">
        <v>-</v>
      </c>
      <c r="E16704" t="str">
        <v/>
      </c>
      <c r="F16704" t="str">
        <v>-</v>
      </c>
      <c r="G16704" t="str">
        <v>-</v>
      </c>
    </row>
    <row r="16705">
      <c r="B16705" t="str">
        <v>UBND Ủy ban nhân dân xã Vĩnh An  tỉnh Bình Định</v>
      </c>
      <c r="C16705" t="str">
        <v>-</v>
      </c>
      <c r="D16705" t="str">
        <v>-</v>
      </c>
      <c r="E16705" t="str">
        <v>-</v>
      </c>
      <c r="F16705" t="str">
        <v>-</v>
      </c>
      <c r="G16705" t="str">
        <v>-</v>
      </c>
    </row>
    <row r="16706">
      <c r="B16706" t="str">
        <v>Công an xã Tây Xuân  tỉnh Bình Định</v>
      </c>
      <c r="C16706" t="str">
        <v>-</v>
      </c>
      <c r="D16706" t="str">
        <v>-</v>
      </c>
      <c r="E16706" t="str">
        <v/>
      </c>
      <c r="F16706" t="str">
        <v>-</v>
      </c>
      <c r="G16706" t="str">
        <v>-</v>
      </c>
    </row>
    <row r="16707">
      <c r="B16707" t="str">
        <v>UBND Ủy ban nhân dân xã Tây Xuân  tỉnh Bình Định</v>
      </c>
      <c r="C16707" t="str">
        <v>-</v>
      </c>
      <c r="D16707" t="str">
        <v>-</v>
      </c>
      <c r="E16707" t="str">
        <v>-</v>
      </c>
      <c r="F16707" t="str">
        <v>-</v>
      </c>
      <c r="G16707" t="str">
        <v>-</v>
      </c>
    </row>
    <row r="16708">
      <c r="B16708" t="str">
        <v>Công an xã Bình Nghi  tỉnh Bình Định</v>
      </c>
      <c r="C16708" t="str">
        <v>-</v>
      </c>
      <c r="D16708" t="str">
        <v>-</v>
      </c>
      <c r="E16708" t="str">
        <v/>
      </c>
      <c r="F16708" t="str">
        <v>-</v>
      </c>
      <c r="G16708" t="str">
        <v>-</v>
      </c>
    </row>
    <row r="16709">
      <c r="B16709" t="str">
        <v>UBND Ủy ban nhân dân xã Bình Nghi  tỉnh Bình Định</v>
      </c>
      <c r="C16709" t="str">
        <v>-</v>
      </c>
      <c r="D16709" t="str">
        <v>-</v>
      </c>
      <c r="E16709" t="str">
        <v>-</v>
      </c>
      <c r="F16709" t="str">
        <v>-</v>
      </c>
      <c r="G16709" t="str">
        <v>-</v>
      </c>
    </row>
    <row r="16710">
      <c r="B16710" t="str">
        <v>Công an xã Tây Phú  tỉnh Bình Định</v>
      </c>
      <c r="C16710" t="str">
        <v>-</v>
      </c>
      <c r="D16710" t="str">
        <v>-</v>
      </c>
      <c r="E16710" t="str">
        <v/>
      </c>
      <c r="F16710" t="str">
        <v>-</v>
      </c>
      <c r="G16710" t="str">
        <v>-</v>
      </c>
    </row>
    <row r="16711">
      <c r="B16711" t="str">
        <v>UBND Ủy ban nhân dân xã Tây Phú  tỉnh Bình Định</v>
      </c>
      <c r="C16711" t="str">
        <v>-</v>
      </c>
      <c r="D16711" t="str">
        <v>-</v>
      </c>
      <c r="E16711" t="str">
        <v>-</v>
      </c>
      <c r="F16711" t="str">
        <v>-</v>
      </c>
      <c r="G16711" t="str">
        <v>-</v>
      </c>
    </row>
    <row r="16712">
      <c r="B16712" t="str">
        <v>Công an xã Cát Sơn  tỉnh Bình Định</v>
      </c>
      <c r="C16712" t="str">
        <v>-</v>
      </c>
      <c r="D16712" t="str">
        <v>-</v>
      </c>
      <c r="E16712" t="str">
        <v/>
      </c>
      <c r="F16712" t="str">
        <v>-</v>
      </c>
      <c r="G16712" t="str">
        <v>-</v>
      </c>
    </row>
    <row r="16713">
      <c r="B16713" t="str">
        <v>UBND Ủy ban nhân dân xã Cát Sơn  tỉnh Bình Định</v>
      </c>
      <c r="C16713" t="str">
        <v>-</v>
      </c>
      <c r="D16713" t="str">
        <v>-</v>
      </c>
      <c r="E16713" t="str">
        <v>-</v>
      </c>
      <c r="F16713" t="str">
        <v>-</v>
      </c>
      <c r="G16713" t="str">
        <v>-</v>
      </c>
    </row>
    <row r="16714">
      <c r="B16714" t="str">
        <v>Công an xã Cát Minh  tỉnh Bình Định</v>
      </c>
      <c r="C16714" t="str">
        <v>-</v>
      </c>
      <c r="D16714" t="str">
        <v>-</v>
      </c>
      <c r="E16714" t="str">
        <v/>
      </c>
      <c r="F16714" t="str">
        <v>-</v>
      </c>
      <c r="G16714" t="str">
        <v>-</v>
      </c>
    </row>
    <row r="16715">
      <c r="B16715" t="str">
        <v>UBND Ủy ban nhân dân xã Cát Minh  tỉnh Bình Định</v>
      </c>
      <c r="C16715" t="str">
        <v>-</v>
      </c>
      <c r="D16715" t="str">
        <v>-</v>
      </c>
      <c r="E16715" t="str">
        <v>-</v>
      </c>
      <c r="F16715" t="str">
        <v>-</v>
      </c>
      <c r="G16715" t="str">
        <v>-</v>
      </c>
    </row>
    <row r="16716">
      <c r="B16716" t="str">
        <v>Công an xã Cát Khánh  tỉnh Bình Định</v>
      </c>
      <c r="C16716" t="str">
        <v>-</v>
      </c>
      <c r="D16716" t="str">
        <v>-</v>
      </c>
      <c r="E16716" t="str">
        <v/>
      </c>
      <c r="F16716" t="str">
        <v>-</v>
      </c>
      <c r="G16716" t="str">
        <v>-</v>
      </c>
    </row>
    <row r="16717">
      <c r="B16717" t="str">
        <v>UBND Ủy ban nhân dân xã Cát Khánh  tỉnh Bình Định</v>
      </c>
      <c r="C16717" t="str">
        <v>-</v>
      </c>
      <c r="D16717" t="str">
        <v>-</v>
      </c>
      <c r="E16717" t="str">
        <v>-</v>
      </c>
      <c r="F16717" t="str">
        <v>-</v>
      </c>
      <c r="G16717" t="str">
        <v>-</v>
      </c>
    </row>
    <row r="16718">
      <c r="B16718" t="str">
        <v>Công an xã Cát Tài  tỉnh Bình Định</v>
      </c>
      <c r="C16718" t="str">
        <v>-</v>
      </c>
      <c r="D16718" t="str">
        <v>-</v>
      </c>
      <c r="E16718" t="str">
        <v/>
      </c>
      <c r="F16718" t="str">
        <v>-</v>
      </c>
      <c r="G16718" t="str">
        <v>-</v>
      </c>
    </row>
    <row r="16719">
      <c r="B16719" t="str">
        <v>UBND Ủy ban nhân dân xã Cát Tài  tỉnh Bình Định</v>
      </c>
      <c r="C16719" t="str">
        <v>-</v>
      </c>
      <c r="D16719" t="str">
        <v>-</v>
      </c>
      <c r="E16719" t="str">
        <v>-</v>
      </c>
      <c r="F16719" t="str">
        <v>-</v>
      </c>
      <c r="G16719" t="str">
        <v>-</v>
      </c>
    </row>
    <row r="16720">
      <c r="B16720" t="str">
        <v>Công an xã Cát Lâm  tỉnh Bình Định</v>
      </c>
      <c r="C16720" t="str">
        <v>-</v>
      </c>
      <c r="D16720" t="str">
        <v>-</v>
      </c>
      <c r="E16720" t="str">
        <v/>
      </c>
      <c r="F16720" t="str">
        <v>-</v>
      </c>
      <c r="G16720" t="str">
        <v>-</v>
      </c>
    </row>
    <row r="16721">
      <c r="B16721" t="str">
        <v>UBND Ủy ban nhân dân xã Cát Lâm  tỉnh Bình Định</v>
      </c>
      <c r="C16721" t="str">
        <v>-</v>
      </c>
      <c r="D16721" t="str">
        <v>-</v>
      </c>
      <c r="E16721" t="str">
        <v>-</v>
      </c>
      <c r="F16721" t="str">
        <v>-</v>
      </c>
      <c r="G16721" t="str">
        <v>-</v>
      </c>
    </row>
    <row r="16722">
      <c r="B16722" t="str">
        <v>Công an xã Cát Hanh  tỉnh Bình Định</v>
      </c>
      <c r="C16722" t="str">
        <v>-</v>
      </c>
      <c r="D16722" t="str">
        <v>-</v>
      </c>
      <c r="E16722" t="str">
        <v/>
      </c>
      <c r="F16722" t="str">
        <v>-</v>
      </c>
      <c r="G16722" t="str">
        <v>-</v>
      </c>
    </row>
    <row r="16723">
      <c r="B16723" t="str">
        <v>UBND Ủy ban nhân dân xã Cát Hanh  tỉnh Bình Định</v>
      </c>
      <c r="C16723" t="str">
        <v>-</v>
      </c>
      <c r="D16723" t="str">
        <v>-</v>
      </c>
      <c r="E16723" t="str">
        <v>-</v>
      </c>
      <c r="F16723" t="str">
        <v>-</v>
      </c>
      <c r="G16723" t="str">
        <v>-</v>
      </c>
    </row>
    <row r="16724">
      <c r="B16724" t="str">
        <v>Công an xã Cát Thành  tỉnh Bình Định</v>
      </c>
      <c r="C16724" t="str">
        <v>-</v>
      </c>
      <c r="D16724" t="str">
        <v>-</v>
      </c>
      <c r="E16724" t="str">
        <v/>
      </c>
      <c r="F16724" t="str">
        <v>-</v>
      </c>
      <c r="G16724" t="str">
        <v>-</v>
      </c>
    </row>
    <row r="16725">
      <c r="B16725" t="str">
        <v>UBND Ủy ban nhân dân xã Cát Thành  tỉnh Bình Định</v>
      </c>
      <c r="C16725" t="str">
        <v>-</v>
      </c>
      <c r="D16725" t="str">
        <v>-</v>
      </c>
      <c r="E16725" t="str">
        <v>-</v>
      </c>
      <c r="F16725" t="str">
        <v>-</v>
      </c>
      <c r="G16725" t="str">
        <v>-</v>
      </c>
    </row>
    <row r="16726">
      <c r="B16726" t="str">
        <v>Công an xã Cát Trinh  tỉnh Bình Định</v>
      </c>
      <c r="C16726" t="str">
        <v>-</v>
      </c>
      <c r="D16726" t="str">
        <v>-</v>
      </c>
      <c r="E16726" t="str">
        <v/>
      </c>
      <c r="F16726" t="str">
        <v>-</v>
      </c>
      <c r="G16726" t="str">
        <v>-</v>
      </c>
    </row>
    <row r="16727">
      <c r="B16727" t="str">
        <v>UBND Ủy ban nhân dân xã Cát Trinh  tỉnh Bình Định</v>
      </c>
      <c r="C16727" t="str">
        <v>-</v>
      </c>
      <c r="D16727" t="str">
        <v>-</v>
      </c>
      <c r="E16727" t="str">
        <v>-</v>
      </c>
      <c r="F16727" t="str">
        <v>-</v>
      </c>
      <c r="G16727" t="str">
        <v>-</v>
      </c>
    </row>
    <row r="16728">
      <c r="B16728" t="str">
        <v>Công an xã Cát Hải  tỉnh Bình Định</v>
      </c>
      <c r="C16728" t="str">
        <v>-</v>
      </c>
      <c r="D16728" t="str">
        <v>-</v>
      </c>
      <c r="E16728" t="str">
        <v/>
      </c>
      <c r="F16728" t="str">
        <v>-</v>
      </c>
      <c r="G16728" t="str">
        <v>-</v>
      </c>
    </row>
    <row r="16729">
      <c r="B16729" t="str">
        <v>UBND Ủy ban nhân dân xã Cát Hải  tỉnh Bình Định</v>
      </c>
      <c r="C16729" t="str">
        <v>-</v>
      </c>
      <c r="D16729" t="str">
        <v>-</v>
      </c>
      <c r="E16729" t="str">
        <v>-</v>
      </c>
      <c r="F16729" t="str">
        <v>-</v>
      </c>
      <c r="G16729" t="str">
        <v>-</v>
      </c>
    </row>
    <row r="16730">
      <c r="B16730" t="str">
        <v>Công an xã Cát Hiệp  tỉnh Bình Định</v>
      </c>
      <c r="C16730" t="str">
        <v>-</v>
      </c>
      <c r="D16730" t="str">
        <v>-</v>
      </c>
      <c r="E16730" t="str">
        <v/>
      </c>
      <c r="F16730" t="str">
        <v>-</v>
      </c>
      <c r="G16730" t="str">
        <v>-</v>
      </c>
    </row>
    <row r="16731">
      <c r="B16731" t="str">
        <v>UBND Ủy ban nhân dân xã Cát Hiệp  tỉnh Bình Định</v>
      </c>
      <c r="C16731" t="str">
        <v>-</v>
      </c>
      <c r="D16731" t="str">
        <v>-</v>
      </c>
      <c r="E16731" t="str">
        <v>-</v>
      </c>
      <c r="F16731" t="str">
        <v>-</v>
      </c>
      <c r="G16731" t="str">
        <v>-</v>
      </c>
    </row>
    <row r="16732">
      <c r="B16732" t="str">
        <v>Công an xã Cát Nhơn  tỉnh Bình Định</v>
      </c>
      <c r="C16732" t="str">
        <v>-</v>
      </c>
      <c r="D16732" t="str">
        <v>-</v>
      </c>
      <c r="E16732" t="str">
        <v/>
      </c>
      <c r="F16732" t="str">
        <v>-</v>
      </c>
      <c r="G16732" t="str">
        <v>-</v>
      </c>
    </row>
    <row r="16733">
      <c r="B16733" t="str">
        <v>UBND Ủy ban nhân dân xã Cát Nhơn  tỉnh Bình Định</v>
      </c>
      <c r="C16733" t="str">
        <v>-</v>
      </c>
      <c r="D16733" t="str">
        <v>-</v>
      </c>
      <c r="E16733" t="str">
        <v>-</v>
      </c>
      <c r="F16733" t="str">
        <v>-</v>
      </c>
      <c r="G16733" t="str">
        <v>-</v>
      </c>
    </row>
    <row r="16734">
      <c r="B16734" t="str">
        <v>Công an xã Cát Hưng  tỉnh Bình Định</v>
      </c>
      <c r="C16734" t="str">
        <v>-</v>
      </c>
      <c r="D16734" t="str">
        <v>-</v>
      </c>
      <c r="E16734" t="str">
        <v/>
      </c>
      <c r="F16734" t="str">
        <v>-</v>
      </c>
      <c r="G16734" t="str">
        <v>-</v>
      </c>
    </row>
    <row r="16735">
      <c r="B16735" t="str">
        <v>UBND Ủy ban nhân dân xã Cát Hưng  tỉnh Bình Định</v>
      </c>
      <c r="C16735" t="str">
        <v>-</v>
      </c>
      <c r="D16735" t="str">
        <v>-</v>
      </c>
      <c r="E16735" t="str">
        <v>-</v>
      </c>
      <c r="F16735" t="str">
        <v>-</v>
      </c>
      <c r="G16735" t="str">
        <v>-</v>
      </c>
    </row>
    <row r="16736">
      <c r="B16736" t="str">
        <v>Công an xã Cát Tường  tỉnh Bình Định</v>
      </c>
      <c r="C16736" t="str">
        <v>-</v>
      </c>
      <c r="D16736" t="str">
        <v>-</v>
      </c>
      <c r="E16736" t="str">
        <v/>
      </c>
      <c r="F16736" t="str">
        <v>-</v>
      </c>
      <c r="G16736" t="str">
        <v>-</v>
      </c>
    </row>
    <row r="16737">
      <c r="B16737" t="str">
        <v>UBND Ủy ban nhân dân xã Cát Tường  tỉnh Bình Định</v>
      </c>
      <c r="C16737" t="str">
        <v>-</v>
      </c>
      <c r="D16737" t="str">
        <v>-</v>
      </c>
      <c r="E16737" t="str">
        <v>-</v>
      </c>
      <c r="F16737" t="str">
        <v>-</v>
      </c>
      <c r="G16737" t="str">
        <v>-</v>
      </c>
    </row>
    <row r="16738">
      <c r="B16738" t="str">
        <v>Công an xã Cát Tân  tỉnh Bình Định</v>
      </c>
      <c r="C16738" t="str">
        <v>-</v>
      </c>
      <c r="D16738" t="str">
        <v>-</v>
      </c>
      <c r="E16738" t="str">
        <v/>
      </c>
      <c r="F16738" t="str">
        <v>-</v>
      </c>
      <c r="G16738" t="str">
        <v>-</v>
      </c>
    </row>
    <row r="16739">
      <c r="B16739" t="str">
        <v>UBND Ủy ban nhân dân xã Cát Tân  tỉnh Bình Định</v>
      </c>
      <c r="C16739" t="str">
        <v>-</v>
      </c>
      <c r="D16739" t="str">
        <v>-</v>
      </c>
      <c r="E16739" t="str">
        <v>-</v>
      </c>
      <c r="F16739" t="str">
        <v>-</v>
      </c>
      <c r="G16739" t="str">
        <v>-</v>
      </c>
    </row>
    <row r="16740">
      <c r="B16740" t="str">
        <v>Công an xã Cát Tiến  tỉnh Bình Định</v>
      </c>
      <c r="C16740" t="str">
        <v>-</v>
      </c>
      <c r="D16740" t="str">
        <v>-</v>
      </c>
      <c r="E16740" t="str">
        <v/>
      </c>
      <c r="F16740" t="str">
        <v>-</v>
      </c>
      <c r="G16740" t="str">
        <v>-</v>
      </c>
    </row>
    <row r="16741">
      <c r="B16741" t="str">
        <v>UBND Ủy ban nhân dân xã Cát Tiến  tỉnh Bình Định</v>
      </c>
      <c r="C16741" t="str">
        <v>-</v>
      </c>
      <c r="D16741" t="str">
        <v>-</v>
      </c>
      <c r="E16741" t="str">
        <v>-</v>
      </c>
      <c r="F16741" t="str">
        <v>-</v>
      </c>
      <c r="G16741" t="str">
        <v>-</v>
      </c>
    </row>
    <row r="16742">
      <c r="B16742" t="str">
        <v>Công an xã Cát Thắng  tỉnh Bình Định</v>
      </c>
      <c r="C16742" t="str">
        <v>-</v>
      </c>
      <c r="D16742" t="str">
        <v>-</v>
      </c>
      <c r="E16742" t="str">
        <v/>
      </c>
      <c r="F16742" t="str">
        <v>-</v>
      </c>
      <c r="G16742" t="str">
        <v>-</v>
      </c>
    </row>
    <row r="16743">
      <c r="B16743" t="str">
        <v>UBND Ủy ban nhân dân xã Cát Thắng  tỉnh Bình Định</v>
      </c>
      <c r="C16743" t="str">
        <v>-</v>
      </c>
      <c r="D16743" t="str">
        <v>-</v>
      </c>
      <c r="E16743" t="str">
        <v>-</v>
      </c>
      <c r="F16743" t="str">
        <v>-</v>
      </c>
      <c r="G16743" t="str">
        <v>-</v>
      </c>
    </row>
    <row r="16744">
      <c r="B16744" t="str">
        <v>Công an xã Cát Chánh  tỉnh Bình Định</v>
      </c>
      <c r="C16744" t="str">
        <v>-</v>
      </c>
      <c r="D16744" t="str">
        <v>-</v>
      </c>
      <c r="E16744" t="str">
        <v/>
      </c>
      <c r="F16744" t="str">
        <v>-</v>
      </c>
      <c r="G16744" t="str">
        <v>-</v>
      </c>
    </row>
    <row r="16745">
      <c r="B16745" t="str">
        <v>UBND Ủy ban nhân dân xã Cát Chánh  tỉnh Bình Định</v>
      </c>
      <c r="C16745" t="str">
        <v>-</v>
      </c>
      <c r="D16745" t="str">
        <v>-</v>
      </c>
      <c r="E16745" t="str">
        <v>-</v>
      </c>
      <c r="F16745" t="str">
        <v>-</v>
      </c>
      <c r="G16745" t="str">
        <v>-</v>
      </c>
    </row>
    <row r="16746">
      <c r="B16746" t="str">
        <v>Công an phường Bình Định  tỉnh Bình Định</v>
      </c>
      <c r="C16746" t="str">
        <v>-</v>
      </c>
      <c r="D16746" t="str">
        <v>-</v>
      </c>
      <c r="E16746" t="str">
        <v/>
      </c>
      <c r="F16746" t="str">
        <v>-</v>
      </c>
      <c r="G16746" t="str">
        <v>-</v>
      </c>
    </row>
    <row r="16747">
      <c r="B16747" t="str">
        <v>UBND Ủy ban nhân dân phường Bình Định  tỉnh Bình Định</v>
      </c>
      <c r="C16747" t="str">
        <v>-</v>
      </c>
      <c r="D16747" t="str">
        <v>-</v>
      </c>
      <c r="E16747" t="str">
        <v>-</v>
      </c>
      <c r="F16747" t="str">
        <v>-</v>
      </c>
      <c r="G16747" t="str">
        <v>-</v>
      </c>
    </row>
    <row r="16748">
      <c r="B16748" t="str">
        <v>Công an phường Đập Đá  tỉnh Bình Định</v>
      </c>
      <c r="C16748" t="str">
        <v>-</v>
      </c>
      <c r="D16748" t="str">
        <v>-</v>
      </c>
      <c r="E16748" t="str">
        <v/>
      </c>
      <c r="F16748" t="str">
        <v>-</v>
      </c>
      <c r="G16748" t="str">
        <v>-</v>
      </c>
    </row>
    <row r="16749">
      <c r="B16749" t="str">
        <v>UBND Ủy ban nhân dân phường Đập Đá  tỉnh Bình Định</v>
      </c>
      <c r="C16749" t="str">
        <v>-</v>
      </c>
      <c r="D16749" t="str">
        <v>-</v>
      </c>
      <c r="E16749" t="str">
        <v>-</v>
      </c>
      <c r="F16749" t="str">
        <v>-</v>
      </c>
      <c r="G16749" t="str">
        <v>-</v>
      </c>
    </row>
    <row r="16750">
      <c r="B16750" t="str">
        <v>Công an xã Nhơn Mỹ  tỉnh Bình Định</v>
      </c>
      <c r="C16750" t="str">
        <v>-</v>
      </c>
      <c r="D16750" t="str">
        <v>-</v>
      </c>
      <c r="E16750" t="str">
        <v/>
      </c>
      <c r="F16750" t="str">
        <v>-</v>
      </c>
      <c r="G16750" t="str">
        <v>-</v>
      </c>
    </row>
    <row r="16751">
      <c r="B16751" t="str">
        <v>UBND Ủy ban nhân dân xã Nhơn Mỹ  tỉnh Bình Định</v>
      </c>
      <c r="C16751" t="str">
        <v>-</v>
      </c>
      <c r="D16751" t="str">
        <v>-</v>
      </c>
      <c r="E16751" t="str">
        <v>-</v>
      </c>
      <c r="F16751" t="str">
        <v>-</v>
      </c>
      <c r="G16751" t="str">
        <v>-</v>
      </c>
    </row>
    <row r="16752">
      <c r="B16752" t="str">
        <v>Công an phường Nhơn Thành  tỉnh Bình Định</v>
      </c>
      <c r="C16752" t="str">
        <v>-</v>
      </c>
      <c r="D16752" t="str">
        <v>-</v>
      </c>
      <c r="E16752" t="str">
        <v/>
      </c>
      <c r="F16752" t="str">
        <v>-</v>
      </c>
      <c r="G16752" t="str">
        <v>-</v>
      </c>
    </row>
    <row r="16753">
      <c r="B16753" t="str">
        <v>UBND Ủy ban nhân dân phường Nhơn Thành  tỉnh Bình Định</v>
      </c>
      <c r="C16753" t="str">
        <v>-</v>
      </c>
      <c r="D16753" t="str">
        <v>-</v>
      </c>
      <c r="E16753" t="str">
        <v>-</v>
      </c>
      <c r="F16753" t="str">
        <v>-</v>
      </c>
      <c r="G16753" t="str">
        <v>-</v>
      </c>
    </row>
    <row r="16754">
      <c r="B16754" t="str">
        <v>Công an xã Nhơn Hạnh  tỉnh Bình Định</v>
      </c>
      <c r="C16754" t="str">
        <v>-</v>
      </c>
      <c r="D16754" t="str">
        <v>-</v>
      </c>
      <c r="E16754" t="str">
        <v/>
      </c>
      <c r="F16754" t="str">
        <v>-</v>
      </c>
      <c r="G16754" t="str">
        <v>-</v>
      </c>
    </row>
    <row r="16755">
      <c r="B16755" t="str">
        <v>UBND Ủy ban nhân dân xã Nhơn Hạnh  tỉnh Bình Định</v>
      </c>
      <c r="C16755" t="str">
        <v>-</v>
      </c>
      <c r="D16755" t="str">
        <v>-</v>
      </c>
      <c r="E16755" t="str">
        <v>-</v>
      </c>
      <c r="F16755" t="str">
        <v>-</v>
      </c>
      <c r="G16755" t="str">
        <v>-</v>
      </c>
    </row>
    <row r="16756">
      <c r="B16756" t="str">
        <v>Công an xã Nhơn Hậu  tỉnh Bình Định</v>
      </c>
      <c r="C16756" t="str">
        <v>-</v>
      </c>
      <c r="D16756" t="str">
        <v>-</v>
      </c>
      <c r="E16756" t="str">
        <v/>
      </c>
      <c r="F16756" t="str">
        <v>-</v>
      </c>
      <c r="G16756" t="str">
        <v>-</v>
      </c>
    </row>
    <row r="16757">
      <c r="B16757" t="str">
        <v>UBND Ủy ban nhân dân xã Nhơn Hậu  tỉnh Bình Định</v>
      </c>
      <c r="C16757" t="str">
        <v>-</v>
      </c>
      <c r="D16757" t="str">
        <v>-</v>
      </c>
      <c r="E16757" t="str">
        <v>-</v>
      </c>
      <c r="F16757" t="str">
        <v>-</v>
      </c>
      <c r="G16757" t="str">
        <v>-</v>
      </c>
    </row>
    <row r="16758">
      <c r="B16758" t="str">
        <v>Công an xã Nhơn Phong  tỉnh Bình Định</v>
      </c>
      <c r="C16758" t="str">
        <v>-</v>
      </c>
      <c r="D16758" t="str">
        <v>-</v>
      </c>
      <c r="E16758" t="str">
        <v/>
      </c>
      <c r="F16758" t="str">
        <v>-</v>
      </c>
      <c r="G16758" t="str">
        <v>-</v>
      </c>
    </row>
    <row r="16759">
      <c r="B16759" t="str">
        <v>UBND Ủy ban nhân dân xã Nhơn Phong  tỉnh Bình Định</v>
      </c>
      <c r="C16759" t="str">
        <v>-</v>
      </c>
      <c r="D16759" t="str">
        <v>-</v>
      </c>
      <c r="E16759" t="str">
        <v>-</v>
      </c>
      <c r="F16759" t="str">
        <v>-</v>
      </c>
      <c r="G16759" t="str">
        <v>-</v>
      </c>
    </row>
    <row r="16760">
      <c r="B16760" t="str">
        <v>Công an xã Nhơn An  tỉnh Bình Định</v>
      </c>
      <c r="C16760" t="str">
        <v>-</v>
      </c>
      <c r="D16760" t="str">
        <v>-</v>
      </c>
      <c r="E16760" t="str">
        <v/>
      </c>
      <c r="F16760" t="str">
        <v>-</v>
      </c>
      <c r="G16760" t="str">
        <v>-</v>
      </c>
    </row>
    <row r="16761">
      <c r="B16761" t="str">
        <v>UBND Ủy ban nhân dân xã Nhơn An  tỉnh Bình Định</v>
      </c>
      <c r="C16761" t="str">
        <v>-</v>
      </c>
      <c r="D16761" t="str">
        <v>-</v>
      </c>
      <c r="E16761" t="str">
        <v>-</v>
      </c>
      <c r="F16761" t="str">
        <v>-</v>
      </c>
      <c r="G16761" t="str">
        <v>-</v>
      </c>
    </row>
    <row r="16762">
      <c r="B16762" t="str">
        <v>Công an xã Nhơn Phúc  tỉnh Bình Định</v>
      </c>
      <c r="C16762" t="str">
        <v>-</v>
      </c>
      <c r="D16762" t="str">
        <v>-</v>
      </c>
      <c r="E16762" t="str">
        <v/>
      </c>
      <c r="F16762" t="str">
        <v>-</v>
      </c>
      <c r="G16762" t="str">
        <v>-</v>
      </c>
    </row>
    <row r="16763">
      <c r="B16763" t="str">
        <v>UBND Ủy ban nhân dân xã Nhơn Phúc  tỉnh Bình Định</v>
      </c>
      <c r="C16763" t="str">
        <v>-</v>
      </c>
      <c r="D16763" t="str">
        <v>-</v>
      </c>
      <c r="E16763" t="str">
        <v>-</v>
      </c>
      <c r="F16763" t="str">
        <v>-</v>
      </c>
      <c r="G16763" t="str">
        <v>-</v>
      </c>
    </row>
    <row r="16764">
      <c r="B16764" t="str">
        <v>Công an phường Nhơn Hưng  tỉnh Bình Định</v>
      </c>
      <c r="C16764" t="str">
        <v>-</v>
      </c>
      <c r="D16764" t="str">
        <v>-</v>
      </c>
      <c r="E16764" t="str">
        <v/>
      </c>
      <c r="F16764" t="str">
        <v>-</v>
      </c>
      <c r="G16764" t="str">
        <v>-</v>
      </c>
    </row>
    <row r="16765">
      <c r="B16765" t="str">
        <v>UBND Ủy ban nhân dân phường Nhơn Hưng  tỉnh Bình Định</v>
      </c>
      <c r="C16765" t="str">
        <v>-</v>
      </c>
      <c r="D16765" t="str">
        <v>-</v>
      </c>
      <c r="E16765" t="str">
        <v>-</v>
      </c>
      <c r="F16765" t="str">
        <v>-</v>
      </c>
      <c r="G16765" t="str">
        <v>-</v>
      </c>
    </row>
    <row r="16766">
      <c r="B16766" t="str">
        <v>Công an xã Nhơn Khánh  tỉnh Bình Định</v>
      </c>
      <c r="C16766" t="str">
        <v>-</v>
      </c>
      <c r="D16766" t="str">
        <v>-</v>
      </c>
      <c r="E16766" t="str">
        <v/>
      </c>
      <c r="F16766" t="str">
        <v>-</v>
      </c>
      <c r="G16766" t="str">
        <v>-</v>
      </c>
    </row>
    <row r="16767">
      <c r="B16767" t="str">
        <v>UBND Ủy ban nhân dân xã Nhơn Khánh  tỉnh Bình Định</v>
      </c>
      <c r="C16767" t="str">
        <v>-</v>
      </c>
      <c r="D16767" t="str">
        <v>-</v>
      </c>
      <c r="E16767" t="str">
        <v>-</v>
      </c>
      <c r="F16767" t="str">
        <v>-</v>
      </c>
      <c r="G16767" t="str">
        <v>-</v>
      </c>
    </row>
    <row r="16768">
      <c r="B16768" t="str">
        <v>Công an xã Nhơn Lộc  tỉnh Bình Định</v>
      </c>
      <c r="C16768" t="str">
        <v>-</v>
      </c>
      <c r="D16768" t="str">
        <v>-</v>
      </c>
      <c r="E16768" t="str">
        <v/>
      </c>
      <c r="F16768" t="str">
        <v>-</v>
      </c>
      <c r="G16768" t="str">
        <v>-</v>
      </c>
    </row>
    <row r="16769">
      <c r="B16769" t="str">
        <v>UBND Ủy ban nhân dân xã Nhơn Lộc  tỉnh Bình Định</v>
      </c>
      <c r="C16769" t="str">
        <v>-</v>
      </c>
      <c r="D16769" t="str">
        <v>-</v>
      </c>
      <c r="E16769" t="str">
        <v>-</v>
      </c>
      <c r="F16769" t="str">
        <v>-</v>
      </c>
      <c r="G16769" t="str">
        <v>-</v>
      </c>
    </row>
    <row r="16770">
      <c r="B16770" t="str">
        <v>Công an phường Nhơn Hoà  tỉnh Bình Định</v>
      </c>
      <c r="C16770" t="str">
        <v>-</v>
      </c>
      <c r="D16770" t="str">
        <v>-</v>
      </c>
      <c r="E16770" t="str">
        <v/>
      </c>
      <c r="F16770" t="str">
        <v>-</v>
      </c>
      <c r="G16770" t="str">
        <v>-</v>
      </c>
    </row>
    <row r="16771">
      <c r="B16771" t="str">
        <v>UBND Ủy ban nhân dân phường Nhơn Hoà  tỉnh Bình Định</v>
      </c>
      <c r="C16771" t="str">
        <v>-</v>
      </c>
      <c r="D16771" t="str">
        <v>-</v>
      </c>
      <c r="E16771" t="str">
        <v>-</v>
      </c>
      <c r="F16771" t="str">
        <v>-</v>
      </c>
      <c r="G16771" t="str">
        <v>-</v>
      </c>
    </row>
    <row r="16772">
      <c r="B16772" t="str">
        <v>Công an xã Nhơn Tân  tỉnh Bình Định</v>
      </c>
      <c r="C16772" t="str">
        <v>-</v>
      </c>
      <c r="D16772" t="str">
        <v>-</v>
      </c>
      <c r="E16772" t="str">
        <v/>
      </c>
      <c r="F16772" t="str">
        <v>-</v>
      </c>
      <c r="G16772" t="str">
        <v>-</v>
      </c>
    </row>
    <row r="16773">
      <c r="B16773" t="str">
        <v>UBND Ủy ban nhân dân xã Nhơn Tân  tỉnh Bình Định</v>
      </c>
      <c r="C16773" t="str">
        <v>-</v>
      </c>
      <c r="D16773" t="str">
        <v>-</v>
      </c>
      <c r="E16773" t="str">
        <v>-</v>
      </c>
      <c r="F16773" t="str">
        <v>-</v>
      </c>
      <c r="G16773" t="str">
        <v>-</v>
      </c>
    </row>
    <row r="16774">
      <c r="B16774" t="str">
        <v>Công an xã Nhơn Thọ  tỉnh Bình Định</v>
      </c>
      <c r="C16774" t="str">
        <v>-</v>
      </c>
      <c r="D16774" t="str">
        <v>-</v>
      </c>
      <c r="E16774" t="str">
        <v/>
      </c>
      <c r="F16774" t="str">
        <v>-</v>
      </c>
      <c r="G16774" t="str">
        <v>-</v>
      </c>
    </row>
    <row r="16775">
      <c r="B16775" t="str">
        <v>UBND Ủy ban nhân dân xã Nhơn Thọ  tỉnh Bình Định</v>
      </c>
      <c r="C16775" t="str">
        <v>-</v>
      </c>
      <c r="D16775" t="str">
        <v>-</v>
      </c>
      <c r="E16775" t="str">
        <v>-</v>
      </c>
      <c r="F16775" t="str">
        <v>-</v>
      </c>
      <c r="G16775" t="str">
        <v>-</v>
      </c>
    </row>
    <row r="16776">
      <c r="B16776" t="str">
        <v>Công an xã Phước Thắng  tỉnh Bình Định</v>
      </c>
      <c r="C16776" t="str">
        <v>-</v>
      </c>
      <c r="D16776" t="str">
        <v>-</v>
      </c>
      <c r="E16776" t="str">
        <v/>
      </c>
      <c r="F16776" t="str">
        <v>-</v>
      </c>
      <c r="G16776" t="str">
        <v>-</v>
      </c>
    </row>
    <row r="16777">
      <c r="B16777" t="str">
        <v>UBND Ủy ban nhân dân xã Phước Thắng  tỉnh Bình Định</v>
      </c>
      <c r="C16777" t="str">
        <v>-</v>
      </c>
      <c r="D16777" t="str">
        <v>-</v>
      </c>
      <c r="E16777" t="str">
        <v>-</v>
      </c>
      <c r="F16777" t="str">
        <v>-</v>
      </c>
      <c r="G16777" t="str">
        <v>-</v>
      </c>
    </row>
    <row r="16778">
      <c r="B16778" t="str">
        <v>Công an xã Phước Hưng  tỉnh Bình Định</v>
      </c>
      <c r="C16778" t="str">
        <v>-</v>
      </c>
      <c r="D16778" t="str">
        <v>-</v>
      </c>
      <c r="E16778" t="str">
        <v/>
      </c>
      <c r="F16778" t="str">
        <v>-</v>
      </c>
      <c r="G16778" t="str">
        <v>-</v>
      </c>
    </row>
    <row r="16779">
      <c r="B16779" t="str">
        <v>UBND Ủy ban nhân dân xã Phước Hưng  tỉnh Bình Định</v>
      </c>
      <c r="C16779" t="str">
        <v>-</v>
      </c>
      <c r="D16779" t="str">
        <v>-</v>
      </c>
      <c r="E16779" t="str">
        <v>-</v>
      </c>
      <c r="F16779" t="str">
        <v>-</v>
      </c>
      <c r="G16779" t="str">
        <v>-</v>
      </c>
    </row>
    <row r="16780">
      <c r="B16780" t="str">
        <v>Công an xã Phước Quang  tỉnh Bình Định</v>
      </c>
      <c r="C16780" t="str">
        <v>-</v>
      </c>
      <c r="D16780" t="str">
        <v>-</v>
      </c>
      <c r="E16780" t="str">
        <v/>
      </c>
      <c r="F16780" t="str">
        <v>-</v>
      </c>
      <c r="G16780" t="str">
        <v>-</v>
      </c>
    </row>
    <row r="16781">
      <c r="B16781" t="str">
        <v>UBND Ủy ban nhân dân xã Phước Quang  tỉnh Bình Định</v>
      </c>
      <c r="C16781" t="str">
        <v>-</v>
      </c>
      <c r="D16781" t="str">
        <v>-</v>
      </c>
      <c r="E16781" t="str">
        <v>-</v>
      </c>
      <c r="F16781" t="str">
        <v>-</v>
      </c>
      <c r="G16781" t="str">
        <v>-</v>
      </c>
    </row>
    <row r="16782">
      <c r="B16782" t="str">
        <v>Công an xã Phước Hòa  tỉnh Bình Định</v>
      </c>
      <c r="C16782" t="str">
        <v>-</v>
      </c>
      <c r="D16782" t="str">
        <v>-</v>
      </c>
      <c r="E16782" t="str">
        <v/>
      </c>
      <c r="F16782" t="str">
        <v>-</v>
      </c>
      <c r="G16782" t="str">
        <v>-</v>
      </c>
    </row>
    <row r="16783">
      <c r="B16783" t="str">
        <v>UBND Ủy ban nhân dân xã Phước Hòa  tỉnh Bình Định</v>
      </c>
      <c r="C16783" t="str">
        <v>-</v>
      </c>
      <c r="D16783" t="str">
        <v>-</v>
      </c>
      <c r="E16783" t="str">
        <v>-</v>
      </c>
      <c r="F16783" t="str">
        <v>-</v>
      </c>
      <c r="G16783" t="str">
        <v>-</v>
      </c>
    </row>
    <row r="16784">
      <c r="B16784" t="str">
        <v>Công an xã Phước Sơn  tỉnh Bình Định</v>
      </c>
      <c r="C16784" t="str">
        <v>-</v>
      </c>
      <c r="D16784" t="str">
        <v>-</v>
      </c>
      <c r="E16784" t="str">
        <v/>
      </c>
      <c r="F16784" t="str">
        <v>-</v>
      </c>
      <c r="G16784" t="str">
        <v>-</v>
      </c>
    </row>
    <row r="16785">
      <c r="B16785" t="str">
        <v>UBND Ủy ban nhân dân xã Phước Sơn  tỉnh Bình Định</v>
      </c>
      <c r="C16785" t="str">
        <v>-</v>
      </c>
      <c r="D16785" t="str">
        <v>-</v>
      </c>
      <c r="E16785" t="str">
        <v>-</v>
      </c>
      <c r="F16785" t="str">
        <v>-</v>
      </c>
      <c r="G16785" t="str">
        <v>-</v>
      </c>
    </row>
    <row r="16786">
      <c r="B16786" t="str">
        <v>Công an xã Phước Hiệp  tỉnh Bình Định</v>
      </c>
      <c r="C16786" t="str">
        <v>-</v>
      </c>
      <c r="D16786" t="str">
        <v>-</v>
      </c>
      <c r="E16786" t="str">
        <v/>
      </c>
      <c r="F16786" t="str">
        <v>-</v>
      </c>
      <c r="G16786" t="str">
        <v>-</v>
      </c>
    </row>
    <row r="16787">
      <c r="B16787" t="str">
        <v>UBND Ủy ban nhân dân xã Phước Hiệp  tỉnh Bình Định</v>
      </c>
      <c r="C16787" t="str">
        <v>-</v>
      </c>
      <c r="D16787" t="str">
        <v>-</v>
      </c>
      <c r="E16787" t="str">
        <v>-</v>
      </c>
      <c r="F16787" t="str">
        <v>-</v>
      </c>
      <c r="G16787" t="str">
        <v>-</v>
      </c>
    </row>
    <row r="16788">
      <c r="B16788" t="str">
        <v>Công an xã Phước Lộc  tỉnh Bình Định</v>
      </c>
      <c r="C16788" t="str">
        <v>-</v>
      </c>
      <c r="D16788" t="str">
        <v>-</v>
      </c>
      <c r="E16788" t="str">
        <v/>
      </c>
      <c r="F16788" t="str">
        <v>-</v>
      </c>
      <c r="G16788" t="str">
        <v>-</v>
      </c>
    </row>
    <row r="16789">
      <c r="B16789" t="str">
        <v>UBND Ủy ban nhân dân xã Phước Lộc  tỉnh Bình Định</v>
      </c>
      <c r="C16789" t="str">
        <v>-</v>
      </c>
      <c r="D16789" t="str">
        <v>-</v>
      </c>
      <c r="E16789" t="str">
        <v>-</v>
      </c>
      <c r="F16789" t="str">
        <v>-</v>
      </c>
      <c r="G16789" t="str">
        <v>-</v>
      </c>
    </row>
    <row r="16790">
      <c r="B16790" t="str">
        <v>Công an xã Phước Nghĩa  tỉnh Bình Định</v>
      </c>
      <c r="C16790" t="str">
        <v>-</v>
      </c>
      <c r="D16790" t="str">
        <v>-</v>
      </c>
      <c r="E16790" t="str">
        <v/>
      </c>
      <c r="F16790" t="str">
        <v>-</v>
      </c>
      <c r="G16790" t="str">
        <v>-</v>
      </c>
    </row>
    <row r="16791">
      <c r="B16791" t="str">
        <v>UBND Ủy ban nhân dân xã Phước Nghĩa  tỉnh Bình Định</v>
      </c>
      <c r="C16791" t="str">
        <v>-</v>
      </c>
      <c r="D16791" t="str">
        <v>-</v>
      </c>
      <c r="E16791" t="str">
        <v>-</v>
      </c>
      <c r="F16791" t="str">
        <v>-</v>
      </c>
      <c r="G16791" t="str">
        <v>-</v>
      </c>
    </row>
    <row r="16792">
      <c r="B16792" t="str">
        <v>Công an xã Phước Thuận  tỉnh Bình Định</v>
      </c>
      <c r="C16792" t="str">
        <v>-</v>
      </c>
      <c r="D16792" t="str">
        <v>-</v>
      </c>
      <c r="E16792" t="str">
        <v/>
      </c>
      <c r="F16792" t="str">
        <v>-</v>
      </c>
      <c r="G16792" t="str">
        <v>-</v>
      </c>
    </row>
    <row r="16793">
      <c r="B16793" t="str">
        <v>UBND Ủy ban nhân dân xã Phước Thuận  tỉnh Bình Định</v>
      </c>
      <c r="C16793" t="str">
        <v>-</v>
      </c>
      <c r="D16793" t="str">
        <v>-</v>
      </c>
      <c r="E16793" t="str">
        <v>-</v>
      </c>
      <c r="F16793" t="str">
        <v>-</v>
      </c>
      <c r="G16793" t="str">
        <v>-</v>
      </c>
    </row>
    <row r="16794">
      <c r="B16794" t="str">
        <v>Công an xã Phước An  tỉnh Bình Định</v>
      </c>
      <c r="C16794" t="str">
        <v>-</v>
      </c>
      <c r="D16794" t="str">
        <v>-</v>
      </c>
      <c r="E16794" t="str">
        <v/>
      </c>
      <c r="F16794" t="str">
        <v>-</v>
      </c>
      <c r="G16794" t="str">
        <v>-</v>
      </c>
    </row>
    <row r="16795">
      <c r="B16795" t="str">
        <v>UBND Ủy ban nhân dân xã Phước An  tỉnh Bình Định</v>
      </c>
      <c r="C16795" t="str">
        <v>-</v>
      </c>
      <c r="D16795" t="str">
        <v>-</v>
      </c>
      <c r="E16795" t="str">
        <v>-</v>
      </c>
      <c r="F16795" t="str">
        <v>-</v>
      </c>
      <c r="G16795" t="str">
        <v>-</v>
      </c>
    </row>
    <row r="16796">
      <c r="B16796" t="str">
        <v>Công an xã Phước Thành  tỉnh Bình Định</v>
      </c>
      <c r="C16796" t="str">
        <v>-</v>
      </c>
      <c r="D16796" t="str">
        <v>-</v>
      </c>
      <c r="E16796" t="str">
        <v/>
      </c>
      <c r="F16796" t="str">
        <v>-</v>
      </c>
      <c r="G16796" t="str">
        <v>-</v>
      </c>
    </row>
    <row r="16797">
      <c r="B16797" t="str">
        <v>UBND Ủy ban nhân dân xã Phước Thành  tỉnh Bình Định</v>
      </c>
      <c r="C16797" t="str">
        <v>-</v>
      </c>
      <c r="D16797" t="str">
        <v>-</v>
      </c>
      <c r="E16797" t="str">
        <v>-</v>
      </c>
      <c r="F16797" t="str">
        <v>-</v>
      </c>
      <c r="G16797" t="str">
        <v>-</v>
      </c>
    </row>
    <row r="16798">
      <c r="B16798" t="str">
        <v>Công an xã Canh Liên  tỉnh Bình Định</v>
      </c>
      <c r="C16798" t="str">
        <v>-</v>
      </c>
      <c r="D16798" t="str">
        <v>-</v>
      </c>
      <c r="E16798" t="str">
        <v/>
      </c>
      <c r="F16798" t="str">
        <v>-</v>
      </c>
      <c r="G16798" t="str">
        <v>-</v>
      </c>
    </row>
    <row r="16799">
      <c r="B16799" t="str">
        <v>UBND Ủy ban nhân dân xã Canh Liên  tỉnh Bình Định</v>
      </c>
      <c r="C16799" t="str">
        <v>-</v>
      </c>
      <c r="D16799" t="str">
        <v>-</v>
      </c>
      <c r="E16799" t="str">
        <v>-</v>
      </c>
      <c r="F16799" t="str">
        <v>-</v>
      </c>
      <c r="G16799" t="str">
        <v>-</v>
      </c>
    </row>
    <row r="16800">
      <c r="B16800" t="str">
        <v>Công an xã Canh Hiệp  tỉnh Bình Định</v>
      </c>
      <c r="C16800" t="str">
        <v>-</v>
      </c>
      <c r="D16800" t="str">
        <v>-</v>
      </c>
      <c r="E16800" t="str">
        <v/>
      </c>
      <c r="F16800" t="str">
        <v>-</v>
      </c>
      <c r="G16800" t="str">
        <v>-</v>
      </c>
    </row>
    <row r="16801">
      <c r="B16801" t="str">
        <v>UBND Ủy ban nhân dân xã Canh Hiệp  tỉnh Bình Định</v>
      </c>
      <c r="C16801" t="str">
        <v>-</v>
      </c>
      <c r="D16801" t="str">
        <v>-</v>
      </c>
      <c r="E16801" t="str">
        <v>-</v>
      </c>
      <c r="F16801" t="str">
        <v>-</v>
      </c>
      <c r="G16801" t="str">
        <v>-</v>
      </c>
    </row>
    <row r="16802">
      <c r="B16802" t="str">
        <v>Công an xã Canh Vinh  tỉnh Bình Định</v>
      </c>
      <c r="C16802" t="str">
        <v>-</v>
      </c>
      <c r="D16802" t="str">
        <v>-</v>
      </c>
      <c r="E16802" t="str">
        <v/>
      </c>
      <c r="F16802" t="str">
        <v>-</v>
      </c>
      <c r="G16802" t="str">
        <v>-</v>
      </c>
    </row>
    <row r="16803">
      <c r="B16803" t="str">
        <v>UBND Ủy ban nhân dân xã Canh Vinh  tỉnh Bình Định</v>
      </c>
      <c r="C16803" t="str">
        <v>-</v>
      </c>
      <c r="D16803" t="str">
        <v>-</v>
      </c>
      <c r="E16803" t="str">
        <v>-</v>
      </c>
      <c r="F16803" t="str">
        <v>-</v>
      </c>
      <c r="G16803" t="str">
        <v>-</v>
      </c>
    </row>
    <row r="16804">
      <c r="B16804" t="str">
        <v>Công an xã Canh Hiển  tỉnh Bình Định</v>
      </c>
      <c r="C16804" t="str">
        <v>-</v>
      </c>
      <c r="D16804" t="str">
        <v>-</v>
      </c>
      <c r="E16804" t="str">
        <v/>
      </c>
      <c r="F16804" t="str">
        <v>-</v>
      </c>
      <c r="G16804" t="str">
        <v>-</v>
      </c>
    </row>
    <row r="16805">
      <c r="B16805" t="str">
        <v>UBND Ủy ban nhân dân xã Canh Hiển  tỉnh Bình Định</v>
      </c>
      <c r="C16805" t="str">
        <v>-</v>
      </c>
      <c r="D16805" t="str">
        <v>-</v>
      </c>
      <c r="E16805" t="str">
        <v>-</v>
      </c>
      <c r="F16805" t="str">
        <v>-</v>
      </c>
      <c r="G16805" t="str">
        <v>-</v>
      </c>
    </row>
    <row r="16806">
      <c r="B16806" t="str">
        <v>Công an xã Canh Thuận  tỉnh Bình Định</v>
      </c>
      <c r="C16806" t="str">
        <v>-</v>
      </c>
      <c r="D16806" t="str">
        <v>-</v>
      </c>
      <c r="E16806" t="str">
        <v/>
      </c>
      <c r="F16806" t="str">
        <v>-</v>
      </c>
      <c r="G16806" t="str">
        <v>-</v>
      </c>
    </row>
    <row r="16807">
      <c r="B16807" t="str">
        <v>UBND Ủy ban nhân dân xã Canh Thuận  tỉnh Bình Định</v>
      </c>
      <c r="C16807" t="str">
        <v>-</v>
      </c>
      <c r="D16807" t="str">
        <v>-</v>
      </c>
      <c r="E16807" t="str">
        <v>-</v>
      </c>
      <c r="F16807" t="str">
        <v>-</v>
      </c>
      <c r="G16807" t="str">
        <v>-</v>
      </c>
    </row>
    <row r="16808">
      <c r="B16808" t="str">
        <v>Công an xã Canh Hòa  tỉnh Bình Định</v>
      </c>
      <c r="C16808" t="str">
        <v>-</v>
      </c>
      <c r="D16808" t="str">
        <v>-</v>
      </c>
      <c r="E16808" t="str">
        <v/>
      </c>
      <c r="F16808" t="str">
        <v>-</v>
      </c>
      <c r="G16808" t="str">
        <v>-</v>
      </c>
    </row>
    <row r="16809">
      <c r="B16809" t="str">
        <v>UBND Ủy ban nhân dân xã Canh Hòa  tỉnh Bình Định</v>
      </c>
      <c r="C16809" t="str">
        <v>-</v>
      </c>
      <c r="D16809" t="str">
        <v>-</v>
      </c>
      <c r="E16809" t="str">
        <v>-</v>
      </c>
      <c r="F16809" t="str">
        <v>-</v>
      </c>
      <c r="G16809" t="str">
        <v>-</v>
      </c>
    </row>
    <row r="16810">
      <c r="B16810" t="str">
        <v>Công an phường 1  tỉnh Phú Yên</v>
      </c>
      <c r="C16810" t="str">
        <v>-</v>
      </c>
      <c r="D16810" t="str">
        <v>-</v>
      </c>
      <c r="E16810" t="str">
        <v/>
      </c>
      <c r="F16810" t="str">
        <v>-</v>
      </c>
      <c r="G16810" t="str">
        <v>-</v>
      </c>
    </row>
    <row r="16811">
      <c r="B16811" t="str">
        <v>UBND Ủy ban nhân dân phường 1  tỉnh Phú Yên</v>
      </c>
      <c r="C16811" t="str">
        <v>-</v>
      </c>
      <c r="D16811" t="str">
        <v>-</v>
      </c>
      <c r="E16811" t="str">
        <v>-</v>
      </c>
      <c r="F16811" t="str">
        <v>-</v>
      </c>
      <c r="G16811" t="str">
        <v>-</v>
      </c>
    </row>
    <row r="16812">
      <c r="B16812" t="str">
        <v>Công an phường 8  tỉnh Phú Yên</v>
      </c>
      <c r="C16812" t="str">
        <v>-</v>
      </c>
      <c r="D16812" t="str">
        <v>-</v>
      </c>
      <c r="E16812" t="str">
        <v/>
      </c>
      <c r="F16812" t="str">
        <v>-</v>
      </c>
      <c r="G16812" t="str">
        <v>-</v>
      </c>
    </row>
    <row r="16813">
      <c r="B16813" t="str">
        <v>UBND Ủy ban nhân dân phường 8  tỉnh Phú Yên</v>
      </c>
      <c r="C16813" t="str">
        <v>-</v>
      </c>
      <c r="D16813" t="str">
        <v>-</v>
      </c>
      <c r="E16813" t="str">
        <v>-</v>
      </c>
      <c r="F16813" t="str">
        <v>-</v>
      </c>
      <c r="G16813" t="str">
        <v>-</v>
      </c>
    </row>
    <row r="16814">
      <c r="B16814" t="str">
        <v>Công an phường 2  tỉnh Phú Yên</v>
      </c>
      <c r="C16814" t="str">
        <v>-</v>
      </c>
      <c r="D16814" t="str">
        <v>-</v>
      </c>
      <c r="E16814" t="str">
        <v/>
      </c>
      <c r="F16814" t="str">
        <v>-</v>
      </c>
      <c r="G16814" t="str">
        <v>-</v>
      </c>
    </row>
    <row r="16815">
      <c r="B16815" t="str">
        <v>UBND Ủy ban nhân dân phường 2  tỉnh Phú Yên</v>
      </c>
      <c r="C16815" t="str">
        <v>-</v>
      </c>
      <c r="D16815" t="str">
        <v>-</v>
      </c>
      <c r="E16815" t="str">
        <v>-</v>
      </c>
      <c r="F16815" t="str">
        <v>-</v>
      </c>
      <c r="G16815" t="str">
        <v>-</v>
      </c>
    </row>
    <row r="16816">
      <c r="B16816" t="str">
        <v>Công an phường 9  tỉnh Phú Yên</v>
      </c>
      <c r="C16816" t="str">
        <v>-</v>
      </c>
      <c r="D16816" t="str">
        <v>-</v>
      </c>
      <c r="E16816" t="str">
        <v/>
      </c>
      <c r="F16816" t="str">
        <v>-</v>
      </c>
      <c r="G16816" t="str">
        <v>-</v>
      </c>
    </row>
    <row r="16817">
      <c r="B16817" t="str">
        <v>UBND Ủy ban nhân dân phường 9  tỉnh Phú Yên</v>
      </c>
      <c r="C16817" t="str">
        <v>-</v>
      </c>
      <c r="D16817" t="str">
        <v>-</v>
      </c>
      <c r="E16817" t="str">
        <v>-</v>
      </c>
      <c r="F16817" t="str">
        <v>-</v>
      </c>
      <c r="G16817" t="str">
        <v>-</v>
      </c>
    </row>
    <row r="16818">
      <c r="B16818" t="str">
        <v>Công an phường 3  tỉnh Phú Yên</v>
      </c>
      <c r="C16818" t="str">
        <v>-</v>
      </c>
      <c r="D16818" t="str">
        <v>-</v>
      </c>
      <c r="E16818" t="str">
        <v/>
      </c>
      <c r="F16818" t="str">
        <v>-</v>
      </c>
      <c r="G16818" t="str">
        <v>-</v>
      </c>
    </row>
    <row r="16819">
      <c r="B16819" t="str">
        <v>UBND Ủy ban nhân dân phường 3  tỉnh Phú Yên</v>
      </c>
      <c r="C16819" t="str">
        <v>-</v>
      </c>
      <c r="D16819" t="str">
        <v>-</v>
      </c>
      <c r="E16819" t="str">
        <v>-</v>
      </c>
      <c r="F16819" t="str">
        <v>-</v>
      </c>
      <c r="G16819" t="str">
        <v>-</v>
      </c>
    </row>
    <row r="16820">
      <c r="B16820" t="str">
        <v>Công an phường 4  tỉnh Phú Yên</v>
      </c>
      <c r="C16820" t="str">
        <v>-</v>
      </c>
      <c r="D16820" t="str">
        <v>-</v>
      </c>
      <c r="E16820" t="str">
        <v/>
      </c>
      <c r="F16820" t="str">
        <v>-</v>
      </c>
      <c r="G16820" t="str">
        <v>-</v>
      </c>
    </row>
    <row r="16821">
      <c r="B16821" t="str">
        <v>UBND Ủy ban nhân dân phường 4  tỉnh Phú Yên</v>
      </c>
      <c r="C16821" t="str">
        <v>-</v>
      </c>
      <c r="D16821" t="str">
        <v>-</v>
      </c>
      <c r="E16821" t="str">
        <v>-</v>
      </c>
      <c r="F16821" t="str">
        <v>-</v>
      </c>
      <c r="G16821" t="str">
        <v>-</v>
      </c>
    </row>
    <row r="16822">
      <c r="B16822" t="str">
        <v>Công an phường 5  tỉnh Phú Yên</v>
      </c>
      <c r="C16822" t="str">
        <v>-</v>
      </c>
      <c r="D16822" t="str">
        <v>-</v>
      </c>
      <c r="E16822" t="str">
        <v/>
      </c>
      <c r="F16822" t="str">
        <v>-</v>
      </c>
      <c r="G16822" t="str">
        <v>-</v>
      </c>
    </row>
    <row r="16823">
      <c r="B16823" t="str">
        <v>UBND Ủy ban nhân dân phường 5  tỉnh Phú Yên</v>
      </c>
      <c r="C16823" t="str">
        <v>-</v>
      </c>
      <c r="D16823" t="str">
        <v>-</v>
      </c>
      <c r="E16823" t="str">
        <v>-</v>
      </c>
      <c r="F16823" t="str">
        <v>-</v>
      </c>
      <c r="G16823" t="str">
        <v>-</v>
      </c>
    </row>
    <row r="16824">
      <c r="B16824" t="str">
        <v>Công an phường 7  tỉnh Phú Yên</v>
      </c>
      <c r="C16824" t="str">
        <v>-</v>
      </c>
      <c r="D16824" t="str">
        <v>-</v>
      </c>
      <c r="E16824" t="str">
        <v/>
      </c>
      <c r="F16824" t="str">
        <v>-</v>
      </c>
      <c r="G16824" t="str">
        <v>-</v>
      </c>
    </row>
    <row r="16825">
      <c r="B16825" t="str">
        <v>UBND Ủy ban nhân dân phường 7  tỉnh Phú Yên</v>
      </c>
      <c r="C16825" t="str">
        <v>-</v>
      </c>
      <c r="D16825" t="str">
        <v>-</v>
      </c>
      <c r="E16825" t="str">
        <v>-</v>
      </c>
      <c r="F16825" t="str">
        <v>-</v>
      </c>
      <c r="G16825" t="str">
        <v>-</v>
      </c>
    </row>
    <row r="16826">
      <c r="B16826" t="str">
        <v>Công an phường 6  tỉnh Phú Yên</v>
      </c>
      <c r="C16826" t="str">
        <v>-</v>
      </c>
      <c r="D16826" t="str">
        <v>-</v>
      </c>
      <c r="E16826" t="str">
        <v/>
      </c>
      <c r="F16826" t="str">
        <v>-</v>
      </c>
      <c r="G16826" t="str">
        <v>-</v>
      </c>
    </row>
    <row r="16827">
      <c r="B16827" t="str">
        <v>UBND Ủy ban nhân dân phường 6  tỉnh Phú Yên</v>
      </c>
      <c r="C16827" t="str">
        <v>-</v>
      </c>
      <c r="D16827" t="str">
        <v>-</v>
      </c>
      <c r="E16827" t="str">
        <v>-</v>
      </c>
      <c r="F16827" t="str">
        <v>-</v>
      </c>
      <c r="G16827" t="str">
        <v>-</v>
      </c>
    </row>
    <row r="16828">
      <c r="B16828" t="str">
        <v>Công an phường Phú Thạnh  tỉnh Phú Yên</v>
      </c>
      <c r="C16828" t="str">
        <v>-</v>
      </c>
      <c r="D16828" t="str">
        <v>-</v>
      </c>
      <c r="E16828" t="str">
        <v/>
      </c>
      <c r="F16828" t="str">
        <v>-</v>
      </c>
      <c r="G16828" t="str">
        <v>-</v>
      </c>
    </row>
    <row r="16829">
      <c r="B16829" t="str">
        <v>UBND Ủy ban nhân dân phường Phú Thạnh  tỉnh Phú Yên</v>
      </c>
      <c r="C16829" t="str">
        <v>-</v>
      </c>
      <c r="D16829" t="str">
        <v>-</v>
      </c>
      <c r="E16829" t="str">
        <v>-</v>
      </c>
      <c r="F16829" t="str">
        <v>-</v>
      </c>
      <c r="G16829" t="str">
        <v>-</v>
      </c>
    </row>
    <row r="16830">
      <c r="B16830" t="str">
        <v>Công an phường Phú Đông  tỉnh Phú Yên</v>
      </c>
      <c r="C16830" t="str">
        <v>-</v>
      </c>
      <c r="D16830" t="str">
        <v>-</v>
      </c>
      <c r="E16830" t="str">
        <v/>
      </c>
      <c r="F16830" t="str">
        <v>-</v>
      </c>
      <c r="G16830" t="str">
        <v>-</v>
      </c>
    </row>
    <row r="16831">
      <c r="B16831" t="str">
        <v>UBND Ủy ban nhân dân phường Phú Đông  tỉnh Phú Yên</v>
      </c>
      <c r="C16831" t="str">
        <v>-</v>
      </c>
      <c r="D16831" t="str">
        <v>-</v>
      </c>
      <c r="E16831" t="str">
        <v>-</v>
      </c>
      <c r="F16831" t="str">
        <v>-</v>
      </c>
      <c r="G16831" t="str">
        <v>-</v>
      </c>
    </row>
    <row r="16832">
      <c r="B16832" t="str">
        <v>Công an xã Hòa Kiến  tỉnh Phú Yên</v>
      </c>
      <c r="C16832" t="str">
        <v>-</v>
      </c>
      <c r="D16832" t="str">
        <v>-</v>
      </c>
      <c r="E16832" t="str">
        <v/>
      </c>
      <c r="F16832" t="str">
        <v>-</v>
      </c>
      <c r="G16832" t="str">
        <v>-</v>
      </c>
    </row>
    <row r="16833">
      <c r="B16833" t="str">
        <v>UBND Ủy ban nhân dân xã Hòa Kiến  tỉnh Phú Yên</v>
      </c>
      <c r="C16833" t="str">
        <v>-</v>
      </c>
      <c r="D16833" t="str">
        <v>-</v>
      </c>
      <c r="E16833" t="str">
        <v>-</v>
      </c>
      <c r="F16833" t="str">
        <v>-</v>
      </c>
      <c r="G16833" t="str">
        <v>-</v>
      </c>
    </row>
    <row r="16834">
      <c r="B16834" t="str">
        <v>Công an xã Bình Kiến  tỉnh Phú Yên</v>
      </c>
      <c r="C16834" t="str">
        <v>-</v>
      </c>
      <c r="D16834" t="str">
        <v>-</v>
      </c>
      <c r="E16834" t="str">
        <v/>
      </c>
      <c r="F16834" t="str">
        <v>-</v>
      </c>
      <c r="G16834" t="str">
        <v>-</v>
      </c>
    </row>
    <row r="16835">
      <c r="B16835" t="str">
        <v>UBND Ủy ban nhân dân xã Bình Kiến  tỉnh Phú Yên</v>
      </c>
      <c r="C16835" t="str">
        <v>-</v>
      </c>
      <c r="D16835" t="str">
        <v>-</v>
      </c>
      <c r="E16835" t="str">
        <v>-</v>
      </c>
      <c r="F16835" t="str">
        <v>-</v>
      </c>
      <c r="G16835" t="str">
        <v>-</v>
      </c>
    </row>
    <row r="16836">
      <c r="B16836" t="str">
        <v>Công an xã Bình Ngọc  tỉnh Phú Yên</v>
      </c>
      <c r="C16836" t="str">
        <v>-</v>
      </c>
      <c r="D16836" t="str">
        <v>-</v>
      </c>
      <c r="E16836" t="str">
        <v/>
      </c>
      <c r="F16836" t="str">
        <v>-</v>
      </c>
      <c r="G16836" t="str">
        <v>-</v>
      </c>
    </row>
    <row r="16837">
      <c r="B16837" t="str">
        <v>UBND Ủy ban nhân dân xã Bình Ngọc  tỉnh Phú Yên</v>
      </c>
      <c r="C16837" t="str">
        <v>-</v>
      </c>
      <c r="D16837" t="str">
        <v>-</v>
      </c>
      <c r="E16837" t="str">
        <v>-</v>
      </c>
      <c r="F16837" t="str">
        <v>-</v>
      </c>
      <c r="G16837" t="str">
        <v>-</v>
      </c>
    </row>
    <row r="16838">
      <c r="B16838" t="str">
        <v>Công an xã An Phú  tỉnh Phú Yên</v>
      </c>
      <c r="C16838" t="str">
        <v>-</v>
      </c>
      <c r="D16838" t="str">
        <v>-</v>
      </c>
      <c r="E16838" t="str">
        <v/>
      </c>
      <c r="F16838" t="str">
        <v>-</v>
      </c>
      <c r="G16838" t="str">
        <v>-</v>
      </c>
    </row>
    <row r="16839">
      <c r="B16839" t="str">
        <v>UBND Ủy ban nhân dân xã An Phú  tỉnh Phú Yên</v>
      </c>
      <c r="C16839" t="str">
        <v>-</v>
      </c>
      <c r="D16839" t="str">
        <v>-</v>
      </c>
      <c r="E16839" t="str">
        <v>-</v>
      </c>
      <c r="F16839" t="str">
        <v>-</v>
      </c>
      <c r="G16839" t="str">
        <v>-</v>
      </c>
    </row>
    <row r="16840">
      <c r="B16840" t="str">
        <v>Công an phường Phú Lâm  tỉnh Phú Yên</v>
      </c>
      <c r="C16840" t="str">
        <v>-</v>
      </c>
      <c r="D16840" t="str">
        <v>-</v>
      </c>
      <c r="E16840" t="str">
        <v/>
      </c>
      <c r="F16840" t="str">
        <v>-</v>
      </c>
      <c r="G16840" t="str">
        <v>-</v>
      </c>
    </row>
    <row r="16841">
      <c r="B16841" t="str">
        <v>UBND Ủy ban nhân dân phường Phú Lâm  tỉnh Phú Yên</v>
      </c>
      <c r="C16841" t="str">
        <v>-</v>
      </c>
      <c r="D16841" t="str">
        <v>-</v>
      </c>
      <c r="E16841" t="str">
        <v>-</v>
      </c>
      <c r="F16841" t="str">
        <v>-</v>
      </c>
      <c r="G16841" t="str">
        <v>-</v>
      </c>
    </row>
    <row r="16842">
      <c r="B16842" t="str">
        <v>Công an phường Xuân Phú  tỉnh Phú Yên</v>
      </c>
      <c r="C16842" t="str">
        <v>-</v>
      </c>
      <c r="D16842" t="str">
        <v>-</v>
      </c>
      <c r="E16842" t="str">
        <v/>
      </c>
      <c r="F16842" t="str">
        <v>-</v>
      </c>
      <c r="G16842" t="str">
        <v>-</v>
      </c>
    </row>
    <row r="16843">
      <c r="B16843" t="str">
        <v>UBND Ủy ban nhân dân phường Xuân Phú  tỉnh Phú Yên</v>
      </c>
      <c r="C16843" t="str">
        <v>-</v>
      </c>
      <c r="D16843" t="str">
        <v>-</v>
      </c>
      <c r="E16843" t="str">
        <v>-</v>
      </c>
      <c r="F16843" t="str">
        <v>-</v>
      </c>
      <c r="G16843" t="str">
        <v>-</v>
      </c>
    </row>
    <row r="16844">
      <c r="B16844" t="str">
        <v>Công an xã Xuân Lâm  tỉnh Phú Yên</v>
      </c>
      <c r="C16844" t="str">
        <v>-</v>
      </c>
      <c r="D16844" t="str">
        <v>-</v>
      </c>
      <c r="E16844" t="str">
        <v/>
      </c>
      <c r="F16844" t="str">
        <v>-</v>
      </c>
      <c r="G16844" t="str">
        <v>-</v>
      </c>
    </row>
    <row r="16845">
      <c r="B16845" t="str">
        <v>UBND Ủy ban nhân dân xã Xuân Lâm  tỉnh Phú Yên</v>
      </c>
      <c r="C16845" t="str">
        <v>-</v>
      </c>
      <c r="D16845" t="str">
        <v>-</v>
      </c>
      <c r="E16845" t="str">
        <v>-</v>
      </c>
      <c r="F16845" t="str">
        <v>-</v>
      </c>
      <c r="G16845" t="str">
        <v>-</v>
      </c>
    </row>
    <row r="16846">
      <c r="B16846" t="str">
        <v>Công an phường Xuân Thành  tỉnh Phú Yên</v>
      </c>
      <c r="C16846" t="str">
        <v>-</v>
      </c>
      <c r="D16846" t="str">
        <v>-</v>
      </c>
      <c r="E16846" t="str">
        <v/>
      </c>
      <c r="F16846" t="str">
        <v>-</v>
      </c>
      <c r="G16846" t="str">
        <v>-</v>
      </c>
    </row>
    <row r="16847">
      <c r="B16847" t="str">
        <v>UBND Ủy ban nhân dân phường Xuân Thành  tỉnh Phú Yên</v>
      </c>
      <c r="C16847" t="str">
        <v>-</v>
      </c>
      <c r="D16847" t="str">
        <v>-</v>
      </c>
      <c r="E16847" t="str">
        <v>-</v>
      </c>
      <c r="F16847" t="str">
        <v>-</v>
      </c>
      <c r="G16847" t="str">
        <v>-</v>
      </c>
    </row>
    <row r="16848">
      <c r="B16848" t="str">
        <v>Công an xã Xuân Hải  tỉnh Phú Yên</v>
      </c>
      <c r="C16848" t="str">
        <v>-</v>
      </c>
      <c r="D16848" t="str">
        <v>-</v>
      </c>
      <c r="E16848" t="str">
        <v/>
      </c>
      <c r="F16848" t="str">
        <v>-</v>
      </c>
      <c r="G16848" t="str">
        <v>-</v>
      </c>
    </row>
    <row r="16849">
      <c r="B16849" t="str">
        <v>UBND Ủy ban nhân dân xã Xuân Hải  tỉnh Phú Yên</v>
      </c>
      <c r="C16849" t="str">
        <v>-</v>
      </c>
      <c r="D16849" t="str">
        <v>-</v>
      </c>
      <c r="E16849" t="str">
        <v>-</v>
      </c>
      <c r="F16849" t="str">
        <v>-</v>
      </c>
      <c r="G16849" t="str">
        <v>-</v>
      </c>
    </row>
    <row r="16850">
      <c r="B16850" t="str">
        <v>Công an xã Xuân Lộc  tỉnh Phú Yên</v>
      </c>
      <c r="C16850" t="str">
        <v>-</v>
      </c>
      <c r="D16850" t="str">
        <v>-</v>
      </c>
      <c r="E16850" t="str">
        <v/>
      </c>
      <c r="F16850" t="str">
        <v>-</v>
      </c>
      <c r="G16850" t="str">
        <v>-</v>
      </c>
    </row>
    <row r="16851">
      <c r="B16851" t="str">
        <v>UBND Ủy ban nhân dân xã Xuân Lộc  tỉnh Phú Yên</v>
      </c>
      <c r="C16851" t="str">
        <v>-</v>
      </c>
      <c r="D16851" t="str">
        <v>-</v>
      </c>
      <c r="E16851" t="str">
        <v>-</v>
      </c>
      <c r="F16851" t="str">
        <v>-</v>
      </c>
      <c r="G16851" t="str">
        <v>-</v>
      </c>
    </row>
    <row r="16852">
      <c r="B16852" t="str">
        <v>Công an xã Xuân Bình  tỉnh Phú Yên</v>
      </c>
      <c r="C16852" t="str">
        <v>-</v>
      </c>
      <c r="D16852" t="str">
        <v>-</v>
      </c>
      <c r="E16852" t="str">
        <v/>
      </c>
      <c r="F16852" t="str">
        <v>-</v>
      </c>
      <c r="G16852" t="str">
        <v>-</v>
      </c>
    </row>
    <row r="16853">
      <c r="B16853" t="str">
        <v>UBND Ủy ban nhân dân xã Xuân Bình  tỉnh Phú Yên</v>
      </c>
      <c r="C16853" t="str">
        <v>-</v>
      </c>
      <c r="D16853" t="str">
        <v>-</v>
      </c>
      <c r="E16853" t="str">
        <v>-</v>
      </c>
      <c r="F16853" t="str">
        <v>-</v>
      </c>
      <c r="G16853" t="str">
        <v>-</v>
      </c>
    </row>
    <row r="16854">
      <c r="B16854" t="str">
        <v>Công an xã Xuân Hòa  tỉnh Phú Yên</v>
      </c>
      <c r="C16854" t="str">
        <v>-</v>
      </c>
      <c r="D16854" t="str">
        <v>-</v>
      </c>
      <c r="E16854" t="str">
        <v/>
      </c>
      <c r="F16854" t="str">
        <v>-</v>
      </c>
      <c r="G16854" t="str">
        <v>-</v>
      </c>
    </row>
    <row r="16855">
      <c r="B16855" t="str">
        <v>UBND Ủy ban nhân dân xã Xuân Hòa  tỉnh Phú Yên</v>
      </c>
      <c r="C16855" t="str">
        <v>-</v>
      </c>
      <c r="D16855" t="str">
        <v>-</v>
      </c>
      <c r="E16855" t="str">
        <v>-</v>
      </c>
      <c r="F16855" t="str">
        <v>-</v>
      </c>
      <c r="G16855" t="str">
        <v>-</v>
      </c>
    </row>
    <row r="16856">
      <c r="B16856" t="str">
        <v>Công an xã Xuân Cảnh  tỉnh Phú Yên</v>
      </c>
      <c r="C16856" t="str">
        <v>-</v>
      </c>
      <c r="D16856" t="str">
        <v>-</v>
      </c>
      <c r="E16856" t="str">
        <v/>
      </c>
      <c r="F16856" t="str">
        <v>-</v>
      </c>
      <c r="G16856" t="str">
        <v>-</v>
      </c>
    </row>
    <row r="16857">
      <c r="B16857" t="str">
        <v>UBND Ủy ban nhân dân xã Xuân Cảnh  tỉnh Phú Yên</v>
      </c>
      <c r="C16857" t="str">
        <v>-</v>
      </c>
      <c r="D16857" t="str">
        <v>-</v>
      </c>
      <c r="E16857" t="str">
        <v>-</v>
      </c>
      <c r="F16857" t="str">
        <v>-</v>
      </c>
      <c r="G16857" t="str">
        <v>-</v>
      </c>
    </row>
    <row r="16858">
      <c r="B16858" t="str">
        <v>Công an xã Xuân Thịnh  tỉnh Phú Yên</v>
      </c>
      <c r="C16858" t="str">
        <v>-</v>
      </c>
      <c r="D16858" t="str">
        <v>-</v>
      </c>
      <c r="E16858" t="str">
        <v/>
      </c>
      <c r="F16858" t="str">
        <v>-</v>
      </c>
      <c r="G16858" t="str">
        <v>-</v>
      </c>
    </row>
    <row r="16859">
      <c r="B16859" t="str">
        <v>UBND Ủy ban nhân dân xã Xuân Thịnh  tỉnh Phú Yên</v>
      </c>
      <c r="C16859" t="str">
        <v>-</v>
      </c>
      <c r="D16859" t="str">
        <v>-</v>
      </c>
      <c r="E16859" t="str">
        <v>-</v>
      </c>
      <c r="F16859" t="str">
        <v>-</v>
      </c>
      <c r="G16859" t="str">
        <v>-</v>
      </c>
    </row>
    <row r="16860">
      <c r="B16860" t="str">
        <v>Công an xã Xuân Phương  tỉnh Phú Yên</v>
      </c>
      <c r="C16860" t="str">
        <v>-</v>
      </c>
      <c r="D16860" t="str">
        <v>-</v>
      </c>
      <c r="E16860" t="str">
        <v/>
      </c>
      <c r="F16860" t="str">
        <v>-</v>
      </c>
      <c r="G16860" t="str">
        <v>-</v>
      </c>
    </row>
    <row r="16861">
      <c r="B16861" t="str">
        <v>UBND Ủy ban nhân dân xã Xuân Phương  tỉnh Phú Yên</v>
      </c>
      <c r="C16861" t="str">
        <v>-</v>
      </c>
      <c r="D16861" t="str">
        <v>-</v>
      </c>
      <c r="E16861" t="str">
        <v>-</v>
      </c>
      <c r="F16861" t="str">
        <v>-</v>
      </c>
      <c r="G16861" t="str">
        <v>-</v>
      </c>
    </row>
    <row r="16862">
      <c r="B16862" t="str">
        <v>Công an phường Xuân Yên  tỉnh Phú Yên</v>
      </c>
      <c r="C16862" t="str">
        <v>-</v>
      </c>
      <c r="D16862" t="str">
        <v>-</v>
      </c>
      <c r="E16862" t="str">
        <v/>
      </c>
      <c r="F16862" t="str">
        <v>-</v>
      </c>
      <c r="G16862" t="str">
        <v>-</v>
      </c>
    </row>
    <row r="16863">
      <c r="B16863" t="str">
        <v>UBND Ủy ban nhân dân phường Xuân Yên  tỉnh Phú Yên</v>
      </c>
      <c r="C16863" t="str">
        <v>-</v>
      </c>
      <c r="D16863" t="str">
        <v>-</v>
      </c>
      <c r="E16863" t="str">
        <v>-</v>
      </c>
      <c r="F16863" t="str">
        <v>-</v>
      </c>
      <c r="G16863" t="str">
        <v>-</v>
      </c>
    </row>
    <row r="16864">
      <c r="B16864" t="str">
        <v>Công an xã Xuân Thọ 1  tỉnh Phú Yên</v>
      </c>
      <c r="C16864" t="str">
        <v>-</v>
      </c>
      <c r="D16864" t="str">
        <v>-</v>
      </c>
      <c r="E16864" t="str">
        <v/>
      </c>
      <c r="F16864" t="str">
        <v>-</v>
      </c>
      <c r="G16864" t="str">
        <v>-</v>
      </c>
    </row>
    <row r="16865">
      <c r="B16865" t="str">
        <v>UBND Ủy ban nhân dân xã Xuân Thọ 1  tỉnh Phú Yên</v>
      </c>
      <c r="C16865" t="str">
        <v>-</v>
      </c>
      <c r="D16865" t="str">
        <v>-</v>
      </c>
      <c r="E16865" t="str">
        <v>-</v>
      </c>
      <c r="F16865" t="str">
        <v>-</v>
      </c>
      <c r="G16865" t="str">
        <v>-</v>
      </c>
    </row>
    <row r="16866">
      <c r="B16866" t="str">
        <v>Công an phường Xuân Đài  tỉnh Phú Yên</v>
      </c>
      <c r="C16866" t="str">
        <v>-</v>
      </c>
      <c r="D16866" t="str">
        <v>-</v>
      </c>
      <c r="E16866" t="str">
        <v/>
      </c>
      <c r="F16866" t="str">
        <v>-</v>
      </c>
      <c r="G16866" t="str">
        <v>-</v>
      </c>
    </row>
    <row r="16867">
      <c r="B16867" t="str">
        <v>UBND Ủy ban nhân dân phường Xuân Đài  tỉnh Phú Yên</v>
      </c>
      <c r="C16867" t="str">
        <v>-</v>
      </c>
      <c r="D16867" t="str">
        <v>-</v>
      </c>
      <c r="E16867" t="str">
        <v>-</v>
      </c>
      <c r="F16867" t="str">
        <v>-</v>
      </c>
      <c r="G16867" t="str">
        <v>-</v>
      </c>
    </row>
    <row r="16868">
      <c r="B16868" t="str">
        <v>Công an xã Xuân Thọ 2  tỉnh Phú Yên</v>
      </c>
      <c r="C16868" t="str">
        <v>-</v>
      </c>
      <c r="D16868" t="str">
        <v>-</v>
      </c>
      <c r="E16868" t="str">
        <v/>
      </c>
      <c r="F16868" t="str">
        <v>-</v>
      </c>
      <c r="G16868" t="str">
        <v>-</v>
      </c>
    </row>
    <row r="16869">
      <c r="B16869" t="str">
        <v>UBND Ủy ban nhân dân xã Xuân Thọ 2  tỉnh Phú Yên</v>
      </c>
      <c r="C16869" t="str">
        <v>-</v>
      </c>
      <c r="D16869" t="str">
        <v>-</v>
      </c>
      <c r="E16869" t="str">
        <v>-</v>
      </c>
      <c r="F16869" t="str">
        <v>-</v>
      </c>
      <c r="G16869" t="str">
        <v>-</v>
      </c>
    </row>
    <row r="16870">
      <c r="B16870" t="str">
        <v>Công an xã Đa Lộc  tỉnh Phú Yên</v>
      </c>
      <c r="C16870" t="str">
        <v>-</v>
      </c>
      <c r="D16870" t="str">
        <v>-</v>
      </c>
      <c r="E16870" t="str">
        <v/>
      </c>
      <c r="F16870" t="str">
        <v>-</v>
      </c>
      <c r="G16870" t="str">
        <v>-</v>
      </c>
    </row>
    <row r="16871">
      <c r="B16871" t="str">
        <v>UBND Ủy ban nhân dân xã Đa Lộc  tỉnh Phú Yên</v>
      </c>
      <c r="C16871" t="str">
        <v>-</v>
      </c>
      <c r="D16871" t="str">
        <v>-</v>
      </c>
      <c r="E16871" t="str">
        <v>-</v>
      </c>
      <c r="F16871" t="str">
        <v>-</v>
      </c>
      <c r="G16871" t="str">
        <v>-</v>
      </c>
    </row>
    <row r="16872">
      <c r="B16872" t="str">
        <v>Công an xã Phú Mỡ  tỉnh Phú Yên</v>
      </c>
      <c r="C16872" t="str">
        <v>-</v>
      </c>
      <c r="D16872" t="str">
        <v>-</v>
      </c>
      <c r="E16872" t="str">
        <v/>
      </c>
      <c r="F16872" t="str">
        <v>-</v>
      </c>
      <c r="G16872" t="str">
        <v>-</v>
      </c>
    </row>
    <row r="16873">
      <c r="B16873" t="str">
        <v>UBND Ủy ban nhân dân xã Phú Mỡ  tỉnh Phú Yên</v>
      </c>
      <c r="C16873" t="str">
        <v>-</v>
      </c>
      <c r="D16873" t="str">
        <v>-</v>
      </c>
      <c r="E16873" t="str">
        <v>-</v>
      </c>
      <c r="F16873" t="str">
        <v>-</v>
      </c>
      <c r="G16873" t="str">
        <v>-</v>
      </c>
    </row>
    <row r="16874">
      <c r="B16874" t="str">
        <v>Công an xã Xuân Lãnh  tỉnh Phú Yên</v>
      </c>
      <c r="C16874" t="str">
        <v>-</v>
      </c>
      <c r="D16874" t="str">
        <v>-</v>
      </c>
      <c r="E16874" t="str">
        <v/>
      </c>
      <c r="F16874" t="str">
        <v>-</v>
      </c>
      <c r="G16874" t="str">
        <v>-</v>
      </c>
    </row>
    <row r="16875">
      <c r="B16875" t="str">
        <v>UBND Ủy ban nhân dân xã Xuân Lãnh  tỉnh Phú Yên</v>
      </c>
      <c r="C16875" t="str">
        <v>-</v>
      </c>
      <c r="D16875" t="str">
        <v>-</v>
      </c>
      <c r="E16875" t="str">
        <v>-</v>
      </c>
      <c r="F16875" t="str">
        <v>-</v>
      </c>
      <c r="G16875" t="str">
        <v>-</v>
      </c>
    </row>
    <row r="16876">
      <c r="B16876" t="str">
        <v>Công an xã Xuân Long  tỉnh Phú Yên</v>
      </c>
      <c r="C16876" t="str">
        <v>-</v>
      </c>
      <c r="D16876" t="str">
        <v>-</v>
      </c>
      <c r="E16876" t="str">
        <v/>
      </c>
      <c r="F16876" t="str">
        <v>-</v>
      </c>
      <c r="G16876" t="str">
        <v>-</v>
      </c>
    </row>
    <row r="16877">
      <c r="B16877" t="str">
        <v>UBND Ủy ban nhân dân xã Xuân Long  tỉnh Phú Yên</v>
      </c>
      <c r="C16877" t="str">
        <v>-</v>
      </c>
      <c r="D16877" t="str">
        <v>-</v>
      </c>
      <c r="E16877" t="str">
        <v>-</v>
      </c>
      <c r="F16877" t="str">
        <v>-</v>
      </c>
      <c r="G16877" t="str">
        <v>-</v>
      </c>
    </row>
    <row r="16878">
      <c r="B16878" t="str">
        <v>Công an xã Xuân Quang 1  tỉnh Phú Yên</v>
      </c>
      <c r="C16878" t="str">
        <v>-</v>
      </c>
      <c r="D16878" t="str">
        <v>-</v>
      </c>
      <c r="E16878" t="str">
        <v/>
      </c>
      <c r="F16878" t="str">
        <v>-</v>
      </c>
      <c r="G16878" t="str">
        <v>-</v>
      </c>
    </row>
    <row r="16879">
      <c r="B16879" t="str">
        <v>UBND Ủy ban nhân dân xã Xuân Quang 1  tỉnh Phú Yên</v>
      </c>
      <c r="C16879" t="str">
        <v>-</v>
      </c>
      <c r="D16879" t="str">
        <v>-</v>
      </c>
      <c r="E16879" t="str">
        <v>-</v>
      </c>
      <c r="F16879" t="str">
        <v>-</v>
      </c>
      <c r="G16879" t="str">
        <v>-</v>
      </c>
    </row>
    <row r="16880">
      <c r="B16880" t="str">
        <v>Công an xã Xuân Sơn Bắc  tỉnh Phú Yên</v>
      </c>
      <c r="C16880" t="str">
        <v>-</v>
      </c>
      <c r="D16880" t="str">
        <v>-</v>
      </c>
      <c r="E16880" t="str">
        <v/>
      </c>
      <c r="F16880" t="str">
        <v>-</v>
      </c>
      <c r="G16880" t="str">
        <v>-</v>
      </c>
    </row>
    <row r="16881">
      <c r="B16881" t="str">
        <v>UBND Ủy ban nhân dân xã Xuân Sơn Bắc  tỉnh Phú Yên</v>
      </c>
      <c r="C16881" t="str">
        <v>-</v>
      </c>
      <c r="D16881" t="str">
        <v>-</v>
      </c>
      <c r="E16881" t="str">
        <v>-</v>
      </c>
      <c r="F16881" t="str">
        <v>-</v>
      </c>
      <c r="G16881" t="str">
        <v>-</v>
      </c>
    </row>
    <row r="16882">
      <c r="B16882" t="str">
        <v>Công an xã Xuân Quang 2  tỉnh Phú Yên</v>
      </c>
      <c r="C16882" t="str">
        <v>-</v>
      </c>
      <c r="D16882" t="str">
        <v>-</v>
      </c>
      <c r="E16882" t="str">
        <v/>
      </c>
      <c r="F16882" t="str">
        <v>-</v>
      </c>
      <c r="G16882" t="str">
        <v>-</v>
      </c>
    </row>
    <row r="16883">
      <c r="B16883" t="str">
        <v>UBND Ủy ban nhân dân xã Xuân Quang 2  tỉnh Phú Yên</v>
      </c>
      <c r="C16883" t="str">
        <v>-</v>
      </c>
      <c r="D16883" t="str">
        <v>-</v>
      </c>
      <c r="E16883" t="str">
        <v>-</v>
      </c>
      <c r="F16883" t="str">
        <v>-</v>
      </c>
      <c r="G16883" t="str">
        <v>-</v>
      </c>
    </row>
    <row r="16884">
      <c r="B16884" t="str">
        <v>Công an xã Xuân Sơn Nam  tỉnh Phú Yên</v>
      </c>
      <c r="C16884" t="str">
        <v>-</v>
      </c>
      <c r="D16884" t="str">
        <v>-</v>
      </c>
      <c r="E16884" t="str">
        <v/>
      </c>
      <c r="F16884" t="str">
        <v>-</v>
      </c>
      <c r="G16884" t="str">
        <v>-</v>
      </c>
    </row>
    <row r="16885">
      <c r="B16885" t="str">
        <v>UBND Ủy ban nhân dân xã Xuân Sơn Nam  tỉnh Phú Yên</v>
      </c>
      <c r="C16885" t="str">
        <v>-</v>
      </c>
      <c r="D16885" t="str">
        <v>-</v>
      </c>
      <c r="E16885" t="str">
        <v>-</v>
      </c>
      <c r="F16885" t="str">
        <v>-</v>
      </c>
      <c r="G16885" t="str">
        <v>-</v>
      </c>
    </row>
    <row r="16886">
      <c r="B16886" t="str">
        <v>Công an xã Xuân Quang 3  tỉnh Phú Yên</v>
      </c>
      <c r="C16886" t="str">
        <v>-</v>
      </c>
      <c r="D16886" t="str">
        <v>-</v>
      </c>
      <c r="E16886" t="str">
        <v/>
      </c>
      <c r="F16886" t="str">
        <v>-</v>
      </c>
      <c r="G16886" t="str">
        <v>-</v>
      </c>
    </row>
    <row r="16887">
      <c r="B16887" t="str">
        <v>UBND Ủy ban nhân dân xã Xuân Quang 3  tỉnh Phú Yên</v>
      </c>
      <c r="C16887" t="str">
        <v>-</v>
      </c>
      <c r="D16887" t="str">
        <v>-</v>
      </c>
      <c r="E16887" t="str">
        <v>-</v>
      </c>
      <c r="F16887" t="str">
        <v>-</v>
      </c>
      <c r="G16887" t="str">
        <v>-</v>
      </c>
    </row>
    <row r="16888">
      <c r="B16888" t="str">
        <v>Công an xã Xuân Phước  tỉnh Phú Yên</v>
      </c>
      <c r="C16888" t="str">
        <v>-</v>
      </c>
      <c r="D16888" t="str">
        <v>-</v>
      </c>
      <c r="E16888" t="str">
        <v/>
      </c>
      <c r="F16888" t="str">
        <v>-</v>
      </c>
      <c r="G16888" t="str">
        <v>-</v>
      </c>
    </row>
    <row r="16889">
      <c r="B16889" t="str">
        <v>UBND Ủy ban nhân dân xã Xuân Phước  tỉnh Phú Yên</v>
      </c>
      <c r="C16889" t="str">
        <v>-</v>
      </c>
      <c r="D16889" t="str">
        <v>-</v>
      </c>
      <c r="E16889" t="str">
        <v>-</v>
      </c>
      <c r="F16889" t="str">
        <v>-</v>
      </c>
      <c r="G16889" t="str">
        <v>-</v>
      </c>
    </row>
    <row r="16890">
      <c r="B16890" t="str">
        <v>Công an xã An Dân  tỉnh Phú Yên</v>
      </c>
      <c r="C16890" t="str">
        <v>-</v>
      </c>
      <c r="D16890" t="str">
        <v>-</v>
      </c>
      <c r="E16890" t="str">
        <v/>
      </c>
      <c r="F16890" t="str">
        <v>-</v>
      </c>
      <c r="G16890" t="str">
        <v>-</v>
      </c>
    </row>
    <row r="16891">
      <c r="B16891" t="str">
        <v>UBND Ủy ban nhân dân xã An Dân  tỉnh Phú Yên</v>
      </c>
      <c r="C16891" t="str">
        <v>-</v>
      </c>
      <c r="D16891" t="str">
        <v>-</v>
      </c>
      <c r="E16891" t="str">
        <v>-</v>
      </c>
      <c r="F16891" t="str">
        <v>-</v>
      </c>
      <c r="G16891" t="str">
        <v>-</v>
      </c>
    </row>
    <row r="16892">
      <c r="B16892" t="str">
        <v>Công an xã An Ninh Tây  tỉnh Phú Yên</v>
      </c>
      <c r="C16892" t="str">
        <v>-</v>
      </c>
      <c r="D16892" t="str">
        <v>-</v>
      </c>
      <c r="E16892" t="str">
        <v/>
      </c>
      <c r="F16892" t="str">
        <v>-</v>
      </c>
      <c r="G16892" t="str">
        <v>-</v>
      </c>
    </row>
    <row r="16893">
      <c r="B16893" t="str">
        <v>UBND Ủy ban nhân dân xã An Ninh Tây  tỉnh Phú Yên</v>
      </c>
      <c r="C16893" t="str">
        <v>-</v>
      </c>
      <c r="D16893" t="str">
        <v>-</v>
      </c>
      <c r="E16893" t="str">
        <v>-</v>
      </c>
      <c r="F16893" t="str">
        <v>-</v>
      </c>
      <c r="G16893" t="str">
        <v>-</v>
      </c>
    </row>
    <row r="16894">
      <c r="B16894" t="str">
        <v>Công an xã An Ninh Đông  tỉnh Phú Yên</v>
      </c>
      <c r="C16894" t="str">
        <v>-</v>
      </c>
      <c r="D16894" t="str">
        <v>-</v>
      </c>
      <c r="E16894" t="str">
        <v/>
      </c>
      <c r="F16894" t="str">
        <v>-</v>
      </c>
      <c r="G16894" t="str">
        <v>-</v>
      </c>
    </row>
    <row r="16895">
      <c r="B16895" t="str">
        <v>UBND Ủy ban nhân dân xã An Ninh Đông  tỉnh Phú Yên</v>
      </c>
      <c r="C16895" t="str">
        <v>-</v>
      </c>
      <c r="D16895" t="str">
        <v>-</v>
      </c>
      <c r="E16895" t="str">
        <v>-</v>
      </c>
      <c r="F16895" t="str">
        <v>-</v>
      </c>
      <c r="G16895" t="str">
        <v>-</v>
      </c>
    </row>
    <row r="16896">
      <c r="B16896" t="str">
        <v>Công an xã An Thạch  tỉnh Phú Yên</v>
      </c>
      <c r="C16896" t="str">
        <v>-</v>
      </c>
      <c r="D16896" t="str">
        <v>-</v>
      </c>
      <c r="E16896" t="str">
        <v/>
      </c>
      <c r="F16896" t="str">
        <v>-</v>
      </c>
      <c r="G16896" t="str">
        <v>-</v>
      </c>
    </row>
    <row r="16897">
      <c r="B16897" t="str">
        <v>UBND Ủy ban nhân dân xã An Thạch  tỉnh Phú Yên</v>
      </c>
      <c r="C16897" t="str">
        <v>-</v>
      </c>
      <c r="D16897" t="str">
        <v>-</v>
      </c>
      <c r="E16897" t="str">
        <v>-</v>
      </c>
      <c r="F16897" t="str">
        <v>-</v>
      </c>
      <c r="G16897" t="str">
        <v>-</v>
      </c>
    </row>
    <row r="16898">
      <c r="B16898" t="str">
        <v>Công an xã An Định  tỉnh Phú Yên</v>
      </c>
      <c r="C16898" t="str">
        <v>-</v>
      </c>
      <c r="D16898" t="str">
        <v>-</v>
      </c>
      <c r="E16898" t="str">
        <v/>
      </c>
      <c r="F16898" t="str">
        <v>-</v>
      </c>
      <c r="G16898" t="str">
        <v>-</v>
      </c>
    </row>
    <row r="16899">
      <c r="B16899" t="str">
        <v>UBND Ủy ban nhân dân xã An Định  tỉnh Phú Yên</v>
      </c>
      <c r="C16899" t="str">
        <v>-</v>
      </c>
      <c r="D16899" t="str">
        <v>-</v>
      </c>
      <c r="E16899" t="str">
        <v>-</v>
      </c>
      <c r="F16899" t="str">
        <v>-</v>
      </c>
      <c r="G16899" t="str">
        <v>-</v>
      </c>
    </row>
    <row r="16900">
      <c r="B16900" t="str">
        <v>Công an xã An Nghiệp  tỉnh Phú Yên</v>
      </c>
      <c r="C16900" t="str">
        <v>-</v>
      </c>
      <c r="D16900" t="str">
        <v>-</v>
      </c>
      <c r="E16900" t="str">
        <v/>
      </c>
      <c r="F16900" t="str">
        <v>-</v>
      </c>
      <c r="G16900" t="str">
        <v>-</v>
      </c>
    </row>
    <row r="16901">
      <c r="B16901" t="str">
        <v>UBND Ủy ban nhân dân xã An Nghiệp  tỉnh Phú Yên</v>
      </c>
      <c r="C16901" t="str">
        <v>-</v>
      </c>
      <c r="D16901" t="str">
        <v>-</v>
      </c>
      <c r="E16901" t="str">
        <v>-</v>
      </c>
      <c r="F16901" t="str">
        <v>-</v>
      </c>
      <c r="G16901" t="str">
        <v>-</v>
      </c>
    </row>
    <row r="16902">
      <c r="B16902" t="str">
        <v>Công an xã An Hải  tỉnh Phú Yên</v>
      </c>
      <c r="C16902" t="str">
        <v>-</v>
      </c>
      <c r="D16902" t="str">
        <v>-</v>
      </c>
      <c r="E16902" t="str">
        <v/>
      </c>
      <c r="F16902" t="str">
        <v>-</v>
      </c>
      <c r="G16902" t="str">
        <v>-</v>
      </c>
    </row>
    <row r="16903">
      <c r="B16903" t="str">
        <v>UBND Ủy ban nhân dân xã An Hải  tỉnh Phú Yên</v>
      </c>
      <c r="C16903" t="str">
        <v>-</v>
      </c>
      <c r="D16903" t="str">
        <v>-</v>
      </c>
      <c r="E16903" t="str">
        <v>-</v>
      </c>
      <c r="F16903" t="str">
        <v>-</v>
      </c>
      <c r="G16903" t="str">
        <v>-</v>
      </c>
    </row>
    <row r="16904">
      <c r="B16904" t="str">
        <v>Công an xã An Cư  tỉnh Phú Yên</v>
      </c>
      <c r="C16904" t="str">
        <v>-</v>
      </c>
      <c r="D16904" t="str">
        <v>-</v>
      </c>
      <c r="E16904" t="str">
        <v/>
      </c>
      <c r="F16904" t="str">
        <v>-</v>
      </c>
      <c r="G16904" t="str">
        <v>-</v>
      </c>
    </row>
    <row r="16905">
      <c r="B16905" t="str">
        <v>UBND Ủy ban nhân dân xã An Cư  tỉnh Phú Yên</v>
      </c>
      <c r="C16905" t="str">
        <v>-</v>
      </c>
      <c r="D16905" t="str">
        <v>-</v>
      </c>
      <c r="E16905" t="str">
        <v>-</v>
      </c>
      <c r="F16905" t="str">
        <v>-</v>
      </c>
      <c r="G16905" t="str">
        <v>-</v>
      </c>
    </row>
    <row r="16906">
      <c r="B16906" t="str">
        <v>Công an xã An Xuân  tỉnh Phú Yên</v>
      </c>
      <c r="C16906" t="str">
        <v>-</v>
      </c>
      <c r="D16906" t="str">
        <v>-</v>
      </c>
      <c r="E16906" t="str">
        <v/>
      </c>
      <c r="F16906" t="str">
        <v>-</v>
      </c>
      <c r="G16906" t="str">
        <v>-</v>
      </c>
    </row>
    <row r="16907">
      <c r="B16907" t="str">
        <v>UBND Ủy ban nhân dân xã An Xuân  tỉnh Phú Yên</v>
      </c>
      <c r="C16907" t="str">
        <v>-</v>
      </c>
      <c r="D16907" t="str">
        <v>-</v>
      </c>
      <c r="E16907" t="str">
        <v>-</v>
      </c>
      <c r="F16907" t="str">
        <v>-</v>
      </c>
      <c r="G16907" t="str">
        <v>-</v>
      </c>
    </row>
    <row r="16908">
      <c r="B16908" t="str">
        <v>Công an xã An Lĩnh  tỉnh Phú Yên</v>
      </c>
      <c r="C16908" t="str">
        <v>-</v>
      </c>
      <c r="D16908" t="str">
        <v>-</v>
      </c>
      <c r="E16908" t="str">
        <v/>
      </c>
      <c r="F16908" t="str">
        <v>-</v>
      </c>
      <c r="G16908" t="str">
        <v>-</v>
      </c>
    </row>
    <row r="16909">
      <c r="B16909" t="str">
        <v>UBND Ủy ban nhân dân xã An Lĩnh  tỉnh Phú Yên</v>
      </c>
      <c r="C16909" t="str">
        <v>-</v>
      </c>
      <c r="D16909" t="str">
        <v>-</v>
      </c>
      <c r="E16909" t="str">
        <v>-</v>
      </c>
      <c r="F16909" t="str">
        <v>-</v>
      </c>
      <c r="G16909" t="str">
        <v>-</v>
      </c>
    </row>
    <row r="16910">
      <c r="B16910" t="str">
        <v>Công an xã An Hòa  tỉnh Phú Yên</v>
      </c>
      <c r="C16910" t="str">
        <v>-</v>
      </c>
      <c r="D16910" t="str">
        <v>-</v>
      </c>
      <c r="E16910" t="str">
        <v/>
      </c>
      <c r="F16910" t="str">
        <v>-</v>
      </c>
      <c r="G16910" t="str">
        <v>-</v>
      </c>
    </row>
    <row r="16911">
      <c r="B16911" t="str">
        <v>UBND Ủy ban nhân dân xã An Hòa  tỉnh Phú Yên</v>
      </c>
      <c r="C16911" t="str">
        <v>-</v>
      </c>
      <c r="D16911" t="str">
        <v>-</v>
      </c>
      <c r="E16911" t="str">
        <v>-</v>
      </c>
      <c r="F16911" t="str">
        <v>-</v>
      </c>
      <c r="G16911" t="str">
        <v>-</v>
      </c>
    </row>
    <row r="16912">
      <c r="B16912" t="str">
        <v>Công an xã An Hiệp  tỉnh Phú Yên</v>
      </c>
      <c r="C16912" t="str">
        <v>-</v>
      </c>
      <c r="D16912" t="str">
        <v>-</v>
      </c>
      <c r="E16912" t="str">
        <v/>
      </c>
      <c r="F16912" t="str">
        <v>-</v>
      </c>
      <c r="G16912" t="str">
        <v>-</v>
      </c>
    </row>
    <row r="16913">
      <c r="B16913" t="str">
        <v>UBND Ủy ban nhân dân xã An Hiệp  tỉnh Phú Yên</v>
      </c>
      <c r="C16913" t="str">
        <v>-</v>
      </c>
      <c r="D16913" t="str">
        <v>-</v>
      </c>
      <c r="E16913" t="str">
        <v>-</v>
      </c>
      <c r="F16913" t="str">
        <v>-</v>
      </c>
      <c r="G16913" t="str">
        <v>-</v>
      </c>
    </row>
    <row r="16914">
      <c r="B16914" t="str">
        <v>Công an xã An Mỹ  tỉnh Phú Yên</v>
      </c>
      <c r="C16914" t="str">
        <v>-</v>
      </c>
      <c r="D16914" t="str">
        <v>-</v>
      </c>
      <c r="E16914" t="str">
        <v/>
      </c>
      <c r="F16914" t="str">
        <v>-</v>
      </c>
      <c r="G16914" t="str">
        <v>-</v>
      </c>
    </row>
    <row r="16915">
      <c r="B16915" t="str">
        <v>UBND Ủy ban nhân dân xã An Mỹ  tỉnh Phú Yên</v>
      </c>
      <c r="C16915" t="str">
        <v>-</v>
      </c>
      <c r="D16915" t="str">
        <v>-</v>
      </c>
      <c r="E16915" t="str">
        <v>-</v>
      </c>
      <c r="F16915" t="str">
        <v>-</v>
      </c>
      <c r="G16915" t="str">
        <v>-</v>
      </c>
    </row>
    <row r="16916">
      <c r="B16916" t="str">
        <v>Công an xã An Chấn  tỉnh Phú Yên</v>
      </c>
      <c r="C16916" t="str">
        <v>-</v>
      </c>
      <c r="D16916" t="str">
        <v>-</v>
      </c>
      <c r="E16916" t="str">
        <v/>
      </c>
      <c r="F16916" t="str">
        <v>-</v>
      </c>
      <c r="G16916" t="str">
        <v>-</v>
      </c>
    </row>
    <row r="16917">
      <c r="B16917" t="str">
        <v>UBND Ủy ban nhân dân xã An Chấn  tỉnh Phú Yên</v>
      </c>
      <c r="C16917" t="str">
        <v>-</v>
      </c>
      <c r="D16917" t="str">
        <v>-</v>
      </c>
      <c r="E16917" t="str">
        <v>-</v>
      </c>
      <c r="F16917" t="str">
        <v>-</v>
      </c>
      <c r="G16917" t="str">
        <v>-</v>
      </c>
    </row>
    <row r="16918">
      <c r="B16918" t="str">
        <v>Công an xã An Thọ  tỉnh Phú Yên</v>
      </c>
      <c r="C16918" t="str">
        <v>-</v>
      </c>
      <c r="D16918" t="str">
        <v>-</v>
      </c>
      <c r="E16918" t="str">
        <v/>
      </c>
      <c r="F16918" t="str">
        <v>-</v>
      </c>
      <c r="G16918" t="str">
        <v>-</v>
      </c>
    </row>
    <row r="16919">
      <c r="B16919" t="str">
        <v>UBND Ủy ban nhân dân xã An Thọ  tỉnh Phú Yên</v>
      </c>
      <c r="C16919" t="str">
        <v>-</v>
      </c>
      <c r="D16919" t="str">
        <v>-</v>
      </c>
      <c r="E16919" t="str">
        <v>-</v>
      </c>
      <c r="F16919" t="str">
        <v>-</v>
      </c>
      <c r="G16919" t="str">
        <v>-</v>
      </c>
    </row>
    <row r="16920">
      <c r="B16920" t="str">
        <v>Công an xã Phước Tân  tỉnh Phú Yên</v>
      </c>
      <c r="C16920" t="str">
        <v>-</v>
      </c>
      <c r="D16920" t="str">
        <v>-</v>
      </c>
      <c r="E16920" t="str">
        <v/>
      </c>
      <c r="F16920" t="str">
        <v>-</v>
      </c>
      <c r="G16920" t="str">
        <v>-</v>
      </c>
    </row>
    <row r="16921">
      <c r="B16921" t="str">
        <v>UBND Ủy ban nhân dân xã Phước Tân  tỉnh Phú Yên</v>
      </c>
      <c r="C16921" t="str">
        <v>-</v>
      </c>
      <c r="D16921" t="str">
        <v>-</v>
      </c>
      <c r="E16921" t="str">
        <v>-</v>
      </c>
      <c r="F16921" t="str">
        <v>-</v>
      </c>
      <c r="G16921" t="str">
        <v>-</v>
      </c>
    </row>
    <row r="16922">
      <c r="B16922" t="str">
        <v>Công an xã Sơn Hội  tỉnh Phú Yên</v>
      </c>
      <c r="C16922" t="str">
        <v>-</v>
      </c>
      <c r="D16922" t="str">
        <v>-</v>
      </c>
      <c r="E16922" t="str">
        <v/>
      </c>
      <c r="F16922" t="str">
        <v>-</v>
      </c>
      <c r="G16922" t="str">
        <v>-</v>
      </c>
    </row>
    <row r="16923">
      <c r="B16923" t="str">
        <v>UBND Ủy ban nhân dân xã Sơn Hội  tỉnh Phú Yên</v>
      </c>
      <c r="C16923" t="str">
        <v>-</v>
      </c>
      <c r="D16923" t="str">
        <v>-</v>
      </c>
      <c r="E16923" t="str">
        <v>-</v>
      </c>
      <c r="F16923" t="str">
        <v>-</v>
      </c>
      <c r="G16923" t="str">
        <v>-</v>
      </c>
    </row>
    <row r="16924">
      <c r="B16924" t="str">
        <v>Công an xã Sơn Định  tỉnh Phú Yên</v>
      </c>
      <c r="C16924" t="str">
        <v>-</v>
      </c>
      <c r="D16924" t="str">
        <v>-</v>
      </c>
      <c r="E16924" t="str">
        <v/>
      </c>
      <c r="F16924" t="str">
        <v>-</v>
      </c>
      <c r="G16924" t="str">
        <v>-</v>
      </c>
    </row>
    <row r="16925">
      <c r="B16925" t="str">
        <v>UBND Ủy ban nhân dân xã Sơn Định  tỉnh Phú Yên</v>
      </c>
      <c r="C16925" t="str">
        <v>-</v>
      </c>
      <c r="D16925" t="str">
        <v>-</v>
      </c>
      <c r="E16925" t="str">
        <v>-</v>
      </c>
      <c r="F16925" t="str">
        <v>-</v>
      </c>
      <c r="G16925" t="str">
        <v>-</v>
      </c>
    </row>
    <row r="16926">
      <c r="B16926" t="str">
        <v>Công an xã Sơn Long  tỉnh Phú Yên</v>
      </c>
      <c r="C16926" t="str">
        <v>-</v>
      </c>
      <c r="D16926" t="str">
        <v>-</v>
      </c>
      <c r="E16926" t="str">
        <v/>
      </c>
      <c r="F16926" t="str">
        <v>-</v>
      </c>
      <c r="G16926" t="str">
        <v>-</v>
      </c>
    </row>
    <row r="16927">
      <c r="B16927" t="str">
        <v>UBND Ủy ban nhân dân xã Sơn Long  tỉnh Phú Yên</v>
      </c>
      <c r="C16927" t="str">
        <v>-</v>
      </c>
      <c r="D16927" t="str">
        <v>-</v>
      </c>
      <c r="E16927" t="str">
        <v>-</v>
      </c>
      <c r="F16927" t="str">
        <v>-</v>
      </c>
      <c r="G16927" t="str">
        <v>-</v>
      </c>
    </row>
    <row r="16928">
      <c r="B16928" t="str">
        <v>Công an xã Cà Lúi  tỉnh Phú Yên</v>
      </c>
      <c r="C16928" t="str">
        <v>-</v>
      </c>
      <c r="D16928" t="str">
        <v>-</v>
      </c>
      <c r="E16928" t="str">
        <v/>
      </c>
      <c r="F16928" t="str">
        <v>-</v>
      </c>
      <c r="G16928" t="str">
        <v>-</v>
      </c>
    </row>
    <row r="16929">
      <c r="B16929" t="str">
        <v>UBND Ủy ban nhân dân xã Cà Lúi  tỉnh Phú Yên</v>
      </c>
      <c r="C16929" t="str">
        <v>-</v>
      </c>
      <c r="D16929" t="str">
        <v>-</v>
      </c>
      <c r="E16929" t="str">
        <v>-</v>
      </c>
      <c r="F16929" t="str">
        <v>-</v>
      </c>
      <c r="G16929" t="str">
        <v>-</v>
      </c>
    </row>
    <row r="16930">
      <c r="B16930" t="str">
        <v>Công an xã Sơn Phước  tỉnh Phú Yên</v>
      </c>
      <c r="C16930" t="str">
        <v>-</v>
      </c>
      <c r="D16930" t="str">
        <v>-</v>
      </c>
      <c r="E16930" t="str">
        <v/>
      </c>
      <c r="F16930" t="str">
        <v>-</v>
      </c>
      <c r="G16930" t="str">
        <v>-</v>
      </c>
    </row>
    <row r="16931">
      <c r="B16931" t="str">
        <v>UBND Ủy ban nhân dân xã Sơn Phước  tỉnh Phú Yên</v>
      </c>
      <c r="C16931" t="str">
        <v>-</v>
      </c>
      <c r="D16931" t="str">
        <v>-</v>
      </c>
      <c r="E16931" t="str">
        <v>-</v>
      </c>
      <c r="F16931" t="str">
        <v>-</v>
      </c>
      <c r="G16931" t="str">
        <v>-</v>
      </c>
    </row>
    <row r="16932">
      <c r="B16932" t="str">
        <v>Công an xã Sơn Xuân  tỉnh Phú Yên</v>
      </c>
      <c r="C16932" t="str">
        <v>-</v>
      </c>
      <c r="D16932" t="str">
        <v>-</v>
      </c>
      <c r="E16932" t="str">
        <v/>
      </c>
      <c r="F16932" t="str">
        <v>-</v>
      </c>
      <c r="G16932" t="str">
        <v>-</v>
      </c>
    </row>
    <row r="16933">
      <c r="B16933" t="str">
        <v>UBND Ủy ban nhân dân xã Sơn Xuân  tỉnh Phú Yên</v>
      </c>
      <c r="C16933" t="str">
        <v>-</v>
      </c>
      <c r="D16933" t="str">
        <v>-</v>
      </c>
      <c r="E16933" t="str">
        <v>-</v>
      </c>
      <c r="F16933" t="str">
        <v>-</v>
      </c>
      <c r="G16933" t="str">
        <v>-</v>
      </c>
    </row>
    <row r="16934">
      <c r="B16934" t="str">
        <v>Công an xã Sơn Nguyên  tỉnh Phú Yên</v>
      </c>
      <c r="C16934" t="str">
        <v>-</v>
      </c>
      <c r="D16934" t="str">
        <v>-</v>
      </c>
      <c r="E16934" t="str">
        <v/>
      </c>
      <c r="F16934" t="str">
        <v>-</v>
      </c>
      <c r="G16934" t="str">
        <v>-</v>
      </c>
    </row>
    <row r="16935">
      <c r="B16935" t="str">
        <v>UBND Ủy ban nhân dân xã Sơn Nguyên  tỉnh Phú Yên</v>
      </c>
      <c r="C16935" t="str">
        <v>-</v>
      </c>
      <c r="D16935" t="str">
        <v>-</v>
      </c>
      <c r="E16935" t="str">
        <v>-</v>
      </c>
      <c r="F16935" t="str">
        <v>-</v>
      </c>
      <c r="G16935" t="str">
        <v>-</v>
      </c>
    </row>
    <row r="16936">
      <c r="B16936" t="str">
        <v>Công an xã Eachà Rang  tỉnh Phú Yên</v>
      </c>
      <c r="C16936" t="str">
        <v>-</v>
      </c>
      <c r="D16936" t="str">
        <v>-</v>
      </c>
      <c r="E16936" t="str">
        <v/>
      </c>
      <c r="F16936" t="str">
        <v>-</v>
      </c>
      <c r="G16936" t="str">
        <v>-</v>
      </c>
    </row>
    <row r="16937">
      <c r="B16937" t="str">
        <v>UBND Ủy ban nhân dân xã Eachà Rang  tỉnh Phú Yên</v>
      </c>
      <c r="C16937" t="str">
        <v>-</v>
      </c>
      <c r="D16937" t="str">
        <v>-</v>
      </c>
      <c r="E16937" t="str">
        <v>-</v>
      </c>
      <c r="F16937" t="str">
        <v>-</v>
      </c>
      <c r="G16937" t="str">
        <v>-</v>
      </c>
    </row>
    <row r="16938">
      <c r="B16938" t="str">
        <v>Công an xã Krông Pa  tỉnh Phú Yên</v>
      </c>
      <c r="C16938" t="str">
        <v>-</v>
      </c>
      <c r="D16938" t="str">
        <v>-</v>
      </c>
      <c r="E16938" t="str">
        <v/>
      </c>
      <c r="F16938" t="str">
        <v>-</v>
      </c>
      <c r="G16938" t="str">
        <v>-</v>
      </c>
    </row>
    <row r="16939">
      <c r="B16939" t="str">
        <v>UBND Ủy ban nhân dân xã Krông Pa  tỉnh Phú Yên</v>
      </c>
      <c r="C16939" t="str">
        <v>-</v>
      </c>
      <c r="D16939" t="str">
        <v>-</v>
      </c>
      <c r="E16939" t="str">
        <v>-</v>
      </c>
      <c r="F16939" t="str">
        <v>-</v>
      </c>
      <c r="G16939" t="str">
        <v>-</v>
      </c>
    </row>
    <row r="16940">
      <c r="B16940" t="str">
        <v>Công an xã Suối Bạc  tỉnh Phú Yên</v>
      </c>
      <c r="C16940" t="str">
        <v>-</v>
      </c>
      <c r="D16940" t="str">
        <v>-</v>
      </c>
      <c r="E16940" t="str">
        <v/>
      </c>
      <c r="F16940" t="str">
        <v>-</v>
      </c>
      <c r="G16940" t="str">
        <v>-</v>
      </c>
    </row>
    <row r="16941">
      <c r="B16941" t="str">
        <v>UBND Ủy ban nhân dân xã Suối Bạc  tỉnh Phú Yên</v>
      </c>
      <c r="C16941" t="str">
        <v>-</v>
      </c>
      <c r="D16941" t="str">
        <v>-</v>
      </c>
      <c r="E16941" t="str">
        <v>-</v>
      </c>
      <c r="F16941" t="str">
        <v>-</v>
      </c>
      <c r="G16941" t="str">
        <v>-</v>
      </c>
    </row>
    <row r="16942">
      <c r="B16942" t="str">
        <v>Công an xã Sơn Hà  tỉnh Phú Yên</v>
      </c>
      <c r="C16942" t="str">
        <v>-</v>
      </c>
      <c r="D16942" t="str">
        <v>-</v>
      </c>
      <c r="E16942" t="str">
        <v/>
      </c>
      <c r="F16942" t="str">
        <v>-</v>
      </c>
      <c r="G16942" t="str">
        <v>-</v>
      </c>
    </row>
    <row r="16943">
      <c r="B16943" t="str">
        <v>UBND Ủy ban nhân dân xã Sơn Hà  tỉnh Phú Yên</v>
      </c>
      <c r="C16943" t="str">
        <v>-</v>
      </c>
      <c r="D16943" t="str">
        <v>-</v>
      </c>
      <c r="E16943" t="str">
        <v>-</v>
      </c>
      <c r="F16943" t="str">
        <v>-</v>
      </c>
      <c r="G16943" t="str">
        <v>-</v>
      </c>
    </row>
    <row r="16944">
      <c r="B16944" t="str">
        <v>Công an xã Suối Trai  tỉnh Phú Yên</v>
      </c>
      <c r="C16944" t="str">
        <v>-</v>
      </c>
      <c r="D16944" t="str">
        <v>-</v>
      </c>
      <c r="E16944" t="str">
        <v/>
      </c>
      <c r="F16944" t="str">
        <v>-</v>
      </c>
      <c r="G16944" t="str">
        <v>-</v>
      </c>
    </row>
    <row r="16945">
      <c r="B16945" t="str">
        <v>UBND Ủy ban nhân dân xã Suối Trai  tỉnh Phú Yên</v>
      </c>
      <c r="C16945" t="str">
        <v>-</v>
      </c>
      <c r="D16945" t="str">
        <v>-</v>
      </c>
      <c r="E16945" t="str">
        <v>-</v>
      </c>
      <c r="F16945" t="str">
        <v>-</v>
      </c>
      <c r="G16945" t="str">
        <v>-</v>
      </c>
    </row>
    <row r="16946">
      <c r="B16946" t="str">
        <v>Công an xã Ea Lâm  tỉnh Phú Yên</v>
      </c>
      <c r="C16946" t="str">
        <v>-</v>
      </c>
      <c r="D16946" t="str">
        <v>-</v>
      </c>
      <c r="E16946" t="str">
        <v/>
      </c>
      <c r="F16946" t="str">
        <v>-</v>
      </c>
      <c r="G16946" t="str">
        <v>-</v>
      </c>
    </row>
    <row r="16947">
      <c r="B16947" t="str">
        <v>UBND Ủy ban nhân dân xã Ea Lâm  tỉnh Phú Yên</v>
      </c>
      <c r="C16947" t="str">
        <v>-</v>
      </c>
      <c r="D16947" t="str">
        <v>-</v>
      </c>
      <c r="E16947" t="str">
        <v>-</v>
      </c>
      <c r="F16947" t="str">
        <v>-</v>
      </c>
      <c r="G16947" t="str">
        <v>-</v>
      </c>
    </row>
    <row r="16948">
      <c r="B16948" t="str">
        <v>Công an xã Đức Bình Tây  tỉnh Phú Yên</v>
      </c>
      <c r="C16948" t="str">
        <v>-</v>
      </c>
      <c r="D16948" t="str">
        <v>-</v>
      </c>
      <c r="E16948" t="str">
        <v/>
      </c>
      <c r="F16948" t="str">
        <v>-</v>
      </c>
      <c r="G16948" t="str">
        <v>-</v>
      </c>
    </row>
    <row r="16949">
      <c r="B16949" t="str">
        <v>UBND Ủy ban nhân dân xã Đức Bình Tây  tỉnh Phú Yên</v>
      </c>
      <c r="C16949" t="str">
        <v>-</v>
      </c>
      <c r="D16949" t="str">
        <v>-</v>
      </c>
      <c r="E16949" t="str">
        <v>-</v>
      </c>
      <c r="F16949" t="str">
        <v>-</v>
      </c>
      <c r="G16949" t="str">
        <v>-</v>
      </c>
    </row>
    <row r="16950">
      <c r="B16950" t="str">
        <v>Công an xã Ea Bá  tỉnh Phú Yên</v>
      </c>
      <c r="C16950" t="str">
        <v>-</v>
      </c>
      <c r="D16950" t="str">
        <v>-</v>
      </c>
      <c r="E16950" t="str">
        <v/>
      </c>
      <c r="F16950" t="str">
        <v>-</v>
      </c>
      <c r="G16950" t="str">
        <v>-</v>
      </c>
    </row>
    <row r="16951">
      <c r="B16951" t="str">
        <v>UBND Ủy ban nhân dân xã Ea Bá  tỉnh Phú Yên</v>
      </c>
      <c r="C16951" t="str">
        <v>-</v>
      </c>
      <c r="D16951" t="str">
        <v>-</v>
      </c>
      <c r="E16951" t="str">
        <v>-</v>
      </c>
      <c r="F16951" t="str">
        <v>-</v>
      </c>
      <c r="G16951" t="str">
        <v>-</v>
      </c>
    </row>
    <row r="16952">
      <c r="B16952" t="str">
        <v>Công an xã Sơn Giang  tỉnh Phú Yên</v>
      </c>
      <c r="C16952" t="str">
        <v>-</v>
      </c>
      <c r="D16952" t="str">
        <v>-</v>
      </c>
      <c r="E16952" t="str">
        <v/>
      </c>
      <c r="F16952" t="str">
        <v>-</v>
      </c>
      <c r="G16952" t="str">
        <v>-</v>
      </c>
    </row>
    <row r="16953">
      <c r="B16953" t="str">
        <v>UBND Ủy ban nhân dân xã Sơn Giang  tỉnh Phú Yên</v>
      </c>
      <c r="C16953" t="str">
        <v>-</v>
      </c>
      <c r="D16953" t="str">
        <v>-</v>
      </c>
      <c r="E16953" t="str">
        <v>-</v>
      </c>
      <c r="F16953" t="str">
        <v>-</v>
      </c>
      <c r="G16953" t="str">
        <v>-</v>
      </c>
    </row>
    <row r="16954">
      <c r="B16954" t="str">
        <v>Công an xã Đức Bình Đông  tỉnh Phú Yên</v>
      </c>
      <c r="C16954" t="str">
        <v>-</v>
      </c>
      <c r="D16954" t="str">
        <v>-</v>
      </c>
      <c r="E16954" t="str">
        <v/>
      </c>
      <c r="F16954" t="str">
        <v>-</v>
      </c>
      <c r="G16954" t="str">
        <v>-</v>
      </c>
    </row>
    <row r="16955">
      <c r="B16955" t="str">
        <v>UBND Ủy ban nhân dân xã Đức Bình Đông  tỉnh Phú Yên</v>
      </c>
      <c r="C16955" t="str">
        <v>-</v>
      </c>
      <c r="D16955" t="str">
        <v>-</v>
      </c>
      <c r="E16955" t="str">
        <v>-</v>
      </c>
      <c r="F16955" t="str">
        <v>-</v>
      </c>
      <c r="G16955" t="str">
        <v>-</v>
      </c>
    </row>
    <row r="16956">
      <c r="B16956" t="str">
        <v>Công an xã EaBar  tỉnh Phú Yên</v>
      </c>
      <c r="C16956" t="str">
        <v>-</v>
      </c>
      <c r="D16956" t="str">
        <v>-</v>
      </c>
      <c r="E16956" t="str">
        <v/>
      </c>
      <c r="F16956" t="str">
        <v>-</v>
      </c>
      <c r="G16956" t="str">
        <v>-</v>
      </c>
    </row>
    <row r="16957">
      <c r="B16957" t="str">
        <v>UBND Ủy ban nhân dân xã EaBar  tỉnh Phú Yên</v>
      </c>
      <c r="C16957" t="str">
        <v>-</v>
      </c>
      <c r="D16957" t="str">
        <v>-</v>
      </c>
      <c r="E16957" t="str">
        <v>-</v>
      </c>
      <c r="F16957" t="str">
        <v>-</v>
      </c>
      <c r="G16957" t="str">
        <v>-</v>
      </c>
    </row>
    <row r="16958">
      <c r="B16958" t="str">
        <v>Công an xã EaBia  tỉnh Phú Yên</v>
      </c>
      <c r="C16958" t="str">
        <v>-</v>
      </c>
      <c r="D16958" t="str">
        <v>-</v>
      </c>
      <c r="E16958" t="str">
        <v/>
      </c>
      <c r="F16958" t="str">
        <v>-</v>
      </c>
      <c r="G16958" t="str">
        <v>-</v>
      </c>
    </row>
    <row r="16959">
      <c r="B16959" t="str">
        <v>UBND Ủy ban nhân dân xã EaBia  tỉnh Phú Yên</v>
      </c>
      <c r="C16959" t="str">
        <v>-</v>
      </c>
      <c r="D16959" t="str">
        <v>-</v>
      </c>
      <c r="E16959" t="str">
        <v>-</v>
      </c>
      <c r="F16959" t="str">
        <v>-</v>
      </c>
      <c r="G16959" t="str">
        <v>-</v>
      </c>
    </row>
    <row r="16960">
      <c r="B16960" t="str">
        <v>Công an xã EaTrol  tỉnh Phú Yên</v>
      </c>
      <c r="C16960" t="str">
        <v>-</v>
      </c>
      <c r="D16960" t="str">
        <v>-</v>
      </c>
      <c r="E16960" t="str">
        <v/>
      </c>
      <c r="F16960" t="str">
        <v>-</v>
      </c>
      <c r="G16960" t="str">
        <v>-</v>
      </c>
    </row>
    <row r="16961">
      <c r="B16961" t="str">
        <v>UBND Ủy ban nhân dân xã EaTrol  tỉnh Phú Yên</v>
      </c>
      <c r="C16961" t="str">
        <v>-</v>
      </c>
      <c r="D16961" t="str">
        <v>-</v>
      </c>
      <c r="E16961" t="str">
        <v>-</v>
      </c>
      <c r="F16961" t="str">
        <v>-</v>
      </c>
      <c r="G16961" t="str">
        <v>-</v>
      </c>
    </row>
    <row r="16962">
      <c r="B16962" t="str">
        <v>Công an xã Sông Hinh  tỉnh Phú Yên</v>
      </c>
      <c r="C16962" t="str">
        <v>-</v>
      </c>
      <c r="D16962" t="str">
        <v>-</v>
      </c>
      <c r="E16962" t="str">
        <v/>
      </c>
      <c r="F16962" t="str">
        <v>-</v>
      </c>
      <c r="G16962" t="str">
        <v>-</v>
      </c>
    </row>
    <row r="16963">
      <c r="B16963" t="str">
        <v>UBND Ủy ban nhân dân xã Sông Hinh  tỉnh Phú Yên</v>
      </c>
      <c r="C16963" t="str">
        <v>-</v>
      </c>
      <c r="D16963" t="str">
        <v>-</v>
      </c>
      <c r="E16963" t="str">
        <v>-</v>
      </c>
      <c r="F16963" t="str">
        <v>-</v>
      </c>
      <c r="G16963" t="str">
        <v>-</v>
      </c>
    </row>
    <row r="16964">
      <c r="B16964" t="str">
        <v>Công an xã Ealy  tỉnh Phú Yên</v>
      </c>
      <c r="C16964" t="str">
        <v>-</v>
      </c>
      <c r="D16964" t="str">
        <v>-</v>
      </c>
      <c r="E16964" t="str">
        <v/>
      </c>
      <c r="F16964" t="str">
        <v>-</v>
      </c>
      <c r="G16964" t="str">
        <v>-</v>
      </c>
    </row>
    <row r="16965">
      <c r="B16965" t="str">
        <v>UBND Ủy ban nhân dân xã Ealy  tỉnh Phú Yên</v>
      </c>
      <c r="C16965" t="str">
        <v>-</v>
      </c>
      <c r="D16965" t="str">
        <v>-</v>
      </c>
      <c r="E16965" t="str">
        <v>-</v>
      </c>
      <c r="F16965" t="str">
        <v>-</v>
      </c>
      <c r="G16965" t="str">
        <v>-</v>
      </c>
    </row>
    <row r="16966">
      <c r="B16966" t="str">
        <v>Công an xã Sơn Thành Tây  tỉnh Phú Yên</v>
      </c>
      <c r="C16966" t="str">
        <v>-</v>
      </c>
      <c r="D16966" t="str">
        <v>-</v>
      </c>
      <c r="E16966" t="str">
        <v/>
      </c>
      <c r="F16966" t="str">
        <v>-</v>
      </c>
      <c r="G16966" t="str">
        <v>-</v>
      </c>
    </row>
    <row r="16967">
      <c r="B16967" t="str">
        <v>UBND Ủy ban nhân dân xã Sơn Thành Tây  tỉnh Phú Yên</v>
      </c>
      <c r="C16967" t="str">
        <v>-</v>
      </c>
      <c r="D16967" t="str">
        <v>-</v>
      </c>
      <c r="E16967" t="str">
        <v>-</v>
      </c>
      <c r="F16967" t="str">
        <v>-</v>
      </c>
      <c r="G16967" t="str">
        <v>-</v>
      </c>
    </row>
    <row r="16968">
      <c r="B16968" t="str">
        <v>Công an xã Sơn Thành Đông  tỉnh Phú Yên</v>
      </c>
      <c r="C16968" t="str">
        <v>-</v>
      </c>
      <c r="D16968" t="str">
        <v>-</v>
      </c>
      <c r="E16968" t="str">
        <v/>
      </c>
      <c r="F16968" t="str">
        <v>-</v>
      </c>
      <c r="G16968" t="str">
        <v>-</v>
      </c>
    </row>
    <row r="16969">
      <c r="B16969" t="str">
        <v>UBND Ủy ban nhân dân xã Sơn Thành Đông  tỉnh Phú Yên</v>
      </c>
      <c r="C16969" t="str">
        <v>-</v>
      </c>
      <c r="D16969" t="str">
        <v>-</v>
      </c>
      <c r="E16969" t="str">
        <v>-</v>
      </c>
      <c r="F16969" t="str">
        <v>-</v>
      </c>
      <c r="G16969" t="str">
        <v>-</v>
      </c>
    </row>
    <row r="16970">
      <c r="B16970" t="str">
        <v>Công an xã Hòa Bình 1  tỉnh Phú Yên</v>
      </c>
      <c r="C16970" t="str">
        <v>-</v>
      </c>
      <c r="D16970" t="str">
        <v>-</v>
      </c>
      <c r="E16970" t="str">
        <v/>
      </c>
      <c r="F16970" t="str">
        <v>-</v>
      </c>
      <c r="G16970" t="str">
        <v>-</v>
      </c>
    </row>
    <row r="16971">
      <c r="B16971" t="str">
        <v>UBND Ủy ban nhân dân xã Hòa Bình 1  tỉnh Phú Yên</v>
      </c>
      <c r="C16971" t="str">
        <v>-</v>
      </c>
      <c r="D16971" t="str">
        <v>-</v>
      </c>
      <c r="E16971" t="str">
        <v>-</v>
      </c>
      <c r="F16971" t="str">
        <v>-</v>
      </c>
      <c r="G16971" t="str">
        <v>-</v>
      </c>
    </row>
    <row r="16972">
      <c r="B16972" t="str">
        <v>Công an xã Hòa Phong  tỉnh Phú Yên</v>
      </c>
      <c r="C16972" t="str">
        <v>-</v>
      </c>
      <c r="D16972" t="str">
        <v>-</v>
      </c>
      <c r="E16972" t="str">
        <v/>
      </c>
      <c r="F16972" t="str">
        <v>-</v>
      </c>
      <c r="G16972" t="str">
        <v>-</v>
      </c>
    </row>
    <row r="16973">
      <c r="B16973" t="str">
        <v>UBND Ủy ban nhân dân xã Hòa Phong  tỉnh Phú Yên</v>
      </c>
      <c r="C16973" t="str">
        <v>-</v>
      </c>
      <c r="D16973" t="str">
        <v>-</v>
      </c>
      <c r="E16973" t="str">
        <v>-</v>
      </c>
      <c r="F16973" t="str">
        <v>-</v>
      </c>
      <c r="G16973" t="str">
        <v>-</v>
      </c>
    </row>
    <row r="16974">
      <c r="B16974" t="str">
        <v>Công an xã Hòa Phú  tỉnh Phú Yên</v>
      </c>
      <c r="C16974" t="str">
        <v>-</v>
      </c>
      <c r="D16974" t="str">
        <v>-</v>
      </c>
      <c r="E16974" t="str">
        <v/>
      </c>
      <c r="F16974" t="str">
        <v>-</v>
      </c>
      <c r="G16974" t="str">
        <v>-</v>
      </c>
    </row>
    <row r="16975">
      <c r="B16975" t="str">
        <v>UBND Ủy ban nhân dân xã Hòa Phú  tỉnh Phú Yên</v>
      </c>
      <c r="C16975" t="str">
        <v>-</v>
      </c>
      <c r="D16975" t="str">
        <v>-</v>
      </c>
      <c r="E16975" t="str">
        <v>-</v>
      </c>
      <c r="F16975" t="str">
        <v>-</v>
      </c>
      <c r="G16975" t="str">
        <v>-</v>
      </c>
    </row>
    <row r="16976">
      <c r="B16976" t="str">
        <v>Công an xã Hòa Tân Tây  tỉnh Phú Yên</v>
      </c>
      <c r="C16976" t="str">
        <v>-</v>
      </c>
      <c r="D16976" t="str">
        <v>-</v>
      </c>
      <c r="E16976" t="str">
        <v/>
      </c>
      <c r="F16976" t="str">
        <v>-</v>
      </c>
      <c r="G16976" t="str">
        <v>-</v>
      </c>
    </row>
    <row r="16977">
      <c r="B16977" t="str">
        <v>UBND Ủy ban nhân dân xã Hòa Tân Tây  tỉnh Phú Yên</v>
      </c>
      <c r="C16977" t="str">
        <v>-</v>
      </c>
      <c r="D16977" t="str">
        <v>-</v>
      </c>
      <c r="E16977" t="str">
        <v>-</v>
      </c>
      <c r="F16977" t="str">
        <v>-</v>
      </c>
      <c r="G16977" t="str">
        <v>-</v>
      </c>
    </row>
    <row r="16978">
      <c r="B16978" t="str">
        <v>Công an xã Hòa Đồng  tỉnh Phú Yên</v>
      </c>
      <c r="C16978" t="str">
        <v>-</v>
      </c>
      <c r="D16978" t="str">
        <v>-</v>
      </c>
      <c r="E16978" t="str">
        <v/>
      </c>
      <c r="F16978" t="str">
        <v>-</v>
      </c>
      <c r="G16978" t="str">
        <v>-</v>
      </c>
    </row>
    <row r="16979">
      <c r="B16979" t="str">
        <v>UBND Ủy ban nhân dân xã Hòa Đồng  tỉnh Phú Yên</v>
      </c>
      <c r="C16979" t="str">
        <v>-</v>
      </c>
      <c r="D16979" t="str">
        <v>-</v>
      </c>
      <c r="E16979" t="str">
        <v>-</v>
      </c>
      <c r="F16979" t="str">
        <v>-</v>
      </c>
      <c r="G16979" t="str">
        <v>-</v>
      </c>
    </row>
    <row r="16980">
      <c r="B16980" t="str">
        <v>Công an xã Hòa Mỹ Đông  tỉnh Phú Yên</v>
      </c>
      <c r="C16980" t="str">
        <v>-</v>
      </c>
      <c r="D16980" t="str">
        <v>-</v>
      </c>
      <c r="E16980" t="str">
        <v/>
      </c>
      <c r="F16980" t="str">
        <v>-</v>
      </c>
      <c r="G16980" t="str">
        <v>-</v>
      </c>
    </row>
    <row r="16981">
      <c r="B16981" t="str">
        <v>UBND Ủy ban nhân dân xã Hòa Mỹ Đông  tỉnh Phú Yên</v>
      </c>
      <c r="C16981" t="str">
        <v>-</v>
      </c>
      <c r="D16981" t="str">
        <v>-</v>
      </c>
      <c r="E16981" t="str">
        <v>-</v>
      </c>
      <c r="F16981" t="str">
        <v>-</v>
      </c>
      <c r="G16981" t="str">
        <v>-</v>
      </c>
    </row>
    <row r="16982">
      <c r="B16982" t="str">
        <v>Công an xã Hòa Mỹ Tây  tỉnh Phú Yên</v>
      </c>
      <c r="C16982" t="str">
        <v>-</v>
      </c>
      <c r="D16982" t="str">
        <v>-</v>
      </c>
      <c r="E16982" t="str">
        <v/>
      </c>
      <c r="F16982" t="str">
        <v>-</v>
      </c>
      <c r="G16982" t="str">
        <v>-</v>
      </c>
    </row>
    <row r="16983">
      <c r="B16983" t="str">
        <v>UBND Ủy ban nhân dân xã Hòa Mỹ Tây  tỉnh Phú Yên</v>
      </c>
      <c r="C16983" t="str">
        <v>-</v>
      </c>
      <c r="D16983" t="str">
        <v>-</v>
      </c>
      <c r="E16983" t="str">
        <v>-</v>
      </c>
      <c r="F16983" t="str">
        <v>-</v>
      </c>
      <c r="G16983" t="str">
        <v>-</v>
      </c>
    </row>
    <row r="16984">
      <c r="B16984" t="str">
        <v>Công an xã Hòa Thịnh  tỉnh Phú Yên</v>
      </c>
      <c r="C16984" t="str">
        <v>-</v>
      </c>
      <c r="D16984" t="str">
        <v>-</v>
      </c>
      <c r="E16984" t="str">
        <v/>
      </c>
      <c r="F16984" t="str">
        <v>-</v>
      </c>
      <c r="G16984" t="str">
        <v>-</v>
      </c>
    </row>
    <row r="16985">
      <c r="B16985" t="str">
        <v>UBND Ủy ban nhân dân xã Hòa Thịnh  tỉnh Phú Yên</v>
      </c>
      <c r="C16985" t="str">
        <v>-</v>
      </c>
      <c r="D16985" t="str">
        <v>-</v>
      </c>
      <c r="E16985" t="str">
        <v>-</v>
      </c>
      <c r="F16985" t="str">
        <v>-</v>
      </c>
      <c r="G16985" t="str">
        <v>-</v>
      </c>
    </row>
    <row r="16986">
      <c r="B16986" t="str">
        <v>Công an xã Hòa Quang Bắc  tỉnh Phú Yên</v>
      </c>
      <c r="C16986" t="str">
        <v>-</v>
      </c>
      <c r="D16986" t="str">
        <v>-</v>
      </c>
      <c r="E16986" t="str">
        <v/>
      </c>
      <c r="F16986" t="str">
        <v>-</v>
      </c>
      <c r="G16986" t="str">
        <v>-</v>
      </c>
    </row>
    <row r="16987">
      <c r="B16987" t="str">
        <v>UBND Ủy ban nhân dân xã Hòa Quang Bắc  tỉnh Phú Yên</v>
      </c>
      <c r="C16987" t="str">
        <v>-</v>
      </c>
      <c r="D16987" t="str">
        <v>-</v>
      </c>
      <c r="E16987" t="str">
        <v>-</v>
      </c>
      <c r="F16987" t="str">
        <v>-</v>
      </c>
      <c r="G16987" t="str">
        <v>-</v>
      </c>
    </row>
    <row r="16988">
      <c r="B16988" t="str">
        <v>Công an xã Hòa Quang Nam  tỉnh Phú Yên</v>
      </c>
      <c r="C16988" t="str">
        <v>-</v>
      </c>
      <c r="D16988" t="str">
        <v>-</v>
      </c>
      <c r="E16988" t="str">
        <v/>
      </c>
      <c r="F16988" t="str">
        <v>-</v>
      </c>
      <c r="G16988" t="str">
        <v>-</v>
      </c>
    </row>
    <row r="16989">
      <c r="B16989" t="str">
        <v>UBND Ủy ban nhân dân xã Hòa Quang Nam  tỉnh Phú Yên</v>
      </c>
      <c r="C16989" t="str">
        <v>-</v>
      </c>
      <c r="D16989" t="str">
        <v>-</v>
      </c>
      <c r="E16989" t="str">
        <v>-</v>
      </c>
      <c r="F16989" t="str">
        <v>-</v>
      </c>
      <c r="G16989" t="str">
        <v>-</v>
      </c>
    </row>
    <row r="16990">
      <c r="B16990" t="str">
        <v>Công an xã Hòa Hội  tỉnh Phú Yên</v>
      </c>
      <c r="C16990" t="str">
        <v>-</v>
      </c>
      <c r="D16990" t="str">
        <v>-</v>
      </c>
      <c r="E16990" t="str">
        <v/>
      </c>
      <c r="F16990" t="str">
        <v>-</v>
      </c>
      <c r="G16990" t="str">
        <v>-</v>
      </c>
    </row>
    <row r="16991">
      <c r="B16991" t="str">
        <v>UBND Ủy ban nhân dân xã Hòa Hội  tỉnh Phú Yên</v>
      </c>
      <c r="C16991" t="str">
        <v>-</v>
      </c>
      <c r="D16991" t="str">
        <v>-</v>
      </c>
      <c r="E16991" t="str">
        <v>-</v>
      </c>
      <c r="F16991" t="str">
        <v>-</v>
      </c>
      <c r="G16991" t="str">
        <v>-</v>
      </c>
    </row>
    <row r="16992">
      <c r="B16992" t="str">
        <v>Công an xã Hòa Trị  tỉnh Phú Yên</v>
      </c>
      <c r="C16992" t="str">
        <v>-</v>
      </c>
      <c r="D16992" t="str">
        <v>-</v>
      </c>
      <c r="E16992" t="str">
        <v/>
      </c>
      <c r="F16992" t="str">
        <v>-</v>
      </c>
      <c r="G16992" t="str">
        <v>-</v>
      </c>
    </row>
    <row r="16993">
      <c r="B16993" t="str">
        <v>UBND Ủy ban nhân dân xã Hòa Trị  tỉnh Phú Yên</v>
      </c>
      <c r="C16993" t="str">
        <v>-</v>
      </c>
      <c r="D16993" t="str">
        <v>-</v>
      </c>
      <c r="E16993" t="str">
        <v>-</v>
      </c>
      <c r="F16993" t="str">
        <v>-</v>
      </c>
      <c r="G16993" t="str">
        <v>-</v>
      </c>
    </row>
    <row r="16994">
      <c r="B16994" t="str">
        <v>Công an xã Hòa An  tỉnh Phú Yên</v>
      </c>
      <c r="C16994" t="str">
        <v>-</v>
      </c>
      <c r="D16994" t="str">
        <v>-</v>
      </c>
      <c r="E16994" t="str">
        <v/>
      </c>
      <c r="F16994" t="str">
        <v>-</v>
      </c>
      <c r="G16994" t="str">
        <v>-</v>
      </c>
    </row>
    <row r="16995">
      <c r="B16995" t="str">
        <v>UBND Ủy ban nhân dân xã Hòa An  tỉnh Phú Yên</v>
      </c>
      <c r="C16995" t="str">
        <v>-</v>
      </c>
      <c r="D16995" t="str">
        <v>-</v>
      </c>
      <c r="E16995" t="str">
        <v>-</v>
      </c>
      <c r="F16995" t="str">
        <v>-</v>
      </c>
      <c r="G16995" t="str">
        <v>-</v>
      </c>
    </row>
    <row r="16996">
      <c r="B16996" t="str">
        <v>Công an xã Hòa Định Đông  tỉnh Phú Yên</v>
      </c>
      <c r="C16996" t="str">
        <v>-</v>
      </c>
      <c r="D16996" t="str">
        <v>-</v>
      </c>
      <c r="E16996" t="str">
        <v/>
      </c>
      <c r="F16996" t="str">
        <v>-</v>
      </c>
      <c r="G16996" t="str">
        <v>-</v>
      </c>
    </row>
    <row r="16997">
      <c r="B16997" t="str">
        <v>UBND Ủy ban nhân dân xã Hòa Định Đông  tỉnh Phú Yên</v>
      </c>
      <c r="C16997" t="str">
        <v>-</v>
      </c>
      <c r="D16997" t="str">
        <v>-</v>
      </c>
      <c r="E16997" t="str">
        <v>-</v>
      </c>
      <c r="F16997" t="str">
        <v>-</v>
      </c>
      <c r="G16997" t="str">
        <v>-</v>
      </c>
    </row>
    <row r="16998">
      <c r="B16998" t="str">
        <v>Công an xã Hòa Định Tây  tỉnh Phú Yên</v>
      </c>
      <c r="C16998" t="str">
        <v>-</v>
      </c>
      <c r="D16998" t="str">
        <v>-</v>
      </c>
      <c r="E16998" t="str">
        <v/>
      </c>
      <c r="F16998" t="str">
        <v>-</v>
      </c>
      <c r="G16998" t="str">
        <v>-</v>
      </c>
    </row>
    <row r="16999">
      <c r="B16999" t="str">
        <v>UBND Ủy ban nhân dân xã Hòa Định Tây  tỉnh Phú Yên</v>
      </c>
      <c r="C16999" t="str">
        <v>-</v>
      </c>
      <c r="D16999" t="str">
        <v>-</v>
      </c>
      <c r="E16999" t="str">
        <v>-</v>
      </c>
      <c r="F16999" t="str">
        <v>-</v>
      </c>
      <c r="G16999" t="str">
        <v>-</v>
      </c>
    </row>
    <row r="17000">
      <c r="B17000" t="str">
        <v>Công an xã Hòa Thắng  tỉnh Phú Yên</v>
      </c>
      <c r="C17000" t="str">
        <v>-</v>
      </c>
      <c r="D17000" t="str">
        <v>-</v>
      </c>
      <c r="E17000" t="str">
        <v/>
      </c>
      <c r="F17000" t="str">
        <v>-</v>
      </c>
      <c r="G17000" t="str">
        <v>-</v>
      </c>
    </row>
    <row r="17001">
      <c r="B17001" t="str">
        <v>UBND Ủy ban nhân dân xã Hòa Thắng  tỉnh Phú Yên</v>
      </c>
      <c r="C17001" t="str">
        <v>-</v>
      </c>
      <c r="D17001" t="str">
        <v>-</v>
      </c>
      <c r="E17001" t="str">
        <v>-</v>
      </c>
      <c r="F17001" t="str">
        <v>-</v>
      </c>
      <c r="G17001" t="str">
        <v>-</v>
      </c>
    </row>
    <row r="17002">
      <c r="B17002" t="str">
        <v>Công an xã Hòa Thành  tỉnh Phú Yên</v>
      </c>
      <c r="C17002" t="str">
        <v>-</v>
      </c>
      <c r="D17002" t="str">
        <v>-</v>
      </c>
      <c r="E17002" t="str">
        <v/>
      </c>
      <c r="F17002" t="str">
        <v>-</v>
      </c>
      <c r="G17002" t="str">
        <v>-</v>
      </c>
    </row>
    <row r="17003">
      <c r="B17003" t="str">
        <v>UBND Ủy ban nhân dân xã Hòa Thành  tỉnh Phú Yên</v>
      </c>
      <c r="C17003" t="str">
        <v>-</v>
      </c>
      <c r="D17003" t="str">
        <v>-</v>
      </c>
      <c r="E17003" t="str">
        <v>-</v>
      </c>
      <c r="F17003" t="str">
        <v>-</v>
      </c>
      <c r="G17003" t="str">
        <v>-</v>
      </c>
    </row>
    <row r="17004">
      <c r="B17004" t="str">
        <v>Công an xã Hòa Hiệp Bắc  tỉnh Phú Yên</v>
      </c>
      <c r="C17004" t="str">
        <v>-</v>
      </c>
      <c r="D17004" t="str">
        <v>-</v>
      </c>
      <c r="E17004" t="str">
        <v/>
      </c>
      <c r="F17004" t="str">
        <v>-</v>
      </c>
      <c r="G17004" t="str">
        <v>-</v>
      </c>
    </row>
    <row r="17005">
      <c r="B17005" t="str">
        <v>UBND Ủy ban nhân dân xã Hòa Hiệp Bắc  tỉnh Phú Yên</v>
      </c>
      <c r="C17005" t="str">
        <v>-</v>
      </c>
      <c r="D17005" t="str">
        <v>-</v>
      </c>
      <c r="E17005" t="str">
        <v>-</v>
      </c>
      <c r="F17005" t="str">
        <v>-</v>
      </c>
      <c r="G17005" t="str">
        <v>-</v>
      </c>
    </row>
    <row r="17006">
      <c r="B17006" t="str">
        <v>Công an xã Hòa Tân Đông  tỉnh Phú Yên</v>
      </c>
      <c r="C17006" t="str">
        <v>-</v>
      </c>
      <c r="D17006" t="str">
        <v>-</v>
      </c>
      <c r="E17006" t="str">
        <v/>
      </c>
      <c r="F17006" t="str">
        <v>-</v>
      </c>
      <c r="G17006" t="str">
        <v>-</v>
      </c>
    </row>
    <row r="17007">
      <c r="B17007" t="str">
        <v>UBND Ủy ban nhân dân xã Hòa Tân Đông  tỉnh Phú Yên</v>
      </c>
      <c r="C17007" t="str">
        <v>-</v>
      </c>
      <c r="D17007" t="str">
        <v>-</v>
      </c>
      <c r="E17007" t="str">
        <v>-</v>
      </c>
      <c r="F17007" t="str">
        <v>-</v>
      </c>
      <c r="G17007" t="str">
        <v>-</v>
      </c>
    </row>
    <row r="17008">
      <c r="B17008" t="str">
        <v>Công an xã Hòa Xuân Tây  tỉnh Phú Yên</v>
      </c>
      <c r="C17008" t="str">
        <v>-</v>
      </c>
      <c r="D17008" t="str">
        <v>-</v>
      </c>
      <c r="E17008" t="str">
        <v/>
      </c>
      <c r="F17008" t="str">
        <v>-</v>
      </c>
      <c r="G17008" t="str">
        <v>-</v>
      </c>
    </row>
    <row r="17009">
      <c r="B17009" t="str">
        <v>UBND Ủy ban nhân dân xã Hòa Xuân Tây  tỉnh Phú Yên</v>
      </c>
      <c r="C17009" t="str">
        <v>-</v>
      </c>
      <c r="D17009" t="str">
        <v>-</v>
      </c>
      <c r="E17009" t="str">
        <v>-</v>
      </c>
      <c r="F17009" t="str">
        <v>-</v>
      </c>
      <c r="G17009" t="str">
        <v>-</v>
      </c>
    </row>
    <row r="17010">
      <c r="B17010" t="str">
        <v>Công an xã Hòa Hiệp Nam  tỉnh Phú Yên</v>
      </c>
      <c r="C17010" t="str">
        <v>-</v>
      </c>
      <c r="D17010" t="str">
        <v>-</v>
      </c>
      <c r="E17010" t="str">
        <v/>
      </c>
      <c r="F17010" t="str">
        <v>-</v>
      </c>
      <c r="G17010" t="str">
        <v>-</v>
      </c>
    </row>
    <row r="17011">
      <c r="B17011" t="str">
        <v>UBND Ủy ban nhân dân xã Hòa Hiệp Nam  tỉnh Phú Yên</v>
      </c>
      <c r="C17011" t="str">
        <v>-</v>
      </c>
      <c r="D17011" t="str">
        <v>-</v>
      </c>
      <c r="E17011" t="str">
        <v>-</v>
      </c>
      <c r="F17011" t="str">
        <v>-</v>
      </c>
      <c r="G17011" t="str">
        <v>-</v>
      </c>
    </row>
    <row r="17012">
      <c r="B17012" t="str">
        <v>Công an xã Hòa Xuân Đông  tỉnh Phú Yên</v>
      </c>
      <c r="C17012" t="str">
        <v>-</v>
      </c>
      <c r="D17012" t="str">
        <v>-</v>
      </c>
      <c r="E17012" t="str">
        <v/>
      </c>
      <c r="F17012" t="str">
        <v>-</v>
      </c>
      <c r="G17012" t="str">
        <v>-</v>
      </c>
    </row>
    <row r="17013">
      <c r="B17013" t="str">
        <v>UBND Ủy ban nhân dân xã Hòa Xuân Đông  tỉnh Phú Yên</v>
      </c>
      <c r="C17013" t="str">
        <v>-</v>
      </c>
      <c r="D17013" t="str">
        <v>-</v>
      </c>
      <c r="E17013" t="str">
        <v>-</v>
      </c>
      <c r="F17013" t="str">
        <v>-</v>
      </c>
      <c r="G17013" t="str">
        <v>-</v>
      </c>
    </row>
    <row r="17014">
      <c r="B17014" t="str">
        <v>Công an xã Hòa Tâm  tỉnh Phú Yên</v>
      </c>
      <c r="C17014" t="str">
        <v>-</v>
      </c>
      <c r="D17014" t="str">
        <v>-</v>
      </c>
      <c r="E17014" t="str">
        <v/>
      </c>
      <c r="F17014" t="str">
        <v>-</v>
      </c>
      <c r="G17014" t="str">
        <v>-</v>
      </c>
    </row>
    <row r="17015">
      <c r="B17015" t="str">
        <v>UBND Ủy ban nhân dân xã Hòa Tâm  tỉnh Phú Yên</v>
      </c>
      <c r="C17015" t="str">
        <v>-</v>
      </c>
      <c r="D17015" t="str">
        <v>-</v>
      </c>
      <c r="E17015" t="str">
        <v>-</v>
      </c>
      <c r="F17015" t="str">
        <v>-</v>
      </c>
      <c r="G17015" t="str">
        <v>-</v>
      </c>
    </row>
    <row r="17016">
      <c r="B17016" t="str">
        <v>Công an xã Hòa Xuân Nam  tỉnh Phú Yên</v>
      </c>
      <c r="C17016" t="str">
        <v>-</v>
      </c>
      <c r="D17016" t="str">
        <v>-</v>
      </c>
      <c r="E17016" t="str">
        <v/>
      </c>
      <c r="F17016" t="str">
        <v>-</v>
      </c>
      <c r="G17016" t="str">
        <v>-</v>
      </c>
    </row>
    <row r="17017">
      <c r="B17017" t="str">
        <v>UBND Ủy ban nhân dân xã Hòa Xuân Nam  tỉnh Phú Yên</v>
      </c>
      <c r="C17017" t="str">
        <v>-</v>
      </c>
      <c r="D17017" t="str">
        <v>-</v>
      </c>
      <c r="E17017" t="str">
        <v>-</v>
      </c>
      <c r="F17017" t="str">
        <v>-</v>
      </c>
      <c r="G17017" t="str">
        <v>-</v>
      </c>
    </row>
    <row r="17018">
      <c r="B17018" t="str">
        <v>Công an phường Vĩnh Hòa  tỉnh Khánh Hòa</v>
      </c>
      <c r="C17018" t="str">
        <v>-</v>
      </c>
      <c r="D17018" t="str">
        <v>-</v>
      </c>
      <c r="E17018" t="str">
        <v/>
      </c>
      <c r="F17018" t="str">
        <v>-</v>
      </c>
      <c r="G17018" t="str">
        <v>-</v>
      </c>
    </row>
    <row r="17019">
      <c r="B17019" t="str">
        <v>UBND Ủy ban nhân dân phường Vĩnh Hòa  tỉnh Khánh Hòa</v>
      </c>
      <c r="C17019" t="str">
        <v>-</v>
      </c>
      <c r="D17019" t="str">
        <v>-</v>
      </c>
      <c r="E17019" t="str">
        <v>-</v>
      </c>
      <c r="F17019" t="str">
        <v>-</v>
      </c>
      <c r="G17019" t="str">
        <v>-</v>
      </c>
    </row>
    <row r="17020">
      <c r="B17020" t="str">
        <v>Công an phường Vĩnh Hải  tỉnh Khánh Hòa</v>
      </c>
      <c r="C17020" t="str">
        <v>-</v>
      </c>
      <c r="D17020" t="str">
        <v>-</v>
      </c>
      <c r="E17020" t="str">
        <v/>
      </c>
      <c r="F17020" t="str">
        <v>-</v>
      </c>
      <c r="G17020" t="str">
        <v>-</v>
      </c>
    </row>
    <row r="17021">
      <c r="B17021" t="str">
        <v>UBND Ủy ban nhân dân phường Vĩnh Hải  tỉnh Khánh Hòa</v>
      </c>
      <c r="C17021" t="str">
        <v>-</v>
      </c>
      <c r="D17021" t="str">
        <v>-</v>
      </c>
      <c r="E17021" t="str">
        <v>-</v>
      </c>
      <c r="F17021" t="str">
        <v>-</v>
      </c>
      <c r="G17021" t="str">
        <v>-</v>
      </c>
    </row>
    <row r="17022">
      <c r="B17022" t="str">
        <v>Công an phường Vĩnh Phước  tỉnh Khánh Hòa</v>
      </c>
      <c r="C17022" t="str">
        <v>-</v>
      </c>
      <c r="D17022" t="str">
        <v>-</v>
      </c>
      <c r="E17022" t="str">
        <v/>
      </c>
      <c r="F17022" t="str">
        <v>-</v>
      </c>
      <c r="G17022" t="str">
        <v>-</v>
      </c>
    </row>
    <row r="17023">
      <c r="B17023" t="str">
        <v>UBND Ủy ban nhân dân phường Vĩnh Phước  tỉnh Khánh Hòa</v>
      </c>
      <c r="C17023" t="str">
        <v>-</v>
      </c>
      <c r="D17023" t="str">
        <v>-</v>
      </c>
      <c r="E17023" t="str">
        <v>-</v>
      </c>
      <c r="F17023" t="str">
        <v>-</v>
      </c>
      <c r="G17023" t="str">
        <v>-</v>
      </c>
    </row>
    <row r="17024">
      <c r="B17024" t="str">
        <v>Công an phường Ngọc Hiệp  tỉnh Khánh Hòa</v>
      </c>
      <c r="C17024" t="str">
        <v>-</v>
      </c>
      <c r="D17024" t="str">
        <v>-</v>
      </c>
      <c r="E17024" t="str">
        <v/>
      </c>
      <c r="F17024" t="str">
        <v>-</v>
      </c>
      <c r="G17024" t="str">
        <v>-</v>
      </c>
    </row>
    <row r="17025">
      <c r="B17025" t="str">
        <v>UBND Ủy ban nhân dân phường Ngọc Hiệp  tỉnh Khánh Hòa</v>
      </c>
      <c r="C17025" t="str">
        <v>-</v>
      </c>
      <c r="D17025" t="str">
        <v>-</v>
      </c>
      <c r="E17025" t="str">
        <v>-</v>
      </c>
      <c r="F17025" t="str">
        <v>-</v>
      </c>
      <c r="G17025" t="str">
        <v>-</v>
      </c>
    </row>
    <row r="17026">
      <c r="B17026" t="str">
        <v>Công an phường Vĩnh Thọ  tỉnh Khánh Hòa</v>
      </c>
      <c r="C17026" t="str">
        <v>-</v>
      </c>
      <c r="D17026" t="str">
        <v>-</v>
      </c>
      <c r="E17026" t="str">
        <v/>
      </c>
      <c r="F17026" t="str">
        <v>-</v>
      </c>
      <c r="G17026" t="str">
        <v>-</v>
      </c>
    </row>
    <row r="17027">
      <c r="B17027" t="str">
        <v>UBND Ủy ban nhân dân phường Vĩnh Thọ  tỉnh Khánh Hòa</v>
      </c>
      <c r="C17027" t="str">
        <v>-</v>
      </c>
      <c r="D17027" t="str">
        <v>-</v>
      </c>
      <c r="E17027" t="str">
        <v>-</v>
      </c>
      <c r="F17027" t="str">
        <v>-</v>
      </c>
      <c r="G17027" t="str">
        <v>-</v>
      </c>
    </row>
    <row r="17028">
      <c r="B17028" t="str">
        <v>Công an phường Xương Huân  tỉnh Khánh Hòa</v>
      </c>
      <c r="C17028" t="str">
        <v>-</v>
      </c>
      <c r="D17028" t="str">
        <v>-</v>
      </c>
      <c r="E17028" t="str">
        <v/>
      </c>
      <c r="F17028" t="str">
        <v>-</v>
      </c>
      <c r="G17028" t="str">
        <v>-</v>
      </c>
    </row>
    <row r="17029">
      <c r="B17029" t="str">
        <v>UBND Ủy ban nhân dân phường Xương Huân  tỉnh Khánh Hòa</v>
      </c>
      <c r="C17029" t="str">
        <v>-</v>
      </c>
      <c r="D17029" t="str">
        <v>-</v>
      </c>
      <c r="E17029" t="str">
        <v>-</v>
      </c>
      <c r="F17029" t="str">
        <v>-</v>
      </c>
      <c r="G17029" t="str">
        <v>-</v>
      </c>
    </row>
    <row r="17030">
      <c r="B17030" t="str">
        <v>Công an phường Vạn Thắng  tỉnh Khánh Hòa</v>
      </c>
      <c r="C17030" t="str">
        <v>-</v>
      </c>
      <c r="D17030" t="str">
        <v>-</v>
      </c>
      <c r="E17030" t="str">
        <v/>
      </c>
      <c r="F17030" t="str">
        <v>-</v>
      </c>
      <c r="G17030" t="str">
        <v>-</v>
      </c>
    </row>
    <row r="17031">
      <c r="B17031" t="str">
        <v>UBND Ủy ban nhân dân phường Vạn Thắng  tỉnh Khánh Hòa</v>
      </c>
      <c r="C17031" t="str">
        <v>-</v>
      </c>
      <c r="D17031" t="str">
        <v>-</v>
      </c>
      <c r="E17031" t="str">
        <v>-</v>
      </c>
      <c r="F17031" t="str">
        <v>-</v>
      </c>
      <c r="G17031" t="str">
        <v>-</v>
      </c>
    </row>
    <row r="17032">
      <c r="B17032" t="str">
        <v>Công an phường Vạn Thạnh  tỉnh Khánh Hòa</v>
      </c>
      <c r="C17032" t="str">
        <v>-</v>
      </c>
      <c r="D17032" t="str">
        <v>-</v>
      </c>
      <c r="E17032" t="str">
        <v/>
      </c>
      <c r="F17032" t="str">
        <v>-</v>
      </c>
      <c r="G17032" t="str">
        <v>-</v>
      </c>
    </row>
    <row r="17033">
      <c r="B17033" t="str">
        <v>UBND Ủy ban nhân dân phường Vạn Thạnh  tỉnh Khánh Hòa</v>
      </c>
      <c r="C17033" t="str">
        <v>-</v>
      </c>
      <c r="D17033" t="str">
        <v>-</v>
      </c>
      <c r="E17033" t="str">
        <v>-</v>
      </c>
      <c r="F17033" t="str">
        <v>-</v>
      </c>
      <c r="G17033" t="str">
        <v>-</v>
      </c>
    </row>
    <row r="17034">
      <c r="B17034" t="str">
        <v>Công an phường Phương Sài  tỉnh Khánh Hòa</v>
      </c>
      <c r="C17034" t="str">
        <v>-</v>
      </c>
      <c r="D17034" t="str">
        <v>-</v>
      </c>
      <c r="E17034" t="str">
        <v/>
      </c>
      <c r="F17034" t="str">
        <v>-</v>
      </c>
      <c r="G17034" t="str">
        <v>-</v>
      </c>
    </row>
    <row r="17035">
      <c r="B17035" t="str">
        <v>UBND Ủy ban nhân dân phường Phương Sài  tỉnh Khánh Hòa</v>
      </c>
      <c r="C17035" t="str">
        <v>-</v>
      </c>
      <c r="D17035" t="str">
        <v>-</v>
      </c>
      <c r="E17035" t="str">
        <v>-</v>
      </c>
      <c r="F17035" t="str">
        <v>-</v>
      </c>
      <c r="G17035" t="str">
        <v>-</v>
      </c>
    </row>
    <row r="17036">
      <c r="B17036" t="str">
        <v>Công an phường Phương Sơn  tỉnh Khánh Hòa</v>
      </c>
      <c r="C17036" t="str">
        <v>-</v>
      </c>
      <c r="D17036" t="str">
        <v>-</v>
      </c>
      <c r="E17036" t="str">
        <v/>
      </c>
      <c r="F17036" t="str">
        <v>-</v>
      </c>
      <c r="G17036" t="str">
        <v>-</v>
      </c>
    </row>
    <row r="17037">
      <c r="B17037" t="str">
        <v>UBND Ủy ban nhân dân phường Phương Sơn  tỉnh Khánh Hòa</v>
      </c>
      <c r="C17037" t="str">
        <v>-</v>
      </c>
      <c r="D17037" t="str">
        <v>-</v>
      </c>
      <c r="E17037" t="str">
        <v>-</v>
      </c>
      <c r="F17037" t="str">
        <v>-</v>
      </c>
      <c r="G17037" t="str">
        <v>-</v>
      </c>
    </row>
    <row r="17038">
      <c r="B17038" t="str">
        <v>Công an phường Phước Hải  tỉnh Khánh Hòa</v>
      </c>
      <c r="C17038" t="str">
        <v>-</v>
      </c>
      <c r="D17038" t="str">
        <v>-</v>
      </c>
      <c r="E17038" t="str">
        <v/>
      </c>
      <c r="F17038" t="str">
        <v>-</v>
      </c>
      <c r="G17038" t="str">
        <v>-</v>
      </c>
    </row>
    <row r="17039">
      <c r="B17039" t="str">
        <v>UBND Ủy ban nhân dân phường Phước Hải  tỉnh Khánh Hòa</v>
      </c>
      <c r="C17039" t="str">
        <v>-</v>
      </c>
      <c r="D17039" t="str">
        <v>-</v>
      </c>
      <c r="E17039" t="str">
        <v>-</v>
      </c>
      <c r="F17039" t="str">
        <v>-</v>
      </c>
      <c r="G17039" t="str">
        <v>-</v>
      </c>
    </row>
    <row r="17040">
      <c r="B17040" t="str">
        <v>Công an phường Phước Hải  tỉnh Khánh Hòa</v>
      </c>
      <c r="C17040" t="str">
        <v>-</v>
      </c>
      <c r="D17040" t="str">
        <v>-</v>
      </c>
      <c r="E17040" t="str">
        <v/>
      </c>
      <c r="F17040" t="str">
        <v>-</v>
      </c>
      <c r="G17040" t="str">
        <v>-</v>
      </c>
    </row>
    <row r="17041">
      <c r="B17041" t="str">
        <v>UBND Ủy ban nhân dân phường Phước Hải  tỉnh Khánh Hòa</v>
      </c>
      <c r="C17041" t="str">
        <v>-</v>
      </c>
      <c r="D17041" t="str">
        <v>-</v>
      </c>
      <c r="E17041" t="str">
        <v>-</v>
      </c>
      <c r="F17041" t="str">
        <v>-</v>
      </c>
      <c r="G17041" t="str">
        <v>-</v>
      </c>
    </row>
    <row r="17042">
      <c r="B17042" t="str">
        <v>Công an phường Lộc Thọ  tỉnh Khánh Hòa</v>
      </c>
      <c r="C17042" t="str">
        <v>-</v>
      </c>
      <c r="D17042" t="str">
        <v>-</v>
      </c>
      <c r="E17042" t="str">
        <v/>
      </c>
      <c r="F17042" t="str">
        <v>-</v>
      </c>
      <c r="G17042" t="str">
        <v>-</v>
      </c>
    </row>
    <row r="17043">
      <c r="B17043" t="str">
        <v>UBND Ủy ban nhân dân phường Lộc Thọ  tỉnh Khánh Hòa</v>
      </c>
      <c r="C17043" t="str">
        <v>-</v>
      </c>
      <c r="D17043" t="str">
        <v>-</v>
      </c>
      <c r="E17043" t="str">
        <v>-</v>
      </c>
      <c r="F17043" t="str">
        <v>-</v>
      </c>
      <c r="G17043" t="str">
        <v>-</v>
      </c>
    </row>
    <row r="17044">
      <c r="B17044" t="str">
        <v>Công an phường Phước Tiến  tỉnh Khánh Hòa</v>
      </c>
      <c r="C17044" t="str">
        <v>-</v>
      </c>
      <c r="D17044" t="str">
        <v>-</v>
      </c>
      <c r="E17044" t="str">
        <v/>
      </c>
      <c r="F17044" t="str">
        <v>-</v>
      </c>
      <c r="G17044" t="str">
        <v>-</v>
      </c>
    </row>
    <row r="17045">
      <c r="B17045" t="str">
        <v>UBND Ủy ban nhân dân phường Phước Tiến  tỉnh Khánh Hòa</v>
      </c>
      <c r="C17045" t="str">
        <v>-</v>
      </c>
      <c r="D17045" t="str">
        <v>-</v>
      </c>
      <c r="E17045" t="str">
        <v>-</v>
      </c>
      <c r="F17045" t="str">
        <v>-</v>
      </c>
      <c r="G17045" t="str">
        <v>-</v>
      </c>
    </row>
    <row r="17046">
      <c r="B17046" t="str">
        <v>Công an phường Tân Lập  tỉnh Khánh Hòa</v>
      </c>
      <c r="C17046" t="str">
        <v>-</v>
      </c>
      <c r="D17046" t="str">
        <v>-</v>
      </c>
      <c r="E17046" t="str">
        <v/>
      </c>
      <c r="F17046" t="str">
        <v>-</v>
      </c>
      <c r="G17046" t="str">
        <v>-</v>
      </c>
    </row>
    <row r="17047">
      <c r="B17047" t="str">
        <v>UBND Ủy ban nhân dân phường Tân Lập  tỉnh Khánh Hòa</v>
      </c>
      <c r="C17047" t="str">
        <v>-</v>
      </c>
      <c r="D17047" t="str">
        <v>-</v>
      </c>
      <c r="E17047" t="str">
        <v>-</v>
      </c>
      <c r="F17047" t="str">
        <v>-</v>
      </c>
      <c r="G17047" t="str">
        <v>-</v>
      </c>
    </row>
    <row r="17048">
      <c r="B17048" t="str">
        <v>Công an phường Phước Hòa  tỉnh Khánh Hòa</v>
      </c>
      <c r="C17048" t="str">
        <v>-</v>
      </c>
      <c r="D17048" t="str">
        <v>-</v>
      </c>
      <c r="E17048" t="str">
        <v/>
      </c>
      <c r="F17048" t="str">
        <v>-</v>
      </c>
      <c r="G17048" t="str">
        <v>-</v>
      </c>
    </row>
    <row r="17049">
      <c r="B17049" t="str">
        <v>UBND Ủy ban nhân dân phường Phước Hòa  tỉnh Khánh Hòa</v>
      </c>
      <c r="C17049" t="str">
        <v>-</v>
      </c>
      <c r="D17049" t="str">
        <v>-</v>
      </c>
      <c r="E17049" t="str">
        <v>-</v>
      </c>
      <c r="F17049" t="str">
        <v>-</v>
      </c>
      <c r="G17049" t="str">
        <v>-</v>
      </c>
    </row>
    <row r="17050">
      <c r="B17050" t="str">
        <v>Công an phường Vĩnh Nguyên  tỉnh Khánh Hòa</v>
      </c>
      <c r="C17050" t="str">
        <v>-</v>
      </c>
      <c r="D17050" t="str">
        <v>-</v>
      </c>
      <c r="E17050" t="str">
        <v/>
      </c>
      <c r="F17050" t="str">
        <v>-</v>
      </c>
      <c r="G17050" t="str">
        <v>-</v>
      </c>
    </row>
    <row r="17051">
      <c r="B17051" t="str">
        <v>UBND Ủy ban nhân dân phường Vĩnh Nguyên  tỉnh Khánh Hòa</v>
      </c>
      <c r="C17051" t="str">
        <v>-</v>
      </c>
      <c r="D17051" t="str">
        <v>-</v>
      </c>
      <c r="E17051" t="str">
        <v>-</v>
      </c>
      <c r="F17051" t="str">
        <v>-</v>
      </c>
      <c r="G17051" t="str">
        <v>-</v>
      </c>
    </row>
    <row r="17052">
      <c r="B17052" t="str">
        <v>Công an phường Phước Long  tỉnh Khánh Hòa</v>
      </c>
      <c r="C17052" t="str">
        <v>-</v>
      </c>
      <c r="D17052" t="str">
        <v>-</v>
      </c>
      <c r="E17052" t="str">
        <v/>
      </c>
      <c r="F17052" t="str">
        <v>-</v>
      </c>
      <c r="G17052" t="str">
        <v>-</v>
      </c>
    </row>
    <row r="17053">
      <c r="B17053" t="str">
        <v>UBND Ủy ban nhân dân phường Phước Long  tỉnh Khánh Hòa</v>
      </c>
      <c r="C17053" t="str">
        <v>-</v>
      </c>
      <c r="D17053" t="str">
        <v>-</v>
      </c>
      <c r="E17053" t="str">
        <v>-</v>
      </c>
      <c r="F17053" t="str">
        <v>-</v>
      </c>
      <c r="G17053" t="str">
        <v>-</v>
      </c>
    </row>
    <row r="17054">
      <c r="B17054" t="str">
        <v>Công an phường Vĩnh Trường  tỉnh Khánh Hòa</v>
      </c>
      <c r="C17054" t="str">
        <v>-</v>
      </c>
      <c r="D17054" t="str">
        <v>-</v>
      </c>
      <c r="E17054" t="str">
        <v/>
      </c>
      <c r="F17054" t="str">
        <v>-</v>
      </c>
      <c r="G17054" t="str">
        <v>-</v>
      </c>
    </row>
    <row r="17055">
      <c r="B17055" t="str">
        <v>UBND Ủy ban nhân dân phường Vĩnh Trường  tỉnh Khánh Hòa</v>
      </c>
      <c r="C17055" t="str">
        <v>-</v>
      </c>
      <c r="D17055" t="str">
        <v>-</v>
      </c>
      <c r="E17055" t="str">
        <v>-</v>
      </c>
      <c r="F17055" t="str">
        <v>-</v>
      </c>
      <c r="G17055" t="str">
        <v>-</v>
      </c>
    </row>
    <row r="17056">
      <c r="B17056" t="str">
        <v>Công an xã Vĩnh Lương  tỉnh Khánh Hòa</v>
      </c>
      <c r="C17056" t="str">
        <v>-</v>
      </c>
      <c r="D17056" t="str">
        <v>-</v>
      </c>
      <c r="E17056" t="str">
        <v/>
      </c>
      <c r="F17056" t="str">
        <v>-</v>
      </c>
      <c r="G17056" t="str">
        <v>-</v>
      </c>
    </row>
    <row r="17057">
      <c r="B17057" t="str">
        <v>UBND Ủy ban nhân dân xã Vĩnh Lương  tỉnh Khánh Hòa</v>
      </c>
      <c r="C17057" t="str">
        <v>-</v>
      </c>
      <c r="D17057" t="str">
        <v>-</v>
      </c>
      <c r="E17057" t="str">
        <v>-</v>
      </c>
      <c r="F17057" t="str">
        <v>-</v>
      </c>
      <c r="G17057" t="str">
        <v>-</v>
      </c>
    </row>
    <row r="17058">
      <c r="B17058" t="str">
        <v>Công an xã Vĩnh Phương  tỉnh Khánh Hòa</v>
      </c>
      <c r="C17058" t="str">
        <v>-</v>
      </c>
      <c r="D17058" t="str">
        <v>-</v>
      </c>
      <c r="E17058" t="str">
        <v/>
      </c>
      <c r="F17058" t="str">
        <v>-</v>
      </c>
      <c r="G17058" t="str">
        <v>-</v>
      </c>
    </row>
    <row r="17059">
      <c r="B17059" t="str">
        <v>UBND Ủy ban nhân dân xã Vĩnh Phương  tỉnh Khánh Hòa</v>
      </c>
      <c r="C17059" t="str">
        <v>-</v>
      </c>
      <c r="D17059" t="str">
        <v>-</v>
      </c>
      <c r="E17059" t="str">
        <v>-</v>
      </c>
      <c r="F17059" t="str">
        <v>-</v>
      </c>
      <c r="G17059" t="str">
        <v>-</v>
      </c>
    </row>
    <row r="17060">
      <c r="B17060" t="str">
        <v>Công an xã Vĩnh Ngọc  tỉnh Khánh Hòa</v>
      </c>
      <c r="C17060" t="str">
        <v>-</v>
      </c>
      <c r="D17060" t="str">
        <v>-</v>
      </c>
      <c r="E17060" t="str">
        <v/>
      </c>
      <c r="F17060" t="str">
        <v>-</v>
      </c>
      <c r="G17060" t="str">
        <v>-</v>
      </c>
    </row>
    <row r="17061">
      <c r="B17061" t="str">
        <v>UBND Ủy ban nhân dân xã Vĩnh Ngọc  tỉnh Khánh Hòa</v>
      </c>
      <c r="C17061" t="str">
        <v>-</v>
      </c>
      <c r="D17061" t="str">
        <v>-</v>
      </c>
      <c r="E17061" t="str">
        <v>-</v>
      </c>
      <c r="F17061" t="str">
        <v>-</v>
      </c>
      <c r="G17061" t="str">
        <v>-</v>
      </c>
    </row>
    <row r="17062">
      <c r="B17062" t="str">
        <v>Công an xã Vĩnh Thạnh  tỉnh Khánh Hòa</v>
      </c>
      <c r="C17062" t="str">
        <v>-</v>
      </c>
      <c r="D17062" t="str">
        <v>-</v>
      </c>
      <c r="E17062" t="str">
        <v/>
      </c>
      <c r="F17062" t="str">
        <v>-</v>
      </c>
      <c r="G17062" t="str">
        <v>-</v>
      </c>
    </row>
    <row r="17063">
      <c r="B17063" t="str">
        <v>UBND Ủy ban nhân dân xã Vĩnh Thạnh  tỉnh Khánh Hòa</v>
      </c>
      <c r="C17063" t="str">
        <v>-</v>
      </c>
      <c r="D17063" t="str">
        <v>-</v>
      </c>
      <c r="E17063" t="str">
        <v>-</v>
      </c>
      <c r="F17063" t="str">
        <v>-</v>
      </c>
      <c r="G17063" t="str">
        <v>-</v>
      </c>
    </row>
    <row r="17064">
      <c r="B17064" t="str">
        <v>Công an xã Vĩnh Trung  tỉnh Khánh Hòa</v>
      </c>
      <c r="C17064" t="str">
        <v>-</v>
      </c>
      <c r="D17064" t="str">
        <v>-</v>
      </c>
      <c r="E17064" t="str">
        <v/>
      </c>
      <c r="F17064" t="str">
        <v>-</v>
      </c>
      <c r="G17064" t="str">
        <v>-</v>
      </c>
    </row>
    <row r="17065">
      <c r="B17065" t="str">
        <v>UBND Ủy ban nhân dân xã Vĩnh Trung  tỉnh Khánh Hòa</v>
      </c>
      <c r="C17065" t="str">
        <v>-</v>
      </c>
      <c r="D17065" t="str">
        <v>-</v>
      </c>
      <c r="E17065" t="str">
        <v>-</v>
      </c>
      <c r="F17065" t="str">
        <v>-</v>
      </c>
      <c r="G17065" t="str">
        <v>-</v>
      </c>
    </row>
    <row r="17066">
      <c r="B17066" t="str">
        <v>Công an xã Vĩnh Hiệp  tỉnh Khánh Hòa</v>
      </c>
      <c r="C17066" t="str">
        <v>-</v>
      </c>
      <c r="D17066" t="str">
        <v>-</v>
      </c>
      <c r="E17066" t="str">
        <v/>
      </c>
      <c r="F17066" t="str">
        <v>-</v>
      </c>
      <c r="G17066" t="str">
        <v>-</v>
      </c>
    </row>
    <row r="17067">
      <c r="B17067" t="str">
        <v>UBND Ủy ban nhân dân xã Vĩnh Hiệp  tỉnh Khánh Hòa</v>
      </c>
      <c r="C17067" t="str">
        <v>-</v>
      </c>
      <c r="D17067" t="str">
        <v>-</v>
      </c>
      <c r="E17067" t="str">
        <v>-</v>
      </c>
      <c r="F17067" t="str">
        <v>-</v>
      </c>
      <c r="G17067" t="str">
        <v>-</v>
      </c>
    </row>
    <row r="17068">
      <c r="B17068" t="str">
        <v>Công an xã Vĩnh Thái  tỉnh Khánh Hòa</v>
      </c>
      <c r="C17068" t="str">
        <v>-</v>
      </c>
      <c r="D17068" t="str">
        <v>-</v>
      </c>
      <c r="E17068" t="str">
        <v/>
      </c>
      <c r="F17068" t="str">
        <v>-</v>
      </c>
      <c r="G17068" t="str">
        <v>-</v>
      </c>
    </row>
    <row r="17069">
      <c r="B17069" t="str">
        <v>UBND Ủy ban nhân dân xã Vĩnh Thái  tỉnh Khánh Hòa</v>
      </c>
      <c r="C17069" t="str">
        <v>-</v>
      </c>
      <c r="D17069" t="str">
        <v>-</v>
      </c>
      <c r="E17069" t="str">
        <v>-</v>
      </c>
      <c r="F17069" t="str">
        <v>-</v>
      </c>
      <c r="G17069" t="str">
        <v>-</v>
      </c>
    </row>
    <row r="17070">
      <c r="B17070" t="str">
        <v>Công an xã Phước Đồng  tỉnh Khánh Hòa</v>
      </c>
      <c r="C17070" t="str">
        <v>-</v>
      </c>
      <c r="D17070" t="str">
        <v>-</v>
      </c>
      <c r="E17070" t="str">
        <v/>
      </c>
      <c r="F17070" t="str">
        <v>-</v>
      </c>
      <c r="G17070" t="str">
        <v>-</v>
      </c>
    </row>
    <row r="17071">
      <c r="B17071" t="str">
        <v>UBND Ủy ban nhân dân xã Phước Đồng  tỉnh Khánh Hòa</v>
      </c>
      <c r="C17071" t="str">
        <v>-</v>
      </c>
      <c r="D17071" t="str">
        <v>-</v>
      </c>
      <c r="E17071" t="str">
        <v>-</v>
      </c>
      <c r="F17071" t="str">
        <v>-</v>
      </c>
      <c r="G17071" t="str">
        <v>-</v>
      </c>
    </row>
    <row r="17072">
      <c r="B17072" t="str">
        <v>Công an phường Cam Nghĩa  tỉnh Khánh Hòa</v>
      </c>
      <c r="C17072" t="str">
        <v>-</v>
      </c>
      <c r="D17072" t="str">
        <v>-</v>
      </c>
      <c r="E17072" t="str">
        <v/>
      </c>
      <c r="F17072" t="str">
        <v>-</v>
      </c>
      <c r="G17072" t="str">
        <v>-</v>
      </c>
    </row>
    <row r="17073">
      <c r="B17073" t="str">
        <v>UBND Ủy ban nhân dân phường Cam Nghĩa  tỉnh Khánh Hòa</v>
      </c>
      <c r="C17073" t="str">
        <v>-</v>
      </c>
      <c r="D17073" t="str">
        <v>-</v>
      </c>
      <c r="E17073" t="str">
        <v>-</v>
      </c>
      <c r="F17073" t="str">
        <v>-</v>
      </c>
      <c r="G17073" t="str">
        <v>-</v>
      </c>
    </row>
    <row r="17074">
      <c r="B17074" t="str">
        <v>Công an phường Cam Phúc Bắc  tỉnh Khánh Hòa</v>
      </c>
      <c r="C17074" t="str">
        <v>-</v>
      </c>
      <c r="D17074" t="str">
        <v>-</v>
      </c>
      <c r="E17074" t="str">
        <v/>
      </c>
      <c r="F17074" t="str">
        <v>-</v>
      </c>
      <c r="G17074" t="str">
        <v>-</v>
      </c>
    </row>
    <row r="17075">
      <c r="B17075" t="str">
        <v>UBND Ủy ban nhân dân phường Cam Phúc Bắc  tỉnh Khánh Hòa</v>
      </c>
      <c r="C17075" t="str">
        <v>-</v>
      </c>
      <c r="D17075" t="str">
        <v>-</v>
      </c>
      <c r="E17075" t="str">
        <v>-</v>
      </c>
      <c r="F17075" t="str">
        <v>-</v>
      </c>
      <c r="G17075" t="str">
        <v>-</v>
      </c>
    </row>
    <row r="17076">
      <c r="B17076" t="str">
        <v>Công an phường Cam Phúc Nam  tỉnh Khánh Hòa</v>
      </c>
      <c r="C17076" t="str">
        <v>-</v>
      </c>
      <c r="D17076" t="str">
        <v>-</v>
      </c>
      <c r="E17076" t="str">
        <v/>
      </c>
      <c r="F17076" t="str">
        <v>-</v>
      </c>
      <c r="G17076" t="str">
        <v>-</v>
      </c>
    </row>
    <row r="17077">
      <c r="B17077" t="str">
        <v>UBND Ủy ban nhân dân phường Cam Phúc Nam  tỉnh Khánh Hòa</v>
      </c>
      <c r="C17077" t="str">
        <v>-</v>
      </c>
      <c r="D17077" t="str">
        <v>-</v>
      </c>
      <c r="E17077" t="str">
        <v>-</v>
      </c>
      <c r="F17077" t="str">
        <v>-</v>
      </c>
      <c r="G17077" t="str">
        <v>-</v>
      </c>
    </row>
    <row r="17078">
      <c r="B17078" t="str">
        <v>Công an phường Cam Lộc  tỉnh Khánh Hòa</v>
      </c>
      <c r="C17078" t="str">
        <v>-</v>
      </c>
      <c r="D17078" t="str">
        <v>-</v>
      </c>
      <c r="E17078" t="str">
        <v/>
      </c>
      <c r="F17078" t="str">
        <v>-</v>
      </c>
      <c r="G17078" t="str">
        <v>-</v>
      </c>
    </row>
    <row r="17079">
      <c r="B17079" t="str">
        <v>UBND Ủy ban nhân dân phường Cam Lộc  tỉnh Khánh Hòa</v>
      </c>
      <c r="C17079" t="str">
        <v>-</v>
      </c>
      <c r="D17079" t="str">
        <v>-</v>
      </c>
      <c r="E17079" t="str">
        <v>-</v>
      </c>
      <c r="F17079" t="str">
        <v>-</v>
      </c>
      <c r="G17079" t="str">
        <v>-</v>
      </c>
    </row>
    <row r="17080">
      <c r="B17080" t="str">
        <v>Công an phường Cam Phú  tỉnh Khánh Hòa</v>
      </c>
      <c r="C17080" t="str">
        <v>-</v>
      </c>
      <c r="D17080" t="str">
        <v>-</v>
      </c>
      <c r="E17080" t="str">
        <v/>
      </c>
      <c r="F17080" t="str">
        <v>-</v>
      </c>
      <c r="G17080" t="str">
        <v>-</v>
      </c>
    </row>
    <row r="17081">
      <c r="B17081" t="str">
        <v>UBND Ủy ban nhân dân phường Cam Phú  tỉnh Khánh Hòa</v>
      </c>
      <c r="C17081" t="str">
        <v>-</v>
      </c>
      <c r="D17081" t="str">
        <v>-</v>
      </c>
      <c r="E17081" t="str">
        <v>-</v>
      </c>
      <c r="F17081" t="str">
        <v>-</v>
      </c>
      <c r="G17081" t="str">
        <v>-</v>
      </c>
    </row>
    <row r="17082">
      <c r="B17082" t="str">
        <v>Công an phường Ba Ngòi  tỉnh Khánh Hòa</v>
      </c>
      <c r="C17082" t="str">
        <v>-</v>
      </c>
      <c r="D17082" t="str">
        <v>-</v>
      </c>
      <c r="E17082" t="str">
        <v/>
      </c>
      <c r="F17082" t="str">
        <v>-</v>
      </c>
      <c r="G17082" t="str">
        <v>-</v>
      </c>
    </row>
    <row r="17083">
      <c r="B17083" t="str">
        <v>UBND Ủy ban nhân dân phường Ba Ngòi  tỉnh Khánh Hòa</v>
      </c>
      <c r="C17083" t="str">
        <v>-</v>
      </c>
      <c r="D17083" t="str">
        <v>-</v>
      </c>
      <c r="E17083" t="str">
        <v>-</v>
      </c>
      <c r="F17083" t="str">
        <v>-</v>
      </c>
      <c r="G17083" t="str">
        <v>-</v>
      </c>
    </row>
    <row r="17084">
      <c r="B17084" t="str">
        <v>Công an phường Cam Thuận  tỉnh Khánh Hòa</v>
      </c>
      <c r="C17084" t="str">
        <v>-</v>
      </c>
      <c r="D17084" t="str">
        <v>-</v>
      </c>
      <c r="E17084" t="str">
        <v/>
      </c>
      <c r="F17084" t="str">
        <v>-</v>
      </c>
      <c r="G17084" t="str">
        <v>-</v>
      </c>
    </row>
    <row r="17085">
      <c r="B17085" t="str">
        <v>UBND Ủy ban nhân dân phường Cam Thuận  tỉnh Khánh Hòa</v>
      </c>
      <c r="C17085" t="str">
        <v>-</v>
      </c>
      <c r="D17085" t="str">
        <v>-</v>
      </c>
      <c r="E17085" t="str">
        <v>-</v>
      </c>
      <c r="F17085" t="str">
        <v>-</v>
      </c>
      <c r="G17085" t="str">
        <v>-</v>
      </c>
    </row>
    <row r="17086">
      <c r="B17086" t="str">
        <v>Công an phường Cam Lợi  tỉnh Khánh Hòa</v>
      </c>
      <c r="C17086" t="str">
        <v>-</v>
      </c>
      <c r="D17086" t="str">
        <v>-</v>
      </c>
      <c r="E17086" t="str">
        <v/>
      </c>
      <c r="F17086" t="str">
        <v>-</v>
      </c>
      <c r="G17086" t="str">
        <v>-</v>
      </c>
    </row>
    <row r="17087">
      <c r="B17087" t="str">
        <v>UBND Ủy ban nhân dân phường Cam Lợi  tỉnh Khánh Hòa</v>
      </c>
      <c r="C17087" t="str">
        <v>-</v>
      </c>
      <c r="D17087" t="str">
        <v>-</v>
      </c>
      <c r="E17087" t="str">
        <v>-</v>
      </c>
      <c r="F17087" t="str">
        <v>-</v>
      </c>
      <c r="G17087" t="str">
        <v>-</v>
      </c>
    </row>
    <row r="17088">
      <c r="B17088" t="str">
        <v>Công an phường Cam Linh  tỉnh Khánh Hòa</v>
      </c>
      <c r="C17088" t="str">
        <v>-</v>
      </c>
      <c r="D17088" t="str">
        <v>-</v>
      </c>
      <c r="E17088" t="str">
        <v/>
      </c>
      <c r="F17088" t="str">
        <v>-</v>
      </c>
      <c r="G17088" t="str">
        <v>-</v>
      </c>
    </row>
    <row r="17089">
      <c r="B17089" t="str">
        <v>UBND Ủy ban nhân dân phường Cam Linh  tỉnh Khánh Hòa</v>
      </c>
      <c r="C17089" t="str">
        <v>-</v>
      </c>
      <c r="D17089" t="str">
        <v>-</v>
      </c>
      <c r="E17089" t="str">
        <v>-</v>
      </c>
      <c r="F17089" t="str">
        <v>-</v>
      </c>
      <c r="G17089" t="str">
        <v>-</v>
      </c>
    </row>
    <row r="17090">
      <c r="B17090" t="str">
        <v>Công an xã Cam Thành Nam  tỉnh Khánh Hòa</v>
      </c>
      <c r="C17090" t="str">
        <v>-</v>
      </c>
      <c r="D17090" t="str">
        <v>-</v>
      </c>
      <c r="E17090" t="str">
        <v/>
      </c>
      <c r="F17090" t="str">
        <v>-</v>
      </c>
      <c r="G17090" t="str">
        <v>-</v>
      </c>
    </row>
    <row r="17091">
      <c r="B17091" t="str">
        <v>UBND Ủy ban nhân dân xã Cam Thành Nam  tỉnh Khánh Hòa</v>
      </c>
      <c r="C17091" t="str">
        <v>-</v>
      </c>
      <c r="D17091" t="str">
        <v>-</v>
      </c>
      <c r="E17091" t="str">
        <v>-</v>
      </c>
      <c r="F17091" t="str">
        <v>-</v>
      </c>
      <c r="G17091" t="str">
        <v>-</v>
      </c>
    </row>
    <row r="17092">
      <c r="B17092" t="str">
        <v>Công an xã Cam Phước Đông  tỉnh Khánh Hòa</v>
      </c>
      <c r="C17092" t="str">
        <v>-</v>
      </c>
      <c r="D17092" t="str">
        <v>-</v>
      </c>
      <c r="E17092" t="str">
        <v/>
      </c>
      <c r="F17092" t="str">
        <v>-</v>
      </c>
      <c r="G17092" t="str">
        <v>-</v>
      </c>
    </row>
    <row r="17093">
      <c r="B17093" t="str">
        <v>UBND Ủy ban nhân dân xã Cam Phước Đông  tỉnh Khánh Hòa</v>
      </c>
      <c r="C17093" t="str">
        <v>-</v>
      </c>
      <c r="D17093" t="str">
        <v>-</v>
      </c>
      <c r="E17093" t="str">
        <v>-</v>
      </c>
      <c r="F17093" t="str">
        <v>-</v>
      </c>
      <c r="G17093" t="str">
        <v>-</v>
      </c>
    </row>
    <row r="17094">
      <c r="B17094" t="str">
        <v>Công an xã Cam Thịnh Tây  tỉnh Khánh Hòa</v>
      </c>
      <c r="C17094" t="str">
        <v>-</v>
      </c>
      <c r="D17094" t="str">
        <v>-</v>
      </c>
      <c r="E17094" t="str">
        <v/>
      </c>
      <c r="F17094" t="str">
        <v>-</v>
      </c>
      <c r="G17094" t="str">
        <v>-</v>
      </c>
    </row>
    <row r="17095">
      <c r="B17095" t="str">
        <v>UBND Ủy ban nhân dân xã Cam Thịnh Tây  tỉnh Khánh Hòa</v>
      </c>
      <c r="C17095" t="str">
        <v>-</v>
      </c>
      <c r="D17095" t="str">
        <v>-</v>
      </c>
      <c r="E17095" t="str">
        <v>-</v>
      </c>
      <c r="F17095" t="str">
        <v>-</v>
      </c>
      <c r="G17095" t="str">
        <v>-</v>
      </c>
    </row>
    <row r="17096">
      <c r="B17096" t="str">
        <v>Công an xã Cam Thịnh Đông  tỉnh Khánh Hòa</v>
      </c>
      <c r="C17096" t="str">
        <v>-</v>
      </c>
      <c r="D17096" t="str">
        <v>-</v>
      </c>
      <c r="E17096" t="str">
        <v/>
      </c>
      <c r="F17096" t="str">
        <v>-</v>
      </c>
      <c r="G17096" t="str">
        <v>-</v>
      </c>
    </row>
    <row r="17097">
      <c r="B17097" t="str">
        <v>UBND Ủy ban nhân dân xã Cam Thịnh Đông  tỉnh Khánh Hòa</v>
      </c>
      <c r="C17097" t="str">
        <v>-</v>
      </c>
      <c r="D17097" t="str">
        <v>-</v>
      </c>
      <c r="E17097" t="str">
        <v>-</v>
      </c>
      <c r="F17097" t="str">
        <v>-</v>
      </c>
      <c r="G17097" t="str">
        <v>-</v>
      </c>
    </row>
    <row r="17098">
      <c r="B17098" t="str">
        <v>Công an xã Cam Lập  tỉnh Khánh Hòa</v>
      </c>
      <c r="C17098" t="str">
        <v>-</v>
      </c>
      <c r="D17098" t="str">
        <v>-</v>
      </c>
      <c r="E17098" t="str">
        <v/>
      </c>
      <c r="F17098" t="str">
        <v>-</v>
      </c>
      <c r="G17098" t="str">
        <v>-</v>
      </c>
    </row>
    <row r="17099">
      <c r="B17099" t="str">
        <v>UBND Ủy ban nhân dân xã Cam Lập  tỉnh Khánh Hòa</v>
      </c>
      <c r="C17099" t="str">
        <v>-</v>
      </c>
      <c r="D17099" t="str">
        <v>-</v>
      </c>
      <c r="E17099" t="str">
        <v>-</v>
      </c>
      <c r="F17099" t="str">
        <v>-</v>
      </c>
      <c r="G17099" t="str">
        <v>-</v>
      </c>
    </row>
    <row r="17100">
      <c r="B17100" t="str">
        <v>Công an xã Cam Bình  tỉnh Khánh Hòa</v>
      </c>
      <c r="C17100" t="str">
        <v>-</v>
      </c>
      <c r="D17100" t="str">
        <v>-</v>
      </c>
      <c r="E17100" t="str">
        <v/>
      </c>
      <c r="F17100" t="str">
        <v>-</v>
      </c>
      <c r="G17100" t="str">
        <v>-</v>
      </c>
    </row>
    <row r="17101">
      <c r="B17101" t="str">
        <v>UBND Ủy ban nhân dân xã Cam Bình  tỉnh Khánh Hòa</v>
      </c>
      <c r="C17101" t="str">
        <v>-</v>
      </c>
      <c r="D17101" t="str">
        <v>-</v>
      </c>
      <c r="E17101" t="str">
        <v>-</v>
      </c>
      <c r="F17101" t="str">
        <v>-</v>
      </c>
      <c r="G17101" t="str">
        <v>-</v>
      </c>
    </row>
    <row r="17102">
      <c r="B17102" t="str">
        <v>Công an xã Cam Tân  tỉnh Khánh Hòa</v>
      </c>
      <c r="C17102" t="str">
        <v>-</v>
      </c>
      <c r="D17102" t="str">
        <v>-</v>
      </c>
      <c r="E17102" t="str">
        <v/>
      </c>
      <c r="F17102" t="str">
        <v>-</v>
      </c>
      <c r="G17102" t="str">
        <v>-</v>
      </c>
    </row>
    <row r="17103">
      <c r="B17103" t="str">
        <v>UBND Ủy ban nhân dân xã Cam Tân  tỉnh Khánh Hòa</v>
      </c>
      <c r="C17103" t="str">
        <v>-</v>
      </c>
      <c r="D17103" t="str">
        <v>-</v>
      </c>
      <c r="E17103" t="str">
        <v>-</v>
      </c>
      <c r="F17103" t="str">
        <v>-</v>
      </c>
      <c r="G17103" t="str">
        <v>-</v>
      </c>
    </row>
    <row r="17104">
      <c r="B17104" t="str">
        <v>Công an xã Cam Hòa  tỉnh Khánh Hòa</v>
      </c>
      <c r="C17104" t="str">
        <v>-</v>
      </c>
      <c r="D17104" t="str">
        <v>-</v>
      </c>
      <c r="E17104" t="str">
        <v/>
      </c>
      <c r="F17104" t="str">
        <v>-</v>
      </c>
      <c r="G17104" t="str">
        <v>-</v>
      </c>
    </row>
    <row r="17105">
      <c r="B17105" t="str">
        <v>UBND Ủy ban nhân dân xã Cam Hòa  tỉnh Khánh Hòa</v>
      </c>
      <c r="C17105" t="str">
        <v>-</v>
      </c>
      <c r="D17105" t="str">
        <v>-</v>
      </c>
      <c r="E17105" t="str">
        <v>-</v>
      </c>
      <c r="F17105" t="str">
        <v>-</v>
      </c>
      <c r="G17105" t="str">
        <v>-</v>
      </c>
    </row>
    <row r="17106">
      <c r="B17106" t="str">
        <v>Công an xã Cam Hải Đông  tỉnh Khánh Hòa</v>
      </c>
      <c r="C17106" t="str">
        <v>-</v>
      </c>
      <c r="D17106" t="str">
        <v>-</v>
      </c>
      <c r="E17106" t="str">
        <v/>
      </c>
      <c r="F17106" t="str">
        <v>-</v>
      </c>
      <c r="G17106" t="str">
        <v>-</v>
      </c>
    </row>
    <row r="17107">
      <c r="B17107" t="str">
        <v>UBND Ủy ban nhân dân xã Cam Hải Đông  tỉnh Khánh Hòa</v>
      </c>
      <c r="C17107" t="str">
        <v>-</v>
      </c>
      <c r="D17107" t="str">
        <v>-</v>
      </c>
      <c r="E17107" t="str">
        <v>-</v>
      </c>
      <c r="F17107" t="str">
        <v>-</v>
      </c>
      <c r="G17107" t="str">
        <v>-</v>
      </c>
    </row>
    <row r="17108">
      <c r="B17108" t="str">
        <v>Công an xã Cam Hải Tây  tỉnh Khánh Hòa</v>
      </c>
      <c r="C17108" t="str">
        <v>-</v>
      </c>
      <c r="D17108" t="str">
        <v>-</v>
      </c>
      <c r="E17108" t="str">
        <v/>
      </c>
      <c r="F17108" t="str">
        <v>-</v>
      </c>
      <c r="G17108" t="str">
        <v>-</v>
      </c>
    </row>
    <row r="17109">
      <c r="B17109" t="str">
        <v>UBND Ủy ban nhân dân xã Cam Hải Tây  tỉnh Khánh Hòa</v>
      </c>
      <c r="C17109" t="str">
        <v>-</v>
      </c>
      <c r="D17109" t="str">
        <v>-</v>
      </c>
      <c r="E17109" t="str">
        <v>-</v>
      </c>
      <c r="F17109" t="str">
        <v>-</v>
      </c>
      <c r="G17109" t="str">
        <v>-</v>
      </c>
    </row>
    <row r="17110">
      <c r="B17110" t="str">
        <v>Công an xã Sơn Tân  tỉnh Khánh Hòa</v>
      </c>
      <c r="C17110" t="str">
        <v>-</v>
      </c>
      <c r="D17110" t="str">
        <v>-</v>
      </c>
      <c r="E17110" t="str">
        <v/>
      </c>
      <c r="F17110" t="str">
        <v>-</v>
      </c>
      <c r="G17110" t="str">
        <v>-</v>
      </c>
    </row>
    <row r="17111">
      <c r="B17111" t="str">
        <v>UBND Ủy ban nhân dân xã Sơn Tân  tỉnh Khánh Hòa</v>
      </c>
      <c r="C17111" t="str">
        <v>-</v>
      </c>
      <c r="D17111" t="str">
        <v>-</v>
      </c>
      <c r="E17111" t="str">
        <v>-</v>
      </c>
      <c r="F17111" t="str">
        <v>-</v>
      </c>
      <c r="G17111" t="str">
        <v>-</v>
      </c>
    </row>
    <row r="17112">
      <c r="B17112" t="str">
        <v>Công an xã Cam Hiệp Bắc  tỉnh Khánh Hòa</v>
      </c>
      <c r="C17112" t="str">
        <v>-</v>
      </c>
      <c r="D17112" t="str">
        <v>-</v>
      </c>
      <c r="E17112" t="str">
        <v/>
      </c>
      <c r="F17112" t="str">
        <v>-</v>
      </c>
      <c r="G17112" t="str">
        <v>-</v>
      </c>
    </row>
    <row r="17113">
      <c r="B17113" t="str">
        <v>UBND Ủy ban nhân dân xã Cam Hiệp Bắc  tỉnh Khánh Hòa</v>
      </c>
      <c r="C17113" t="str">
        <v>-</v>
      </c>
      <c r="D17113" t="str">
        <v>-</v>
      </c>
      <c r="E17113" t="str">
        <v>-</v>
      </c>
      <c r="F17113" t="str">
        <v>-</v>
      </c>
      <c r="G17113" t="str">
        <v>-</v>
      </c>
    </row>
    <row r="17114">
      <c r="B17114" t="str">
        <v>Công an xã Cam Hiệp Nam  tỉnh Khánh Hòa</v>
      </c>
      <c r="C17114" t="str">
        <v>-</v>
      </c>
      <c r="D17114" t="str">
        <v>-</v>
      </c>
      <c r="E17114" t="str">
        <v/>
      </c>
      <c r="F17114" t="str">
        <v>-</v>
      </c>
      <c r="G17114" t="str">
        <v>-</v>
      </c>
    </row>
    <row r="17115">
      <c r="B17115" t="str">
        <v>UBND Ủy ban nhân dân xã Cam Hiệp Nam  tỉnh Khánh Hòa</v>
      </c>
      <c r="C17115" t="str">
        <v>-</v>
      </c>
      <c r="D17115" t="str">
        <v>-</v>
      </c>
      <c r="E17115" t="str">
        <v>-</v>
      </c>
      <c r="F17115" t="str">
        <v>-</v>
      </c>
      <c r="G17115" t="str">
        <v>-</v>
      </c>
    </row>
    <row r="17116">
      <c r="B17116" t="str">
        <v>Công an xã Cam Phước Tây  tỉnh Khánh Hòa</v>
      </c>
      <c r="C17116" t="str">
        <v>-</v>
      </c>
      <c r="D17116" t="str">
        <v>-</v>
      </c>
      <c r="E17116" t="str">
        <v/>
      </c>
      <c r="F17116" t="str">
        <v>-</v>
      </c>
      <c r="G17116" t="str">
        <v>-</v>
      </c>
    </row>
    <row r="17117">
      <c r="B17117" t="str">
        <v>UBND Ủy ban nhân dân xã Cam Phước Tây  tỉnh Khánh Hòa</v>
      </c>
      <c r="C17117" t="str">
        <v>-</v>
      </c>
      <c r="D17117" t="str">
        <v>-</v>
      </c>
      <c r="E17117" t="str">
        <v>-</v>
      </c>
      <c r="F17117" t="str">
        <v>-</v>
      </c>
      <c r="G17117" t="str">
        <v>-</v>
      </c>
    </row>
    <row r="17118">
      <c r="B17118" t="str">
        <v>Công an xã Cam Thành Bắc  tỉnh Khánh Hòa</v>
      </c>
      <c r="C17118" t="str">
        <v>-</v>
      </c>
      <c r="D17118" t="str">
        <v>-</v>
      </c>
      <c r="E17118" t="str">
        <v/>
      </c>
      <c r="F17118" t="str">
        <v>-</v>
      </c>
      <c r="G17118" t="str">
        <v>-</v>
      </c>
    </row>
    <row r="17119">
      <c r="B17119" t="str">
        <v>UBND Ủy ban nhân dân xã Cam Thành Bắc  tỉnh Khánh Hòa</v>
      </c>
      <c r="C17119" t="str">
        <v>-</v>
      </c>
      <c r="D17119" t="str">
        <v>-</v>
      </c>
      <c r="E17119" t="str">
        <v>-</v>
      </c>
      <c r="F17119" t="str">
        <v>-</v>
      </c>
      <c r="G17119" t="str">
        <v>-</v>
      </c>
    </row>
    <row r="17120">
      <c r="B17120" t="str">
        <v>Công an xã Cam An Bắc  tỉnh Khánh Hòa</v>
      </c>
      <c r="C17120" t="str">
        <v>-</v>
      </c>
      <c r="D17120" t="str">
        <v>-</v>
      </c>
      <c r="E17120" t="str">
        <v/>
      </c>
      <c r="F17120" t="str">
        <v>-</v>
      </c>
      <c r="G17120" t="str">
        <v>-</v>
      </c>
    </row>
    <row r="17121">
      <c r="B17121" t="str">
        <v>UBND Ủy ban nhân dân xã Cam An Bắc  tỉnh Khánh Hòa</v>
      </c>
      <c r="C17121" t="str">
        <v>-</v>
      </c>
      <c r="D17121" t="str">
        <v>-</v>
      </c>
      <c r="E17121" t="str">
        <v>-</v>
      </c>
      <c r="F17121" t="str">
        <v>-</v>
      </c>
      <c r="G17121" t="str">
        <v>-</v>
      </c>
    </row>
    <row r="17122">
      <c r="B17122" t="str">
        <v>Công an xã Cam An Nam  tỉnh Khánh Hòa</v>
      </c>
      <c r="C17122" t="str">
        <v>-</v>
      </c>
      <c r="D17122" t="str">
        <v>-</v>
      </c>
      <c r="E17122" t="str">
        <v/>
      </c>
      <c r="F17122" t="str">
        <v>-</v>
      </c>
      <c r="G17122" t="str">
        <v>-</v>
      </c>
    </row>
    <row r="17123">
      <c r="B17123" t="str">
        <v>UBND Ủy ban nhân dân xã Cam An Nam  tỉnh Khánh Hòa</v>
      </c>
      <c r="C17123" t="str">
        <v>-</v>
      </c>
      <c r="D17123" t="str">
        <v>-</v>
      </c>
      <c r="E17123" t="str">
        <v>-</v>
      </c>
      <c r="F17123" t="str">
        <v>-</v>
      </c>
      <c r="G17123" t="str">
        <v>-</v>
      </c>
    </row>
    <row r="17124">
      <c r="B17124" t="str">
        <v>Công an xã Suối Cát  tỉnh Khánh Hòa</v>
      </c>
      <c r="C17124" t="str">
        <v>-</v>
      </c>
      <c r="D17124" t="str">
        <v>-</v>
      </c>
      <c r="E17124" t="str">
        <v/>
      </c>
      <c r="F17124" t="str">
        <v>-</v>
      </c>
      <c r="G17124" t="str">
        <v>-</v>
      </c>
    </row>
    <row r="17125">
      <c r="B17125" t="str">
        <v>UBND Ủy ban nhân dân xã Suối Cát  tỉnh Khánh Hòa</v>
      </c>
      <c r="C17125" t="str">
        <v>-</v>
      </c>
      <c r="D17125" t="str">
        <v>-</v>
      </c>
      <c r="E17125" t="str">
        <v>-</v>
      </c>
      <c r="F17125" t="str">
        <v>-</v>
      </c>
      <c r="G17125" t="str">
        <v>-</v>
      </c>
    </row>
    <row r="17126">
      <c r="B17126" t="str">
        <v>Công an xã Suối Tân  tỉnh Khánh Hòa</v>
      </c>
      <c r="C17126" t="str">
        <v>-</v>
      </c>
      <c r="D17126" t="str">
        <v>-</v>
      </c>
      <c r="E17126" t="str">
        <v/>
      </c>
      <c r="F17126" t="str">
        <v>-</v>
      </c>
      <c r="G17126" t="str">
        <v>-</v>
      </c>
    </row>
    <row r="17127">
      <c r="B17127" t="str">
        <v>UBND Ủy ban nhân dân xã Suối Tân  tỉnh Khánh Hòa</v>
      </c>
      <c r="C17127" t="str">
        <v>-</v>
      </c>
      <c r="D17127" t="str">
        <v>-</v>
      </c>
      <c r="E17127" t="str">
        <v>-</v>
      </c>
      <c r="F17127" t="str">
        <v>-</v>
      </c>
      <c r="G17127" t="str">
        <v>-</v>
      </c>
    </row>
    <row r="17128">
      <c r="B17128" t="str">
        <v>Công an xã Đại Lãnh  tỉnh Khánh Hòa</v>
      </c>
      <c r="C17128" t="str">
        <v>-</v>
      </c>
      <c r="D17128" t="str">
        <v>-</v>
      </c>
      <c r="E17128" t="str">
        <v/>
      </c>
      <c r="F17128" t="str">
        <v>-</v>
      </c>
      <c r="G17128" t="str">
        <v>-</v>
      </c>
    </row>
    <row r="17129">
      <c r="B17129" t="str">
        <v>UBND Ủy ban nhân dân xã Đại Lãnh  tỉnh Khánh Hòa</v>
      </c>
      <c r="C17129" t="str">
        <v>-</v>
      </c>
      <c r="D17129" t="str">
        <v>-</v>
      </c>
      <c r="E17129" t="str">
        <v>-</v>
      </c>
      <c r="F17129" t="str">
        <v>-</v>
      </c>
      <c r="G17129" t="str">
        <v>-</v>
      </c>
    </row>
    <row r="17130">
      <c r="B17130" t="str">
        <v>Công an xã Vạn Phước  tỉnh Khánh Hòa</v>
      </c>
      <c r="C17130" t="str">
        <v>-</v>
      </c>
      <c r="D17130" t="str">
        <v>-</v>
      </c>
      <c r="E17130" t="str">
        <v/>
      </c>
      <c r="F17130" t="str">
        <v>-</v>
      </c>
      <c r="G17130" t="str">
        <v>-</v>
      </c>
    </row>
    <row r="17131">
      <c r="B17131" t="str">
        <v>UBND Ủy ban nhân dân xã Vạn Phước  tỉnh Khánh Hòa</v>
      </c>
      <c r="C17131" t="str">
        <v>-</v>
      </c>
      <c r="D17131" t="str">
        <v>-</v>
      </c>
      <c r="E17131" t="str">
        <v>-</v>
      </c>
      <c r="F17131" t="str">
        <v>-</v>
      </c>
      <c r="G17131" t="str">
        <v>-</v>
      </c>
    </row>
    <row r="17132">
      <c r="B17132" t="str">
        <v>Công an xã Vạn Long  tỉnh Khánh Hòa</v>
      </c>
      <c r="C17132" t="str">
        <v>-</v>
      </c>
      <c r="D17132" t="str">
        <v>-</v>
      </c>
      <c r="E17132" t="str">
        <v/>
      </c>
      <c r="F17132" t="str">
        <v>-</v>
      </c>
      <c r="G17132" t="str">
        <v>-</v>
      </c>
    </row>
    <row r="17133">
      <c r="B17133" t="str">
        <v>UBND Ủy ban nhân dân xã Vạn Long  tỉnh Khánh Hòa</v>
      </c>
      <c r="C17133" t="str">
        <v>-</v>
      </c>
      <c r="D17133" t="str">
        <v>-</v>
      </c>
      <c r="E17133" t="str">
        <v>-</v>
      </c>
      <c r="F17133" t="str">
        <v>-</v>
      </c>
      <c r="G17133" t="str">
        <v>-</v>
      </c>
    </row>
    <row r="17134">
      <c r="B17134" t="str">
        <v>Công an xã Vạn Bình  tỉnh Khánh Hòa</v>
      </c>
      <c r="C17134" t="str">
        <v>-</v>
      </c>
      <c r="D17134" t="str">
        <v>-</v>
      </c>
      <c r="E17134" t="str">
        <v/>
      </c>
      <c r="F17134" t="str">
        <v>-</v>
      </c>
      <c r="G17134" t="str">
        <v>-</v>
      </c>
    </row>
    <row r="17135">
      <c r="B17135" t="str">
        <v>UBND Ủy ban nhân dân xã Vạn Bình  tỉnh Khánh Hòa</v>
      </c>
      <c r="C17135" t="str">
        <v>-</v>
      </c>
      <c r="D17135" t="str">
        <v>-</v>
      </c>
      <c r="E17135" t="str">
        <v>-</v>
      </c>
      <c r="F17135" t="str">
        <v>-</v>
      </c>
      <c r="G17135" t="str">
        <v>-</v>
      </c>
    </row>
    <row r="17136">
      <c r="B17136" t="str">
        <v>Công an xã Vạn Thọ  tỉnh Khánh Hòa</v>
      </c>
      <c r="C17136" t="str">
        <v>-</v>
      </c>
      <c r="D17136" t="str">
        <v>-</v>
      </c>
      <c r="E17136" t="str">
        <v/>
      </c>
      <c r="F17136" t="str">
        <v>-</v>
      </c>
      <c r="G17136" t="str">
        <v>-</v>
      </c>
    </row>
    <row r="17137">
      <c r="B17137" t="str">
        <v>UBND Ủy ban nhân dân xã Vạn Thọ  tỉnh Khánh Hòa</v>
      </c>
      <c r="C17137" t="str">
        <v>-</v>
      </c>
      <c r="D17137" t="str">
        <v>-</v>
      </c>
      <c r="E17137" t="str">
        <v>-</v>
      </c>
      <c r="F17137" t="str">
        <v>-</v>
      </c>
      <c r="G17137" t="str">
        <v>-</v>
      </c>
    </row>
    <row r="17138">
      <c r="B17138" t="str">
        <v>Công an xã Vạn Khánh  tỉnh Khánh Hòa</v>
      </c>
      <c r="C17138" t="str">
        <v>-</v>
      </c>
      <c r="D17138" t="str">
        <v>-</v>
      </c>
      <c r="E17138" t="str">
        <v/>
      </c>
      <c r="F17138" t="str">
        <v>-</v>
      </c>
      <c r="G17138" t="str">
        <v>-</v>
      </c>
    </row>
    <row r="17139">
      <c r="B17139" t="str">
        <v>UBND Ủy ban nhân dân xã Vạn Khánh  tỉnh Khánh Hòa</v>
      </c>
      <c r="C17139" t="str">
        <v>-</v>
      </c>
      <c r="D17139" t="str">
        <v>-</v>
      </c>
      <c r="E17139" t="str">
        <v>-</v>
      </c>
      <c r="F17139" t="str">
        <v>-</v>
      </c>
      <c r="G17139" t="str">
        <v>-</v>
      </c>
    </row>
    <row r="17140">
      <c r="B17140" t="str">
        <v>Công an xã Vạn Phú  tỉnh Khánh Hòa</v>
      </c>
      <c r="C17140" t="str">
        <v>-</v>
      </c>
      <c r="D17140" t="str">
        <v>-</v>
      </c>
      <c r="E17140" t="str">
        <v/>
      </c>
      <c r="F17140" t="str">
        <v>-</v>
      </c>
      <c r="G17140" t="str">
        <v>-</v>
      </c>
    </row>
    <row r="17141">
      <c r="B17141" t="str">
        <v>UBND Ủy ban nhân dân xã Vạn Phú  tỉnh Khánh Hòa</v>
      </c>
      <c r="C17141" t="str">
        <v>-</v>
      </c>
      <c r="D17141" t="str">
        <v>-</v>
      </c>
      <c r="E17141" t="str">
        <v>-</v>
      </c>
      <c r="F17141" t="str">
        <v>-</v>
      </c>
      <c r="G17141" t="str">
        <v>-</v>
      </c>
    </row>
    <row r="17142">
      <c r="B17142" t="str">
        <v>Công an xã Vạn Lương  tỉnh Khánh Hòa</v>
      </c>
      <c r="C17142" t="str">
        <v>-</v>
      </c>
      <c r="D17142" t="str">
        <v>-</v>
      </c>
      <c r="E17142" t="str">
        <v/>
      </c>
      <c r="F17142" t="str">
        <v>-</v>
      </c>
      <c r="G17142" t="str">
        <v>-</v>
      </c>
    </row>
    <row r="17143">
      <c r="B17143" t="str">
        <v>UBND Ủy ban nhân dân xã Vạn Lương  tỉnh Khánh Hòa</v>
      </c>
      <c r="C17143" t="str">
        <v>-</v>
      </c>
      <c r="D17143" t="str">
        <v>-</v>
      </c>
      <c r="E17143" t="str">
        <v>-</v>
      </c>
      <c r="F17143" t="str">
        <v>-</v>
      </c>
      <c r="G17143" t="str">
        <v>-</v>
      </c>
    </row>
    <row r="17144">
      <c r="B17144" t="str">
        <v>Công an xã Vạn Thắng  tỉnh Khánh Hòa</v>
      </c>
      <c r="C17144" t="str">
        <v>-</v>
      </c>
      <c r="D17144" t="str">
        <v>-</v>
      </c>
      <c r="E17144" t="str">
        <v/>
      </c>
      <c r="F17144" t="str">
        <v>-</v>
      </c>
      <c r="G17144" t="str">
        <v>-</v>
      </c>
    </row>
    <row r="17145">
      <c r="B17145" t="str">
        <v>UBND Ủy ban nhân dân xã Vạn Thắng  tỉnh Khánh Hòa</v>
      </c>
      <c r="C17145" t="str">
        <v>-</v>
      </c>
      <c r="D17145" t="str">
        <v>-</v>
      </c>
      <c r="E17145" t="str">
        <v>-</v>
      </c>
      <c r="F17145" t="str">
        <v>-</v>
      </c>
      <c r="G17145" t="str">
        <v>-</v>
      </c>
    </row>
    <row r="17146">
      <c r="B17146" t="str">
        <v>Công an xã Vạn Thạnh  tỉnh Khánh Hòa</v>
      </c>
      <c r="C17146" t="str">
        <v>-</v>
      </c>
      <c r="D17146" t="str">
        <v>-</v>
      </c>
      <c r="E17146" t="str">
        <v/>
      </c>
      <c r="F17146" t="str">
        <v>-</v>
      </c>
      <c r="G17146" t="str">
        <v>-</v>
      </c>
    </row>
    <row r="17147">
      <c r="B17147" t="str">
        <v>UBND Ủy ban nhân dân xã Vạn Thạnh  tỉnh Khánh Hòa</v>
      </c>
      <c r="C17147" t="str">
        <v>-</v>
      </c>
      <c r="D17147" t="str">
        <v>-</v>
      </c>
      <c r="E17147" t="str">
        <v>-</v>
      </c>
      <c r="F17147" t="str">
        <v>-</v>
      </c>
      <c r="G17147" t="str">
        <v>-</v>
      </c>
    </row>
    <row r="17148">
      <c r="B17148" t="str">
        <v>Công an xã Xuân Sơn  tỉnh Khánh Hòa</v>
      </c>
      <c r="C17148" t="str">
        <v>-</v>
      </c>
      <c r="D17148" t="str">
        <v>-</v>
      </c>
      <c r="E17148" t="str">
        <v/>
      </c>
      <c r="F17148" t="str">
        <v>-</v>
      </c>
      <c r="G17148" t="str">
        <v>-</v>
      </c>
    </row>
    <row r="17149">
      <c r="B17149" t="str">
        <v>UBND Ủy ban nhân dân xã Xuân Sơn  tỉnh Khánh Hòa</v>
      </c>
      <c r="C17149" t="str">
        <v>-</v>
      </c>
      <c r="D17149" t="str">
        <v>-</v>
      </c>
      <c r="E17149" t="str">
        <v>-</v>
      </c>
      <c r="F17149" t="str">
        <v>-</v>
      </c>
      <c r="G17149" t="str">
        <v>-</v>
      </c>
    </row>
    <row r="17150">
      <c r="B17150" t="str">
        <v>Công an xã Vạn Hưng  tỉnh Khánh Hòa</v>
      </c>
      <c r="C17150" t="str">
        <v>-</v>
      </c>
      <c r="D17150" t="str">
        <v>-</v>
      </c>
      <c r="E17150" t="str">
        <v/>
      </c>
      <c r="F17150" t="str">
        <v>-</v>
      </c>
      <c r="G17150" t="str">
        <v>-</v>
      </c>
    </row>
    <row r="17151">
      <c r="B17151" t="str">
        <v>UBND Ủy ban nhân dân xã Vạn Hưng  tỉnh Khánh Hòa</v>
      </c>
      <c r="C17151" t="str">
        <v>-</v>
      </c>
      <c r="D17151" t="str">
        <v>-</v>
      </c>
      <c r="E17151" t="str">
        <v>-</v>
      </c>
      <c r="F17151" t="str">
        <v>-</v>
      </c>
      <c r="G17151" t="str">
        <v>-</v>
      </c>
    </row>
    <row r="17152">
      <c r="B17152" t="str">
        <v>Công an phường Ninh Hiệp  tỉnh Khánh Hòa</v>
      </c>
      <c r="C17152" t="str">
        <v>-</v>
      </c>
      <c r="D17152" t="str">
        <v>-</v>
      </c>
      <c r="E17152" t="str">
        <v/>
      </c>
      <c r="F17152" t="str">
        <v>-</v>
      </c>
      <c r="G17152" t="str">
        <v>-</v>
      </c>
    </row>
    <row r="17153">
      <c r="B17153" t="str">
        <v>UBND Ủy ban nhân dân phường Ninh Hiệp  tỉnh Khánh Hòa</v>
      </c>
      <c r="C17153" t="str">
        <v>-</v>
      </c>
      <c r="D17153" t="str">
        <v>-</v>
      </c>
      <c r="E17153" t="str">
        <v>-</v>
      </c>
      <c r="F17153" t="str">
        <v>-</v>
      </c>
      <c r="G17153" t="str">
        <v>-</v>
      </c>
    </row>
    <row r="17154">
      <c r="B17154" t="str">
        <v>Công an xã Ninh Sơn  tỉnh Khánh Hòa</v>
      </c>
      <c r="C17154" t="str">
        <v>-</v>
      </c>
      <c r="D17154" t="str">
        <v>-</v>
      </c>
      <c r="E17154" t="str">
        <v/>
      </c>
      <c r="F17154" t="str">
        <v>-</v>
      </c>
      <c r="G17154" t="str">
        <v>-</v>
      </c>
    </row>
    <row r="17155">
      <c r="B17155" t="str">
        <v>UBND Ủy ban nhân dân xã Ninh Sơn  tỉnh Khánh Hòa</v>
      </c>
      <c r="C17155" t="str">
        <v>-</v>
      </c>
      <c r="D17155" t="str">
        <v>-</v>
      </c>
      <c r="E17155" t="str">
        <v>-</v>
      </c>
      <c r="F17155" t="str">
        <v>-</v>
      </c>
      <c r="G17155" t="str">
        <v>-</v>
      </c>
    </row>
    <row r="17156">
      <c r="B17156" t="str">
        <v>Công an xã Ninh Tây  tỉnh Khánh Hòa</v>
      </c>
      <c r="C17156" t="str">
        <v>-</v>
      </c>
      <c r="D17156" t="str">
        <v>-</v>
      </c>
      <c r="E17156" t="str">
        <v/>
      </c>
      <c r="F17156" t="str">
        <v>-</v>
      </c>
      <c r="G17156" t="str">
        <v>-</v>
      </c>
    </row>
    <row r="17157">
      <c r="B17157" t="str">
        <v>UBND Ủy ban nhân dân xã Ninh Tây  tỉnh Khánh Hòa</v>
      </c>
      <c r="C17157" t="str">
        <v>-</v>
      </c>
      <c r="D17157" t="str">
        <v>-</v>
      </c>
      <c r="E17157" t="str">
        <v>-</v>
      </c>
      <c r="F17157" t="str">
        <v>-</v>
      </c>
      <c r="G17157" t="str">
        <v>-</v>
      </c>
    </row>
    <row r="17158">
      <c r="B17158" t="str">
        <v>Công an xã Ninh Thượng  tỉnh Khánh Hòa</v>
      </c>
      <c r="C17158" t="str">
        <v>-</v>
      </c>
      <c r="D17158" t="str">
        <v>-</v>
      </c>
      <c r="E17158" t="str">
        <v/>
      </c>
      <c r="F17158" t="str">
        <v>-</v>
      </c>
      <c r="G17158" t="str">
        <v>-</v>
      </c>
    </row>
    <row r="17159">
      <c r="B17159" t="str">
        <v>UBND Ủy ban nhân dân xã Ninh Thượng  tỉnh Khánh Hòa</v>
      </c>
      <c r="C17159" t="str">
        <v>-</v>
      </c>
      <c r="D17159" t="str">
        <v>-</v>
      </c>
      <c r="E17159" t="str">
        <v>-</v>
      </c>
      <c r="F17159" t="str">
        <v>-</v>
      </c>
      <c r="G17159" t="str">
        <v>-</v>
      </c>
    </row>
    <row r="17160">
      <c r="B17160" t="str">
        <v>Công an xã Ninh An  tỉnh Khánh Hòa</v>
      </c>
      <c r="C17160" t="str">
        <v>-</v>
      </c>
      <c r="D17160" t="str">
        <v>-</v>
      </c>
      <c r="E17160" t="str">
        <v/>
      </c>
      <c r="F17160" t="str">
        <v>-</v>
      </c>
      <c r="G17160" t="str">
        <v>-</v>
      </c>
    </row>
    <row r="17161">
      <c r="B17161" t="str">
        <v>UBND Ủy ban nhân dân xã Ninh An  tỉnh Khánh Hòa</v>
      </c>
      <c r="C17161" t="str">
        <v>-</v>
      </c>
      <c r="D17161" t="str">
        <v>-</v>
      </c>
      <c r="E17161" t="str">
        <v>-</v>
      </c>
      <c r="F17161" t="str">
        <v>-</v>
      </c>
      <c r="G17161" t="str">
        <v>-</v>
      </c>
    </row>
    <row r="17162">
      <c r="B17162" t="str">
        <v>Công an phường Ninh Hải  tỉnh Khánh Hòa</v>
      </c>
      <c r="C17162" t="str">
        <v>-</v>
      </c>
      <c r="D17162" t="str">
        <v>-</v>
      </c>
      <c r="E17162" t="str">
        <v/>
      </c>
      <c r="F17162" t="str">
        <v>-</v>
      </c>
      <c r="G17162" t="str">
        <v>-</v>
      </c>
    </row>
    <row r="17163">
      <c r="B17163" t="str">
        <v>UBND Ủy ban nhân dân phường Ninh Hải  tỉnh Khánh Hòa</v>
      </c>
      <c r="C17163" t="str">
        <v>-</v>
      </c>
      <c r="D17163" t="str">
        <v>-</v>
      </c>
      <c r="E17163" t="str">
        <v>-</v>
      </c>
      <c r="F17163" t="str">
        <v>-</v>
      </c>
      <c r="G17163" t="str">
        <v>-</v>
      </c>
    </row>
    <row r="17164">
      <c r="B17164" t="str">
        <v>Công an xã Ninh Thọ  tỉnh Khánh Hòa</v>
      </c>
      <c r="C17164" t="str">
        <v>-</v>
      </c>
      <c r="D17164" t="str">
        <v>-</v>
      </c>
      <c r="E17164" t="str">
        <v/>
      </c>
      <c r="F17164" t="str">
        <v>-</v>
      </c>
      <c r="G17164" t="str">
        <v>-</v>
      </c>
    </row>
    <row r="17165">
      <c r="B17165" t="str">
        <v>UBND Ủy ban nhân dân xã Ninh Thọ  tỉnh Khánh Hòa</v>
      </c>
      <c r="C17165" t="str">
        <v>-</v>
      </c>
      <c r="D17165" t="str">
        <v>-</v>
      </c>
      <c r="E17165" t="str">
        <v>-</v>
      </c>
      <c r="F17165" t="str">
        <v>-</v>
      </c>
      <c r="G17165" t="str">
        <v>-</v>
      </c>
    </row>
    <row r="17166">
      <c r="B17166" t="str">
        <v>Công an xã Ninh Trung  tỉnh Khánh Hòa</v>
      </c>
      <c r="C17166" t="str">
        <v>-</v>
      </c>
      <c r="D17166" t="str">
        <v>-</v>
      </c>
      <c r="E17166" t="str">
        <v/>
      </c>
      <c r="F17166" t="str">
        <v>-</v>
      </c>
      <c r="G17166" t="str">
        <v>-</v>
      </c>
    </row>
    <row r="17167">
      <c r="B17167" t="str">
        <v>UBND Ủy ban nhân dân xã Ninh Trung  tỉnh Khánh Hòa</v>
      </c>
      <c r="C17167" t="str">
        <v>-</v>
      </c>
      <c r="D17167" t="str">
        <v>-</v>
      </c>
      <c r="E17167" t="str">
        <v>-</v>
      </c>
      <c r="F17167" t="str">
        <v>-</v>
      </c>
      <c r="G17167" t="str">
        <v>-</v>
      </c>
    </row>
    <row r="17168">
      <c r="B17168" t="str">
        <v>Công an xã Ninh Sim  tỉnh Khánh Hòa</v>
      </c>
      <c r="C17168" t="str">
        <v>-</v>
      </c>
      <c r="D17168" t="str">
        <v>-</v>
      </c>
      <c r="E17168" t="str">
        <v/>
      </c>
      <c r="F17168" t="str">
        <v>-</v>
      </c>
      <c r="G17168" t="str">
        <v>-</v>
      </c>
    </row>
    <row r="17169">
      <c r="B17169" t="str">
        <v>UBND Ủy ban nhân dân xã Ninh Sim  tỉnh Khánh Hòa</v>
      </c>
      <c r="C17169" t="str">
        <v>-</v>
      </c>
      <c r="D17169" t="str">
        <v>-</v>
      </c>
      <c r="E17169" t="str">
        <v>-</v>
      </c>
      <c r="F17169" t="str">
        <v>-</v>
      </c>
      <c r="G17169" t="str">
        <v>-</v>
      </c>
    </row>
    <row r="17170">
      <c r="B17170" t="str">
        <v>Công an xã Ninh Xuân  tỉnh Khánh Hòa</v>
      </c>
      <c r="C17170" t="str">
        <v>-</v>
      </c>
      <c r="D17170" t="str">
        <v>-</v>
      </c>
      <c r="E17170" t="str">
        <v/>
      </c>
      <c r="F17170" t="str">
        <v>-</v>
      </c>
      <c r="G17170" t="str">
        <v>-</v>
      </c>
    </row>
    <row r="17171">
      <c r="B17171" t="str">
        <v>UBND Ủy ban nhân dân xã Ninh Xuân  tỉnh Khánh Hòa</v>
      </c>
      <c r="C17171" t="str">
        <v>-</v>
      </c>
      <c r="D17171" t="str">
        <v>-</v>
      </c>
      <c r="E17171" t="str">
        <v>-</v>
      </c>
      <c r="F17171" t="str">
        <v>-</v>
      </c>
      <c r="G17171" t="str">
        <v>-</v>
      </c>
    </row>
    <row r="17172">
      <c r="B17172" t="str">
        <v>Công an xã Ninh Thân  tỉnh Khánh Hòa</v>
      </c>
      <c r="C17172" t="str">
        <v>-</v>
      </c>
      <c r="D17172" t="str">
        <v>-</v>
      </c>
      <c r="E17172" t="str">
        <v/>
      </c>
      <c r="F17172" t="str">
        <v>-</v>
      </c>
      <c r="G17172" t="str">
        <v>-</v>
      </c>
    </row>
    <row r="17173">
      <c r="B17173" t="str">
        <v>UBND Ủy ban nhân dân xã Ninh Thân  tỉnh Khánh Hòa</v>
      </c>
      <c r="C17173" t="str">
        <v>-</v>
      </c>
      <c r="D17173" t="str">
        <v>-</v>
      </c>
      <c r="E17173" t="str">
        <v>-</v>
      </c>
      <c r="F17173" t="str">
        <v>-</v>
      </c>
      <c r="G17173" t="str">
        <v>-</v>
      </c>
    </row>
    <row r="17174">
      <c r="B17174" t="str">
        <v>Công an phường Ninh Diêm  tỉnh Khánh Hòa</v>
      </c>
      <c r="C17174" t="str">
        <v>-</v>
      </c>
      <c r="D17174" t="str">
        <v>-</v>
      </c>
      <c r="E17174" t="str">
        <v/>
      </c>
      <c r="F17174" t="str">
        <v>-</v>
      </c>
      <c r="G17174" t="str">
        <v>-</v>
      </c>
    </row>
    <row r="17175">
      <c r="B17175" t="str">
        <v>UBND Ủy ban nhân dân phường Ninh Diêm  tỉnh Khánh Hòa</v>
      </c>
      <c r="C17175" t="str">
        <v>-</v>
      </c>
      <c r="D17175" t="str">
        <v>-</v>
      </c>
      <c r="E17175" t="str">
        <v>-</v>
      </c>
      <c r="F17175" t="str">
        <v>-</v>
      </c>
      <c r="G17175" t="str">
        <v>-</v>
      </c>
    </row>
    <row r="17176">
      <c r="B17176" t="str">
        <v>Công an xã Ninh Đông  tỉnh Khánh Hòa</v>
      </c>
      <c r="C17176" t="str">
        <v>-</v>
      </c>
      <c r="D17176" t="str">
        <v>-</v>
      </c>
      <c r="E17176" t="str">
        <v/>
      </c>
      <c r="F17176" t="str">
        <v>-</v>
      </c>
      <c r="G17176" t="str">
        <v>-</v>
      </c>
    </row>
    <row r="17177">
      <c r="B17177" t="str">
        <v>UBND Ủy ban nhân dân xã Ninh Đông  tỉnh Khánh Hòa</v>
      </c>
      <c r="C17177" t="str">
        <v>-</v>
      </c>
      <c r="D17177" t="str">
        <v>-</v>
      </c>
      <c r="E17177" t="str">
        <v>-</v>
      </c>
      <c r="F17177" t="str">
        <v>-</v>
      </c>
      <c r="G17177" t="str">
        <v>-</v>
      </c>
    </row>
    <row r="17178">
      <c r="B17178" t="str">
        <v>Công an phường Ninh Thủy  tỉnh Khánh Hòa</v>
      </c>
      <c r="C17178" t="str">
        <v>-</v>
      </c>
      <c r="D17178" t="str">
        <v>-</v>
      </c>
      <c r="E17178" t="str">
        <v/>
      </c>
      <c r="F17178" t="str">
        <v>-</v>
      </c>
      <c r="G17178" t="str">
        <v>-</v>
      </c>
    </row>
    <row r="17179">
      <c r="B17179" t="str">
        <v>UBND Ủy ban nhân dân phường Ninh Thủy  tỉnh Khánh Hòa</v>
      </c>
      <c r="C17179" t="str">
        <v>-</v>
      </c>
      <c r="D17179" t="str">
        <v>-</v>
      </c>
      <c r="E17179" t="str">
        <v>-</v>
      </c>
      <c r="F17179" t="str">
        <v>-</v>
      </c>
      <c r="G17179" t="str">
        <v>-</v>
      </c>
    </row>
    <row r="17180">
      <c r="B17180" t="str">
        <v>Công an phường Ninh Đa  tỉnh Khánh Hòa</v>
      </c>
      <c r="C17180" t="str">
        <v>-</v>
      </c>
      <c r="D17180" t="str">
        <v>-</v>
      </c>
      <c r="E17180" t="str">
        <v/>
      </c>
      <c r="F17180" t="str">
        <v>-</v>
      </c>
      <c r="G17180" t="str">
        <v>-</v>
      </c>
    </row>
    <row r="17181">
      <c r="B17181" t="str">
        <v>UBND Ủy ban nhân dân phường Ninh Đa  tỉnh Khánh Hòa</v>
      </c>
      <c r="C17181" t="str">
        <v>-</v>
      </c>
      <c r="D17181" t="str">
        <v>-</v>
      </c>
      <c r="E17181" t="str">
        <v>-</v>
      </c>
      <c r="F17181" t="str">
        <v>-</v>
      </c>
      <c r="G17181" t="str">
        <v>-</v>
      </c>
    </row>
    <row r="17182">
      <c r="B17182" t="str">
        <v>Công an xã Ninh Phụng  tỉnh Khánh Hòa</v>
      </c>
      <c r="C17182" t="str">
        <v>-</v>
      </c>
      <c r="D17182" t="str">
        <v>-</v>
      </c>
      <c r="E17182" t="str">
        <v/>
      </c>
      <c r="F17182" t="str">
        <v>-</v>
      </c>
      <c r="G17182" t="str">
        <v>-</v>
      </c>
    </row>
    <row r="17183">
      <c r="B17183" t="str">
        <v>UBND Ủy ban nhân dân xã Ninh Phụng  tỉnh Khánh Hòa</v>
      </c>
      <c r="C17183" t="str">
        <v>-</v>
      </c>
      <c r="D17183" t="str">
        <v>-</v>
      </c>
      <c r="E17183" t="str">
        <v>-</v>
      </c>
      <c r="F17183" t="str">
        <v>-</v>
      </c>
      <c r="G17183" t="str">
        <v>-</v>
      </c>
    </row>
    <row r="17184">
      <c r="B17184" t="str">
        <v>Công an xã Ninh Bình  tỉnh Khánh Hòa</v>
      </c>
      <c r="C17184" t="str">
        <v>-</v>
      </c>
      <c r="D17184" t="str">
        <v>-</v>
      </c>
      <c r="E17184" t="str">
        <v/>
      </c>
      <c r="F17184" t="str">
        <v>-</v>
      </c>
      <c r="G17184" t="str">
        <v>-</v>
      </c>
    </row>
    <row r="17185">
      <c r="B17185" t="str">
        <v>UBND Ủy ban nhân dân xã Ninh Bình  tỉnh Khánh Hòa</v>
      </c>
      <c r="C17185" t="str">
        <v>-</v>
      </c>
      <c r="D17185" t="str">
        <v>-</v>
      </c>
      <c r="E17185" t="str">
        <v>-</v>
      </c>
      <c r="F17185" t="str">
        <v>-</v>
      </c>
      <c r="G17185" t="str">
        <v>-</v>
      </c>
    </row>
    <row r="17186">
      <c r="B17186" t="str">
        <v>Công an xã Ninh Phước  tỉnh Khánh Hòa</v>
      </c>
      <c r="C17186" t="str">
        <v>-</v>
      </c>
      <c r="D17186" t="str">
        <v>-</v>
      </c>
      <c r="E17186" t="str">
        <v/>
      </c>
      <c r="F17186" t="str">
        <v>-</v>
      </c>
      <c r="G17186" t="str">
        <v>-</v>
      </c>
    </row>
    <row r="17187">
      <c r="B17187" t="str">
        <v>UBND Ủy ban nhân dân xã Ninh Phước  tỉnh Khánh Hòa</v>
      </c>
      <c r="C17187" t="str">
        <v>-</v>
      </c>
      <c r="D17187" t="str">
        <v>-</v>
      </c>
      <c r="E17187" t="str">
        <v>-</v>
      </c>
      <c r="F17187" t="str">
        <v>-</v>
      </c>
      <c r="G17187" t="str">
        <v>-</v>
      </c>
    </row>
    <row r="17188">
      <c r="B17188" t="str">
        <v>Công an xã Ninh Phú  tỉnh Khánh Hòa</v>
      </c>
      <c r="C17188" t="str">
        <v>-</v>
      </c>
      <c r="D17188" t="str">
        <v>-</v>
      </c>
      <c r="E17188" t="str">
        <v/>
      </c>
      <c r="F17188" t="str">
        <v>-</v>
      </c>
      <c r="G17188" t="str">
        <v>-</v>
      </c>
    </row>
    <row r="17189">
      <c r="B17189" t="str">
        <v>UBND Ủy ban nhân dân xã Ninh Phú  tỉnh Khánh Hòa</v>
      </c>
      <c r="C17189" t="str">
        <v>-</v>
      </c>
      <c r="D17189" t="str">
        <v>-</v>
      </c>
      <c r="E17189" t="str">
        <v>-</v>
      </c>
      <c r="F17189" t="str">
        <v>-</v>
      </c>
      <c r="G17189" t="str">
        <v>-</v>
      </c>
    </row>
    <row r="17190">
      <c r="B17190" t="str">
        <v>Công an xã Ninh Tân  tỉnh Khánh Hòa</v>
      </c>
      <c r="C17190" t="str">
        <v>-</v>
      </c>
      <c r="D17190" t="str">
        <v>-</v>
      </c>
      <c r="E17190" t="str">
        <v/>
      </c>
      <c r="F17190" t="str">
        <v>-</v>
      </c>
      <c r="G17190" t="str">
        <v>-</v>
      </c>
    </row>
    <row r="17191">
      <c r="B17191" t="str">
        <v>UBND Ủy ban nhân dân xã Ninh Tân  tỉnh Khánh Hòa</v>
      </c>
      <c r="C17191" t="str">
        <v>-</v>
      </c>
      <c r="D17191" t="str">
        <v>-</v>
      </c>
      <c r="E17191" t="str">
        <v>-</v>
      </c>
      <c r="F17191" t="str">
        <v>-</v>
      </c>
      <c r="G17191" t="str">
        <v>-</v>
      </c>
    </row>
    <row r="17192">
      <c r="B17192" t="str">
        <v>Công an xã Ninh Quang  tỉnh Khánh Hòa</v>
      </c>
      <c r="C17192" t="str">
        <v>-</v>
      </c>
      <c r="D17192" t="str">
        <v>-</v>
      </c>
      <c r="E17192" t="str">
        <v/>
      </c>
      <c r="F17192" t="str">
        <v>-</v>
      </c>
      <c r="G17192" t="str">
        <v>-</v>
      </c>
    </row>
    <row r="17193">
      <c r="B17193" t="str">
        <v>UBND Ủy ban nhân dân xã Ninh Quang  tỉnh Khánh Hòa</v>
      </c>
      <c r="C17193" t="str">
        <v>-</v>
      </c>
      <c r="D17193" t="str">
        <v>-</v>
      </c>
      <c r="E17193" t="str">
        <v>-</v>
      </c>
      <c r="F17193" t="str">
        <v>-</v>
      </c>
      <c r="G17193" t="str">
        <v>-</v>
      </c>
    </row>
    <row r="17194">
      <c r="B17194" t="str">
        <v>Công an phường Ninh Giang  tỉnh Khánh Hòa</v>
      </c>
      <c r="C17194" t="str">
        <v>-</v>
      </c>
      <c r="D17194" t="str">
        <v>-</v>
      </c>
      <c r="E17194" t="str">
        <v/>
      </c>
      <c r="F17194" t="str">
        <v>-</v>
      </c>
      <c r="G17194" t="str">
        <v>-</v>
      </c>
    </row>
    <row r="17195">
      <c r="B17195" t="str">
        <v>UBND Ủy ban nhân dân phường Ninh Giang  tỉnh Khánh Hòa</v>
      </c>
      <c r="C17195" t="str">
        <v>-</v>
      </c>
      <c r="D17195" t="str">
        <v>-</v>
      </c>
      <c r="E17195" t="str">
        <v>-</v>
      </c>
      <c r="F17195" t="str">
        <v>-</v>
      </c>
      <c r="G17195" t="str">
        <v>-</v>
      </c>
    </row>
    <row r="17196">
      <c r="B17196" t="str">
        <v>Công an phường Ninh Hà  tỉnh Khánh Hòa</v>
      </c>
      <c r="C17196" t="str">
        <v>-</v>
      </c>
      <c r="D17196" t="str">
        <v>-</v>
      </c>
      <c r="E17196" t="str">
        <v/>
      </c>
      <c r="F17196" t="str">
        <v>-</v>
      </c>
      <c r="G17196" t="str">
        <v>-</v>
      </c>
    </row>
    <row r="17197">
      <c r="B17197" t="str">
        <v>UBND Ủy ban nhân dân phường Ninh Hà  tỉnh Khánh Hòa</v>
      </c>
      <c r="C17197" t="str">
        <v>-</v>
      </c>
      <c r="D17197" t="str">
        <v>-</v>
      </c>
      <c r="E17197" t="str">
        <v>-</v>
      </c>
      <c r="F17197" t="str">
        <v>-</v>
      </c>
      <c r="G17197" t="str">
        <v>-</v>
      </c>
    </row>
    <row r="17198">
      <c r="B17198" t="str">
        <v>Công an xã Ninh Hưng  tỉnh Khánh Hòa</v>
      </c>
      <c r="C17198" t="str">
        <v>-</v>
      </c>
      <c r="D17198" t="str">
        <v>-</v>
      </c>
      <c r="E17198" t="str">
        <v/>
      </c>
      <c r="F17198" t="str">
        <v>-</v>
      </c>
      <c r="G17198" t="str">
        <v>-</v>
      </c>
    </row>
    <row r="17199">
      <c r="B17199" t="str">
        <v>UBND Ủy ban nhân dân xã Ninh Hưng  tỉnh Khánh Hòa</v>
      </c>
      <c r="C17199" t="str">
        <v>-</v>
      </c>
      <c r="D17199" t="str">
        <v>-</v>
      </c>
      <c r="E17199" t="str">
        <v>-</v>
      </c>
      <c r="F17199" t="str">
        <v>-</v>
      </c>
      <c r="G17199" t="str">
        <v>-</v>
      </c>
    </row>
    <row r="17200">
      <c r="B17200" t="str">
        <v>Công an xã Ninh Lộc  tỉnh Khánh Hòa</v>
      </c>
      <c r="C17200" t="str">
        <v>-</v>
      </c>
      <c r="D17200" t="str">
        <v>-</v>
      </c>
      <c r="E17200" t="str">
        <v/>
      </c>
      <c r="F17200" t="str">
        <v>-</v>
      </c>
      <c r="G17200" t="str">
        <v>-</v>
      </c>
    </row>
    <row r="17201">
      <c r="B17201" t="str">
        <v>UBND Ủy ban nhân dân xã Ninh Lộc  tỉnh Khánh Hòa</v>
      </c>
      <c r="C17201" t="str">
        <v>-</v>
      </c>
      <c r="D17201" t="str">
        <v>-</v>
      </c>
      <c r="E17201" t="str">
        <v>-</v>
      </c>
      <c r="F17201" t="str">
        <v>-</v>
      </c>
      <c r="G17201" t="str">
        <v>-</v>
      </c>
    </row>
    <row r="17202">
      <c r="B17202" t="str">
        <v>Công an xã Ninh Ích  tỉnh Khánh Hòa</v>
      </c>
      <c r="C17202" t="str">
        <v>-</v>
      </c>
      <c r="D17202" t="str">
        <v>-</v>
      </c>
      <c r="E17202" t="str">
        <v/>
      </c>
      <c r="F17202" t="str">
        <v>-</v>
      </c>
      <c r="G17202" t="str">
        <v>-</v>
      </c>
    </row>
    <row r="17203">
      <c r="B17203" t="str">
        <v>UBND Ủy ban nhân dân xã Ninh Ích  tỉnh Khánh Hòa</v>
      </c>
      <c r="C17203" t="str">
        <v>-</v>
      </c>
      <c r="D17203" t="str">
        <v>-</v>
      </c>
      <c r="E17203" t="str">
        <v>-</v>
      </c>
      <c r="F17203" t="str">
        <v>-</v>
      </c>
      <c r="G17203" t="str">
        <v>-</v>
      </c>
    </row>
    <row r="17204">
      <c r="B17204" t="str">
        <v>Công an xã Ninh Vân  tỉnh Khánh Hòa</v>
      </c>
      <c r="C17204" t="str">
        <v>-</v>
      </c>
      <c r="D17204" t="str">
        <v>-</v>
      </c>
      <c r="E17204" t="str">
        <v/>
      </c>
      <c r="F17204" t="str">
        <v>-</v>
      </c>
      <c r="G17204" t="str">
        <v>-</v>
      </c>
    </row>
    <row r="17205">
      <c r="B17205" t="str">
        <v>UBND Ủy ban nhân dân xã Ninh Vân  tỉnh Khánh Hòa</v>
      </c>
      <c r="C17205" t="str">
        <v>-</v>
      </c>
      <c r="D17205" t="str">
        <v>-</v>
      </c>
      <c r="E17205" t="str">
        <v>-</v>
      </c>
      <c r="F17205" t="str">
        <v>-</v>
      </c>
      <c r="G17205" t="str">
        <v>-</v>
      </c>
    </row>
    <row r="17206">
      <c r="B17206" t="str">
        <v>Công an xã Khánh Hiệp  tỉnh Khánh Hòa</v>
      </c>
      <c r="C17206" t="str">
        <v>-</v>
      </c>
      <c r="D17206" t="str">
        <v>-</v>
      </c>
      <c r="E17206" t="str">
        <v/>
      </c>
      <c r="F17206" t="str">
        <v>-</v>
      </c>
      <c r="G17206" t="str">
        <v>-</v>
      </c>
    </row>
    <row r="17207">
      <c r="B17207" t="str">
        <v>UBND Ủy ban nhân dân xã Khánh Hiệp  tỉnh Khánh Hòa</v>
      </c>
      <c r="C17207" t="str">
        <v>-</v>
      </c>
      <c r="D17207" t="str">
        <v>-</v>
      </c>
      <c r="E17207" t="str">
        <v>-</v>
      </c>
      <c r="F17207" t="str">
        <v>-</v>
      </c>
      <c r="G17207" t="str">
        <v>-</v>
      </c>
    </row>
    <row r="17208">
      <c r="B17208" t="str">
        <v>Công an xã Khánh Bình  tỉnh Khánh Hòa</v>
      </c>
      <c r="C17208" t="str">
        <v>-</v>
      </c>
      <c r="D17208" t="str">
        <v>-</v>
      </c>
      <c r="E17208" t="str">
        <v/>
      </c>
      <c r="F17208" t="str">
        <v>-</v>
      </c>
      <c r="G17208" t="str">
        <v>-</v>
      </c>
    </row>
    <row r="17209">
      <c r="B17209" t="str">
        <v>UBND Ủy ban nhân dân xã Khánh Bình  tỉnh Khánh Hòa</v>
      </c>
      <c r="C17209" t="str">
        <v>-</v>
      </c>
      <c r="D17209" t="str">
        <v>-</v>
      </c>
      <c r="E17209" t="str">
        <v>-</v>
      </c>
      <c r="F17209" t="str">
        <v>-</v>
      </c>
      <c r="G17209" t="str">
        <v>-</v>
      </c>
    </row>
    <row r="17210">
      <c r="B17210" t="str">
        <v>Công an xã Khánh Trung  tỉnh Khánh Hòa</v>
      </c>
      <c r="C17210" t="str">
        <v>-</v>
      </c>
      <c r="D17210" t="str">
        <v>-</v>
      </c>
      <c r="E17210" t="str">
        <v/>
      </c>
      <c r="F17210" t="str">
        <v>-</v>
      </c>
      <c r="G17210" t="str">
        <v>-</v>
      </c>
    </row>
    <row r="17211">
      <c r="B17211" t="str">
        <v>UBND Ủy ban nhân dân xã Khánh Trung  tỉnh Khánh Hòa</v>
      </c>
      <c r="C17211" t="str">
        <v>-</v>
      </c>
      <c r="D17211" t="str">
        <v>-</v>
      </c>
      <c r="E17211" t="str">
        <v>-</v>
      </c>
      <c r="F17211" t="str">
        <v>-</v>
      </c>
      <c r="G17211" t="str">
        <v>-</v>
      </c>
    </row>
    <row r="17212">
      <c r="B17212" t="str">
        <v>Công an xã Khánh Đông  tỉnh Khánh Hòa</v>
      </c>
      <c r="C17212" t="str">
        <v>-</v>
      </c>
      <c r="D17212" t="str">
        <v>-</v>
      </c>
      <c r="E17212" t="str">
        <v/>
      </c>
      <c r="F17212" t="str">
        <v>-</v>
      </c>
      <c r="G17212" t="str">
        <v>-</v>
      </c>
    </row>
    <row r="17213">
      <c r="B17213" t="str">
        <v>UBND Ủy ban nhân dân xã Khánh Đông  tỉnh Khánh Hòa</v>
      </c>
      <c r="C17213" t="str">
        <v>-</v>
      </c>
      <c r="D17213" t="str">
        <v>-</v>
      </c>
      <c r="E17213" t="str">
        <v>-</v>
      </c>
      <c r="F17213" t="str">
        <v>-</v>
      </c>
      <c r="G17213" t="str">
        <v>-</v>
      </c>
    </row>
    <row r="17214">
      <c r="B17214" t="str">
        <v>Công an xã Khánh Thượng  tỉnh Khánh Hòa</v>
      </c>
      <c r="C17214" t="str">
        <v>-</v>
      </c>
      <c r="D17214" t="str">
        <v>-</v>
      </c>
      <c r="E17214" t="str">
        <v/>
      </c>
      <c r="F17214" t="str">
        <v>-</v>
      </c>
      <c r="G17214" t="str">
        <v>-</v>
      </c>
    </row>
    <row r="17215">
      <c r="B17215" t="str">
        <v>UBND Ủy ban nhân dân xã Khánh Thượng  tỉnh Khánh Hòa</v>
      </c>
      <c r="C17215" t="str">
        <v>-</v>
      </c>
      <c r="D17215" t="str">
        <v>-</v>
      </c>
      <c r="E17215" t="str">
        <v>-</v>
      </c>
      <c r="F17215" t="str">
        <v>-</v>
      </c>
      <c r="G17215" t="str">
        <v>-</v>
      </c>
    </row>
    <row r="17216">
      <c r="B17216" t="str">
        <v>Công an xã Khánh Nam  tỉnh Khánh Hòa</v>
      </c>
      <c r="C17216" t="str">
        <v>-</v>
      </c>
      <c r="D17216" t="str">
        <v>-</v>
      </c>
      <c r="E17216" t="str">
        <v/>
      </c>
      <c r="F17216" t="str">
        <v>-</v>
      </c>
      <c r="G17216" t="str">
        <v>-</v>
      </c>
    </row>
    <row r="17217">
      <c r="B17217" t="str">
        <v>UBND Ủy ban nhân dân xã Khánh Nam  tỉnh Khánh Hòa</v>
      </c>
      <c r="C17217" t="str">
        <v>-</v>
      </c>
      <c r="D17217" t="str">
        <v>-</v>
      </c>
      <c r="E17217" t="str">
        <v>-</v>
      </c>
      <c r="F17217" t="str">
        <v>-</v>
      </c>
      <c r="G17217" t="str">
        <v>-</v>
      </c>
    </row>
    <row r="17218">
      <c r="B17218" t="str">
        <v>Công an xã Sông Cầu  tỉnh Khánh Hòa</v>
      </c>
      <c r="C17218" t="str">
        <v>-</v>
      </c>
      <c r="D17218" t="str">
        <v>-</v>
      </c>
      <c r="E17218" t="str">
        <v/>
      </c>
      <c r="F17218" t="str">
        <v>-</v>
      </c>
      <c r="G17218" t="str">
        <v>-</v>
      </c>
    </row>
    <row r="17219">
      <c r="B17219" t="str">
        <v>UBND Ủy ban nhân dân xã Sông Cầu  tỉnh Khánh Hòa</v>
      </c>
      <c r="C17219" t="str">
        <v>-</v>
      </c>
      <c r="D17219" t="str">
        <v>-</v>
      </c>
      <c r="E17219" t="str">
        <v>-</v>
      </c>
      <c r="F17219" t="str">
        <v>-</v>
      </c>
      <c r="G17219" t="str">
        <v>-</v>
      </c>
    </row>
    <row r="17220">
      <c r="B17220" t="str">
        <v>Công an xã Giang Ly  tỉnh Khánh Hòa</v>
      </c>
      <c r="C17220" t="str">
        <v>-</v>
      </c>
      <c r="D17220" t="str">
        <v>-</v>
      </c>
      <c r="E17220" t="str">
        <v/>
      </c>
      <c r="F17220" t="str">
        <v>-</v>
      </c>
      <c r="G17220" t="str">
        <v>-</v>
      </c>
    </row>
    <row r="17221">
      <c r="B17221" t="str">
        <v>UBND Ủy ban nhân dân xã Giang Ly  tỉnh Khánh Hòa</v>
      </c>
      <c r="C17221" t="str">
        <v>-</v>
      </c>
      <c r="D17221" t="str">
        <v>-</v>
      </c>
      <c r="E17221" t="str">
        <v>-</v>
      </c>
      <c r="F17221" t="str">
        <v>-</v>
      </c>
      <c r="G17221" t="str">
        <v>-</v>
      </c>
    </row>
    <row r="17222">
      <c r="B17222" t="str">
        <v>Công an xã Cầu Bà  tỉnh Khánh Hòa</v>
      </c>
      <c r="C17222" t="str">
        <v>-</v>
      </c>
      <c r="D17222" t="str">
        <v>-</v>
      </c>
      <c r="E17222" t="str">
        <v/>
      </c>
      <c r="F17222" t="str">
        <v>-</v>
      </c>
      <c r="G17222" t="str">
        <v>-</v>
      </c>
    </row>
    <row r="17223">
      <c r="B17223" t="str">
        <v>UBND Ủy ban nhân dân xã Cầu Bà  tỉnh Khánh Hòa</v>
      </c>
      <c r="C17223" t="str">
        <v>-</v>
      </c>
      <c r="D17223" t="str">
        <v>-</v>
      </c>
      <c r="E17223" t="str">
        <v>-</v>
      </c>
      <c r="F17223" t="str">
        <v>-</v>
      </c>
      <c r="G17223" t="str">
        <v>-</v>
      </c>
    </row>
    <row r="17224">
      <c r="B17224" t="str">
        <v>Công an xã Liên Sang  tỉnh Khánh Hòa</v>
      </c>
      <c r="C17224" t="str">
        <v>-</v>
      </c>
      <c r="D17224" t="str">
        <v>-</v>
      </c>
      <c r="E17224" t="str">
        <v/>
      </c>
      <c r="F17224" t="str">
        <v>-</v>
      </c>
      <c r="G17224" t="str">
        <v>-</v>
      </c>
    </row>
    <row r="17225">
      <c r="B17225" t="str">
        <v>UBND Ủy ban nhân dân xã Liên Sang  tỉnh Khánh Hòa</v>
      </c>
      <c r="C17225" t="str">
        <v>-</v>
      </c>
      <c r="D17225" t="str">
        <v>-</v>
      </c>
      <c r="E17225" t="str">
        <v>-</v>
      </c>
      <c r="F17225" t="str">
        <v>-</v>
      </c>
      <c r="G17225" t="str">
        <v>-</v>
      </c>
    </row>
    <row r="17226">
      <c r="B17226" t="str">
        <v>Công an xã Khánh Thành  tỉnh Khánh Hòa</v>
      </c>
      <c r="C17226" t="str">
        <v>-</v>
      </c>
      <c r="D17226" t="str">
        <v>-</v>
      </c>
      <c r="E17226" t="str">
        <v/>
      </c>
      <c r="F17226" t="str">
        <v>-</v>
      </c>
      <c r="G17226" t="str">
        <v>-</v>
      </c>
    </row>
    <row r="17227">
      <c r="B17227" t="str">
        <v>UBND Ủy ban nhân dân xã Khánh Thành  tỉnh Khánh Hòa</v>
      </c>
      <c r="C17227" t="str">
        <v>-</v>
      </c>
      <c r="D17227" t="str">
        <v>-</v>
      </c>
      <c r="E17227" t="str">
        <v>-</v>
      </c>
      <c r="F17227" t="str">
        <v>-</v>
      </c>
      <c r="G17227" t="str">
        <v>-</v>
      </c>
    </row>
    <row r="17228">
      <c r="B17228" t="str">
        <v>Công an xã Khánh Phú  tỉnh Khánh Hòa</v>
      </c>
      <c r="C17228" t="str">
        <v>-</v>
      </c>
      <c r="D17228" t="str">
        <v>-</v>
      </c>
      <c r="E17228" t="str">
        <v/>
      </c>
      <c r="F17228" t="str">
        <v>-</v>
      </c>
      <c r="G17228" t="str">
        <v>-</v>
      </c>
    </row>
    <row r="17229">
      <c r="B17229" t="str">
        <v>UBND Ủy ban nhân dân xã Khánh Phú  tỉnh Khánh Hòa</v>
      </c>
      <c r="C17229" t="str">
        <v>-</v>
      </c>
      <c r="D17229" t="str">
        <v>-</v>
      </c>
      <c r="E17229" t="str">
        <v>-</v>
      </c>
      <c r="F17229" t="str">
        <v>-</v>
      </c>
      <c r="G17229" t="str">
        <v>-</v>
      </c>
    </row>
    <row r="17230">
      <c r="B17230" t="str">
        <v>Công an xã Sơn Thái  tỉnh Khánh Hòa</v>
      </c>
      <c r="C17230" t="str">
        <v>-</v>
      </c>
      <c r="D17230" t="str">
        <v>-</v>
      </c>
      <c r="E17230" t="str">
        <v/>
      </c>
      <c r="F17230" t="str">
        <v>-</v>
      </c>
      <c r="G17230" t="str">
        <v>-</v>
      </c>
    </row>
    <row r="17231">
      <c r="B17231" t="str">
        <v>UBND Ủy ban nhân dân xã Sơn Thái  tỉnh Khánh Hòa</v>
      </c>
      <c r="C17231" t="str">
        <v>-</v>
      </c>
      <c r="D17231" t="str">
        <v>-</v>
      </c>
      <c r="E17231" t="str">
        <v>-</v>
      </c>
      <c r="F17231" t="str">
        <v>-</v>
      </c>
      <c r="G17231" t="str">
        <v>-</v>
      </c>
    </row>
    <row r="17232">
      <c r="B17232" t="str">
        <v>Công an xã Diên Lâm  tỉnh Khánh Hòa</v>
      </c>
      <c r="C17232" t="str">
        <v>-</v>
      </c>
      <c r="D17232" t="str">
        <v>-</v>
      </c>
      <c r="E17232" t="str">
        <v/>
      </c>
      <c r="F17232" t="str">
        <v>-</v>
      </c>
      <c r="G17232" t="str">
        <v>-</v>
      </c>
    </row>
    <row r="17233">
      <c r="B17233" t="str">
        <v>UBND Ủy ban nhân dân xã Diên Lâm  tỉnh Khánh Hòa</v>
      </c>
      <c r="C17233" t="str">
        <v>-</v>
      </c>
      <c r="D17233" t="str">
        <v>-</v>
      </c>
      <c r="E17233" t="str">
        <v>-</v>
      </c>
      <c r="F17233" t="str">
        <v>-</v>
      </c>
      <c r="G17233" t="str">
        <v>-</v>
      </c>
    </row>
    <row r="17234">
      <c r="B17234" t="str">
        <v>Công an xã Diên Điền  tỉnh Khánh Hòa</v>
      </c>
      <c r="C17234" t="str">
        <v>-</v>
      </c>
      <c r="D17234" t="str">
        <v>-</v>
      </c>
      <c r="E17234" t="str">
        <v/>
      </c>
      <c r="F17234" t="str">
        <v>-</v>
      </c>
      <c r="G17234" t="str">
        <v>-</v>
      </c>
    </row>
    <row r="17235">
      <c r="B17235" t="str">
        <v>UBND Ủy ban nhân dân xã Diên Điền  tỉnh Khánh Hòa</v>
      </c>
      <c r="C17235" t="str">
        <v>-</v>
      </c>
      <c r="D17235" t="str">
        <v>-</v>
      </c>
      <c r="E17235" t="str">
        <v>-</v>
      </c>
      <c r="F17235" t="str">
        <v>-</v>
      </c>
      <c r="G17235" t="str">
        <v>-</v>
      </c>
    </row>
    <row r="17236">
      <c r="B17236" t="str">
        <v>Công an xã Diên Xuân  tỉnh Khánh Hòa</v>
      </c>
      <c r="C17236" t="str">
        <v>-</v>
      </c>
      <c r="D17236" t="str">
        <v>-</v>
      </c>
      <c r="E17236" t="str">
        <v/>
      </c>
      <c r="F17236" t="str">
        <v>-</v>
      </c>
      <c r="G17236" t="str">
        <v>-</v>
      </c>
    </row>
    <row r="17237">
      <c r="B17237" t="str">
        <v>UBND Ủy ban nhân dân xã Diên Xuân  tỉnh Khánh Hòa</v>
      </c>
      <c r="C17237" t="str">
        <v>-</v>
      </c>
      <c r="D17237" t="str">
        <v>-</v>
      </c>
      <c r="E17237" t="str">
        <v>-</v>
      </c>
      <c r="F17237" t="str">
        <v>-</v>
      </c>
      <c r="G17237" t="str">
        <v>-</v>
      </c>
    </row>
    <row r="17238">
      <c r="B17238" t="str">
        <v>Công an xã Diên Sơn  tỉnh Khánh Hòa</v>
      </c>
      <c r="C17238" t="str">
        <v>-</v>
      </c>
      <c r="D17238" t="str">
        <v>-</v>
      </c>
      <c r="E17238" t="str">
        <v/>
      </c>
      <c r="F17238" t="str">
        <v>-</v>
      </c>
      <c r="G17238" t="str">
        <v>-</v>
      </c>
    </row>
    <row r="17239">
      <c r="B17239" t="str">
        <v>UBND Ủy ban nhân dân xã Diên Sơn  tỉnh Khánh Hòa</v>
      </c>
      <c r="C17239" t="str">
        <v>-</v>
      </c>
      <c r="D17239" t="str">
        <v>-</v>
      </c>
      <c r="E17239" t="str">
        <v>-</v>
      </c>
      <c r="F17239" t="str">
        <v>-</v>
      </c>
      <c r="G17239" t="str">
        <v>-</v>
      </c>
    </row>
    <row r="17240">
      <c r="B17240" t="str">
        <v>Công an xã Diên Đồng  tỉnh Khánh Hòa</v>
      </c>
      <c r="C17240" t="str">
        <v>-</v>
      </c>
      <c r="D17240" t="str">
        <v>-</v>
      </c>
      <c r="E17240" t="str">
        <v/>
      </c>
      <c r="F17240" t="str">
        <v>-</v>
      </c>
      <c r="G17240" t="str">
        <v>-</v>
      </c>
    </row>
    <row r="17241">
      <c r="B17241" t="str">
        <v>UBND Ủy ban nhân dân xã Diên Đồng  tỉnh Khánh Hòa</v>
      </c>
      <c r="C17241" t="str">
        <v>-</v>
      </c>
      <c r="D17241" t="str">
        <v>-</v>
      </c>
      <c r="E17241" t="str">
        <v>-</v>
      </c>
      <c r="F17241" t="str">
        <v>-</v>
      </c>
      <c r="G17241" t="str">
        <v>-</v>
      </c>
    </row>
    <row r="17242">
      <c r="B17242" t="str">
        <v>Công an xã Diên Phú  tỉnh Khánh Hòa</v>
      </c>
      <c r="C17242" t="str">
        <v>-</v>
      </c>
      <c r="D17242" t="str">
        <v>-</v>
      </c>
      <c r="E17242" t="str">
        <v/>
      </c>
      <c r="F17242" t="str">
        <v>-</v>
      </c>
      <c r="G17242" t="str">
        <v>-</v>
      </c>
    </row>
    <row r="17243">
      <c r="B17243" t="str">
        <v>UBND Ủy ban nhân dân xã Diên Phú  tỉnh Khánh Hòa</v>
      </c>
      <c r="C17243" t="str">
        <v>-</v>
      </c>
      <c r="D17243" t="str">
        <v>-</v>
      </c>
      <c r="E17243" t="str">
        <v>-</v>
      </c>
      <c r="F17243" t="str">
        <v>-</v>
      </c>
      <c r="G17243" t="str">
        <v>-</v>
      </c>
    </row>
    <row r="17244">
      <c r="B17244" t="str">
        <v>Công an xã Diên Thọ  tỉnh Khánh Hòa</v>
      </c>
      <c r="C17244" t="str">
        <v>-</v>
      </c>
      <c r="D17244" t="str">
        <v>-</v>
      </c>
      <c r="E17244" t="str">
        <v/>
      </c>
      <c r="F17244" t="str">
        <v>-</v>
      </c>
      <c r="G17244" t="str">
        <v>-</v>
      </c>
    </row>
    <row r="17245">
      <c r="B17245" t="str">
        <v>UBND Ủy ban nhân dân xã Diên Thọ  tỉnh Khánh Hòa</v>
      </c>
      <c r="C17245" t="str">
        <v>-</v>
      </c>
      <c r="D17245" t="str">
        <v>-</v>
      </c>
      <c r="E17245" t="str">
        <v>-</v>
      </c>
      <c r="F17245" t="str">
        <v>-</v>
      </c>
      <c r="G17245" t="str">
        <v>-</v>
      </c>
    </row>
    <row r="17246">
      <c r="B17246" t="str">
        <v>Công an xã Diên Phước  tỉnh Khánh Hòa</v>
      </c>
      <c r="C17246" t="str">
        <v>-</v>
      </c>
      <c r="D17246" t="str">
        <v>-</v>
      </c>
      <c r="E17246" t="str">
        <v/>
      </c>
      <c r="F17246" t="str">
        <v>-</v>
      </c>
      <c r="G17246" t="str">
        <v>-</v>
      </c>
    </row>
    <row r="17247">
      <c r="B17247" t="str">
        <v>UBND Ủy ban nhân dân xã Diên Phước  tỉnh Khánh Hòa</v>
      </c>
      <c r="C17247" t="str">
        <v>-</v>
      </c>
      <c r="D17247" t="str">
        <v>-</v>
      </c>
      <c r="E17247" t="str">
        <v>-</v>
      </c>
      <c r="F17247" t="str">
        <v>-</v>
      </c>
      <c r="G17247" t="str">
        <v>-</v>
      </c>
    </row>
    <row r="17248">
      <c r="B17248" t="str">
        <v>Công an xã Diên Lạc  tỉnh Khánh Hòa</v>
      </c>
      <c r="C17248" t="str">
        <v>-</v>
      </c>
      <c r="D17248" t="str">
        <v>-</v>
      </c>
      <c r="E17248" t="str">
        <v/>
      </c>
      <c r="F17248" t="str">
        <v>-</v>
      </c>
      <c r="G17248" t="str">
        <v>-</v>
      </c>
    </row>
    <row r="17249">
      <c r="B17249" t="str">
        <v>UBND Ủy ban nhân dân xã Diên Lạc  tỉnh Khánh Hòa</v>
      </c>
      <c r="C17249" t="str">
        <v>-</v>
      </c>
      <c r="D17249" t="str">
        <v>-</v>
      </c>
      <c r="E17249" t="str">
        <v>-</v>
      </c>
      <c r="F17249" t="str">
        <v>-</v>
      </c>
      <c r="G17249" t="str">
        <v>-</v>
      </c>
    </row>
    <row r="17250">
      <c r="B17250" t="str">
        <v>Công an xã Diên Tân  tỉnh Khánh Hòa</v>
      </c>
      <c r="C17250" t="str">
        <v>-</v>
      </c>
      <c r="D17250" t="str">
        <v>-</v>
      </c>
      <c r="E17250" t="str">
        <v/>
      </c>
      <c r="F17250" t="str">
        <v>-</v>
      </c>
      <c r="G17250" t="str">
        <v>-</v>
      </c>
    </row>
    <row r="17251">
      <c r="B17251" t="str">
        <v>UBND Ủy ban nhân dân xã Diên Tân  tỉnh Khánh Hòa</v>
      </c>
      <c r="C17251" t="str">
        <v>-</v>
      </c>
      <c r="D17251" t="str">
        <v>-</v>
      </c>
      <c r="E17251" t="str">
        <v>-</v>
      </c>
      <c r="F17251" t="str">
        <v>-</v>
      </c>
      <c r="G17251" t="str">
        <v>-</v>
      </c>
    </row>
    <row r="17252">
      <c r="B17252" t="str">
        <v>Công an xã Diên Hòa  tỉnh Khánh Hòa</v>
      </c>
      <c r="C17252" t="str">
        <v>-</v>
      </c>
      <c r="D17252" t="str">
        <v>-</v>
      </c>
      <c r="E17252" t="str">
        <v/>
      </c>
      <c r="F17252" t="str">
        <v>-</v>
      </c>
      <c r="G17252" t="str">
        <v>-</v>
      </c>
    </row>
    <row r="17253">
      <c r="B17253" t="str">
        <v>UBND Ủy ban nhân dân xã Diên Hòa  tỉnh Khánh Hòa</v>
      </c>
      <c r="C17253" t="str">
        <v>-</v>
      </c>
      <c r="D17253" t="str">
        <v>-</v>
      </c>
      <c r="E17253" t="str">
        <v>-</v>
      </c>
      <c r="F17253" t="str">
        <v>-</v>
      </c>
      <c r="G17253" t="str">
        <v>-</v>
      </c>
    </row>
    <row r="17254">
      <c r="B17254" t="str">
        <v>Công an xã Diên Thạnh  tỉnh Khánh Hòa</v>
      </c>
      <c r="C17254" t="str">
        <v>-</v>
      </c>
      <c r="D17254" t="str">
        <v>-</v>
      </c>
      <c r="E17254" t="str">
        <v/>
      </c>
      <c r="F17254" t="str">
        <v>-</v>
      </c>
      <c r="G17254" t="str">
        <v>-</v>
      </c>
    </row>
    <row r="17255">
      <c r="B17255" t="str">
        <v>UBND Ủy ban nhân dân xã Diên Thạnh  tỉnh Khánh Hòa</v>
      </c>
      <c r="C17255" t="str">
        <v>-</v>
      </c>
      <c r="D17255" t="str">
        <v>-</v>
      </c>
      <c r="E17255" t="str">
        <v>-</v>
      </c>
      <c r="F17255" t="str">
        <v>-</v>
      </c>
      <c r="G17255" t="str">
        <v>-</v>
      </c>
    </row>
    <row r="17256">
      <c r="B17256" t="str">
        <v>Công an xã Diên Toàn  tỉnh Khánh Hòa</v>
      </c>
      <c r="C17256" t="str">
        <v>-</v>
      </c>
      <c r="D17256" t="str">
        <v>-</v>
      </c>
      <c r="E17256" t="str">
        <v/>
      </c>
      <c r="F17256" t="str">
        <v>-</v>
      </c>
      <c r="G17256" t="str">
        <v>-</v>
      </c>
    </row>
    <row r="17257">
      <c r="B17257" t="str">
        <v>UBND Ủy ban nhân dân xã Diên Toàn  tỉnh Khánh Hòa</v>
      </c>
      <c r="C17257" t="str">
        <v>-</v>
      </c>
      <c r="D17257" t="str">
        <v>-</v>
      </c>
      <c r="E17257" t="str">
        <v>-</v>
      </c>
      <c r="F17257" t="str">
        <v>-</v>
      </c>
      <c r="G17257" t="str">
        <v>-</v>
      </c>
    </row>
    <row r="17258">
      <c r="B17258" t="str">
        <v>Công an xã Diên An  tỉnh Khánh Hòa</v>
      </c>
      <c r="C17258" t="str">
        <v>-</v>
      </c>
      <c r="D17258" t="str">
        <v>-</v>
      </c>
      <c r="E17258" t="str">
        <v/>
      </c>
      <c r="F17258" t="str">
        <v>-</v>
      </c>
      <c r="G17258" t="str">
        <v>-</v>
      </c>
    </row>
    <row r="17259">
      <c r="B17259" t="str">
        <v>UBND Ủy ban nhân dân xã Diên An  tỉnh Khánh Hòa</v>
      </c>
      <c r="C17259" t="str">
        <v>-</v>
      </c>
      <c r="D17259" t="str">
        <v>-</v>
      </c>
      <c r="E17259" t="str">
        <v>-</v>
      </c>
      <c r="F17259" t="str">
        <v>-</v>
      </c>
      <c r="G17259" t="str">
        <v>-</v>
      </c>
    </row>
    <row r="17260">
      <c r="B17260" t="str">
        <v>Công an xã Diên Bình  tỉnh Khánh Hòa</v>
      </c>
      <c r="C17260" t="str">
        <v>-</v>
      </c>
      <c r="D17260" t="str">
        <v>-</v>
      </c>
      <c r="E17260" t="str">
        <v/>
      </c>
      <c r="F17260" t="str">
        <v>-</v>
      </c>
      <c r="G17260" t="str">
        <v>-</v>
      </c>
    </row>
    <row r="17261">
      <c r="B17261" t="str">
        <v>UBND Ủy ban nhân dân xã Diên Bình  tỉnh Khánh Hòa</v>
      </c>
      <c r="C17261" t="str">
        <v>-</v>
      </c>
      <c r="D17261" t="str">
        <v>-</v>
      </c>
      <c r="E17261" t="str">
        <v>-</v>
      </c>
      <c r="F17261" t="str">
        <v>-</v>
      </c>
      <c r="G17261" t="str">
        <v>-</v>
      </c>
    </row>
    <row r="17262">
      <c r="B17262" t="str">
        <v>Công an xã Diên Lộc  tỉnh Khánh Hòa</v>
      </c>
      <c r="C17262" t="str">
        <v>-</v>
      </c>
      <c r="D17262" t="str">
        <v>-</v>
      </c>
      <c r="E17262" t="str">
        <v/>
      </c>
      <c r="F17262" t="str">
        <v>-</v>
      </c>
      <c r="G17262" t="str">
        <v>-</v>
      </c>
    </row>
    <row r="17263">
      <c r="B17263" t="str">
        <v>UBND Ủy ban nhân dân xã Diên Lộc  tỉnh Khánh Hòa</v>
      </c>
      <c r="C17263" t="str">
        <v>-</v>
      </c>
      <c r="D17263" t="str">
        <v>-</v>
      </c>
      <c r="E17263" t="str">
        <v>-</v>
      </c>
      <c r="F17263" t="str">
        <v>-</v>
      </c>
      <c r="G17263" t="str">
        <v>-</v>
      </c>
    </row>
    <row r="17264">
      <c r="B17264" t="str">
        <v>Công an xã Suối Hiệp  tỉnh Khánh Hòa</v>
      </c>
      <c r="C17264" t="str">
        <v>-</v>
      </c>
      <c r="D17264" t="str">
        <v>-</v>
      </c>
      <c r="E17264" t="str">
        <v/>
      </c>
      <c r="F17264" t="str">
        <v>-</v>
      </c>
      <c r="G17264" t="str">
        <v>-</v>
      </c>
    </row>
    <row r="17265">
      <c r="B17265" t="str">
        <v>UBND Ủy ban nhân dân xã Suối Hiệp  tỉnh Khánh Hòa</v>
      </c>
      <c r="C17265" t="str">
        <v>-</v>
      </c>
      <c r="D17265" t="str">
        <v>-</v>
      </c>
      <c r="E17265" t="str">
        <v>-</v>
      </c>
      <c r="F17265" t="str">
        <v>-</v>
      </c>
      <c r="G17265" t="str">
        <v>-</v>
      </c>
    </row>
    <row r="17266">
      <c r="B17266" t="str">
        <v>Công an xã Suối Tiên  tỉnh Khánh Hòa</v>
      </c>
      <c r="C17266" t="str">
        <v>-</v>
      </c>
      <c r="D17266" t="str">
        <v>-</v>
      </c>
      <c r="E17266" t="str">
        <v/>
      </c>
      <c r="F17266" t="str">
        <v>-</v>
      </c>
      <c r="G17266" t="str">
        <v>-</v>
      </c>
    </row>
    <row r="17267">
      <c r="B17267" t="str">
        <v>UBND Ủy ban nhân dân xã Suối Tiên  tỉnh Khánh Hòa</v>
      </c>
      <c r="C17267" t="str">
        <v>-</v>
      </c>
      <c r="D17267" t="str">
        <v>-</v>
      </c>
      <c r="E17267" t="str">
        <v>-</v>
      </c>
      <c r="F17267" t="str">
        <v>-</v>
      </c>
      <c r="G17267" t="str">
        <v>-</v>
      </c>
    </row>
    <row r="17268">
      <c r="B17268" t="str">
        <v>Công an xã Thành Sơn  tỉnh Khánh Hòa</v>
      </c>
      <c r="C17268" t="str">
        <v>-</v>
      </c>
      <c r="D17268" t="str">
        <v>-</v>
      </c>
      <c r="E17268" t="str">
        <v/>
      </c>
      <c r="F17268" t="str">
        <v>-</v>
      </c>
      <c r="G17268" t="str">
        <v>-</v>
      </c>
    </row>
    <row r="17269">
      <c r="B17269" t="str">
        <v>UBND Ủy ban nhân dân xã Thành Sơn  tỉnh Khánh Hòa</v>
      </c>
      <c r="C17269" t="str">
        <v>-</v>
      </c>
      <c r="D17269" t="str">
        <v>-</v>
      </c>
      <c r="E17269" t="str">
        <v>-</v>
      </c>
      <c r="F17269" t="str">
        <v>-</v>
      </c>
      <c r="G17269" t="str">
        <v>-</v>
      </c>
    </row>
    <row r="17270">
      <c r="B17270" t="str">
        <v>Công an xã Sơn Lâm  tỉnh Khánh Hòa</v>
      </c>
      <c r="C17270" t="str">
        <v>-</v>
      </c>
      <c r="D17270" t="str">
        <v>-</v>
      </c>
      <c r="E17270" t="str">
        <v/>
      </c>
      <c r="F17270" t="str">
        <v>-</v>
      </c>
      <c r="G17270" t="str">
        <v>-</v>
      </c>
    </row>
    <row r="17271">
      <c r="B17271" t="str">
        <v>UBND Ủy ban nhân dân xã Sơn Lâm  tỉnh Khánh Hòa</v>
      </c>
      <c r="C17271" t="str">
        <v>-</v>
      </c>
      <c r="D17271" t="str">
        <v>-</v>
      </c>
      <c r="E17271" t="str">
        <v>-</v>
      </c>
      <c r="F17271" t="str">
        <v>-</v>
      </c>
      <c r="G17271" t="str">
        <v>-</v>
      </c>
    </row>
    <row r="17272">
      <c r="B17272" t="str">
        <v>Công an xã Sơn Hiệp  tỉnh Khánh Hòa</v>
      </c>
      <c r="C17272" t="str">
        <v>-</v>
      </c>
      <c r="D17272" t="str">
        <v>-</v>
      </c>
      <c r="E17272" t="str">
        <v/>
      </c>
      <c r="F17272" t="str">
        <v>-</v>
      </c>
      <c r="G17272" t="str">
        <v>-</v>
      </c>
    </row>
    <row r="17273">
      <c r="B17273" t="str">
        <v>UBND Ủy ban nhân dân xã Sơn Hiệp  tỉnh Khánh Hòa</v>
      </c>
      <c r="C17273" t="str">
        <v>-</v>
      </c>
      <c r="D17273" t="str">
        <v>-</v>
      </c>
      <c r="E17273" t="str">
        <v>-</v>
      </c>
      <c r="F17273" t="str">
        <v>-</v>
      </c>
      <c r="G17273" t="str">
        <v>-</v>
      </c>
    </row>
    <row r="17274">
      <c r="B17274" t="str">
        <v>Công an xã Sơn Bình  tỉnh Khánh Hòa</v>
      </c>
      <c r="C17274" t="str">
        <v>-</v>
      </c>
      <c r="D17274" t="str">
        <v>-</v>
      </c>
      <c r="E17274" t="str">
        <v/>
      </c>
      <c r="F17274" t="str">
        <v>-</v>
      </c>
      <c r="G17274" t="str">
        <v>-</v>
      </c>
    </row>
    <row r="17275">
      <c r="B17275" t="str">
        <v>UBND Ủy ban nhân dân xã Sơn Bình  tỉnh Khánh Hòa</v>
      </c>
      <c r="C17275" t="str">
        <v>-</v>
      </c>
      <c r="D17275" t="str">
        <v>-</v>
      </c>
      <c r="E17275" t="str">
        <v>-</v>
      </c>
      <c r="F17275" t="str">
        <v>-</v>
      </c>
      <c r="G17275" t="str">
        <v>-</v>
      </c>
    </row>
    <row r="17276">
      <c r="B17276" t="str">
        <v>Công an xã Sơn Trung  tỉnh Khánh Hòa</v>
      </c>
      <c r="C17276" t="str">
        <v>-</v>
      </c>
      <c r="D17276" t="str">
        <v>-</v>
      </c>
      <c r="E17276" t="str">
        <v/>
      </c>
      <c r="F17276" t="str">
        <v>-</v>
      </c>
      <c r="G17276" t="str">
        <v>-</v>
      </c>
    </row>
    <row r="17277">
      <c r="B17277" t="str">
        <v>UBND Ủy ban nhân dân xã Sơn Trung  tỉnh Khánh Hòa</v>
      </c>
      <c r="C17277" t="str">
        <v>-</v>
      </c>
      <c r="D17277" t="str">
        <v>-</v>
      </c>
      <c r="E17277" t="str">
        <v>-</v>
      </c>
      <c r="F17277" t="str">
        <v>-</v>
      </c>
      <c r="G17277" t="str">
        <v>-</v>
      </c>
    </row>
    <row r="17278">
      <c r="B17278" t="str">
        <v>Công an xã Ba Cụm Bắc  tỉnh Khánh Hòa</v>
      </c>
      <c r="C17278" t="str">
        <v>-</v>
      </c>
      <c r="D17278" t="str">
        <v>-</v>
      </c>
      <c r="E17278" t="str">
        <v/>
      </c>
      <c r="F17278" t="str">
        <v>-</v>
      </c>
      <c r="G17278" t="str">
        <v>-</v>
      </c>
    </row>
    <row r="17279">
      <c r="B17279" t="str">
        <v>UBND Ủy ban nhân dân xã Ba Cụm Bắc  tỉnh Khánh Hòa</v>
      </c>
      <c r="C17279" t="str">
        <v>-</v>
      </c>
      <c r="D17279" t="str">
        <v>-</v>
      </c>
      <c r="E17279" t="str">
        <v>-</v>
      </c>
      <c r="F17279" t="str">
        <v>-</v>
      </c>
      <c r="G17279" t="str">
        <v>-</v>
      </c>
    </row>
    <row r="17280">
      <c r="B17280" t="str">
        <v>Công an xã Ba Cụm Nam  tỉnh Khánh Hòa</v>
      </c>
      <c r="C17280" t="str">
        <v>-</v>
      </c>
      <c r="D17280" t="str">
        <v>-</v>
      </c>
      <c r="E17280" t="str">
        <v/>
      </c>
      <c r="F17280" t="str">
        <v>-</v>
      </c>
      <c r="G17280" t="str">
        <v>-</v>
      </c>
    </row>
    <row r="17281">
      <c r="B17281" t="str">
        <v>UBND Ủy ban nhân dân xã Ba Cụm Nam  tỉnh Khánh Hòa</v>
      </c>
      <c r="C17281" t="str">
        <v>-</v>
      </c>
      <c r="D17281" t="str">
        <v>-</v>
      </c>
      <c r="E17281" t="str">
        <v>-</v>
      </c>
      <c r="F17281" t="str">
        <v>-</v>
      </c>
      <c r="G17281" t="str">
        <v>-</v>
      </c>
    </row>
    <row r="17282">
      <c r="B17282" t="str">
        <v>Công an xã Song Tử Tây  tỉnh Khánh Hòa</v>
      </c>
      <c r="C17282" t="str">
        <v>-</v>
      </c>
      <c r="D17282" t="str">
        <v>-</v>
      </c>
      <c r="E17282" t="str">
        <v/>
      </c>
      <c r="F17282" t="str">
        <v>-</v>
      </c>
      <c r="G17282" t="str">
        <v>-</v>
      </c>
    </row>
    <row r="17283">
      <c r="B17283" t="str">
        <v>UBND Ủy ban nhân dân xã Song Tử Tây  tỉnh Khánh Hòa</v>
      </c>
      <c r="C17283" t="str">
        <v>-</v>
      </c>
      <c r="D17283" t="str">
        <v>-</v>
      </c>
      <c r="E17283" t="str">
        <v>-</v>
      </c>
      <c r="F17283" t="str">
        <v>-</v>
      </c>
      <c r="G17283" t="str">
        <v>-</v>
      </c>
    </row>
    <row r="17284">
      <c r="B17284" t="str">
        <v>Công an xã Sinh Tồn  tỉnh Khánh Hòa</v>
      </c>
      <c r="C17284" t="str">
        <v>-</v>
      </c>
      <c r="D17284" t="str">
        <v>-</v>
      </c>
      <c r="E17284" t="str">
        <v/>
      </c>
      <c r="F17284" t="str">
        <v>-</v>
      </c>
      <c r="G17284" t="str">
        <v>-</v>
      </c>
    </row>
    <row r="17285">
      <c r="B17285" t="str">
        <v>UBND Ủy ban nhân dân xã Sinh Tồn  tỉnh Khánh Hòa</v>
      </c>
      <c r="C17285" t="str">
        <v>-</v>
      </c>
      <c r="D17285" t="str">
        <v>-</v>
      </c>
      <c r="E17285" t="str">
        <v>-</v>
      </c>
      <c r="F17285" t="str">
        <v>-</v>
      </c>
      <c r="G17285" t="str">
        <v>-</v>
      </c>
    </row>
    <row r="17286">
      <c r="B17286" t="str">
        <v>Công an phường Đô Vinh  tỉnh Ninh Thuận</v>
      </c>
      <c r="C17286" t="str">
        <v>-</v>
      </c>
      <c r="D17286" t="str">
        <v>-</v>
      </c>
      <c r="E17286" t="str">
        <v/>
      </c>
      <c r="F17286" t="str">
        <v>-</v>
      </c>
      <c r="G17286" t="str">
        <v>-</v>
      </c>
    </row>
    <row r="17287">
      <c r="B17287" t="str">
        <v>UBND Ủy ban nhân dân phường Đô Vinh  tỉnh Ninh Thuận</v>
      </c>
      <c r="C17287" t="str">
        <v>-</v>
      </c>
      <c r="D17287" t="str">
        <v>-</v>
      </c>
      <c r="E17287" t="str">
        <v>-</v>
      </c>
      <c r="F17287" t="str">
        <v>-</v>
      </c>
      <c r="G17287" t="str">
        <v>-</v>
      </c>
    </row>
    <row r="17288">
      <c r="B17288" t="str">
        <v>Công an phường Phước Mỹ  tỉnh Ninh Thuận</v>
      </c>
      <c r="C17288" t="str">
        <v>-</v>
      </c>
      <c r="D17288" t="str">
        <v>-</v>
      </c>
      <c r="E17288" t="str">
        <v/>
      </c>
      <c r="F17288" t="str">
        <v>-</v>
      </c>
      <c r="G17288" t="str">
        <v>-</v>
      </c>
    </row>
    <row r="17289">
      <c r="B17289" t="str">
        <v>UBND Ủy ban nhân dân phường Phước Mỹ  tỉnh Ninh Thuận</v>
      </c>
      <c r="C17289" t="str">
        <v>-</v>
      </c>
      <c r="D17289" t="str">
        <v>-</v>
      </c>
      <c r="E17289" t="str">
        <v>-</v>
      </c>
      <c r="F17289" t="str">
        <v>-</v>
      </c>
      <c r="G17289" t="str">
        <v>-</v>
      </c>
    </row>
    <row r="17290">
      <c r="B17290" t="str">
        <v>Công an phường Bảo An  tỉnh Ninh Thuận</v>
      </c>
      <c r="C17290" t="str">
        <v>-</v>
      </c>
      <c r="D17290" t="str">
        <v>-</v>
      </c>
      <c r="E17290" t="str">
        <v/>
      </c>
      <c r="F17290" t="str">
        <v>-</v>
      </c>
      <c r="G17290" t="str">
        <v>-</v>
      </c>
    </row>
    <row r="17291">
      <c r="B17291" t="str">
        <v>UBND Ủy ban nhân dân phường Bảo An  tỉnh Ninh Thuận</v>
      </c>
      <c r="C17291" t="str">
        <v>-</v>
      </c>
      <c r="D17291" t="str">
        <v>-</v>
      </c>
      <c r="E17291" t="str">
        <v>-</v>
      </c>
      <c r="F17291" t="str">
        <v>-</v>
      </c>
      <c r="G17291" t="str">
        <v>-</v>
      </c>
    </row>
    <row r="17292">
      <c r="B17292" t="str">
        <v>Công an phường Phủ Hà  tỉnh Ninh Thuận</v>
      </c>
      <c r="C17292" t="str">
        <v>-</v>
      </c>
      <c r="D17292" t="str">
        <v>-</v>
      </c>
      <c r="E17292" t="str">
        <v/>
      </c>
      <c r="F17292" t="str">
        <v>-</v>
      </c>
      <c r="G17292" t="str">
        <v>-</v>
      </c>
    </row>
    <row r="17293">
      <c r="B17293" t="str">
        <v>UBND Ủy ban nhân dân phường Phủ Hà  tỉnh Ninh Thuận</v>
      </c>
      <c r="C17293" t="str">
        <v>-</v>
      </c>
      <c r="D17293" t="str">
        <v>-</v>
      </c>
      <c r="E17293" t="str">
        <v>-</v>
      </c>
      <c r="F17293" t="str">
        <v>-</v>
      </c>
      <c r="G17293" t="str">
        <v>-</v>
      </c>
    </row>
    <row r="17294">
      <c r="B17294" t="str">
        <v>Công an phường Thanh Sơn  tỉnh Ninh Thuận</v>
      </c>
      <c r="C17294" t="str">
        <v>-</v>
      </c>
      <c r="D17294" t="str">
        <v>-</v>
      </c>
      <c r="E17294" t="str">
        <v/>
      </c>
      <c r="F17294" t="str">
        <v>-</v>
      </c>
      <c r="G17294" t="str">
        <v>-</v>
      </c>
    </row>
    <row r="17295">
      <c r="B17295" t="str">
        <v>UBND Ủy ban nhân dân phường Thanh Sơn  tỉnh Ninh Thuận</v>
      </c>
      <c r="C17295" t="str">
        <v>-</v>
      </c>
      <c r="D17295" t="str">
        <v>-</v>
      </c>
      <c r="E17295" t="str">
        <v>-</v>
      </c>
      <c r="F17295" t="str">
        <v>-</v>
      </c>
      <c r="G17295" t="str">
        <v>-</v>
      </c>
    </row>
    <row r="17296">
      <c r="B17296" t="str">
        <v>Công an phường Mỹ Hương  tỉnh Ninh Thuận</v>
      </c>
      <c r="C17296" t="str">
        <v>-</v>
      </c>
      <c r="D17296" t="str">
        <v>-</v>
      </c>
      <c r="E17296" t="str">
        <v/>
      </c>
      <c r="F17296" t="str">
        <v>-</v>
      </c>
      <c r="G17296" t="str">
        <v>-</v>
      </c>
    </row>
    <row r="17297">
      <c r="B17297" t="str">
        <v>UBND Ủy ban nhân dân phường Mỹ Hương  tỉnh Ninh Thuận</v>
      </c>
      <c r="C17297" t="str">
        <v>-</v>
      </c>
      <c r="D17297" t="str">
        <v>-</v>
      </c>
      <c r="E17297" t="str">
        <v>-</v>
      </c>
      <c r="F17297" t="str">
        <v>-</v>
      </c>
      <c r="G17297" t="str">
        <v>-</v>
      </c>
    </row>
    <row r="17298">
      <c r="B17298" t="str">
        <v>Công an phường Tấn Tài  tỉnh Ninh Thuận</v>
      </c>
      <c r="C17298" t="str">
        <v>-</v>
      </c>
      <c r="D17298" t="str">
        <v>-</v>
      </c>
      <c r="E17298" t="str">
        <v/>
      </c>
      <c r="F17298" t="str">
        <v>-</v>
      </c>
      <c r="G17298" t="str">
        <v>-</v>
      </c>
    </row>
    <row r="17299">
      <c r="B17299" t="str">
        <v>UBND Ủy ban nhân dân phường Tấn Tài  tỉnh Ninh Thuận</v>
      </c>
      <c r="C17299" t="str">
        <v>-</v>
      </c>
      <c r="D17299" t="str">
        <v>-</v>
      </c>
      <c r="E17299" t="str">
        <v>-</v>
      </c>
      <c r="F17299" t="str">
        <v>-</v>
      </c>
      <c r="G17299" t="str">
        <v>-</v>
      </c>
    </row>
    <row r="17300">
      <c r="B17300" t="str">
        <v>Công an phường Kinh Dinh  tỉnh Ninh Thuận</v>
      </c>
      <c r="C17300" t="str">
        <v>-</v>
      </c>
      <c r="D17300" t="str">
        <v>-</v>
      </c>
      <c r="E17300" t="str">
        <v/>
      </c>
      <c r="F17300" t="str">
        <v>-</v>
      </c>
      <c r="G17300" t="str">
        <v>-</v>
      </c>
    </row>
    <row r="17301">
      <c r="B17301" t="str">
        <v>UBND Ủy ban nhân dân phường Kinh Dinh  tỉnh Ninh Thuận</v>
      </c>
      <c r="C17301" t="str">
        <v>-</v>
      </c>
      <c r="D17301" t="str">
        <v>-</v>
      </c>
      <c r="E17301" t="str">
        <v>-</v>
      </c>
      <c r="F17301" t="str">
        <v>-</v>
      </c>
      <c r="G17301" t="str">
        <v>-</v>
      </c>
    </row>
    <row r="17302">
      <c r="B17302" t="str">
        <v>Công an phường Đạo Long  tỉnh Ninh Thuận</v>
      </c>
      <c r="C17302" t="str">
        <v>-</v>
      </c>
      <c r="D17302" t="str">
        <v>-</v>
      </c>
      <c r="E17302" t="str">
        <v/>
      </c>
      <c r="F17302" t="str">
        <v>-</v>
      </c>
      <c r="G17302" t="str">
        <v>-</v>
      </c>
    </row>
    <row r="17303">
      <c r="B17303" t="str">
        <v>UBND Ủy ban nhân dân phường Đạo Long  tỉnh Ninh Thuận</v>
      </c>
      <c r="C17303" t="str">
        <v>-</v>
      </c>
      <c r="D17303" t="str">
        <v>-</v>
      </c>
      <c r="E17303" t="str">
        <v>-</v>
      </c>
      <c r="F17303" t="str">
        <v>-</v>
      </c>
      <c r="G17303" t="str">
        <v>-</v>
      </c>
    </row>
    <row r="17304">
      <c r="B17304" t="str">
        <v>Công an phường Đài Sơn  tỉnh Ninh Thuận</v>
      </c>
      <c r="C17304" t="str">
        <v>-</v>
      </c>
      <c r="D17304" t="str">
        <v>-</v>
      </c>
      <c r="E17304" t="str">
        <v/>
      </c>
      <c r="F17304" t="str">
        <v>-</v>
      </c>
      <c r="G17304" t="str">
        <v>-</v>
      </c>
    </row>
    <row r="17305">
      <c r="B17305" t="str">
        <v>UBND Ủy ban nhân dân phường Đài Sơn  tỉnh Ninh Thuận</v>
      </c>
      <c r="C17305" t="str">
        <v>-</v>
      </c>
      <c r="D17305" t="str">
        <v>-</v>
      </c>
      <c r="E17305" t="str">
        <v>-</v>
      </c>
      <c r="F17305" t="str">
        <v>-</v>
      </c>
      <c r="G17305" t="str">
        <v>-</v>
      </c>
    </row>
    <row r="17306">
      <c r="B17306" t="str">
        <v>Công an phường Đông Hải  tỉnh Ninh Thuận</v>
      </c>
      <c r="C17306" t="str">
        <v>-</v>
      </c>
      <c r="D17306" t="str">
        <v>-</v>
      </c>
      <c r="E17306" t="str">
        <v/>
      </c>
      <c r="F17306" t="str">
        <v>-</v>
      </c>
      <c r="G17306" t="str">
        <v>-</v>
      </c>
    </row>
    <row r="17307">
      <c r="B17307" t="str">
        <v>UBND Ủy ban nhân dân phường Đông Hải  tỉnh Ninh Thuận</v>
      </c>
      <c r="C17307" t="str">
        <v>-</v>
      </c>
      <c r="D17307" t="str">
        <v>-</v>
      </c>
      <c r="E17307" t="str">
        <v>-</v>
      </c>
      <c r="F17307" t="str">
        <v>-</v>
      </c>
      <c r="G17307" t="str">
        <v>-</v>
      </c>
    </row>
    <row r="17308">
      <c r="B17308" t="str">
        <v>Công an phường Mỹ Đông  tỉnh Ninh Thuận</v>
      </c>
      <c r="C17308" t="str">
        <v>-</v>
      </c>
      <c r="D17308" t="str">
        <v>-</v>
      </c>
      <c r="E17308" t="str">
        <v/>
      </c>
      <c r="F17308" t="str">
        <v>-</v>
      </c>
      <c r="G17308" t="str">
        <v>-</v>
      </c>
    </row>
    <row r="17309">
      <c r="B17309" t="str">
        <v>UBND Ủy ban nhân dân phường Mỹ Đông  tỉnh Ninh Thuận</v>
      </c>
      <c r="C17309" t="str">
        <v>-</v>
      </c>
      <c r="D17309" t="str">
        <v>-</v>
      </c>
      <c r="E17309" t="str">
        <v>-</v>
      </c>
      <c r="F17309" t="str">
        <v>-</v>
      </c>
      <c r="G17309" t="str">
        <v>-</v>
      </c>
    </row>
    <row r="17310">
      <c r="B17310" t="str">
        <v>Công an xã Thành Hải  tỉnh Ninh Thuận</v>
      </c>
      <c r="C17310" t="str">
        <v>-</v>
      </c>
      <c r="D17310" t="str">
        <v>-</v>
      </c>
      <c r="E17310" t="str">
        <v/>
      </c>
      <c r="F17310" t="str">
        <v>-</v>
      </c>
      <c r="G17310" t="str">
        <v>-</v>
      </c>
    </row>
    <row r="17311">
      <c r="B17311" t="str">
        <v>UBND Ủy ban nhân dân xã Thành Hải  tỉnh Ninh Thuận</v>
      </c>
      <c r="C17311" t="str">
        <v>-</v>
      </c>
      <c r="D17311" t="str">
        <v>-</v>
      </c>
      <c r="E17311" t="str">
        <v>-</v>
      </c>
      <c r="F17311" t="str">
        <v>-</v>
      </c>
      <c r="G17311" t="str">
        <v>-</v>
      </c>
    </row>
    <row r="17312">
      <c r="B17312" t="str">
        <v>Công an phường Văn Hải  tỉnh Ninh Thuận</v>
      </c>
      <c r="C17312" t="str">
        <v>-</v>
      </c>
      <c r="D17312" t="str">
        <v>-</v>
      </c>
      <c r="E17312" t="str">
        <v/>
      </c>
      <c r="F17312" t="str">
        <v>-</v>
      </c>
      <c r="G17312" t="str">
        <v>-</v>
      </c>
    </row>
    <row r="17313">
      <c r="B17313" t="str">
        <v>UBND Ủy ban nhân dân phường Văn Hải  tỉnh Ninh Thuận</v>
      </c>
      <c r="C17313" t="str">
        <v>-</v>
      </c>
      <c r="D17313" t="str">
        <v>-</v>
      </c>
      <c r="E17313" t="str">
        <v>-</v>
      </c>
      <c r="F17313" t="str">
        <v>-</v>
      </c>
      <c r="G17313" t="str">
        <v>-</v>
      </c>
    </row>
    <row r="17314">
      <c r="B17314" t="str">
        <v>Công an phường Mỹ Bình  tỉnh Ninh Thuận</v>
      </c>
      <c r="C17314" t="str">
        <v>-</v>
      </c>
      <c r="D17314" t="str">
        <v>-</v>
      </c>
      <c r="E17314" t="str">
        <v/>
      </c>
      <c r="F17314" t="str">
        <v>-</v>
      </c>
      <c r="G17314" t="str">
        <v>-</v>
      </c>
    </row>
    <row r="17315">
      <c r="B17315" t="str">
        <v>UBND Ủy ban nhân dân phường Mỹ Bình  tỉnh Ninh Thuận</v>
      </c>
      <c r="C17315" t="str">
        <v>-</v>
      </c>
      <c r="D17315" t="str">
        <v>-</v>
      </c>
      <c r="E17315" t="str">
        <v>-</v>
      </c>
      <c r="F17315" t="str">
        <v>-</v>
      </c>
      <c r="G17315" t="str">
        <v>-</v>
      </c>
    </row>
    <row r="17316">
      <c r="B17316" t="str">
        <v>Công an phường Mỹ Hải  tỉnh Ninh Thuận</v>
      </c>
      <c r="C17316" t="str">
        <v>-</v>
      </c>
      <c r="D17316" t="str">
        <v>-</v>
      </c>
      <c r="E17316" t="str">
        <v/>
      </c>
      <c r="F17316" t="str">
        <v>-</v>
      </c>
      <c r="G17316" t="str">
        <v>-</v>
      </c>
    </row>
    <row r="17317">
      <c r="B17317" t="str">
        <v>UBND Ủy ban nhân dân phường Mỹ Hải  tỉnh Ninh Thuận</v>
      </c>
      <c r="C17317" t="str">
        <v>-</v>
      </c>
      <c r="D17317" t="str">
        <v>-</v>
      </c>
      <c r="E17317" t="str">
        <v>-</v>
      </c>
      <c r="F17317" t="str">
        <v>-</v>
      </c>
      <c r="G17317" t="str">
        <v>-</v>
      </c>
    </row>
    <row r="17318">
      <c r="B17318" t="str">
        <v>Công an xã Phước Bình  tỉnh Ninh Thuận</v>
      </c>
      <c r="C17318" t="str">
        <v>-</v>
      </c>
      <c r="D17318" t="str">
        <v>-</v>
      </c>
      <c r="E17318" t="str">
        <v/>
      </c>
      <c r="F17318" t="str">
        <v>-</v>
      </c>
      <c r="G17318" t="str">
        <v>-</v>
      </c>
    </row>
    <row r="17319">
      <c r="B17319" t="str">
        <v>UBND Ủy ban nhân dân xã Phước Bình  tỉnh Ninh Thuận</v>
      </c>
      <c r="C17319" t="str">
        <v>-</v>
      </c>
      <c r="D17319" t="str">
        <v>-</v>
      </c>
      <c r="E17319" t="str">
        <v>-</v>
      </c>
      <c r="F17319" t="str">
        <v>-</v>
      </c>
      <c r="G17319" t="str">
        <v>-</v>
      </c>
    </row>
    <row r="17320">
      <c r="B17320" t="str">
        <v>Công an xã Phước Hòa  tỉnh Ninh Thuận</v>
      </c>
      <c r="C17320" t="str">
        <v>-</v>
      </c>
      <c r="D17320" t="str">
        <v>-</v>
      </c>
      <c r="E17320" t="str">
        <v/>
      </c>
      <c r="F17320" t="str">
        <v>-</v>
      </c>
      <c r="G17320" t="str">
        <v>-</v>
      </c>
    </row>
    <row r="17321">
      <c r="B17321" t="str">
        <v>UBND Ủy ban nhân dân xã Phước Hòa  tỉnh Ninh Thuận</v>
      </c>
      <c r="C17321" t="str">
        <v>-</v>
      </c>
      <c r="D17321" t="str">
        <v>-</v>
      </c>
      <c r="E17321" t="str">
        <v>-</v>
      </c>
      <c r="F17321" t="str">
        <v>-</v>
      </c>
      <c r="G17321" t="str">
        <v>-</v>
      </c>
    </row>
    <row r="17322">
      <c r="B17322" t="str">
        <v>Công an xã Phước Tân  tỉnh Ninh Thuận</v>
      </c>
      <c r="C17322" t="str">
        <v>-</v>
      </c>
      <c r="D17322" t="str">
        <v>-</v>
      </c>
      <c r="E17322" t="str">
        <v/>
      </c>
      <c r="F17322" t="str">
        <v>-</v>
      </c>
      <c r="G17322" t="str">
        <v>-</v>
      </c>
    </row>
    <row r="17323">
      <c r="B17323" t="str">
        <v>UBND Ủy ban nhân dân xã Phước Tân  tỉnh Ninh Thuận</v>
      </c>
      <c r="C17323" t="str">
        <v>-</v>
      </c>
      <c r="D17323" t="str">
        <v>-</v>
      </c>
      <c r="E17323" t="str">
        <v>-</v>
      </c>
      <c r="F17323" t="str">
        <v>-</v>
      </c>
      <c r="G17323" t="str">
        <v>-</v>
      </c>
    </row>
    <row r="17324">
      <c r="B17324" t="str">
        <v>Công an xã Phước Tiến  tỉnh Ninh Thuận</v>
      </c>
      <c r="C17324" t="str">
        <v>-</v>
      </c>
      <c r="D17324" t="str">
        <v>-</v>
      </c>
      <c r="E17324" t="str">
        <v/>
      </c>
      <c r="F17324" t="str">
        <v>-</v>
      </c>
      <c r="G17324" t="str">
        <v>-</v>
      </c>
    </row>
    <row r="17325">
      <c r="B17325" t="str">
        <v>UBND Ủy ban nhân dân xã Phước Tiến  tỉnh Ninh Thuận</v>
      </c>
      <c r="C17325" t="str">
        <v>-</v>
      </c>
      <c r="D17325" t="str">
        <v>-</v>
      </c>
      <c r="E17325" t="str">
        <v>-</v>
      </c>
      <c r="F17325" t="str">
        <v>-</v>
      </c>
      <c r="G17325" t="str">
        <v>-</v>
      </c>
    </row>
    <row r="17326">
      <c r="B17326" t="str">
        <v>Công an xã Phước Thắng  tỉnh Ninh Thuận</v>
      </c>
      <c r="C17326" t="str">
        <v>-</v>
      </c>
      <c r="D17326" t="str">
        <v>-</v>
      </c>
      <c r="E17326" t="str">
        <v/>
      </c>
      <c r="F17326" t="str">
        <v>-</v>
      </c>
      <c r="G17326" t="str">
        <v>-</v>
      </c>
    </row>
    <row r="17327">
      <c r="B17327" t="str">
        <v>UBND Ủy ban nhân dân xã Phước Thắng  tỉnh Ninh Thuận</v>
      </c>
      <c r="C17327" t="str">
        <v>-</v>
      </c>
      <c r="D17327" t="str">
        <v>-</v>
      </c>
      <c r="E17327" t="str">
        <v>-</v>
      </c>
      <c r="F17327" t="str">
        <v>-</v>
      </c>
      <c r="G17327" t="str">
        <v>-</v>
      </c>
    </row>
    <row r="17328">
      <c r="B17328" t="str">
        <v>Công an xã Phước Thành  tỉnh Ninh Thuận</v>
      </c>
      <c r="C17328" t="str">
        <v>-</v>
      </c>
      <c r="D17328" t="str">
        <v>-</v>
      </c>
      <c r="E17328" t="str">
        <v/>
      </c>
      <c r="F17328" t="str">
        <v>-</v>
      </c>
      <c r="G17328" t="str">
        <v>-</v>
      </c>
    </row>
    <row r="17329">
      <c r="B17329" t="str">
        <v>UBND Ủy ban nhân dân xã Phước Thành  tỉnh Ninh Thuận</v>
      </c>
      <c r="C17329" t="str">
        <v>-</v>
      </c>
      <c r="D17329" t="str">
        <v>-</v>
      </c>
      <c r="E17329" t="str">
        <v>-</v>
      </c>
      <c r="F17329" t="str">
        <v>-</v>
      </c>
      <c r="G17329" t="str">
        <v>-</v>
      </c>
    </row>
    <row r="17330">
      <c r="B17330" t="str">
        <v>Công an xã Phước Đại  tỉnh Ninh Thuận</v>
      </c>
      <c r="C17330" t="str">
        <v>-</v>
      </c>
      <c r="D17330" t="str">
        <v>-</v>
      </c>
      <c r="E17330" t="str">
        <v/>
      </c>
      <c r="F17330" t="str">
        <v>-</v>
      </c>
      <c r="G17330" t="str">
        <v>-</v>
      </c>
    </row>
    <row r="17331">
      <c r="B17331" t="str">
        <v>UBND Ủy ban nhân dân xã Phước Đại  tỉnh Ninh Thuận</v>
      </c>
      <c r="C17331" t="str">
        <v>-</v>
      </c>
      <c r="D17331" t="str">
        <v>-</v>
      </c>
      <c r="E17331" t="str">
        <v>-</v>
      </c>
      <c r="F17331" t="str">
        <v>-</v>
      </c>
      <c r="G17331" t="str">
        <v>-</v>
      </c>
    </row>
    <row r="17332">
      <c r="B17332" t="str">
        <v>Công an xã Phước Chính  tỉnh Ninh Thuận</v>
      </c>
      <c r="C17332" t="str">
        <v>-</v>
      </c>
      <c r="D17332" t="str">
        <v>-</v>
      </c>
      <c r="E17332" t="str">
        <v/>
      </c>
      <c r="F17332" t="str">
        <v>-</v>
      </c>
      <c r="G17332" t="str">
        <v>-</v>
      </c>
    </row>
    <row r="17333">
      <c r="B17333" t="str">
        <v>UBND Ủy ban nhân dân xã Phước Chính  tỉnh Ninh Thuận</v>
      </c>
      <c r="C17333" t="str">
        <v>-</v>
      </c>
      <c r="D17333" t="str">
        <v>-</v>
      </c>
      <c r="E17333" t="str">
        <v>-</v>
      </c>
      <c r="F17333" t="str">
        <v>-</v>
      </c>
      <c r="G17333" t="str">
        <v>-</v>
      </c>
    </row>
    <row r="17334">
      <c r="B17334" t="str">
        <v>Công an xã Phước Trung  tỉnh Ninh Thuận</v>
      </c>
      <c r="C17334" t="str">
        <v>-</v>
      </c>
      <c r="D17334" t="str">
        <v>-</v>
      </c>
      <c r="E17334" t="str">
        <v/>
      </c>
      <c r="F17334" t="str">
        <v>-</v>
      </c>
      <c r="G17334" t="str">
        <v>-</v>
      </c>
    </row>
    <row r="17335">
      <c r="B17335" t="str">
        <v>UBND Ủy ban nhân dân xã Phước Trung  tỉnh Ninh Thuận</v>
      </c>
      <c r="C17335" t="str">
        <v>-</v>
      </c>
      <c r="D17335" t="str">
        <v>-</v>
      </c>
      <c r="E17335" t="str">
        <v>-</v>
      </c>
      <c r="F17335" t="str">
        <v>-</v>
      </c>
      <c r="G17335" t="str">
        <v>-</v>
      </c>
    </row>
    <row r="17336">
      <c r="B17336" t="str">
        <v>Công an xã Lâm Sơn  tỉnh Ninh Thuận</v>
      </c>
      <c r="C17336" t="str">
        <v>-</v>
      </c>
      <c r="D17336" t="str">
        <v>-</v>
      </c>
      <c r="E17336" t="str">
        <v/>
      </c>
      <c r="F17336" t="str">
        <v>-</v>
      </c>
      <c r="G17336" t="str">
        <v>-</v>
      </c>
    </row>
    <row r="17337">
      <c r="B17337" t="str">
        <v>UBND Ủy ban nhân dân xã Lâm Sơn  tỉnh Ninh Thuận</v>
      </c>
      <c r="C17337" t="str">
        <v>-</v>
      </c>
      <c r="D17337" t="str">
        <v>-</v>
      </c>
      <c r="E17337" t="str">
        <v>-</v>
      </c>
      <c r="F17337" t="str">
        <v>-</v>
      </c>
      <c r="G17337" t="str">
        <v>-</v>
      </c>
    </row>
    <row r="17338">
      <c r="B17338" t="str">
        <v>Công an xã Lương Sơn  tỉnh Ninh Thuận</v>
      </c>
      <c r="C17338" t="str">
        <v>-</v>
      </c>
      <c r="D17338" t="str">
        <v>-</v>
      </c>
      <c r="E17338" t="str">
        <v/>
      </c>
      <c r="F17338" t="str">
        <v>-</v>
      </c>
      <c r="G17338" t="str">
        <v>-</v>
      </c>
    </row>
    <row r="17339">
      <c r="B17339" t="str">
        <v>UBND Ủy ban nhân dân xã Lương Sơn  tỉnh Ninh Thuận</v>
      </c>
      <c r="C17339" t="str">
        <v>-</v>
      </c>
      <c r="D17339" t="str">
        <v>-</v>
      </c>
      <c r="E17339" t="str">
        <v>-</v>
      </c>
      <c r="F17339" t="str">
        <v>-</v>
      </c>
      <c r="G17339" t="str">
        <v>-</v>
      </c>
    </row>
    <row r="17340">
      <c r="B17340" t="str">
        <v>Công an xã Quảng Sơn  tỉnh Ninh Thuận</v>
      </c>
      <c r="C17340" t="str">
        <v>-</v>
      </c>
      <c r="D17340" t="str">
        <v>-</v>
      </c>
      <c r="E17340" t="str">
        <v/>
      </c>
      <c r="F17340" t="str">
        <v>-</v>
      </c>
      <c r="G17340" t="str">
        <v>-</v>
      </c>
    </row>
    <row r="17341">
      <c r="B17341" t="str">
        <v>UBND Ủy ban nhân dân xã Quảng Sơn  tỉnh Ninh Thuận</v>
      </c>
      <c r="C17341" t="str">
        <v>-</v>
      </c>
      <c r="D17341" t="str">
        <v>-</v>
      </c>
      <c r="E17341" t="str">
        <v>-</v>
      </c>
      <c r="F17341" t="str">
        <v>-</v>
      </c>
      <c r="G17341" t="str">
        <v>-</v>
      </c>
    </row>
    <row r="17342">
      <c r="B17342" t="str">
        <v>Công an xã Mỹ Sơn  tỉnh Ninh Thuận</v>
      </c>
      <c r="C17342" t="str">
        <v>-</v>
      </c>
      <c r="D17342" t="str">
        <v>-</v>
      </c>
      <c r="E17342" t="str">
        <v/>
      </c>
      <c r="F17342" t="str">
        <v>-</v>
      </c>
      <c r="G17342" t="str">
        <v>-</v>
      </c>
    </row>
    <row r="17343">
      <c r="B17343" t="str">
        <v>UBND Ủy ban nhân dân xã Mỹ Sơn  tỉnh Ninh Thuận</v>
      </c>
      <c r="C17343" t="str">
        <v>-</v>
      </c>
      <c r="D17343" t="str">
        <v>-</v>
      </c>
      <c r="E17343" t="str">
        <v>-</v>
      </c>
      <c r="F17343" t="str">
        <v>-</v>
      </c>
      <c r="G17343" t="str">
        <v>-</v>
      </c>
    </row>
    <row r="17344">
      <c r="B17344" t="str">
        <v>Công an xã Hòa Sơn  tỉnh Ninh Thuận</v>
      </c>
      <c r="C17344" t="str">
        <v>-</v>
      </c>
      <c r="D17344" t="str">
        <v>-</v>
      </c>
      <c r="E17344" t="str">
        <v/>
      </c>
      <c r="F17344" t="str">
        <v>-</v>
      </c>
      <c r="G17344" t="str">
        <v>-</v>
      </c>
    </row>
    <row r="17345">
      <c r="B17345" t="str">
        <v>UBND Ủy ban nhân dân xã Hòa Sơn  tỉnh Ninh Thuận</v>
      </c>
      <c r="C17345" t="str">
        <v>-</v>
      </c>
      <c r="D17345" t="str">
        <v>-</v>
      </c>
      <c r="E17345" t="str">
        <v>-</v>
      </c>
      <c r="F17345" t="str">
        <v>-</v>
      </c>
      <c r="G17345" t="str">
        <v>-</v>
      </c>
    </row>
    <row r="17346">
      <c r="B17346" t="str">
        <v>Công an xã Ma Nới  tỉnh Ninh Thuận</v>
      </c>
      <c r="C17346" t="str">
        <v>-</v>
      </c>
      <c r="D17346" t="str">
        <v>-</v>
      </c>
      <c r="E17346" t="str">
        <v/>
      </c>
      <c r="F17346" t="str">
        <v>-</v>
      </c>
      <c r="G17346" t="str">
        <v>-</v>
      </c>
    </row>
    <row r="17347">
      <c r="B17347" t="str">
        <v>UBND Ủy ban nhân dân xã Ma Nới  tỉnh Ninh Thuận</v>
      </c>
      <c r="C17347" t="str">
        <v>-</v>
      </c>
      <c r="D17347" t="str">
        <v>-</v>
      </c>
      <c r="E17347" t="str">
        <v>-</v>
      </c>
      <c r="F17347" t="str">
        <v>-</v>
      </c>
      <c r="G17347" t="str">
        <v>-</v>
      </c>
    </row>
    <row r="17348">
      <c r="B17348" t="str">
        <v>Công an xã Nhơn Sơn  tỉnh Ninh Thuận</v>
      </c>
      <c r="C17348" t="str">
        <v>-</v>
      </c>
      <c r="D17348" t="str">
        <v>-</v>
      </c>
      <c r="E17348" t="str">
        <v/>
      </c>
      <c r="F17348" t="str">
        <v>-</v>
      </c>
      <c r="G17348" t="str">
        <v>-</v>
      </c>
    </row>
    <row r="17349">
      <c r="B17349" t="str">
        <v>UBND Ủy ban nhân dân xã Nhơn Sơn  tỉnh Ninh Thuận</v>
      </c>
      <c r="C17349" t="str">
        <v>-</v>
      </c>
      <c r="D17349" t="str">
        <v>-</v>
      </c>
      <c r="E17349" t="str">
        <v>-</v>
      </c>
      <c r="F17349" t="str">
        <v>-</v>
      </c>
      <c r="G17349" t="str">
        <v>-</v>
      </c>
    </row>
    <row r="17350">
      <c r="B17350" t="str">
        <v>Công an xã Vĩnh Hải  tỉnh Ninh Thuận</v>
      </c>
      <c r="C17350" t="str">
        <v>-</v>
      </c>
      <c r="D17350" t="str">
        <v>-</v>
      </c>
      <c r="E17350" t="str">
        <v/>
      </c>
      <c r="F17350" t="str">
        <v>-</v>
      </c>
      <c r="G17350" t="str">
        <v>-</v>
      </c>
    </row>
    <row r="17351">
      <c r="B17351" t="str">
        <v>UBND Ủy ban nhân dân xã Vĩnh Hải  tỉnh Ninh Thuận</v>
      </c>
      <c r="C17351" t="str">
        <v>-</v>
      </c>
      <c r="D17351" t="str">
        <v>-</v>
      </c>
      <c r="E17351" t="str">
        <v>-</v>
      </c>
      <c r="F17351" t="str">
        <v>-</v>
      </c>
      <c r="G17351" t="str">
        <v>-</v>
      </c>
    </row>
    <row r="17352">
      <c r="B17352" t="str">
        <v>Công an xã Phương Hải  tỉnh Ninh Thuận</v>
      </c>
      <c r="C17352" t="str">
        <v>-</v>
      </c>
      <c r="D17352" t="str">
        <v>-</v>
      </c>
      <c r="E17352" t="str">
        <v/>
      </c>
      <c r="F17352" t="str">
        <v>-</v>
      </c>
      <c r="G17352" t="str">
        <v>-</v>
      </c>
    </row>
    <row r="17353">
      <c r="B17353" t="str">
        <v>UBND Ủy ban nhân dân xã Phương Hải  tỉnh Ninh Thuận</v>
      </c>
      <c r="C17353" t="str">
        <v>-</v>
      </c>
      <c r="D17353" t="str">
        <v>-</v>
      </c>
      <c r="E17353" t="str">
        <v>-</v>
      </c>
      <c r="F17353" t="str">
        <v>-</v>
      </c>
      <c r="G17353" t="str">
        <v>-</v>
      </c>
    </row>
    <row r="17354">
      <c r="B17354" t="str">
        <v>Công an xã Tân Hải  tỉnh Ninh Thuận</v>
      </c>
      <c r="C17354" t="str">
        <v>-</v>
      </c>
      <c r="D17354" t="str">
        <v>-</v>
      </c>
      <c r="E17354" t="str">
        <v/>
      </c>
      <c r="F17354" t="str">
        <v>-</v>
      </c>
      <c r="G17354" t="str">
        <v>-</v>
      </c>
    </row>
    <row r="17355">
      <c r="B17355" t="str">
        <v>UBND Ủy ban nhân dân xã Tân Hải  tỉnh Ninh Thuận</v>
      </c>
      <c r="C17355" t="str">
        <v>-</v>
      </c>
      <c r="D17355" t="str">
        <v>-</v>
      </c>
      <c r="E17355" t="str">
        <v>-</v>
      </c>
      <c r="F17355" t="str">
        <v>-</v>
      </c>
      <c r="G17355" t="str">
        <v>-</v>
      </c>
    </row>
    <row r="17356">
      <c r="B17356" t="str">
        <v>Công an xã Xuân Hải  tỉnh Ninh Thuận</v>
      </c>
      <c r="C17356" t="str">
        <v>-</v>
      </c>
      <c r="D17356" t="str">
        <v>-</v>
      </c>
      <c r="E17356" t="str">
        <v/>
      </c>
      <c r="F17356" t="str">
        <v>-</v>
      </c>
      <c r="G17356" t="str">
        <v>-</v>
      </c>
    </row>
    <row r="17357">
      <c r="B17357" t="str">
        <v>UBND Ủy ban nhân dân xã Xuân Hải  tỉnh Ninh Thuận</v>
      </c>
      <c r="C17357" t="str">
        <v>-</v>
      </c>
      <c r="D17357" t="str">
        <v>-</v>
      </c>
      <c r="E17357" t="str">
        <v>-</v>
      </c>
      <c r="F17357" t="str">
        <v>-</v>
      </c>
      <c r="G17357" t="str">
        <v>-</v>
      </c>
    </row>
    <row r="17358">
      <c r="B17358" t="str">
        <v>Công an xã Hộ Hải  tỉnh Ninh Thuận</v>
      </c>
      <c r="C17358" t="str">
        <v>-</v>
      </c>
      <c r="D17358" t="str">
        <v>-</v>
      </c>
      <c r="E17358" t="str">
        <v/>
      </c>
      <c r="F17358" t="str">
        <v>-</v>
      </c>
      <c r="G17358" t="str">
        <v>-</v>
      </c>
    </row>
    <row r="17359">
      <c r="B17359" t="str">
        <v>UBND Ủy ban nhân dân xã Hộ Hải  tỉnh Ninh Thuận</v>
      </c>
      <c r="C17359" t="str">
        <v>-</v>
      </c>
      <c r="D17359" t="str">
        <v>-</v>
      </c>
      <c r="E17359" t="str">
        <v>-</v>
      </c>
      <c r="F17359" t="str">
        <v>-</v>
      </c>
      <c r="G17359" t="str">
        <v>-</v>
      </c>
    </row>
    <row r="17360">
      <c r="B17360" t="str">
        <v>Công an xã Tri Hải  tỉnh Ninh Thuận</v>
      </c>
      <c r="C17360" t="str">
        <v>-</v>
      </c>
      <c r="D17360" t="str">
        <v>-</v>
      </c>
      <c r="E17360" t="str">
        <v/>
      </c>
      <c r="F17360" t="str">
        <v>-</v>
      </c>
      <c r="G17360" t="str">
        <v>-</v>
      </c>
    </row>
    <row r="17361">
      <c r="B17361" t="str">
        <v>UBND Ủy ban nhân dân xã Tri Hải  tỉnh Ninh Thuận</v>
      </c>
      <c r="C17361" t="str">
        <v>-</v>
      </c>
      <c r="D17361" t="str">
        <v>-</v>
      </c>
      <c r="E17361" t="str">
        <v>-</v>
      </c>
      <c r="F17361" t="str">
        <v>-</v>
      </c>
      <c r="G17361" t="str">
        <v>-</v>
      </c>
    </row>
    <row r="17362">
      <c r="B17362" t="str">
        <v>Công an xã Nhơn Hải  tỉnh Ninh Thuận</v>
      </c>
      <c r="C17362" t="str">
        <v>-</v>
      </c>
      <c r="D17362" t="str">
        <v>-</v>
      </c>
      <c r="E17362" t="str">
        <v/>
      </c>
      <c r="F17362" t="str">
        <v>-</v>
      </c>
      <c r="G17362" t="str">
        <v>-</v>
      </c>
    </row>
    <row r="17363">
      <c r="B17363" t="str">
        <v>UBND Ủy ban nhân dân xã Nhơn Hải  tỉnh Ninh Thuận</v>
      </c>
      <c r="C17363" t="str">
        <v>-</v>
      </c>
      <c r="D17363" t="str">
        <v>-</v>
      </c>
      <c r="E17363" t="str">
        <v>-</v>
      </c>
      <c r="F17363" t="str">
        <v>-</v>
      </c>
      <c r="G17363" t="str">
        <v>-</v>
      </c>
    </row>
    <row r="17364">
      <c r="B17364" t="str">
        <v>Công an xã Thanh Hải  tỉnh Ninh Thuận</v>
      </c>
      <c r="C17364" t="str">
        <v>-</v>
      </c>
      <c r="D17364" t="str">
        <v>-</v>
      </c>
      <c r="E17364" t="str">
        <v/>
      </c>
      <c r="F17364" t="str">
        <v>-</v>
      </c>
      <c r="G17364" t="str">
        <v>-</v>
      </c>
    </row>
    <row r="17365">
      <c r="B17365" t="str">
        <v>UBND Ủy ban nhân dân xã Thanh Hải  tỉnh Ninh Thuận</v>
      </c>
      <c r="C17365" t="str">
        <v>-</v>
      </c>
      <c r="D17365" t="str">
        <v>-</v>
      </c>
      <c r="E17365" t="str">
        <v>-</v>
      </c>
      <c r="F17365" t="str">
        <v>-</v>
      </c>
      <c r="G17365" t="str">
        <v>-</v>
      </c>
    </row>
    <row r="17366">
      <c r="B17366" t="str">
        <v>Công an xã Phước Sơn  tỉnh Ninh Thuận</v>
      </c>
      <c r="C17366" t="str">
        <v>-</v>
      </c>
      <c r="D17366" t="str">
        <v>-</v>
      </c>
      <c r="E17366" t="str">
        <v/>
      </c>
      <c r="F17366" t="str">
        <v>-</v>
      </c>
      <c r="G17366" t="str">
        <v>-</v>
      </c>
    </row>
    <row r="17367">
      <c r="B17367" t="str">
        <v>UBND Ủy ban nhân dân xã Phước Sơn  tỉnh Ninh Thuận</v>
      </c>
      <c r="C17367" t="str">
        <v>-</v>
      </c>
      <c r="D17367" t="str">
        <v>-</v>
      </c>
      <c r="E17367" t="str">
        <v>-</v>
      </c>
      <c r="F17367" t="str">
        <v>-</v>
      </c>
      <c r="G17367" t="str">
        <v>-</v>
      </c>
    </row>
    <row r="17368">
      <c r="B17368" t="str">
        <v>Công an xã Phước Thái  tỉnh Ninh Thuận</v>
      </c>
      <c r="C17368" t="str">
        <v>-</v>
      </c>
      <c r="D17368" t="str">
        <v>-</v>
      </c>
      <c r="E17368" t="str">
        <v/>
      </c>
      <c r="F17368" t="str">
        <v>-</v>
      </c>
      <c r="G17368" t="str">
        <v>-</v>
      </c>
    </row>
    <row r="17369">
      <c r="B17369" t="str">
        <v>UBND Ủy ban nhân dân xã Phước Thái  tỉnh Ninh Thuận</v>
      </c>
      <c r="C17369" t="str">
        <v>-</v>
      </c>
      <c r="D17369" t="str">
        <v>-</v>
      </c>
      <c r="E17369" t="str">
        <v>-</v>
      </c>
      <c r="F17369" t="str">
        <v>-</v>
      </c>
      <c r="G17369" t="str">
        <v>-</v>
      </c>
    </row>
    <row r="17370">
      <c r="B17370" t="str">
        <v>Công an xã Phước Hậu  tỉnh Ninh Thuận</v>
      </c>
      <c r="C17370" t="str">
        <v>-</v>
      </c>
      <c r="D17370" t="str">
        <v>-</v>
      </c>
      <c r="E17370" t="str">
        <v/>
      </c>
      <c r="F17370" t="str">
        <v>-</v>
      </c>
      <c r="G17370" t="str">
        <v>-</v>
      </c>
    </row>
    <row r="17371">
      <c r="B17371" t="str">
        <v>UBND Ủy ban nhân dân xã Phước Hậu  tỉnh Ninh Thuận</v>
      </c>
      <c r="C17371" t="str">
        <v>-</v>
      </c>
      <c r="D17371" t="str">
        <v>-</v>
      </c>
      <c r="E17371" t="str">
        <v>-</v>
      </c>
      <c r="F17371" t="str">
        <v>-</v>
      </c>
      <c r="G17371" t="str">
        <v>-</v>
      </c>
    </row>
    <row r="17372">
      <c r="B17372" t="str">
        <v>Công an xã Phước Thuận  tỉnh Ninh Thuận</v>
      </c>
      <c r="C17372" t="str">
        <v>-</v>
      </c>
      <c r="D17372" t="str">
        <v>-</v>
      </c>
      <c r="E17372" t="str">
        <v/>
      </c>
      <c r="F17372" t="str">
        <v>-</v>
      </c>
      <c r="G17372" t="str">
        <v>-</v>
      </c>
    </row>
    <row r="17373">
      <c r="B17373" t="str">
        <v>UBND Ủy ban nhân dân xã Phước Thuận  tỉnh Ninh Thuận</v>
      </c>
      <c r="C17373" t="str">
        <v>-</v>
      </c>
      <c r="D17373" t="str">
        <v>-</v>
      </c>
      <c r="E17373" t="str">
        <v>-</v>
      </c>
      <c r="F17373" t="str">
        <v>-</v>
      </c>
      <c r="G17373" t="str">
        <v>-</v>
      </c>
    </row>
    <row r="17374">
      <c r="B17374" t="str">
        <v>Công an xã An Hải  tỉnh Ninh Thuận</v>
      </c>
      <c r="C17374" t="str">
        <v>-</v>
      </c>
      <c r="D17374" t="str">
        <v>-</v>
      </c>
      <c r="E17374" t="str">
        <v/>
      </c>
      <c r="F17374" t="str">
        <v>-</v>
      </c>
      <c r="G17374" t="str">
        <v>-</v>
      </c>
    </row>
    <row r="17375">
      <c r="B17375" t="str">
        <v>UBND Ủy ban nhân dân xã An Hải  tỉnh Ninh Thuận</v>
      </c>
      <c r="C17375" t="str">
        <v>-</v>
      </c>
      <c r="D17375" t="str">
        <v>-</v>
      </c>
      <c r="E17375" t="str">
        <v>-</v>
      </c>
      <c r="F17375" t="str">
        <v>-</v>
      </c>
      <c r="G17375" t="str">
        <v>-</v>
      </c>
    </row>
    <row r="17376">
      <c r="B17376" t="str">
        <v>Công an xã Phước Hữu  tỉnh Ninh Thuận</v>
      </c>
      <c r="C17376" t="str">
        <v>-</v>
      </c>
      <c r="D17376" t="str">
        <v>-</v>
      </c>
      <c r="E17376" t="str">
        <v/>
      </c>
      <c r="F17376" t="str">
        <v>-</v>
      </c>
      <c r="G17376" t="str">
        <v>-</v>
      </c>
    </row>
    <row r="17377">
      <c r="B17377" t="str">
        <v>UBND Ủy ban nhân dân xã Phước Hữu  tỉnh Ninh Thuận</v>
      </c>
      <c r="C17377" t="str">
        <v>-</v>
      </c>
      <c r="D17377" t="str">
        <v>-</v>
      </c>
      <c r="E17377" t="str">
        <v>-</v>
      </c>
      <c r="F17377" t="str">
        <v>-</v>
      </c>
      <c r="G17377" t="str">
        <v>-</v>
      </c>
    </row>
    <row r="17378">
      <c r="B17378" t="str">
        <v>Công an xã Phước Hải  tỉnh Ninh Thuận</v>
      </c>
      <c r="C17378" t="str">
        <v>-</v>
      </c>
      <c r="D17378" t="str">
        <v>-</v>
      </c>
      <c r="E17378" t="str">
        <v/>
      </c>
      <c r="F17378" t="str">
        <v>-</v>
      </c>
      <c r="G17378" t="str">
        <v>-</v>
      </c>
    </row>
    <row r="17379">
      <c r="B17379" t="str">
        <v>UBND Ủy ban nhân dân xã Phước Hải  tỉnh Ninh Thuận</v>
      </c>
      <c r="C17379" t="str">
        <v>-</v>
      </c>
      <c r="D17379" t="str">
        <v>-</v>
      </c>
      <c r="E17379" t="str">
        <v>-</v>
      </c>
      <c r="F17379" t="str">
        <v>-</v>
      </c>
      <c r="G17379" t="str">
        <v>-</v>
      </c>
    </row>
    <row r="17380">
      <c r="B17380" t="str">
        <v>Công an xã Phước Vinh  tỉnh Ninh Thuận</v>
      </c>
      <c r="C17380" t="str">
        <v>-</v>
      </c>
      <c r="D17380" t="str">
        <v>-</v>
      </c>
      <c r="E17380" t="str">
        <v/>
      </c>
      <c r="F17380" t="str">
        <v>-</v>
      </c>
      <c r="G17380" t="str">
        <v>-</v>
      </c>
    </row>
    <row r="17381">
      <c r="B17381" t="str">
        <v>UBND Ủy ban nhân dân xã Phước Vinh  tỉnh Ninh Thuận</v>
      </c>
      <c r="C17381" t="str">
        <v>-</v>
      </c>
      <c r="D17381" t="str">
        <v>-</v>
      </c>
      <c r="E17381" t="str">
        <v>-</v>
      </c>
      <c r="F17381" t="str">
        <v>-</v>
      </c>
      <c r="G17381" t="str">
        <v>-</v>
      </c>
    </row>
    <row r="17382">
      <c r="B17382" t="str">
        <v>Công an xã Phước Chiến  tỉnh Ninh Thuận</v>
      </c>
      <c r="C17382" t="str">
        <v>-</v>
      </c>
      <c r="D17382" t="str">
        <v>-</v>
      </c>
      <c r="E17382" t="str">
        <v/>
      </c>
      <c r="F17382" t="str">
        <v>-</v>
      </c>
      <c r="G17382" t="str">
        <v>-</v>
      </c>
    </row>
    <row r="17383">
      <c r="B17383" t="str">
        <v>UBND Ủy ban nhân dân xã Phước Chiến  tỉnh Ninh Thuận</v>
      </c>
      <c r="C17383" t="str">
        <v>-</v>
      </c>
      <c r="D17383" t="str">
        <v>-</v>
      </c>
      <c r="E17383" t="str">
        <v>-</v>
      </c>
      <c r="F17383" t="str">
        <v>-</v>
      </c>
      <c r="G17383" t="str">
        <v>-</v>
      </c>
    </row>
    <row r="17384">
      <c r="B17384" t="str">
        <v>Công an xã Công Hải  tỉnh Ninh Thuận</v>
      </c>
      <c r="C17384" t="str">
        <v>-</v>
      </c>
      <c r="D17384" t="str">
        <v>-</v>
      </c>
      <c r="E17384" t="str">
        <v/>
      </c>
      <c r="F17384" t="str">
        <v>-</v>
      </c>
      <c r="G17384" t="str">
        <v>-</v>
      </c>
    </row>
    <row r="17385">
      <c r="B17385" t="str">
        <v>UBND Ủy ban nhân dân xã Công Hải  tỉnh Ninh Thuận</v>
      </c>
      <c r="C17385" t="str">
        <v>-</v>
      </c>
      <c r="D17385" t="str">
        <v>-</v>
      </c>
      <c r="E17385" t="str">
        <v>-</v>
      </c>
      <c r="F17385" t="str">
        <v>-</v>
      </c>
      <c r="G17385" t="str">
        <v>-</v>
      </c>
    </row>
    <row r="17386">
      <c r="B17386" t="str">
        <v>Công an xã Phước Kháng  tỉnh Ninh Thuận</v>
      </c>
      <c r="C17386" t="str">
        <v>-</v>
      </c>
      <c r="D17386" t="str">
        <v>-</v>
      </c>
      <c r="E17386" t="str">
        <v/>
      </c>
      <c r="F17386" t="str">
        <v>-</v>
      </c>
      <c r="G17386" t="str">
        <v>-</v>
      </c>
    </row>
    <row r="17387">
      <c r="B17387" t="str">
        <v>UBND Ủy ban nhân dân xã Phước Kháng  tỉnh Ninh Thuận</v>
      </c>
      <c r="C17387" t="str">
        <v>-</v>
      </c>
      <c r="D17387" t="str">
        <v>-</v>
      </c>
      <c r="E17387" t="str">
        <v>-</v>
      </c>
      <c r="F17387" t="str">
        <v>-</v>
      </c>
      <c r="G17387" t="str">
        <v>-</v>
      </c>
    </row>
    <row r="17388">
      <c r="B17388" t="str">
        <v>Công an xã Lợi Hải  tỉnh Ninh Thuận</v>
      </c>
      <c r="C17388" t="str">
        <v>-</v>
      </c>
      <c r="D17388" t="str">
        <v>-</v>
      </c>
      <c r="E17388" t="str">
        <v/>
      </c>
      <c r="F17388" t="str">
        <v>-</v>
      </c>
      <c r="G17388" t="str">
        <v>-</v>
      </c>
    </row>
    <row r="17389">
      <c r="B17389" t="str">
        <v>UBND Ủy ban nhân dân xã Lợi Hải  tỉnh Ninh Thuận</v>
      </c>
      <c r="C17389" t="str">
        <v>-</v>
      </c>
      <c r="D17389" t="str">
        <v>-</v>
      </c>
      <c r="E17389" t="str">
        <v>-</v>
      </c>
      <c r="F17389" t="str">
        <v>-</v>
      </c>
      <c r="G17389" t="str">
        <v>-</v>
      </c>
    </row>
    <row r="17390">
      <c r="B17390" t="str">
        <v>Công an xã Bắc Sơn  tỉnh Ninh Thuận</v>
      </c>
      <c r="C17390" t="str">
        <v>-</v>
      </c>
      <c r="D17390" t="str">
        <v>-</v>
      </c>
      <c r="E17390" t="str">
        <v/>
      </c>
      <c r="F17390" t="str">
        <v>-</v>
      </c>
      <c r="G17390" t="str">
        <v>-</v>
      </c>
    </row>
    <row r="17391">
      <c r="B17391" t="str">
        <v>UBND Ủy ban nhân dân xã Bắc Sơn  tỉnh Ninh Thuận</v>
      </c>
      <c r="C17391" t="str">
        <v>-</v>
      </c>
      <c r="D17391" t="str">
        <v>-</v>
      </c>
      <c r="E17391" t="str">
        <v>-</v>
      </c>
      <c r="F17391" t="str">
        <v>-</v>
      </c>
      <c r="G17391" t="str">
        <v>-</v>
      </c>
    </row>
    <row r="17392">
      <c r="B17392" t="str">
        <v>Công an xã Bắc Phong  tỉnh Ninh Thuận</v>
      </c>
      <c r="C17392" t="str">
        <v>-</v>
      </c>
      <c r="D17392" t="str">
        <v>-</v>
      </c>
      <c r="E17392" t="str">
        <v/>
      </c>
      <c r="F17392" t="str">
        <v>-</v>
      </c>
      <c r="G17392" t="str">
        <v>-</v>
      </c>
    </row>
    <row r="17393">
      <c r="B17393" t="str">
        <v>UBND Ủy ban nhân dân xã Bắc Phong  tỉnh Ninh Thuận</v>
      </c>
      <c r="C17393" t="str">
        <v>-</v>
      </c>
      <c r="D17393" t="str">
        <v>-</v>
      </c>
      <c r="E17393" t="str">
        <v>-</v>
      </c>
      <c r="F17393" t="str">
        <v>-</v>
      </c>
      <c r="G17393" t="str">
        <v>-</v>
      </c>
    </row>
    <row r="17394">
      <c r="B17394" t="str">
        <v>Công an xã Phước Hà  tỉnh Ninh Thuận</v>
      </c>
      <c r="C17394" t="str">
        <v>-</v>
      </c>
      <c r="D17394" t="str">
        <v>-</v>
      </c>
      <c r="E17394" t="str">
        <v/>
      </c>
      <c r="F17394" t="str">
        <v>-</v>
      </c>
      <c r="G17394" t="str">
        <v>-</v>
      </c>
    </row>
    <row r="17395">
      <c r="B17395" t="str">
        <v>UBND Ủy ban nhân dân xã Phước Hà  tỉnh Ninh Thuận</v>
      </c>
      <c r="C17395" t="str">
        <v>-</v>
      </c>
      <c r="D17395" t="str">
        <v>-</v>
      </c>
      <c r="E17395" t="str">
        <v>-</v>
      </c>
      <c r="F17395" t="str">
        <v>-</v>
      </c>
      <c r="G17395" t="str">
        <v>-</v>
      </c>
    </row>
    <row r="17396">
      <c r="B17396" t="str">
        <v>Công an xã Phước Nam  tỉnh Ninh Thuận</v>
      </c>
      <c r="C17396" t="str">
        <v>-</v>
      </c>
      <c r="D17396" t="str">
        <v>-</v>
      </c>
      <c r="E17396" t="str">
        <v/>
      </c>
      <c r="F17396" t="str">
        <v>-</v>
      </c>
      <c r="G17396" t="str">
        <v>-</v>
      </c>
    </row>
    <row r="17397">
      <c r="B17397" t="str">
        <v>UBND Ủy ban nhân dân xã Phước Nam  tỉnh Ninh Thuận</v>
      </c>
      <c r="C17397" t="str">
        <v>-</v>
      </c>
      <c r="D17397" t="str">
        <v>-</v>
      </c>
      <c r="E17397" t="str">
        <v>-</v>
      </c>
      <c r="F17397" t="str">
        <v>-</v>
      </c>
      <c r="G17397" t="str">
        <v>-</v>
      </c>
    </row>
    <row r="17398">
      <c r="B17398" t="str">
        <v>Công an xã Phước Ninh  tỉnh Ninh Thuận</v>
      </c>
      <c r="C17398" t="str">
        <v>-</v>
      </c>
      <c r="D17398" t="str">
        <v>-</v>
      </c>
      <c r="E17398" t="str">
        <v/>
      </c>
      <c r="F17398" t="str">
        <v>-</v>
      </c>
      <c r="G17398" t="str">
        <v>-</v>
      </c>
    </row>
    <row r="17399">
      <c r="B17399" t="str">
        <v>UBND Ủy ban nhân dân xã Phước Ninh  tỉnh Ninh Thuận</v>
      </c>
      <c r="C17399" t="str">
        <v>-</v>
      </c>
      <c r="D17399" t="str">
        <v>-</v>
      </c>
      <c r="E17399" t="str">
        <v>-</v>
      </c>
      <c r="F17399" t="str">
        <v>-</v>
      </c>
      <c r="G17399" t="str">
        <v>-</v>
      </c>
    </row>
    <row r="17400">
      <c r="B17400" t="str">
        <v>Công an xã Nhị Hà  tỉnh Ninh Thuận</v>
      </c>
      <c r="C17400" t="str">
        <v>-</v>
      </c>
      <c r="D17400" t="str">
        <v>-</v>
      </c>
      <c r="E17400" t="str">
        <v/>
      </c>
      <c r="F17400" t="str">
        <v>-</v>
      </c>
      <c r="G17400" t="str">
        <v>-</v>
      </c>
    </row>
    <row r="17401">
      <c r="B17401" t="str">
        <v>UBND Ủy ban nhân dân xã Nhị Hà  tỉnh Ninh Thuận</v>
      </c>
      <c r="C17401" t="str">
        <v>-</v>
      </c>
      <c r="D17401" t="str">
        <v>-</v>
      </c>
      <c r="E17401" t="str">
        <v>-</v>
      </c>
      <c r="F17401" t="str">
        <v>-</v>
      </c>
      <c r="G17401" t="str">
        <v>-</v>
      </c>
    </row>
    <row r="17402">
      <c r="B17402" t="str">
        <v>Công an xã Phước Dinh  tỉnh Ninh Thuận</v>
      </c>
      <c r="C17402" t="str">
        <v>-</v>
      </c>
      <c r="D17402" t="str">
        <v>-</v>
      </c>
      <c r="E17402" t="str">
        <v/>
      </c>
      <c r="F17402" t="str">
        <v>-</v>
      </c>
      <c r="G17402" t="str">
        <v>-</v>
      </c>
    </row>
    <row r="17403">
      <c r="B17403" t="str">
        <v>UBND Ủy ban nhân dân xã Phước Dinh  tỉnh Ninh Thuận</v>
      </c>
      <c r="C17403" t="str">
        <v>-</v>
      </c>
      <c r="D17403" t="str">
        <v>-</v>
      </c>
      <c r="E17403" t="str">
        <v>-</v>
      </c>
      <c r="F17403" t="str">
        <v>-</v>
      </c>
      <c r="G17403" t="str">
        <v>-</v>
      </c>
    </row>
    <row r="17404">
      <c r="B17404" t="str">
        <v>Công an xã Phước Minh  tỉnh Ninh Thuận</v>
      </c>
      <c r="C17404" t="str">
        <v>-</v>
      </c>
      <c r="D17404" t="str">
        <v>-</v>
      </c>
      <c r="E17404" t="str">
        <v/>
      </c>
      <c r="F17404" t="str">
        <v>-</v>
      </c>
      <c r="G17404" t="str">
        <v>-</v>
      </c>
    </row>
    <row r="17405">
      <c r="B17405" t="str">
        <v>UBND Ủy ban nhân dân xã Phước Minh  tỉnh Ninh Thuận</v>
      </c>
      <c r="C17405" t="str">
        <v>-</v>
      </c>
      <c r="D17405" t="str">
        <v>-</v>
      </c>
      <c r="E17405" t="str">
        <v>-</v>
      </c>
      <c r="F17405" t="str">
        <v>-</v>
      </c>
      <c r="G17405" t="str">
        <v>-</v>
      </c>
    </row>
    <row r="17406">
      <c r="B17406" t="str">
        <v>Công an xã Phước Diêm  tỉnh Ninh Thuận</v>
      </c>
      <c r="C17406" t="str">
        <v>-</v>
      </c>
      <c r="D17406" t="str">
        <v>-</v>
      </c>
      <c r="E17406" t="str">
        <v/>
      </c>
      <c r="F17406" t="str">
        <v>-</v>
      </c>
      <c r="G17406" t="str">
        <v>-</v>
      </c>
    </row>
    <row r="17407">
      <c r="B17407" t="str">
        <v>UBND Ủy ban nhân dân xã Phước Diêm  tỉnh Ninh Thuận</v>
      </c>
      <c r="C17407" t="str">
        <v>-</v>
      </c>
      <c r="D17407" t="str">
        <v>-</v>
      </c>
      <c r="E17407" t="str">
        <v>-</v>
      </c>
      <c r="F17407" t="str">
        <v>-</v>
      </c>
      <c r="G17407" t="str">
        <v>-</v>
      </c>
    </row>
    <row r="17408">
      <c r="B17408" t="str">
        <v>Công an xã Cà Ná  tỉnh Ninh Thuận</v>
      </c>
      <c r="C17408" t="str">
        <v>-</v>
      </c>
      <c r="D17408" t="str">
        <v>-</v>
      </c>
      <c r="E17408" t="str">
        <v/>
      </c>
      <c r="F17408" t="str">
        <v>-</v>
      </c>
      <c r="G17408" t="str">
        <v>-</v>
      </c>
    </row>
    <row r="17409">
      <c r="B17409" t="str">
        <v>UBND Ủy ban nhân dân xã Cà Ná  tỉnh Ninh Thuận</v>
      </c>
      <c r="C17409" t="str">
        <v>-</v>
      </c>
      <c r="D17409" t="str">
        <v>-</v>
      </c>
      <c r="E17409" t="str">
        <v>-</v>
      </c>
      <c r="F17409" t="str">
        <v>-</v>
      </c>
      <c r="G17409" t="str">
        <v>-</v>
      </c>
    </row>
    <row r="17410">
      <c r="B17410" t="str">
        <v>Công an phường Mũi Né  tỉnh Bình Thuận</v>
      </c>
      <c r="C17410" t="str">
        <v>-</v>
      </c>
      <c r="D17410" t="str">
        <v>-</v>
      </c>
      <c r="E17410" t="str">
        <v/>
      </c>
      <c r="F17410" t="str">
        <v>-</v>
      </c>
      <c r="G17410" t="str">
        <v>-</v>
      </c>
    </row>
    <row r="17411">
      <c r="B17411" t="str">
        <v>UBND Ủy ban nhân dân phường Mũi Né  tỉnh Bình Thuận</v>
      </c>
      <c r="C17411" t="str">
        <v>-</v>
      </c>
      <c r="D17411" t="str">
        <v>-</v>
      </c>
      <c r="E17411" t="str">
        <v>-</v>
      </c>
      <c r="F17411" t="str">
        <v>-</v>
      </c>
      <c r="G17411" t="str">
        <v>-</v>
      </c>
    </row>
    <row r="17412">
      <c r="B17412" t="str">
        <v>Công an phường Hàm Tiến  tỉnh Bình Thuận</v>
      </c>
      <c r="C17412" t="str">
        <v>-</v>
      </c>
      <c r="D17412" t="str">
        <v>-</v>
      </c>
      <c r="E17412" t="str">
        <v/>
      </c>
      <c r="F17412" t="str">
        <v>-</v>
      </c>
      <c r="G17412" t="str">
        <v>-</v>
      </c>
    </row>
    <row r="17413">
      <c r="B17413" t="str">
        <v>UBND Ủy ban nhân dân phường Hàm Tiến  tỉnh Bình Thuận</v>
      </c>
      <c r="C17413" t="str">
        <v>-</v>
      </c>
      <c r="D17413" t="str">
        <v>-</v>
      </c>
      <c r="E17413" t="str">
        <v>-</v>
      </c>
      <c r="F17413" t="str">
        <v>-</v>
      </c>
      <c r="G17413" t="str">
        <v>-</v>
      </c>
    </row>
    <row r="17414">
      <c r="B17414" t="str">
        <v>Công an phường Phú Hài  tỉnh Bình Thuận</v>
      </c>
      <c r="C17414" t="str">
        <v>-</v>
      </c>
      <c r="D17414" t="str">
        <v>-</v>
      </c>
      <c r="E17414" t="str">
        <v/>
      </c>
      <c r="F17414" t="str">
        <v>-</v>
      </c>
      <c r="G17414" t="str">
        <v>-</v>
      </c>
    </row>
    <row r="17415">
      <c r="B17415" t="str">
        <v>UBND Ủy ban nhân dân phường Phú Hài  tỉnh Bình Thuận</v>
      </c>
      <c r="C17415" t="str">
        <v>-</v>
      </c>
      <c r="D17415" t="str">
        <v>-</v>
      </c>
      <c r="E17415" t="str">
        <v>-</v>
      </c>
      <c r="F17415" t="str">
        <v>-</v>
      </c>
      <c r="G17415" t="str">
        <v>-</v>
      </c>
    </row>
    <row r="17416">
      <c r="B17416" t="str">
        <v>Công an phường Phú Thủy  tỉnh Bình Thuận</v>
      </c>
      <c r="C17416" t="str">
        <v>-</v>
      </c>
      <c r="D17416" t="str">
        <v>-</v>
      </c>
      <c r="E17416" t="str">
        <v/>
      </c>
      <c r="F17416" t="str">
        <v>-</v>
      </c>
      <c r="G17416" t="str">
        <v>-</v>
      </c>
    </row>
    <row r="17417">
      <c r="B17417" t="str">
        <v>UBND Ủy ban nhân dân phường Phú Thủy  tỉnh Bình Thuận</v>
      </c>
      <c r="C17417" t="str">
        <v>-</v>
      </c>
      <c r="D17417" t="str">
        <v>-</v>
      </c>
      <c r="E17417" t="str">
        <v>-</v>
      </c>
      <c r="F17417" t="str">
        <v>-</v>
      </c>
      <c r="G17417" t="str">
        <v>-</v>
      </c>
    </row>
    <row r="17418">
      <c r="B17418" t="str">
        <v>Công an phường Phú Tài  tỉnh Bình Thuận</v>
      </c>
      <c r="C17418" t="str">
        <v>-</v>
      </c>
      <c r="D17418" t="str">
        <v>-</v>
      </c>
      <c r="E17418" t="str">
        <v/>
      </c>
      <c r="F17418" t="str">
        <v>-</v>
      </c>
      <c r="G17418" t="str">
        <v>-</v>
      </c>
    </row>
    <row r="17419">
      <c r="B17419" t="str">
        <v>UBND Ủy ban nhân dân phường Phú Tài  tỉnh Bình Thuận</v>
      </c>
      <c r="C17419" t="str">
        <v>-</v>
      </c>
      <c r="D17419" t="str">
        <v>-</v>
      </c>
      <c r="E17419" t="str">
        <v>-</v>
      </c>
      <c r="F17419" t="str">
        <v>-</v>
      </c>
      <c r="G17419" t="str">
        <v>-</v>
      </c>
    </row>
    <row r="17420">
      <c r="B17420" t="str">
        <v>Công an phường Phú Trinh  tỉnh Bình Thuận</v>
      </c>
      <c r="C17420" t="str">
        <v>-</v>
      </c>
      <c r="D17420" t="str">
        <v>-</v>
      </c>
      <c r="E17420" t="str">
        <v/>
      </c>
      <c r="F17420" t="str">
        <v>-</v>
      </c>
      <c r="G17420" t="str">
        <v>-</v>
      </c>
    </row>
    <row r="17421">
      <c r="B17421" t="str">
        <v>UBND Ủy ban nhân dân phường Phú Trinh  tỉnh Bình Thuận</v>
      </c>
      <c r="C17421" t="str">
        <v>-</v>
      </c>
      <c r="D17421" t="str">
        <v>-</v>
      </c>
      <c r="E17421" t="str">
        <v>-</v>
      </c>
      <c r="F17421" t="str">
        <v>-</v>
      </c>
      <c r="G17421" t="str">
        <v>-</v>
      </c>
    </row>
    <row r="17422">
      <c r="B17422" t="str">
        <v>Công an phường Xuân An  tỉnh Bình Thuận</v>
      </c>
      <c r="C17422" t="str">
        <v>-</v>
      </c>
      <c r="D17422" t="str">
        <v>-</v>
      </c>
      <c r="E17422" t="str">
        <v/>
      </c>
      <c r="F17422" t="str">
        <v>-</v>
      </c>
      <c r="G17422" t="str">
        <v>-</v>
      </c>
    </row>
    <row r="17423">
      <c r="B17423" t="str">
        <v>UBND Ủy ban nhân dân phường Xuân An  tỉnh Bình Thuận</v>
      </c>
      <c r="C17423" t="str">
        <v>-</v>
      </c>
      <c r="D17423" t="str">
        <v>-</v>
      </c>
      <c r="E17423" t="str">
        <v>-</v>
      </c>
      <c r="F17423" t="str">
        <v>-</v>
      </c>
      <c r="G17423" t="str">
        <v>-</v>
      </c>
    </row>
    <row r="17424">
      <c r="B17424" t="str">
        <v>Công an phường Thanh Hải  tỉnh Bình Thuận</v>
      </c>
      <c r="C17424" t="str">
        <v>-</v>
      </c>
      <c r="D17424" t="str">
        <v>-</v>
      </c>
      <c r="E17424" t="str">
        <v/>
      </c>
      <c r="F17424" t="str">
        <v>-</v>
      </c>
      <c r="G17424" t="str">
        <v>-</v>
      </c>
    </row>
    <row r="17425">
      <c r="B17425" t="str">
        <v>UBND Ủy ban nhân dân phường Thanh Hải  tỉnh Bình Thuận</v>
      </c>
      <c r="C17425" t="str">
        <v>-</v>
      </c>
      <c r="D17425" t="str">
        <v>-</v>
      </c>
      <c r="E17425" t="str">
        <v>-</v>
      </c>
      <c r="F17425" t="str">
        <v>-</v>
      </c>
      <c r="G17425" t="str">
        <v>-</v>
      </c>
    </row>
    <row r="17426">
      <c r="B17426" t="str">
        <v>Công an phường Bình Hưng  tỉnh Bình Thuận</v>
      </c>
      <c r="C17426" t="str">
        <v>-</v>
      </c>
      <c r="D17426" t="str">
        <v>-</v>
      </c>
      <c r="E17426" t="str">
        <v/>
      </c>
      <c r="F17426" t="str">
        <v>-</v>
      </c>
      <c r="G17426" t="str">
        <v>-</v>
      </c>
    </row>
    <row r="17427">
      <c r="B17427" t="str">
        <v>UBND Ủy ban nhân dân phường Bình Hưng  tỉnh Bình Thuận</v>
      </c>
      <c r="C17427" t="str">
        <v>-</v>
      </c>
      <c r="D17427" t="str">
        <v>-</v>
      </c>
      <c r="E17427" t="str">
        <v>-</v>
      </c>
      <c r="F17427" t="str">
        <v>-</v>
      </c>
      <c r="G17427" t="str">
        <v>-</v>
      </c>
    </row>
    <row r="17428">
      <c r="B17428" t="str">
        <v>Công an phường Đức Nghĩa  tỉnh Bình Thuận</v>
      </c>
      <c r="C17428" t="str">
        <v>-</v>
      </c>
      <c r="D17428" t="str">
        <v>-</v>
      </c>
      <c r="E17428" t="str">
        <v/>
      </c>
      <c r="F17428" t="str">
        <v>-</v>
      </c>
      <c r="G17428" t="str">
        <v>-</v>
      </c>
    </row>
    <row r="17429">
      <c r="B17429" t="str">
        <v>UBND Ủy ban nhân dân phường Đức Nghĩa  tỉnh Bình Thuận</v>
      </c>
      <c r="C17429" t="str">
        <v>-</v>
      </c>
      <c r="D17429" t="str">
        <v>-</v>
      </c>
      <c r="E17429" t="str">
        <v>-</v>
      </c>
      <c r="F17429" t="str">
        <v>-</v>
      </c>
      <c r="G17429" t="str">
        <v>-</v>
      </c>
    </row>
    <row r="17430">
      <c r="B17430" t="str">
        <v>Công an phường Lạc Đạo  tỉnh Bình Thuận</v>
      </c>
      <c r="C17430" t="str">
        <v>-</v>
      </c>
      <c r="D17430" t="str">
        <v>-</v>
      </c>
      <c r="E17430" t="str">
        <v/>
      </c>
      <c r="F17430" t="str">
        <v>-</v>
      </c>
      <c r="G17430" t="str">
        <v>-</v>
      </c>
    </row>
    <row r="17431">
      <c r="B17431" t="str">
        <v>UBND Ủy ban nhân dân phường Lạc Đạo  tỉnh Bình Thuận</v>
      </c>
      <c r="C17431" t="str">
        <v>-</v>
      </c>
      <c r="D17431" t="str">
        <v>-</v>
      </c>
      <c r="E17431" t="str">
        <v>-</v>
      </c>
      <c r="F17431" t="str">
        <v>-</v>
      </c>
      <c r="G17431" t="str">
        <v>-</v>
      </c>
    </row>
    <row r="17432">
      <c r="B17432" t="str">
        <v>Công an phường Đức Thắng  tỉnh Bình Thuận</v>
      </c>
      <c r="C17432" t="str">
        <v>-</v>
      </c>
      <c r="D17432" t="str">
        <v>-</v>
      </c>
      <c r="E17432" t="str">
        <v/>
      </c>
      <c r="F17432" t="str">
        <v>-</v>
      </c>
      <c r="G17432" t="str">
        <v>-</v>
      </c>
    </row>
    <row r="17433">
      <c r="B17433" t="str">
        <v>UBND Ủy ban nhân dân phường Đức Thắng  tỉnh Bình Thuận</v>
      </c>
      <c r="C17433" t="str">
        <v>-</v>
      </c>
      <c r="D17433" t="str">
        <v>-</v>
      </c>
      <c r="E17433" t="str">
        <v>-</v>
      </c>
      <c r="F17433" t="str">
        <v>-</v>
      </c>
      <c r="G17433" t="str">
        <v>-</v>
      </c>
    </row>
    <row r="17434">
      <c r="B17434" t="str">
        <v>Công an phường Hưng Long  tỉnh Bình Thuận</v>
      </c>
      <c r="C17434" t="str">
        <v>-</v>
      </c>
      <c r="D17434" t="str">
        <v>-</v>
      </c>
      <c r="E17434" t="str">
        <v/>
      </c>
      <c r="F17434" t="str">
        <v>-</v>
      </c>
      <c r="G17434" t="str">
        <v>-</v>
      </c>
    </row>
    <row r="17435">
      <c r="B17435" t="str">
        <v>UBND Ủy ban nhân dân phường Hưng Long  tỉnh Bình Thuận</v>
      </c>
      <c r="C17435" t="str">
        <v>-</v>
      </c>
      <c r="D17435" t="str">
        <v>-</v>
      </c>
      <c r="E17435" t="str">
        <v>-</v>
      </c>
      <c r="F17435" t="str">
        <v>-</v>
      </c>
      <c r="G17435" t="str">
        <v>-</v>
      </c>
    </row>
    <row r="17436">
      <c r="B17436" t="str">
        <v>Công an phường Đức Long  tỉnh Bình Thuận</v>
      </c>
      <c r="C17436" t="str">
        <v>-</v>
      </c>
      <c r="D17436" t="str">
        <v>-</v>
      </c>
      <c r="E17436" t="str">
        <v/>
      </c>
      <c r="F17436" t="str">
        <v>-</v>
      </c>
      <c r="G17436" t="str">
        <v>-</v>
      </c>
    </row>
    <row r="17437">
      <c r="B17437" t="str">
        <v>UBND Ủy ban nhân dân phường Đức Long  tỉnh Bình Thuận</v>
      </c>
      <c r="C17437" t="str">
        <v>-</v>
      </c>
      <c r="D17437" t="str">
        <v>-</v>
      </c>
      <c r="E17437" t="str">
        <v>-</v>
      </c>
      <c r="F17437" t="str">
        <v>-</v>
      </c>
      <c r="G17437" t="str">
        <v>-</v>
      </c>
    </row>
    <row r="17438">
      <c r="B17438" t="str">
        <v>Công an xã Thiện Nghiệp  tỉnh Bình Thuận</v>
      </c>
      <c r="C17438" t="str">
        <v>-</v>
      </c>
      <c r="D17438" t="str">
        <v>-</v>
      </c>
      <c r="E17438" t="str">
        <v/>
      </c>
      <c r="F17438" t="str">
        <v>-</v>
      </c>
      <c r="G17438" t="str">
        <v>-</v>
      </c>
    </row>
    <row r="17439">
      <c r="B17439" t="str">
        <v>UBND Ủy ban nhân dân xã Thiện Nghiệp  tỉnh Bình Thuận</v>
      </c>
      <c r="C17439" t="str">
        <v>-</v>
      </c>
      <c r="D17439" t="str">
        <v>-</v>
      </c>
      <c r="E17439" t="str">
        <v>-</v>
      </c>
      <c r="F17439" t="str">
        <v>-</v>
      </c>
      <c r="G17439" t="str">
        <v>-</v>
      </c>
    </row>
    <row r="17440">
      <c r="B17440" t="str">
        <v>Công an xã Phong Nẫm  tỉnh Bình Thuận</v>
      </c>
      <c r="C17440" t="str">
        <v>-</v>
      </c>
      <c r="D17440" t="str">
        <v>-</v>
      </c>
      <c r="E17440" t="str">
        <v/>
      </c>
      <c r="F17440" t="str">
        <v>-</v>
      </c>
      <c r="G17440" t="str">
        <v>-</v>
      </c>
    </row>
    <row r="17441">
      <c r="B17441" t="str">
        <v>UBND Ủy ban nhân dân xã Phong Nẫm  tỉnh Bình Thuận</v>
      </c>
      <c r="C17441" t="str">
        <v>-</v>
      </c>
      <c r="D17441" t="str">
        <v>-</v>
      </c>
      <c r="E17441" t="str">
        <v>-</v>
      </c>
      <c r="F17441" t="str">
        <v>-</v>
      </c>
      <c r="G17441" t="str">
        <v>-</v>
      </c>
    </row>
    <row r="17442">
      <c r="B17442" t="str">
        <v>Công an xã Tiến Lợi  tỉnh Bình Thuận</v>
      </c>
      <c r="C17442" t="str">
        <v>-</v>
      </c>
      <c r="D17442" t="str">
        <v>-</v>
      </c>
      <c r="E17442" t="str">
        <v/>
      </c>
      <c r="F17442" t="str">
        <v>-</v>
      </c>
      <c r="G17442" t="str">
        <v>-</v>
      </c>
    </row>
    <row r="17443">
      <c r="B17443" t="str">
        <v>UBND Ủy ban nhân dân xã Tiến Lợi  tỉnh Bình Thuận</v>
      </c>
      <c r="C17443" t="str">
        <v>-</v>
      </c>
      <c r="D17443" t="str">
        <v>-</v>
      </c>
      <c r="E17443" t="str">
        <v>-</v>
      </c>
      <c r="F17443" t="str">
        <v>-</v>
      </c>
      <c r="G17443" t="str">
        <v>-</v>
      </c>
    </row>
    <row r="17444">
      <c r="B17444" t="str">
        <v>Công an xã Tiến Thành  tỉnh Bình Thuận</v>
      </c>
      <c r="C17444" t="str">
        <v>-</v>
      </c>
      <c r="D17444" t="str">
        <v>-</v>
      </c>
      <c r="E17444" t="str">
        <v/>
      </c>
      <c r="F17444" t="str">
        <v>-</v>
      </c>
      <c r="G17444" t="str">
        <v>-</v>
      </c>
    </row>
    <row r="17445">
      <c r="B17445" t="str">
        <v>UBND Ủy ban nhân dân xã Tiến Thành  tỉnh Bình Thuận</v>
      </c>
      <c r="C17445" t="str">
        <v>-</v>
      </c>
      <c r="D17445" t="str">
        <v>-</v>
      </c>
      <c r="E17445" t="str">
        <v>-</v>
      </c>
      <c r="F17445" t="str">
        <v>-</v>
      </c>
      <c r="G17445" t="str">
        <v>-</v>
      </c>
    </row>
    <row r="17446">
      <c r="B17446" t="str">
        <v>Công an phường Phước Hội  tỉnh Bình Thuận</v>
      </c>
      <c r="C17446" t="str">
        <v>-</v>
      </c>
      <c r="D17446" t="str">
        <v>-</v>
      </c>
      <c r="E17446" t="str">
        <v/>
      </c>
      <c r="F17446" t="str">
        <v>-</v>
      </c>
      <c r="G17446" t="str">
        <v>-</v>
      </c>
    </row>
    <row r="17447">
      <c r="B17447" t="str">
        <v>UBND Ủy ban nhân dân phường Phước Hội  tỉnh Bình Thuận</v>
      </c>
      <c r="C17447" t="str">
        <v>-</v>
      </c>
      <c r="D17447" t="str">
        <v>-</v>
      </c>
      <c r="E17447" t="str">
        <v>-</v>
      </c>
      <c r="F17447" t="str">
        <v>-</v>
      </c>
      <c r="G17447" t="str">
        <v>-</v>
      </c>
    </row>
    <row r="17448">
      <c r="B17448" t="str">
        <v>Công an phường Phước Lộc  tỉnh Bình Thuận</v>
      </c>
      <c r="C17448" t="str">
        <v>-</v>
      </c>
      <c r="D17448" t="str">
        <v>-</v>
      </c>
      <c r="E17448" t="str">
        <v/>
      </c>
      <c r="F17448" t="str">
        <v>-</v>
      </c>
      <c r="G17448" t="str">
        <v>-</v>
      </c>
    </row>
    <row r="17449">
      <c r="B17449" t="str">
        <v>UBND Ủy ban nhân dân phường Phước Lộc  tỉnh Bình Thuận</v>
      </c>
      <c r="C17449" t="str">
        <v>-</v>
      </c>
      <c r="D17449" t="str">
        <v>-</v>
      </c>
      <c r="E17449" t="str">
        <v>-</v>
      </c>
      <c r="F17449" t="str">
        <v>-</v>
      </c>
      <c r="G17449" t="str">
        <v>-</v>
      </c>
    </row>
    <row r="17450">
      <c r="B17450" t="str">
        <v>Công an phường Tân Thiện  tỉnh Bình Thuận</v>
      </c>
      <c r="C17450" t="str">
        <v>-</v>
      </c>
      <c r="D17450" t="str">
        <v>-</v>
      </c>
      <c r="E17450" t="str">
        <v/>
      </c>
      <c r="F17450" t="str">
        <v>-</v>
      </c>
      <c r="G17450" t="str">
        <v>-</v>
      </c>
    </row>
    <row r="17451">
      <c r="B17451" t="str">
        <v>UBND Ủy ban nhân dân phường Tân Thiện  tỉnh Bình Thuận</v>
      </c>
      <c r="C17451" t="str">
        <v>-</v>
      </c>
      <c r="D17451" t="str">
        <v>-</v>
      </c>
      <c r="E17451" t="str">
        <v>-</v>
      </c>
      <c r="F17451" t="str">
        <v>-</v>
      </c>
      <c r="G17451" t="str">
        <v>-</v>
      </c>
    </row>
    <row r="17452">
      <c r="B17452" t="str">
        <v>Công an phường Tân An  tỉnh Bình Thuận</v>
      </c>
      <c r="C17452" t="str">
        <v>-</v>
      </c>
      <c r="D17452" t="str">
        <v>-</v>
      </c>
      <c r="E17452" t="str">
        <v/>
      </c>
      <c r="F17452" t="str">
        <v>-</v>
      </c>
      <c r="G17452" t="str">
        <v>-</v>
      </c>
    </row>
    <row r="17453">
      <c r="B17453" t="str">
        <v>UBND Ủy ban nhân dân phường Tân An  tỉnh Bình Thuận</v>
      </c>
      <c r="C17453" t="str">
        <v>-</v>
      </c>
      <c r="D17453" t="str">
        <v>-</v>
      </c>
      <c r="E17453" t="str">
        <v>-</v>
      </c>
      <c r="F17453" t="str">
        <v>-</v>
      </c>
      <c r="G17453" t="str">
        <v>-</v>
      </c>
    </row>
    <row r="17454">
      <c r="B17454" t="str">
        <v>Công an phường Bình Tân  tỉnh Bình Thuận</v>
      </c>
      <c r="C17454" t="str">
        <v>-</v>
      </c>
      <c r="D17454" t="str">
        <v>-</v>
      </c>
      <c r="E17454" t="str">
        <v/>
      </c>
      <c r="F17454" t="str">
        <v>-</v>
      </c>
      <c r="G17454" t="str">
        <v>-</v>
      </c>
    </row>
    <row r="17455">
      <c r="B17455" t="str">
        <v>UBND Ủy ban nhân dân phường Bình Tân  tỉnh Bình Thuận</v>
      </c>
      <c r="C17455" t="str">
        <v>-</v>
      </c>
      <c r="D17455" t="str">
        <v>-</v>
      </c>
      <c r="E17455" t="str">
        <v>-</v>
      </c>
      <c r="F17455" t="str">
        <v>-</v>
      </c>
      <c r="G17455" t="str">
        <v>-</v>
      </c>
    </row>
    <row r="17456">
      <c r="B17456" t="str">
        <v>Công an xã Tân Hải  tỉnh Bình Thuận</v>
      </c>
      <c r="C17456" t="str">
        <v>-</v>
      </c>
      <c r="D17456" t="str">
        <v>-</v>
      </c>
      <c r="E17456" t="str">
        <v/>
      </c>
      <c r="F17456" t="str">
        <v>-</v>
      </c>
      <c r="G17456" t="str">
        <v>-</v>
      </c>
    </row>
    <row r="17457">
      <c r="B17457" t="str">
        <v>UBND Ủy ban nhân dân xã Tân Hải  tỉnh Bình Thuận</v>
      </c>
      <c r="C17457" t="str">
        <v>-</v>
      </c>
      <c r="D17457" t="str">
        <v>-</v>
      </c>
      <c r="E17457" t="str">
        <v>-</v>
      </c>
      <c r="F17457" t="str">
        <v>-</v>
      </c>
      <c r="G17457" t="str">
        <v>-</v>
      </c>
    </row>
    <row r="17458">
      <c r="B17458" t="str">
        <v>Công an xã Tân Tiến  tỉnh Bình Thuận</v>
      </c>
      <c r="C17458" t="str">
        <v>-</v>
      </c>
      <c r="D17458" t="str">
        <v>-</v>
      </c>
      <c r="E17458" t="str">
        <v/>
      </c>
      <c r="F17458" t="str">
        <v>-</v>
      </c>
      <c r="G17458" t="str">
        <v>-</v>
      </c>
    </row>
    <row r="17459">
      <c r="B17459" t="str">
        <v>UBND Ủy ban nhân dân xã Tân Tiến  tỉnh Bình Thuận</v>
      </c>
      <c r="C17459" t="str">
        <v>-</v>
      </c>
      <c r="D17459" t="str">
        <v>-</v>
      </c>
      <c r="E17459" t="str">
        <v>-</v>
      </c>
      <c r="F17459" t="str">
        <v>-</v>
      </c>
      <c r="G17459" t="str">
        <v>-</v>
      </c>
    </row>
    <row r="17460">
      <c r="B17460" t="str">
        <v>Công an xã Tân Bình  tỉnh Bình Thuận</v>
      </c>
      <c r="C17460" t="str">
        <v>-</v>
      </c>
      <c r="D17460" t="str">
        <v>-</v>
      </c>
      <c r="E17460" t="str">
        <v/>
      </c>
      <c r="F17460" t="str">
        <v>-</v>
      </c>
      <c r="G17460" t="str">
        <v>-</v>
      </c>
    </row>
    <row r="17461">
      <c r="B17461" t="str">
        <v>UBND Ủy ban nhân dân xã Tân Bình  tỉnh Bình Thuận</v>
      </c>
      <c r="C17461" t="str">
        <v>-</v>
      </c>
      <c r="D17461" t="str">
        <v>-</v>
      </c>
      <c r="E17461" t="str">
        <v>-</v>
      </c>
      <c r="F17461" t="str">
        <v>-</v>
      </c>
      <c r="G17461" t="str">
        <v>-</v>
      </c>
    </row>
    <row r="17462">
      <c r="B17462" t="str">
        <v>Công an xã Tân Phước  tỉnh Bình Thuận</v>
      </c>
      <c r="C17462" t="str">
        <v>-</v>
      </c>
      <c r="D17462" t="str">
        <v>-</v>
      </c>
      <c r="E17462" t="str">
        <v/>
      </c>
      <c r="F17462" t="str">
        <v>-</v>
      </c>
      <c r="G17462" t="str">
        <v>-</v>
      </c>
    </row>
    <row r="17463">
      <c r="B17463" t="str">
        <v>UBND Ủy ban nhân dân xã Tân Phước  tỉnh Bình Thuận</v>
      </c>
      <c r="C17463" t="str">
        <v>-</v>
      </c>
      <c r="D17463" t="str">
        <v>-</v>
      </c>
      <c r="E17463" t="str">
        <v>-</v>
      </c>
      <c r="F17463" t="str">
        <v>-</v>
      </c>
      <c r="G17463" t="str">
        <v>-</v>
      </c>
    </row>
    <row r="17464">
      <c r="B17464" t="str">
        <v>Công an xã Phan Dũng  tỉnh Bình Thuận</v>
      </c>
      <c r="C17464" t="str">
        <v>-</v>
      </c>
      <c r="D17464" t="str">
        <v>-</v>
      </c>
      <c r="E17464" t="str">
        <v/>
      </c>
      <c r="F17464" t="str">
        <v>-</v>
      </c>
      <c r="G17464" t="str">
        <v>-</v>
      </c>
    </row>
    <row r="17465">
      <c r="B17465" t="str">
        <v>UBND Ủy ban nhân dân xã Phan Dũng  tỉnh Bình Thuận</v>
      </c>
      <c r="C17465" t="str">
        <v>-</v>
      </c>
      <c r="D17465" t="str">
        <v>-</v>
      </c>
      <c r="E17465" t="str">
        <v>-</v>
      </c>
      <c r="F17465" t="str">
        <v>-</v>
      </c>
      <c r="G17465" t="str">
        <v>-</v>
      </c>
    </row>
    <row r="17466">
      <c r="B17466" t="str">
        <v>Công an xã Phong Phú  tỉnh Bình Thuận</v>
      </c>
      <c r="C17466" t="str">
        <v>-</v>
      </c>
      <c r="D17466" t="str">
        <v>-</v>
      </c>
      <c r="E17466" t="str">
        <v/>
      </c>
      <c r="F17466" t="str">
        <v>-</v>
      </c>
      <c r="G17466" t="str">
        <v>-</v>
      </c>
    </row>
    <row r="17467">
      <c r="B17467" t="str">
        <v>UBND Ủy ban nhân dân xã Phong Phú  tỉnh Bình Thuận</v>
      </c>
      <c r="C17467" t="str">
        <v>-</v>
      </c>
      <c r="D17467" t="str">
        <v>-</v>
      </c>
      <c r="E17467" t="str">
        <v>-</v>
      </c>
      <c r="F17467" t="str">
        <v>-</v>
      </c>
      <c r="G17467" t="str">
        <v>-</v>
      </c>
    </row>
    <row r="17468">
      <c r="B17468" t="str">
        <v>Công an xã Vĩnh Hảo  tỉnh Bình Thuận</v>
      </c>
      <c r="C17468" t="str">
        <v>-</v>
      </c>
      <c r="D17468" t="str">
        <v>-</v>
      </c>
      <c r="E17468" t="str">
        <v/>
      </c>
      <c r="F17468" t="str">
        <v>-</v>
      </c>
      <c r="G17468" t="str">
        <v>-</v>
      </c>
    </row>
    <row r="17469">
      <c r="B17469" t="str">
        <v>UBND Ủy ban nhân dân xã Vĩnh Hảo  tỉnh Bình Thuận</v>
      </c>
      <c r="C17469" t="str">
        <v>-</v>
      </c>
      <c r="D17469" t="str">
        <v>-</v>
      </c>
      <c r="E17469" t="str">
        <v>-</v>
      </c>
      <c r="F17469" t="str">
        <v>-</v>
      </c>
      <c r="G17469" t="str">
        <v>-</v>
      </c>
    </row>
    <row r="17470">
      <c r="B17470" t="str">
        <v>Công an xã Vĩnh Tân  tỉnh Bình Thuận</v>
      </c>
      <c r="C17470" t="str">
        <v>-</v>
      </c>
      <c r="D17470" t="str">
        <v>-</v>
      </c>
      <c r="E17470" t="str">
        <v/>
      </c>
      <c r="F17470" t="str">
        <v>-</v>
      </c>
      <c r="G17470" t="str">
        <v>-</v>
      </c>
    </row>
    <row r="17471">
      <c r="B17471" t="str">
        <v>UBND Ủy ban nhân dân xã Vĩnh Tân  tỉnh Bình Thuận</v>
      </c>
      <c r="C17471" t="str">
        <v>-</v>
      </c>
      <c r="D17471" t="str">
        <v>-</v>
      </c>
      <c r="E17471" t="str">
        <v>-</v>
      </c>
      <c r="F17471" t="str">
        <v>-</v>
      </c>
      <c r="G17471" t="str">
        <v>-</v>
      </c>
    </row>
    <row r="17472">
      <c r="B17472" t="str">
        <v>Công an xã Phú Lạc  tỉnh Bình Thuận</v>
      </c>
      <c r="C17472" t="str">
        <v>-</v>
      </c>
      <c r="D17472" t="str">
        <v>-</v>
      </c>
      <c r="E17472" t="str">
        <v/>
      </c>
      <c r="F17472" t="str">
        <v>-</v>
      </c>
      <c r="G17472" t="str">
        <v>-</v>
      </c>
    </row>
    <row r="17473">
      <c r="B17473" t="str">
        <v>UBND Ủy ban nhân dân xã Phú Lạc  tỉnh Bình Thuận</v>
      </c>
      <c r="C17473" t="str">
        <v>-</v>
      </c>
      <c r="D17473" t="str">
        <v>-</v>
      </c>
      <c r="E17473" t="str">
        <v>-</v>
      </c>
      <c r="F17473" t="str">
        <v>-</v>
      </c>
      <c r="G17473" t="str">
        <v>-</v>
      </c>
    </row>
    <row r="17474">
      <c r="B17474" t="str">
        <v>Công an xã Phước Thể  tỉnh Bình Thuận</v>
      </c>
      <c r="C17474" t="str">
        <v>-</v>
      </c>
      <c r="D17474" t="str">
        <v>-</v>
      </c>
      <c r="E17474" t="str">
        <v/>
      </c>
      <c r="F17474" t="str">
        <v>-</v>
      </c>
      <c r="G17474" t="str">
        <v>-</v>
      </c>
    </row>
    <row r="17475">
      <c r="B17475" t="str">
        <v>UBND Ủy ban nhân dân xã Phước Thể  tỉnh Bình Thuận</v>
      </c>
      <c r="C17475" t="str">
        <v>-</v>
      </c>
      <c r="D17475" t="str">
        <v>-</v>
      </c>
      <c r="E17475" t="str">
        <v>-</v>
      </c>
      <c r="F17475" t="str">
        <v>-</v>
      </c>
      <c r="G17475" t="str">
        <v>-</v>
      </c>
    </row>
    <row r="17476">
      <c r="B17476" t="str">
        <v>Công an xã Hòa Minh  tỉnh Bình Thuận</v>
      </c>
      <c r="C17476" t="str">
        <v>-</v>
      </c>
      <c r="D17476" t="str">
        <v>-</v>
      </c>
      <c r="E17476" t="str">
        <v/>
      </c>
      <c r="F17476" t="str">
        <v>-</v>
      </c>
      <c r="G17476" t="str">
        <v>-</v>
      </c>
    </row>
    <row r="17477">
      <c r="B17477" t="str">
        <v>UBND Ủy ban nhân dân xã Hòa Minh  tỉnh Bình Thuận</v>
      </c>
      <c r="C17477" t="str">
        <v>-</v>
      </c>
      <c r="D17477" t="str">
        <v>-</v>
      </c>
      <c r="E17477" t="str">
        <v>-</v>
      </c>
      <c r="F17477" t="str">
        <v>-</v>
      </c>
      <c r="G17477" t="str">
        <v>-</v>
      </c>
    </row>
    <row r="17478">
      <c r="B17478" t="str">
        <v>Công an xã Chí Công  tỉnh Bình Thuận</v>
      </c>
      <c r="C17478" t="str">
        <v>-</v>
      </c>
      <c r="D17478" t="str">
        <v>-</v>
      </c>
      <c r="E17478" t="str">
        <v/>
      </c>
      <c r="F17478" t="str">
        <v>-</v>
      </c>
      <c r="G17478" t="str">
        <v>-</v>
      </c>
    </row>
    <row r="17479">
      <c r="B17479" t="str">
        <v>UBND Ủy ban nhân dân xã Chí Công  tỉnh Bình Thuận</v>
      </c>
      <c r="C17479" t="str">
        <v>-</v>
      </c>
      <c r="D17479" t="str">
        <v>-</v>
      </c>
      <c r="E17479" t="str">
        <v>-</v>
      </c>
      <c r="F17479" t="str">
        <v>-</v>
      </c>
      <c r="G17479" t="str">
        <v>-</v>
      </c>
    </row>
    <row r="17480">
      <c r="B17480" t="str">
        <v>Công an xã Bình Thạnh  tỉnh Bình Thuận</v>
      </c>
      <c r="C17480" t="str">
        <v>-</v>
      </c>
      <c r="D17480" t="str">
        <v>-</v>
      </c>
      <c r="E17480" t="str">
        <v/>
      </c>
      <c r="F17480" t="str">
        <v>-</v>
      </c>
      <c r="G17480" t="str">
        <v>-</v>
      </c>
    </row>
    <row r="17481">
      <c r="B17481" t="str">
        <v>UBND Ủy ban nhân dân xã Bình Thạnh  tỉnh Bình Thuận</v>
      </c>
      <c r="C17481" t="str">
        <v>-</v>
      </c>
      <c r="D17481" t="str">
        <v>-</v>
      </c>
      <c r="E17481" t="str">
        <v>-</v>
      </c>
      <c r="F17481" t="str">
        <v>-</v>
      </c>
      <c r="G17481" t="str">
        <v>-</v>
      </c>
    </row>
    <row r="17482">
      <c r="B17482" t="str">
        <v>Công an xã Hòa Phú  tỉnh Bình Thuận</v>
      </c>
      <c r="C17482" t="str">
        <v>-</v>
      </c>
      <c r="D17482" t="str">
        <v>-</v>
      </c>
      <c r="E17482" t="str">
        <v/>
      </c>
      <c r="F17482" t="str">
        <v>-</v>
      </c>
      <c r="G17482" t="str">
        <v>-</v>
      </c>
    </row>
    <row r="17483">
      <c r="B17483" t="str">
        <v>UBND Ủy ban nhân dân xã Hòa Phú  tỉnh Bình Thuận</v>
      </c>
      <c r="C17483" t="str">
        <v>-</v>
      </c>
      <c r="D17483" t="str">
        <v>-</v>
      </c>
      <c r="E17483" t="str">
        <v>-</v>
      </c>
      <c r="F17483" t="str">
        <v>-</v>
      </c>
      <c r="G17483" t="str">
        <v>-</v>
      </c>
    </row>
    <row r="17484">
      <c r="B17484" t="str">
        <v>Công an xã Phan Sơn  tỉnh Bình Thuận</v>
      </c>
      <c r="C17484" t="str">
        <v>-</v>
      </c>
      <c r="D17484" t="str">
        <v>-</v>
      </c>
      <c r="E17484" t="str">
        <v/>
      </c>
      <c r="F17484" t="str">
        <v>-</v>
      </c>
      <c r="G17484" t="str">
        <v>-</v>
      </c>
    </row>
    <row r="17485">
      <c r="B17485" t="str">
        <v>UBND Ủy ban nhân dân xã Phan Sơn  tỉnh Bình Thuận</v>
      </c>
      <c r="C17485" t="str">
        <v>-</v>
      </c>
      <c r="D17485" t="str">
        <v>-</v>
      </c>
      <c r="E17485" t="str">
        <v>-</v>
      </c>
      <c r="F17485" t="str">
        <v>-</v>
      </c>
      <c r="G17485" t="str">
        <v>-</v>
      </c>
    </row>
    <row r="17486">
      <c r="B17486" t="str">
        <v>Công an xã Phan Lâm  tỉnh Bình Thuận</v>
      </c>
      <c r="C17486" t="str">
        <v>-</v>
      </c>
      <c r="D17486" t="str">
        <v>-</v>
      </c>
      <c r="E17486" t="str">
        <v/>
      </c>
      <c r="F17486" t="str">
        <v>-</v>
      </c>
      <c r="G17486" t="str">
        <v>-</v>
      </c>
    </row>
    <row r="17487">
      <c r="B17487" t="str">
        <v>UBND Ủy ban nhân dân xã Phan Lâm  tỉnh Bình Thuận</v>
      </c>
      <c r="C17487" t="str">
        <v>-</v>
      </c>
      <c r="D17487" t="str">
        <v>-</v>
      </c>
      <c r="E17487" t="str">
        <v>-</v>
      </c>
      <c r="F17487" t="str">
        <v>-</v>
      </c>
      <c r="G17487" t="str">
        <v>-</v>
      </c>
    </row>
    <row r="17488">
      <c r="B17488" t="str">
        <v>Công an xã Bình An  tỉnh Bình Thuận</v>
      </c>
      <c r="C17488" t="str">
        <v>-</v>
      </c>
      <c r="D17488" t="str">
        <v>-</v>
      </c>
      <c r="E17488" t="str">
        <v/>
      </c>
      <c r="F17488" t="str">
        <v>-</v>
      </c>
      <c r="G17488" t="str">
        <v>-</v>
      </c>
    </row>
    <row r="17489">
      <c r="B17489" t="str">
        <v>UBND Ủy ban nhân dân xã Bình An  tỉnh Bình Thuận</v>
      </c>
      <c r="C17489" t="str">
        <v>-</v>
      </c>
      <c r="D17489" t="str">
        <v>-</v>
      </c>
      <c r="E17489" t="str">
        <v>-</v>
      </c>
      <c r="F17489" t="str">
        <v>-</v>
      </c>
      <c r="G17489" t="str">
        <v>-</v>
      </c>
    </row>
    <row r="17490">
      <c r="B17490" t="str">
        <v>Công an xã Phan Điền  tỉnh Bình Thuận</v>
      </c>
      <c r="C17490" t="str">
        <v>-</v>
      </c>
      <c r="D17490" t="str">
        <v>-</v>
      </c>
      <c r="E17490" t="str">
        <v/>
      </c>
      <c r="F17490" t="str">
        <v>-</v>
      </c>
      <c r="G17490" t="str">
        <v>-</v>
      </c>
    </row>
    <row r="17491">
      <c r="B17491" t="str">
        <v>UBND Ủy ban nhân dân xã Phan Điền  tỉnh Bình Thuận</v>
      </c>
      <c r="C17491" t="str">
        <v>-</v>
      </c>
      <c r="D17491" t="str">
        <v>-</v>
      </c>
      <c r="E17491" t="str">
        <v>-</v>
      </c>
      <c r="F17491" t="str">
        <v>-</v>
      </c>
      <c r="G17491" t="str">
        <v>-</v>
      </c>
    </row>
    <row r="17492">
      <c r="B17492" t="str">
        <v>Công an xã Hải Ninh  tỉnh Bình Thuận</v>
      </c>
      <c r="C17492" t="str">
        <v>-</v>
      </c>
      <c r="D17492" t="str">
        <v>-</v>
      </c>
      <c r="E17492" t="str">
        <v/>
      </c>
      <c r="F17492" t="str">
        <v>-</v>
      </c>
      <c r="G17492" t="str">
        <v>-</v>
      </c>
    </row>
    <row r="17493">
      <c r="B17493" t="str">
        <v>UBND Ủy ban nhân dân xã Hải Ninh  tỉnh Bình Thuận</v>
      </c>
      <c r="C17493" t="str">
        <v>-</v>
      </c>
      <c r="D17493" t="str">
        <v>-</v>
      </c>
      <c r="E17493" t="str">
        <v>-</v>
      </c>
      <c r="F17493" t="str">
        <v>-</v>
      </c>
      <c r="G17493" t="str">
        <v>-</v>
      </c>
    </row>
    <row r="17494">
      <c r="B17494" t="str">
        <v>Công an xã Sông Lũy  tỉnh Bình Thuận</v>
      </c>
      <c r="C17494" t="str">
        <v>-</v>
      </c>
      <c r="D17494" t="str">
        <v>-</v>
      </c>
      <c r="E17494" t="str">
        <v/>
      </c>
      <c r="F17494" t="str">
        <v>-</v>
      </c>
      <c r="G17494" t="str">
        <v>-</v>
      </c>
    </row>
    <row r="17495">
      <c r="B17495" t="str">
        <v>UBND Ủy ban nhân dân xã Sông Lũy  tỉnh Bình Thuận</v>
      </c>
      <c r="C17495" t="str">
        <v>-</v>
      </c>
      <c r="D17495" t="str">
        <v>-</v>
      </c>
      <c r="E17495" t="str">
        <v>-</v>
      </c>
      <c r="F17495" t="str">
        <v>-</v>
      </c>
      <c r="G17495" t="str">
        <v>-</v>
      </c>
    </row>
    <row r="17496">
      <c r="B17496" t="str">
        <v>Công an xã Phan Tiến  tỉnh Bình Thuận</v>
      </c>
      <c r="C17496" t="str">
        <v>-</v>
      </c>
      <c r="D17496" t="str">
        <v>-</v>
      </c>
      <c r="E17496" t="str">
        <v/>
      </c>
      <c r="F17496" t="str">
        <v>-</v>
      </c>
      <c r="G17496" t="str">
        <v>-</v>
      </c>
    </row>
    <row r="17497">
      <c r="B17497" t="str">
        <v>UBND Ủy ban nhân dân xã Phan Tiến  tỉnh Bình Thuận</v>
      </c>
      <c r="C17497" t="str">
        <v>-</v>
      </c>
      <c r="D17497" t="str">
        <v>-</v>
      </c>
      <c r="E17497" t="str">
        <v>-</v>
      </c>
      <c r="F17497" t="str">
        <v>-</v>
      </c>
      <c r="G17497" t="str">
        <v>-</v>
      </c>
    </row>
    <row r="17498">
      <c r="B17498" t="str">
        <v>Công an xã Sông Bình  tỉnh Bình Thuận</v>
      </c>
      <c r="C17498" t="str">
        <v>-</v>
      </c>
      <c r="D17498" t="str">
        <v>-</v>
      </c>
      <c r="E17498" t="str">
        <v/>
      </c>
      <c r="F17498" t="str">
        <v>-</v>
      </c>
      <c r="G17498" t="str">
        <v>-</v>
      </c>
    </row>
    <row r="17499">
      <c r="B17499" t="str">
        <v>UBND Ủy ban nhân dân xã Sông Bình  tỉnh Bình Thuận</v>
      </c>
      <c r="C17499" t="str">
        <v>-</v>
      </c>
      <c r="D17499" t="str">
        <v>-</v>
      </c>
      <c r="E17499" t="str">
        <v>-</v>
      </c>
      <c r="F17499" t="str">
        <v>-</v>
      </c>
      <c r="G17499" t="str">
        <v>-</v>
      </c>
    </row>
    <row r="17500">
      <c r="B17500" t="str">
        <v>Công an xã Phan Hòa  tỉnh Bình Thuận</v>
      </c>
      <c r="C17500" t="str">
        <v>-</v>
      </c>
      <c r="D17500" t="str">
        <v>-</v>
      </c>
      <c r="E17500" t="str">
        <v/>
      </c>
      <c r="F17500" t="str">
        <v>-</v>
      </c>
      <c r="G17500" t="str">
        <v>-</v>
      </c>
    </row>
    <row r="17501">
      <c r="B17501" t="str">
        <v>UBND Ủy ban nhân dân xã Phan Hòa  tỉnh Bình Thuận</v>
      </c>
      <c r="C17501" t="str">
        <v>-</v>
      </c>
      <c r="D17501" t="str">
        <v>-</v>
      </c>
      <c r="E17501" t="str">
        <v>-</v>
      </c>
      <c r="F17501" t="str">
        <v>-</v>
      </c>
      <c r="G17501" t="str">
        <v>-</v>
      </c>
    </row>
    <row r="17502">
      <c r="B17502" t="str">
        <v>Công an xã Phan Thanh  tỉnh Bình Thuận</v>
      </c>
      <c r="C17502" t="str">
        <v>-</v>
      </c>
      <c r="D17502" t="str">
        <v>-</v>
      </c>
      <c r="E17502" t="str">
        <v/>
      </c>
      <c r="F17502" t="str">
        <v>-</v>
      </c>
      <c r="G17502" t="str">
        <v>-</v>
      </c>
    </row>
    <row r="17503">
      <c r="B17503" t="str">
        <v>UBND Ủy ban nhân dân xã Phan Thanh  tỉnh Bình Thuận</v>
      </c>
      <c r="C17503" t="str">
        <v>-</v>
      </c>
      <c r="D17503" t="str">
        <v>-</v>
      </c>
      <c r="E17503" t="str">
        <v>-</v>
      </c>
      <c r="F17503" t="str">
        <v>-</v>
      </c>
      <c r="G17503" t="str">
        <v>-</v>
      </c>
    </row>
    <row r="17504">
      <c r="B17504" t="str">
        <v>Công an xã Hồng Thái  tỉnh Bình Thuận</v>
      </c>
      <c r="C17504" t="str">
        <v>-</v>
      </c>
      <c r="D17504" t="str">
        <v>-</v>
      </c>
      <c r="E17504" t="str">
        <v/>
      </c>
      <c r="F17504" t="str">
        <v>-</v>
      </c>
      <c r="G17504" t="str">
        <v>-</v>
      </c>
    </row>
    <row r="17505">
      <c r="B17505" t="str">
        <v>UBND Ủy ban nhân dân xã Hồng Thái  tỉnh Bình Thuận</v>
      </c>
      <c r="C17505" t="str">
        <v>-</v>
      </c>
      <c r="D17505" t="str">
        <v>-</v>
      </c>
      <c r="E17505" t="str">
        <v>-</v>
      </c>
      <c r="F17505" t="str">
        <v>-</v>
      </c>
      <c r="G17505" t="str">
        <v>-</v>
      </c>
    </row>
    <row r="17506">
      <c r="B17506" t="str">
        <v>Công an xã Phan Hiệp  tỉnh Bình Thuận</v>
      </c>
      <c r="C17506" t="str">
        <v>-</v>
      </c>
      <c r="D17506" t="str">
        <v>-</v>
      </c>
      <c r="E17506" t="str">
        <v/>
      </c>
      <c r="F17506" t="str">
        <v>-</v>
      </c>
      <c r="G17506" t="str">
        <v>-</v>
      </c>
    </row>
    <row r="17507">
      <c r="B17507" t="str">
        <v>UBND Ủy ban nhân dân xã Phan Hiệp  tỉnh Bình Thuận</v>
      </c>
      <c r="C17507" t="str">
        <v>-</v>
      </c>
      <c r="D17507" t="str">
        <v>-</v>
      </c>
      <c r="E17507" t="str">
        <v>-</v>
      </c>
      <c r="F17507" t="str">
        <v>-</v>
      </c>
      <c r="G17507" t="str">
        <v>-</v>
      </c>
    </row>
    <row r="17508">
      <c r="B17508" t="str">
        <v>Công an xã Bình Tân  tỉnh Bình Thuận</v>
      </c>
      <c r="C17508" t="str">
        <v>-</v>
      </c>
      <c r="D17508" t="str">
        <v>-</v>
      </c>
      <c r="E17508" t="str">
        <v/>
      </c>
      <c r="F17508" t="str">
        <v>-</v>
      </c>
      <c r="G17508" t="str">
        <v>-</v>
      </c>
    </row>
    <row r="17509">
      <c r="B17509" t="str">
        <v>UBND Ủy ban nhân dân xã Bình Tân  tỉnh Bình Thuận</v>
      </c>
      <c r="C17509" t="str">
        <v>-</v>
      </c>
      <c r="D17509" t="str">
        <v>-</v>
      </c>
      <c r="E17509" t="str">
        <v>-</v>
      </c>
      <c r="F17509" t="str">
        <v>-</v>
      </c>
      <c r="G17509" t="str">
        <v>-</v>
      </c>
    </row>
    <row r="17510">
      <c r="B17510" t="str">
        <v>Công an xã Phan Rí Thành  tỉnh Bình Thuận</v>
      </c>
      <c r="C17510" t="str">
        <v>-</v>
      </c>
      <c r="D17510" t="str">
        <v>-</v>
      </c>
      <c r="E17510" t="str">
        <v/>
      </c>
      <c r="F17510" t="str">
        <v>-</v>
      </c>
      <c r="G17510" t="str">
        <v>-</v>
      </c>
    </row>
    <row r="17511">
      <c r="B17511" t="str">
        <v>UBND Ủy ban nhân dân xã Phan Rí Thành  tỉnh Bình Thuận</v>
      </c>
      <c r="C17511" t="str">
        <v>-</v>
      </c>
      <c r="D17511" t="str">
        <v>-</v>
      </c>
      <c r="E17511" t="str">
        <v>-</v>
      </c>
      <c r="F17511" t="str">
        <v>-</v>
      </c>
      <c r="G17511" t="str">
        <v>-</v>
      </c>
    </row>
    <row r="17512">
      <c r="B17512" t="str">
        <v>Công an xã Hòa Thắng  tỉnh Bình Thuận</v>
      </c>
      <c r="C17512" t="str">
        <v>-</v>
      </c>
      <c r="D17512" t="str">
        <v>-</v>
      </c>
      <c r="E17512" t="str">
        <v/>
      </c>
      <c r="F17512" t="str">
        <v>-</v>
      </c>
      <c r="G17512" t="str">
        <v>-</v>
      </c>
    </row>
    <row r="17513">
      <c r="B17513" t="str">
        <v>UBND Ủy ban nhân dân xã Hòa Thắng  tỉnh Bình Thuận</v>
      </c>
      <c r="C17513" t="str">
        <v>-</v>
      </c>
      <c r="D17513" t="str">
        <v>-</v>
      </c>
      <c r="E17513" t="str">
        <v>-</v>
      </c>
      <c r="F17513" t="str">
        <v>-</v>
      </c>
      <c r="G17513" t="str">
        <v>-</v>
      </c>
    </row>
    <row r="17514">
      <c r="B17514" t="str">
        <v>Công an xã Hồng Phong  tỉnh Bình Thuận</v>
      </c>
      <c r="C17514" t="str">
        <v>-</v>
      </c>
      <c r="D17514" t="str">
        <v>-</v>
      </c>
      <c r="E17514" t="str">
        <v/>
      </c>
      <c r="F17514" t="str">
        <v>-</v>
      </c>
      <c r="G17514" t="str">
        <v>-</v>
      </c>
    </row>
    <row r="17515">
      <c r="B17515" t="str">
        <v>UBND Ủy ban nhân dân xã Hồng Phong  tỉnh Bình Thuận</v>
      </c>
      <c r="C17515" t="str">
        <v>-</v>
      </c>
      <c r="D17515" t="str">
        <v>-</v>
      </c>
      <c r="E17515" t="str">
        <v>-</v>
      </c>
      <c r="F17515" t="str">
        <v>-</v>
      </c>
      <c r="G17515" t="str">
        <v>-</v>
      </c>
    </row>
    <row r="17516">
      <c r="B17516" t="str">
        <v>Công an xã La Dạ  tỉnh Bình Thuận</v>
      </c>
      <c r="C17516" t="str">
        <v>-</v>
      </c>
      <c r="D17516" t="str">
        <v>-</v>
      </c>
      <c r="E17516" t="str">
        <v/>
      </c>
      <c r="F17516" t="str">
        <v>-</v>
      </c>
      <c r="G17516" t="str">
        <v>-</v>
      </c>
    </row>
    <row r="17517">
      <c r="B17517" t="str">
        <v>UBND Ủy ban nhân dân xã La Dạ  tỉnh Bình Thuận</v>
      </c>
      <c r="C17517" t="str">
        <v>-</v>
      </c>
      <c r="D17517" t="str">
        <v>-</v>
      </c>
      <c r="E17517" t="str">
        <v>-</v>
      </c>
      <c r="F17517" t="str">
        <v>-</v>
      </c>
      <c r="G17517" t="str">
        <v>-</v>
      </c>
    </row>
    <row r="17518">
      <c r="B17518" t="str">
        <v>Công an xã Đông Tiến  tỉnh Bình Thuận</v>
      </c>
      <c r="C17518" t="str">
        <v>-</v>
      </c>
      <c r="D17518" t="str">
        <v>-</v>
      </c>
      <c r="E17518" t="str">
        <v/>
      </c>
      <c r="F17518" t="str">
        <v>-</v>
      </c>
      <c r="G17518" t="str">
        <v>-</v>
      </c>
    </row>
    <row r="17519">
      <c r="B17519" t="str">
        <v>UBND Ủy ban nhân dân xã Đông Tiến  tỉnh Bình Thuận</v>
      </c>
      <c r="C17519" t="str">
        <v>-</v>
      </c>
      <c r="D17519" t="str">
        <v>-</v>
      </c>
      <c r="E17519" t="str">
        <v>-</v>
      </c>
      <c r="F17519" t="str">
        <v>-</v>
      </c>
      <c r="G17519" t="str">
        <v>-</v>
      </c>
    </row>
    <row r="17520">
      <c r="B17520" t="str">
        <v>Công an xã Thuận Hòa  tỉnh Bình Thuận</v>
      </c>
      <c r="C17520" t="str">
        <v>-</v>
      </c>
      <c r="D17520" t="str">
        <v>-</v>
      </c>
      <c r="E17520" t="str">
        <v/>
      </c>
      <c r="F17520" t="str">
        <v>-</v>
      </c>
      <c r="G17520" t="str">
        <v>-</v>
      </c>
    </row>
    <row r="17521">
      <c r="B17521" t="str">
        <v>UBND Ủy ban nhân dân xã Thuận Hòa  tỉnh Bình Thuận</v>
      </c>
      <c r="C17521" t="str">
        <v>-</v>
      </c>
      <c r="D17521" t="str">
        <v>-</v>
      </c>
      <c r="E17521" t="str">
        <v>-</v>
      </c>
      <c r="F17521" t="str">
        <v>-</v>
      </c>
      <c r="G17521" t="str">
        <v>-</v>
      </c>
    </row>
    <row r="17522">
      <c r="B17522" t="str">
        <v>Công an xã Đông Giang  tỉnh Bình Thuận</v>
      </c>
      <c r="C17522" t="str">
        <v>-</v>
      </c>
      <c r="D17522" t="str">
        <v>-</v>
      </c>
      <c r="E17522" t="str">
        <v/>
      </c>
      <c r="F17522" t="str">
        <v>-</v>
      </c>
      <c r="G17522" t="str">
        <v>-</v>
      </c>
    </row>
    <row r="17523">
      <c r="B17523" t="str">
        <v>UBND Ủy ban nhân dân xã Đông Giang  tỉnh Bình Thuận</v>
      </c>
      <c r="C17523" t="str">
        <v>-</v>
      </c>
      <c r="D17523" t="str">
        <v>-</v>
      </c>
      <c r="E17523" t="str">
        <v>-</v>
      </c>
      <c r="F17523" t="str">
        <v>-</v>
      </c>
      <c r="G17523" t="str">
        <v>-</v>
      </c>
    </row>
    <row r="17524">
      <c r="B17524" t="str">
        <v>Công an xã Hàm Phú  tỉnh Bình Thuận</v>
      </c>
      <c r="C17524" t="str">
        <v>-</v>
      </c>
      <c r="D17524" t="str">
        <v>-</v>
      </c>
      <c r="E17524" t="str">
        <v/>
      </c>
      <c r="F17524" t="str">
        <v>-</v>
      </c>
      <c r="G17524" t="str">
        <v>-</v>
      </c>
    </row>
    <row r="17525">
      <c r="B17525" t="str">
        <v>UBND Ủy ban nhân dân xã Hàm Phú  tỉnh Bình Thuận</v>
      </c>
      <c r="C17525" t="str">
        <v>-</v>
      </c>
      <c r="D17525" t="str">
        <v>-</v>
      </c>
      <c r="E17525" t="str">
        <v>-</v>
      </c>
      <c r="F17525" t="str">
        <v>-</v>
      </c>
      <c r="G17525" t="str">
        <v>-</v>
      </c>
    </row>
    <row r="17526">
      <c r="B17526" t="str">
        <v>Công an xã Hồng Liêm  tỉnh Bình Thuận</v>
      </c>
      <c r="C17526" t="str">
        <v>-</v>
      </c>
      <c r="D17526" t="str">
        <v>-</v>
      </c>
      <c r="E17526" t="str">
        <v/>
      </c>
      <c r="F17526" t="str">
        <v>-</v>
      </c>
      <c r="G17526" t="str">
        <v>-</v>
      </c>
    </row>
    <row r="17527">
      <c r="B17527" t="str">
        <v>UBND Ủy ban nhân dân xã Hồng Liêm  tỉnh Bình Thuận</v>
      </c>
      <c r="C17527" t="str">
        <v>-</v>
      </c>
      <c r="D17527" t="str">
        <v>-</v>
      </c>
      <c r="E17527" t="str">
        <v>-</v>
      </c>
      <c r="F17527" t="str">
        <v>-</v>
      </c>
      <c r="G17527" t="str">
        <v>-</v>
      </c>
    </row>
    <row r="17528">
      <c r="B17528" t="str">
        <v>Công an xã Thuận Minh  tỉnh Bình Thuận</v>
      </c>
      <c r="C17528" t="str">
        <v>-</v>
      </c>
      <c r="D17528" t="str">
        <v>-</v>
      </c>
      <c r="E17528" t="str">
        <v/>
      </c>
      <c r="F17528" t="str">
        <v>-</v>
      </c>
      <c r="G17528" t="str">
        <v>-</v>
      </c>
    </row>
    <row r="17529">
      <c r="B17529" t="str">
        <v>UBND Ủy ban nhân dân xã Thuận Minh  tỉnh Bình Thuận</v>
      </c>
      <c r="C17529" t="str">
        <v>-</v>
      </c>
      <c r="D17529" t="str">
        <v>-</v>
      </c>
      <c r="E17529" t="str">
        <v>-</v>
      </c>
      <c r="F17529" t="str">
        <v>-</v>
      </c>
      <c r="G17529" t="str">
        <v>-</v>
      </c>
    </row>
    <row r="17530">
      <c r="B17530" t="str">
        <v>Công an xã Hồng Sơn  tỉnh Bình Thuận</v>
      </c>
      <c r="C17530" t="str">
        <v>-</v>
      </c>
      <c r="D17530" t="str">
        <v>-</v>
      </c>
      <c r="E17530" t="str">
        <v/>
      </c>
      <c r="F17530" t="str">
        <v>-</v>
      </c>
      <c r="G17530" t="str">
        <v>-</v>
      </c>
    </row>
    <row r="17531">
      <c r="B17531" t="str">
        <v>UBND Ủy ban nhân dân xã Hồng Sơn  tỉnh Bình Thuận</v>
      </c>
      <c r="C17531" t="str">
        <v>-</v>
      </c>
      <c r="D17531" t="str">
        <v>-</v>
      </c>
      <c r="E17531" t="str">
        <v>-</v>
      </c>
      <c r="F17531" t="str">
        <v>-</v>
      </c>
      <c r="G17531" t="str">
        <v>-</v>
      </c>
    </row>
    <row r="17532">
      <c r="B17532" t="str">
        <v>Công an xã Hàm Trí  tỉnh Bình Thuận</v>
      </c>
      <c r="C17532" t="str">
        <v>-</v>
      </c>
      <c r="D17532" t="str">
        <v>-</v>
      </c>
      <c r="E17532" t="str">
        <v/>
      </c>
      <c r="F17532" t="str">
        <v>-</v>
      </c>
      <c r="G17532" t="str">
        <v>-</v>
      </c>
    </row>
    <row r="17533">
      <c r="B17533" t="str">
        <v>UBND Ủy ban nhân dân xã Hàm Trí  tỉnh Bình Thuận</v>
      </c>
      <c r="C17533" t="str">
        <v>-</v>
      </c>
      <c r="D17533" t="str">
        <v>-</v>
      </c>
      <c r="E17533" t="str">
        <v>-</v>
      </c>
      <c r="F17533" t="str">
        <v>-</v>
      </c>
      <c r="G17533" t="str">
        <v>-</v>
      </c>
    </row>
    <row r="17534">
      <c r="B17534" t="str">
        <v>Công an xã Hàm Đức  tỉnh Bình Thuận</v>
      </c>
      <c r="C17534" t="str">
        <v>-</v>
      </c>
      <c r="D17534" t="str">
        <v>-</v>
      </c>
      <c r="E17534" t="str">
        <v/>
      </c>
      <c r="F17534" t="str">
        <v>-</v>
      </c>
      <c r="G17534" t="str">
        <v>-</v>
      </c>
    </row>
    <row r="17535">
      <c r="B17535" t="str">
        <v>UBND Ủy ban nhân dân xã Hàm Đức  tỉnh Bình Thuận</v>
      </c>
      <c r="C17535" t="str">
        <v>-</v>
      </c>
      <c r="D17535" t="str">
        <v>-</v>
      </c>
      <c r="E17535" t="str">
        <v>-</v>
      </c>
      <c r="F17535" t="str">
        <v>-</v>
      </c>
      <c r="G17535" t="str">
        <v>-</v>
      </c>
    </row>
    <row r="17536">
      <c r="B17536" t="str">
        <v>Công an xã Hàm Liêm  tỉnh Bình Thuận</v>
      </c>
      <c r="C17536" t="str">
        <v>-</v>
      </c>
      <c r="D17536" t="str">
        <v>-</v>
      </c>
      <c r="E17536" t="str">
        <v/>
      </c>
      <c r="F17536" t="str">
        <v>-</v>
      </c>
      <c r="G17536" t="str">
        <v>-</v>
      </c>
    </row>
    <row r="17537">
      <c r="B17537" t="str">
        <v>UBND Ủy ban nhân dân xã Hàm Liêm  tỉnh Bình Thuận</v>
      </c>
      <c r="C17537" t="str">
        <v>-</v>
      </c>
      <c r="D17537" t="str">
        <v>-</v>
      </c>
      <c r="E17537" t="str">
        <v>-</v>
      </c>
      <c r="F17537" t="str">
        <v>-</v>
      </c>
      <c r="G17537" t="str">
        <v>-</v>
      </c>
    </row>
    <row r="17538">
      <c r="B17538" t="str">
        <v>Công an xã Hàm Chính  tỉnh Bình Thuận</v>
      </c>
      <c r="C17538" t="str">
        <v>-</v>
      </c>
      <c r="D17538" t="str">
        <v>-</v>
      </c>
      <c r="E17538" t="str">
        <v/>
      </c>
      <c r="F17538" t="str">
        <v>-</v>
      </c>
      <c r="G17538" t="str">
        <v>-</v>
      </c>
    </row>
    <row r="17539">
      <c r="B17539" t="str">
        <v>UBND Ủy ban nhân dân xã Hàm Chính  tỉnh Bình Thuận</v>
      </c>
      <c r="C17539" t="str">
        <v>-</v>
      </c>
      <c r="D17539" t="str">
        <v>-</v>
      </c>
      <c r="E17539" t="str">
        <v>-</v>
      </c>
      <c r="F17539" t="str">
        <v>-</v>
      </c>
      <c r="G17539" t="str">
        <v>-</v>
      </c>
    </row>
    <row r="17540">
      <c r="B17540" t="str">
        <v>Công an xã Hàm Hiệp  tỉnh Bình Thuận</v>
      </c>
      <c r="C17540" t="str">
        <v>-</v>
      </c>
      <c r="D17540" t="str">
        <v>-</v>
      </c>
      <c r="E17540" t="str">
        <v/>
      </c>
      <c r="F17540" t="str">
        <v>-</v>
      </c>
      <c r="G17540" t="str">
        <v>-</v>
      </c>
    </row>
    <row r="17541">
      <c r="B17541" t="str">
        <v>UBND Ủy ban nhân dân xã Hàm Hiệp  tỉnh Bình Thuận</v>
      </c>
      <c r="C17541" t="str">
        <v>-</v>
      </c>
      <c r="D17541" t="str">
        <v>-</v>
      </c>
      <c r="E17541" t="str">
        <v>-</v>
      </c>
      <c r="F17541" t="str">
        <v>-</v>
      </c>
      <c r="G17541" t="str">
        <v>-</v>
      </c>
    </row>
    <row r="17542">
      <c r="B17542" t="str">
        <v>Công an xã Hàm Thắng  tỉnh Bình Thuận</v>
      </c>
      <c r="C17542" t="str">
        <v>-</v>
      </c>
      <c r="D17542" t="str">
        <v>-</v>
      </c>
      <c r="E17542" t="str">
        <v/>
      </c>
      <c r="F17542" t="str">
        <v>-</v>
      </c>
      <c r="G17542" t="str">
        <v>-</v>
      </c>
    </row>
    <row r="17543">
      <c r="B17543" t="str">
        <v>UBND Ủy ban nhân dân xã Hàm Thắng  tỉnh Bình Thuận</v>
      </c>
      <c r="C17543" t="str">
        <v>-</v>
      </c>
      <c r="D17543" t="str">
        <v>-</v>
      </c>
      <c r="E17543" t="str">
        <v>-</v>
      </c>
      <c r="F17543" t="str">
        <v>-</v>
      </c>
      <c r="G17543" t="str">
        <v>-</v>
      </c>
    </row>
    <row r="17544">
      <c r="B17544" t="str">
        <v>Công an xã Đa Mi  tỉnh Bình Thuận</v>
      </c>
      <c r="C17544" t="str">
        <v>-</v>
      </c>
      <c r="D17544" t="str">
        <v>-</v>
      </c>
      <c r="E17544" t="str">
        <v/>
      </c>
      <c r="F17544" t="str">
        <v>-</v>
      </c>
      <c r="G17544" t="str">
        <v>-</v>
      </c>
    </row>
    <row r="17545">
      <c r="B17545" t="str">
        <v>UBND Ủy ban nhân dân xã Đa Mi  tỉnh Bình Thuận</v>
      </c>
      <c r="C17545" t="str">
        <v>-</v>
      </c>
      <c r="D17545" t="str">
        <v>-</v>
      </c>
      <c r="E17545" t="str">
        <v>-</v>
      </c>
      <c r="F17545" t="str">
        <v>-</v>
      </c>
      <c r="G17545" t="str">
        <v>-</v>
      </c>
    </row>
    <row r="17546">
      <c r="B17546" t="str">
        <v>Công an xã Mỹ Thạnh  tỉnh Bình Thuận</v>
      </c>
      <c r="C17546" t="str">
        <v>-</v>
      </c>
      <c r="D17546" t="str">
        <v>-</v>
      </c>
      <c r="E17546" t="str">
        <v/>
      </c>
      <c r="F17546" t="str">
        <v>-</v>
      </c>
      <c r="G17546" t="str">
        <v>-</v>
      </c>
    </row>
    <row r="17547">
      <c r="B17547" t="str">
        <v>UBND Ủy ban nhân dân xã Mỹ Thạnh  tỉnh Bình Thuận</v>
      </c>
      <c r="C17547" t="str">
        <v>-</v>
      </c>
      <c r="D17547" t="str">
        <v>-</v>
      </c>
      <c r="E17547" t="str">
        <v>-</v>
      </c>
      <c r="F17547" t="str">
        <v>-</v>
      </c>
      <c r="G17547" t="str">
        <v>-</v>
      </c>
    </row>
    <row r="17548">
      <c r="B17548" t="str">
        <v>Công an xã Hàm Cần  tỉnh Bình Thuận</v>
      </c>
      <c r="C17548" t="str">
        <v>-</v>
      </c>
      <c r="D17548" t="str">
        <v>-</v>
      </c>
      <c r="E17548" t="str">
        <v/>
      </c>
      <c r="F17548" t="str">
        <v>-</v>
      </c>
      <c r="G17548" t="str">
        <v>-</v>
      </c>
    </row>
    <row r="17549">
      <c r="B17549" t="str">
        <v>UBND Ủy ban nhân dân xã Hàm Cần  tỉnh Bình Thuận</v>
      </c>
      <c r="C17549" t="str">
        <v>-</v>
      </c>
      <c r="D17549" t="str">
        <v>-</v>
      </c>
      <c r="E17549" t="str">
        <v>-</v>
      </c>
      <c r="F17549" t="str">
        <v>-</v>
      </c>
      <c r="G17549" t="str">
        <v>-</v>
      </c>
    </row>
    <row r="17550">
      <c r="B17550" t="str">
        <v>Công an xã Mương Mán  tỉnh Bình Thuận</v>
      </c>
      <c r="C17550" t="str">
        <v>-</v>
      </c>
      <c r="D17550" t="str">
        <v>-</v>
      </c>
      <c r="E17550" t="str">
        <v/>
      </c>
      <c r="F17550" t="str">
        <v>-</v>
      </c>
      <c r="G17550" t="str">
        <v>-</v>
      </c>
    </row>
    <row r="17551">
      <c r="B17551" t="str">
        <v>UBND Ủy ban nhân dân xã Mương Mán  tỉnh Bình Thuận</v>
      </c>
      <c r="C17551" t="str">
        <v>-</v>
      </c>
      <c r="D17551" t="str">
        <v>-</v>
      </c>
      <c r="E17551" t="str">
        <v>-</v>
      </c>
      <c r="F17551" t="str">
        <v>-</v>
      </c>
      <c r="G17551" t="str">
        <v>-</v>
      </c>
    </row>
    <row r="17552">
      <c r="B17552" t="str">
        <v>Công an xã Hàm Thạnh  tỉnh Bình Thuận</v>
      </c>
      <c r="C17552" t="str">
        <v>-</v>
      </c>
      <c r="D17552" t="str">
        <v>-</v>
      </c>
      <c r="E17552" t="str">
        <v/>
      </c>
      <c r="F17552" t="str">
        <v>-</v>
      </c>
      <c r="G17552" t="str">
        <v>-</v>
      </c>
    </row>
    <row r="17553">
      <c r="B17553" t="str">
        <v>UBND Ủy ban nhân dân xã Hàm Thạnh  tỉnh Bình Thuận</v>
      </c>
      <c r="C17553" t="str">
        <v>-</v>
      </c>
      <c r="D17553" t="str">
        <v>-</v>
      </c>
      <c r="E17553" t="str">
        <v>-</v>
      </c>
      <c r="F17553" t="str">
        <v>-</v>
      </c>
      <c r="G17553" t="str">
        <v>-</v>
      </c>
    </row>
    <row r="17554">
      <c r="B17554" t="str">
        <v>Công an xã Hàm Kiệm  tỉnh Bình Thuận</v>
      </c>
      <c r="C17554" t="str">
        <v>-</v>
      </c>
      <c r="D17554" t="str">
        <v>-</v>
      </c>
      <c r="E17554" t="str">
        <v/>
      </c>
      <c r="F17554" t="str">
        <v>-</v>
      </c>
      <c r="G17554" t="str">
        <v>-</v>
      </c>
    </row>
    <row r="17555">
      <c r="B17555" t="str">
        <v>UBND Ủy ban nhân dân xã Hàm Kiệm  tỉnh Bình Thuận</v>
      </c>
      <c r="C17555" t="str">
        <v>-</v>
      </c>
      <c r="D17555" t="str">
        <v>-</v>
      </c>
      <c r="E17555" t="str">
        <v>-</v>
      </c>
      <c r="F17555" t="str">
        <v>-</v>
      </c>
      <c r="G17555" t="str">
        <v>-</v>
      </c>
    </row>
    <row r="17556">
      <c r="B17556" t="str">
        <v>Công an xã Hàm Cường  tỉnh Bình Thuận</v>
      </c>
      <c r="C17556" t="str">
        <v>-</v>
      </c>
      <c r="D17556" t="str">
        <v>-</v>
      </c>
      <c r="E17556" t="str">
        <v/>
      </c>
      <c r="F17556" t="str">
        <v>-</v>
      </c>
      <c r="G17556" t="str">
        <v>-</v>
      </c>
    </row>
    <row r="17557">
      <c r="B17557" t="str">
        <v>UBND Ủy ban nhân dân xã Hàm Cường  tỉnh Bình Thuận</v>
      </c>
      <c r="C17557" t="str">
        <v>-</v>
      </c>
      <c r="D17557" t="str">
        <v>-</v>
      </c>
      <c r="E17557" t="str">
        <v>-</v>
      </c>
      <c r="F17557" t="str">
        <v>-</v>
      </c>
      <c r="G17557" t="str">
        <v>-</v>
      </c>
    </row>
    <row r="17558">
      <c r="B17558" t="str">
        <v>Công an xã Hàm Mỹ  tỉnh Bình Thuận</v>
      </c>
      <c r="C17558" t="str">
        <v>-</v>
      </c>
      <c r="D17558" t="str">
        <v>-</v>
      </c>
      <c r="E17558" t="str">
        <v/>
      </c>
      <c r="F17558" t="str">
        <v>-</v>
      </c>
      <c r="G17558" t="str">
        <v>-</v>
      </c>
    </row>
    <row r="17559">
      <c r="B17559" t="str">
        <v>UBND Ủy ban nhân dân xã Hàm Mỹ  tỉnh Bình Thuận</v>
      </c>
      <c r="C17559" t="str">
        <v>-</v>
      </c>
      <c r="D17559" t="str">
        <v>-</v>
      </c>
      <c r="E17559" t="str">
        <v>-</v>
      </c>
      <c r="F17559" t="str">
        <v>-</v>
      </c>
      <c r="G17559" t="str">
        <v>-</v>
      </c>
    </row>
    <row r="17560">
      <c r="B17560" t="str">
        <v>Công an xã Tân Lập  tỉnh Bình Thuận</v>
      </c>
      <c r="C17560" t="str">
        <v>-</v>
      </c>
      <c r="D17560" t="str">
        <v>-</v>
      </c>
      <c r="E17560" t="str">
        <v/>
      </c>
      <c r="F17560" t="str">
        <v>-</v>
      </c>
      <c r="G17560" t="str">
        <v>-</v>
      </c>
    </row>
    <row r="17561">
      <c r="B17561" t="str">
        <v>UBND Ủy ban nhân dân xã Tân Lập  tỉnh Bình Thuận</v>
      </c>
      <c r="C17561" t="str">
        <v>-</v>
      </c>
      <c r="D17561" t="str">
        <v>-</v>
      </c>
      <c r="E17561" t="str">
        <v>-</v>
      </c>
      <c r="F17561" t="str">
        <v>-</v>
      </c>
      <c r="G17561" t="str">
        <v>-</v>
      </c>
    </row>
    <row r="17562">
      <c r="B17562" t="str">
        <v>Công an xã Hàm Minh  tỉnh Bình Thuận</v>
      </c>
      <c r="C17562" t="str">
        <v>-</v>
      </c>
      <c r="D17562" t="str">
        <v>-</v>
      </c>
      <c r="E17562" t="str">
        <v/>
      </c>
      <c r="F17562" t="str">
        <v>-</v>
      </c>
      <c r="G17562" t="str">
        <v>-</v>
      </c>
    </row>
    <row r="17563">
      <c r="B17563" t="str">
        <v>UBND Ủy ban nhân dân xã Hàm Minh  tỉnh Bình Thuận</v>
      </c>
      <c r="C17563" t="str">
        <v>-</v>
      </c>
      <c r="D17563" t="str">
        <v>-</v>
      </c>
      <c r="E17563" t="str">
        <v>-</v>
      </c>
      <c r="F17563" t="str">
        <v>-</v>
      </c>
      <c r="G17563" t="str">
        <v>-</v>
      </c>
    </row>
    <row r="17564">
      <c r="B17564" t="str">
        <v>Công an xã Thuận Quí  tỉnh Bình Thuận</v>
      </c>
      <c r="C17564" t="str">
        <v>-</v>
      </c>
      <c r="D17564" t="str">
        <v>-</v>
      </c>
      <c r="E17564" t="str">
        <v/>
      </c>
      <c r="F17564" t="str">
        <v>-</v>
      </c>
      <c r="G17564" t="str">
        <v>-</v>
      </c>
    </row>
    <row r="17565">
      <c r="B17565" t="str">
        <v>UBND Ủy ban nhân dân xã Thuận Quí  tỉnh Bình Thuận</v>
      </c>
      <c r="C17565" t="str">
        <v>-</v>
      </c>
      <c r="D17565" t="str">
        <v>-</v>
      </c>
      <c r="E17565" t="str">
        <v>-</v>
      </c>
      <c r="F17565" t="str">
        <v>-</v>
      </c>
      <c r="G17565" t="str">
        <v>-</v>
      </c>
    </row>
    <row r="17566">
      <c r="B17566" t="str">
        <v>Công an xã Tân Thuận  tỉnh Bình Thuận</v>
      </c>
      <c r="C17566" t="str">
        <v>-</v>
      </c>
      <c r="D17566" t="str">
        <v>-</v>
      </c>
      <c r="E17566" t="str">
        <v/>
      </c>
      <c r="F17566" t="str">
        <v>-</v>
      </c>
      <c r="G17566" t="str">
        <v>-</v>
      </c>
    </row>
    <row r="17567">
      <c r="B17567" t="str">
        <v>UBND Ủy ban nhân dân xã Tân Thuận  tỉnh Bình Thuận</v>
      </c>
      <c r="C17567" t="str">
        <v>-</v>
      </c>
      <c r="D17567" t="str">
        <v>-</v>
      </c>
      <c r="E17567" t="str">
        <v>-</v>
      </c>
      <c r="F17567" t="str">
        <v>-</v>
      </c>
      <c r="G17567" t="str">
        <v>-</v>
      </c>
    </row>
    <row r="17568">
      <c r="B17568" t="str">
        <v>Công an xã Tân Thành  tỉnh Bình Thuận</v>
      </c>
      <c r="C17568" t="str">
        <v>-</v>
      </c>
      <c r="D17568" t="str">
        <v>-</v>
      </c>
      <c r="E17568" t="str">
        <v/>
      </c>
      <c r="F17568" t="str">
        <v>-</v>
      </c>
      <c r="G17568" t="str">
        <v>-</v>
      </c>
    </row>
    <row r="17569">
      <c r="B17569" t="str">
        <v>UBND Ủy ban nhân dân xã Tân Thành  tỉnh Bình Thuận</v>
      </c>
      <c r="C17569" t="str">
        <v>-</v>
      </c>
      <c r="D17569" t="str">
        <v>-</v>
      </c>
      <c r="E17569" t="str">
        <v>-</v>
      </c>
      <c r="F17569" t="str">
        <v>-</v>
      </c>
      <c r="G17569" t="str">
        <v>-</v>
      </c>
    </row>
    <row r="17570">
      <c r="B17570" t="str">
        <v>Công an xã Bắc Ruộng  tỉnh Bình Thuận</v>
      </c>
      <c r="C17570" t="str">
        <v>-</v>
      </c>
      <c r="D17570" t="str">
        <v>-</v>
      </c>
      <c r="E17570" t="str">
        <v/>
      </c>
      <c r="F17570" t="str">
        <v>-</v>
      </c>
      <c r="G17570" t="str">
        <v>-</v>
      </c>
    </row>
    <row r="17571">
      <c r="B17571" t="str">
        <v>UBND Ủy ban nhân dân xã Bắc Ruộng  tỉnh Bình Thuận</v>
      </c>
      <c r="C17571" t="str">
        <v>-</v>
      </c>
      <c r="D17571" t="str">
        <v>-</v>
      </c>
      <c r="E17571" t="str">
        <v>-</v>
      </c>
      <c r="F17571" t="str">
        <v>-</v>
      </c>
      <c r="G17571" t="str">
        <v>-</v>
      </c>
    </row>
    <row r="17572">
      <c r="B17572" t="str">
        <v>Công an xã Măng Tố  tỉnh Bình Thuận</v>
      </c>
      <c r="C17572" t="str">
        <v>-</v>
      </c>
      <c r="D17572" t="str">
        <v>-</v>
      </c>
      <c r="E17572" t="str">
        <v/>
      </c>
      <c r="F17572" t="str">
        <v>-</v>
      </c>
      <c r="G17572" t="str">
        <v>-</v>
      </c>
    </row>
    <row r="17573">
      <c r="B17573" t="str">
        <v>UBND Ủy ban nhân dân xã Măng Tố  tỉnh Bình Thuận</v>
      </c>
      <c r="C17573" t="str">
        <v>-</v>
      </c>
      <c r="D17573" t="str">
        <v>-</v>
      </c>
      <c r="E17573" t="str">
        <v>-</v>
      </c>
      <c r="F17573" t="str">
        <v>-</v>
      </c>
      <c r="G17573" t="str">
        <v>-</v>
      </c>
    </row>
    <row r="17574">
      <c r="B17574" t="str">
        <v>Công an xã Nghị Đức  tỉnh Bình Thuận</v>
      </c>
      <c r="C17574" t="str">
        <v>-</v>
      </c>
      <c r="D17574" t="str">
        <v>-</v>
      </c>
      <c r="E17574" t="str">
        <v/>
      </c>
      <c r="F17574" t="str">
        <v>-</v>
      </c>
      <c r="G17574" t="str">
        <v>-</v>
      </c>
    </row>
    <row r="17575">
      <c r="B17575" t="str">
        <v>UBND Ủy ban nhân dân xã Nghị Đức  tỉnh Bình Thuận</v>
      </c>
      <c r="C17575" t="str">
        <v>-</v>
      </c>
      <c r="D17575" t="str">
        <v>-</v>
      </c>
      <c r="E17575" t="str">
        <v>-</v>
      </c>
      <c r="F17575" t="str">
        <v>-</v>
      </c>
      <c r="G17575" t="str">
        <v>-</v>
      </c>
    </row>
    <row r="17576">
      <c r="B17576" t="str">
        <v>Công an xã La Ngâu  tỉnh Bình Thuận</v>
      </c>
      <c r="C17576" t="str">
        <v>-</v>
      </c>
      <c r="D17576" t="str">
        <v>-</v>
      </c>
      <c r="E17576" t="str">
        <v/>
      </c>
      <c r="F17576" t="str">
        <v>-</v>
      </c>
      <c r="G17576" t="str">
        <v>-</v>
      </c>
    </row>
    <row r="17577">
      <c r="B17577" t="str">
        <v>UBND Ủy ban nhân dân xã La Ngâu  tỉnh Bình Thuận</v>
      </c>
      <c r="C17577" t="str">
        <v>-</v>
      </c>
      <c r="D17577" t="str">
        <v>-</v>
      </c>
      <c r="E17577" t="str">
        <v>-</v>
      </c>
      <c r="F17577" t="str">
        <v>-</v>
      </c>
      <c r="G17577" t="str">
        <v>-</v>
      </c>
    </row>
    <row r="17578">
      <c r="B17578" t="str">
        <v>Công an xã Huy Khiêm  tỉnh Bình Thuận</v>
      </c>
      <c r="C17578" t="str">
        <v>-</v>
      </c>
      <c r="D17578" t="str">
        <v>-</v>
      </c>
      <c r="E17578" t="str">
        <v/>
      </c>
      <c r="F17578" t="str">
        <v>-</v>
      </c>
      <c r="G17578" t="str">
        <v>-</v>
      </c>
    </row>
    <row r="17579">
      <c r="B17579" t="str">
        <v>UBND Ủy ban nhân dân xã Huy Khiêm  tỉnh Bình Thuận</v>
      </c>
      <c r="C17579" t="str">
        <v>-</v>
      </c>
      <c r="D17579" t="str">
        <v>-</v>
      </c>
      <c r="E17579" t="str">
        <v>-</v>
      </c>
      <c r="F17579" t="str">
        <v>-</v>
      </c>
      <c r="G17579" t="str">
        <v>-</v>
      </c>
    </row>
    <row r="17580">
      <c r="B17580" t="str">
        <v>Công an xã Đức Tân  tỉnh Bình Thuận</v>
      </c>
      <c r="C17580" t="str">
        <v>-</v>
      </c>
      <c r="D17580" t="str">
        <v>-</v>
      </c>
      <c r="E17580" t="str">
        <v/>
      </c>
      <c r="F17580" t="str">
        <v>-</v>
      </c>
      <c r="G17580" t="str">
        <v>-</v>
      </c>
    </row>
    <row r="17581">
      <c r="B17581" t="str">
        <v>UBND Ủy ban nhân dân xã Đức Tân  tỉnh Bình Thuận</v>
      </c>
      <c r="C17581" t="str">
        <v>-</v>
      </c>
      <c r="D17581" t="str">
        <v>-</v>
      </c>
      <c r="E17581" t="str">
        <v>-</v>
      </c>
      <c r="F17581" t="str">
        <v>-</v>
      </c>
      <c r="G17581" t="str">
        <v>-</v>
      </c>
    </row>
    <row r="17582">
      <c r="B17582" t="str">
        <v>Công an xã Đức Phú  tỉnh Bình Thuận</v>
      </c>
      <c r="C17582" t="str">
        <v>-</v>
      </c>
      <c r="D17582" t="str">
        <v>-</v>
      </c>
      <c r="E17582" t="str">
        <v/>
      </c>
      <c r="F17582" t="str">
        <v>-</v>
      </c>
      <c r="G17582" t="str">
        <v>-</v>
      </c>
    </row>
    <row r="17583">
      <c r="B17583" t="str">
        <v>UBND Ủy ban nhân dân xã Đức Phú  tỉnh Bình Thuận</v>
      </c>
      <c r="C17583" t="str">
        <v>-</v>
      </c>
      <c r="D17583" t="str">
        <v>-</v>
      </c>
      <c r="E17583" t="str">
        <v>-</v>
      </c>
      <c r="F17583" t="str">
        <v>-</v>
      </c>
      <c r="G17583" t="str">
        <v>-</v>
      </c>
    </row>
    <row r="17584">
      <c r="B17584" t="str">
        <v>Công an xã Đồng Kho  tỉnh Bình Thuận</v>
      </c>
      <c r="C17584" t="str">
        <v>-</v>
      </c>
      <c r="D17584" t="str">
        <v>-</v>
      </c>
      <c r="E17584" t="str">
        <v/>
      </c>
      <c r="F17584" t="str">
        <v>-</v>
      </c>
      <c r="G17584" t="str">
        <v>-</v>
      </c>
    </row>
    <row r="17585">
      <c r="B17585" t="str">
        <v>UBND Ủy ban nhân dân xã Đồng Kho  tỉnh Bình Thuận</v>
      </c>
      <c r="C17585" t="str">
        <v>-</v>
      </c>
      <c r="D17585" t="str">
        <v>-</v>
      </c>
      <c r="E17585" t="str">
        <v>-</v>
      </c>
      <c r="F17585" t="str">
        <v>-</v>
      </c>
      <c r="G17585" t="str">
        <v>-</v>
      </c>
    </row>
    <row r="17586">
      <c r="B17586" t="str">
        <v>Công an xã Gia An  tỉnh Bình Thuận</v>
      </c>
      <c r="C17586" t="str">
        <v>-</v>
      </c>
      <c r="D17586" t="str">
        <v>-</v>
      </c>
      <c r="E17586" t="str">
        <v/>
      </c>
      <c r="F17586" t="str">
        <v>-</v>
      </c>
      <c r="G17586" t="str">
        <v>-</v>
      </c>
    </row>
    <row r="17587">
      <c r="B17587" t="str">
        <v>UBND Ủy ban nhân dân xã Gia An  tỉnh Bình Thuận</v>
      </c>
      <c r="C17587" t="str">
        <v>-</v>
      </c>
      <c r="D17587" t="str">
        <v>-</v>
      </c>
      <c r="E17587" t="str">
        <v>-</v>
      </c>
      <c r="F17587" t="str">
        <v>-</v>
      </c>
      <c r="G17587" t="str">
        <v>-</v>
      </c>
    </row>
    <row r="17588">
      <c r="B17588" t="str">
        <v>Công an xã Đức Bình  tỉnh Bình Thuận</v>
      </c>
      <c r="C17588" t="str">
        <v>-</v>
      </c>
      <c r="D17588" t="str">
        <v>-</v>
      </c>
      <c r="E17588" t="str">
        <v/>
      </c>
      <c r="F17588" t="str">
        <v>-</v>
      </c>
      <c r="G17588" t="str">
        <v>-</v>
      </c>
    </row>
    <row r="17589">
      <c r="B17589" t="str">
        <v>UBND Ủy ban nhân dân xã Đức Bình  tỉnh Bình Thuận</v>
      </c>
      <c r="C17589" t="str">
        <v>-</v>
      </c>
      <c r="D17589" t="str">
        <v>-</v>
      </c>
      <c r="E17589" t="str">
        <v>-</v>
      </c>
      <c r="F17589" t="str">
        <v>-</v>
      </c>
      <c r="G17589" t="str">
        <v>-</v>
      </c>
    </row>
    <row r="17590">
      <c r="B17590" t="str">
        <v>Công an xã Gia Huynh  tỉnh Bình Thuận</v>
      </c>
      <c r="C17590" t="str">
        <v>-</v>
      </c>
      <c r="D17590" t="str">
        <v>-</v>
      </c>
      <c r="E17590" t="str">
        <v/>
      </c>
      <c r="F17590" t="str">
        <v>-</v>
      </c>
      <c r="G17590" t="str">
        <v>-</v>
      </c>
    </row>
    <row r="17591">
      <c r="B17591" t="str">
        <v>UBND Ủy ban nhân dân xã Gia Huynh  tỉnh Bình Thuận</v>
      </c>
      <c r="C17591" t="str">
        <v>-</v>
      </c>
      <c r="D17591" t="str">
        <v>-</v>
      </c>
      <c r="E17591" t="str">
        <v>-</v>
      </c>
      <c r="F17591" t="str">
        <v>-</v>
      </c>
      <c r="G17591" t="str">
        <v>-</v>
      </c>
    </row>
    <row r="17592">
      <c r="B17592" t="str">
        <v>Công an xã Đức Thuận  tỉnh Bình Thuận</v>
      </c>
      <c r="C17592" t="str">
        <v>-</v>
      </c>
      <c r="D17592" t="str">
        <v>-</v>
      </c>
      <c r="E17592" t="str">
        <v/>
      </c>
      <c r="F17592" t="str">
        <v>-</v>
      </c>
      <c r="G17592" t="str">
        <v>-</v>
      </c>
    </row>
    <row r="17593">
      <c r="B17593" t="str">
        <v>UBND Ủy ban nhân dân xã Đức Thuận  tỉnh Bình Thuận</v>
      </c>
      <c r="C17593" t="str">
        <v>-</v>
      </c>
      <c r="D17593" t="str">
        <v>-</v>
      </c>
      <c r="E17593" t="str">
        <v>-</v>
      </c>
      <c r="F17593" t="str">
        <v>-</v>
      </c>
      <c r="G17593" t="str">
        <v>-</v>
      </c>
    </row>
    <row r="17594">
      <c r="B17594" t="str">
        <v>Công an xã Suối Kiết  tỉnh Bình Thuận</v>
      </c>
      <c r="C17594" t="str">
        <v>-</v>
      </c>
      <c r="D17594" t="str">
        <v>-</v>
      </c>
      <c r="E17594" t="str">
        <v/>
      </c>
      <c r="F17594" t="str">
        <v>-</v>
      </c>
      <c r="G17594" t="str">
        <v>-</v>
      </c>
    </row>
    <row r="17595">
      <c r="B17595" t="str">
        <v>UBND Ủy ban nhân dân xã Suối Kiết  tỉnh Bình Thuận</v>
      </c>
      <c r="C17595" t="str">
        <v>-</v>
      </c>
      <c r="D17595" t="str">
        <v>-</v>
      </c>
      <c r="E17595" t="str">
        <v>-</v>
      </c>
      <c r="F17595" t="str">
        <v>-</v>
      </c>
      <c r="G17595" t="str">
        <v>-</v>
      </c>
    </row>
    <row r="17596">
      <c r="B17596" t="str">
        <v>Công an xã Đa Kai  tỉnh Bình Thuận</v>
      </c>
      <c r="C17596" t="str">
        <v>-</v>
      </c>
      <c r="D17596" t="str">
        <v>-</v>
      </c>
      <c r="E17596" t="str">
        <v/>
      </c>
      <c r="F17596" t="str">
        <v>-</v>
      </c>
      <c r="G17596" t="str">
        <v>-</v>
      </c>
    </row>
    <row r="17597">
      <c r="B17597" t="str">
        <v>UBND Ủy ban nhân dân xã Đa Kai  tỉnh Bình Thuận</v>
      </c>
      <c r="C17597" t="str">
        <v>-</v>
      </c>
      <c r="D17597" t="str">
        <v>-</v>
      </c>
      <c r="E17597" t="str">
        <v>-</v>
      </c>
      <c r="F17597" t="str">
        <v>-</v>
      </c>
      <c r="G17597" t="str">
        <v>-</v>
      </c>
    </row>
    <row r="17598">
      <c r="B17598" t="str">
        <v>Công an xã Sùng Nhơn  tỉnh Bình Thuận</v>
      </c>
      <c r="C17598" t="str">
        <v>-</v>
      </c>
      <c r="D17598" t="str">
        <v>-</v>
      </c>
      <c r="E17598" t="str">
        <v/>
      </c>
      <c r="F17598" t="str">
        <v>-</v>
      </c>
      <c r="G17598" t="str">
        <v>-</v>
      </c>
    </row>
    <row r="17599">
      <c r="B17599" t="str">
        <v>UBND Ủy ban nhân dân xã Sùng Nhơn  tỉnh Bình Thuận</v>
      </c>
      <c r="C17599" t="str">
        <v>-</v>
      </c>
      <c r="D17599" t="str">
        <v>-</v>
      </c>
      <c r="E17599" t="str">
        <v>-</v>
      </c>
      <c r="F17599" t="str">
        <v>-</v>
      </c>
      <c r="G17599" t="str">
        <v>-</v>
      </c>
    </row>
    <row r="17600">
      <c r="B17600" t="str">
        <v>Công an xã Mê Pu  tỉnh Bình Thuận</v>
      </c>
      <c r="C17600" t="str">
        <v>-</v>
      </c>
      <c r="D17600" t="str">
        <v>-</v>
      </c>
      <c r="E17600" t="str">
        <v/>
      </c>
      <c r="F17600" t="str">
        <v>-</v>
      </c>
      <c r="G17600" t="str">
        <v>-</v>
      </c>
    </row>
    <row r="17601">
      <c r="B17601" t="str">
        <v>UBND Ủy ban nhân dân xã Mê Pu  tỉnh Bình Thuận</v>
      </c>
      <c r="C17601" t="str">
        <v>-</v>
      </c>
      <c r="D17601" t="str">
        <v>-</v>
      </c>
      <c r="E17601" t="str">
        <v>-</v>
      </c>
      <c r="F17601" t="str">
        <v>-</v>
      </c>
      <c r="G17601" t="str">
        <v>-</v>
      </c>
    </row>
    <row r="17602">
      <c r="B17602" t="str">
        <v>Công an xã Nam Chính  tỉnh Bình Thuận</v>
      </c>
      <c r="C17602" t="str">
        <v>-</v>
      </c>
      <c r="D17602" t="str">
        <v>-</v>
      </c>
      <c r="E17602" t="str">
        <v/>
      </c>
      <c r="F17602" t="str">
        <v>-</v>
      </c>
      <c r="G17602" t="str">
        <v>-</v>
      </c>
    </row>
    <row r="17603">
      <c r="B17603" t="str">
        <v>UBND Ủy ban nhân dân xã Nam Chính  tỉnh Bình Thuận</v>
      </c>
      <c r="C17603" t="str">
        <v>-</v>
      </c>
      <c r="D17603" t="str">
        <v>-</v>
      </c>
      <c r="E17603" t="str">
        <v>-</v>
      </c>
      <c r="F17603" t="str">
        <v>-</v>
      </c>
      <c r="G17603" t="str">
        <v>-</v>
      </c>
    </row>
    <row r="17604">
      <c r="B17604" t="str">
        <v>Công an xã Đức Chính  tỉnh Bình Thuận</v>
      </c>
      <c r="C17604" t="str">
        <v>-</v>
      </c>
      <c r="D17604" t="str">
        <v>-</v>
      </c>
      <c r="E17604" t="str">
        <v/>
      </c>
      <c r="F17604" t="str">
        <v>-</v>
      </c>
      <c r="G17604" t="str">
        <v>-</v>
      </c>
    </row>
    <row r="17605">
      <c r="B17605" t="str">
        <v>UBND Ủy ban nhân dân xã Đức Chính  tỉnh Bình Thuận</v>
      </c>
      <c r="C17605" t="str">
        <v>-</v>
      </c>
      <c r="D17605" t="str">
        <v>-</v>
      </c>
      <c r="E17605" t="str">
        <v>-</v>
      </c>
      <c r="F17605" t="str">
        <v>-</v>
      </c>
      <c r="G17605" t="str">
        <v>-</v>
      </c>
    </row>
    <row r="17606">
      <c r="B17606" t="str">
        <v>Công an xã Đức Hạnh  tỉnh Bình Thuận</v>
      </c>
      <c r="C17606" t="str">
        <v>-</v>
      </c>
      <c r="D17606" t="str">
        <v>-</v>
      </c>
      <c r="E17606" t="str">
        <v/>
      </c>
      <c r="F17606" t="str">
        <v>-</v>
      </c>
      <c r="G17606" t="str">
        <v>-</v>
      </c>
    </row>
    <row r="17607">
      <c r="B17607" t="str">
        <v>UBND Ủy ban nhân dân xã Đức Hạnh  tỉnh Bình Thuận</v>
      </c>
      <c r="C17607" t="str">
        <v>-</v>
      </c>
      <c r="D17607" t="str">
        <v>-</v>
      </c>
      <c r="E17607" t="str">
        <v>-</v>
      </c>
      <c r="F17607" t="str">
        <v>-</v>
      </c>
      <c r="G17607" t="str">
        <v>-</v>
      </c>
    </row>
    <row r="17608">
      <c r="B17608" t="str">
        <v>Công an xã Đức Tín  tỉnh Bình Thuận</v>
      </c>
      <c r="C17608" t="str">
        <v>-</v>
      </c>
      <c r="D17608" t="str">
        <v>-</v>
      </c>
      <c r="E17608" t="str">
        <v/>
      </c>
      <c r="F17608" t="str">
        <v>-</v>
      </c>
      <c r="G17608" t="str">
        <v>-</v>
      </c>
    </row>
    <row r="17609">
      <c r="B17609" t="str">
        <v>UBND Ủy ban nhân dân xã Đức Tín  tỉnh Bình Thuận</v>
      </c>
      <c r="C17609" t="str">
        <v>-</v>
      </c>
      <c r="D17609" t="str">
        <v>-</v>
      </c>
      <c r="E17609" t="str">
        <v>-</v>
      </c>
      <c r="F17609" t="str">
        <v>-</v>
      </c>
      <c r="G17609" t="str">
        <v>-</v>
      </c>
    </row>
    <row r="17610">
      <c r="B17610" t="str">
        <v>Công an xã Vũ Hoà  tỉnh Bình Thuận</v>
      </c>
      <c r="C17610" t="str">
        <v>-</v>
      </c>
      <c r="D17610" t="str">
        <v>-</v>
      </c>
      <c r="E17610" t="str">
        <v/>
      </c>
      <c r="F17610" t="str">
        <v>-</v>
      </c>
      <c r="G17610" t="str">
        <v>-</v>
      </c>
    </row>
    <row r="17611">
      <c r="B17611" t="str">
        <v>UBND Ủy ban nhân dân xã Vũ Hoà  tỉnh Bình Thuận</v>
      </c>
      <c r="C17611" t="str">
        <v>-</v>
      </c>
      <c r="D17611" t="str">
        <v>-</v>
      </c>
      <c r="E17611" t="str">
        <v>-</v>
      </c>
      <c r="F17611" t="str">
        <v>-</v>
      </c>
      <c r="G17611" t="str">
        <v>-</v>
      </c>
    </row>
    <row r="17612">
      <c r="B17612" t="str">
        <v>Công an xã Tân Hà  tỉnh Bình Thuận</v>
      </c>
      <c r="C17612" t="str">
        <v>-</v>
      </c>
      <c r="D17612" t="str">
        <v>-</v>
      </c>
      <c r="E17612" t="str">
        <v/>
      </c>
      <c r="F17612" t="str">
        <v>-</v>
      </c>
      <c r="G17612" t="str">
        <v>-</v>
      </c>
    </row>
    <row r="17613">
      <c r="B17613" t="str">
        <v>UBND Ủy ban nhân dân xã Tân Hà  tỉnh Bình Thuận</v>
      </c>
      <c r="C17613" t="str">
        <v>-</v>
      </c>
      <c r="D17613" t="str">
        <v>-</v>
      </c>
      <c r="E17613" t="str">
        <v>-</v>
      </c>
      <c r="F17613" t="str">
        <v>-</v>
      </c>
      <c r="G17613" t="str">
        <v>-</v>
      </c>
    </row>
    <row r="17614">
      <c r="B17614" t="str">
        <v>Công an xã Đông Hà  tỉnh Bình Thuận</v>
      </c>
      <c r="C17614" t="str">
        <v>-</v>
      </c>
      <c r="D17614" t="str">
        <v>-</v>
      </c>
      <c r="E17614" t="str">
        <v/>
      </c>
      <c r="F17614" t="str">
        <v>-</v>
      </c>
      <c r="G17614" t="str">
        <v>-</v>
      </c>
    </row>
    <row r="17615">
      <c r="B17615" t="str">
        <v>UBND Ủy ban nhân dân xã Đông Hà  tỉnh Bình Thuận</v>
      </c>
      <c r="C17615" t="str">
        <v>-</v>
      </c>
      <c r="D17615" t="str">
        <v>-</v>
      </c>
      <c r="E17615" t="str">
        <v>-</v>
      </c>
      <c r="F17615" t="str">
        <v>-</v>
      </c>
      <c r="G17615" t="str">
        <v>-</v>
      </c>
    </row>
    <row r="17616">
      <c r="B17616" t="str">
        <v>Công an xã Trà Tân  tỉnh Bình Thuận</v>
      </c>
      <c r="C17616" t="str">
        <v>-</v>
      </c>
      <c r="D17616" t="str">
        <v>-</v>
      </c>
      <c r="E17616" t="str">
        <v/>
      </c>
      <c r="F17616" t="str">
        <v>-</v>
      </c>
      <c r="G17616" t="str">
        <v>-</v>
      </c>
    </row>
    <row r="17617">
      <c r="B17617" t="str">
        <v>UBND Ủy ban nhân dân xã Trà Tân  tỉnh Bình Thuận</v>
      </c>
      <c r="C17617" t="str">
        <v>-</v>
      </c>
      <c r="D17617" t="str">
        <v>-</v>
      </c>
      <c r="E17617" t="str">
        <v>-</v>
      </c>
      <c r="F17617" t="str">
        <v>-</v>
      </c>
      <c r="G17617" t="str">
        <v>-</v>
      </c>
    </row>
    <row r="17618">
      <c r="B17618" t="str">
        <v>Công an xã Sông Phan  tỉnh Bình Thuận</v>
      </c>
      <c r="C17618" t="str">
        <v>-</v>
      </c>
      <c r="D17618" t="str">
        <v>-</v>
      </c>
      <c r="E17618" t="str">
        <v/>
      </c>
      <c r="F17618" t="str">
        <v>-</v>
      </c>
      <c r="G17618" t="str">
        <v>-</v>
      </c>
    </row>
    <row r="17619">
      <c r="B17619" t="str">
        <v>UBND Ủy ban nhân dân xã Sông Phan  tỉnh Bình Thuận</v>
      </c>
      <c r="C17619" t="str">
        <v>-</v>
      </c>
      <c r="D17619" t="str">
        <v>-</v>
      </c>
      <c r="E17619" t="str">
        <v>-</v>
      </c>
      <c r="F17619" t="str">
        <v>-</v>
      </c>
      <c r="G17619" t="str">
        <v>-</v>
      </c>
    </row>
    <row r="17620">
      <c r="B17620" t="str">
        <v>Công an xã Tân Phúc  tỉnh Bình Thuận</v>
      </c>
      <c r="C17620" t="str">
        <v>-</v>
      </c>
      <c r="D17620" t="str">
        <v>-</v>
      </c>
      <c r="E17620" t="str">
        <v/>
      </c>
      <c r="F17620" t="str">
        <v>-</v>
      </c>
      <c r="G17620" t="str">
        <v>-</v>
      </c>
    </row>
    <row r="17621">
      <c r="B17621" t="str">
        <v>UBND Ủy ban nhân dân xã Tân Phúc  tỉnh Bình Thuận</v>
      </c>
      <c r="C17621" t="str">
        <v>-</v>
      </c>
      <c r="D17621" t="str">
        <v>-</v>
      </c>
      <c r="E17621" t="str">
        <v>-</v>
      </c>
      <c r="F17621" t="str">
        <v>-</v>
      </c>
      <c r="G17621" t="str">
        <v>-</v>
      </c>
    </row>
    <row r="17622">
      <c r="B17622" t="str">
        <v>Công an xã Tân Đức  tỉnh Bình Thuận</v>
      </c>
      <c r="C17622" t="str">
        <v>-</v>
      </c>
      <c r="D17622" t="str">
        <v>-</v>
      </c>
      <c r="E17622" t="str">
        <v/>
      </c>
      <c r="F17622" t="str">
        <v>-</v>
      </c>
      <c r="G17622" t="str">
        <v>-</v>
      </c>
    </row>
    <row r="17623">
      <c r="B17623" t="str">
        <v>UBND Ủy ban nhân dân xã Tân Đức  tỉnh Bình Thuận</v>
      </c>
      <c r="C17623" t="str">
        <v>-</v>
      </c>
      <c r="D17623" t="str">
        <v>-</v>
      </c>
      <c r="E17623" t="str">
        <v>-</v>
      </c>
      <c r="F17623" t="str">
        <v>-</v>
      </c>
      <c r="G17623" t="str">
        <v>-</v>
      </c>
    </row>
    <row r="17624">
      <c r="B17624" t="str">
        <v>Công an xã Tân Thắng  tỉnh Bình Thuận</v>
      </c>
      <c r="C17624" t="str">
        <v>-</v>
      </c>
      <c r="D17624" t="str">
        <v>-</v>
      </c>
      <c r="E17624" t="str">
        <v/>
      </c>
      <c r="F17624" t="str">
        <v>-</v>
      </c>
      <c r="G17624" t="str">
        <v>-</v>
      </c>
    </row>
    <row r="17625">
      <c r="B17625" t="str">
        <v>UBND Ủy ban nhân dân xã Tân Thắng  tỉnh Bình Thuận</v>
      </c>
      <c r="C17625" t="str">
        <v>-</v>
      </c>
      <c r="D17625" t="str">
        <v>-</v>
      </c>
      <c r="E17625" t="str">
        <v>-</v>
      </c>
      <c r="F17625" t="str">
        <v>-</v>
      </c>
      <c r="G17625" t="str">
        <v>-</v>
      </c>
    </row>
    <row r="17626">
      <c r="B17626" t="str">
        <v>Công an xã Thắng Hải  tỉnh Bình Thuận</v>
      </c>
      <c r="C17626" t="str">
        <v>-</v>
      </c>
      <c r="D17626" t="str">
        <v>-</v>
      </c>
      <c r="E17626" t="str">
        <v/>
      </c>
      <c r="F17626" t="str">
        <v>-</v>
      </c>
      <c r="G17626" t="str">
        <v>-</v>
      </c>
    </row>
    <row r="17627">
      <c r="B17627" t="str">
        <v>UBND Ủy ban nhân dân xã Thắng Hải  tỉnh Bình Thuận</v>
      </c>
      <c r="C17627" t="str">
        <v>-</v>
      </c>
      <c r="D17627" t="str">
        <v>-</v>
      </c>
      <c r="E17627" t="str">
        <v>-</v>
      </c>
      <c r="F17627" t="str">
        <v>-</v>
      </c>
      <c r="G17627" t="str">
        <v>-</v>
      </c>
    </row>
    <row r="17628">
      <c r="B17628" t="str">
        <v>Công an xã Tân Hà  tỉnh Bình Thuận</v>
      </c>
      <c r="C17628" t="str">
        <v>-</v>
      </c>
      <c r="D17628" t="str">
        <v>-</v>
      </c>
      <c r="E17628" t="str">
        <v/>
      </c>
      <c r="F17628" t="str">
        <v>-</v>
      </c>
      <c r="G17628" t="str">
        <v>-</v>
      </c>
    </row>
    <row r="17629">
      <c r="B17629" t="str">
        <v>UBND Ủy ban nhân dân xã Tân Hà  tỉnh Bình Thuận</v>
      </c>
      <c r="C17629" t="str">
        <v>-</v>
      </c>
      <c r="D17629" t="str">
        <v>-</v>
      </c>
      <c r="E17629" t="str">
        <v>-</v>
      </c>
      <c r="F17629" t="str">
        <v>-</v>
      </c>
      <c r="G17629" t="str">
        <v>-</v>
      </c>
    </row>
    <row r="17630">
      <c r="B17630" t="str">
        <v>Công an xã Tân Xuân  tỉnh Bình Thuận</v>
      </c>
      <c r="C17630" t="str">
        <v>-</v>
      </c>
      <c r="D17630" t="str">
        <v>-</v>
      </c>
      <c r="E17630" t="str">
        <v/>
      </c>
      <c r="F17630" t="str">
        <v>-</v>
      </c>
      <c r="G17630" t="str">
        <v>-</v>
      </c>
    </row>
    <row r="17631">
      <c r="B17631" t="str">
        <v>UBND Ủy ban nhân dân xã Tân Xuân  tỉnh Bình Thuận</v>
      </c>
      <c r="C17631" t="str">
        <v>-</v>
      </c>
      <c r="D17631" t="str">
        <v>-</v>
      </c>
      <c r="E17631" t="str">
        <v>-</v>
      </c>
      <c r="F17631" t="str">
        <v>-</v>
      </c>
      <c r="G17631" t="str">
        <v>-</v>
      </c>
    </row>
    <row r="17632">
      <c r="B17632" t="str">
        <v>Công an xã Sơn Mỹ  tỉnh Bình Thuận</v>
      </c>
      <c r="C17632" t="str">
        <v>-</v>
      </c>
      <c r="D17632" t="str">
        <v>-</v>
      </c>
      <c r="E17632" t="str">
        <v/>
      </c>
      <c r="F17632" t="str">
        <v>-</v>
      </c>
      <c r="G17632" t="str">
        <v>-</v>
      </c>
    </row>
    <row r="17633">
      <c r="B17633" t="str">
        <v>UBND Ủy ban nhân dân xã Sơn Mỹ  tỉnh Bình Thuận</v>
      </c>
      <c r="C17633" t="str">
        <v>-</v>
      </c>
      <c r="D17633" t="str">
        <v>-</v>
      </c>
      <c r="E17633" t="str">
        <v>-</v>
      </c>
      <c r="F17633" t="str">
        <v>-</v>
      </c>
      <c r="G17633" t="str">
        <v>-</v>
      </c>
    </row>
    <row r="17634">
      <c r="B17634" t="str">
        <v>Công an xã Ngũ Phụng  tỉnh Bình Thuận</v>
      </c>
      <c r="C17634" t="str">
        <v>-</v>
      </c>
      <c r="D17634" t="str">
        <v>-</v>
      </c>
      <c r="E17634" t="str">
        <v/>
      </c>
      <c r="F17634" t="str">
        <v>-</v>
      </c>
      <c r="G17634" t="str">
        <v>-</v>
      </c>
    </row>
    <row r="17635">
      <c r="B17635" t="str">
        <v>UBND Ủy ban nhân dân xã Ngũ Phụng  tỉnh Bình Thuận</v>
      </c>
      <c r="C17635" t="str">
        <v>-</v>
      </c>
      <c r="D17635" t="str">
        <v>-</v>
      </c>
      <c r="E17635" t="str">
        <v>-</v>
      </c>
      <c r="F17635" t="str">
        <v>-</v>
      </c>
      <c r="G17635" t="str">
        <v>-</v>
      </c>
    </row>
    <row r="17636">
      <c r="B17636" t="str">
        <v>Công an xã Long Hải  tỉnh Bình Thuận</v>
      </c>
      <c r="C17636" t="str">
        <v>-</v>
      </c>
      <c r="D17636" t="str">
        <v>-</v>
      </c>
      <c r="E17636" t="str">
        <v/>
      </c>
      <c r="F17636" t="str">
        <v>-</v>
      </c>
      <c r="G17636" t="str">
        <v>-</v>
      </c>
    </row>
    <row r="17637">
      <c r="B17637" t="str">
        <v>UBND Ủy ban nhân dân xã Long Hải  tỉnh Bình Thuận</v>
      </c>
      <c r="C17637" t="str">
        <v>-</v>
      </c>
      <c r="D17637" t="str">
        <v>-</v>
      </c>
      <c r="E17637" t="str">
        <v>-</v>
      </c>
      <c r="F17637" t="str">
        <v>-</v>
      </c>
      <c r="G17637" t="str">
        <v>-</v>
      </c>
    </row>
    <row r="17638">
      <c r="B17638" t="str">
        <v>Công an xã Tam Thanh  tỉnh Bình Thuận</v>
      </c>
      <c r="C17638" t="str">
        <v>-</v>
      </c>
      <c r="D17638" t="str">
        <v>-</v>
      </c>
      <c r="E17638" t="str">
        <v/>
      </c>
      <c r="F17638" t="str">
        <v>-</v>
      </c>
      <c r="G17638" t="str">
        <v>-</v>
      </c>
    </row>
    <row r="17639">
      <c r="B17639" t="str">
        <v>UBND Ủy ban nhân dân xã Tam Thanh  tỉnh Bình Thuận</v>
      </c>
      <c r="C17639" t="str">
        <v>-</v>
      </c>
      <c r="D17639" t="str">
        <v>-</v>
      </c>
      <c r="E17639" t="str">
        <v>-</v>
      </c>
      <c r="F17639" t="str">
        <v>-</v>
      </c>
      <c r="G17639" t="str">
        <v>-</v>
      </c>
    </row>
    <row r="17640">
      <c r="B17640" t="str">
        <v>Công an phường Quang Trung  tỉnh Kon Tum</v>
      </c>
      <c r="C17640" t="str">
        <v>-</v>
      </c>
      <c r="D17640" t="str">
        <v>-</v>
      </c>
      <c r="E17640" t="str">
        <v/>
      </c>
      <c r="F17640" t="str">
        <v>-</v>
      </c>
      <c r="G17640" t="str">
        <v>-</v>
      </c>
    </row>
    <row r="17641">
      <c r="B17641" t="str">
        <v>UBND Ủy ban nhân dân phường Quang Trung  tỉnh Kon Tum</v>
      </c>
      <c r="C17641" t="str">
        <v>-</v>
      </c>
      <c r="D17641" t="str">
        <v>-</v>
      </c>
      <c r="E17641" t="str">
        <v>-</v>
      </c>
      <c r="F17641" t="str">
        <v>-</v>
      </c>
      <c r="G17641" t="str">
        <v>-</v>
      </c>
    </row>
    <row r="17642">
      <c r="B17642" t="str">
        <v>Công an phường Duy Tân  tỉnh Kon Tum</v>
      </c>
      <c r="C17642" t="str">
        <v>-</v>
      </c>
      <c r="D17642" t="str">
        <v>-</v>
      </c>
      <c r="E17642" t="str">
        <v/>
      </c>
      <c r="F17642" t="str">
        <v>-</v>
      </c>
      <c r="G17642" t="str">
        <v>-</v>
      </c>
    </row>
    <row r="17643">
      <c r="B17643" t="str">
        <v>UBND Ủy ban nhân dân phường Duy Tân  tỉnh Kon Tum</v>
      </c>
      <c r="C17643" t="str">
        <v>-</v>
      </c>
      <c r="D17643" t="str">
        <v>-</v>
      </c>
      <c r="E17643" t="str">
        <v>-</v>
      </c>
      <c r="F17643" t="str">
        <v>-</v>
      </c>
      <c r="G17643" t="str">
        <v>-</v>
      </c>
    </row>
    <row r="17644">
      <c r="B17644" t="str">
        <v>Công an phường Quyết Thắng  tỉnh Kon Tum</v>
      </c>
      <c r="C17644" t="str">
        <v>-</v>
      </c>
      <c r="D17644" t="str">
        <v>-</v>
      </c>
      <c r="E17644" t="str">
        <v/>
      </c>
      <c r="F17644" t="str">
        <v>-</v>
      </c>
      <c r="G17644" t="str">
        <v>-</v>
      </c>
    </row>
    <row r="17645">
      <c r="B17645" t="str">
        <v>UBND Ủy ban nhân dân phường Quyết Thắng  tỉnh Kon Tum</v>
      </c>
      <c r="C17645" t="str">
        <v>-</v>
      </c>
      <c r="D17645" t="str">
        <v>-</v>
      </c>
      <c r="E17645" t="str">
        <v>-</v>
      </c>
      <c r="F17645" t="str">
        <v>-</v>
      </c>
      <c r="G17645" t="str">
        <v>-</v>
      </c>
    </row>
    <row r="17646">
      <c r="B17646" t="str">
        <v>Công an phường Trường Chinh  tỉnh Kon Tum</v>
      </c>
      <c r="C17646" t="str">
        <v>-</v>
      </c>
      <c r="D17646" t="str">
        <v>-</v>
      </c>
      <c r="E17646" t="str">
        <v/>
      </c>
      <c r="F17646" t="str">
        <v>-</v>
      </c>
      <c r="G17646" t="str">
        <v>-</v>
      </c>
    </row>
    <row r="17647">
      <c r="B17647" t="str">
        <v>UBND Ủy ban nhân dân phường Trường Chinh  tỉnh Kon Tum</v>
      </c>
      <c r="C17647" t="str">
        <v>-</v>
      </c>
      <c r="D17647" t="str">
        <v>-</v>
      </c>
      <c r="E17647" t="str">
        <v>-</v>
      </c>
      <c r="F17647" t="str">
        <v>-</v>
      </c>
      <c r="G17647" t="str">
        <v>-</v>
      </c>
    </row>
    <row r="17648">
      <c r="B17648" t="str">
        <v>Công an phường Thắng Lợi  tỉnh Kon Tum</v>
      </c>
      <c r="C17648" t="str">
        <v>-</v>
      </c>
      <c r="D17648" t="str">
        <v>-</v>
      </c>
      <c r="E17648" t="str">
        <v/>
      </c>
      <c r="F17648" t="str">
        <v>-</v>
      </c>
      <c r="G17648" t="str">
        <v>-</v>
      </c>
    </row>
    <row r="17649">
      <c r="B17649" t="str">
        <v>UBND Ủy ban nhân dân phường Thắng Lợi  tỉnh Kon Tum</v>
      </c>
      <c r="C17649" t="str">
        <v>-</v>
      </c>
      <c r="D17649" t="str">
        <v>-</v>
      </c>
      <c r="E17649" t="str">
        <v>-</v>
      </c>
      <c r="F17649" t="str">
        <v>-</v>
      </c>
      <c r="G17649" t="str">
        <v>-</v>
      </c>
    </row>
    <row r="17650">
      <c r="B17650" t="str">
        <v>Công an phường Ngô Mây  tỉnh Kon Tum</v>
      </c>
      <c r="C17650" t="str">
        <v>-</v>
      </c>
      <c r="D17650" t="str">
        <v>-</v>
      </c>
      <c r="E17650" t="str">
        <v/>
      </c>
      <c r="F17650" t="str">
        <v>-</v>
      </c>
      <c r="G17650" t="str">
        <v>-</v>
      </c>
    </row>
    <row r="17651">
      <c r="B17651" t="str">
        <v>UBND Ủy ban nhân dân phường Ngô Mây  tỉnh Kon Tum</v>
      </c>
      <c r="C17651" t="str">
        <v>-</v>
      </c>
      <c r="D17651" t="str">
        <v>-</v>
      </c>
      <c r="E17651" t="str">
        <v>-</v>
      </c>
      <c r="F17651" t="str">
        <v>-</v>
      </c>
      <c r="G17651" t="str">
        <v>-</v>
      </c>
    </row>
    <row r="17652">
      <c r="B17652" t="str">
        <v>Công an phường Thống Nhất  tỉnh Kon Tum</v>
      </c>
      <c r="C17652" t="str">
        <v>-</v>
      </c>
      <c r="D17652" t="str">
        <v>-</v>
      </c>
      <c r="E17652" t="str">
        <v/>
      </c>
      <c r="F17652" t="str">
        <v>-</v>
      </c>
      <c r="G17652" t="str">
        <v>-</v>
      </c>
    </row>
    <row r="17653">
      <c r="B17653" t="str">
        <v>UBND Ủy ban nhân dân phường Thống Nhất  tỉnh Kon Tum</v>
      </c>
      <c r="C17653" t="str">
        <v>-</v>
      </c>
      <c r="D17653" t="str">
        <v>-</v>
      </c>
      <c r="E17653" t="str">
        <v>-</v>
      </c>
      <c r="F17653" t="str">
        <v>-</v>
      </c>
      <c r="G17653" t="str">
        <v>-</v>
      </c>
    </row>
    <row r="17654">
      <c r="B17654" t="str">
        <v>Công an phường Lê Lợi  tỉnh Kon Tum</v>
      </c>
      <c r="C17654" t="str">
        <v>-</v>
      </c>
      <c r="D17654" t="str">
        <v>-</v>
      </c>
      <c r="E17654" t="str">
        <v/>
      </c>
      <c r="F17654" t="str">
        <v>-</v>
      </c>
      <c r="G17654" t="str">
        <v>-</v>
      </c>
    </row>
    <row r="17655">
      <c r="B17655" t="str">
        <v>UBND Ủy ban nhân dân phường Lê Lợi  tỉnh Kon Tum</v>
      </c>
      <c r="C17655" t="str">
        <v>-</v>
      </c>
      <c r="D17655" t="str">
        <v>-</v>
      </c>
      <c r="E17655" t="str">
        <v>-</v>
      </c>
      <c r="F17655" t="str">
        <v>-</v>
      </c>
      <c r="G17655" t="str">
        <v>-</v>
      </c>
    </row>
    <row r="17656">
      <c r="B17656" t="str">
        <v>Công an phường Nguyễn Trãi  tỉnh Kon Tum</v>
      </c>
      <c r="C17656" t="str">
        <v>-</v>
      </c>
      <c r="D17656" t="str">
        <v>-</v>
      </c>
      <c r="E17656" t="str">
        <v/>
      </c>
      <c r="F17656" t="str">
        <v>-</v>
      </c>
      <c r="G17656" t="str">
        <v>-</v>
      </c>
    </row>
    <row r="17657">
      <c r="B17657" t="str">
        <v>UBND Ủy ban nhân dân phường Nguyễn Trãi  tỉnh Kon Tum</v>
      </c>
      <c r="C17657" t="str">
        <v>-</v>
      </c>
      <c r="D17657" t="str">
        <v>-</v>
      </c>
      <c r="E17657" t="str">
        <v>-</v>
      </c>
      <c r="F17657" t="str">
        <v>-</v>
      </c>
      <c r="G17657" t="str">
        <v>-</v>
      </c>
    </row>
    <row r="17658">
      <c r="B17658" t="str">
        <v>Công an phường Trần Hưng Đạo  tỉnh Kon Tum</v>
      </c>
      <c r="C17658" t="str">
        <v>-</v>
      </c>
      <c r="D17658" t="str">
        <v>-</v>
      </c>
      <c r="E17658" t="str">
        <v/>
      </c>
      <c r="F17658" t="str">
        <v>-</v>
      </c>
      <c r="G17658" t="str">
        <v>-</v>
      </c>
    </row>
    <row r="17659">
      <c r="B17659" t="str">
        <v>UBND Ủy ban nhân dân phường Trần Hưng Đạo  tỉnh Kon Tum</v>
      </c>
      <c r="C17659" t="str">
        <v>-</v>
      </c>
      <c r="D17659" t="str">
        <v>-</v>
      </c>
      <c r="E17659" t="str">
        <v>-</v>
      </c>
      <c r="F17659" t="str">
        <v>-</v>
      </c>
      <c r="G17659" t="str">
        <v>-</v>
      </c>
    </row>
    <row r="17660">
      <c r="B17660" t="str">
        <v>Công an xã Đắk Cấm  tỉnh Kon Tum</v>
      </c>
      <c r="C17660" t="str">
        <v>-</v>
      </c>
      <c r="D17660" t="str">
        <v>-</v>
      </c>
      <c r="E17660" t="str">
        <v/>
      </c>
      <c r="F17660" t="str">
        <v>-</v>
      </c>
      <c r="G17660" t="str">
        <v>-</v>
      </c>
    </row>
    <row r="17661">
      <c r="B17661" t="str">
        <v>UBND Ủy ban nhân dân xã Đắk Cấm  tỉnh Kon Tum</v>
      </c>
      <c r="C17661" t="str">
        <v>-</v>
      </c>
      <c r="D17661" t="str">
        <v>-</v>
      </c>
      <c r="E17661" t="str">
        <v>-</v>
      </c>
      <c r="F17661" t="str">
        <v>-</v>
      </c>
      <c r="G17661" t="str">
        <v>-</v>
      </c>
    </row>
    <row r="17662">
      <c r="B17662" t="str">
        <v>Công an xã Kroong  tỉnh Kon Tum</v>
      </c>
      <c r="C17662" t="str">
        <v>-</v>
      </c>
      <c r="D17662" t="str">
        <v>-</v>
      </c>
      <c r="E17662" t="str">
        <v/>
      </c>
      <c r="F17662" t="str">
        <v>-</v>
      </c>
      <c r="G17662" t="str">
        <v>-</v>
      </c>
    </row>
    <row r="17663">
      <c r="B17663" t="str">
        <v>UBND Ủy ban nhân dân xã Kroong  tỉnh Kon Tum</v>
      </c>
      <c r="C17663" t="str">
        <v>-</v>
      </c>
      <c r="D17663" t="str">
        <v>-</v>
      </c>
      <c r="E17663" t="str">
        <v>-</v>
      </c>
      <c r="F17663" t="str">
        <v>-</v>
      </c>
      <c r="G17663" t="str">
        <v>-</v>
      </c>
    </row>
    <row r="17664">
      <c r="B17664" t="str">
        <v>Công an xã Ngọk Bay  tỉnh Kon Tum</v>
      </c>
      <c r="C17664" t="str">
        <v>-</v>
      </c>
      <c r="D17664" t="str">
        <v>-</v>
      </c>
      <c r="E17664" t="str">
        <v/>
      </c>
      <c r="F17664" t="str">
        <v>-</v>
      </c>
      <c r="G17664" t="str">
        <v>-</v>
      </c>
    </row>
    <row r="17665">
      <c r="B17665" t="str">
        <v>UBND Ủy ban nhân dân xã Ngọk Bay  tỉnh Kon Tum</v>
      </c>
      <c r="C17665" t="str">
        <v>-</v>
      </c>
      <c r="D17665" t="str">
        <v>-</v>
      </c>
      <c r="E17665" t="str">
        <v>-</v>
      </c>
      <c r="F17665" t="str">
        <v>-</v>
      </c>
      <c r="G17665" t="str">
        <v>-</v>
      </c>
    </row>
    <row r="17666">
      <c r="B17666" t="str">
        <v>Công an xã Vinh Quang  tỉnh Kon Tum</v>
      </c>
      <c r="C17666" t="str">
        <v>-</v>
      </c>
      <c r="D17666" t="str">
        <v>-</v>
      </c>
      <c r="E17666" t="str">
        <v/>
      </c>
      <c r="F17666" t="str">
        <v>-</v>
      </c>
      <c r="G17666" t="str">
        <v>-</v>
      </c>
    </row>
    <row r="17667">
      <c r="B17667" t="str">
        <v>UBND Ủy ban nhân dân xã Vinh Quang  tỉnh Kon Tum</v>
      </c>
      <c r="C17667" t="str">
        <v>-</v>
      </c>
      <c r="D17667" t="str">
        <v>-</v>
      </c>
      <c r="E17667" t="str">
        <v>-</v>
      </c>
      <c r="F17667" t="str">
        <v>-</v>
      </c>
      <c r="G17667" t="str">
        <v>-</v>
      </c>
    </row>
    <row r="17668">
      <c r="B17668" t="str">
        <v>Công an xã Đắk Blà  tỉnh Kon Tum</v>
      </c>
      <c r="C17668" t="str">
        <v>-</v>
      </c>
      <c r="D17668" t="str">
        <v>-</v>
      </c>
      <c r="E17668" t="str">
        <v/>
      </c>
      <c r="F17668" t="str">
        <v>-</v>
      </c>
      <c r="G17668" t="str">
        <v>-</v>
      </c>
    </row>
    <row r="17669">
      <c r="B17669" t="str">
        <v>UBND Ủy ban nhân dân xã Đắk Blà  tỉnh Kon Tum</v>
      </c>
      <c r="C17669" t="str">
        <v>-</v>
      </c>
      <c r="D17669" t="str">
        <v>-</v>
      </c>
      <c r="E17669" t="str">
        <v>-</v>
      </c>
      <c r="F17669" t="str">
        <v>-</v>
      </c>
      <c r="G17669" t="str">
        <v>-</v>
      </c>
    </row>
    <row r="17670">
      <c r="B17670" t="str">
        <v>Công an xã Ia Chim  tỉnh Kon Tum</v>
      </c>
      <c r="C17670" t="str">
        <v>-</v>
      </c>
      <c r="D17670" t="str">
        <v>-</v>
      </c>
      <c r="E17670" t="str">
        <v/>
      </c>
      <c r="F17670" t="str">
        <v>-</v>
      </c>
      <c r="G17670" t="str">
        <v>-</v>
      </c>
    </row>
    <row r="17671">
      <c r="B17671" t="str">
        <v>UBND Ủy ban nhân dân xã Ia Chim  tỉnh Kon Tum</v>
      </c>
      <c r="C17671" t="str">
        <v>-</v>
      </c>
      <c r="D17671" t="str">
        <v>-</v>
      </c>
      <c r="E17671" t="str">
        <v>-</v>
      </c>
      <c r="F17671" t="str">
        <v>-</v>
      </c>
      <c r="G17671" t="str">
        <v>-</v>
      </c>
    </row>
    <row r="17672">
      <c r="B17672" t="str">
        <v>Công an xã Đăk Năng  tỉnh Kon Tum</v>
      </c>
      <c r="C17672" t="str">
        <v>-</v>
      </c>
      <c r="D17672" t="str">
        <v>-</v>
      </c>
      <c r="E17672" t="str">
        <v/>
      </c>
      <c r="F17672" t="str">
        <v>-</v>
      </c>
      <c r="G17672" t="str">
        <v>-</v>
      </c>
    </row>
    <row r="17673">
      <c r="B17673" t="str">
        <v>UBND Ủy ban nhân dân xã Đăk Năng  tỉnh Kon Tum</v>
      </c>
      <c r="C17673" t="str">
        <v>-</v>
      </c>
      <c r="D17673" t="str">
        <v>-</v>
      </c>
      <c r="E17673" t="str">
        <v>-</v>
      </c>
      <c r="F17673" t="str">
        <v>-</v>
      </c>
      <c r="G17673" t="str">
        <v>-</v>
      </c>
    </row>
    <row r="17674">
      <c r="B17674" t="str">
        <v>Công an xã Đoàn Kết  tỉnh Kon Tum</v>
      </c>
      <c r="C17674" t="str">
        <v>-</v>
      </c>
      <c r="D17674" t="str">
        <v>-</v>
      </c>
      <c r="E17674" t="str">
        <v/>
      </c>
      <c r="F17674" t="str">
        <v>-</v>
      </c>
      <c r="G17674" t="str">
        <v>-</v>
      </c>
    </row>
    <row r="17675">
      <c r="B17675" t="str">
        <v>UBND Ủy ban nhân dân xã Đoàn Kết  tỉnh Kon Tum</v>
      </c>
      <c r="C17675" t="str">
        <v>-</v>
      </c>
      <c r="D17675" t="str">
        <v>-</v>
      </c>
      <c r="E17675" t="str">
        <v>-</v>
      </c>
      <c r="F17675" t="str">
        <v>-</v>
      </c>
      <c r="G17675" t="str">
        <v>-</v>
      </c>
    </row>
    <row r="17676">
      <c r="B17676" t="str">
        <v>Công an xã Chư Hreng  tỉnh Kon Tum</v>
      </c>
      <c r="C17676" t="str">
        <v>-</v>
      </c>
      <c r="D17676" t="str">
        <v>-</v>
      </c>
      <c r="E17676" t="str">
        <v/>
      </c>
      <c r="F17676" t="str">
        <v>-</v>
      </c>
      <c r="G17676" t="str">
        <v>-</v>
      </c>
    </row>
    <row r="17677">
      <c r="B17677" t="str">
        <v>UBND Ủy ban nhân dân xã Chư Hreng  tỉnh Kon Tum</v>
      </c>
      <c r="C17677" t="str">
        <v>-</v>
      </c>
      <c r="D17677" t="str">
        <v>-</v>
      </c>
      <c r="E17677" t="str">
        <v>-</v>
      </c>
      <c r="F17677" t="str">
        <v>-</v>
      </c>
      <c r="G17677" t="str">
        <v>-</v>
      </c>
    </row>
    <row r="17678">
      <c r="B17678" t="str">
        <v>Công an xã Đắk Rơ Wa  tỉnh Kon Tum</v>
      </c>
      <c r="C17678" t="str">
        <v>-</v>
      </c>
      <c r="D17678" t="str">
        <v>-</v>
      </c>
      <c r="E17678" t="str">
        <v/>
      </c>
      <c r="F17678" t="str">
        <v>-</v>
      </c>
      <c r="G17678" t="str">
        <v>-</v>
      </c>
    </row>
    <row r="17679">
      <c r="B17679" t="str">
        <v>UBND Ủy ban nhân dân xã Đắk Rơ Wa  tỉnh Kon Tum</v>
      </c>
      <c r="C17679" t="str">
        <v>-</v>
      </c>
      <c r="D17679" t="str">
        <v>-</v>
      </c>
      <c r="E17679" t="str">
        <v>-</v>
      </c>
      <c r="F17679" t="str">
        <v>-</v>
      </c>
      <c r="G17679" t="str">
        <v>-</v>
      </c>
    </row>
    <row r="17680">
      <c r="B17680" t="str">
        <v>Công an xã Hòa Bình  tỉnh Kon Tum</v>
      </c>
      <c r="C17680" t="str">
        <v>-</v>
      </c>
      <c r="D17680" t="str">
        <v>-</v>
      </c>
      <c r="E17680" t="str">
        <v/>
      </c>
      <c r="F17680" t="str">
        <v>-</v>
      </c>
      <c r="G17680" t="str">
        <v>-</v>
      </c>
    </row>
    <row r="17681">
      <c r="B17681" t="str">
        <v>UBND Ủy ban nhân dân xã Hòa Bình  tỉnh Kon Tum</v>
      </c>
      <c r="C17681" t="str">
        <v>-</v>
      </c>
      <c r="D17681" t="str">
        <v>-</v>
      </c>
      <c r="E17681" t="str">
        <v>-</v>
      </c>
      <c r="F17681" t="str">
        <v>-</v>
      </c>
      <c r="G17681" t="str">
        <v>-</v>
      </c>
    </row>
    <row r="17682">
      <c r="B17682" t="str">
        <v>Công an xã Đắk Blô  tỉnh Kon Tum</v>
      </c>
      <c r="C17682" t="str">
        <v>-</v>
      </c>
      <c r="D17682" t="str">
        <v>-</v>
      </c>
      <c r="E17682" t="str">
        <v/>
      </c>
      <c r="F17682" t="str">
        <v>-</v>
      </c>
      <c r="G17682" t="str">
        <v>-</v>
      </c>
    </row>
    <row r="17683">
      <c r="B17683" t="str">
        <v>UBND Ủy ban nhân dân xã Đắk Blô  tỉnh Kon Tum</v>
      </c>
      <c r="C17683" t="str">
        <v>-</v>
      </c>
      <c r="D17683" t="str">
        <v>-</v>
      </c>
      <c r="E17683" t="str">
        <v>-</v>
      </c>
      <c r="F17683" t="str">
        <v>-</v>
      </c>
      <c r="G17683" t="str">
        <v>-</v>
      </c>
    </row>
    <row r="17684">
      <c r="B17684" t="str">
        <v>Công an xã Đắk Man  tỉnh Kon Tum</v>
      </c>
      <c r="C17684" t="str">
        <v>-</v>
      </c>
      <c r="D17684" t="str">
        <v>-</v>
      </c>
      <c r="E17684" t="str">
        <v/>
      </c>
      <c r="F17684" t="str">
        <v>-</v>
      </c>
      <c r="G17684" t="str">
        <v>-</v>
      </c>
    </row>
    <row r="17685">
      <c r="B17685" t="str">
        <v>UBND Ủy ban nhân dân xã Đắk Man  tỉnh Kon Tum</v>
      </c>
      <c r="C17685" t="str">
        <v>-</v>
      </c>
      <c r="D17685" t="str">
        <v>-</v>
      </c>
      <c r="E17685" t="str">
        <v>-</v>
      </c>
      <c r="F17685" t="str">
        <v>-</v>
      </c>
      <c r="G17685" t="str">
        <v>-</v>
      </c>
    </row>
    <row r="17686">
      <c r="B17686" t="str">
        <v>Công an xã Đắk Nhoong  tỉnh Kon Tum</v>
      </c>
      <c r="C17686" t="str">
        <v>-</v>
      </c>
      <c r="D17686" t="str">
        <v>-</v>
      </c>
      <c r="E17686" t="str">
        <v/>
      </c>
      <c r="F17686" t="str">
        <v>-</v>
      </c>
      <c r="G17686" t="str">
        <v>-</v>
      </c>
    </row>
    <row r="17687">
      <c r="B17687" t="str">
        <v>UBND Ủy ban nhân dân xã Đắk Nhoong  tỉnh Kon Tum</v>
      </c>
      <c r="C17687" t="str">
        <v>-</v>
      </c>
      <c r="D17687" t="str">
        <v>-</v>
      </c>
      <c r="E17687" t="str">
        <v>-</v>
      </c>
      <c r="F17687" t="str">
        <v>-</v>
      </c>
      <c r="G17687" t="str">
        <v>-</v>
      </c>
    </row>
    <row r="17688">
      <c r="B17688" t="str">
        <v>Công an xã Đắk Pék  tỉnh Kon Tum</v>
      </c>
      <c r="C17688" t="str">
        <v>-</v>
      </c>
      <c r="D17688" t="str">
        <v>-</v>
      </c>
      <c r="E17688" t="str">
        <v/>
      </c>
      <c r="F17688" t="str">
        <v>-</v>
      </c>
      <c r="G17688" t="str">
        <v>-</v>
      </c>
    </row>
    <row r="17689">
      <c r="B17689" t="str">
        <v>UBND Ủy ban nhân dân xã Đắk Pék  tỉnh Kon Tum</v>
      </c>
      <c r="C17689" t="str">
        <v>-</v>
      </c>
      <c r="D17689" t="str">
        <v>-</v>
      </c>
      <c r="E17689" t="str">
        <v>-</v>
      </c>
      <c r="F17689" t="str">
        <v>-</v>
      </c>
      <c r="G17689" t="str">
        <v>-</v>
      </c>
    </row>
    <row r="17690">
      <c r="B17690" t="str">
        <v>Công an xã Đắk Choong  tỉnh Kon Tum</v>
      </c>
      <c r="C17690" t="str">
        <v>-</v>
      </c>
      <c r="D17690" t="str">
        <v>-</v>
      </c>
      <c r="E17690" t="str">
        <v/>
      </c>
      <c r="F17690" t="str">
        <v>-</v>
      </c>
      <c r="G17690" t="str">
        <v>-</v>
      </c>
    </row>
    <row r="17691">
      <c r="B17691" t="str">
        <v>UBND Ủy ban nhân dân xã Đắk Choong  tỉnh Kon Tum</v>
      </c>
      <c r="C17691" t="str">
        <v>-</v>
      </c>
      <c r="D17691" t="str">
        <v>-</v>
      </c>
      <c r="E17691" t="str">
        <v>-</v>
      </c>
      <c r="F17691" t="str">
        <v>-</v>
      </c>
      <c r="G17691" t="str">
        <v>-</v>
      </c>
    </row>
    <row r="17692">
      <c r="B17692" t="str">
        <v>Công an xã Xốp  tỉnh Kon Tum</v>
      </c>
      <c r="C17692" t="str">
        <v>-</v>
      </c>
      <c r="D17692" t="str">
        <v>-</v>
      </c>
      <c r="E17692" t="str">
        <v/>
      </c>
      <c r="F17692" t="str">
        <v>-</v>
      </c>
      <c r="G17692" t="str">
        <v>-</v>
      </c>
    </row>
    <row r="17693">
      <c r="B17693" t="str">
        <v>UBND Ủy ban nhân dân xã Xốp  tỉnh Kon Tum</v>
      </c>
      <c r="C17693" t="str">
        <v>-</v>
      </c>
      <c r="D17693" t="str">
        <v>-</v>
      </c>
      <c r="E17693" t="str">
        <v>-</v>
      </c>
      <c r="F17693" t="str">
        <v>-</v>
      </c>
      <c r="G17693" t="str">
        <v>-</v>
      </c>
    </row>
    <row r="17694">
      <c r="B17694" t="str">
        <v>Công an xã Mường Hoong  tỉnh Kon Tum</v>
      </c>
      <c r="C17694" t="str">
        <v>-</v>
      </c>
      <c r="D17694" t="str">
        <v>-</v>
      </c>
      <c r="E17694" t="str">
        <v/>
      </c>
      <c r="F17694" t="str">
        <v>-</v>
      </c>
      <c r="G17694" t="str">
        <v>-</v>
      </c>
    </row>
    <row r="17695">
      <c r="B17695" t="str">
        <v>UBND Ủy ban nhân dân xã Mường Hoong  tỉnh Kon Tum</v>
      </c>
      <c r="C17695" t="str">
        <v>-</v>
      </c>
      <c r="D17695" t="str">
        <v>-</v>
      </c>
      <c r="E17695" t="str">
        <v>-</v>
      </c>
      <c r="F17695" t="str">
        <v>-</v>
      </c>
      <c r="G17695" t="str">
        <v>-</v>
      </c>
    </row>
    <row r="17696">
      <c r="B17696" t="str">
        <v>Công an xã Ngọc Linh  tỉnh Kon Tum</v>
      </c>
      <c r="C17696" t="str">
        <v>-</v>
      </c>
      <c r="D17696" t="str">
        <v>-</v>
      </c>
      <c r="E17696" t="str">
        <v/>
      </c>
      <c r="F17696" t="str">
        <v>-</v>
      </c>
      <c r="G17696" t="str">
        <v>-</v>
      </c>
    </row>
    <row r="17697">
      <c r="B17697" t="str">
        <v>UBND Ủy ban nhân dân xã Ngọc Linh  tỉnh Kon Tum</v>
      </c>
      <c r="C17697" t="str">
        <v>-</v>
      </c>
      <c r="D17697" t="str">
        <v>-</v>
      </c>
      <c r="E17697" t="str">
        <v>-</v>
      </c>
      <c r="F17697" t="str">
        <v>-</v>
      </c>
      <c r="G17697" t="str">
        <v>-</v>
      </c>
    </row>
    <row r="17698">
      <c r="B17698" t="str">
        <v>Công an xã Đắk Long  tỉnh Kon Tum</v>
      </c>
      <c r="C17698" t="str">
        <v>-</v>
      </c>
      <c r="D17698" t="str">
        <v>-</v>
      </c>
      <c r="E17698" t="str">
        <v/>
      </c>
      <c r="F17698" t="str">
        <v>-</v>
      </c>
      <c r="G17698" t="str">
        <v>-</v>
      </c>
    </row>
    <row r="17699">
      <c r="B17699" t="str">
        <v>UBND Ủy ban nhân dân xã Đắk Long  tỉnh Kon Tum</v>
      </c>
      <c r="C17699" t="str">
        <v>-</v>
      </c>
      <c r="D17699" t="str">
        <v>-</v>
      </c>
      <c r="E17699" t="str">
        <v>-</v>
      </c>
      <c r="F17699" t="str">
        <v>-</v>
      </c>
      <c r="G17699" t="str">
        <v>-</v>
      </c>
    </row>
    <row r="17700">
      <c r="B17700" t="str">
        <v>Công an xã Đắk KRoong  tỉnh Kon Tum</v>
      </c>
      <c r="C17700" t="str">
        <v>-</v>
      </c>
      <c r="D17700" t="str">
        <v>-</v>
      </c>
      <c r="E17700" t="str">
        <v/>
      </c>
      <c r="F17700" t="str">
        <v>-</v>
      </c>
      <c r="G17700" t="str">
        <v>-</v>
      </c>
    </row>
    <row r="17701">
      <c r="B17701" t="str">
        <v>UBND Ủy ban nhân dân xã Đắk KRoong  tỉnh Kon Tum</v>
      </c>
      <c r="C17701" t="str">
        <v>-</v>
      </c>
      <c r="D17701" t="str">
        <v>-</v>
      </c>
      <c r="E17701" t="str">
        <v>-</v>
      </c>
      <c r="F17701" t="str">
        <v>-</v>
      </c>
      <c r="G17701" t="str">
        <v>-</v>
      </c>
    </row>
    <row r="17702">
      <c r="B17702" t="str">
        <v>Công an xã Đắk Môn  tỉnh Kon Tum</v>
      </c>
      <c r="C17702" t="str">
        <v>-</v>
      </c>
      <c r="D17702" t="str">
        <v>-</v>
      </c>
      <c r="E17702" t="str">
        <v/>
      </c>
      <c r="F17702" t="str">
        <v>-</v>
      </c>
      <c r="G17702" t="str">
        <v>-</v>
      </c>
    </row>
    <row r="17703">
      <c r="B17703" t="str">
        <v>UBND Ủy ban nhân dân xã Đắk Môn  tỉnh Kon Tum</v>
      </c>
      <c r="C17703" t="str">
        <v>-</v>
      </c>
      <c r="D17703" t="str">
        <v>-</v>
      </c>
      <c r="E17703" t="str">
        <v>-</v>
      </c>
      <c r="F17703" t="str">
        <v>-</v>
      </c>
      <c r="G17703" t="str">
        <v>-</v>
      </c>
    </row>
    <row r="17704">
      <c r="B17704" t="str">
        <v>Công an xã Đắk Ang  tỉnh Kon Tum</v>
      </c>
      <c r="C17704" t="str">
        <v>-</v>
      </c>
      <c r="D17704" t="str">
        <v>-</v>
      </c>
      <c r="E17704" t="str">
        <v/>
      </c>
      <c r="F17704" t="str">
        <v>-</v>
      </c>
      <c r="G17704" t="str">
        <v>-</v>
      </c>
    </row>
    <row r="17705">
      <c r="B17705" t="str">
        <v>UBND Ủy ban nhân dân xã Đắk Ang  tỉnh Kon Tum</v>
      </c>
      <c r="C17705" t="str">
        <v>-</v>
      </c>
      <c r="D17705" t="str">
        <v>-</v>
      </c>
      <c r="E17705" t="str">
        <v>-</v>
      </c>
      <c r="F17705" t="str">
        <v>-</v>
      </c>
      <c r="G17705" t="str">
        <v>-</v>
      </c>
    </row>
    <row r="17706">
      <c r="B17706" t="str">
        <v>Công an xã Đắk Dục  tỉnh Kon Tum</v>
      </c>
      <c r="C17706" t="str">
        <v>-</v>
      </c>
      <c r="D17706" t="str">
        <v>-</v>
      </c>
      <c r="E17706" t="str">
        <v/>
      </c>
      <c r="F17706" t="str">
        <v>-</v>
      </c>
      <c r="G17706" t="str">
        <v>-</v>
      </c>
    </row>
    <row r="17707">
      <c r="B17707" t="str">
        <v>UBND Ủy ban nhân dân xã Đắk Dục  tỉnh Kon Tum</v>
      </c>
      <c r="C17707" t="str">
        <v>-</v>
      </c>
      <c r="D17707" t="str">
        <v>-</v>
      </c>
      <c r="E17707" t="str">
        <v>-</v>
      </c>
      <c r="F17707" t="str">
        <v>-</v>
      </c>
      <c r="G17707" t="str">
        <v>-</v>
      </c>
    </row>
    <row r="17708">
      <c r="B17708" t="str">
        <v>Công an xã Đắk Nông  tỉnh Kon Tum</v>
      </c>
      <c r="C17708" t="str">
        <v>-</v>
      </c>
      <c r="D17708" t="str">
        <v>-</v>
      </c>
      <c r="E17708" t="str">
        <v/>
      </c>
      <c r="F17708" t="str">
        <v>-</v>
      </c>
      <c r="G17708" t="str">
        <v>-</v>
      </c>
    </row>
    <row r="17709">
      <c r="B17709" t="str">
        <v>UBND Ủy ban nhân dân xã Đắk Nông  tỉnh Kon Tum</v>
      </c>
      <c r="C17709" t="str">
        <v>-</v>
      </c>
      <c r="D17709" t="str">
        <v>-</v>
      </c>
      <c r="E17709" t="str">
        <v>-</v>
      </c>
      <c r="F17709" t="str">
        <v>-</v>
      </c>
      <c r="G17709" t="str">
        <v>-</v>
      </c>
    </row>
    <row r="17710">
      <c r="B17710" t="str">
        <v>Công an xã Đắk Xú  tỉnh Kon Tum</v>
      </c>
      <c r="C17710" t="str">
        <v>-</v>
      </c>
      <c r="D17710" t="str">
        <v>-</v>
      </c>
      <c r="E17710" t="str">
        <v/>
      </c>
      <c r="F17710" t="str">
        <v>-</v>
      </c>
      <c r="G17710" t="str">
        <v>-</v>
      </c>
    </row>
    <row r="17711">
      <c r="B17711" t="str">
        <v>UBND Ủy ban nhân dân xã Đắk Xú  tỉnh Kon Tum</v>
      </c>
      <c r="C17711" t="str">
        <v>-</v>
      </c>
      <c r="D17711" t="str">
        <v>-</v>
      </c>
      <c r="E17711" t="str">
        <v>-</v>
      </c>
      <c r="F17711" t="str">
        <v>-</v>
      </c>
      <c r="G17711" t="str">
        <v>-</v>
      </c>
    </row>
    <row r="17712">
      <c r="B17712" t="str">
        <v>Công an xã Đắk Kan  tỉnh Kon Tum</v>
      </c>
      <c r="C17712" t="str">
        <v>-</v>
      </c>
      <c r="D17712" t="str">
        <v>-</v>
      </c>
      <c r="E17712" t="str">
        <v/>
      </c>
      <c r="F17712" t="str">
        <v>-</v>
      </c>
      <c r="G17712" t="str">
        <v>-</v>
      </c>
    </row>
    <row r="17713">
      <c r="B17713" t="str">
        <v>UBND Ủy ban nhân dân xã Đắk Kan  tỉnh Kon Tum</v>
      </c>
      <c r="C17713" t="str">
        <v>-</v>
      </c>
      <c r="D17713" t="str">
        <v>-</v>
      </c>
      <c r="E17713" t="str">
        <v>-</v>
      </c>
      <c r="F17713" t="str">
        <v>-</v>
      </c>
      <c r="G17713" t="str">
        <v>-</v>
      </c>
    </row>
    <row r="17714">
      <c r="B17714" t="str">
        <v>Công an xã Bờ Y  tỉnh Kon Tum</v>
      </c>
      <c r="C17714" t="str">
        <v>-</v>
      </c>
      <c r="D17714" t="str">
        <v>-</v>
      </c>
      <c r="E17714" t="str">
        <v/>
      </c>
      <c r="F17714" t="str">
        <v>-</v>
      </c>
      <c r="G17714" t="str">
        <v>-</v>
      </c>
    </row>
    <row r="17715">
      <c r="B17715" t="str">
        <v>UBND Ủy ban nhân dân xã Bờ Y  tỉnh Kon Tum</v>
      </c>
      <c r="C17715" t="str">
        <v>-</v>
      </c>
      <c r="D17715" t="str">
        <v>-</v>
      </c>
      <c r="E17715" t="str">
        <v>-</v>
      </c>
      <c r="F17715" t="str">
        <v>-</v>
      </c>
      <c r="G17715" t="str">
        <v>-</v>
      </c>
    </row>
    <row r="17716">
      <c r="B17716" t="str">
        <v>Công an xã Sa Loong  tỉnh Kon Tum</v>
      </c>
      <c r="C17716" t="str">
        <v>-</v>
      </c>
      <c r="D17716" t="str">
        <v>-</v>
      </c>
      <c r="E17716" t="str">
        <v/>
      </c>
      <c r="F17716" t="str">
        <v>-</v>
      </c>
      <c r="G17716" t="str">
        <v>-</v>
      </c>
    </row>
    <row r="17717">
      <c r="B17717" t="str">
        <v>UBND Ủy ban nhân dân xã Sa Loong  tỉnh Kon Tum</v>
      </c>
      <c r="C17717" t="str">
        <v>-</v>
      </c>
      <c r="D17717" t="str">
        <v>-</v>
      </c>
      <c r="E17717" t="str">
        <v>-</v>
      </c>
      <c r="F17717" t="str">
        <v>-</v>
      </c>
      <c r="G17717" t="str">
        <v>-</v>
      </c>
    </row>
    <row r="17718">
      <c r="B17718" t="str">
        <v>Công an xã Đắk Rơ Nga  tỉnh Kon Tum</v>
      </c>
      <c r="C17718" t="str">
        <v>-</v>
      </c>
      <c r="D17718" t="str">
        <v>-</v>
      </c>
      <c r="E17718" t="str">
        <v/>
      </c>
      <c r="F17718" t="str">
        <v>-</v>
      </c>
      <c r="G17718" t="str">
        <v>-</v>
      </c>
    </row>
    <row r="17719">
      <c r="B17719" t="str">
        <v>UBND Ủy ban nhân dân xã Đắk Rơ Nga  tỉnh Kon Tum</v>
      </c>
      <c r="C17719" t="str">
        <v>-</v>
      </c>
      <c r="D17719" t="str">
        <v>-</v>
      </c>
      <c r="E17719" t="str">
        <v>-</v>
      </c>
      <c r="F17719" t="str">
        <v>-</v>
      </c>
      <c r="G17719" t="str">
        <v>-</v>
      </c>
    </row>
    <row r="17720">
      <c r="B17720" t="str">
        <v>Công an xã Ngọk Tụ  tỉnh Kon Tum</v>
      </c>
      <c r="C17720" t="str">
        <v>-</v>
      </c>
      <c r="D17720" t="str">
        <v>-</v>
      </c>
      <c r="E17720" t="str">
        <v/>
      </c>
      <c r="F17720" t="str">
        <v>-</v>
      </c>
      <c r="G17720" t="str">
        <v>-</v>
      </c>
    </row>
    <row r="17721">
      <c r="B17721" t="str">
        <v>UBND Ủy ban nhân dân xã Ngọk Tụ  tỉnh Kon Tum</v>
      </c>
      <c r="C17721" t="str">
        <v>-</v>
      </c>
      <c r="D17721" t="str">
        <v>-</v>
      </c>
      <c r="E17721" t="str">
        <v>-</v>
      </c>
      <c r="F17721" t="str">
        <v>-</v>
      </c>
      <c r="G17721" t="str">
        <v>-</v>
      </c>
    </row>
    <row r="17722">
      <c r="B17722" t="str">
        <v>Công an xã Đắk Trăm  tỉnh Kon Tum</v>
      </c>
      <c r="C17722" t="str">
        <v>-</v>
      </c>
      <c r="D17722" t="str">
        <v>-</v>
      </c>
      <c r="E17722" t="str">
        <v/>
      </c>
      <c r="F17722" t="str">
        <v>-</v>
      </c>
      <c r="G17722" t="str">
        <v>-</v>
      </c>
    </row>
    <row r="17723">
      <c r="B17723" t="str">
        <v>UBND Ủy ban nhân dân xã Đắk Trăm  tỉnh Kon Tum</v>
      </c>
      <c r="C17723" t="str">
        <v>-</v>
      </c>
      <c r="D17723" t="str">
        <v>-</v>
      </c>
      <c r="E17723" t="str">
        <v>-</v>
      </c>
      <c r="F17723" t="str">
        <v>-</v>
      </c>
      <c r="G17723" t="str">
        <v>-</v>
      </c>
    </row>
    <row r="17724">
      <c r="B17724" t="str">
        <v>Công an xã Văn Lem  tỉnh Kon Tum</v>
      </c>
      <c r="C17724" t="str">
        <v>-</v>
      </c>
      <c r="D17724" t="str">
        <v>-</v>
      </c>
      <c r="E17724" t="str">
        <v/>
      </c>
      <c r="F17724" t="str">
        <v>-</v>
      </c>
      <c r="G17724" t="str">
        <v>-</v>
      </c>
    </row>
    <row r="17725">
      <c r="B17725" t="str">
        <v>UBND Ủy ban nhân dân xã Văn Lem  tỉnh Kon Tum</v>
      </c>
      <c r="C17725" t="str">
        <v>-</v>
      </c>
      <c r="D17725" t="str">
        <v>-</v>
      </c>
      <c r="E17725" t="str">
        <v>-</v>
      </c>
      <c r="F17725" t="str">
        <v>-</v>
      </c>
      <c r="G17725" t="str">
        <v>-</v>
      </c>
    </row>
    <row r="17726">
      <c r="B17726" t="str">
        <v>Công an xã Kon Đào  tỉnh Kon Tum</v>
      </c>
      <c r="C17726" t="str">
        <v>-</v>
      </c>
      <c r="D17726" t="str">
        <v>-</v>
      </c>
      <c r="E17726" t="str">
        <v/>
      </c>
      <c r="F17726" t="str">
        <v>-</v>
      </c>
      <c r="G17726" t="str">
        <v>-</v>
      </c>
    </row>
    <row r="17727">
      <c r="B17727" t="str">
        <v>UBND Ủy ban nhân dân xã Kon Đào  tỉnh Kon Tum</v>
      </c>
      <c r="C17727" t="str">
        <v>-</v>
      </c>
      <c r="D17727" t="str">
        <v>-</v>
      </c>
      <c r="E17727" t="str">
        <v>-</v>
      </c>
      <c r="F17727" t="str">
        <v>-</v>
      </c>
      <c r="G17727" t="str">
        <v>-</v>
      </c>
    </row>
    <row r="17728">
      <c r="B17728" t="str">
        <v>Công an xã Tân Cảnh  tỉnh Kon Tum</v>
      </c>
      <c r="C17728" t="str">
        <v>-</v>
      </c>
      <c r="D17728" t="str">
        <v>-</v>
      </c>
      <c r="E17728" t="str">
        <v/>
      </c>
      <c r="F17728" t="str">
        <v>-</v>
      </c>
      <c r="G17728" t="str">
        <v>-</v>
      </c>
    </row>
    <row r="17729">
      <c r="B17729" t="str">
        <v>UBND Ủy ban nhân dân xã Tân Cảnh  tỉnh Kon Tum</v>
      </c>
      <c r="C17729" t="str">
        <v>-</v>
      </c>
      <c r="D17729" t="str">
        <v>-</v>
      </c>
      <c r="E17729" t="str">
        <v>-</v>
      </c>
      <c r="F17729" t="str">
        <v>-</v>
      </c>
      <c r="G17729" t="str">
        <v>-</v>
      </c>
    </row>
    <row r="17730">
      <c r="B17730" t="str">
        <v>Công an xã Diên Bình  tỉnh Kon Tum</v>
      </c>
      <c r="C17730" t="str">
        <v>-</v>
      </c>
      <c r="D17730" t="str">
        <v>-</v>
      </c>
      <c r="E17730" t="str">
        <v/>
      </c>
      <c r="F17730" t="str">
        <v>-</v>
      </c>
      <c r="G17730" t="str">
        <v>-</v>
      </c>
    </row>
    <row r="17731">
      <c r="B17731" t="str">
        <v>UBND Ủy ban nhân dân xã Diên Bình  tỉnh Kon Tum</v>
      </c>
      <c r="C17731" t="str">
        <v>-</v>
      </c>
      <c r="D17731" t="str">
        <v>-</v>
      </c>
      <c r="E17731" t="str">
        <v>-</v>
      </c>
      <c r="F17731" t="str">
        <v>-</v>
      </c>
      <c r="G17731" t="str">
        <v>-</v>
      </c>
    </row>
    <row r="17732">
      <c r="B17732" t="str">
        <v>Công an xã Pô Kô  tỉnh Kon Tum</v>
      </c>
      <c r="C17732" t="str">
        <v>-</v>
      </c>
      <c r="D17732" t="str">
        <v>-</v>
      </c>
      <c r="E17732" t="str">
        <v/>
      </c>
      <c r="F17732" t="str">
        <v>-</v>
      </c>
      <c r="G17732" t="str">
        <v>-</v>
      </c>
    </row>
    <row r="17733">
      <c r="B17733" t="str">
        <v>UBND Ủy ban nhân dân xã Pô Kô  tỉnh Kon Tum</v>
      </c>
      <c r="C17733" t="str">
        <v>-</v>
      </c>
      <c r="D17733" t="str">
        <v>-</v>
      </c>
      <c r="E17733" t="str">
        <v>-</v>
      </c>
      <c r="F17733" t="str">
        <v>-</v>
      </c>
      <c r="G17733" t="str">
        <v>-</v>
      </c>
    </row>
    <row r="17734">
      <c r="B17734" t="str">
        <v>Công an xã Đắk Nên  tỉnh Kon Tum</v>
      </c>
      <c r="C17734" t="str">
        <v>-</v>
      </c>
      <c r="D17734" t="str">
        <v>-</v>
      </c>
      <c r="E17734" t="str">
        <v/>
      </c>
      <c r="F17734" t="str">
        <v>-</v>
      </c>
      <c r="G17734" t="str">
        <v>-</v>
      </c>
    </row>
    <row r="17735">
      <c r="B17735" t="str">
        <v>UBND Ủy ban nhân dân xã Đắk Nên  tỉnh Kon Tum</v>
      </c>
      <c r="C17735" t="str">
        <v>-</v>
      </c>
      <c r="D17735" t="str">
        <v>-</v>
      </c>
      <c r="E17735" t="str">
        <v>-</v>
      </c>
      <c r="F17735" t="str">
        <v>-</v>
      </c>
      <c r="G17735" t="str">
        <v>-</v>
      </c>
    </row>
    <row r="17736">
      <c r="B17736" t="str">
        <v>Công an xã Đắk Ring  tỉnh Kon Tum</v>
      </c>
      <c r="C17736" t="str">
        <v>-</v>
      </c>
      <c r="D17736" t="str">
        <v>-</v>
      </c>
      <c r="E17736" t="str">
        <v/>
      </c>
      <c r="F17736" t="str">
        <v>-</v>
      </c>
      <c r="G17736" t="str">
        <v>-</v>
      </c>
    </row>
    <row r="17737">
      <c r="B17737" t="str">
        <v>UBND Ủy ban nhân dân xã Đắk Ring  tỉnh Kon Tum</v>
      </c>
      <c r="C17737" t="str">
        <v>-</v>
      </c>
      <c r="D17737" t="str">
        <v>-</v>
      </c>
      <c r="E17737" t="str">
        <v>-</v>
      </c>
      <c r="F17737" t="str">
        <v>-</v>
      </c>
      <c r="G17737" t="str">
        <v>-</v>
      </c>
    </row>
    <row r="17738">
      <c r="B17738" t="str">
        <v>Công an xã Măng Buk  tỉnh Kon Tum</v>
      </c>
      <c r="C17738" t="str">
        <v>-</v>
      </c>
      <c r="D17738" t="str">
        <v>-</v>
      </c>
      <c r="E17738" t="str">
        <v/>
      </c>
      <c r="F17738" t="str">
        <v>-</v>
      </c>
      <c r="G17738" t="str">
        <v>-</v>
      </c>
    </row>
    <row r="17739">
      <c r="B17739" t="str">
        <v>UBND Ủy ban nhân dân xã Măng Buk  tỉnh Kon Tum</v>
      </c>
      <c r="C17739" t="str">
        <v>-</v>
      </c>
      <c r="D17739" t="str">
        <v>-</v>
      </c>
      <c r="E17739" t="str">
        <v>-</v>
      </c>
      <c r="F17739" t="str">
        <v>-</v>
      </c>
      <c r="G17739" t="str">
        <v>-</v>
      </c>
    </row>
    <row r="17740">
      <c r="B17740" t="str">
        <v>Công an xã Đắk Tăng  tỉnh Kon Tum</v>
      </c>
      <c r="C17740" t="str">
        <v>-</v>
      </c>
      <c r="D17740" t="str">
        <v>-</v>
      </c>
      <c r="E17740" t="str">
        <v/>
      </c>
      <c r="F17740" t="str">
        <v>-</v>
      </c>
      <c r="G17740" t="str">
        <v>-</v>
      </c>
    </row>
    <row r="17741">
      <c r="B17741" t="str">
        <v>UBND Ủy ban nhân dân xã Đắk Tăng  tỉnh Kon Tum</v>
      </c>
      <c r="C17741" t="str">
        <v>-</v>
      </c>
      <c r="D17741" t="str">
        <v>-</v>
      </c>
      <c r="E17741" t="str">
        <v>-</v>
      </c>
      <c r="F17741" t="str">
        <v>-</v>
      </c>
      <c r="G17741" t="str">
        <v>-</v>
      </c>
    </row>
    <row r="17742">
      <c r="B17742" t="str">
        <v>Công an xã Ngok Tem  tỉnh Kon Tum</v>
      </c>
      <c r="C17742" t="str">
        <v>-</v>
      </c>
      <c r="D17742" t="str">
        <v>-</v>
      </c>
      <c r="E17742" t="str">
        <v/>
      </c>
      <c r="F17742" t="str">
        <v>-</v>
      </c>
      <c r="G17742" t="str">
        <v>-</v>
      </c>
    </row>
    <row r="17743">
      <c r="B17743" t="str">
        <v>UBND Ủy ban nhân dân xã Ngok Tem  tỉnh Kon Tum</v>
      </c>
      <c r="C17743" t="str">
        <v>-</v>
      </c>
      <c r="D17743" t="str">
        <v>-</v>
      </c>
      <c r="E17743" t="str">
        <v>-</v>
      </c>
      <c r="F17743" t="str">
        <v>-</v>
      </c>
      <c r="G17743" t="str">
        <v>-</v>
      </c>
    </row>
    <row r="17744">
      <c r="B17744" t="str">
        <v>Công an xã Pờ Ê  tỉnh Kon Tum</v>
      </c>
      <c r="C17744" t="str">
        <v>-</v>
      </c>
      <c r="D17744" t="str">
        <v>-</v>
      </c>
      <c r="E17744" t="str">
        <v/>
      </c>
      <c r="F17744" t="str">
        <v>-</v>
      </c>
      <c r="G17744" t="str">
        <v>-</v>
      </c>
    </row>
    <row r="17745">
      <c r="B17745" t="str">
        <v>UBND Ủy ban nhân dân xã Pờ Ê  tỉnh Kon Tum</v>
      </c>
      <c r="C17745" t="str">
        <v>-</v>
      </c>
      <c r="D17745" t="str">
        <v>-</v>
      </c>
      <c r="E17745" t="str">
        <v>-</v>
      </c>
      <c r="F17745" t="str">
        <v>-</v>
      </c>
      <c r="G17745" t="str">
        <v>-</v>
      </c>
    </row>
    <row r="17746">
      <c r="B17746" t="str">
        <v>Công an xã Măng Cành  tỉnh Kon Tum</v>
      </c>
      <c r="C17746" t="str">
        <v>-</v>
      </c>
      <c r="D17746" t="str">
        <v>-</v>
      </c>
      <c r="E17746" t="str">
        <v/>
      </c>
      <c r="F17746" t="str">
        <v>-</v>
      </c>
      <c r="G17746" t="str">
        <v>-</v>
      </c>
    </row>
    <row r="17747">
      <c r="B17747" t="str">
        <v>UBND Ủy ban nhân dân xã Măng Cành  tỉnh Kon Tum</v>
      </c>
      <c r="C17747" t="str">
        <v>-</v>
      </c>
      <c r="D17747" t="str">
        <v>-</v>
      </c>
      <c r="E17747" t="str">
        <v>-</v>
      </c>
      <c r="F17747" t="str">
        <v>-</v>
      </c>
      <c r="G17747" t="str">
        <v>-</v>
      </c>
    </row>
    <row r="17748">
      <c r="B17748" t="str">
        <v>Công an xã Đắk Long  tỉnh Kon Tum</v>
      </c>
      <c r="C17748" t="str">
        <v>-</v>
      </c>
      <c r="D17748" t="str">
        <v>-</v>
      </c>
      <c r="E17748" t="str">
        <v/>
      </c>
      <c r="F17748" t="str">
        <v>-</v>
      </c>
      <c r="G17748" t="str">
        <v>-</v>
      </c>
    </row>
    <row r="17749">
      <c r="B17749" t="str">
        <v>UBND Ủy ban nhân dân xã Đắk Long  tỉnh Kon Tum</v>
      </c>
      <c r="C17749" t="str">
        <v>-</v>
      </c>
      <c r="D17749" t="str">
        <v>-</v>
      </c>
      <c r="E17749" t="str">
        <v>-</v>
      </c>
      <c r="F17749" t="str">
        <v>-</v>
      </c>
      <c r="G17749" t="str">
        <v>-</v>
      </c>
    </row>
    <row r="17750">
      <c r="B17750" t="str">
        <v>Công an xã Hiếu  tỉnh Kon Tum</v>
      </c>
      <c r="C17750" t="str">
        <v>-</v>
      </c>
      <c r="D17750" t="str">
        <v>-</v>
      </c>
      <c r="E17750" t="str">
        <v/>
      </c>
      <c r="F17750" t="str">
        <v>-</v>
      </c>
      <c r="G17750" t="str">
        <v>-</v>
      </c>
    </row>
    <row r="17751">
      <c r="B17751" t="str">
        <v>UBND Ủy ban nhân dân xã Hiếu  tỉnh Kon Tum</v>
      </c>
      <c r="C17751" t="str">
        <v>-</v>
      </c>
      <c r="D17751" t="str">
        <v>-</v>
      </c>
      <c r="E17751" t="str">
        <v>-</v>
      </c>
      <c r="F17751" t="str">
        <v>-</v>
      </c>
      <c r="G17751" t="str">
        <v>-</v>
      </c>
    </row>
    <row r="17752">
      <c r="B17752" t="str">
        <v>Công an xã Đắk Kôi  tỉnh Kon Tum</v>
      </c>
      <c r="C17752" t="str">
        <v>-</v>
      </c>
      <c r="D17752" t="str">
        <v>-</v>
      </c>
      <c r="E17752" t="str">
        <v/>
      </c>
      <c r="F17752" t="str">
        <v>-</v>
      </c>
      <c r="G17752" t="str">
        <v>-</v>
      </c>
    </row>
    <row r="17753">
      <c r="B17753" t="str">
        <v>UBND Ủy ban nhân dân xã Đắk Kôi  tỉnh Kon Tum</v>
      </c>
      <c r="C17753" t="str">
        <v>-</v>
      </c>
      <c r="D17753" t="str">
        <v>-</v>
      </c>
      <c r="E17753" t="str">
        <v>-</v>
      </c>
      <c r="F17753" t="str">
        <v>-</v>
      </c>
      <c r="G17753" t="str">
        <v>-</v>
      </c>
    </row>
    <row r="17754">
      <c r="B17754" t="str">
        <v>Công an xã Đắk Tơ Lung  tỉnh Kon Tum</v>
      </c>
      <c r="C17754" t="str">
        <v>-</v>
      </c>
      <c r="D17754" t="str">
        <v>-</v>
      </c>
      <c r="E17754" t="str">
        <v/>
      </c>
      <c r="F17754" t="str">
        <v>-</v>
      </c>
      <c r="G17754" t="str">
        <v>-</v>
      </c>
    </row>
    <row r="17755">
      <c r="B17755" t="str">
        <v>UBND Ủy ban nhân dân xã Đắk Tơ Lung  tỉnh Kon Tum</v>
      </c>
      <c r="C17755" t="str">
        <v>-</v>
      </c>
      <c r="D17755" t="str">
        <v>-</v>
      </c>
      <c r="E17755" t="str">
        <v>-</v>
      </c>
      <c r="F17755" t="str">
        <v>-</v>
      </c>
      <c r="G17755" t="str">
        <v>-</v>
      </c>
    </row>
    <row r="17756">
      <c r="B17756" t="str">
        <v>Công an xã Đắk Ruồng  tỉnh Kon Tum</v>
      </c>
      <c r="C17756" t="str">
        <v>-</v>
      </c>
      <c r="D17756" t="str">
        <v>-</v>
      </c>
      <c r="E17756" t="str">
        <v/>
      </c>
      <c r="F17756" t="str">
        <v>-</v>
      </c>
      <c r="G17756" t="str">
        <v>-</v>
      </c>
    </row>
    <row r="17757">
      <c r="B17757" t="str">
        <v>UBND Ủy ban nhân dân xã Đắk Ruồng  tỉnh Kon Tum</v>
      </c>
      <c r="C17757" t="str">
        <v>-</v>
      </c>
      <c r="D17757" t="str">
        <v>-</v>
      </c>
      <c r="E17757" t="str">
        <v>-</v>
      </c>
      <c r="F17757" t="str">
        <v>-</v>
      </c>
      <c r="G17757" t="str">
        <v>-</v>
      </c>
    </row>
    <row r="17758">
      <c r="B17758" t="str">
        <v>Công an xã Đắk Pne  tỉnh Kon Tum</v>
      </c>
      <c r="C17758" t="str">
        <v>-</v>
      </c>
      <c r="D17758" t="str">
        <v>-</v>
      </c>
      <c r="E17758" t="str">
        <v/>
      </c>
      <c r="F17758" t="str">
        <v>-</v>
      </c>
      <c r="G17758" t="str">
        <v>-</v>
      </c>
    </row>
    <row r="17759">
      <c r="B17759" t="str">
        <v>UBND Ủy ban nhân dân xã Đắk Pne  tỉnh Kon Tum</v>
      </c>
      <c r="C17759" t="str">
        <v>-</v>
      </c>
      <c r="D17759" t="str">
        <v>-</v>
      </c>
      <c r="E17759" t="str">
        <v>-</v>
      </c>
      <c r="F17759" t="str">
        <v>-</v>
      </c>
      <c r="G17759" t="str">
        <v>-</v>
      </c>
    </row>
    <row r="17760">
      <c r="B17760" t="str">
        <v>Công an xã Đắk Tờ Re  tỉnh Kon Tum</v>
      </c>
      <c r="C17760" t="str">
        <v>-</v>
      </c>
      <c r="D17760" t="str">
        <v>-</v>
      </c>
      <c r="E17760" t="str">
        <v/>
      </c>
      <c r="F17760" t="str">
        <v>-</v>
      </c>
      <c r="G17760" t="str">
        <v>-</v>
      </c>
    </row>
    <row r="17761">
      <c r="B17761" t="str">
        <v>UBND Ủy ban nhân dân xã Đắk Tờ Re  tỉnh Kon Tum</v>
      </c>
      <c r="C17761" t="str">
        <v>-</v>
      </c>
      <c r="D17761" t="str">
        <v>-</v>
      </c>
      <c r="E17761" t="str">
        <v>-</v>
      </c>
      <c r="F17761" t="str">
        <v>-</v>
      </c>
      <c r="G17761" t="str">
        <v>-</v>
      </c>
    </row>
    <row r="17762">
      <c r="B17762" t="str">
        <v>Công an xã Tân Lập  tỉnh Kon Tum</v>
      </c>
      <c r="C17762" t="str">
        <v>-</v>
      </c>
      <c r="D17762" t="str">
        <v>-</v>
      </c>
      <c r="E17762" t="str">
        <v/>
      </c>
      <c r="F17762" t="str">
        <v>-</v>
      </c>
      <c r="G17762" t="str">
        <v>-</v>
      </c>
    </row>
    <row r="17763">
      <c r="B17763" t="str">
        <v>UBND Ủy ban nhân dân xã Tân Lập  tỉnh Kon Tum</v>
      </c>
      <c r="C17763" t="str">
        <v>-</v>
      </c>
      <c r="D17763" t="str">
        <v>-</v>
      </c>
      <c r="E17763" t="str">
        <v>-</v>
      </c>
      <c r="F17763" t="str">
        <v>-</v>
      </c>
      <c r="G17763" t="str">
        <v>-</v>
      </c>
    </row>
    <row r="17764">
      <c r="B17764" t="str">
        <v>Công an xã Đắk PXi  tỉnh Kon Tum</v>
      </c>
      <c r="C17764" t="str">
        <v>-</v>
      </c>
      <c r="D17764" t="str">
        <v>-</v>
      </c>
      <c r="E17764" t="str">
        <v/>
      </c>
      <c r="F17764" t="str">
        <v>-</v>
      </c>
      <c r="G17764" t="str">
        <v>-</v>
      </c>
    </row>
    <row r="17765">
      <c r="B17765" t="str">
        <v>UBND Ủy ban nhân dân xã Đắk PXi  tỉnh Kon Tum</v>
      </c>
      <c r="C17765" t="str">
        <v>-</v>
      </c>
      <c r="D17765" t="str">
        <v>-</v>
      </c>
      <c r="E17765" t="str">
        <v>-</v>
      </c>
      <c r="F17765" t="str">
        <v>-</v>
      </c>
      <c r="G17765" t="str">
        <v>-</v>
      </c>
    </row>
    <row r="17766">
      <c r="B17766" t="str">
        <v>Công an xã Đăk Long  tỉnh Kon Tum</v>
      </c>
      <c r="C17766" t="str">
        <v>-</v>
      </c>
      <c r="D17766" t="str">
        <v>-</v>
      </c>
      <c r="E17766" t="str">
        <v/>
      </c>
      <c r="F17766" t="str">
        <v>-</v>
      </c>
      <c r="G17766" t="str">
        <v>-</v>
      </c>
    </row>
    <row r="17767">
      <c r="B17767" t="str">
        <v>UBND Ủy ban nhân dân xã Đăk Long  tỉnh Kon Tum</v>
      </c>
      <c r="C17767" t="str">
        <v>-</v>
      </c>
      <c r="D17767" t="str">
        <v>-</v>
      </c>
      <c r="E17767" t="str">
        <v>-</v>
      </c>
      <c r="F17767" t="str">
        <v>-</v>
      </c>
      <c r="G17767" t="str">
        <v>-</v>
      </c>
    </row>
    <row r="17768">
      <c r="B17768" t="str">
        <v>Công an xã Đắk HRing  tỉnh Kon Tum</v>
      </c>
      <c r="C17768" t="str">
        <v>-</v>
      </c>
      <c r="D17768" t="str">
        <v>-</v>
      </c>
      <c r="E17768" t="str">
        <v/>
      </c>
      <c r="F17768" t="str">
        <v>-</v>
      </c>
      <c r="G17768" t="str">
        <v>-</v>
      </c>
    </row>
    <row r="17769">
      <c r="B17769" t="str">
        <v>UBND Ủy ban nhân dân xã Đắk HRing  tỉnh Kon Tum</v>
      </c>
      <c r="C17769" t="str">
        <v>-</v>
      </c>
      <c r="D17769" t="str">
        <v>-</v>
      </c>
      <c r="E17769" t="str">
        <v>-</v>
      </c>
      <c r="F17769" t="str">
        <v>-</v>
      </c>
      <c r="G17769" t="str">
        <v>-</v>
      </c>
    </row>
    <row r="17770">
      <c r="B17770" t="str">
        <v>Công an xã Đắk Ui  tỉnh Kon Tum</v>
      </c>
      <c r="C17770" t="str">
        <v>-</v>
      </c>
      <c r="D17770" t="str">
        <v>-</v>
      </c>
      <c r="E17770" t="str">
        <v/>
      </c>
      <c r="F17770" t="str">
        <v>-</v>
      </c>
      <c r="G17770" t="str">
        <v>-</v>
      </c>
    </row>
    <row r="17771">
      <c r="B17771" t="str">
        <v>UBND Ủy ban nhân dân xã Đắk Ui  tỉnh Kon Tum</v>
      </c>
      <c r="C17771" t="str">
        <v>-</v>
      </c>
      <c r="D17771" t="str">
        <v>-</v>
      </c>
      <c r="E17771" t="str">
        <v>-</v>
      </c>
      <c r="F17771" t="str">
        <v>-</v>
      </c>
      <c r="G17771" t="str">
        <v>-</v>
      </c>
    </row>
    <row r="17772">
      <c r="B17772" t="str">
        <v>Công an xã Đăk Ngọk  tỉnh Kon Tum</v>
      </c>
      <c r="C17772" t="str">
        <v>-</v>
      </c>
      <c r="D17772" t="str">
        <v>-</v>
      </c>
      <c r="E17772" t="str">
        <v/>
      </c>
      <c r="F17772" t="str">
        <v>-</v>
      </c>
      <c r="G17772" t="str">
        <v>-</v>
      </c>
    </row>
    <row r="17773">
      <c r="B17773" t="str">
        <v>UBND Ủy ban nhân dân xã Đăk Ngọk  tỉnh Kon Tum</v>
      </c>
      <c r="C17773" t="str">
        <v>-</v>
      </c>
      <c r="D17773" t="str">
        <v>-</v>
      </c>
      <c r="E17773" t="str">
        <v>-</v>
      </c>
      <c r="F17773" t="str">
        <v>-</v>
      </c>
      <c r="G17773" t="str">
        <v>-</v>
      </c>
    </row>
    <row r="17774">
      <c r="B17774" t="str">
        <v>Công an xã Đắk Mar  tỉnh Kon Tum</v>
      </c>
      <c r="C17774" t="str">
        <v>-</v>
      </c>
      <c r="D17774" t="str">
        <v>-</v>
      </c>
      <c r="E17774" t="str">
        <v/>
      </c>
      <c r="F17774" t="str">
        <v>-</v>
      </c>
      <c r="G17774" t="str">
        <v>-</v>
      </c>
    </row>
    <row r="17775">
      <c r="B17775" t="str">
        <v>UBND Ủy ban nhân dân xã Đắk Mar  tỉnh Kon Tum</v>
      </c>
      <c r="C17775" t="str">
        <v>-</v>
      </c>
      <c r="D17775" t="str">
        <v>-</v>
      </c>
      <c r="E17775" t="str">
        <v>-</v>
      </c>
      <c r="F17775" t="str">
        <v>-</v>
      </c>
      <c r="G17775" t="str">
        <v>-</v>
      </c>
    </row>
    <row r="17776">
      <c r="B17776" t="str">
        <v>Công an xã Ngok Wang  tỉnh Kon Tum</v>
      </c>
      <c r="C17776" t="str">
        <v>-</v>
      </c>
      <c r="D17776" t="str">
        <v>-</v>
      </c>
      <c r="E17776" t="str">
        <v/>
      </c>
      <c r="F17776" t="str">
        <v>-</v>
      </c>
      <c r="G17776" t="str">
        <v>-</v>
      </c>
    </row>
    <row r="17777">
      <c r="B17777" t="str">
        <v>UBND Ủy ban nhân dân xã Ngok Wang  tỉnh Kon Tum</v>
      </c>
      <c r="C17777" t="str">
        <v>-</v>
      </c>
      <c r="D17777" t="str">
        <v>-</v>
      </c>
      <c r="E17777" t="str">
        <v>-</v>
      </c>
      <c r="F17777" t="str">
        <v>-</v>
      </c>
      <c r="G17777" t="str">
        <v>-</v>
      </c>
    </row>
    <row r="17778">
      <c r="B17778" t="str">
        <v>Công an xã Ngok Réo  tỉnh Kon Tum</v>
      </c>
      <c r="C17778" t="str">
        <v>-</v>
      </c>
      <c r="D17778" t="str">
        <v>-</v>
      </c>
      <c r="E17778" t="str">
        <v/>
      </c>
      <c r="F17778" t="str">
        <v>-</v>
      </c>
      <c r="G17778" t="str">
        <v>-</v>
      </c>
    </row>
    <row r="17779">
      <c r="B17779" t="str">
        <v>UBND Ủy ban nhân dân xã Ngok Réo  tỉnh Kon Tum</v>
      </c>
      <c r="C17779" t="str">
        <v>-</v>
      </c>
      <c r="D17779" t="str">
        <v>-</v>
      </c>
      <c r="E17779" t="str">
        <v>-</v>
      </c>
      <c r="F17779" t="str">
        <v>-</v>
      </c>
      <c r="G17779" t="str">
        <v>-</v>
      </c>
    </row>
    <row r="17780">
      <c r="B17780" t="str">
        <v>Công an xã Hà Mòn  tỉnh Kon Tum</v>
      </c>
      <c r="C17780" t="str">
        <v>-</v>
      </c>
      <c r="D17780" t="str">
        <v>-</v>
      </c>
      <c r="E17780" t="str">
        <v/>
      </c>
      <c r="F17780" t="str">
        <v>-</v>
      </c>
      <c r="G17780" t="str">
        <v>-</v>
      </c>
    </row>
    <row r="17781">
      <c r="B17781" t="str">
        <v>UBND Ủy ban nhân dân xã Hà Mòn  tỉnh Kon Tum</v>
      </c>
      <c r="C17781" t="str">
        <v>-</v>
      </c>
      <c r="D17781" t="str">
        <v>-</v>
      </c>
      <c r="E17781" t="str">
        <v>-</v>
      </c>
      <c r="F17781" t="str">
        <v>-</v>
      </c>
      <c r="G17781" t="str">
        <v>-</v>
      </c>
    </row>
    <row r="17782">
      <c r="B17782" t="str">
        <v>Công an xã Đắk La  tỉnh Kon Tum</v>
      </c>
      <c r="C17782" t="str">
        <v>-</v>
      </c>
      <c r="D17782" t="str">
        <v>-</v>
      </c>
      <c r="E17782" t="str">
        <v/>
      </c>
      <c r="F17782" t="str">
        <v>-</v>
      </c>
      <c r="G17782" t="str">
        <v>-</v>
      </c>
    </row>
    <row r="17783">
      <c r="B17783" t="str">
        <v>UBND Ủy ban nhân dân xã Đắk La  tỉnh Kon Tum</v>
      </c>
      <c r="C17783" t="str">
        <v>-</v>
      </c>
      <c r="D17783" t="str">
        <v>-</v>
      </c>
      <c r="E17783" t="str">
        <v>-</v>
      </c>
      <c r="F17783" t="str">
        <v>-</v>
      </c>
      <c r="G17783" t="str">
        <v>-</v>
      </c>
    </row>
    <row r="17784">
      <c r="B17784" t="str">
        <v>Công an xã Rơ Kơi  tỉnh Kon Tum</v>
      </c>
      <c r="C17784" t="str">
        <v>-</v>
      </c>
      <c r="D17784" t="str">
        <v>-</v>
      </c>
      <c r="E17784" t="str">
        <v/>
      </c>
      <c r="F17784" t="str">
        <v>-</v>
      </c>
      <c r="G17784" t="str">
        <v>-</v>
      </c>
    </row>
    <row r="17785">
      <c r="B17785" t="str">
        <v>UBND Ủy ban nhân dân xã Rơ Kơi  tỉnh Kon Tum</v>
      </c>
      <c r="C17785" t="str">
        <v>-</v>
      </c>
      <c r="D17785" t="str">
        <v>-</v>
      </c>
      <c r="E17785" t="str">
        <v>-</v>
      </c>
      <c r="F17785" t="str">
        <v>-</v>
      </c>
      <c r="G17785" t="str">
        <v>-</v>
      </c>
    </row>
    <row r="17786">
      <c r="B17786" t="str">
        <v>Công an xã Sa Nhơn  tỉnh Kon Tum</v>
      </c>
      <c r="C17786" t="str">
        <v>-</v>
      </c>
      <c r="D17786" t="str">
        <v>-</v>
      </c>
      <c r="E17786" t="str">
        <v/>
      </c>
      <c r="F17786" t="str">
        <v>-</v>
      </c>
      <c r="G17786" t="str">
        <v>-</v>
      </c>
    </row>
    <row r="17787">
      <c r="B17787" t="str">
        <v>UBND Ủy ban nhân dân xã Sa Nhơn  tỉnh Kon Tum</v>
      </c>
      <c r="C17787" t="str">
        <v>-</v>
      </c>
      <c r="D17787" t="str">
        <v>-</v>
      </c>
      <c r="E17787" t="str">
        <v>-</v>
      </c>
      <c r="F17787" t="str">
        <v>-</v>
      </c>
      <c r="G17787" t="str">
        <v>-</v>
      </c>
    </row>
    <row r="17788">
      <c r="B17788" t="str">
        <v>Công an xã Hơ Moong  tỉnh Kon Tum</v>
      </c>
      <c r="C17788" t="str">
        <v>-</v>
      </c>
      <c r="D17788" t="str">
        <v>-</v>
      </c>
      <c r="E17788" t="str">
        <v/>
      </c>
      <c r="F17788" t="str">
        <v>-</v>
      </c>
      <c r="G17788" t="str">
        <v>-</v>
      </c>
    </row>
    <row r="17789">
      <c r="B17789" t="str">
        <v>UBND Ủy ban nhân dân xã Hơ Moong  tỉnh Kon Tum</v>
      </c>
      <c r="C17789" t="str">
        <v>-</v>
      </c>
      <c r="D17789" t="str">
        <v>-</v>
      </c>
      <c r="E17789" t="str">
        <v>-</v>
      </c>
      <c r="F17789" t="str">
        <v>-</v>
      </c>
      <c r="G17789" t="str">
        <v>-</v>
      </c>
    </row>
    <row r="17790">
      <c r="B17790" t="str">
        <v>Công an xã Mô Rai  tỉnh Kon Tum</v>
      </c>
      <c r="C17790" t="str">
        <v>-</v>
      </c>
      <c r="D17790" t="str">
        <v>-</v>
      </c>
      <c r="E17790" t="str">
        <v/>
      </c>
      <c r="F17790" t="str">
        <v>-</v>
      </c>
      <c r="G17790" t="str">
        <v>-</v>
      </c>
    </row>
    <row r="17791">
      <c r="B17791" t="str">
        <v>UBND Ủy ban nhân dân xã Mô Rai  tỉnh Kon Tum</v>
      </c>
      <c r="C17791" t="str">
        <v>-</v>
      </c>
      <c r="D17791" t="str">
        <v>-</v>
      </c>
      <c r="E17791" t="str">
        <v>-</v>
      </c>
      <c r="F17791" t="str">
        <v>-</v>
      </c>
      <c r="G17791" t="str">
        <v>-</v>
      </c>
    </row>
    <row r="17792">
      <c r="B17792" t="str">
        <v>Công an xã Sa Sơn  tỉnh Kon Tum</v>
      </c>
      <c r="C17792" t="str">
        <v>-</v>
      </c>
      <c r="D17792" t="str">
        <v>-</v>
      </c>
      <c r="E17792" t="str">
        <v/>
      </c>
      <c r="F17792" t="str">
        <v>-</v>
      </c>
      <c r="G17792" t="str">
        <v>-</v>
      </c>
    </row>
    <row r="17793">
      <c r="B17793" t="str">
        <v>UBND Ủy ban nhân dân xã Sa Sơn  tỉnh Kon Tum</v>
      </c>
      <c r="C17793" t="str">
        <v>-</v>
      </c>
      <c r="D17793" t="str">
        <v>-</v>
      </c>
      <c r="E17793" t="str">
        <v>-</v>
      </c>
      <c r="F17793" t="str">
        <v>-</v>
      </c>
      <c r="G17793" t="str">
        <v>-</v>
      </c>
    </row>
    <row r="17794">
      <c r="B17794" t="str">
        <v>Công an xã Sa Nghĩa  tỉnh Kon Tum</v>
      </c>
      <c r="C17794" t="str">
        <v>-</v>
      </c>
      <c r="D17794" t="str">
        <v>-</v>
      </c>
      <c r="E17794" t="str">
        <v/>
      </c>
      <c r="F17794" t="str">
        <v>-</v>
      </c>
      <c r="G17794" t="str">
        <v>-</v>
      </c>
    </row>
    <row r="17795">
      <c r="B17795" t="str">
        <v>UBND Ủy ban nhân dân xã Sa Nghĩa  tỉnh Kon Tum</v>
      </c>
      <c r="C17795" t="str">
        <v>-</v>
      </c>
      <c r="D17795" t="str">
        <v>-</v>
      </c>
      <c r="E17795" t="str">
        <v>-</v>
      </c>
      <c r="F17795" t="str">
        <v>-</v>
      </c>
      <c r="G17795" t="str">
        <v>-</v>
      </c>
    </row>
    <row r="17796">
      <c r="B17796" t="str">
        <v>Công an xã Sa Bình  tỉnh Kon Tum</v>
      </c>
      <c r="C17796" t="str">
        <v>-</v>
      </c>
      <c r="D17796" t="str">
        <v>-</v>
      </c>
      <c r="E17796" t="str">
        <v/>
      </c>
      <c r="F17796" t="str">
        <v>-</v>
      </c>
      <c r="G17796" t="str">
        <v>-</v>
      </c>
    </row>
    <row r="17797">
      <c r="B17797" t="str">
        <v>UBND Ủy ban nhân dân xã Sa Bình  tỉnh Kon Tum</v>
      </c>
      <c r="C17797" t="str">
        <v>-</v>
      </c>
      <c r="D17797" t="str">
        <v>-</v>
      </c>
      <c r="E17797" t="str">
        <v>-</v>
      </c>
      <c r="F17797" t="str">
        <v>-</v>
      </c>
      <c r="G17797" t="str">
        <v>-</v>
      </c>
    </row>
    <row r="17798">
      <c r="B17798" t="str">
        <v>Công an xã Ya Xiêr  tỉnh Kon Tum</v>
      </c>
      <c r="C17798" t="str">
        <v>-</v>
      </c>
      <c r="D17798" t="str">
        <v>-</v>
      </c>
      <c r="E17798" t="str">
        <v/>
      </c>
      <c r="F17798" t="str">
        <v>-</v>
      </c>
      <c r="G17798" t="str">
        <v>-</v>
      </c>
    </row>
    <row r="17799">
      <c r="B17799" t="str">
        <v>UBND Ủy ban nhân dân xã Ya Xiêr  tỉnh Kon Tum</v>
      </c>
      <c r="C17799" t="str">
        <v>-</v>
      </c>
      <c r="D17799" t="str">
        <v>-</v>
      </c>
      <c r="E17799" t="str">
        <v>-</v>
      </c>
      <c r="F17799" t="str">
        <v>-</v>
      </c>
      <c r="G17799" t="str">
        <v>-</v>
      </c>
    </row>
    <row r="17800">
      <c r="B17800" t="str">
        <v>Công an xã Ya Tăng  tỉnh Kon Tum</v>
      </c>
      <c r="C17800" t="str">
        <v>-</v>
      </c>
      <c r="D17800" t="str">
        <v>-</v>
      </c>
      <c r="E17800" t="str">
        <v/>
      </c>
      <c r="F17800" t="str">
        <v>-</v>
      </c>
      <c r="G17800" t="str">
        <v>-</v>
      </c>
    </row>
    <row r="17801">
      <c r="B17801" t="str">
        <v>UBND Ủy ban nhân dân xã Ya Tăng  tỉnh Kon Tum</v>
      </c>
      <c r="C17801" t="str">
        <v>-</v>
      </c>
      <c r="D17801" t="str">
        <v>-</v>
      </c>
      <c r="E17801" t="str">
        <v>-</v>
      </c>
      <c r="F17801" t="str">
        <v>-</v>
      </c>
      <c r="G17801" t="str">
        <v>-</v>
      </c>
    </row>
    <row r="17802">
      <c r="B17802" t="str">
        <v>Công an xã Ya ly  tỉnh Kon Tum</v>
      </c>
      <c r="C17802" t="str">
        <v>-</v>
      </c>
      <c r="D17802" t="str">
        <v>-</v>
      </c>
      <c r="E17802" t="str">
        <v/>
      </c>
      <c r="F17802" t="str">
        <v>-</v>
      </c>
      <c r="G17802" t="str">
        <v>-</v>
      </c>
    </row>
    <row r="17803">
      <c r="B17803" t="str">
        <v>UBND Ủy ban nhân dân xã Ya ly  tỉnh Kon Tum</v>
      </c>
      <c r="C17803" t="str">
        <v>-</v>
      </c>
      <c r="D17803" t="str">
        <v>-</v>
      </c>
      <c r="E17803" t="str">
        <v>-</v>
      </c>
      <c r="F17803" t="str">
        <v>-</v>
      </c>
      <c r="G17803" t="str">
        <v>-</v>
      </c>
    </row>
    <row r="17804">
      <c r="B17804" t="str">
        <v>Công an xã Ngọc Lây  tỉnh Kon Tum</v>
      </c>
      <c r="C17804" t="str">
        <v>-</v>
      </c>
      <c r="D17804" t="str">
        <v>-</v>
      </c>
      <c r="E17804" t="str">
        <v/>
      </c>
      <c r="F17804" t="str">
        <v>-</v>
      </c>
      <c r="G17804" t="str">
        <v>-</v>
      </c>
    </row>
    <row r="17805">
      <c r="B17805" t="str">
        <v>UBND Ủy ban nhân dân xã Ngọc Lây  tỉnh Kon Tum</v>
      </c>
      <c r="C17805" t="str">
        <v>-</v>
      </c>
      <c r="D17805" t="str">
        <v>-</v>
      </c>
      <c r="E17805" t="str">
        <v>-</v>
      </c>
      <c r="F17805" t="str">
        <v>-</v>
      </c>
      <c r="G17805" t="str">
        <v>-</v>
      </c>
    </row>
    <row r="17806">
      <c r="B17806" t="str">
        <v>Công an xã Đắk Na  tỉnh Kon Tum</v>
      </c>
      <c r="C17806" t="str">
        <v>-</v>
      </c>
      <c r="D17806" t="str">
        <v>-</v>
      </c>
      <c r="E17806" t="str">
        <v/>
      </c>
      <c r="F17806" t="str">
        <v>-</v>
      </c>
      <c r="G17806" t="str">
        <v>-</v>
      </c>
    </row>
    <row r="17807">
      <c r="B17807" t="str">
        <v>UBND Ủy ban nhân dân xã Đắk Na  tỉnh Kon Tum</v>
      </c>
      <c r="C17807" t="str">
        <v>-</v>
      </c>
      <c r="D17807" t="str">
        <v>-</v>
      </c>
      <c r="E17807" t="str">
        <v>-</v>
      </c>
      <c r="F17807" t="str">
        <v>-</v>
      </c>
      <c r="G17807" t="str">
        <v>-</v>
      </c>
    </row>
    <row r="17808">
      <c r="B17808" t="str">
        <v>Công an xã Măng Ri  tỉnh Kon Tum</v>
      </c>
      <c r="C17808" t="str">
        <v>-</v>
      </c>
      <c r="D17808" t="str">
        <v>-</v>
      </c>
      <c r="E17808" t="str">
        <v/>
      </c>
      <c r="F17808" t="str">
        <v>-</v>
      </c>
      <c r="G17808" t="str">
        <v>-</v>
      </c>
    </row>
    <row r="17809">
      <c r="B17809" t="str">
        <v>UBND Ủy ban nhân dân xã Măng Ri  tỉnh Kon Tum</v>
      </c>
      <c r="C17809" t="str">
        <v>-</v>
      </c>
      <c r="D17809" t="str">
        <v>-</v>
      </c>
      <c r="E17809" t="str">
        <v>-</v>
      </c>
      <c r="F17809" t="str">
        <v>-</v>
      </c>
      <c r="G17809" t="str">
        <v>-</v>
      </c>
    </row>
    <row r="17810">
      <c r="B17810" t="str">
        <v>Công an xã Ngọc Yêu  tỉnh Kon Tum</v>
      </c>
      <c r="C17810" t="str">
        <v>-</v>
      </c>
      <c r="D17810" t="str">
        <v>-</v>
      </c>
      <c r="E17810" t="str">
        <v/>
      </c>
      <c r="F17810" t="str">
        <v>-</v>
      </c>
      <c r="G17810" t="str">
        <v>-</v>
      </c>
    </row>
    <row r="17811">
      <c r="B17811" t="str">
        <v>UBND Ủy ban nhân dân xã Ngọc Yêu  tỉnh Kon Tum</v>
      </c>
      <c r="C17811" t="str">
        <v>-</v>
      </c>
      <c r="D17811" t="str">
        <v>-</v>
      </c>
      <c r="E17811" t="str">
        <v>-</v>
      </c>
      <c r="F17811" t="str">
        <v>-</v>
      </c>
      <c r="G17811" t="str">
        <v>-</v>
      </c>
    </row>
    <row r="17812">
      <c r="B17812" t="str">
        <v>Công an xã Đắk Sao  tỉnh Kon Tum</v>
      </c>
      <c r="C17812" t="str">
        <v>-</v>
      </c>
      <c r="D17812" t="str">
        <v>-</v>
      </c>
      <c r="E17812" t="str">
        <v/>
      </c>
      <c r="F17812" t="str">
        <v>-</v>
      </c>
      <c r="G17812" t="str">
        <v>-</v>
      </c>
    </row>
    <row r="17813">
      <c r="B17813" t="str">
        <v>UBND Ủy ban nhân dân xã Đắk Sao  tỉnh Kon Tum</v>
      </c>
      <c r="C17813" t="str">
        <v>-</v>
      </c>
      <c r="D17813" t="str">
        <v>-</v>
      </c>
      <c r="E17813" t="str">
        <v>-</v>
      </c>
      <c r="F17813" t="str">
        <v>-</v>
      </c>
      <c r="G17813" t="str">
        <v>-</v>
      </c>
    </row>
    <row r="17814">
      <c r="B17814" t="str">
        <v>Công an xã Đắk Rơ Ông  tỉnh Kon Tum</v>
      </c>
      <c r="C17814" t="str">
        <v>-</v>
      </c>
      <c r="D17814" t="str">
        <v>-</v>
      </c>
      <c r="E17814" t="str">
        <v/>
      </c>
      <c r="F17814" t="str">
        <v>-</v>
      </c>
      <c r="G17814" t="str">
        <v>-</v>
      </c>
    </row>
    <row r="17815">
      <c r="B17815" t="str">
        <v>UBND Ủy ban nhân dân xã Đắk Rơ Ông  tỉnh Kon Tum</v>
      </c>
      <c r="C17815" t="str">
        <v>-</v>
      </c>
      <c r="D17815" t="str">
        <v>-</v>
      </c>
      <c r="E17815" t="str">
        <v>-</v>
      </c>
      <c r="F17815" t="str">
        <v>-</v>
      </c>
      <c r="G17815" t="str">
        <v>-</v>
      </c>
    </row>
    <row r="17816">
      <c r="B17816" t="str">
        <v>Công an xã Đắk Tờ Kan  tỉnh Kon Tum</v>
      </c>
      <c r="C17816" t="str">
        <v>-</v>
      </c>
      <c r="D17816" t="str">
        <v>-</v>
      </c>
      <c r="E17816" t="str">
        <v/>
      </c>
      <c r="F17816" t="str">
        <v>-</v>
      </c>
      <c r="G17816" t="str">
        <v>-</v>
      </c>
    </row>
    <row r="17817">
      <c r="B17817" t="str">
        <v>UBND Ủy ban nhân dân xã Đắk Tờ Kan  tỉnh Kon Tum</v>
      </c>
      <c r="C17817" t="str">
        <v>-</v>
      </c>
      <c r="D17817" t="str">
        <v>-</v>
      </c>
      <c r="E17817" t="str">
        <v>-</v>
      </c>
      <c r="F17817" t="str">
        <v>-</v>
      </c>
      <c r="G17817" t="str">
        <v>-</v>
      </c>
    </row>
    <row r="17818">
      <c r="B17818" t="str">
        <v>Công an xã Tu Mơ Rông  tỉnh Kon Tum</v>
      </c>
      <c r="C17818" t="str">
        <v>-</v>
      </c>
      <c r="D17818" t="str">
        <v>-</v>
      </c>
      <c r="E17818" t="str">
        <v/>
      </c>
      <c r="F17818" t="str">
        <v>-</v>
      </c>
      <c r="G17818" t="str">
        <v>-</v>
      </c>
    </row>
    <row r="17819">
      <c r="B17819" t="str">
        <v>UBND Ủy ban nhân dân xã Tu Mơ Rông  tỉnh Kon Tum</v>
      </c>
      <c r="C17819" t="str">
        <v>-</v>
      </c>
      <c r="D17819" t="str">
        <v>-</v>
      </c>
      <c r="E17819" t="str">
        <v>-</v>
      </c>
      <c r="F17819" t="str">
        <v>-</v>
      </c>
      <c r="G17819" t="str">
        <v>-</v>
      </c>
    </row>
    <row r="17820">
      <c r="B17820" t="str">
        <v>Công an xã Đắk Hà  tỉnh Kon Tum</v>
      </c>
      <c r="C17820" t="str">
        <v>-</v>
      </c>
      <c r="D17820" t="str">
        <v>-</v>
      </c>
      <c r="E17820" t="str">
        <v/>
      </c>
      <c r="F17820" t="str">
        <v>-</v>
      </c>
      <c r="G17820" t="str">
        <v>-</v>
      </c>
    </row>
    <row r="17821">
      <c r="B17821" t="str">
        <v>UBND Ủy ban nhân dân xã Đắk Hà  tỉnh Kon Tum</v>
      </c>
      <c r="C17821" t="str">
        <v>-</v>
      </c>
      <c r="D17821" t="str">
        <v>-</v>
      </c>
      <c r="E17821" t="str">
        <v>-</v>
      </c>
      <c r="F17821" t="str">
        <v>-</v>
      </c>
      <c r="G17821" t="str">
        <v>-</v>
      </c>
    </row>
    <row r="17822">
      <c r="B17822" t="str">
        <v>Công an xã Tê Xăng  tỉnh Kon Tum</v>
      </c>
      <c r="C17822" t="str">
        <v>-</v>
      </c>
      <c r="D17822" t="str">
        <v>-</v>
      </c>
      <c r="E17822" t="str">
        <v/>
      </c>
      <c r="F17822" t="str">
        <v>-</v>
      </c>
      <c r="G17822" t="str">
        <v>-</v>
      </c>
    </row>
    <row r="17823">
      <c r="B17823" t="str">
        <v>UBND Ủy ban nhân dân xã Tê Xăng  tỉnh Kon Tum</v>
      </c>
      <c r="C17823" t="str">
        <v>-</v>
      </c>
      <c r="D17823" t="str">
        <v>-</v>
      </c>
      <c r="E17823" t="str">
        <v>-</v>
      </c>
      <c r="F17823" t="str">
        <v>-</v>
      </c>
      <c r="G17823" t="str">
        <v>-</v>
      </c>
    </row>
    <row r="17824">
      <c r="B17824" t="str">
        <v>Công an xã Văn Xuôi  tỉnh Kon Tum</v>
      </c>
      <c r="C17824" t="str">
        <v>-</v>
      </c>
      <c r="D17824" t="str">
        <v>-</v>
      </c>
      <c r="E17824" t="str">
        <v/>
      </c>
      <c r="F17824" t="str">
        <v>-</v>
      </c>
      <c r="G17824" t="str">
        <v>-</v>
      </c>
    </row>
    <row r="17825">
      <c r="B17825" t="str">
        <v>UBND Ủy ban nhân dân xã Văn Xuôi  tỉnh Kon Tum</v>
      </c>
      <c r="C17825" t="str">
        <v>-</v>
      </c>
      <c r="D17825" t="str">
        <v>-</v>
      </c>
      <c r="E17825" t="str">
        <v>-</v>
      </c>
      <c r="F17825" t="str">
        <v>-</v>
      </c>
      <c r="G17825" t="str">
        <v>-</v>
      </c>
    </row>
    <row r="17826">
      <c r="B17826" t="str">
        <v>Công an xã Ia Đal  tỉnh Kon Tum</v>
      </c>
      <c r="C17826" t="str">
        <v>-</v>
      </c>
      <c r="D17826" t="str">
        <v>-</v>
      </c>
      <c r="E17826" t="str">
        <v/>
      </c>
      <c r="F17826" t="str">
        <v>-</v>
      </c>
      <c r="G17826" t="str">
        <v>-</v>
      </c>
    </row>
    <row r="17827">
      <c r="B17827" t="str">
        <v>UBND Ủy ban nhân dân xã Ia Đal  tỉnh Kon Tum</v>
      </c>
      <c r="C17827" t="str">
        <v>-</v>
      </c>
      <c r="D17827" t="str">
        <v>-</v>
      </c>
      <c r="E17827" t="str">
        <v>-</v>
      </c>
      <c r="F17827" t="str">
        <v>-</v>
      </c>
      <c r="G17827" t="str">
        <v>-</v>
      </c>
    </row>
    <row r="17828">
      <c r="B17828" t="str">
        <v>Công an xã Ia Dom  tỉnh Kon Tum</v>
      </c>
      <c r="C17828" t="str">
        <v>-</v>
      </c>
      <c r="D17828" t="str">
        <v>-</v>
      </c>
      <c r="E17828" t="str">
        <v/>
      </c>
      <c r="F17828" t="str">
        <v>-</v>
      </c>
      <c r="G17828" t="str">
        <v>-</v>
      </c>
    </row>
    <row r="17829">
      <c r="B17829" t="str">
        <v>UBND Ủy ban nhân dân xã Ia Dom  tỉnh Kon Tum</v>
      </c>
      <c r="C17829" t="str">
        <v>-</v>
      </c>
      <c r="D17829" t="str">
        <v>-</v>
      </c>
      <c r="E17829" t="str">
        <v>-</v>
      </c>
      <c r="F17829" t="str">
        <v>-</v>
      </c>
      <c r="G17829" t="str">
        <v>-</v>
      </c>
    </row>
    <row r="17830">
      <c r="B17830" t="str">
        <v>Công an xã Ia Tơi  tỉnh Kon Tum</v>
      </c>
      <c r="C17830" t="str">
        <v>-</v>
      </c>
      <c r="D17830" t="str">
        <v>-</v>
      </c>
      <c r="E17830" t="str">
        <v/>
      </c>
      <c r="F17830" t="str">
        <v>-</v>
      </c>
      <c r="G17830" t="str">
        <v>-</v>
      </c>
    </row>
    <row r="17831">
      <c r="B17831" t="str">
        <v>UBND Ủy ban nhân dân xã Ia Tơi  tỉnh Kon Tum</v>
      </c>
      <c r="C17831" t="str">
        <v>-</v>
      </c>
      <c r="D17831" t="str">
        <v>-</v>
      </c>
      <c r="E17831" t="str">
        <v>-</v>
      </c>
      <c r="F17831" t="str">
        <v>-</v>
      </c>
      <c r="G17831" t="str">
        <v>-</v>
      </c>
    </row>
    <row r="17832">
      <c r="B17832" t="str">
        <v>Công an phường Yên Đỗ  tỉnh Gia Lai</v>
      </c>
      <c r="C17832" t="str">
        <v>-</v>
      </c>
      <c r="D17832" t="str">
        <v>-</v>
      </c>
      <c r="E17832" t="str">
        <v/>
      </c>
      <c r="F17832" t="str">
        <v>-</v>
      </c>
      <c r="G17832" t="str">
        <v>-</v>
      </c>
    </row>
    <row r="17833">
      <c r="B17833" t="str">
        <v>UBND Ủy ban nhân dân phường Yên Đỗ  tỉnh Gia Lai</v>
      </c>
      <c r="C17833" t="str">
        <v>-</v>
      </c>
      <c r="D17833" t="str">
        <v>-</v>
      </c>
      <c r="E17833" t="str">
        <v>-</v>
      </c>
      <c r="F17833" t="str">
        <v>-</v>
      </c>
      <c r="G17833" t="str">
        <v>-</v>
      </c>
    </row>
    <row r="17834">
      <c r="B17834" t="str">
        <v>Công an phường Diên Hồng  tỉnh Gia Lai</v>
      </c>
      <c r="C17834" t="str">
        <v>-</v>
      </c>
      <c r="D17834" t="str">
        <v>-</v>
      </c>
      <c r="E17834" t="str">
        <v/>
      </c>
      <c r="F17834" t="str">
        <v>-</v>
      </c>
      <c r="G17834" t="str">
        <v>-</v>
      </c>
    </row>
    <row r="17835">
      <c r="B17835" t="str">
        <v>UBND Ủy ban nhân dân phường Diên Hồng  tỉnh Gia Lai</v>
      </c>
      <c r="C17835" t="str">
        <v>-</v>
      </c>
      <c r="D17835" t="str">
        <v>-</v>
      </c>
      <c r="E17835" t="str">
        <v>-</v>
      </c>
      <c r="F17835" t="str">
        <v>-</v>
      </c>
      <c r="G17835" t="str">
        <v>-</v>
      </c>
    </row>
    <row r="17836">
      <c r="B17836" t="str">
        <v>Công an phường Ia Kring  tỉnh Gia Lai</v>
      </c>
      <c r="C17836" t="str">
        <v>-</v>
      </c>
      <c r="D17836" t="str">
        <v>-</v>
      </c>
      <c r="E17836" t="str">
        <v/>
      </c>
      <c r="F17836" t="str">
        <v>-</v>
      </c>
      <c r="G17836" t="str">
        <v>-</v>
      </c>
    </row>
    <row r="17837">
      <c r="B17837" t="str">
        <v>UBND Ủy ban nhân dân phường Ia Kring  tỉnh Gia Lai</v>
      </c>
      <c r="C17837" t="str">
        <v>-</v>
      </c>
      <c r="D17837" t="str">
        <v>-</v>
      </c>
      <c r="E17837" t="str">
        <v>-</v>
      </c>
      <c r="F17837" t="str">
        <v>-</v>
      </c>
      <c r="G17837" t="str">
        <v>-</v>
      </c>
    </row>
    <row r="17838">
      <c r="B17838" t="str">
        <v>Công an phường Hội Thương  tỉnh Gia Lai</v>
      </c>
      <c r="C17838" t="str">
        <v>-</v>
      </c>
      <c r="D17838" t="str">
        <v>-</v>
      </c>
      <c r="E17838" t="str">
        <v/>
      </c>
      <c r="F17838" t="str">
        <v>-</v>
      </c>
      <c r="G17838" t="str">
        <v>-</v>
      </c>
    </row>
    <row r="17839">
      <c r="B17839" t="str">
        <v>UBND Ủy ban nhân dân phường Hội Thương  tỉnh Gia Lai</v>
      </c>
      <c r="C17839" t="str">
        <v>-</v>
      </c>
      <c r="D17839" t="str">
        <v>-</v>
      </c>
      <c r="E17839" t="str">
        <v>-</v>
      </c>
      <c r="F17839" t="str">
        <v>-</v>
      </c>
      <c r="G17839" t="str">
        <v>-</v>
      </c>
    </row>
    <row r="17840">
      <c r="B17840" t="str">
        <v>Công an phường Hội Phú  tỉnh Gia Lai</v>
      </c>
      <c r="C17840" t="str">
        <v>-</v>
      </c>
      <c r="D17840" t="str">
        <v>-</v>
      </c>
      <c r="E17840" t="str">
        <v/>
      </c>
      <c r="F17840" t="str">
        <v>-</v>
      </c>
      <c r="G17840" t="str">
        <v>-</v>
      </c>
    </row>
    <row r="17841">
      <c r="B17841" t="str">
        <v>UBND Ủy ban nhân dân phường Hội Phú  tỉnh Gia Lai</v>
      </c>
      <c r="C17841" t="str">
        <v>-</v>
      </c>
      <c r="D17841" t="str">
        <v>-</v>
      </c>
      <c r="E17841" t="str">
        <v>-</v>
      </c>
      <c r="F17841" t="str">
        <v>-</v>
      </c>
      <c r="G17841" t="str">
        <v>-</v>
      </c>
    </row>
    <row r="17842">
      <c r="B17842" t="str">
        <v>Công an phường Phù Đổng  tỉnh Gia Lai</v>
      </c>
      <c r="C17842" t="str">
        <v>-</v>
      </c>
      <c r="D17842" t="str">
        <v>-</v>
      </c>
      <c r="E17842" t="str">
        <v/>
      </c>
      <c r="F17842" t="str">
        <v>-</v>
      </c>
      <c r="G17842" t="str">
        <v>-</v>
      </c>
    </row>
    <row r="17843">
      <c r="B17843" t="str">
        <v>UBND Ủy ban nhân dân phường Phù Đổng  tỉnh Gia Lai</v>
      </c>
      <c r="C17843" t="str">
        <v>-</v>
      </c>
      <c r="D17843" t="str">
        <v>-</v>
      </c>
      <c r="E17843" t="str">
        <v>-</v>
      </c>
      <c r="F17843" t="str">
        <v>-</v>
      </c>
      <c r="G17843" t="str">
        <v>-</v>
      </c>
    </row>
    <row r="17844">
      <c r="B17844" t="str">
        <v>Công an phường Hoa Lư  tỉnh Gia Lai</v>
      </c>
      <c r="C17844" t="str">
        <v>-</v>
      </c>
      <c r="D17844" t="str">
        <v>-</v>
      </c>
      <c r="E17844" t="str">
        <v/>
      </c>
      <c r="F17844" t="str">
        <v>-</v>
      </c>
      <c r="G17844" t="str">
        <v>-</v>
      </c>
    </row>
    <row r="17845">
      <c r="B17845" t="str">
        <v>UBND Ủy ban nhân dân phường Hoa Lư  tỉnh Gia Lai</v>
      </c>
      <c r="C17845" t="str">
        <v>-</v>
      </c>
      <c r="D17845" t="str">
        <v>-</v>
      </c>
      <c r="E17845" t="str">
        <v>-</v>
      </c>
      <c r="F17845" t="str">
        <v>-</v>
      </c>
      <c r="G17845" t="str">
        <v>-</v>
      </c>
    </row>
    <row r="17846">
      <c r="B17846" t="str">
        <v>Công an phường Tây Sơn  tỉnh Gia Lai</v>
      </c>
      <c r="C17846" t="str">
        <v>-</v>
      </c>
      <c r="D17846" t="str">
        <v>-</v>
      </c>
      <c r="E17846" t="str">
        <v/>
      </c>
      <c r="F17846" t="str">
        <v>-</v>
      </c>
      <c r="G17846" t="str">
        <v>-</v>
      </c>
    </row>
    <row r="17847">
      <c r="B17847" t="str">
        <v>UBND Ủy ban nhân dân phường Tây Sơn  tỉnh Gia Lai</v>
      </c>
      <c r="C17847" t="str">
        <v>-</v>
      </c>
      <c r="D17847" t="str">
        <v>-</v>
      </c>
      <c r="E17847" t="str">
        <v>-</v>
      </c>
      <c r="F17847" t="str">
        <v>-</v>
      </c>
      <c r="G17847" t="str">
        <v>-</v>
      </c>
    </row>
    <row r="17848">
      <c r="B17848" t="str">
        <v>Công an phường Thống Nhất  tỉnh Gia Lai</v>
      </c>
      <c r="C17848" t="str">
        <v>-</v>
      </c>
      <c r="D17848" t="str">
        <v>-</v>
      </c>
      <c r="E17848" t="str">
        <v/>
      </c>
      <c r="F17848" t="str">
        <v>-</v>
      </c>
      <c r="G17848" t="str">
        <v>-</v>
      </c>
    </row>
    <row r="17849">
      <c r="B17849" t="str">
        <v>UBND Ủy ban nhân dân phường Thống Nhất  tỉnh Gia Lai</v>
      </c>
      <c r="C17849" t="str">
        <v>-</v>
      </c>
      <c r="D17849" t="str">
        <v>-</v>
      </c>
      <c r="E17849" t="str">
        <v>-</v>
      </c>
      <c r="F17849" t="str">
        <v>-</v>
      </c>
      <c r="G17849" t="str">
        <v>-</v>
      </c>
    </row>
    <row r="17850">
      <c r="B17850" t="str">
        <v>Công an phường Đống Đa  tỉnh Gia Lai</v>
      </c>
      <c r="C17850" t="str">
        <v>-</v>
      </c>
      <c r="D17850" t="str">
        <v>-</v>
      </c>
      <c r="E17850" t="str">
        <v/>
      </c>
      <c r="F17850" t="str">
        <v>-</v>
      </c>
      <c r="G17850" t="str">
        <v>-</v>
      </c>
    </row>
    <row r="17851">
      <c r="B17851" t="str">
        <v>UBND Ủy ban nhân dân phường Đống Đa  tỉnh Gia Lai</v>
      </c>
      <c r="C17851" t="str">
        <v>-</v>
      </c>
      <c r="D17851" t="str">
        <v>-</v>
      </c>
      <c r="E17851" t="str">
        <v>-</v>
      </c>
      <c r="F17851" t="str">
        <v>-</v>
      </c>
      <c r="G17851" t="str">
        <v>-</v>
      </c>
    </row>
    <row r="17852">
      <c r="B17852" t="str">
        <v>Công an phường Trà Bá  tỉnh Gia Lai</v>
      </c>
      <c r="C17852" t="str">
        <v>-</v>
      </c>
      <c r="D17852" t="str">
        <v>-</v>
      </c>
      <c r="E17852" t="str">
        <v/>
      </c>
      <c r="F17852" t="str">
        <v>-</v>
      </c>
      <c r="G17852" t="str">
        <v>-</v>
      </c>
    </row>
    <row r="17853">
      <c r="B17853" t="str">
        <v>UBND Ủy ban nhân dân phường Trà Bá  tỉnh Gia Lai</v>
      </c>
      <c r="C17853" t="str">
        <v>-</v>
      </c>
      <c r="D17853" t="str">
        <v>-</v>
      </c>
      <c r="E17853" t="str">
        <v>-</v>
      </c>
      <c r="F17853" t="str">
        <v>-</v>
      </c>
      <c r="G17853" t="str">
        <v>-</v>
      </c>
    </row>
    <row r="17854">
      <c r="B17854" t="str">
        <v>Công an phường Thắng Lợi  tỉnh Gia Lai</v>
      </c>
      <c r="C17854" t="str">
        <v>-</v>
      </c>
      <c r="D17854" t="str">
        <v>-</v>
      </c>
      <c r="E17854" t="str">
        <v/>
      </c>
      <c r="F17854" t="str">
        <v>-</v>
      </c>
      <c r="G17854" t="str">
        <v>-</v>
      </c>
    </row>
    <row r="17855">
      <c r="B17855" t="str">
        <v>UBND Ủy ban nhân dân phường Thắng Lợi  tỉnh Gia Lai</v>
      </c>
      <c r="C17855" t="str">
        <v>-</v>
      </c>
      <c r="D17855" t="str">
        <v>-</v>
      </c>
      <c r="E17855" t="str">
        <v>-</v>
      </c>
      <c r="F17855" t="str">
        <v>-</v>
      </c>
      <c r="G17855" t="str">
        <v>-</v>
      </c>
    </row>
    <row r="17856">
      <c r="B17856" t="str">
        <v>Công an phường Yên Thế  tỉnh Gia Lai</v>
      </c>
      <c r="C17856" t="str">
        <v>-</v>
      </c>
      <c r="D17856" t="str">
        <v>-</v>
      </c>
      <c r="E17856" t="str">
        <v/>
      </c>
      <c r="F17856" t="str">
        <v>-</v>
      </c>
      <c r="G17856" t="str">
        <v>-</v>
      </c>
    </row>
    <row r="17857">
      <c r="B17857" t="str">
        <v>UBND Ủy ban nhân dân phường Yên Thế  tỉnh Gia Lai</v>
      </c>
      <c r="C17857" t="str">
        <v>-</v>
      </c>
      <c r="D17857" t="str">
        <v>-</v>
      </c>
      <c r="E17857" t="str">
        <v>-</v>
      </c>
      <c r="F17857" t="str">
        <v>-</v>
      </c>
      <c r="G17857" t="str">
        <v>-</v>
      </c>
    </row>
    <row r="17858">
      <c r="B17858" t="str">
        <v>Công an phường Chi Lăng  tỉnh Gia Lai</v>
      </c>
      <c r="C17858" t="str">
        <v>-</v>
      </c>
      <c r="D17858" t="str">
        <v>-</v>
      </c>
      <c r="E17858" t="str">
        <v/>
      </c>
      <c r="F17858" t="str">
        <v>-</v>
      </c>
      <c r="G17858" t="str">
        <v>-</v>
      </c>
    </row>
    <row r="17859">
      <c r="B17859" t="str">
        <v>UBND Ủy ban nhân dân phường Chi Lăng  tỉnh Gia Lai</v>
      </c>
      <c r="C17859" t="str">
        <v>-</v>
      </c>
      <c r="D17859" t="str">
        <v>-</v>
      </c>
      <c r="E17859" t="str">
        <v>-</v>
      </c>
      <c r="F17859" t="str">
        <v>-</v>
      </c>
      <c r="G17859" t="str">
        <v>-</v>
      </c>
    </row>
    <row r="17860">
      <c r="B17860" t="str">
        <v>Công an xã Chư HDrông  tỉnh Gia Lai</v>
      </c>
      <c r="C17860" t="str">
        <v>-</v>
      </c>
      <c r="D17860" t="str">
        <v>-</v>
      </c>
      <c r="E17860" t="str">
        <v/>
      </c>
      <c r="F17860" t="str">
        <v>-</v>
      </c>
      <c r="G17860" t="str">
        <v>-</v>
      </c>
    </row>
    <row r="17861">
      <c r="B17861" t="str">
        <v>UBND Ủy ban nhân dân xã Chư HDrông  tỉnh Gia Lai</v>
      </c>
      <c r="C17861" t="str">
        <v>-</v>
      </c>
      <c r="D17861" t="str">
        <v>-</v>
      </c>
      <c r="E17861" t="str">
        <v>-</v>
      </c>
      <c r="F17861" t="str">
        <v>-</v>
      </c>
      <c r="G17861" t="str">
        <v>-</v>
      </c>
    </row>
    <row r="17862">
      <c r="B17862" t="str">
        <v>Công an xã Biển Hồ  tỉnh Gia Lai</v>
      </c>
      <c r="C17862" t="str">
        <v>-</v>
      </c>
      <c r="D17862" t="str">
        <v>-</v>
      </c>
      <c r="E17862" t="str">
        <v/>
      </c>
      <c r="F17862" t="str">
        <v>-</v>
      </c>
      <c r="G17862" t="str">
        <v>-</v>
      </c>
    </row>
    <row r="17863">
      <c r="B17863" t="str">
        <v>UBND Ủy ban nhân dân xã Biển Hồ  tỉnh Gia Lai</v>
      </c>
      <c r="C17863" t="str">
        <v>-</v>
      </c>
      <c r="D17863" t="str">
        <v>-</v>
      </c>
      <c r="E17863" t="str">
        <v>-</v>
      </c>
      <c r="F17863" t="str">
        <v>-</v>
      </c>
      <c r="G17863" t="str">
        <v>-</v>
      </c>
    </row>
    <row r="17864">
      <c r="B17864" t="str">
        <v>Công an xã Tân Sơn  tỉnh Gia Lai</v>
      </c>
      <c r="C17864" t="str">
        <v>-</v>
      </c>
      <c r="D17864" t="str">
        <v>-</v>
      </c>
      <c r="E17864" t="str">
        <v/>
      </c>
      <c r="F17864" t="str">
        <v>-</v>
      </c>
      <c r="G17864" t="str">
        <v>-</v>
      </c>
    </row>
    <row r="17865">
      <c r="B17865" t="str">
        <v>UBND Ủy ban nhân dân xã Tân Sơn  tỉnh Gia Lai</v>
      </c>
      <c r="C17865" t="str">
        <v>-</v>
      </c>
      <c r="D17865" t="str">
        <v>-</v>
      </c>
      <c r="E17865" t="str">
        <v>-</v>
      </c>
      <c r="F17865" t="str">
        <v>-</v>
      </c>
      <c r="G17865" t="str">
        <v>-</v>
      </c>
    </row>
    <row r="17866">
      <c r="B17866" t="str">
        <v>Công an xã Trà Đa  tỉnh Gia Lai</v>
      </c>
      <c r="C17866" t="str">
        <v>-</v>
      </c>
      <c r="D17866" t="str">
        <v>-</v>
      </c>
      <c r="E17866" t="str">
        <v/>
      </c>
      <c r="F17866" t="str">
        <v>-</v>
      </c>
      <c r="G17866" t="str">
        <v>-</v>
      </c>
    </row>
    <row r="17867">
      <c r="B17867" t="str">
        <v>UBND Ủy ban nhân dân xã Trà Đa  tỉnh Gia Lai</v>
      </c>
      <c r="C17867" t="str">
        <v>-</v>
      </c>
      <c r="D17867" t="str">
        <v>-</v>
      </c>
      <c r="E17867" t="str">
        <v>-</v>
      </c>
      <c r="F17867" t="str">
        <v>-</v>
      </c>
      <c r="G17867" t="str">
        <v>-</v>
      </c>
    </row>
    <row r="17868">
      <c r="B17868" t="str">
        <v>Công an xã Chư Á  tỉnh Gia Lai</v>
      </c>
      <c r="C17868" t="str">
        <v>-</v>
      </c>
      <c r="D17868" t="str">
        <v>-</v>
      </c>
      <c r="E17868" t="str">
        <v/>
      </c>
      <c r="F17868" t="str">
        <v>-</v>
      </c>
      <c r="G17868" t="str">
        <v>-</v>
      </c>
    </row>
    <row r="17869">
      <c r="B17869" t="str">
        <v>UBND Ủy ban nhân dân xã Chư Á  tỉnh Gia Lai</v>
      </c>
      <c r="C17869" t="str">
        <v>-</v>
      </c>
      <c r="D17869" t="str">
        <v>-</v>
      </c>
      <c r="E17869" t="str">
        <v>-</v>
      </c>
      <c r="F17869" t="str">
        <v>-</v>
      </c>
      <c r="G17869" t="str">
        <v>-</v>
      </c>
    </row>
    <row r="17870">
      <c r="B17870" t="str">
        <v>Công an xã An Phú  tỉnh Gia Lai</v>
      </c>
      <c r="C17870" t="str">
        <v>-</v>
      </c>
      <c r="D17870" t="str">
        <v>-</v>
      </c>
      <c r="E17870" t="str">
        <v/>
      </c>
      <c r="F17870" t="str">
        <v>-</v>
      </c>
      <c r="G17870" t="str">
        <v>-</v>
      </c>
    </row>
    <row r="17871">
      <c r="B17871" t="str">
        <v>UBND Ủy ban nhân dân xã An Phú  tỉnh Gia Lai</v>
      </c>
      <c r="C17871" t="str">
        <v>-</v>
      </c>
      <c r="D17871" t="str">
        <v>-</v>
      </c>
      <c r="E17871" t="str">
        <v>-</v>
      </c>
      <c r="F17871" t="str">
        <v>-</v>
      </c>
      <c r="G17871" t="str">
        <v>-</v>
      </c>
    </row>
    <row r="17872">
      <c r="B17872" t="str">
        <v>Công an xã Diên Phú  tỉnh Gia Lai</v>
      </c>
      <c r="C17872" t="str">
        <v>-</v>
      </c>
      <c r="D17872" t="str">
        <v>-</v>
      </c>
      <c r="E17872" t="str">
        <v/>
      </c>
      <c r="F17872" t="str">
        <v>-</v>
      </c>
      <c r="G17872" t="str">
        <v>-</v>
      </c>
    </row>
    <row r="17873">
      <c r="B17873" t="str">
        <v>UBND Ủy ban nhân dân xã Diên Phú  tỉnh Gia Lai</v>
      </c>
      <c r="C17873" t="str">
        <v>-</v>
      </c>
      <c r="D17873" t="str">
        <v>-</v>
      </c>
      <c r="E17873" t="str">
        <v>-</v>
      </c>
      <c r="F17873" t="str">
        <v>-</v>
      </c>
      <c r="G17873" t="str">
        <v>-</v>
      </c>
    </row>
    <row r="17874">
      <c r="B17874" t="str">
        <v>Công an xã Ia Kênh  tỉnh Gia Lai</v>
      </c>
      <c r="C17874" t="str">
        <v>-</v>
      </c>
      <c r="D17874" t="str">
        <v>-</v>
      </c>
      <c r="E17874" t="str">
        <v/>
      </c>
      <c r="F17874" t="str">
        <v>-</v>
      </c>
      <c r="G17874" t="str">
        <v>-</v>
      </c>
    </row>
    <row r="17875">
      <c r="B17875" t="str">
        <v>UBND Ủy ban nhân dân xã Ia Kênh  tỉnh Gia Lai</v>
      </c>
      <c r="C17875" t="str">
        <v>-</v>
      </c>
      <c r="D17875" t="str">
        <v>-</v>
      </c>
      <c r="E17875" t="str">
        <v>-</v>
      </c>
      <c r="F17875" t="str">
        <v>-</v>
      </c>
      <c r="G17875" t="str">
        <v>-</v>
      </c>
    </row>
    <row r="17876">
      <c r="B17876" t="str">
        <v>Công an xã Gào  tỉnh Gia Lai</v>
      </c>
      <c r="C17876" t="str">
        <v>-</v>
      </c>
      <c r="D17876" t="str">
        <v>-</v>
      </c>
      <c r="E17876" t="str">
        <v/>
      </c>
      <c r="F17876" t="str">
        <v>-</v>
      </c>
      <c r="G17876" t="str">
        <v>-</v>
      </c>
    </row>
    <row r="17877">
      <c r="B17877" t="str">
        <v>UBND Ủy ban nhân dân xã Gào  tỉnh Gia Lai</v>
      </c>
      <c r="C17877" t="str">
        <v>-</v>
      </c>
      <c r="D17877" t="str">
        <v>-</v>
      </c>
      <c r="E17877" t="str">
        <v>-</v>
      </c>
      <c r="F17877" t="str">
        <v>-</v>
      </c>
      <c r="G17877" t="str">
        <v>-</v>
      </c>
    </row>
    <row r="17878">
      <c r="B17878" t="str">
        <v>Công an phường An Bình  tỉnh Gia Lai</v>
      </c>
      <c r="C17878" t="str">
        <v>-</v>
      </c>
      <c r="D17878" t="str">
        <v>-</v>
      </c>
      <c r="E17878" t="str">
        <v/>
      </c>
      <c r="F17878" t="str">
        <v>-</v>
      </c>
      <c r="G17878" t="str">
        <v>-</v>
      </c>
    </row>
    <row r="17879">
      <c r="B17879" t="str">
        <v>UBND Ủy ban nhân dân phường An Bình  tỉnh Gia Lai</v>
      </c>
      <c r="C17879" t="str">
        <v>-</v>
      </c>
      <c r="D17879" t="str">
        <v>-</v>
      </c>
      <c r="E17879" t="str">
        <v>-</v>
      </c>
      <c r="F17879" t="str">
        <v>-</v>
      </c>
      <c r="G17879" t="str">
        <v>-</v>
      </c>
    </row>
    <row r="17880">
      <c r="B17880" t="str">
        <v>Công an phường Tây Sơn  tỉnh Gia Lai</v>
      </c>
      <c r="C17880" t="str">
        <v>-</v>
      </c>
      <c r="D17880" t="str">
        <v>-</v>
      </c>
      <c r="E17880" t="str">
        <v/>
      </c>
      <c r="F17880" t="str">
        <v>-</v>
      </c>
      <c r="G17880" t="str">
        <v>-</v>
      </c>
    </row>
    <row r="17881">
      <c r="B17881" t="str">
        <v>UBND Ủy ban nhân dân phường Tây Sơn  tỉnh Gia Lai</v>
      </c>
      <c r="C17881" t="str">
        <v>-</v>
      </c>
      <c r="D17881" t="str">
        <v>-</v>
      </c>
      <c r="E17881" t="str">
        <v>-</v>
      </c>
      <c r="F17881" t="str">
        <v>-</v>
      </c>
      <c r="G17881" t="str">
        <v>-</v>
      </c>
    </row>
    <row r="17882">
      <c r="B17882" t="str">
        <v>Công an phường An Phú  tỉnh Gia Lai</v>
      </c>
      <c r="C17882" t="str">
        <v>-</v>
      </c>
      <c r="D17882" t="str">
        <v>-</v>
      </c>
      <c r="E17882" t="str">
        <v/>
      </c>
      <c r="F17882" t="str">
        <v>-</v>
      </c>
      <c r="G17882" t="str">
        <v>-</v>
      </c>
    </row>
    <row r="17883">
      <c r="B17883" t="str">
        <v>UBND Ủy ban nhân dân phường An Phú  tỉnh Gia Lai</v>
      </c>
      <c r="C17883" t="str">
        <v>-</v>
      </c>
      <c r="D17883" t="str">
        <v>-</v>
      </c>
      <c r="E17883" t="str">
        <v>-</v>
      </c>
      <c r="F17883" t="str">
        <v>-</v>
      </c>
      <c r="G17883" t="str">
        <v>-</v>
      </c>
    </row>
    <row r="17884">
      <c r="B17884" t="str">
        <v>Công an phường An Tân  tỉnh Gia Lai</v>
      </c>
      <c r="C17884" t="str">
        <v>-</v>
      </c>
      <c r="D17884" t="str">
        <v>-</v>
      </c>
      <c r="E17884" t="str">
        <v/>
      </c>
      <c r="F17884" t="str">
        <v>-</v>
      </c>
      <c r="G17884" t="str">
        <v>-</v>
      </c>
    </row>
    <row r="17885">
      <c r="B17885" t="str">
        <v>UBND Ủy ban nhân dân phường An Tân  tỉnh Gia Lai</v>
      </c>
      <c r="C17885" t="str">
        <v>-</v>
      </c>
      <c r="D17885" t="str">
        <v>-</v>
      </c>
      <c r="E17885" t="str">
        <v>-</v>
      </c>
      <c r="F17885" t="str">
        <v>-</v>
      </c>
      <c r="G17885" t="str">
        <v>-</v>
      </c>
    </row>
    <row r="17886">
      <c r="B17886" t="str">
        <v>Công an xã Tú An  tỉnh Gia Lai</v>
      </c>
      <c r="C17886" t="str">
        <v>-</v>
      </c>
      <c r="D17886" t="str">
        <v>-</v>
      </c>
      <c r="E17886" t="str">
        <v/>
      </c>
      <c r="F17886" t="str">
        <v>-</v>
      </c>
      <c r="G17886" t="str">
        <v>-</v>
      </c>
    </row>
    <row r="17887">
      <c r="B17887" t="str">
        <v>UBND Ủy ban nhân dân xã Tú An  tỉnh Gia Lai</v>
      </c>
      <c r="C17887" t="str">
        <v>-</v>
      </c>
      <c r="D17887" t="str">
        <v>-</v>
      </c>
      <c r="E17887" t="str">
        <v>-</v>
      </c>
      <c r="F17887" t="str">
        <v>-</v>
      </c>
      <c r="G17887" t="str">
        <v>-</v>
      </c>
    </row>
    <row r="17888">
      <c r="B17888" t="str">
        <v>Công an xã Xuân An  tỉnh Gia Lai</v>
      </c>
      <c r="C17888" t="str">
        <v>-</v>
      </c>
      <c r="D17888" t="str">
        <v>-</v>
      </c>
      <c r="E17888" t="str">
        <v/>
      </c>
      <c r="F17888" t="str">
        <v>-</v>
      </c>
      <c r="G17888" t="str">
        <v>-</v>
      </c>
    </row>
    <row r="17889">
      <c r="B17889" t="str">
        <v>UBND Ủy ban nhân dân xã Xuân An  tỉnh Gia Lai</v>
      </c>
      <c r="C17889" t="str">
        <v>-</v>
      </c>
      <c r="D17889" t="str">
        <v>-</v>
      </c>
      <c r="E17889" t="str">
        <v>-</v>
      </c>
      <c r="F17889" t="str">
        <v>-</v>
      </c>
      <c r="G17889" t="str">
        <v>-</v>
      </c>
    </row>
    <row r="17890">
      <c r="B17890" t="str">
        <v>Công an xã Cửu An  tỉnh Gia Lai</v>
      </c>
      <c r="C17890" t="str">
        <v>-</v>
      </c>
      <c r="D17890" t="str">
        <v>-</v>
      </c>
      <c r="E17890" t="str">
        <v/>
      </c>
      <c r="F17890" t="str">
        <v>-</v>
      </c>
      <c r="G17890" t="str">
        <v>-</v>
      </c>
    </row>
    <row r="17891">
      <c r="B17891" t="str">
        <v>UBND Ủy ban nhân dân xã Cửu An  tỉnh Gia Lai</v>
      </c>
      <c r="C17891" t="str">
        <v>-</v>
      </c>
      <c r="D17891" t="str">
        <v>-</v>
      </c>
      <c r="E17891" t="str">
        <v>-</v>
      </c>
      <c r="F17891" t="str">
        <v>-</v>
      </c>
      <c r="G17891" t="str">
        <v>-</v>
      </c>
    </row>
    <row r="17892">
      <c r="B17892" t="str">
        <v>Công an phường An Phước  tỉnh Gia Lai</v>
      </c>
      <c r="C17892" t="str">
        <v>-</v>
      </c>
      <c r="D17892" t="str">
        <v>-</v>
      </c>
      <c r="E17892" t="str">
        <v/>
      </c>
      <c r="F17892" t="str">
        <v>-</v>
      </c>
      <c r="G17892" t="str">
        <v>-</v>
      </c>
    </row>
    <row r="17893">
      <c r="B17893" t="str">
        <v>UBND Ủy ban nhân dân phường An Phước  tỉnh Gia Lai</v>
      </c>
      <c r="C17893" t="str">
        <v>-</v>
      </c>
      <c r="D17893" t="str">
        <v>-</v>
      </c>
      <c r="E17893" t="str">
        <v>-</v>
      </c>
      <c r="F17893" t="str">
        <v>-</v>
      </c>
      <c r="G17893" t="str">
        <v>-</v>
      </c>
    </row>
    <row r="17894">
      <c r="B17894" t="str">
        <v>Công an xã Song An  tỉnh Gia Lai</v>
      </c>
      <c r="C17894" t="str">
        <v>-</v>
      </c>
      <c r="D17894" t="str">
        <v>-</v>
      </c>
      <c r="E17894" t="str">
        <v/>
      </c>
      <c r="F17894" t="str">
        <v>-</v>
      </c>
      <c r="G17894" t="str">
        <v>-</v>
      </c>
    </row>
    <row r="17895">
      <c r="B17895" t="str">
        <v>UBND Ủy ban nhân dân xã Song An  tỉnh Gia Lai</v>
      </c>
      <c r="C17895" t="str">
        <v>-</v>
      </c>
      <c r="D17895" t="str">
        <v>-</v>
      </c>
      <c r="E17895" t="str">
        <v>-</v>
      </c>
      <c r="F17895" t="str">
        <v>-</v>
      </c>
      <c r="G17895" t="str">
        <v>-</v>
      </c>
    </row>
    <row r="17896">
      <c r="B17896" t="str">
        <v>Công an phường Ngô Mây  tỉnh Gia Lai</v>
      </c>
      <c r="C17896" t="str">
        <v>-</v>
      </c>
      <c r="D17896" t="str">
        <v>-</v>
      </c>
      <c r="E17896" t="str">
        <v/>
      </c>
      <c r="F17896" t="str">
        <v>-</v>
      </c>
      <c r="G17896" t="str">
        <v>-</v>
      </c>
    </row>
    <row r="17897">
      <c r="B17897" t="str">
        <v>UBND Ủy ban nhân dân phường Ngô Mây  tỉnh Gia Lai</v>
      </c>
      <c r="C17897" t="str">
        <v>-</v>
      </c>
      <c r="D17897" t="str">
        <v>-</v>
      </c>
      <c r="E17897" t="str">
        <v>-</v>
      </c>
      <c r="F17897" t="str">
        <v>-</v>
      </c>
      <c r="G17897" t="str">
        <v>-</v>
      </c>
    </row>
    <row r="17898">
      <c r="B17898" t="str">
        <v>Công an xã Thành An  tỉnh Gia Lai</v>
      </c>
      <c r="C17898" t="str">
        <v>-</v>
      </c>
      <c r="D17898" t="str">
        <v>-</v>
      </c>
      <c r="E17898" t="str">
        <v/>
      </c>
      <c r="F17898" t="str">
        <v>-</v>
      </c>
      <c r="G17898" t="str">
        <v>-</v>
      </c>
    </row>
    <row r="17899">
      <c r="B17899" t="str">
        <v>UBND Ủy ban nhân dân xã Thành An  tỉnh Gia Lai</v>
      </c>
      <c r="C17899" t="str">
        <v>-</v>
      </c>
      <c r="D17899" t="str">
        <v>-</v>
      </c>
      <c r="E17899" t="str">
        <v>-</v>
      </c>
      <c r="F17899" t="str">
        <v>-</v>
      </c>
      <c r="G17899" t="str">
        <v>-</v>
      </c>
    </row>
    <row r="17900">
      <c r="B17900" t="str">
        <v>Công an phường Cheo Reo  tỉnh Gia Lai</v>
      </c>
      <c r="C17900" t="str">
        <v>-</v>
      </c>
      <c r="D17900" t="str">
        <v>-</v>
      </c>
      <c r="E17900" t="str">
        <v/>
      </c>
      <c r="F17900" t="str">
        <v>-</v>
      </c>
      <c r="G17900" t="str">
        <v>-</v>
      </c>
    </row>
    <row r="17901">
      <c r="B17901" t="str">
        <v>UBND Ủy ban nhân dân phường Cheo Reo  tỉnh Gia Lai</v>
      </c>
      <c r="C17901" t="str">
        <v>-</v>
      </c>
      <c r="D17901" t="str">
        <v>-</v>
      </c>
      <c r="E17901" t="str">
        <v>-</v>
      </c>
      <c r="F17901" t="str">
        <v>-</v>
      </c>
      <c r="G17901" t="str">
        <v>-</v>
      </c>
    </row>
    <row r="17902">
      <c r="B17902" t="str">
        <v>Công an phường Hòa Bình  tỉnh Gia Lai</v>
      </c>
      <c r="C17902" t="str">
        <v>-</v>
      </c>
      <c r="D17902" t="str">
        <v>-</v>
      </c>
      <c r="E17902" t="str">
        <v/>
      </c>
      <c r="F17902" t="str">
        <v>-</v>
      </c>
      <c r="G17902" t="str">
        <v>-</v>
      </c>
    </row>
    <row r="17903">
      <c r="B17903" t="str">
        <v>UBND Ủy ban nhân dân phường Hòa Bình  tỉnh Gia Lai</v>
      </c>
      <c r="C17903" t="str">
        <v>-</v>
      </c>
      <c r="D17903" t="str">
        <v>-</v>
      </c>
      <c r="E17903" t="str">
        <v>-</v>
      </c>
      <c r="F17903" t="str">
        <v>-</v>
      </c>
      <c r="G17903" t="str">
        <v>-</v>
      </c>
    </row>
    <row r="17904">
      <c r="B17904" t="str">
        <v>Công an phường Đoàn Kết  tỉnh Gia Lai</v>
      </c>
      <c r="C17904" t="str">
        <v>-</v>
      </c>
      <c r="D17904" t="str">
        <v>-</v>
      </c>
      <c r="E17904" t="str">
        <v/>
      </c>
      <c r="F17904" t="str">
        <v>-</v>
      </c>
      <c r="G17904" t="str">
        <v>-</v>
      </c>
    </row>
    <row r="17905">
      <c r="B17905" t="str">
        <v>UBND Ủy ban nhân dân phường Đoàn Kết  tỉnh Gia Lai</v>
      </c>
      <c r="C17905" t="str">
        <v>-</v>
      </c>
      <c r="D17905" t="str">
        <v>-</v>
      </c>
      <c r="E17905" t="str">
        <v>-</v>
      </c>
      <c r="F17905" t="str">
        <v>-</v>
      </c>
      <c r="G17905" t="str">
        <v>-</v>
      </c>
    </row>
    <row r="17906">
      <c r="B17906" t="str">
        <v>Công an phường Sông Bờ  tỉnh Gia Lai</v>
      </c>
      <c r="C17906" t="str">
        <v>-</v>
      </c>
      <c r="D17906" t="str">
        <v>-</v>
      </c>
      <c r="E17906" t="str">
        <v/>
      </c>
      <c r="F17906" t="str">
        <v>-</v>
      </c>
      <c r="G17906" t="str">
        <v>-</v>
      </c>
    </row>
    <row r="17907">
      <c r="B17907" t="str">
        <v>UBND Ủy ban nhân dân phường Sông Bờ  tỉnh Gia Lai</v>
      </c>
      <c r="C17907" t="str">
        <v>-</v>
      </c>
      <c r="D17907" t="str">
        <v>-</v>
      </c>
      <c r="E17907" t="str">
        <v>-</v>
      </c>
      <c r="F17907" t="str">
        <v>-</v>
      </c>
      <c r="G17907" t="str">
        <v>-</v>
      </c>
    </row>
    <row r="17908">
      <c r="B17908" t="str">
        <v>Công an xã Ia RBol  tỉnh Gia Lai</v>
      </c>
      <c r="C17908" t="str">
        <v>-</v>
      </c>
      <c r="D17908" t="str">
        <v>-</v>
      </c>
      <c r="E17908" t="str">
        <v/>
      </c>
      <c r="F17908" t="str">
        <v>-</v>
      </c>
      <c r="G17908" t="str">
        <v>-</v>
      </c>
    </row>
    <row r="17909">
      <c r="B17909" t="str">
        <v>UBND Ủy ban nhân dân xã Ia RBol  tỉnh Gia Lai</v>
      </c>
      <c r="C17909" t="str">
        <v>-</v>
      </c>
      <c r="D17909" t="str">
        <v>-</v>
      </c>
      <c r="E17909" t="str">
        <v>-</v>
      </c>
      <c r="F17909" t="str">
        <v>-</v>
      </c>
      <c r="G17909" t="str">
        <v>-</v>
      </c>
    </row>
    <row r="17910">
      <c r="B17910" t="str">
        <v>Công an xã Chư Băh  tỉnh Gia Lai</v>
      </c>
      <c r="C17910" t="str">
        <v>-</v>
      </c>
      <c r="D17910" t="str">
        <v>-</v>
      </c>
      <c r="E17910" t="str">
        <v/>
      </c>
      <c r="F17910" t="str">
        <v>-</v>
      </c>
      <c r="G17910" t="str">
        <v>-</v>
      </c>
    </row>
    <row r="17911">
      <c r="B17911" t="str">
        <v>UBND Ủy ban nhân dân xã Chư Băh  tỉnh Gia Lai</v>
      </c>
      <c r="C17911" t="str">
        <v>-</v>
      </c>
      <c r="D17911" t="str">
        <v>-</v>
      </c>
      <c r="E17911" t="str">
        <v>-</v>
      </c>
      <c r="F17911" t="str">
        <v>-</v>
      </c>
      <c r="G17911" t="str">
        <v>-</v>
      </c>
    </row>
    <row r="17912">
      <c r="B17912" t="str">
        <v>Công an xã Ia RTô  tỉnh Gia Lai</v>
      </c>
      <c r="C17912" t="str">
        <v>-</v>
      </c>
      <c r="D17912" t="str">
        <v>-</v>
      </c>
      <c r="E17912" t="str">
        <v/>
      </c>
      <c r="F17912" t="str">
        <v>-</v>
      </c>
      <c r="G17912" t="str">
        <v>-</v>
      </c>
    </row>
    <row r="17913">
      <c r="B17913" t="str">
        <v>UBND Ủy ban nhân dân xã Ia RTô  tỉnh Gia Lai</v>
      </c>
      <c r="C17913" t="str">
        <v>-</v>
      </c>
      <c r="D17913" t="str">
        <v>-</v>
      </c>
      <c r="E17913" t="str">
        <v>-</v>
      </c>
      <c r="F17913" t="str">
        <v>-</v>
      </c>
      <c r="G17913" t="str">
        <v>-</v>
      </c>
    </row>
    <row r="17914">
      <c r="B17914" t="str">
        <v>Công an xã Ia Sao  tỉnh Gia Lai</v>
      </c>
      <c r="C17914" t="str">
        <v>-</v>
      </c>
      <c r="D17914" t="str">
        <v>-</v>
      </c>
      <c r="E17914" t="str">
        <v/>
      </c>
      <c r="F17914" t="str">
        <v>-</v>
      </c>
      <c r="G17914" t="str">
        <v>-</v>
      </c>
    </row>
    <row r="17915">
      <c r="B17915" t="str">
        <v>UBND Ủy ban nhân dân xã Ia Sao  tỉnh Gia Lai</v>
      </c>
      <c r="C17915" t="str">
        <v>-</v>
      </c>
      <c r="D17915" t="str">
        <v>-</v>
      </c>
      <c r="E17915" t="str">
        <v>-</v>
      </c>
      <c r="F17915" t="str">
        <v>-</v>
      </c>
      <c r="G17915" t="str">
        <v>-</v>
      </c>
    </row>
    <row r="17916">
      <c r="B17916" t="str">
        <v>Công an xã Kon Pne  tỉnh Gia Lai</v>
      </c>
      <c r="C17916" t="str">
        <v>-</v>
      </c>
      <c r="D17916" t="str">
        <v>-</v>
      </c>
      <c r="E17916" t="str">
        <v/>
      </c>
      <c r="F17916" t="str">
        <v>-</v>
      </c>
      <c r="G17916" t="str">
        <v>-</v>
      </c>
    </row>
    <row r="17917">
      <c r="B17917" t="str">
        <v>UBND Ủy ban nhân dân xã Kon Pne  tỉnh Gia Lai</v>
      </c>
      <c r="C17917" t="str">
        <v>-</v>
      </c>
      <c r="D17917" t="str">
        <v>-</v>
      </c>
      <c r="E17917" t="str">
        <v>-</v>
      </c>
      <c r="F17917" t="str">
        <v>-</v>
      </c>
      <c r="G17917" t="str">
        <v>-</v>
      </c>
    </row>
    <row r="17918">
      <c r="B17918" t="str">
        <v>Công an xã Đăk Roong  tỉnh Gia Lai</v>
      </c>
      <c r="C17918" t="str">
        <v>-</v>
      </c>
      <c r="D17918" t="str">
        <v>-</v>
      </c>
      <c r="E17918" t="str">
        <v/>
      </c>
      <c r="F17918" t="str">
        <v>-</v>
      </c>
      <c r="G17918" t="str">
        <v>-</v>
      </c>
    </row>
    <row r="17919">
      <c r="B17919" t="str">
        <v>UBND Ủy ban nhân dân xã Đăk Roong  tỉnh Gia Lai</v>
      </c>
      <c r="C17919" t="str">
        <v>-</v>
      </c>
      <c r="D17919" t="str">
        <v>-</v>
      </c>
      <c r="E17919" t="str">
        <v>-</v>
      </c>
      <c r="F17919" t="str">
        <v>-</v>
      </c>
      <c r="G17919" t="str">
        <v>-</v>
      </c>
    </row>
    <row r="17920">
      <c r="B17920" t="str">
        <v>Công an xã Sơn Lang  tỉnh Gia Lai</v>
      </c>
      <c r="C17920" t="str">
        <v>-</v>
      </c>
      <c r="D17920" t="str">
        <v>-</v>
      </c>
      <c r="E17920" t="str">
        <v/>
      </c>
      <c r="F17920" t="str">
        <v>-</v>
      </c>
      <c r="G17920" t="str">
        <v>-</v>
      </c>
    </row>
    <row r="17921">
      <c r="B17921" t="str">
        <v>UBND Ủy ban nhân dân xã Sơn Lang  tỉnh Gia Lai</v>
      </c>
      <c r="C17921" t="str">
        <v>-</v>
      </c>
      <c r="D17921" t="str">
        <v>-</v>
      </c>
      <c r="E17921" t="str">
        <v>-</v>
      </c>
      <c r="F17921" t="str">
        <v>-</v>
      </c>
      <c r="G17921" t="str">
        <v>-</v>
      </c>
    </row>
    <row r="17922">
      <c r="B17922" t="str">
        <v>Công an xã KRong  tỉnh Gia Lai</v>
      </c>
      <c r="C17922" t="str">
        <v>-</v>
      </c>
      <c r="D17922" t="str">
        <v>-</v>
      </c>
      <c r="E17922" t="str">
        <v/>
      </c>
      <c r="F17922" t="str">
        <v>-</v>
      </c>
      <c r="G17922" t="str">
        <v>-</v>
      </c>
    </row>
    <row r="17923">
      <c r="B17923" t="str">
        <v>UBND Ủy ban nhân dân xã KRong  tỉnh Gia Lai</v>
      </c>
      <c r="C17923" t="str">
        <v>-</v>
      </c>
      <c r="D17923" t="str">
        <v>-</v>
      </c>
      <c r="E17923" t="str">
        <v>-</v>
      </c>
      <c r="F17923" t="str">
        <v>-</v>
      </c>
      <c r="G17923" t="str">
        <v>-</v>
      </c>
    </row>
    <row r="17924">
      <c r="B17924" t="str">
        <v>Công an xã Sơ Pai  tỉnh Gia Lai</v>
      </c>
      <c r="C17924" t="str">
        <v>-</v>
      </c>
      <c r="D17924" t="str">
        <v>-</v>
      </c>
      <c r="E17924" t="str">
        <v/>
      </c>
      <c r="F17924" t="str">
        <v>-</v>
      </c>
      <c r="G17924" t="str">
        <v>-</v>
      </c>
    </row>
    <row r="17925">
      <c r="B17925" t="str">
        <v>UBND Ủy ban nhân dân xã Sơ Pai  tỉnh Gia Lai</v>
      </c>
      <c r="C17925" t="str">
        <v>-</v>
      </c>
      <c r="D17925" t="str">
        <v>-</v>
      </c>
      <c r="E17925" t="str">
        <v>-</v>
      </c>
      <c r="F17925" t="str">
        <v>-</v>
      </c>
      <c r="G17925" t="str">
        <v>-</v>
      </c>
    </row>
    <row r="17926">
      <c r="B17926" t="str">
        <v>Công an xã Lơ Ku  tỉnh Gia Lai</v>
      </c>
      <c r="C17926" t="str">
        <v>-</v>
      </c>
      <c r="D17926" t="str">
        <v>-</v>
      </c>
      <c r="E17926" t="str">
        <v/>
      </c>
      <c r="F17926" t="str">
        <v>-</v>
      </c>
      <c r="G17926" t="str">
        <v>-</v>
      </c>
    </row>
    <row r="17927">
      <c r="B17927" t="str">
        <v>UBND Ủy ban nhân dân xã Lơ Ku  tỉnh Gia Lai</v>
      </c>
      <c r="C17927" t="str">
        <v>-</v>
      </c>
      <c r="D17927" t="str">
        <v>-</v>
      </c>
      <c r="E17927" t="str">
        <v>-</v>
      </c>
      <c r="F17927" t="str">
        <v>-</v>
      </c>
      <c r="G17927" t="str">
        <v>-</v>
      </c>
    </row>
    <row r="17928">
      <c r="B17928" t="str">
        <v>Công an xã Đông  tỉnh Gia Lai</v>
      </c>
      <c r="C17928" t="str">
        <v>-</v>
      </c>
      <c r="D17928" t="str">
        <v>-</v>
      </c>
      <c r="E17928" t="str">
        <v/>
      </c>
      <c r="F17928" t="str">
        <v>-</v>
      </c>
      <c r="G17928" t="str">
        <v>-</v>
      </c>
    </row>
    <row r="17929">
      <c r="B17929" t="str">
        <v>UBND Ủy ban nhân dân xã Đông  tỉnh Gia Lai</v>
      </c>
      <c r="C17929" t="str">
        <v>-</v>
      </c>
      <c r="D17929" t="str">
        <v>-</v>
      </c>
      <c r="E17929" t="str">
        <v>-</v>
      </c>
      <c r="F17929" t="str">
        <v>-</v>
      </c>
      <c r="G17929" t="str">
        <v>-</v>
      </c>
    </row>
    <row r="17930">
      <c r="B17930" t="str">
        <v>Công an xã Đak SMar  tỉnh Gia Lai</v>
      </c>
      <c r="C17930" t="str">
        <v>-</v>
      </c>
      <c r="D17930" t="str">
        <v>-</v>
      </c>
      <c r="E17930" t="str">
        <v/>
      </c>
      <c r="F17930" t="str">
        <v>-</v>
      </c>
      <c r="G17930" t="str">
        <v>-</v>
      </c>
    </row>
    <row r="17931">
      <c r="B17931" t="str">
        <v>UBND Ủy ban nhân dân xã Đak SMar  tỉnh Gia Lai</v>
      </c>
      <c r="C17931" t="str">
        <v>-</v>
      </c>
      <c r="D17931" t="str">
        <v>-</v>
      </c>
      <c r="E17931" t="str">
        <v>-</v>
      </c>
      <c r="F17931" t="str">
        <v>-</v>
      </c>
      <c r="G17931" t="str">
        <v>-</v>
      </c>
    </row>
    <row r="17932">
      <c r="B17932" t="str">
        <v>Công an xã Nghĩa An  tỉnh Gia Lai</v>
      </c>
      <c r="C17932" t="str">
        <v>-</v>
      </c>
      <c r="D17932" t="str">
        <v>-</v>
      </c>
      <c r="E17932" t="str">
        <v/>
      </c>
      <c r="F17932" t="str">
        <v>-</v>
      </c>
      <c r="G17932" t="str">
        <v>-</v>
      </c>
    </row>
    <row r="17933">
      <c r="B17933" t="str">
        <v>UBND Ủy ban nhân dân xã Nghĩa An  tỉnh Gia Lai</v>
      </c>
      <c r="C17933" t="str">
        <v>-</v>
      </c>
      <c r="D17933" t="str">
        <v>-</v>
      </c>
      <c r="E17933" t="str">
        <v>-</v>
      </c>
      <c r="F17933" t="str">
        <v>-</v>
      </c>
      <c r="G17933" t="str">
        <v>-</v>
      </c>
    </row>
    <row r="17934">
      <c r="B17934" t="str">
        <v>Công an xã Tơ Tung  tỉnh Gia Lai</v>
      </c>
      <c r="C17934" t="str">
        <v>-</v>
      </c>
      <c r="D17934" t="str">
        <v>-</v>
      </c>
      <c r="E17934" t="str">
        <v/>
      </c>
      <c r="F17934" t="str">
        <v>-</v>
      </c>
      <c r="G17934" t="str">
        <v>-</v>
      </c>
    </row>
    <row r="17935">
      <c r="B17935" t="str">
        <v>UBND Ủy ban nhân dân xã Tơ Tung  tỉnh Gia Lai</v>
      </c>
      <c r="C17935" t="str">
        <v>-</v>
      </c>
      <c r="D17935" t="str">
        <v>-</v>
      </c>
      <c r="E17935" t="str">
        <v>-</v>
      </c>
      <c r="F17935" t="str">
        <v>-</v>
      </c>
      <c r="G17935" t="str">
        <v>-</v>
      </c>
    </row>
    <row r="17936">
      <c r="B17936" t="str">
        <v>Công an xã Kông Lơng Khơng  tỉnh Gia Lai</v>
      </c>
      <c r="C17936" t="str">
        <v>-</v>
      </c>
      <c r="D17936" t="str">
        <v>-</v>
      </c>
      <c r="E17936" t="str">
        <v/>
      </c>
      <c r="F17936" t="str">
        <v>-</v>
      </c>
      <c r="G17936" t="str">
        <v>-</v>
      </c>
    </row>
    <row r="17937">
      <c r="B17937" t="str">
        <v>UBND Ủy ban nhân dân xã Kông Lơng Khơng  tỉnh Gia Lai</v>
      </c>
      <c r="C17937" t="str">
        <v>-</v>
      </c>
      <c r="D17937" t="str">
        <v>-</v>
      </c>
      <c r="E17937" t="str">
        <v>-</v>
      </c>
      <c r="F17937" t="str">
        <v>-</v>
      </c>
      <c r="G17937" t="str">
        <v>-</v>
      </c>
    </row>
    <row r="17938">
      <c r="B17938" t="str">
        <v>Công an xã Kông Pla  tỉnh Gia Lai</v>
      </c>
      <c r="C17938" t="str">
        <v>-</v>
      </c>
      <c r="D17938" t="str">
        <v>-</v>
      </c>
      <c r="E17938" t="str">
        <v/>
      </c>
      <c r="F17938" t="str">
        <v>-</v>
      </c>
      <c r="G17938" t="str">
        <v>-</v>
      </c>
    </row>
    <row r="17939">
      <c r="B17939" t="str">
        <v>UBND Ủy ban nhân dân xã Kông Pla  tỉnh Gia Lai</v>
      </c>
      <c r="C17939" t="str">
        <v>-</v>
      </c>
      <c r="D17939" t="str">
        <v>-</v>
      </c>
      <c r="E17939" t="str">
        <v>-</v>
      </c>
      <c r="F17939" t="str">
        <v>-</v>
      </c>
      <c r="G17939" t="str">
        <v>-</v>
      </c>
    </row>
    <row r="17940">
      <c r="B17940" t="str">
        <v>Công an xã Đăk HLơ  tỉnh Gia Lai</v>
      </c>
      <c r="C17940" t="str">
        <v>-</v>
      </c>
      <c r="D17940" t="str">
        <v>-</v>
      </c>
      <c r="E17940" t="str">
        <v/>
      </c>
      <c r="F17940" t="str">
        <v>-</v>
      </c>
      <c r="G17940" t="str">
        <v>-</v>
      </c>
    </row>
    <row r="17941">
      <c r="B17941" t="str">
        <v>UBND Ủy ban nhân dân xã Đăk HLơ  tỉnh Gia Lai</v>
      </c>
      <c r="C17941" t="str">
        <v>-</v>
      </c>
      <c r="D17941" t="str">
        <v>-</v>
      </c>
      <c r="E17941" t="str">
        <v>-</v>
      </c>
      <c r="F17941" t="str">
        <v>-</v>
      </c>
      <c r="G17941" t="str">
        <v>-</v>
      </c>
    </row>
    <row r="17942">
      <c r="B17942" t="str">
        <v>Công an xã Hà Đông  tỉnh Gia Lai</v>
      </c>
      <c r="C17942" t="str">
        <v>-</v>
      </c>
      <c r="D17942" t="str">
        <v>-</v>
      </c>
      <c r="E17942" t="str">
        <v/>
      </c>
      <c r="F17942" t="str">
        <v>-</v>
      </c>
      <c r="G17942" t="str">
        <v>-</v>
      </c>
    </row>
    <row r="17943">
      <c r="B17943" t="str">
        <v>UBND Ủy ban nhân dân xã Hà Đông  tỉnh Gia Lai</v>
      </c>
      <c r="C17943" t="str">
        <v>-</v>
      </c>
      <c r="D17943" t="str">
        <v>-</v>
      </c>
      <c r="E17943" t="str">
        <v>-</v>
      </c>
      <c r="F17943" t="str">
        <v>-</v>
      </c>
      <c r="G17943" t="str">
        <v>-</v>
      </c>
    </row>
    <row r="17944">
      <c r="B17944" t="str">
        <v>Công an xã Đăk Sơmei  tỉnh Gia Lai</v>
      </c>
      <c r="C17944" t="str">
        <v>-</v>
      </c>
      <c r="D17944" t="str">
        <v>-</v>
      </c>
      <c r="E17944" t="str">
        <v/>
      </c>
      <c r="F17944" t="str">
        <v>-</v>
      </c>
      <c r="G17944" t="str">
        <v>-</v>
      </c>
    </row>
    <row r="17945">
      <c r="B17945" t="str">
        <v>UBND Ủy ban nhân dân xã Đăk Sơmei  tỉnh Gia Lai</v>
      </c>
      <c r="C17945" t="str">
        <v>-</v>
      </c>
      <c r="D17945" t="str">
        <v>-</v>
      </c>
      <c r="E17945" t="str">
        <v>-</v>
      </c>
      <c r="F17945" t="str">
        <v>-</v>
      </c>
      <c r="G17945" t="str">
        <v>-</v>
      </c>
    </row>
    <row r="17946">
      <c r="B17946" t="str">
        <v>Công an xã Đăk Krong  tỉnh Gia Lai</v>
      </c>
      <c r="C17946" t="str">
        <v>-</v>
      </c>
      <c r="D17946" t="str">
        <v>-</v>
      </c>
      <c r="E17946" t="str">
        <v/>
      </c>
      <c r="F17946" t="str">
        <v>-</v>
      </c>
      <c r="G17946" t="str">
        <v>-</v>
      </c>
    </row>
    <row r="17947">
      <c r="B17947" t="str">
        <v>UBND Ủy ban nhân dân xã Đăk Krong  tỉnh Gia Lai</v>
      </c>
      <c r="C17947" t="str">
        <v>-</v>
      </c>
      <c r="D17947" t="str">
        <v>-</v>
      </c>
      <c r="E17947" t="str">
        <v>-</v>
      </c>
      <c r="F17947" t="str">
        <v>-</v>
      </c>
      <c r="G17947" t="str">
        <v>-</v>
      </c>
    </row>
    <row r="17948">
      <c r="B17948" t="str">
        <v>Công an xã Hải Yang  tỉnh Gia Lai</v>
      </c>
      <c r="C17948" t="str">
        <v>-</v>
      </c>
      <c r="D17948" t="str">
        <v>-</v>
      </c>
      <c r="E17948" t="str">
        <v/>
      </c>
      <c r="F17948" t="str">
        <v>-</v>
      </c>
      <c r="G17948" t="str">
        <v>-</v>
      </c>
    </row>
    <row r="17949">
      <c r="B17949" t="str">
        <v>UBND Ủy ban nhân dân xã Hải Yang  tỉnh Gia Lai</v>
      </c>
      <c r="C17949" t="str">
        <v>-</v>
      </c>
      <c r="D17949" t="str">
        <v>-</v>
      </c>
      <c r="E17949" t="str">
        <v>-</v>
      </c>
      <c r="F17949" t="str">
        <v>-</v>
      </c>
      <c r="G17949" t="str">
        <v>-</v>
      </c>
    </row>
    <row r="17950">
      <c r="B17950" t="str">
        <v>Công an xã Kon Gang  tỉnh Gia Lai</v>
      </c>
      <c r="C17950" t="str">
        <v>-</v>
      </c>
      <c r="D17950" t="str">
        <v>-</v>
      </c>
      <c r="E17950" t="str">
        <v/>
      </c>
      <c r="F17950" t="str">
        <v>-</v>
      </c>
      <c r="G17950" t="str">
        <v>-</v>
      </c>
    </row>
    <row r="17951">
      <c r="B17951" t="str">
        <v>UBND Ủy ban nhân dân xã Kon Gang  tỉnh Gia Lai</v>
      </c>
      <c r="C17951" t="str">
        <v>-</v>
      </c>
      <c r="D17951" t="str">
        <v>-</v>
      </c>
      <c r="E17951" t="str">
        <v>-</v>
      </c>
      <c r="F17951" t="str">
        <v>-</v>
      </c>
      <c r="G17951" t="str">
        <v>-</v>
      </c>
    </row>
    <row r="17952">
      <c r="B17952" t="str">
        <v>Công an xã Hà Bầu  tỉnh Gia Lai</v>
      </c>
      <c r="C17952" t="str">
        <v>-</v>
      </c>
      <c r="D17952" t="str">
        <v>-</v>
      </c>
      <c r="E17952" t="str">
        <v/>
      </c>
      <c r="F17952" t="str">
        <v>-</v>
      </c>
      <c r="G17952" t="str">
        <v>-</v>
      </c>
    </row>
    <row r="17953">
      <c r="B17953" t="str">
        <v>UBND Ủy ban nhân dân xã Hà Bầu  tỉnh Gia Lai</v>
      </c>
      <c r="C17953" t="str">
        <v>-</v>
      </c>
      <c r="D17953" t="str">
        <v>-</v>
      </c>
      <c r="E17953" t="str">
        <v>-</v>
      </c>
      <c r="F17953" t="str">
        <v>-</v>
      </c>
      <c r="G17953" t="str">
        <v>-</v>
      </c>
    </row>
    <row r="17954">
      <c r="B17954" t="str">
        <v>Công an xã Nam Yang  tỉnh Gia Lai</v>
      </c>
      <c r="C17954" t="str">
        <v>-</v>
      </c>
      <c r="D17954" t="str">
        <v>-</v>
      </c>
      <c r="E17954" t="str">
        <v/>
      </c>
      <c r="F17954" t="str">
        <v>-</v>
      </c>
      <c r="G17954" t="str">
        <v>-</v>
      </c>
    </row>
    <row r="17955">
      <c r="B17955" t="str">
        <v>UBND Ủy ban nhân dân xã Nam Yang  tỉnh Gia Lai</v>
      </c>
      <c r="C17955" t="str">
        <v>-</v>
      </c>
      <c r="D17955" t="str">
        <v>-</v>
      </c>
      <c r="E17955" t="str">
        <v>-</v>
      </c>
      <c r="F17955" t="str">
        <v>-</v>
      </c>
      <c r="G17955" t="str">
        <v>-</v>
      </c>
    </row>
    <row r="17956">
      <c r="B17956" t="str">
        <v>Công an xã K' Dang  tỉnh Gia Lai</v>
      </c>
      <c r="C17956" t="str">
        <v>-</v>
      </c>
      <c r="D17956" t="str">
        <v>-</v>
      </c>
      <c r="E17956" t="str">
        <v/>
      </c>
      <c r="F17956" t="str">
        <v>-</v>
      </c>
      <c r="G17956" t="str">
        <v>-</v>
      </c>
    </row>
    <row r="17957">
      <c r="B17957" t="str">
        <v>UBND Ủy ban nhân dân xã K' Dang  tỉnh Gia Lai</v>
      </c>
      <c r="C17957" t="str">
        <v>-</v>
      </c>
      <c r="D17957" t="str">
        <v>-</v>
      </c>
      <c r="E17957" t="str">
        <v>-</v>
      </c>
      <c r="F17957" t="str">
        <v>-</v>
      </c>
      <c r="G17957" t="str">
        <v>-</v>
      </c>
    </row>
    <row r="17958">
      <c r="B17958" t="str">
        <v>Công an xã H' Neng  tỉnh Gia Lai</v>
      </c>
      <c r="C17958" t="str">
        <v>-</v>
      </c>
      <c r="D17958" t="str">
        <v>-</v>
      </c>
      <c r="E17958" t="str">
        <v/>
      </c>
      <c r="F17958" t="str">
        <v>-</v>
      </c>
      <c r="G17958" t="str">
        <v>-</v>
      </c>
    </row>
    <row r="17959">
      <c r="B17959" t="str">
        <v>UBND Ủy ban nhân dân xã H' Neng  tỉnh Gia Lai</v>
      </c>
      <c r="C17959" t="str">
        <v>-</v>
      </c>
      <c r="D17959" t="str">
        <v>-</v>
      </c>
      <c r="E17959" t="str">
        <v>-</v>
      </c>
      <c r="F17959" t="str">
        <v>-</v>
      </c>
      <c r="G17959" t="str">
        <v>-</v>
      </c>
    </row>
    <row r="17960">
      <c r="B17960" t="str">
        <v>Công an xã Tân Bình  tỉnh Gia Lai</v>
      </c>
      <c r="C17960" t="str">
        <v>-</v>
      </c>
      <c r="D17960" t="str">
        <v>-</v>
      </c>
      <c r="E17960" t="str">
        <v/>
      </c>
      <c r="F17960" t="str">
        <v>-</v>
      </c>
      <c r="G17960" t="str">
        <v>-</v>
      </c>
    </row>
    <row r="17961">
      <c r="B17961" t="str">
        <v>UBND Ủy ban nhân dân xã Tân Bình  tỉnh Gia Lai</v>
      </c>
      <c r="C17961" t="str">
        <v>-</v>
      </c>
      <c r="D17961" t="str">
        <v>-</v>
      </c>
      <c r="E17961" t="str">
        <v>-</v>
      </c>
      <c r="F17961" t="str">
        <v>-</v>
      </c>
      <c r="G17961" t="str">
        <v>-</v>
      </c>
    </row>
    <row r="17962">
      <c r="B17962" t="str">
        <v>Công an xã Glar  tỉnh Gia Lai</v>
      </c>
      <c r="C17962" t="str">
        <v>-</v>
      </c>
      <c r="D17962" t="str">
        <v>-</v>
      </c>
      <c r="E17962" t="str">
        <v/>
      </c>
      <c r="F17962" t="str">
        <v>-</v>
      </c>
      <c r="G17962" t="str">
        <v>-</v>
      </c>
    </row>
    <row r="17963">
      <c r="B17963" t="str">
        <v>UBND Ủy ban nhân dân xã Glar  tỉnh Gia Lai</v>
      </c>
      <c r="C17963" t="str">
        <v>-</v>
      </c>
      <c r="D17963" t="str">
        <v>-</v>
      </c>
      <c r="E17963" t="str">
        <v>-</v>
      </c>
      <c r="F17963" t="str">
        <v>-</v>
      </c>
      <c r="G17963" t="str">
        <v>-</v>
      </c>
    </row>
    <row r="17964">
      <c r="B17964" t="str">
        <v>Công an xã A Dơk  tỉnh Gia Lai</v>
      </c>
      <c r="C17964" t="str">
        <v>-</v>
      </c>
      <c r="D17964" t="str">
        <v>-</v>
      </c>
      <c r="E17964" t="str">
        <v/>
      </c>
      <c r="F17964" t="str">
        <v>-</v>
      </c>
      <c r="G17964" t="str">
        <v>-</v>
      </c>
    </row>
    <row r="17965">
      <c r="B17965" t="str">
        <v>UBND Ủy ban nhân dân xã A Dơk  tỉnh Gia Lai</v>
      </c>
      <c r="C17965" t="str">
        <v>-</v>
      </c>
      <c r="D17965" t="str">
        <v>-</v>
      </c>
      <c r="E17965" t="str">
        <v>-</v>
      </c>
      <c r="F17965" t="str">
        <v>-</v>
      </c>
      <c r="G17965" t="str">
        <v>-</v>
      </c>
    </row>
    <row r="17966">
      <c r="B17966" t="str">
        <v>Công an xã Trang  tỉnh Gia Lai</v>
      </c>
      <c r="C17966" t="str">
        <v>-</v>
      </c>
      <c r="D17966" t="str">
        <v>-</v>
      </c>
      <c r="E17966" t="str">
        <v/>
      </c>
      <c r="F17966" t="str">
        <v>-</v>
      </c>
      <c r="G17966" t="str">
        <v>-</v>
      </c>
    </row>
    <row r="17967">
      <c r="B17967" t="str">
        <v>UBND Ủy ban nhân dân xã Trang  tỉnh Gia Lai</v>
      </c>
      <c r="C17967" t="str">
        <v>-</v>
      </c>
      <c r="D17967" t="str">
        <v>-</v>
      </c>
      <c r="E17967" t="str">
        <v>-</v>
      </c>
      <c r="F17967" t="str">
        <v>-</v>
      </c>
      <c r="G17967" t="str">
        <v>-</v>
      </c>
    </row>
    <row r="17968">
      <c r="B17968" t="str">
        <v>Công an xã HNol  tỉnh Gia Lai</v>
      </c>
      <c r="C17968" t="str">
        <v>-</v>
      </c>
      <c r="D17968" t="str">
        <v>-</v>
      </c>
      <c r="E17968" t="str">
        <v/>
      </c>
      <c r="F17968" t="str">
        <v>-</v>
      </c>
      <c r="G17968" t="str">
        <v>-</v>
      </c>
    </row>
    <row r="17969">
      <c r="B17969" t="str">
        <v>UBND Ủy ban nhân dân xã HNol  tỉnh Gia Lai</v>
      </c>
      <c r="C17969" t="str">
        <v>-</v>
      </c>
      <c r="D17969" t="str">
        <v>-</v>
      </c>
      <c r="E17969" t="str">
        <v>-</v>
      </c>
      <c r="F17969" t="str">
        <v>-</v>
      </c>
      <c r="G17969" t="str">
        <v>-</v>
      </c>
    </row>
    <row r="17970">
      <c r="B17970" t="str">
        <v>Công an xã Ia Pết  tỉnh Gia Lai</v>
      </c>
      <c r="C17970" t="str">
        <v>-</v>
      </c>
      <c r="D17970" t="str">
        <v>-</v>
      </c>
      <c r="E17970" t="str">
        <v/>
      </c>
      <c r="F17970" t="str">
        <v>-</v>
      </c>
      <c r="G17970" t="str">
        <v>-</v>
      </c>
    </row>
    <row r="17971">
      <c r="B17971" t="str">
        <v>UBND Ủy ban nhân dân xã Ia Pết  tỉnh Gia Lai</v>
      </c>
      <c r="C17971" t="str">
        <v>-</v>
      </c>
      <c r="D17971" t="str">
        <v>-</v>
      </c>
      <c r="E17971" t="str">
        <v>-</v>
      </c>
      <c r="F17971" t="str">
        <v>-</v>
      </c>
      <c r="G17971" t="str">
        <v>-</v>
      </c>
    </row>
    <row r="17972">
      <c r="B17972" t="str">
        <v>Công an xã Ia Băng  tỉnh Gia Lai</v>
      </c>
      <c r="C17972" t="str">
        <v>-</v>
      </c>
      <c r="D17972" t="str">
        <v>-</v>
      </c>
      <c r="E17972" t="str">
        <v/>
      </c>
      <c r="F17972" t="str">
        <v>-</v>
      </c>
      <c r="G17972" t="str">
        <v>-</v>
      </c>
    </row>
    <row r="17973">
      <c r="B17973" t="str">
        <v>UBND Ủy ban nhân dân xã Ia Băng  tỉnh Gia Lai</v>
      </c>
      <c r="C17973" t="str">
        <v>-</v>
      </c>
      <c r="D17973" t="str">
        <v>-</v>
      </c>
      <c r="E17973" t="str">
        <v>-</v>
      </c>
      <c r="F17973" t="str">
        <v>-</v>
      </c>
      <c r="G17973" t="str">
        <v>-</v>
      </c>
    </row>
    <row r="17974">
      <c r="B17974" t="str">
        <v>Công an xã Hà Tây  tỉnh Gia Lai</v>
      </c>
      <c r="C17974" t="str">
        <v>-</v>
      </c>
      <c r="D17974" t="str">
        <v>-</v>
      </c>
      <c r="E17974" t="str">
        <v/>
      </c>
      <c r="F17974" t="str">
        <v>-</v>
      </c>
      <c r="G17974" t="str">
        <v>-</v>
      </c>
    </row>
    <row r="17975">
      <c r="B17975" t="str">
        <v>UBND Ủy ban nhân dân xã Hà Tây  tỉnh Gia Lai</v>
      </c>
      <c r="C17975" t="str">
        <v>-</v>
      </c>
      <c r="D17975" t="str">
        <v>-</v>
      </c>
      <c r="E17975" t="str">
        <v>-</v>
      </c>
      <c r="F17975" t="str">
        <v>-</v>
      </c>
      <c r="G17975" t="str">
        <v>-</v>
      </c>
    </row>
    <row r="17976">
      <c r="B17976" t="str">
        <v>Công an xã Ia Khươl  tỉnh Gia Lai</v>
      </c>
      <c r="C17976" t="str">
        <v>-</v>
      </c>
      <c r="D17976" t="str">
        <v>-</v>
      </c>
      <c r="E17976" t="str">
        <v/>
      </c>
      <c r="F17976" t="str">
        <v>-</v>
      </c>
      <c r="G17976" t="str">
        <v>-</v>
      </c>
    </row>
    <row r="17977">
      <c r="B17977" t="str">
        <v>UBND Ủy ban nhân dân xã Ia Khươl  tỉnh Gia Lai</v>
      </c>
      <c r="C17977" t="str">
        <v>-</v>
      </c>
      <c r="D17977" t="str">
        <v>-</v>
      </c>
      <c r="E17977" t="str">
        <v>-</v>
      </c>
      <c r="F17977" t="str">
        <v>-</v>
      </c>
      <c r="G17977" t="str">
        <v>-</v>
      </c>
    </row>
    <row r="17978">
      <c r="B17978" t="str">
        <v>Công an xã Ia Phí  tỉnh Gia Lai</v>
      </c>
      <c r="C17978" t="str">
        <v>-</v>
      </c>
      <c r="D17978" t="str">
        <v>-</v>
      </c>
      <c r="E17978" t="str">
        <v/>
      </c>
      <c r="F17978" t="str">
        <v>-</v>
      </c>
      <c r="G17978" t="str">
        <v>-</v>
      </c>
    </row>
    <row r="17979">
      <c r="B17979" t="str">
        <v>UBND Ủy ban nhân dân xã Ia Phí  tỉnh Gia Lai</v>
      </c>
      <c r="C17979" t="str">
        <v>-</v>
      </c>
      <c r="D17979" t="str">
        <v>-</v>
      </c>
      <c r="E17979" t="str">
        <v>-</v>
      </c>
      <c r="F17979" t="str">
        <v>-</v>
      </c>
      <c r="G17979" t="str">
        <v>-</v>
      </c>
    </row>
    <row r="17980">
      <c r="B17980" t="str">
        <v>Công an xã Ia Mơ Nông  tỉnh Gia Lai</v>
      </c>
      <c r="C17980" t="str">
        <v>-</v>
      </c>
      <c r="D17980" t="str">
        <v>-</v>
      </c>
      <c r="E17980" t="str">
        <v/>
      </c>
      <c r="F17980" t="str">
        <v>-</v>
      </c>
      <c r="G17980" t="str">
        <v>-</v>
      </c>
    </row>
    <row r="17981">
      <c r="B17981" t="str">
        <v>UBND Ủy ban nhân dân xã Ia Mơ Nông  tỉnh Gia Lai</v>
      </c>
      <c r="C17981" t="str">
        <v>-</v>
      </c>
      <c r="D17981" t="str">
        <v>-</v>
      </c>
      <c r="E17981" t="str">
        <v>-</v>
      </c>
      <c r="F17981" t="str">
        <v>-</v>
      </c>
      <c r="G17981" t="str">
        <v>-</v>
      </c>
    </row>
    <row r="17982">
      <c r="B17982" t="str">
        <v>Công an xã Ia Kreng  tỉnh Gia Lai</v>
      </c>
      <c r="C17982" t="str">
        <v>-</v>
      </c>
      <c r="D17982" t="str">
        <v>-</v>
      </c>
      <c r="E17982" t="str">
        <v/>
      </c>
      <c r="F17982" t="str">
        <v>-</v>
      </c>
      <c r="G17982" t="str">
        <v>-</v>
      </c>
    </row>
    <row r="17983">
      <c r="B17983" t="str">
        <v>UBND Ủy ban nhân dân xã Ia Kreng  tỉnh Gia Lai</v>
      </c>
      <c r="C17983" t="str">
        <v>-</v>
      </c>
      <c r="D17983" t="str">
        <v>-</v>
      </c>
      <c r="E17983" t="str">
        <v>-</v>
      </c>
      <c r="F17983" t="str">
        <v>-</v>
      </c>
      <c r="G17983" t="str">
        <v>-</v>
      </c>
    </row>
    <row r="17984">
      <c r="B17984" t="str">
        <v>Công an xã Đăk Tơ Ver  tỉnh Gia Lai</v>
      </c>
      <c r="C17984" t="str">
        <v>-</v>
      </c>
      <c r="D17984" t="str">
        <v>-</v>
      </c>
      <c r="E17984" t="str">
        <v/>
      </c>
      <c r="F17984" t="str">
        <v>-</v>
      </c>
      <c r="G17984" t="str">
        <v>-</v>
      </c>
    </row>
    <row r="17985">
      <c r="B17985" t="str">
        <v>UBND Ủy ban nhân dân xã Đăk Tơ Ver  tỉnh Gia Lai</v>
      </c>
      <c r="C17985" t="str">
        <v>-</v>
      </c>
      <c r="D17985" t="str">
        <v>-</v>
      </c>
      <c r="E17985" t="str">
        <v>-</v>
      </c>
      <c r="F17985" t="str">
        <v>-</v>
      </c>
      <c r="G17985" t="str">
        <v>-</v>
      </c>
    </row>
    <row r="17986">
      <c r="B17986" t="str">
        <v>Công an xã Hòa Phú  tỉnh Gia Lai</v>
      </c>
      <c r="C17986" t="str">
        <v>-</v>
      </c>
      <c r="D17986" t="str">
        <v>-</v>
      </c>
      <c r="E17986" t="str">
        <v/>
      </c>
      <c r="F17986" t="str">
        <v>-</v>
      </c>
      <c r="G17986" t="str">
        <v>-</v>
      </c>
    </row>
    <row r="17987">
      <c r="B17987" t="str">
        <v>UBND Ủy ban nhân dân xã Hòa Phú  tỉnh Gia Lai</v>
      </c>
      <c r="C17987" t="str">
        <v>-</v>
      </c>
      <c r="D17987" t="str">
        <v>-</v>
      </c>
      <c r="E17987" t="str">
        <v>-</v>
      </c>
      <c r="F17987" t="str">
        <v>-</v>
      </c>
      <c r="G17987" t="str">
        <v>-</v>
      </c>
    </row>
    <row r="17988">
      <c r="B17988" t="str">
        <v>Công an xã Chư Đăng Ya  tỉnh Gia Lai</v>
      </c>
      <c r="C17988" t="str">
        <v>-</v>
      </c>
      <c r="D17988" t="str">
        <v>-</v>
      </c>
      <c r="E17988" t="str">
        <v/>
      </c>
      <c r="F17988" t="str">
        <v>-</v>
      </c>
      <c r="G17988" t="str">
        <v>-</v>
      </c>
    </row>
    <row r="17989">
      <c r="B17989" t="str">
        <v>UBND Ủy ban nhân dân xã Chư Đăng Ya  tỉnh Gia Lai</v>
      </c>
      <c r="C17989" t="str">
        <v>-</v>
      </c>
      <c r="D17989" t="str">
        <v>-</v>
      </c>
      <c r="E17989" t="str">
        <v>-</v>
      </c>
      <c r="F17989" t="str">
        <v>-</v>
      </c>
      <c r="G17989" t="str">
        <v>-</v>
      </c>
    </row>
    <row r="17990">
      <c r="B17990" t="str">
        <v>Công an xã Ia Ka  tỉnh Gia Lai</v>
      </c>
      <c r="C17990" t="str">
        <v>-</v>
      </c>
      <c r="D17990" t="str">
        <v>-</v>
      </c>
      <c r="E17990" t="str">
        <v/>
      </c>
      <c r="F17990" t="str">
        <v>-</v>
      </c>
      <c r="G17990" t="str">
        <v>-</v>
      </c>
    </row>
    <row r="17991">
      <c r="B17991" t="str">
        <v>UBND Ủy ban nhân dân xã Ia Ka  tỉnh Gia Lai</v>
      </c>
      <c r="C17991" t="str">
        <v>-</v>
      </c>
      <c r="D17991" t="str">
        <v>-</v>
      </c>
      <c r="E17991" t="str">
        <v>-</v>
      </c>
      <c r="F17991" t="str">
        <v>-</v>
      </c>
      <c r="G17991" t="str">
        <v>-</v>
      </c>
    </row>
    <row r="17992">
      <c r="B17992" t="str">
        <v>Công an xã Ia Nhin  tỉnh Gia Lai</v>
      </c>
      <c r="C17992" t="str">
        <v>-</v>
      </c>
      <c r="D17992" t="str">
        <v>-</v>
      </c>
      <c r="E17992" t="str">
        <v/>
      </c>
      <c r="F17992" t="str">
        <v>-</v>
      </c>
      <c r="G17992" t="str">
        <v>-</v>
      </c>
    </row>
    <row r="17993">
      <c r="B17993" t="str">
        <v>UBND Ủy ban nhân dân xã Ia Nhin  tỉnh Gia Lai</v>
      </c>
      <c r="C17993" t="str">
        <v>-</v>
      </c>
      <c r="D17993" t="str">
        <v>-</v>
      </c>
      <c r="E17993" t="str">
        <v>-</v>
      </c>
      <c r="F17993" t="str">
        <v>-</v>
      </c>
      <c r="G17993" t="str">
        <v>-</v>
      </c>
    </row>
    <row r="17994">
      <c r="B17994" t="str">
        <v>Công an xã Nghĩa Hòa  tỉnh Gia Lai</v>
      </c>
      <c r="C17994" t="str">
        <v>-</v>
      </c>
      <c r="D17994" t="str">
        <v>-</v>
      </c>
      <c r="E17994" t="str">
        <v/>
      </c>
      <c r="F17994" t="str">
        <v>-</v>
      </c>
      <c r="G17994" t="str">
        <v>-</v>
      </c>
    </row>
    <row r="17995">
      <c r="B17995" t="str">
        <v>UBND Ủy ban nhân dân xã Nghĩa Hòa  tỉnh Gia Lai</v>
      </c>
      <c r="C17995" t="str">
        <v>-</v>
      </c>
      <c r="D17995" t="str">
        <v>-</v>
      </c>
      <c r="E17995" t="str">
        <v>-</v>
      </c>
      <c r="F17995" t="str">
        <v>-</v>
      </c>
      <c r="G17995" t="str">
        <v>-</v>
      </c>
    </row>
    <row r="17996">
      <c r="B17996" t="str">
        <v>Công an xã Chư Jôr  tỉnh Gia Lai</v>
      </c>
      <c r="C17996" t="str">
        <v>-</v>
      </c>
      <c r="D17996" t="str">
        <v>-</v>
      </c>
      <c r="E17996" t="str">
        <v/>
      </c>
      <c r="F17996" t="str">
        <v>-</v>
      </c>
      <c r="G17996" t="str">
        <v>-</v>
      </c>
    </row>
    <row r="17997">
      <c r="B17997" t="str">
        <v>UBND Ủy ban nhân dân xã Chư Jôr  tỉnh Gia Lai</v>
      </c>
      <c r="C17997" t="str">
        <v>-</v>
      </c>
      <c r="D17997" t="str">
        <v>-</v>
      </c>
      <c r="E17997" t="str">
        <v>-</v>
      </c>
      <c r="F17997" t="str">
        <v>-</v>
      </c>
      <c r="G17997" t="str">
        <v>-</v>
      </c>
    </row>
    <row r="17998">
      <c r="B17998" t="str">
        <v>Công an xã Nghĩa Hưng  tỉnh Gia Lai</v>
      </c>
      <c r="C17998" t="str">
        <v>-</v>
      </c>
      <c r="D17998" t="str">
        <v>-</v>
      </c>
      <c r="E17998" t="str">
        <v/>
      </c>
      <c r="F17998" t="str">
        <v>-</v>
      </c>
      <c r="G17998" t="str">
        <v>-</v>
      </c>
    </row>
    <row r="17999">
      <c r="B17999" t="str">
        <v>UBND Ủy ban nhân dân xã Nghĩa Hưng  tỉnh Gia Lai</v>
      </c>
      <c r="C17999" t="str">
        <v>-</v>
      </c>
      <c r="D17999" t="str">
        <v>-</v>
      </c>
      <c r="E17999" t="str">
        <v>-</v>
      </c>
      <c r="F17999" t="str">
        <v>-</v>
      </c>
      <c r="G17999" t="str">
        <v>-</v>
      </c>
    </row>
    <row r="18000">
      <c r="B18000" t="str">
        <v>Công an xã Ia Sao  tỉnh Gia Lai</v>
      </c>
      <c r="C18000" t="str">
        <v>-</v>
      </c>
      <c r="D18000" t="str">
        <v>-</v>
      </c>
      <c r="E18000" t="str">
        <v/>
      </c>
      <c r="F18000" t="str">
        <v>-</v>
      </c>
      <c r="G18000" t="str">
        <v>-</v>
      </c>
    </row>
    <row r="18001">
      <c r="B18001" t="str">
        <v>UBND Ủy ban nhân dân xã Ia Sao  tỉnh Gia Lai</v>
      </c>
      <c r="C18001" t="str">
        <v>-</v>
      </c>
      <c r="D18001" t="str">
        <v>-</v>
      </c>
      <c r="E18001" t="str">
        <v>-</v>
      </c>
      <c r="F18001" t="str">
        <v>-</v>
      </c>
      <c r="G18001" t="str">
        <v>-</v>
      </c>
    </row>
    <row r="18002">
      <c r="B18002" t="str">
        <v>Công an xã Ia Yok  tỉnh Gia Lai</v>
      </c>
      <c r="C18002" t="str">
        <v>-</v>
      </c>
      <c r="D18002" t="str">
        <v>-</v>
      </c>
      <c r="E18002" t="str">
        <v/>
      </c>
      <c r="F18002" t="str">
        <v>-</v>
      </c>
      <c r="G18002" t="str">
        <v>-</v>
      </c>
    </row>
    <row r="18003">
      <c r="B18003" t="str">
        <v>UBND Ủy ban nhân dân xã Ia Yok  tỉnh Gia Lai</v>
      </c>
      <c r="C18003" t="str">
        <v>-</v>
      </c>
      <c r="D18003" t="str">
        <v>-</v>
      </c>
      <c r="E18003" t="str">
        <v>-</v>
      </c>
      <c r="F18003" t="str">
        <v>-</v>
      </c>
      <c r="G18003" t="str">
        <v>-</v>
      </c>
    </row>
    <row r="18004">
      <c r="B18004" t="str">
        <v>Công an xã Ia Hrung  tỉnh Gia Lai</v>
      </c>
      <c r="C18004" t="str">
        <v>-</v>
      </c>
      <c r="D18004" t="str">
        <v>-</v>
      </c>
      <c r="E18004" t="str">
        <v/>
      </c>
      <c r="F18004" t="str">
        <v>-</v>
      </c>
      <c r="G18004" t="str">
        <v>-</v>
      </c>
    </row>
    <row r="18005">
      <c r="B18005" t="str">
        <v>UBND Ủy ban nhân dân xã Ia Hrung  tỉnh Gia Lai</v>
      </c>
      <c r="C18005" t="str">
        <v>-</v>
      </c>
      <c r="D18005" t="str">
        <v>-</v>
      </c>
      <c r="E18005" t="str">
        <v>-</v>
      </c>
      <c r="F18005" t="str">
        <v>-</v>
      </c>
      <c r="G18005" t="str">
        <v>-</v>
      </c>
    </row>
    <row r="18006">
      <c r="B18006" t="str">
        <v>Công an xã Ia Bă  tỉnh Gia Lai</v>
      </c>
      <c r="C18006" t="str">
        <v>-</v>
      </c>
      <c r="D18006" t="str">
        <v>-</v>
      </c>
      <c r="E18006" t="str">
        <v/>
      </c>
      <c r="F18006" t="str">
        <v>-</v>
      </c>
      <c r="G18006" t="str">
        <v>-</v>
      </c>
    </row>
    <row r="18007">
      <c r="B18007" t="str">
        <v>UBND Ủy ban nhân dân xã Ia Bă  tỉnh Gia Lai</v>
      </c>
      <c r="C18007" t="str">
        <v>-</v>
      </c>
      <c r="D18007" t="str">
        <v>-</v>
      </c>
      <c r="E18007" t="str">
        <v>-</v>
      </c>
      <c r="F18007" t="str">
        <v>-</v>
      </c>
      <c r="G18007" t="str">
        <v>-</v>
      </c>
    </row>
    <row r="18008">
      <c r="B18008" t="str">
        <v>Công an xã Ia Khai  tỉnh Gia Lai</v>
      </c>
      <c r="C18008" t="str">
        <v>-</v>
      </c>
      <c r="D18008" t="str">
        <v>-</v>
      </c>
      <c r="E18008" t="str">
        <v/>
      </c>
      <c r="F18008" t="str">
        <v>-</v>
      </c>
      <c r="G18008" t="str">
        <v>-</v>
      </c>
    </row>
    <row r="18009">
      <c r="B18009" t="str">
        <v>UBND Ủy ban nhân dân xã Ia Khai  tỉnh Gia Lai</v>
      </c>
      <c r="C18009" t="str">
        <v>-</v>
      </c>
      <c r="D18009" t="str">
        <v>-</v>
      </c>
      <c r="E18009" t="str">
        <v>-</v>
      </c>
      <c r="F18009" t="str">
        <v>-</v>
      </c>
      <c r="G18009" t="str">
        <v>-</v>
      </c>
    </row>
    <row r="18010">
      <c r="B18010" t="str">
        <v>Công an xã Ia KRai  tỉnh Gia Lai</v>
      </c>
      <c r="C18010" t="str">
        <v>-</v>
      </c>
      <c r="D18010" t="str">
        <v>-</v>
      </c>
      <c r="E18010" t="str">
        <v/>
      </c>
      <c r="F18010" t="str">
        <v>-</v>
      </c>
      <c r="G18010" t="str">
        <v>-</v>
      </c>
    </row>
    <row r="18011">
      <c r="B18011" t="str">
        <v>UBND Ủy ban nhân dân xã Ia KRai  tỉnh Gia Lai</v>
      </c>
      <c r="C18011" t="str">
        <v>-</v>
      </c>
      <c r="D18011" t="str">
        <v>-</v>
      </c>
      <c r="E18011" t="str">
        <v>-</v>
      </c>
      <c r="F18011" t="str">
        <v>-</v>
      </c>
      <c r="G18011" t="str">
        <v>-</v>
      </c>
    </row>
    <row r="18012">
      <c r="B18012" t="str">
        <v>Công an xã Ia Grăng  tỉnh Gia Lai</v>
      </c>
      <c r="C18012" t="str">
        <v>-</v>
      </c>
      <c r="D18012" t="str">
        <v>-</v>
      </c>
      <c r="E18012" t="str">
        <v/>
      </c>
      <c r="F18012" t="str">
        <v>-</v>
      </c>
      <c r="G18012" t="str">
        <v>-</v>
      </c>
    </row>
    <row r="18013">
      <c r="B18013" t="str">
        <v>UBND Ủy ban nhân dân xã Ia Grăng  tỉnh Gia Lai</v>
      </c>
      <c r="C18013" t="str">
        <v>-</v>
      </c>
      <c r="D18013" t="str">
        <v>-</v>
      </c>
      <c r="E18013" t="str">
        <v>-</v>
      </c>
      <c r="F18013" t="str">
        <v>-</v>
      </c>
      <c r="G18013" t="str">
        <v>-</v>
      </c>
    </row>
    <row r="18014">
      <c r="B18014" t="str">
        <v>Công an xã Ia Tô  tỉnh Gia Lai</v>
      </c>
      <c r="C18014" t="str">
        <v>-</v>
      </c>
      <c r="D18014" t="str">
        <v>-</v>
      </c>
      <c r="E18014" t="str">
        <v/>
      </c>
      <c r="F18014" t="str">
        <v>-</v>
      </c>
      <c r="G18014" t="str">
        <v>-</v>
      </c>
    </row>
    <row r="18015">
      <c r="B18015" t="str">
        <v>UBND Ủy ban nhân dân xã Ia Tô  tỉnh Gia Lai</v>
      </c>
      <c r="C18015" t="str">
        <v>-</v>
      </c>
      <c r="D18015" t="str">
        <v>-</v>
      </c>
      <c r="E18015" t="str">
        <v>-</v>
      </c>
      <c r="F18015" t="str">
        <v>-</v>
      </c>
      <c r="G18015" t="str">
        <v>-</v>
      </c>
    </row>
    <row r="18016">
      <c r="B18016" t="str">
        <v>Công an xã Ia O  tỉnh Gia Lai</v>
      </c>
      <c r="C18016" t="str">
        <v>-</v>
      </c>
      <c r="D18016" t="str">
        <v>-</v>
      </c>
      <c r="E18016" t="str">
        <v/>
      </c>
      <c r="F18016" t="str">
        <v>-</v>
      </c>
      <c r="G18016" t="str">
        <v>-</v>
      </c>
    </row>
    <row r="18017">
      <c r="B18017" t="str">
        <v>UBND Ủy ban nhân dân xã Ia O  tỉnh Gia Lai</v>
      </c>
      <c r="C18017" t="str">
        <v>-</v>
      </c>
      <c r="D18017" t="str">
        <v>-</v>
      </c>
      <c r="E18017" t="str">
        <v>-</v>
      </c>
      <c r="F18017" t="str">
        <v>-</v>
      </c>
      <c r="G18017" t="str">
        <v>-</v>
      </c>
    </row>
    <row r="18018">
      <c r="B18018" t="str">
        <v>Công an xã Ia Dêr  tỉnh Gia Lai</v>
      </c>
      <c r="C18018" t="str">
        <v>-</v>
      </c>
      <c r="D18018" t="str">
        <v>-</v>
      </c>
      <c r="E18018" t="str">
        <v/>
      </c>
      <c r="F18018" t="str">
        <v>-</v>
      </c>
      <c r="G18018" t="str">
        <v>-</v>
      </c>
    </row>
    <row r="18019">
      <c r="B18019" t="str">
        <v>UBND Ủy ban nhân dân xã Ia Dêr  tỉnh Gia Lai</v>
      </c>
      <c r="C18019" t="str">
        <v>-</v>
      </c>
      <c r="D18019" t="str">
        <v>-</v>
      </c>
      <c r="E18019" t="str">
        <v>-</v>
      </c>
      <c r="F18019" t="str">
        <v>-</v>
      </c>
      <c r="G18019" t="str">
        <v>-</v>
      </c>
    </row>
    <row r="18020">
      <c r="B18020" t="str">
        <v>Công an xã Ia Chia  tỉnh Gia Lai</v>
      </c>
      <c r="C18020" t="str">
        <v>-</v>
      </c>
      <c r="D18020" t="str">
        <v>-</v>
      </c>
      <c r="E18020" t="str">
        <v/>
      </c>
      <c r="F18020" t="str">
        <v>-</v>
      </c>
      <c r="G18020" t="str">
        <v>-</v>
      </c>
    </row>
    <row r="18021">
      <c r="B18021" t="str">
        <v>UBND Ủy ban nhân dân xã Ia Chia  tỉnh Gia Lai</v>
      </c>
      <c r="C18021" t="str">
        <v>-</v>
      </c>
      <c r="D18021" t="str">
        <v>-</v>
      </c>
      <c r="E18021" t="str">
        <v>-</v>
      </c>
      <c r="F18021" t="str">
        <v>-</v>
      </c>
      <c r="G18021" t="str">
        <v>-</v>
      </c>
    </row>
    <row r="18022">
      <c r="B18022" t="str">
        <v>Công an xã Ia Pếch  tỉnh Gia Lai</v>
      </c>
      <c r="C18022" t="str">
        <v>-</v>
      </c>
      <c r="D18022" t="str">
        <v>-</v>
      </c>
      <c r="E18022" t="str">
        <v/>
      </c>
      <c r="F18022" t="str">
        <v>-</v>
      </c>
      <c r="G18022" t="str">
        <v>-</v>
      </c>
    </row>
    <row r="18023">
      <c r="B18023" t="str">
        <v>UBND Ủy ban nhân dân xã Ia Pếch  tỉnh Gia Lai</v>
      </c>
      <c r="C18023" t="str">
        <v>-</v>
      </c>
      <c r="D18023" t="str">
        <v>-</v>
      </c>
      <c r="E18023" t="str">
        <v>-</v>
      </c>
      <c r="F18023" t="str">
        <v>-</v>
      </c>
      <c r="G18023" t="str">
        <v>-</v>
      </c>
    </row>
    <row r="18024">
      <c r="B18024" t="str">
        <v>Công an xã Ayun  tỉnh Gia Lai</v>
      </c>
      <c r="C18024" t="str">
        <v>-</v>
      </c>
      <c r="D18024" t="str">
        <v>-</v>
      </c>
      <c r="E18024" t="str">
        <v/>
      </c>
      <c r="F18024" t="str">
        <v>-</v>
      </c>
      <c r="G18024" t="str">
        <v>-</v>
      </c>
    </row>
    <row r="18025">
      <c r="B18025" t="str">
        <v>UBND Ủy ban nhân dân xã Ayun  tỉnh Gia Lai</v>
      </c>
      <c r="C18025" t="str">
        <v>-</v>
      </c>
      <c r="D18025" t="str">
        <v>-</v>
      </c>
      <c r="E18025" t="str">
        <v>-</v>
      </c>
      <c r="F18025" t="str">
        <v>-</v>
      </c>
      <c r="G18025" t="str">
        <v>-</v>
      </c>
    </row>
    <row r="18026">
      <c r="B18026" t="str">
        <v>Công an xã Đak Jơ Ta  tỉnh Gia Lai</v>
      </c>
      <c r="C18026" t="str">
        <v>-</v>
      </c>
      <c r="D18026" t="str">
        <v>-</v>
      </c>
      <c r="E18026" t="str">
        <v/>
      </c>
      <c r="F18026" t="str">
        <v>-</v>
      </c>
      <c r="G18026" t="str">
        <v>-</v>
      </c>
    </row>
    <row r="18027">
      <c r="B18027" t="str">
        <v>UBND Ủy ban nhân dân xã Đak Jơ Ta  tỉnh Gia Lai</v>
      </c>
      <c r="C18027" t="str">
        <v>-</v>
      </c>
      <c r="D18027" t="str">
        <v>-</v>
      </c>
      <c r="E18027" t="str">
        <v>-</v>
      </c>
      <c r="F18027" t="str">
        <v>-</v>
      </c>
      <c r="G18027" t="str">
        <v>-</v>
      </c>
    </row>
    <row r="18028">
      <c r="B18028" t="str">
        <v>Công an xã Đak Ta Ley  tỉnh Gia Lai</v>
      </c>
      <c r="C18028" t="str">
        <v>-</v>
      </c>
      <c r="D18028" t="str">
        <v>-</v>
      </c>
      <c r="E18028" t="str">
        <v/>
      </c>
      <c r="F18028" t="str">
        <v>-</v>
      </c>
      <c r="G18028" t="str">
        <v>-</v>
      </c>
    </row>
    <row r="18029">
      <c r="B18029" t="str">
        <v>UBND Ủy ban nhân dân xã Đak Ta Ley  tỉnh Gia Lai</v>
      </c>
      <c r="C18029" t="str">
        <v>-</v>
      </c>
      <c r="D18029" t="str">
        <v>-</v>
      </c>
      <c r="E18029" t="str">
        <v>-</v>
      </c>
      <c r="F18029" t="str">
        <v>-</v>
      </c>
      <c r="G18029" t="str">
        <v>-</v>
      </c>
    </row>
    <row r="18030">
      <c r="B18030" t="str">
        <v>Công an xã Hra  tỉnh Gia Lai</v>
      </c>
      <c r="C18030" t="str">
        <v>-</v>
      </c>
      <c r="D18030" t="str">
        <v>-</v>
      </c>
      <c r="E18030" t="str">
        <v/>
      </c>
      <c r="F18030" t="str">
        <v>-</v>
      </c>
      <c r="G18030" t="str">
        <v>-</v>
      </c>
    </row>
    <row r="18031">
      <c r="B18031" t="str">
        <v>UBND Ủy ban nhân dân xã Hra  tỉnh Gia Lai</v>
      </c>
      <c r="C18031" t="str">
        <v>-</v>
      </c>
      <c r="D18031" t="str">
        <v>-</v>
      </c>
      <c r="E18031" t="str">
        <v>-</v>
      </c>
      <c r="F18031" t="str">
        <v>-</v>
      </c>
      <c r="G18031" t="str">
        <v>-</v>
      </c>
    </row>
    <row r="18032">
      <c r="B18032" t="str">
        <v>Công an xã Đăk Yă  tỉnh Gia Lai</v>
      </c>
      <c r="C18032" t="str">
        <v>-</v>
      </c>
      <c r="D18032" t="str">
        <v>-</v>
      </c>
      <c r="E18032" t="str">
        <v/>
      </c>
      <c r="F18032" t="str">
        <v>-</v>
      </c>
      <c r="G18032" t="str">
        <v>-</v>
      </c>
    </row>
    <row r="18033">
      <c r="B18033" t="str">
        <v>UBND Ủy ban nhân dân xã Đăk Yă  tỉnh Gia Lai</v>
      </c>
      <c r="C18033" t="str">
        <v>-</v>
      </c>
      <c r="D18033" t="str">
        <v>-</v>
      </c>
      <c r="E18033" t="str">
        <v>-</v>
      </c>
      <c r="F18033" t="str">
        <v>-</v>
      </c>
      <c r="G18033" t="str">
        <v>-</v>
      </c>
    </row>
    <row r="18034">
      <c r="B18034" t="str">
        <v>Công an xã Đăk Djrăng  tỉnh Gia Lai</v>
      </c>
      <c r="C18034" t="str">
        <v>-</v>
      </c>
      <c r="D18034" t="str">
        <v>-</v>
      </c>
      <c r="E18034" t="str">
        <v/>
      </c>
      <c r="F18034" t="str">
        <v>-</v>
      </c>
      <c r="G18034" t="str">
        <v>-</v>
      </c>
    </row>
    <row r="18035">
      <c r="B18035" t="str">
        <v>UBND Ủy ban nhân dân xã Đăk Djrăng  tỉnh Gia Lai</v>
      </c>
      <c r="C18035" t="str">
        <v>-</v>
      </c>
      <c r="D18035" t="str">
        <v>-</v>
      </c>
      <c r="E18035" t="str">
        <v>-</v>
      </c>
      <c r="F18035" t="str">
        <v>-</v>
      </c>
      <c r="G18035" t="str">
        <v>-</v>
      </c>
    </row>
    <row r="18036">
      <c r="B18036" t="str">
        <v>Công an xã Lơ Pang  tỉnh Gia Lai</v>
      </c>
      <c r="C18036" t="str">
        <v>-</v>
      </c>
      <c r="D18036" t="str">
        <v>-</v>
      </c>
      <c r="E18036" t="str">
        <v/>
      </c>
      <c r="F18036" t="str">
        <v>-</v>
      </c>
      <c r="G18036" t="str">
        <v>-</v>
      </c>
    </row>
    <row r="18037">
      <c r="B18037" t="str">
        <v>UBND Ủy ban nhân dân xã Lơ Pang  tỉnh Gia Lai</v>
      </c>
      <c r="C18037" t="str">
        <v>-</v>
      </c>
      <c r="D18037" t="str">
        <v>-</v>
      </c>
      <c r="E18037" t="str">
        <v>-</v>
      </c>
      <c r="F18037" t="str">
        <v>-</v>
      </c>
      <c r="G18037" t="str">
        <v>-</v>
      </c>
    </row>
    <row r="18038">
      <c r="B18038" t="str">
        <v>Công an xã Kon Thụp  tỉnh Gia Lai</v>
      </c>
      <c r="C18038" t="str">
        <v>-</v>
      </c>
      <c r="D18038" t="str">
        <v>-</v>
      </c>
      <c r="E18038" t="str">
        <v/>
      </c>
      <c r="F18038" t="str">
        <v>-</v>
      </c>
      <c r="G18038" t="str">
        <v>-</v>
      </c>
    </row>
    <row r="18039">
      <c r="B18039" t="str">
        <v>UBND Ủy ban nhân dân xã Kon Thụp  tỉnh Gia Lai</v>
      </c>
      <c r="C18039" t="str">
        <v>-</v>
      </c>
      <c r="D18039" t="str">
        <v>-</v>
      </c>
      <c r="E18039" t="str">
        <v>-</v>
      </c>
      <c r="F18039" t="str">
        <v>-</v>
      </c>
      <c r="G18039" t="str">
        <v>-</v>
      </c>
    </row>
    <row r="18040">
      <c r="B18040" t="str">
        <v>Công an xã Đê Ar  tỉnh Gia Lai</v>
      </c>
      <c r="C18040" t="str">
        <v>-</v>
      </c>
      <c r="D18040" t="str">
        <v>-</v>
      </c>
      <c r="E18040" t="str">
        <v/>
      </c>
      <c r="F18040" t="str">
        <v>-</v>
      </c>
      <c r="G18040" t="str">
        <v>-</v>
      </c>
    </row>
    <row r="18041">
      <c r="B18041" t="str">
        <v>UBND Ủy ban nhân dân xã Đê Ar  tỉnh Gia Lai</v>
      </c>
      <c r="C18041" t="str">
        <v>-</v>
      </c>
      <c r="D18041" t="str">
        <v>-</v>
      </c>
      <c r="E18041" t="str">
        <v>-</v>
      </c>
      <c r="F18041" t="str">
        <v>-</v>
      </c>
      <c r="G18041" t="str">
        <v>-</v>
      </c>
    </row>
    <row r="18042">
      <c r="B18042" t="str">
        <v>Công an xã Kon Chiêng  tỉnh Gia Lai</v>
      </c>
      <c r="C18042" t="str">
        <v>-</v>
      </c>
      <c r="D18042" t="str">
        <v>-</v>
      </c>
      <c r="E18042" t="str">
        <v/>
      </c>
      <c r="F18042" t="str">
        <v>-</v>
      </c>
      <c r="G18042" t="str">
        <v>-</v>
      </c>
    </row>
    <row r="18043">
      <c r="B18043" t="str">
        <v>UBND Ủy ban nhân dân xã Kon Chiêng  tỉnh Gia Lai</v>
      </c>
      <c r="C18043" t="str">
        <v>-</v>
      </c>
      <c r="D18043" t="str">
        <v>-</v>
      </c>
      <c r="E18043" t="str">
        <v>-</v>
      </c>
      <c r="F18043" t="str">
        <v>-</v>
      </c>
      <c r="G18043" t="str">
        <v>-</v>
      </c>
    </row>
    <row r="18044">
      <c r="B18044" t="str">
        <v>Công an xã Đăk Trôi  tỉnh Gia Lai</v>
      </c>
      <c r="C18044" t="str">
        <v>-</v>
      </c>
      <c r="D18044" t="str">
        <v>-</v>
      </c>
      <c r="E18044" t="str">
        <v/>
      </c>
      <c r="F18044" t="str">
        <v>-</v>
      </c>
      <c r="G18044" t="str">
        <v>-</v>
      </c>
    </row>
    <row r="18045">
      <c r="B18045" t="str">
        <v>UBND Ủy ban nhân dân xã Đăk Trôi  tỉnh Gia Lai</v>
      </c>
      <c r="C18045" t="str">
        <v>-</v>
      </c>
      <c r="D18045" t="str">
        <v>-</v>
      </c>
      <c r="E18045" t="str">
        <v>-</v>
      </c>
      <c r="F18045" t="str">
        <v>-</v>
      </c>
      <c r="G18045" t="str">
        <v>-</v>
      </c>
    </row>
    <row r="18046">
      <c r="B18046" t="str">
        <v>Công an xã Chư Krêy  tỉnh Gia Lai</v>
      </c>
      <c r="C18046" t="str">
        <v>-</v>
      </c>
      <c r="D18046" t="str">
        <v>-</v>
      </c>
      <c r="E18046" t="str">
        <v/>
      </c>
      <c r="F18046" t="str">
        <v>-</v>
      </c>
      <c r="G18046" t="str">
        <v>-</v>
      </c>
    </row>
    <row r="18047">
      <c r="B18047" t="str">
        <v>UBND Ủy ban nhân dân xã Chư Krêy  tỉnh Gia Lai</v>
      </c>
      <c r="C18047" t="str">
        <v>-</v>
      </c>
      <c r="D18047" t="str">
        <v>-</v>
      </c>
      <c r="E18047" t="str">
        <v>-</v>
      </c>
      <c r="F18047" t="str">
        <v>-</v>
      </c>
      <c r="G18047" t="str">
        <v>-</v>
      </c>
    </row>
    <row r="18048">
      <c r="B18048" t="str">
        <v>Công an xã An Trung  tỉnh Gia Lai</v>
      </c>
      <c r="C18048" t="str">
        <v>-</v>
      </c>
      <c r="D18048" t="str">
        <v>-</v>
      </c>
      <c r="E18048" t="str">
        <v/>
      </c>
      <c r="F18048" t="str">
        <v>-</v>
      </c>
      <c r="G18048" t="str">
        <v>-</v>
      </c>
    </row>
    <row r="18049">
      <c r="B18049" t="str">
        <v>UBND Ủy ban nhân dân xã An Trung  tỉnh Gia Lai</v>
      </c>
      <c r="C18049" t="str">
        <v>-</v>
      </c>
      <c r="D18049" t="str">
        <v>-</v>
      </c>
      <c r="E18049" t="str">
        <v>-</v>
      </c>
      <c r="F18049" t="str">
        <v>-</v>
      </c>
      <c r="G18049" t="str">
        <v>-</v>
      </c>
    </row>
    <row r="18050">
      <c r="B18050" t="str">
        <v>Công an xã Kông Yang  tỉnh Gia Lai</v>
      </c>
      <c r="C18050" t="str">
        <v>-</v>
      </c>
      <c r="D18050" t="str">
        <v>-</v>
      </c>
      <c r="E18050" t="str">
        <v/>
      </c>
      <c r="F18050" t="str">
        <v>-</v>
      </c>
      <c r="G18050" t="str">
        <v>-</v>
      </c>
    </row>
    <row r="18051">
      <c r="B18051" t="str">
        <v>UBND Ủy ban nhân dân xã Kông Yang  tỉnh Gia Lai</v>
      </c>
      <c r="C18051" t="str">
        <v>-</v>
      </c>
      <c r="D18051" t="str">
        <v>-</v>
      </c>
      <c r="E18051" t="str">
        <v>-</v>
      </c>
      <c r="F18051" t="str">
        <v>-</v>
      </c>
      <c r="G18051" t="str">
        <v>-</v>
      </c>
    </row>
    <row r="18052">
      <c r="B18052" t="str">
        <v>Công an xã Đăk Tơ Pang  tỉnh Gia Lai</v>
      </c>
      <c r="C18052" t="str">
        <v>-</v>
      </c>
      <c r="D18052" t="str">
        <v>-</v>
      </c>
      <c r="E18052" t="str">
        <v/>
      </c>
      <c r="F18052" t="str">
        <v>-</v>
      </c>
      <c r="G18052" t="str">
        <v>-</v>
      </c>
    </row>
    <row r="18053">
      <c r="B18053" t="str">
        <v>UBND Ủy ban nhân dân xã Đăk Tơ Pang  tỉnh Gia Lai</v>
      </c>
      <c r="C18053" t="str">
        <v>-</v>
      </c>
      <c r="D18053" t="str">
        <v>-</v>
      </c>
      <c r="E18053" t="str">
        <v>-</v>
      </c>
      <c r="F18053" t="str">
        <v>-</v>
      </c>
      <c r="G18053" t="str">
        <v>-</v>
      </c>
    </row>
    <row r="18054">
      <c r="B18054" t="str">
        <v>Công an xã SRó  tỉnh Gia Lai</v>
      </c>
      <c r="C18054" t="str">
        <v>-</v>
      </c>
      <c r="D18054" t="str">
        <v>-</v>
      </c>
      <c r="E18054" t="str">
        <v/>
      </c>
      <c r="F18054" t="str">
        <v>-</v>
      </c>
      <c r="G18054" t="str">
        <v>-</v>
      </c>
    </row>
    <row r="18055">
      <c r="B18055" t="str">
        <v>UBND Ủy ban nhân dân xã SRó  tỉnh Gia Lai</v>
      </c>
      <c r="C18055" t="str">
        <v>-</v>
      </c>
      <c r="D18055" t="str">
        <v>-</v>
      </c>
      <c r="E18055" t="str">
        <v>-</v>
      </c>
      <c r="F18055" t="str">
        <v>-</v>
      </c>
      <c r="G18055" t="str">
        <v>-</v>
      </c>
    </row>
    <row r="18056">
      <c r="B18056" t="str">
        <v>Công an xã Đắk Kơ Ning  tỉnh Gia Lai</v>
      </c>
      <c r="C18056" t="str">
        <v>-</v>
      </c>
      <c r="D18056" t="str">
        <v>-</v>
      </c>
      <c r="E18056" t="str">
        <v/>
      </c>
      <c r="F18056" t="str">
        <v>-</v>
      </c>
      <c r="G18056" t="str">
        <v>-</v>
      </c>
    </row>
    <row r="18057">
      <c r="B18057" t="str">
        <v>UBND Ủy ban nhân dân xã Đắk Kơ Ning  tỉnh Gia Lai</v>
      </c>
      <c r="C18057" t="str">
        <v>-</v>
      </c>
      <c r="D18057" t="str">
        <v>-</v>
      </c>
      <c r="E18057" t="str">
        <v>-</v>
      </c>
      <c r="F18057" t="str">
        <v>-</v>
      </c>
      <c r="G18057" t="str">
        <v>-</v>
      </c>
    </row>
    <row r="18058">
      <c r="B18058" t="str">
        <v>Công an xã Đăk Song  tỉnh Gia Lai</v>
      </c>
      <c r="C18058" t="str">
        <v>-</v>
      </c>
      <c r="D18058" t="str">
        <v>-</v>
      </c>
      <c r="E18058" t="str">
        <v/>
      </c>
      <c r="F18058" t="str">
        <v>-</v>
      </c>
      <c r="G18058" t="str">
        <v>-</v>
      </c>
    </row>
    <row r="18059">
      <c r="B18059" t="str">
        <v>UBND Ủy ban nhân dân xã Đăk Song  tỉnh Gia Lai</v>
      </c>
      <c r="C18059" t="str">
        <v>-</v>
      </c>
      <c r="D18059" t="str">
        <v>-</v>
      </c>
      <c r="E18059" t="str">
        <v>-</v>
      </c>
      <c r="F18059" t="str">
        <v>-</v>
      </c>
      <c r="G18059" t="str">
        <v>-</v>
      </c>
    </row>
    <row r="18060">
      <c r="B18060" t="str">
        <v>Công an xã Đăk Pling  tỉnh Gia Lai</v>
      </c>
      <c r="C18060" t="str">
        <v>-</v>
      </c>
      <c r="D18060" t="str">
        <v>-</v>
      </c>
      <c r="E18060" t="str">
        <v/>
      </c>
      <c r="F18060" t="str">
        <v>-</v>
      </c>
      <c r="G18060" t="str">
        <v>-</v>
      </c>
    </row>
    <row r="18061">
      <c r="B18061" t="str">
        <v>UBND Ủy ban nhân dân xã Đăk Pling  tỉnh Gia Lai</v>
      </c>
      <c r="C18061" t="str">
        <v>-</v>
      </c>
      <c r="D18061" t="str">
        <v>-</v>
      </c>
      <c r="E18061" t="str">
        <v>-</v>
      </c>
      <c r="F18061" t="str">
        <v>-</v>
      </c>
      <c r="G18061" t="str">
        <v>-</v>
      </c>
    </row>
    <row r="18062">
      <c r="B18062" t="str">
        <v>Công an xã Yang Trung  tỉnh Gia Lai</v>
      </c>
      <c r="C18062" t="str">
        <v>-</v>
      </c>
      <c r="D18062" t="str">
        <v>-</v>
      </c>
      <c r="E18062" t="str">
        <v/>
      </c>
      <c r="F18062" t="str">
        <v>-</v>
      </c>
      <c r="G18062" t="str">
        <v>-</v>
      </c>
    </row>
    <row r="18063">
      <c r="B18063" t="str">
        <v>UBND Ủy ban nhân dân xã Yang Trung  tỉnh Gia Lai</v>
      </c>
      <c r="C18063" t="str">
        <v>-</v>
      </c>
      <c r="D18063" t="str">
        <v>-</v>
      </c>
      <c r="E18063" t="str">
        <v>-</v>
      </c>
      <c r="F18063" t="str">
        <v>-</v>
      </c>
      <c r="G18063" t="str">
        <v>-</v>
      </c>
    </row>
    <row r="18064">
      <c r="B18064" t="str">
        <v>Công an xã Đăk Pơ Pho  tỉnh Gia Lai</v>
      </c>
      <c r="C18064" t="str">
        <v>-</v>
      </c>
      <c r="D18064" t="str">
        <v>-</v>
      </c>
      <c r="E18064" t="str">
        <v/>
      </c>
      <c r="F18064" t="str">
        <v>-</v>
      </c>
      <c r="G18064" t="str">
        <v>-</v>
      </c>
    </row>
    <row r="18065">
      <c r="B18065" t="str">
        <v>UBND Ủy ban nhân dân xã Đăk Pơ Pho  tỉnh Gia Lai</v>
      </c>
      <c r="C18065" t="str">
        <v>-</v>
      </c>
      <c r="D18065" t="str">
        <v>-</v>
      </c>
      <c r="E18065" t="str">
        <v>-</v>
      </c>
      <c r="F18065" t="str">
        <v>-</v>
      </c>
      <c r="G18065" t="str">
        <v>-</v>
      </c>
    </row>
    <row r="18066">
      <c r="B18066" t="str">
        <v>Công an xã Ya Ma  tỉnh Gia Lai</v>
      </c>
      <c r="C18066" t="str">
        <v>-</v>
      </c>
      <c r="D18066" t="str">
        <v>-</v>
      </c>
      <c r="E18066" t="str">
        <v/>
      </c>
      <c r="F18066" t="str">
        <v>-</v>
      </c>
      <c r="G18066" t="str">
        <v>-</v>
      </c>
    </row>
    <row r="18067">
      <c r="B18067" t="str">
        <v>UBND Ủy ban nhân dân xã Ya Ma  tỉnh Gia Lai</v>
      </c>
      <c r="C18067" t="str">
        <v>-</v>
      </c>
      <c r="D18067" t="str">
        <v>-</v>
      </c>
      <c r="E18067" t="str">
        <v>-</v>
      </c>
      <c r="F18067" t="str">
        <v>-</v>
      </c>
      <c r="G18067" t="str">
        <v>-</v>
      </c>
    </row>
    <row r="18068">
      <c r="B18068" t="str">
        <v>Công an xã Chơ Long  tỉnh Gia Lai</v>
      </c>
      <c r="C18068" t="str">
        <v>-</v>
      </c>
      <c r="D18068" t="str">
        <v>-</v>
      </c>
      <c r="E18068" t="str">
        <v/>
      </c>
      <c r="F18068" t="str">
        <v>-</v>
      </c>
      <c r="G18068" t="str">
        <v>-</v>
      </c>
    </row>
    <row r="18069">
      <c r="B18069" t="str">
        <v>UBND Ủy ban nhân dân xã Chơ Long  tỉnh Gia Lai</v>
      </c>
      <c r="C18069" t="str">
        <v>-</v>
      </c>
      <c r="D18069" t="str">
        <v>-</v>
      </c>
      <c r="E18069" t="str">
        <v>-</v>
      </c>
      <c r="F18069" t="str">
        <v>-</v>
      </c>
      <c r="G18069" t="str">
        <v>-</v>
      </c>
    </row>
    <row r="18070">
      <c r="B18070" t="str">
        <v>Công an xã Yang Nam  tỉnh Gia Lai</v>
      </c>
      <c r="C18070" t="str">
        <v>-</v>
      </c>
      <c r="D18070" t="str">
        <v>-</v>
      </c>
      <c r="E18070" t="str">
        <v/>
      </c>
      <c r="F18070" t="str">
        <v>-</v>
      </c>
      <c r="G18070" t="str">
        <v>-</v>
      </c>
    </row>
    <row r="18071">
      <c r="B18071" t="str">
        <v>UBND Ủy ban nhân dân xã Yang Nam  tỉnh Gia Lai</v>
      </c>
      <c r="C18071" t="str">
        <v>-</v>
      </c>
      <c r="D18071" t="str">
        <v>-</v>
      </c>
      <c r="E18071" t="str">
        <v>-</v>
      </c>
      <c r="F18071" t="str">
        <v>-</v>
      </c>
      <c r="G18071" t="str">
        <v>-</v>
      </c>
    </row>
    <row r="18072">
      <c r="B18072" t="str">
        <v>Công an xã Ia Dơk  tỉnh Gia Lai</v>
      </c>
      <c r="C18072" t="str">
        <v>-</v>
      </c>
      <c r="D18072" t="str">
        <v>-</v>
      </c>
      <c r="E18072" t="str">
        <v/>
      </c>
      <c r="F18072" t="str">
        <v>-</v>
      </c>
      <c r="G18072" t="str">
        <v>-</v>
      </c>
    </row>
    <row r="18073">
      <c r="B18073" t="str">
        <v>UBND Ủy ban nhân dân xã Ia Dơk  tỉnh Gia Lai</v>
      </c>
      <c r="C18073" t="str">
        <v>-</v>
      </c>
      <c r="D18073" t="str">
        <v>-</v>
      </c>
      <c r="E18073" t="str">
        <v>-</v>
      </c>
      <c r="F18073" t="str">
        <v>-</v>
      </c>
      <c r="G18073" t="str">
        <v>-</v>
      </c>
    </row>
    <row r="18074">
      <c r="B18074" t="str">
        <v>Công an xã Ia Krêl  tỉnh Gia Lai</v>
      </c>
      <c r="C18074" t="str">
        <v>-</v>
      </c>
      <c r="D18074" t="str">
        <v>-</v>
      </c>
      <c r="E18074" t="str">
        <v/>
      </c>
      <c r="F18074" t="str">
        <v>-</v>
      </c>
      <c r="G18074" t="str">
        <v>-</v>
      </c>
    </row>
    <row r="18075">
      <c r="B18075" t="str">
        <v>UBND Ủy ban nhân dân xã Ia Krêl  tỉnh Gia Lai</v>
      </c>
      <c r="C18075" t="str">
        <v>-</v>
      </c>
      <c r="D18075" t="str">
        <v>-</v>
      </c>
      <c r="E18075" t="str">
        <v>-</v>
      </c>
      <c r="F18075" t="str">
        <v>-</v>
      </c>
      <c r="G18075" t="str">
        <v>-</v>
      </c>
    </row>
    <row r="18076">
      <c r="B18076" t="str">
        <v>Công an xã Ia Din  tỉnh Gia Lai</v>
      </c>
      <c r="C18076" t="str">
        <v>-</v>
      </c>
      <c r="D18076" t="str">
        <v>-</v>
      </c>
      <c r="E18076" t="str">
        <v/>
      </c>
      <c r="F18076" t="str">
        <v>-</v>
      </c>
      <c r="G18076" t="str">
        <v>-</v>
      </c>
    </row>
    <row r="18077">
      <c r="B18077" t="str">
        <v>UBND Ủy ban nhân dân xã Ia Din  tỉnh Gia Lai</v>
      </c>
      <c r="C18077" t="str">
        <v>-</v>
      </c>
      <c r="D18077" t="str">
        <v>-</v>
      </c>
      <c r="E18077" t="str">
        <v>-</v>
      </c>
      <c r="F18077" t="str">
        <v>-</v>
      </c>
      <c r="G18077" t="str">
        <v>-</v>
      </c>
    </row>
    <row r="18078">
      <c r="B18078" t="str">
        <v>Công an xã Ia Kla  tỉnh Gia Lai</v>
      </c>
      <c r="C18078" t="str">
        <v>-</v>
      </c>
      <c r="D18078" t="str">
        <v>-</v>
      </c>
      <c r="E18078" t="str">
        <v/>
      </c>
      <c r="F18078" t="str">
        <v>-</v>
      </c>
      <c r="G18078" t="str">
        <v>-</v>
      </c>
    </row>
    <row r="18079">
      <c r="B18079" t="str">
        <v>UBND Ủy ban nhân dân xã Ia Kla  tỉnh Gia Lai</v>
      </c>
      <c r="C18079" t="str">
        <v>-</v>
      </c>
      <c r="D18079" t="str">
        <v>-</v>
      </c>
      <c r="E18079" t="str">
        <v>-</v>
      </c>
      <c r="F18079" t="str">
        <v>-</v>
      </c>
      <c r="G18079" t="str">
        <v>-</v>
      </c>
    </row>
    <row r="18080">
      <c r="B18080" t="str">
        <v>Công an xã Ia Dom  tỉnh Gia Lai</v>
      </c>
      <c r="C18080" t="str">
        <v>-</v>
      </c>
      <c r="D18080" t="str">
        <v>-</v>
      </c>
      <c r="E18080" t="str">
        <v/>
      </c>
      <c r="F18080" t="str">
        <v>-</v>
      </c>
      <c r="G18080" t="str">
        <v>-</v>
      </c>
    </row>
    <row r="18081">
      <c r="B18081" t="str">
        <v>UBND Ủy ban nhân dân xã Ia Dom  tỉnh Gia Lai</v>
      </c>
      <c r="C18081" t="str">
        <v>-</v>
      </c>
      <c r="D18081" t="str">
        <v>-</v>
      </c>
      <c r="E18081" t="str">
        <v>-</v>
      </c>
      <c r="F18081" t="str">
        <v>-</v>
      </c>
      <c r="G18081" t="str">
        <v>-</v>
      </c>
    </row>
    <row r="18082">
      <c r="B18082" t="str">
        <v>Công an xã Ia Lang  tỉnh Gia Lai</v>
      </c>
      <c r="C18082" t="str">
        <v>-</v>
      </c>
      <c r="D18082" t="str">
        <v>-</v>
      </c>
      <c r="E18082" t="str">
        <v/>
      </c>
      <c r="F18082" t="str">
        <v>-</v>
      </c>
      <c r="G18082" t="str">
        <v>-</v>
      </c>
    </row>
    <row r="18083">
      <c r="B18083" t="str">
        <v>UBND Ủy ban nhân dân xã Ia Lang  tỉnh Gia Lai</v>
      </c>
      <c r="C18083" t="str">
        <v>-</v>
      </c>
      <c r="D18083" t="str">
        <v>-</v>
      </c>
      <c r="E18083" t="str">
        <v>-</v>
      </c>
      <c r="F18083" t="str">
        <v>-</v>
      </c>
      <c r="G18083" t="str">
        <v>-</v>
      </c>
    </row>
    <row r="18084">
      <c r="B18084" t="str">
        <v>Công an xã Ia Kriêng  tỉnh Gia Lai</v>
      </c>
      <c r="C18084" t="str">
        <v>-</v>
      </c>
      <c r="D18084" t="str">
        <v>-</v>
      </c>
      <c r="E18084" t="str">
        <v/>
      </c>
      <c r="F18084" t="str">
        <v>-</v>
      </c>
      <c r="G18084" t="str">
        <v>-</v>
      </c>
    </row>
    <row r="18085">
      <c r="B18085" t="str">
        <v>UBND Ủy ban nhân dân xã Ia Kriêng  tỉnh Gia Lai</v>
      </c>
      <c r="C18085" t="str">
        <v>-</v>
      </c>
      <c r="D18085" t="str">
        <v>-</v>
      </c>
      <c r="E18085" t="str">
        <v>-</v>
      </c>
      <c r="F18085" t="str">
        <v>-</v>
      </c>
      <c r="G18085" t="str">
        <v>-</v>
      </c>
    </row>
    <row r="18086">
      <c r="B18086" t="str">
        <v>Công an xã Ia Pnôn  tỉnh Gia Lai</v>
      </c>
      <c r="C18086" t="str">
        <v>-</v>
      </c>
      <c r="D18086" t="str">
        <v>-</v>
      </c>
      <c r="E18086" t="str">
        <v/>
      </c>
      <c r="F18086" t="str">
        <v>-</v>
      </c>
      <c r="G18086" t="str">
        <v>-</v>
      </c>
    </row>
    <row r="18087">
      <c r="B18087" t="str">
        <v>UBND Ủy ban nhân dân xã Ia Pnôn  tỉnh Gia Lai</v>
      </c>
      <c r="C18087" t="str">
        <v>-</v>
      </c>
      <c r="D18087" t="str">
        <v>-</v>
      </c>
      <c r="E18087" t="str">
        <v>-</v>
      </c>
      <c r="F18087" t="str">
        <v>-</v>
      </c>
      <c r="G18087" t="str">
        <v>-</v>
      </c>
    </row>
    <row r="18088">
      <c r="B18088" t="str">
        <v>Công an xã Ia Nan  tỉnh Gia Lai</v>
      </c>
      <c r="C18088" t="str">
        <v>-</v>
      </c>
      <c r="D18088" t="str">
        <v>-</v>
      </c>
      <c r="E18088" t="str">
        <v/>
      </c>
      <c r="F18088" t="str">
        <v>-</v>
      </c>
      <c r="G18088" t="str">
        <v>-</v>
      </c>
    </row>
    <row r="18089">
      <c r="B18089" t="str">
        <v>UBND Ủy ban nhân dân xã Ia Nan  tỉnh Gia Lai</v>
      </c>
      <c r="C18089" t="str">
        <v>-</v>
      </c>
      <c r="D18089" t="str">
        <v>-</v>
      </c>
      <c r="E18089" t="str">
        <v>-</v>
      </c>
      <c r="F18089" t="str">
        <v>-</v>
      </c>
      <c r="G18089" t="str">
        <v>-</v>
      </c>
    </row>
    <row r="18090">
      <c r="B18090" t="str">
        <v>Công an xã Ia Kly  tỉnh Gia Lai</v>
      </c>
      <c r="C18090" t="str">
        <v>-</v>
      </c>
      <c r="D18090" t="str">
        <v>-</v>
      </c>
      <c r="E18090" t="str">
        <v/>
      </c>
      <c r="F18090" t="str">
        <v>-</v>
      </c>
      <c r="G18090" t="str">
        <v>-</v>
      </c>
    </row>
    <row r="18091">
      <c r="B18091" t="str">
        <v>UBND Ủy ban nhân dân xã Ia Kly  tỉnh Gia Lai</v>
      </c>
      <c r="C18091" t="str">
        <v>-</v>
      </c>
      <c r="D18091" t="str">
        <v>-</v>
      </c>
      <c r="E18091" t="str">
        <v>-</v>
      </c>
      <c r="F18091" t="str">
        <v>-</v>
      </c>
      <c r="G18091" t="str">
        <v>-</v>
      </c>
    </row>
    <row r="18092">
      <c r="B18092" t="str">
        <v>Công an xã Bình Giáo  tỉnh Gia Lai</v>
      </c>
      <c r="C18092" t="str">
        <v>-</v>
      </c>
      <c r="D18092" t="str">
        <v>-</v>
      </c>
      <c r="E18092" t="str">
        <v/>
      </c>
      <c r="F18092" t="str">
        <v>-</v>
      </c>
      <c r="G18092" t="str">
        <v>-</v>
      </c>
    </row>
    <row r="18093">
      <c r="B18093" t="str">
        <v>UBND Ủy ban nhân dân xã Bình Giáo  tỉnh Gia Lai</v>
      </c>
      <c r="C18093" t="str">
        <v>-</v>
      </c>
      <c r="D18093" t="str">
        <v>-</v>
      </c>
      <c r="E18093" t="str">
        <v>-</v>
      </c>
      <c r="F18093" t="str">
        <v>-</v>
      </c>
      <c r="G18093" t="str">
        <v>-</v>
      </c>
    </row>
    <row r="18094">
      <c r="B18094" t="str">
        <v>Công an xã Ia Drăng  tỉnh Gia Lai</v>
      </c>
      <c r="C18094" t="str">
        <v>-</v>
      </c>
      <c r="D18094" t="str">
        <v>-</v>
      </c>
      <c r="E18094" t="str">
        <v/>
      </c>
      <c r="F18094" t="str">
        <v>-</v>
      </c>
      <c r="G18094" t="str">
        <v>-</v>
      </c>
    </row>
    <row r="18095">
      <c r="B18095" t="str">
        <v>UBND Ủy ban nhân dân xã Ia Drăng  tỉnh Gia Lai</v>
      </c>
      <c r="C18095" t="str">
        <v>-</v>
      </c>
      <c r="D18095" t="str">
        <v>-</v>
      </c>
      <c r="E18095" t="str">
        <v>-</v>
      </c>
      <c r="F18095" t="str">
        <v>-</v>
      </c>
      <c r="G18095" t="str">
        <v>-</v>
      </c>
    </row>
    <row r="18096">
      <c r="B18096" t="str">
        <v>Công an xã Thăng Hưng  tỉnh Gia Lai</v>
      </c>
      <c r="C18096" t="str">
        <v>-</v>
      </c>
      <c r="D18096" t="str">
        <v>-</v>
      </c>
      <c r="E18096" t="str">
        <v/>
      </c>
      <c r="F18096" t="str">
        <v>-</v>
      </c>
      <c r="G18096" t="str">
        <v>-</v>
      </c>
    </row>
    <row r="18097">
      <c r="B18097" t="str">
        <v>UBND Ủy ban nhân dân xã Thăng Hưng  tỉnh Gia Lai</v>
      </c>
      <c r="C18097" t="str">
        <v>-</v>
      </c>
      <c r="D18097" t="str">
        <v>-</v>
      </c>
      <c r="E18097" t="str">
        <v>-</v>
      </c>
      <c r="F18097" t="str">
        <v>-</v>
      </c>
      <c r="G18097" t="str">
        <v>-</v>
      </c>
    </row>
    <row r="18098">
      <c r="B18098" t="str">
        <v>Công an xã Bàu Cạn  tỉnh Gia Lai</v>
      </c>
      <c r="C18098" t="str">
        <v>-</v>
      </c>
      <c r="D18098" t="str">
        <v>-</v>
      </c>
      <c r="E18098" t="str">
        <v/>
      </c>
      <c r="F18098" t="str">
        <v>-</v>
      </c>
      <c r="G18098" t="str">
        <v>-</v>
      </c>
    </row>
    <row r="18099">
      <c r="B18099" t="str">
        <v>UBND Ủy ban nhân dân xã Bàu Cạn  tỉnh Gia Lai</v>
      </c>
      <c r="C18099" t="str">
        <v>-</v>
      </c>
      <c r="D18099" t="str">
        <v>-</v>
      </c>
      <c r="E18099" t="str">
        <v>-</v>
      </c>
      <c r="F18099" t="str">
        <v>-</v>
      </c>
      <c r="G18099" t="str">
        <v>-</v>
      </c>
    </row>
    <row r="18100">
      <c r="B18100" t="str">
        <v>Công an xã Ia Phìn  tỉnh Gia Lai</v>
      </c>
      <c r="C18100" t="str">
        <v>-</v>
      </c>
      <c r="D18100" t="str">
        <v>-</v>
      </c>
      <c r="E18100" t="str">
        <v/>
      </c>
      <c r="F18100" t="str">
        <v>-</v>
      </c>
      <c r="G18100" t="str">
        <v>-</v>
      </c>
    </row>
    <row r="18101">
      <c r="B18101" t="str">
        <v>UBND Ủy ban nhân dân xã Ia Phìn  tỉnh Gia Lai</v>
      </c>
      <c r="C18101" t="str">
        <v>-</v>
      </c>
      <c r="D18101" t="str">
        <v>-</v>
      </c>
      <c r="E18101" t="str">
        <v>-</v>
      </c>
      <c r="F18101" t="str">
        <v>-</v>
      </c>
      <c r="G18101" t="str">
        <v>-</v>
      </c>
    </row>
    <row r="18102">
      <c r="B18102" t="str">
        <v>Công an xã Ia Băng  tỉnh Gia Lai</v>
      </c>
      <c r="C18102" t="str">
        <v>-</v>
      </c>
      <c r="D18102" t="str">
        <v>-</v>
      </c>
      <c r="E18102" t="str">
        <v/>
      </c>
      <c r="F18102" t="str">
        <v>-</v>
      </c>
      <c r="G18102" t="str">
        <v>-</v>
      </c>
    </row>
    <row r="18103">
      <c r="B18103" t="str">
        <v>UBND Ủy ban nhân dân xã Ia Băng  tỉnh Gia Lai</v>
      </c>
      <c r="C18103" t="str">
        <v>-</v>
      </c>
      <c r="D18103" t="str">
        <v>-</v>
      </c>
      <c r="E18103" t="str">
        <v>-</v>
      </c>
      <c r="F18103" t="str">
        <v>-</v>
      </c>
      <c r="G18103" t="str">
        <v>-</v>
      </c>
    </row>
    <row r="18104">
      <c r="B18104" t="str">
        <v>Công an xã Ia Tôr  tỉnh Gia Lai</v>
      </c>
      <c r="C18104" t="str">
        <v>-</v>
      </c>
      <c r="D18104" t="str">
        <v>-</v>
      </c>
      <c r="E18104" t="str">
        <v/>
      </c>
      <c r="F18104" t="str">
        <v>-</v>
      </c>
      <c r="G18104" t="str">
        <v>-</v>
      </c>
    </row>
    <row r="18105">
      <c r="B18105" t="str">
        <v>UBND Ủy ban nhân dân xã Ia Tôr  tỉnh Gia Lai</v>
      </c>
      <c r="C18105" t="str">
        <v>-</v>
      </c>
      <c r="D18105" t="str">
        <v>-</v>
      </c>
      <c r="E18105" t="str">
        <v>-</v>
      </c>
      <c r="F18105" t="str">
        <v>-</v>
      </c>
      <c r="G18105" t="str">
        <v>-</v>
      </c>
    </row>
    <row r="18106">
      <c r="B18106" t="str">
        <v>Công an xã Ia Boòng  tỉnh Gia Lai</v>
      </c>
      <c r="C18106" t="str">
        <v>-</v>
      </c>
      <c r="D18106" t="str">
        <v>-</v>
      </c>
      <c r="E18106" t="str">
        <v/>
      </c>
      <c r="F18106" t="str">
        <v>-</v>
      </c>
      <c r="G18106" t="str">
        <v>-</v>
      </c>
    </row>
    <row r="18107">
      <c r="B18107" t="str">
        <v>UBND Ủy ban nhân dân xã Ia Boòng  tỉnh Gia Lai</v>
      </c>
      <c r="C18107" t="str">
        <v>-</v>
      </c>
      <c r="D18107" t="str">
        <v>-</v>
      </c>
      <c r="E18107" t="str">
        <v>-</v>
      </c>
      <c r="F18107" t="str">
        <v>-</v>
      </c>
      <c r="G18107" t="str">
        <v>-</v>
      </c>
    </row>
    <row r="18108">
      <c r="B18108" t="str">
        <v>Công an xã Ia O  tỉnh Gia Lai</v>
      </c>
      <c r="C18108" t="str">
        <v>-</v>
      </c>
      <c r="D18108" t="str">
        <v>-</v>
      </c>
      <c r="E18108" t="str">
        <v/>
      </c>
      <c r="F18108" t="str">
        <v>-</v>
      </c>
      <c r="G18108" t="str">
        <v>-</v>
      </c>
    </row>
    <row r="18109">
      <c r="B18109" t="str">
        <v>UBND Ủy ban nhân dân xã Ia O  tỉnh Gia Lai</v>
      </c>
      <c r="C18109" t="str">
        <v>-</v>
      </c>
      <c r="D18109" t="str">
        <v>-</v>
      </c>
      <c r="E18109" t="str">
        <v>-</v>
      </c>
      <c r="F18109" t="str">
        <v>-</v>
      </c>
      <c r="G18109" t="str">
        <v>-</v>
      </c>
    </row>
    <row r="18110">
      <c r="B18110" t="str">
        <v>Công an xã Ia Púch  tỉnh Gia Lai</v>
      </c>
      <c r="C18110" t="str">
        <v>-</v>
      </c>
      <c r="D18110" t="str">
        <v>-</v>
      </c>
      <c r="E18110" t="str">
        <v/>
      </c>
      <c r="F18110" t="str">
        <v>-</v>
      </c>
      <c r="G18110" t="str">
        <v>-</v>
      </c>
    </row>
    <row r="18111">
      <c r="B18111" t="str">
        <v>UBND Ủy ban nhân dân xã Ia Púch  tỉnh Gia Lai</v>
      </c>
      <c r="C18111" t="str">
        <v>-</v>
      </c>
      <c r="D18111" t="str">
        <v>-</v>
      </c>
      <c r="E18111" t="str">
        <v>-</v>
      </c>
      <c r="F18111" t="str">
        <v>-</v>
      </c>
      <c r="G18111" t="str">
        <v>-</v>
      </c>
    </row>
    <row r="18112">
      <c r="B18112" t="str">
        <v>Công an xã Ia Me  tỉnh Gia Lai</v>
      </c>
      <c r="C18112" t="str">
        <v>-</v>
      </c>
      <c r="D18112" t="str">
        <v>-</v>
      </c>
      <c r="E18112" t="str">
        <v/>
      </c>
      <c r="F18112" t="str">
        <v>-</v>
      </c>
      <c r="G18112" t="str">
        <v>-</v>
      </c>
    </row>
    <row r="18113">
      <c r="B18113" t="str">
        <v>UBND Ủy ban nhân dân xã Ia Me  tỉnh Gia Lai</v>
      </c>
      <c r="C18113" t="str">
        <v>-</v>
      </c>
      <c r="D18113" t="str">
        <v>-</v>
      </c>
      <c r="E18113" t="str">
        <v>-</v>
      </c>
      <c r="F18113" t="str">
        <v>-</v>
      </c>
      <c r="G18113" t="str">
        <v>-</v>
      </c>
    </row>
    <row r="18114">
      <c r="B18114" t="str">
        <v>Công an xã Ia Vê  tỉnh Gia Lai</v>
      </c>
      <c r="C18114" t="str">
        <v>-</v>
      </c>
      <c r="D18114" t="str">
        <v>-</v>
      </c>
      <c r="E18114" t="str">
        <v/>
      </c>
      <c r="F18114" t="str">
        <v>-</v>
      </c>
      <c r="G18114" t="str">
        <v>-</v>
      </c>
    </row>
    <row r="18115">
      <c r="B18115" t="str">
        <v>UBND Ủy ban nhân dân xã Ia Vê  tỉnh Gia Lai</v>
      </c>
      <c r="C18115" t="str">
        <v>-</v>
      </c>
      <c r="D18115" t="str">
        <v>-</v>
      </c>
      <c r="E18115" t="str">
        <v>-</v>
      </c>
      <c r="F18115" t="str">
        <v>-</v>
      </c>
      <c r="G18115" t="str">
        <v>-</v>
      </c>
    </row>
    <row r="18116">
      <c r="B18116" t="str">
        <v>Công an xã Ia Bang  tỉnh Gia Lai</v>
      </c>
      <c r="C18116" t="str">
        <v>-</v>
      </c>
      <c r="D18116" t="str">
        <v>-</v>
      </c>
      <c r="E18116" t="str">
        <v/>
      </c>
      <c r="F18116" t="str">
        <v>-</v>
      </c>
      <c r="G18116" t="str">
        <v>-</v>
      </c>
    </row>
    <row r="18117">
      <c r="B18117" t="str">
        <v>UBND Ủy ban nhân dân xã Ia Bang  tỉnh Gia Lai</v>
      </c>
      <c r="C18117" t="str">
        <v>-</v>
      </c>
      <c r="D18117" t="str">
        <v>-</v>
      </c>
      <c r="E18117" t="str">
        <v>-</v>
      </c>
      <c r="F18117" t="str">
        <v>-</v>
      </c>
      <c r="G18117" t="str">
        <v>-</v>
      </c>
    </row>
    <row r="18118">
      <c r="B18118" t="str">
        <v>Công an xã Ia Pia  tỉnh Gia Lai</v>
      </c>
      <c r="C18118" t="str">
        <v>-</v>
      </c>
      <c r="D18118" t="str">
        <v>-</v>
      </c>
      <c r="E18118" t="str">
        <v/>
      </c>
      <c r="F18118" t="str">
        <v>-</v>
      </c>
      <c r="G18118" t="str">
        <v>-</v>
      </c>
    </row>
    <row r="18119">
      <c r="B18119" t="str">
        <v>UBND Ủy ban nhân dân xã Ia Pia  tỉnh Gia Lai</v>
      </c>
      <c r="C18119" t="str">
        <v>-</v>
      </c>
      <c r="D18119" t="str">
        <v>-</v>
      </c>
      <c r="E18119" t="str">
        <v>-</v>
      </c>
      <c r="F18119" t="str">
        <v>-</v>
      </c>
      <c r="G18119" t="str">
        <v>-</v>
      </c>
    </row>
    <row r="18120">
      <c r="B18120" t="str">
        <v>Công an xã Ia Ga  tỉnh Gia Lai</v>
      </c>
      <c r="C18120" t="str">
        <v>-</v>
      </c>
      <c r="D18120" t="str">
        <v>-</v>
      </c>
      <c r="E18120" t="str">
        <v/>
      </c>
      <c r="F18120" t="str">
        <v>-</v>
      </c>
      <c r="G18120" t="str">
        <v>-</v>
      </c>
    </row>
    <row r="18121">
      <c r="B18121" t="str">
        <v>UBND Ủy ban nhân dân xã Ia Ga  tỉnh Gia Lai</v>
      </c>
      <c r="C18121" t="str">
        <v>-</v>
      </c>
      <c r="D18121" t="str">
        <v>-</v>
      </c>
      <c r="E18121" t="str">
        <v>-</v>
      </c>
      <c r="F18121" t="str">
        <v>-</v>
      </c>
      <c r="G18121" t="str">
        <v>-</v>
      </c>
    </row>
    <row r="18122">
      <c r="B18122" t="str">
        <v>Công an xã Ia Lâu  tỉnh Gia Lai</v>
      </c>
      <c r="C18122" t="str">
        <v>-</v>
      </c>
      <c r="D18122" t="str">
        <v>-</v>
      </c>
      <c r="E18122" t="str">
        <v/>
      </c>
      <c r="F18122" t="str">
        <v>-</v>
      </c>
      <c r="G18122" t="str">
        <v>-</v>
      </c>
    </row>
    <row r="18123">
      <c r="B18123" t="str">
        <v>UBND Ủy ban nhân dân xã Ia Lâu  tỉnh Gia Lai</v>
      </c>
      <c r="C18123" t="str">
        <v>-</v>
      </c>
      <c r="D18123" t="str">
        <v>-</v>
      </c>
      <c r="E18123" t="str">
        <v>-</v>
      </c>
      <c r="F18123" t="str">
        <v>-</v>
      </c>
      <c r="G18123" t="str">
        <v>-</v>
      </c>
    </row>
    <row r="18124">
      <c r="B18124" t="str">
        <v>Công an xã Ia Piơr  tỉnh Gia Lai</v>
      </c>
      <c r="C18124" t="str">
        <v>-</v>
      </c>
      <c r="D18124" t="str">
        <v>-</v>
      </c>
      <c r="E18124" t="str">
        <v/>
      </c>
      <c r="F18124" t="str">
        <v>-</v>
      </c>
      <c r="G18124" t="str">
        <v>-</v>
      </c>
    </row>
    <row r="18125">
      <c r="B18125" t="str">
        <v>UBND Ủy ban nhân dân xã Ia Piơr  tỉnh Gia Lai</v>
      </c>
      <c r="C18125" t="str">
        <v>-</v>
      </c>
      <c r="D18125" t="str">
        <v>-</v>
      </c>
      <c r="E18125" t="str">
        <v>-</v>
      </c>
      <c r="F18125" t="str">
        <v>-</v>
      </c>
      <c r="G18125" t="str">
        <v>-</v>
      </c>
    </row>
    <row r="18126">
      <c r="B18126" t="str">
        <v>Công an xã Ia Mơ  tỉnh Gia Lai</v>
      </c>
      <c r="C18126" t="str">
        <v>-</v>
      </c>
      <c r="D18126" t="str">
        <v>-</v>
      </c>
      <c r="E18126" t="str">
        <v/>
      </c>
      <c r="F18126" t="str">
        <v>-</v>
      </c>
      <c r="G18126" t="str">
        <v>-</v>
      </c>
    </row>
    <row r="18127">
      <c r="B18127" t="str">
        <v>UBND Ủy ban nhân dân xã Ia Mơ  tỉnh Gia Lai</v>
      </c>
      <c r="C18127" t="str">
        <v>-</v>
      </c>
      <c r="D18127" t="str">
        <v>-</v>
      </c>
      <c r="E18127" t="str">
        <v>-</v>
      </c>
      <c r="F18127" t="str">
        <v>-</v>
      </c>
      <c r="G18127" t="str">
        <v>-</v>
      </c>
    </row>
    <row r="18128">
      <c r="B18128" t="str">
        <v>Công an xã Ia Tiêm  tỉnh Gia Lai</v>
      </c>
      <c r="C18128" t="str">
        <v>-</v>
      </c>
      <c r="D18128" t="str">
        <v>-</v>
      </c>
      <c r="E18128" t="str">
        <v/>
      </c>
      <c r="F18128" t="str">
        <v>-</v>
      </c>
      <c r="G18128" t="str">
        <v>-</v>
      </c>
    </row>
    <row r="18129">
      <c r="B18129" t="str">
        <v>UBND Ủy ban nhân dân xã Ia Tiêm  tỉnh Gia Lai</v>
      </c>
      <c r="C18129" t="str">
        <v>-</v>
      </c>
      <c r="D18129" t="str">
        <v>-</v>
      </c>
      <c r="E18129" t="str">
        <v>-</v>
      </c>
      <c r="F18129" t="str">
        <v>-</v>
      </c>
      <c r="G18129" t="str">
        <v>-</v>
      </c>
    </row>
    <row r="18130">
      <c r="B18130" t="str">
        <v>Công an xã Chư Pơng  tỉnh Gia Lai</v>
      </c>
      <c r="C18130" t="str">
        <v>-</v>
      </c>
      <c r="D18130" t="str">
        <v>-</v>
      </c>
      <c r="E18130" t="str">
        <v/>
      </c>
      <c r="F18130" t="str">
        <v>-</v>
      </c>
      <c r="G18130" t="str">
        <v>-</v>
      </c>
    </row>
    <row r="18131">
      <c r="B18131" t="str">
        <v>UBND Ủy ban nhân dân xã Chư Pơng  tỉnh Gia Lai</v>
      </c>
      <c r="C18131" t="str">
        <v>-</v>
      </c>
      <c r="D18131" t="str">
        <v>-</v>
      </c>
      <c r="E18131" t="str">
        <v>-</v>
      </c>
      <c r="F18131" t="str">
        <v>-</v>
      </c>
      <c r="G18131" t="str">
        <v>-</v>
      </c>
    </row>
    <row r="18132">
      <c r="B18132" t="str">
        <v>Công an xã Bar Măih  tỉnh Gia Lai</v>
      </c>
      <c r="C18132" t="str">
        <v>-</v>
      </c>
      <c r="D18132" t="str">
        <v>-</v>
      </c>
      <c r="E18132" t="str">
        <v/>
      </c>
      <c r="F18132" t="str">
        <v>-</v>
      </c>
      <c r="G18132" t="str">
        <v>-</v>
      </c>
    </row>
    <row r="18133">
      <c r="B18133" t="str">
        <v>UBND Ủy ban nhân dân xã Bar Măih  tỉnh Gia Lai</v>
      </c>
      <c r="C18133" t="str">
        <v>-</v>
      </c>
      <c r="D18133" t="str">
        <v>-</v>
      </c>
      <c r="E18133" t="str">
        <v>-</v>
      </c>
      <c r="F18133" t="str">
        <v>-</v>
      </c>
      <c r="G18133" t="str">
        <v>-</v>
      </c>
    </row>
    <row r="18134">
      <c r="B18134" t="str">
        <v>Công an xã Bờ Ngoong  tỉnh Gia Lai</v>
      </c>
      <c r="C18134" t="str">
        <v>-</v>
      </c>
      <c r="D18134" t="str">
        <v>-</v>
      </c>
      <c r="E18134" t="str">
        <v/>
      </c>
      <c r="F18134" t="str">
        <v>-</v>
      </c>
      <c r="G18134" t="str">
        <v>-</v>
      </c>
    </row>
    <row r="18135">
      <c r="B18135" t="str">
        <v>UBND Ủy ban nhân dân xã Bờ Ngoong  tỉnh Gia Lai</v>
      </c>
      <c r="C18135" t="str">
        <v>-</v>
      </c>
      <c r="D18135" t="str">
        <v>-</v>
      </c>
      <c r="E18135" t="str">
        <v>-</v>
      </c>
      <c r="F18135" t="str">
        <v>-</v>
      </c>
      <c r="G18135" t="str">
        <v>-</v>
      </c>
    </row>
    <row r="18136">
      <c r="B18136" t="str">
        <v>Công an xã Ia Glai  tỉnh Gia Lai</v>
      </c>
      <c r="C18136" t="str">
        <v>-</v>
      </c>
      <c r="D18136" t="str">
        <v>-</v>
      </c>
      <c r="E18136" t="str">
        <v/>
      </c>
      <c r="F18136" t="str">
        <v>-</v>
      </c>
      <c r="G18136" t="str">
        <v>-</v>
      </c>
    </row>
    <row r="18137">
      <c r="B18137" t="str">
        <v>UBND Ủy ban nhân dân xã Ia Glai  tỉnh Gia Lai</v>
      </c>
      <c r="C18137" t="str">
        <v>-</v>
      </c>
      <c r="D18137" t="str">
        <v>-</v>
      </c>
      <c r="E18137" t="str">
        <v>-</v>
      </c>
      <c r="F18137" t="str">
        <v>-</v>
      </c>
      <c r="G18137" t="str">
        <v>-</v>
      </c>
    </row>
    <row r="18138">
      <c r="B18138" t="str">
        <v>Công an xã AL Bá  tỉnh Gia Lai</v>
      </c>
      <c r="C18138" t="str">
        <v>-</v>
      </c>
      <c r="D18138" t="str">
        <v>-</v>
      </c>
      <c r="E18138" t="str">
        <v/>
      </c>
      <c r="F18138" t="str">
        <v>-</v>
      </c>
      <c r="G18138" t="str">
        <v>-</v>
      </c>
    </row>
    <row r="18139">
      <c r="B18139" t="str">
        <v>UBND Ủy ban nhân dân xã AL Bá  tỉnh Gia Lai</v>
      </c>
      <c r="C18139" t="str">
        <v>-</v>
      </c>
      <c r="D18139" t="str">
        <v>-</v>
      </c>
      <c r="E18139" t="str">
        <v>-</v>
      </c>
      <c r="F18139" t="str">
        <v>-</v>
      </c>
      <c r="G18139" t="str">
        <v>-</v>
      </c>
    </row>
    <row r="18140">
      <c r="B18140" t="str">
        <v>Công an xã Kông HTok  tỉnh Gia Lai</v>
      </c>
      <c r="C18140" t="str">
        <v>-</v>
      </c>
      <c r="D18140" t="str">
        <v>-</v>
      </c>
      <c r="E18140" t="str">
        <v/>
      </c>
      <c r="F18140" t="str">
        <v>-</v>
      </c>
      <c r="G18140" t="str">
        <v>-</v>
      </c>
    </row>
    <row r="18141">
      <c r="B18141" t="str">
        <v>UBND Ủy ban nhân dân xã Kông HTok  tỉnh Gia Lai</v>
      </c>
      <c r="C18141" t="str">
        <v>-</v>
      </c>
      <c r="D18141" t="str">
        <v>-</v>
      </c>
      <c r="E18141" t="str">
        <v>-</v>
      </c>
      <c r="F18141" t="str">
        <v>-</v>
      </c>
      <c r="G18141" t="str">
        <v>-</v>
      </c>
    </row>
    <row r="18142">
      <c r="B18142" t="str">
        <v>Công an xã AYun  tỉnh Gia Lai</v>
      </c>
      <c r="C18142" t="str">
        <v>-</v>
      </c>
      <c r="D18142" t="str">
        <v>-</v>
      </c>
      <c r="E18142" t="str">
        <v/>
      </c>
      <c r="F18142" t="str">
        <v>-</v>
      </c>
      <c r="G18142" t="str">
        <v>-</v>
      </c>
    </row>
    <row r="18143">
      <c r="B18143" t="str">
        <v>UBND Ủy ban nhân dân xã AYun  tỉnh Gia Lai</v>
      </c>
      <c r="C18143" t="str">
        <v>-</v>
      </c>
      <c r="D18143" t="str">
        <v>-</v>
      </c>
      <c r="E18143" t="str">
        <v>-</v>
      </c>
      <c r="F18143" t="str">
        <v>-</v>
      </c>
      <c r="G18143" t="str">
        <v>-</v>
      </c>
    </row>
    <row r="18144">
      <c r="B18144" t="str">
        <v>Công an xã Ia HLốp  tỉnh Gia Lai</v>
      </c>
      <c r="C18144" t="str">
        <v>-</v>
      </c>
      <c r="D18144" t="str">
        <v>-</v>
      </c>
      <c r="E18144" t="str">
        <v/>
      </c>
      <c r="F18144" t="str">
        <v>-</v>
      </c>
      <c r="G18144" t="str">
        <v>-</v>
      </c>
    </row>
    <row r="18145">
      <c r="B18145" t="str">
        <v>UBND Ủy ban nhân dân xã Ia HLốp  tỉnh Gia Lai</v>
      </c>
      <c r="C18145" t="str">
        <v>-</v>
      </c>
      <c r="D18145" t="str">
        <v>-</v>
      </c>
      <c r="E18145" t="str">
        <v>-</v>
      </c>
      <c r="F18145" t="str">
        <v>-</v>
      </c>
      <c r="G18145" t="str">
        <v>-</v>
      </c>
    </row>
    <row r="18146">
      <c r="B18146" t="str">
        <v>Công an xã Ia Blang  tỉnh Gia Lai</v>
      </c>
      <c r="C18146" t="str">
        <v>-</v>
      </c>
      <c r="D18146" t="str">
        <v>-</v>
      </c>
      <c r="E18146" t="str">
        <v/>
      </c>
      <c r="F18146" t="str">
        <v>-</v>
      </c>
      <c r="G18146" t="str">
        <v>-</v>
      </c>
    </row>
    <row r="18147">
      <c r="B18147" t="str">
        <v>UBND Ủy ban nhân dân xã Ia Blang  tỉnh Gia Lai</v>
      </c>
      <c r="C18147" t="str">
        <v>-</v>
      </c>
      <c r="D18147" t="str">
        <v>-</v>
      </c>
      <c r="E18147" t="str">
        <v>-</v>
      </c>
      <c r="F18147" t="str">
        <v>-</v>
      </c>
      <c r="G18147" t="str">
        <v>-</v>
      </c>
    </row>
    <row r="18148">
      <c r="B18148" t="str">
        <v>Công an xã Dun  tỉnh Gia Lai</v>
      </c>
      <c r="C18148" t="str">
        <v>-</v>
      </c>
      <c r="D18148" t="str">
        <v>-</v>
      </c>
      <c r="E18148" t="str">
        <v/>
      </c>
      <c r="F18148" t="str">
        <v>-</v>
      </c>
      <c r="G18148" t="str">
        <v>-</v>
      </c>
    </row>
    <row r="18149">
      <c r="B18149" t="str">
        <v>UBND Ủy ban nhân dân xã Dun  tỉnh Gia Lai</v>
      </c>
      <c r="C18149" t="str">
        <v>-</v>
      </c>
      <c r="D18149" t="str">
        <v>-</v>
      </c>
      <c r="E18149" t="str">
        <v>-</v>
      </c>
      <c r="F18149" t="str">
        <v>-</v>
      </c>
      <c r="G18149" t="str">
        <v>-</v>
      </c>
    </row>
    <row r="18150">
      <c r="B18150" t="str">
        <v>Công an xã Ia Pal  tỉnh Gia Lai</v>
      </c>
      <c r="C18150" t="str">
        <v>-</v>
      </c>
      <c r="D18150" t="str">
        <v>-</v>
      </c>
      <c r="E18150" t="str">
        <v/>
      </c>
      <c r="F18150" t="str">
        <v>-</v>
      </c>
      <c r="G18150" t="str">
        <v>-</v>
      </c>
    </row>
    <row r="18151">
      <c r="B18151" t="str">
        <v>UBND Ủy ban nhân dân xã Ia Pal  tỉnh Gia Lai</v>
      </c>
      <c r="C18151" t="str">
        <v>-</v>
      </c>
      <c r="D18151" t="str">
        <v>-</v>
      </c>
      <c r="E18151" t="str">
        <v>-</v>
      </c>
      <c r="F18151" t="str">
        <v>-</v>
      </c>
      <c r="G18151" t="str">
        <v>-</v>
      </c>
    </row>
    <row r="18152">
      <c r="B18152" t="str">
        <v>Công an xã H Bông  tỉnh Gia Lai</v>
      </c>
      <c r="C18152" t="str">
        <v>-</v>
      </c>
      <c r="D18152" t="str">
        <v>-</v>
      </c>
      <c r="E18152" t="str">
        <v/>
      </c>
      <c r="F18152" t="str">
        <v>-</v>
      </c>
      <c r="G18152" t="str">
        <v>-</v>
      </c>
    </row>
    <row r="18153">
      <c r="B18153" t="str">
        <v>UBND Ủy ban nhân dân xã H Bông  tỉnh Gia Lai</v>
      </c>
      <c r="C18153" t="str">
        <v>-</v>
      </c>
      <c r="D18153" t="str">
        <v>-</v>
      </c>
      <c r="E18153" t="str">
        <v>-</v>
      </c>
      <c r="F18153" t="str">
        <v>-</v>
      </c>
      <c r="G18153" t="str">
        <v>-</v>
      </c>
    </row>
    <row r="18154">
      <c r="B18154" t="str">
        <v>Công an xã Ia Ko  tỉnh Gia Lai</v>
      </c>
      <c r="C18154" t="str">
        <v>-</v>
      </c>
      <c r="D18154" t="str">
        <v>-</v>
      </c>
      <c r="E18154" t="str">
        <v/>
      </c>
      <c r="F18154" t="str">
        <v>-</v>
      </c>
      <c r="G18154" t="str">
        <v>-</v>
      </c>
    </row>
    <row r="18155">
      <c r="B18155" t="str">
        <v>UBND Ủy ban nhân dân xã Ia Ko  tỉnh Gia Lai</v>
      </c>
      <c r="C18155" t="str">
        <v>-</v>
      </c>
      <c r="D18155" t="str">
        <v>-</v>
      </c>
      <c r="E18155" t="str">
        <v>-</v>
      </c>
      <c r="F18155" t="str">
        <v>-</v>
      </c>
      <c r="G18155" t="str">
        <v>-</v>
      </c>
    </row>
    <row r="18156">
      <c r="B18156" t="str">
        <v>Công an xã Hà Tam  tỉnh Gia Lai</v>
      </c>
      <c r="C18156" t="str">
        <v>-</v>
      </c>
      <c r="D18156" t="str">
        <v>-</v>
      </c>
      <c r="E18156" t="str">
        <v/>
      </c>
      <c r="F18156" t="str">
        <v>-</v>
      </c>
      <c r="G18156" t="str">
        <v>-</v>
      </c>
    </row>
    <row r="18157">
      <c r="B18157" t="str">
        <v>UBND Ủy ban nhân dân xã Hà Tam  tỉnh Gia Lai</v>
      </c>
      <c r="C18157" t="str">
        <v>-</v>
      </c>
      <c r="D18157" t="str">
        <v>-</v>
      </c>
      <c r="E18157" t="str">
        <v>-</v>
      </c>
      <c r="F18157" t="str">
        <v>-</v>
      </c>
      <c r="G18157" t="str">
        <v>-</v>
      </c>
    </row>
    <row r="18158">
      <c r="B18158" t="str">
        <v>Công an xã An Thành  tỉnh Gia Lai</v>
      </c>
      <c r="C18158" t="str">
        <v>-</v>
      </c>
      <c r="D18158" t="str">
        <v>-</v>
      </c>
      <c r="E18158" t="str">
        <v/>
      </c>
      <c r="F18158" t="str">
        <v>-</v>
      </c>
      <c r="G18158" t="str">
        <v>-</v>
      </c>
    </row>
    <row r="18159">
      <c r="B18159" t="str">
        <v>UBND Ủy ban nhân dân xã An Thành  tỉnh Gia Lai</v>
      </c>
      <c r="C18159" t="str">
        <v>-</v>
      </c>
      <c r="D18159" t="str">
        <v>-</v>
      </c>
      <c r="E18159" t="str">
        <v>-</v>
      </c>
      <c r="F18159" t="str">
        <v>-</v>
      </c>
      <c r="G18159" t="str">
        <v>-</v>
      </c>
    </row>
    <row r="18160">
      <c r="B18160" t="str">
        <v>Công an xã Yang Bắc  tỉnh Gia Lai</v>
      </c>
      <c r="C18160" t="str">
        <v>-</v>
      </c>
      <c r="D18160" t="str">
        <v>-</v>
      </c>
      <c r="E18160" t="str">
        <v/>
      </c>
      <c r="F18160" t="str">
        <v>-</v>
      </c>
      <c r="G18160" t="str">
        <v>-</v>
      </c>
    </row>
    <row r="18161">
      <c r="B18161" t="str">
        <v>UBND Ủy ban nhân dân xã Yang Bắc  tỉnh Gia Lai</v>
      </c>
      <c r="C18161" t="str">
        <v>-</v>
      </c>
      <c r="D18161" t="str">
        <v>-</v>
      </c>
      <c r="E18161" t="str">
        <v>-</v>
      </c>
      <c r="F18161" t="str">
        <v>-</v>
      </c>
      <c r="G18161" t="str">
        <v>-</v>
      </c>
    </row>
    <row r="18162">
      <c r="B18162" t="str">
        <v>Công an xã Cư An  tỉnh Gia Lai</v>
      </c>
      <c r="C18162" t="str">
        <v>-</v>
      </c>
      <c r="D18162" t="str">
        <v>-</v>
      </c>
      <c r="E18162" t="str">
        <v/>
      </c>
      <c r="F18162" t="str">
        <v>-</v>
      </c>
      <c r="G18162" t="str">
        <v>-</v>
      </c>
    </row>
    <row r="18163">
      <c r="B18163" t="str">
        <v>UBND Ủy ban nhân dân xã Cư An  tỉnh Gia Lai</v>
      </c>
      <c r="C18163" t="str">
        <v>-</v>
      </c>
      <c r="D18163" t="str">
        <v>-</v>
      </c>
      <c r="E18163" t="str">
        <v>-</v>
      </c>
      <c r="F18163" t="str">
        <v>-</v>
      </c>
      <c r="G18163" t="str">
        <v>-</v>
      </c>
    </row>
    <row r="18164">
      <c r="B18164" t="str">
        <v>Công an xã Tân An  tỉnh Gia Lai</v>
      </c>
      <c r="C18164" t="str">
        <v>-</v>
      </c>
      <c r="D18164" t="str">
        <v>-</v>
      </c>
      <c r="E18164" t="str">
        <v/>
      </c>
      <c r="F18164" t="str">
        <v>-</v>
      </c>
      <c r="G18164" t="str">
        <v>-</v>
      </c>
    </row>
    <row r="18165">
      <c r="B18165" t="str">
        <v>UBND Ủy ban nhân dân xã Tân An  tỉnh Gia Lai</v>
      </c>
      <c r="C18165" t="str">
        <v>-</v>
      </c>
      <c r="D18165" t="str">
        <v>-</v>
      </c>
      <c r="E18165" t="str">
        <v>-</v>
      </c>
      <c r="F18165" t="str">
        <v>-</v>
      </c>
      <c r="G18165" t="str">
        <v>-</v>
      </c>
    </row>
    <row r="18166">
      <c r="B18166" t="str">
        <v>Công an xã Phú An  tỉnh Gia Lai</v>
      </c>
      <c r="C18166" t="str">
        <v>-</v>
      </c>
      <c r="D18166" t="str">
        <v>-</v>
      </c>
      <c r="E18166" t="str">
        <v/>
      </c>
      <c r="F18166" t="str">
        <v>-</v>
      </c>
      <c r="G18166" t="str">
        <v>-</v>
      </c>
    </row>
    <row r="18167">
      <c r="B18167" t="str">
        <v>UBND Ủy ban nhân dân xã Phú An  tỉnh Gia Lai</v>
      </c>
      <c r="C18167" t="str">
        <v>-</v>
      </c>
      <c r="D18167" t="str">
        <v>-</v>
      </c>
      <c r="E18167" t="str">
        <v>-</v>
      </c>
      <c r="F18167" t="str">
        <v>-</v>
      </c>
      <c r="G18167" t="str">
        <v>-</v>
      </c>
    </row>
    <row r="18168">
      <c r="B18168" t="str">
        <v>Công an xã Ya Hội  tỉnh Gia Lai</v>
      </c>
      <c r="C18168" t="str">
        <v>-</v>
      </c>
      <c r="D18168" t="str">
        <v>-</v>
      </c>
      <c r="E18168" t="str">
        <v/>
      </c>
      <c r="F18168" t="str">
        <v>-</v>
      </c>
      <c r="G18168" t="str">
        <v>-</v>
      </c>
    </row>
    <row r="18169">
      <c r="B18169" t="str">
        <v>UBND Ủy ban nhân dân xã Ya Hội  tỉnh Gia Lai</v>
      </c>
      <c r="C18169" t="str">
        <v>-</v>
      </c>
      <c r="D18169" t="str">
        <v>-</v>
      </c>
      <c r="E18169" t="str">
        <v>-</v>
      </c>
      <c r="F18169" t="str">
        <v>-</v>
      </c>
      <c r="G18169" t="str">
        <v>-</v>
      </c>
    </row>
    <row r="18170">
      <c r="B18170" t="str">
        <v>Công an xã Pờ Tó  tỉnh Gia Lai</v>
      </c>
      <c r="C18170" t="str">
        <v>-</v>
      </c>
      <c r="D18170" t="str">
        <v>-</v>
      </c>
      <c r="E18170" t="str">
        <v/>
      </c>
      <c r="F18170" t="str">
        <v>-</v>
      </c>
      <c r="G18170" t="str">
        <v>-</v>
      </c>
    </row>
    <row r="18171">
      <c r="B18171" t="str">
        <v>UBND Ủy ban nhân dân xã Pờ Tó  tỉnh Gia Lai</v>
      </c>
      <c r="C18171" t="str">
        <v>-</v>
      </c>
      <c r="D18171" t="str">
        <v>-</v>
      </c>
      <c r="E18171" t="str">
        <v>-</v>
      </c>
      <c r="F18171" t="str">
        <v>-</v>
      </c>
      <c r="G18171" t="str">
        <v>-</v>
      </c>
    </row>
    <row r="18172">
      <c r="B18172" t="str">
        <v>Công an xã Chư Răng  tỉnh Gia Lai</v>
      </c>
      <c r="C18172" t="str">
        <v>-</v>
      </c>
      <c r="D18172" t="str">
        <v>-</v>
      </c>
      <c r="E18172" t="str">
        <v/>
      </c>
      <c r="F18172" t="str">
        <v>-</v>
      </c>
      <c r="G18172" t="str">
        <v>-</v>
      </c>
    </row>
    <row r="18173">
      <c r="B18173" t="str">
        <v>UBND Ủy ban nhân dân xã Chư Răng  tỉnh Gia Lai</v>
      </c>
      <c r="C18173" t="str">
        <v>-</v>
      </c>
      <c r="D18173" t="str">
        <v>-</v>
      </c>
      <c r="E18173" t="str">
        <v>-</v>
      </c>
      <c r="F18173" t="str">
        <v>-</v>
      </c>
      <c r="G18173" t="str">
        <v>-</v>
      </c>
    </row>
    <row r="18174">
      <c r="B18174" t="str">
        <v>Công an xã Ia KDăm  tỉnh Gia Lai</v>
      </c>
      <c r="C18174" t="str">
        <v>-</v>
      </c>
      <c r="D18174" t="str">
        <v>-</v>
      </c>
      <c r="E18174" t="str">
        <v/>
      </c>
      <c r="F18174" t="str">
        <v>-</v>
      </c>
      <c r="G18174" t="str">
        <v>-</v>
      </c>
    </row>
    <row r="18175">
      <c r="B18175" t="str">
        <v>UBND Ủy ban nhân dân xã Ia KDăm  tỉnh Gia Lai</v>
      </c>
      <c r="C18175" t="str">
        <v>-</v>
      </c>
      <c r="D18175" t="str">
        <v>-</v>
      </c>
      <c r="E18175" t="str">
        <v>-</v>
      </c>
      <c r="F18175" t="str">
        <v>-</v>
      </c>
      <c r="G18175" t="str">
        <v>-</v>
      </c>
    </row>
    <row r="18176">
      <c r="B18176" t="str">
        <v>Công an xã Kim Tân  tỉnh Gia Lai</v>
      </c>
      <c r="C18176" t="str">
        <v>-</v>
      </c>
      <c r="D18176" t="str">
        <v>-</v>
      </c>
      <c r="E18176" t="str">
        <v/>
      </c>
      <c r="F18176" t="str">
        <v>-</v>
      </c>
      <c r="G18176" t="str">
        <v>-</v>
      </c>
    </row>
    <row r="18177">
      <c r="B18177" t="str">
        <v>UBND Ủy ban nhân dân xã Kim Tân  tỉnh Gia Lai</v>
      </c>
      <c r="C18177" t="str">
        <v>-</v>
      </c>
      <c r="D18177" t="str">
        <v>-</v>
      </c>
      <c r="E18177" t="str">
        <v>-</v>
      </c>
      <c r="F18177" t="str">
        <v>-</v>
      </c>
      <c r="G18177" t="str">
        <v>-</v>
      </c>
    </row>
    <row r="18178">
      <c r="B18178" t="str">
        <v>Công an xã Chư Mố  tỉnh Gia Lai</v>
      </c>
      <c r="C18178" t="str">
        <v>-</v>
      </c>
      <c r="D18178" t="str">
        <v>-</v>
      </c>
      <c r="E18178" t="str">
        <v/>
      </c>
      <c r="F18178" t="str">
        <v>-</v>
      </c>
      <c r="G18178" t="str">
        <v>-</v>
      </c>
    </row>
    <row r="18179">
      <c r="B18179" t="str">
        <v>UBND Ủy ban nhân dân xã Chư Mố  tỉnh Gia Lai</v>
      </c>
      <c r="C18179" t="str">
        <v>-</v>
      </c>
      <c r="D18179" t="str">
        <v>-</v>
      </c>
      <c r="E18179" t="str">
        <v>-</v>
      </c>
      <c r="F18179" t="str">
        <v>-</v>
      </c>
      <c r="G18179" t="str">
        <v>-</v>
      </c>
    </row>
    <row r="18180">
      <c r="B18180" t="str">
        <v>Công an xã Ia Tul  tỉnh Gia Lai</v>
      </c>
      <c r="C18180" t="str">
        <v>-</v>
      </c>
      <c r="D18180" t="str">
        <v>-</v>
      </c>
      <c r="E18180" t="str">
        <v/>
      </c>
      <c r="F18180" t="str">
        <v>-</v>
      </c>
      <c r="G18180" t="str">
        <v>-</v>
      </c>
    </row>
    <row r="18181">
      <c r="B18181" t="str">
        <v>UBND Ủy ban nhân dân xã Ia Tul  tỉnh Gia Lai</v>
      </c>
      <c r="C18181" t="str">
        <v>-</v>
      </c>
      <c r="D18181" t="str">
        <v>-</v>
      </c>
      <c r="E18181" t="str">
        <v>-</v>
      </c>
      <c r="F18181" t="str">
        <v>-</v>
      </c>
      <c r="G18181" t="str">
        <v>-</v>
      </c>
    </row>
    <row r="18182">
      <c r="B18182" t="str">
        <v>Công an xã Ia Ma Rơn  tỉnh Gia Lai</v>
      </c>
      <c r="C18182" t="str">
        <v>-</v>
      </c>
      <c r="D18182" t="str">
        <v>-</v>
      </c>
      <c r="E18182" t="str">
        <v/>
      </c>
      <c r="F18182" t="str">
        <v>-</v>
      </c>
      <c r="G18182" t="str">
        <v>-</v>
      </c>
    </row>
    <row r="18183">
      <c r="B18183" t="str">
        <v>UBND Ủy ban nhân dân xã Ia Ma Rơn  tỉnh Gia Lai</v>
      </c>
      <c r="C18183" t="str">
        <v>-</v>
      </c>
      <c r="D18183" t="str">
        <v>-</v>
      </c>
      <c r="E18183" t="str">
        <v>-</v>
      </c>
      <c r="F18183" t="str">
        <v>-</v>
      </c>
      <c r="G18183" t="str">
        <v>-</v>
      </c>
    </row>
    <row r="18184">
      <c r="B18184" t="str">
        <v>Công an xã Ia Broăi  tỉnh Gia Lai</v>
      </c>
      <c r="C18184" t="str">
        <v>-</v>
      </c>
      <c r="D18184" t="str">
        <v>-</v>
      </c>
      <c r="E18184" t="str">
        <v/>
      </c>
      <c r="F18184" t="str">
        <v>-</v>
      </c>
      <c r="G18184" t="str">
        <v>-</v>
      </c>
    </row>
    <row r="18185">
      <c r="B18185" t="str">
        <v>UBND Ủy ban nhân dân xã Ia Broăi  tỉnh Gia Lai</v>
      </c>
      <c r="C18185" t="str">
        <v>-</v>
      </c>
      <c r="D18185" t="str">
        <v>-</v>
      </c>
      <c r="E18185" t="str">
        <v>-</v>
      </c>
      <c r="F18185" t="str">
        <v>-</v>
      </c>
      <c r="G18185" t="str">
        <v>-</v>
      </c>
    </row>
    <row r="18186">
      <c r="B18186" t="str">
        <v>Công an xã Ia Trok  tỉnh Gia Lai</v>
      </c>
      <c r="C18186" t="str">
        <v>-</v>
      </c>
      <c r="D18186" t="str">
        <v>-</v>
      </c>
      <c r="E18186" t="str">
        <v/>
      </c>
      <c r="F18186" t="str">
        <v>-</v>
      </c>
      <c r="G18186" t="str">
        <v>-</v>
      </c>
    </row>
    <row r="18187">
      <c r="B18187" t="str">
        <v>UBND Ủy ban nhân dân xã Ia Trok  tỉnh Gia Lai</v>
      </c>
      <c r="C18187" t="str">
        <v>-</v>
      </c>
      <c r="D18187" t="str">
        <v>-</v>
      </c>
      <c r="E18187" t="str">
        <v>-</v>
      </c>
      <c r="F18187" t="str">
        <v>-</v>
      </c>
      <c r="G18187" t="str">
        <v>-</v>
      </c>
    </row>
    <row r="18188">
      <c r="B18188" t="str">
        <v>Công an xã Ia RSai  tỉnh Gia Lai</v>
      </c>
      <c r="C18188" t="str">
        <v>-</v>
      </c>
      <c r="D18188" t="str">
        <v>-</v>
      </c>
      <c r="E18188" t="str">
        <v/>
      </c>
      <c r="F18188" t="str">
        <v>-</v>
      </c>
      <c r="G18188" t="str">
        <v>-</v>
      </c>
    </row>
    <row r="18189">
      <c r="B18189" t="str">
        <v>UBND Ủy ban nhân dân xã Ia RSai  tỉnh Gia Lai</v>
      </c>
      <c r="C18189" t="str">
        <v>-</v>
      </c>
      <c r="D18189" t="str">
        <v>-</v>
      </c>
      <c r="E18189" t="str">
        <v>-</v>
      </c>
      <c r="F18189" t="str">
        <v>-</v>
      </c>
      <c r="G18189" t="str">
        <v>-</v>
      </c>
    </row>
    <row r="18190">
      <c r="B18190" t="str">
        <v>Công an xã Ia RSươm  tỉnh Gia Lai</v>
      </c>
      <c r="C18190" t="str">
        <v>-</v>
      </c>
      <c r="D18190" t="str">
        <v>-</v>
      </c>
      <c r="E18190" t="str">
        <v/>
      </c>
      <c r="F18190" t="str">
        <v>-</v>
      </c>
      <c r="G18190" t="str">
        <v>-</v>
      </c>
    </row>
    <row r="18191">
      <c r="B18191" t="str">
        <v>UBND Ủy ban nhân dân xã Ia RSươm  tỉnh Gia Lai</v>
      </c>
      <c r="C18191" t="str">
        <v>-</v>
      </c>
      <c r="D18191" t="str">
        <v>-</v>
      </c>
      <c r="E18191" t="str">
        <v>-</v>
      </c>
      <c r="F18191" t="str">
        <v>-</v>
      </c>
      <c r="G18191" t="str">
        <v>-</v>
      </c>
    </row>
    <row r="18192">
      <c r="B18192" t="str">
        <v>Công an xã Chư Gu  tỉnh Gia Lai</v>
      </c>
      <c r="C18192" t="str">
        <v>-</v>
      </c>
      <c r="D18192" t="str">
        <v>-</v>
      </c>
      <c r="E18192" t="str">
        <v/>
      </c>
      <c r="F18192" t="str">
        <v>-</v>
      </c>
      <c r="G18192" t="str">
        <v>-</v>
      </c>
    </row>
    <row r="18193">
      <c r="B18193" t="str">
        <v>UBND Ủy ban nhân dân xã Chư Gu  tỉnh Gia Lai</v>
      </c>
      <c r="C18193" t="str">
        <v>-</v>
      </c>
      <c r="D18193" t="str">
        <v>-</v>
      </c>
      <c r="E18193" t="str">
        <v>-</v>
      </c>
      <c r="F18193" t="str">
        <v>-</v>
      </c>
      <c r="G18193" t="str">
        <v>-</v>
      </c>
    </row>
    <row r="18194">
      <c r="B18194" t="str">
        <v>Công an xã Đất Bằng  tỉnh Gia Lai</v>
      </c>
      <c r="C18194" t="str">
        <v>-</v>
      </c>
      <c r="D18194" t="str">
        <v>-</v>
      </c>
      <c r="E18194" t="str">
        <v/>
      </c>
      <c r="F18194" t="str">
        <v>-</v>
      </c>
      <c r="G18194" t="str">
        <v>-</v>
      </c>
    </row>
    <row r="18195">
      <c r="B18195" t="str">
        <v>UBND Ủy ban nhân dân xã Đất Bằng  tỉnh Gia Lai</v>
      </c>
      <c r="C18195" t="str">
        <v>-</v>
      </c>
      <c r="D18195" t="str">
        <v>-</v>
      </c>
      <c r="E18195" t="str">
        <v>-</v>
      </c>
      <c r="F18195" t="str">
        <v>-</v>
      </c>
      <c r="G18195" t="str">
        <v>-</v>
      </c>
    </row>
    <row r="18196">
      <c r="B18196" t="str">
        <v>Công an xã Ia Mláh  tỉnh Gia Lai</v>
      </c>
      <c r="C18196" t="str">
        <v>-</v>
      </c>
      <c r="D18196" t="str">
        <v>-</v>
      </c>
      <c r="E18196" t="str">
        <v/>
      </c>
      <c r="F18196" t="str">
        <v>-</v>
      </c>
      <c r="G18196" t="str">
        <v>-</v>
      </c>
    </row>
    <row r="18197">
      <c r="B18197" t="str">
        <v>UBND Ủy ban nhân dân xã Ia Mláh  tỉnh Gia Lai</v>
      </c>
      <c r="C18197" t="str">
        <v>-</v>
      </c>
      <c r="D18197" t="str">
        <v>-</v>
      </c>
      <c r="E18197" t="str">
        <v>-</v>
      </c>
      <c r="F18197" t="str">
        <v>-</v>
      </c>
      <c r="G18197" t="str">
        <v>-</v>
      </c>
    </row>
    <row r="18198">
      <c r="B18198" t="str">
        <v>Công an xã Chư Drăng  tỉnh Gia Lai</v>
      </c>
      <c r="C18198" t="str">
        <v>-</v>
      </c>
      <c r="D18198" t="str">
        <v>-</v>
      </c>
      <c r="E18198" t="str">
        <v/>
      </c>
      <c r="F18198" t="str">
        <v>-</v>
      </c>
      <c r="G18198" t="str">
        <v>-</v>
      </c>
    </row>
    <row r="18199">
      <c r="B18199" t="str">
        <v>UBND Ủy ban nhân dân xã Chư Drăng  tỉnh Gia Lai</v>
      </c>
      <c r="C18199" t="str">
        <v>-</v>
      </c>
      <c r="D18199" t="str">
        <v>-</v>
      </c>
      <c r="E18199" t="str">
        <v>-</v>
      </c>
      <c r="F18199" t="str">
        <v>-</v>
      </c>
      <c r="G18199" t="str">
        <v>-</v>
      </c>
    </row>
    <row r="18200">
      <c r="B18200" t="str">
        <v>Công an xã Phú Cần  tỉnh Gia Lai</v>
      </c>
      <c r="C18200" t="str">
        <v>-</v>
      </c>
      <c r="D18200" t="str">
        <v>-</v>
      </c>
      <c r="E18200" t="str">
        <v/>
      </c>
      <c r="F18200" t="str">
        <v>-</v>
      </c>
      <c r="G18200" t="str">
        <v>-</v>
      </c>
    </row>
    <row r="18201">
      <c r="B18201" t="str">
        <v>UBND Ủy ban nhân dân xã Phú Cần  tỉnh Gia Lai</v>
      </c>
      <c r="C18201" t="str">
        <v>-</v>
      </c>
      <c r="D18201" t="str">
        <v>-</v>
      </c>
      <c r="E18201" t="str">
        <v>-</v>
      </c>
      <c r="F18201" t="str">
        <v>-</v>
      </c>
      <c r="G18201" t="str">
        <v>-</v>
      </c>
    </row>
    <row r="18202">
      <c r="B18202" t="str">
        <v>Công an xã Ia HDreh  tỉnh Gia Lai</v>
      </c>
      <c r="C18202" t="str">
        <v>-</v>
      </c>
      <c r="D18202" t="str">
        <v>-</v>
      </c>
      <c r="E18202" t="str">
        <v/>
      </c>
      <c r="F18202" t="str">
        <v>-</v>
      </c>
      <c r="G18202" t="str">
        <v>-</v>
      </c>
    </row>
    <row r="18203">
      <c r="B18203" t="str">
        <v>UBND Ủy ban nhân dân xã Ia HDreh  tỉnh Gia Lai</v>
      </c>
      <c r="C18203" t="str">
        <v>-</v>
      </c>
      <c r="D18203" t="str">
        <v>-</v>
      </c>
      <c r="E18203" t="str">
        <v>-</v>
      </c>
      <c r="F18203" t="str">
        <v>-</v>
      </c>
      <c r="G18203" t="str">
        <v>-</v>
      </c>
    </row>
    <row r="18204">
      <c r="B18204" t="str">
        <v>Công an xã Ia RMok  tỉnh Gia Lai</v>
      </c>
      <c r="C18204" t="str">
        <v>-</v>
      </c>
      <c r="D18204" t="str">
        <v>-</v>
      </c>
      <c r="E18204" t="str">
        <v/>
      </c>
      <c r="F18204" t="str">
        <v>-</v>
      </c>
      <c r="G18204" t="str">
        <v>-</v>
      </c>
    </row>
    <row r="18205">
      <c r="B18205" t="str">
        <v>UBND Ủy ban nhân dân xã Ia RMok  tỉnh Gia Lai</v>
      </c>
      <c r="C18205" t="str">
        <v>-</v>
      </c>
      <c r="D18205" t="str">
        <v>-</v>
      </c>
      <c r="E18205" t="str">
        <v>-</v>
      </c>
      <c r="F18205" t="str">
        <v>-</v>
      </c>
      <c r="G18205" t="str">
        <v>-</v>
      </c>
    </row>
    <row r="18206">
      <c r="B18206" t="str">
        <v>Công an xã Chư Ngọc  tỉnh Gia Lai</v>
      </c>
      <c r="C18206" t="str">
        <v>-</v>
      </c>
      <c r="D18206" t="str">
        <v>-</v>
      </c>
      <c r="E18206" t="str">
        <v/>
      </c>
      <c r="F18206" t="str">
        <v>-</v>
      </c>
      <c r="G18206" t="str">
        <v>-</v>
      </c>
    </row>
    <row r="18207">
      <c r="B18207" t="str">
        <v>UBND Ủy ban nhân dân xã Chư Ngọc  tỉnh Gia Lai</v>
      </c>
      <c r="C18207" t="str">
        <v>-</v>
      </c>
      <c r="D18207" t="str">
        <v>-</v>
      </c>
      <c r="E18207" t="str">
        <v>-</v>
      </c>
      <c r="F18207" t="str">
        <v>-</v>
      </c>
      <c r="G18207" t="str">
        <v>-</v>
      </c>
    </row>
    <row r="18208">
      <c r="B18208" t="str">
        <v>Công an xã Uar  tỉnh Gia Lai</v>
      </c>
      <c r="C18208" t="str">
        <v>-</v>
      </c>
      <c r="D18208" t="str">
        <v>-</v>
      </c>
      <c r="E18208" t="str">
        <v/>
      </c>
      <c r="F18208" t="str">
        <v>-</v>
      </c>
      <c r="G18208" t="str">
        <v>-</v>
      </c>
    </row>
    <row r="18209">
      <c r="B18209" t="str">
        <v>UBND Ủy ban nhân dân xã Uar  tỉnh Gia Lai</v>
      </c>
      <c r="C18209" t="str">
        <v>-</v>
      </c>
      <c r="D18209" t="str">
        <v>-</v>
      </c>
      <c r="E18209" t="str">
        <v>-</v>
      </c>
      <c r="F18209" t="str">
        <v>-</v>
      </c>
      <c r="G18209" t="str">
        <v>-</v>
      </c>
    </row>
    <row r="18210">
      <c r="B18210" t="str">
        <v>Công an xã Chư Rcăm  tỉnh Gia Lai</v>
      </c>
      <c r="C18210" t="str">
        <v>-</v>
      </c>
      <c r="D18210" t="str">
        <v>-</v>
      </c>
      <c r="E18210" t="str">
        <v/>
      </c>
      <c r="F18210" t="str">
        <v>-</v>
      </c>
      <c r="G18210" t="str">
        <v>-</v>
      </c>
    </row>
    <row r="18211">
      <c r="B18211" t="str">
        <v>UBND Ủy ban nhân dân xã Chư Rcăm  tỉnh Gia Lai</v>
      </c>
      <c r="C18211" t="str">
        <v>-</v>
      </c>
      <c r="D18211" t="str">
        <v>-</v>
      </c>
      <c r="E18211" t="str">
        <v>-</v>
      </c>
      <c r="F18211" t="str">
        <v>-</v>
      </c>
      <c r="G18211" t="str">
        <v>-</v>
      </c>
    </row>
    <row r="18212">
      <c r="B18212" t="str">
        <v>Công an xã Krông Năng  tỉnh Gia Lai</v>
      </c>
      <c r="C18212" t="str">
        <v>-</v>
      </c>
      <c r="D18212" t="str">
        <v>-</v>
      </c>
      <c r="E18212" t="str">
        <v/>
      </c>
      <c r="F18212" t="str">
        <v>-</v>
      </c>
      <c r="G18212" t="str">
        <v>-</v>
      </c>
    </row>
    <row r="18213">
      <c r="B18213" t="str">
        <v>UBND Ủy ban nhân dân xã Krông Năng  tỉnh Gia Lai</v>
      </c>
      <c r="C18213" t="str">
        <v>-</v>
      </c>
      <c r="D18213" t="str">
        <v>-</v>
      </c>
      <c r="E18213" t="str">
        <v>-</v>
      </c>
      <c r="F18213" t="str">
        <v>-</v>
      </c>
      <c r="G18213" t="str">
        <v>-</v>
      </c>
    </row>
    <row r="18214">
      <c r="B18214" t="str">
        <v>Công an xã Chư A Thai  tỉnh Gia Lai</v>
      </c>
      <c r="C18214" t="str">
        <v>-</v>
      </c>
      <c r="D18214" t="str">
        <v>-</v>
      </c>
      <c r="E18214" t="str">
        <v/>
      </c>
      <c r="F18214" t="str">
        <v>-</v>
      </c>
      <c r="G18214" t="str">
        <v>-</v>
      </c>
    </row>
    <row r="18215">
      <c r="B18215" t="str">
        <v>UBND Ủy ban nhân dân xã Chư A Thai  tỉnh Gia Lai</v>
      </c>
      <c r="C18215" t="str">
        <v>-</v>
      </c>
      <c r="D18215" t="str">
        <v>-</v>
      </c>
      <c r="E18215" t="str">
        <v>-</v>
      </c>
      <c r="F18215" t="str">
        <v>-</v>
      </c>
      <c r="G18215" t="str">
        <v>-</v>
      </c>
    </row>
    <row r="18216">
      <c r="B18216" t="str">
        <v>Công an xã Ayun Hạ  tỉnh Gia Lai</v>
      </c>
      <c r="C18216" t="str">
        <v>-</v>
      </c>
      <c r="D18216" t="str">
        <v>-</v>
      </c>
      <c r="E18216" t="str">
        <v/>
      </c>
      <c r="F18216" t="str">
        <v>-</v>
      </c>
      <c r="G18216" t="str">
        <v>-</v>
      </c>
    </row>
    <row r="18217">
      <c r="B18217" t="str">
        <v>UBND Ủy ban nhân dân xã Ayun Hạ  tỉnh Gia Lai</v>
      </c>
      <c r="C18217" t="str">
        <v>-</v>
      </c>
      <c r="D18217" t="str">
        <v>-</v>
      </c>
      <c r="E18217" t="str">
        <v>-</v>
      </c>
      <c r="F18217" t="str">
        <v>-</v>
      </c>
      <c r="G18217" t="str">
        <v>-</v>
      </c>
    </row>
    <row r="18218">
      <c r="B18218" t="str">
        <v>Công an xã Ia Ake  tỉnh Gia Lai</v>
      </c>
      <c r="C18218" t="str">
        <v>-</v>
      </c>
      <c r="D18218" t="str">
        <v>-</v>
      </c>
      <c r="E18218" t="str">
        <v/>
      </c>
      <c r="F18218" t="str">
        <v>-</v>
      </c>
      <c r="G18218" t="str">
        <v>-</v>
      </c>
    </row>
    <row r="18219">
      <c r="B18219" t="str">
        <v>UBND Ủy ban nhân dân xã Ia Ake  tỉnh Gia Lai</v>
      </c>
      <c r="C18219" t="str">
        <v>-</v>
      </c>
      <c r="D18219" t="str">
        <v>-</v>
      </c>
      <c r="E18219" t="str">
        <v>-</v>
      </c>
      <c r="F18219" t="str">
        <v>-</v>
      </c>
      <c r="G18219" t="str">
        <v>-</v>
      </c>
    </row>
    <row r="18220">
      <c r="B18220" t="str">
        <v>Công an xã Ia Sol  tỉnh Gia Lai</v>
      </c>
      <c r="C18220" t="str">
        <v>-</v>
      </c>
      <c r="D18220" t="str">
        <v>-</v>
      </c>
      <c r="E18220" t="str">
        <v/>
      </c>
      <c r="F18220" t="str">
        <v>-</v>
      </c>
      <c r="G18220" t="str">
        <v>-</v>
      </c>
    </row>
    <row r="18221">
      <c r="B18221" t="str">
        <v>UBND Ủy ban nhân dân xã Ia Sol  tỉnh Gia Lai</v>
      </c>
      <c r="C18221" t="str">
        <v>-</v>
      </c>
      <c r="D18221" t="str">
        <v>-</v>
      </c>
      <c r="E18221" t="str">
        <v>-</v>
      </c>
      <c r="F18221" t="str">
        <v>-</v>
      </c>
      <c r="G18221" t="str">
        <v>-</v>
      </c>
    </row>
    <row r="18222">
      <c r="B18222" t="str">
        <v>Công an xã Ia Piar  tỉnh Gia Lai</v>
      </c>
      <c r="C18222" t="str">
        <v>-</v>
      </c>
      <c r="D18222" t="str">
        <v>-</v>
      </c>
      <c r="E18222" t="str">
        <v/>
      </c>
      <c r="F18222" t="str">
        <v>-</v>
      </c>
      <c r="G18222" t="str">
        <v>-</v>
      </c>
    </row>
    <row r="18223">
      <c r="B18223" t="str">
        <v>UBND Ủy ban nhân dân xã Ia Piar  tỉnh Gia Lai</v>
      </c>
      <c r="C18223" t="str">
        <v>-</v>
      </c>
      <c r="D18223" t="str">
        <v>-</v>
      </c>
      <c r="E18223" t="str">
        <v>-</v>
      </c>
      <c r="F18223" t="str">
        <v>-</v>
      </c>
      <c r="G18223" t="str">
        <v>-</v>
      </c>
    </row>
    <row r="18224">
      <c r="B18224" t="str">
        <v>Công an xã Ia Peng  tỉnh Gia Lai</v>
      </c>
      <c r="C18224" t="str">
        <v>-</v>
      </c>
      <c r="D18224" t="str">
        <v>-</v>
      </c>
      <c r="E18224" t="str">
        <v/>
      </c>
      <c r="F18224" t="str">
        <v>-</v>
      </c>
      <c r="G18224" t="str">
        <v>-</v>
      </c>
    </row>
    <row r="18225">
      <c r="B18225" t="str">
        <v>UBND Ủy ban nhân dân xã Ia Peng  tỉnh Gia Lai</v>
      </c>
      <c r="C18225" t="str">
        <v>-</v>
      </c>
      <c r="D18225" t="str">
        <v>-</v>
      </c>
      <c r="E18225" t="str">
        <v>-</v>
      </c>
      <c r="F18225" t="str">
        <v>-</v>
      </c>
      <c r="G18225" t="str">
        <v>-</v>
      </c>
    </row>
    <row r="18226">
      <c r="B18226" t="str">
        <v>Công an xã Chrôh Pơnan  tỉnh Gia Lai</v>
      </c>
      <c r="C18226" t="str">
        <v>-</v>
      </c>
      <c r="D18226" t="str">
        <v>-</v>
      </c>
      <c r="E18226" t="str">
        <v/>
      </c>
      <c r="F18226" t="str">
        <v>-</v>
      </c>
      <c r="G18226" t="str">
        <v>-</v>
      </c>
    </row>
    <row r="18227">
      <c r="B18227" t="str">
        <v>UBND Ủy ban nhân dân xã Chrôh Pơnan  tỉnh Gia Lai</v>
      </c>
      <c r="C18227" t="str">
        <v>-</v>
      </c>
      <c r="D18227" t="str">
        <v>-</v>
      </c>
      <c r="E18227" t="str">
        <v>-</v>
      </c>
      <c r="F18227" t="str">
        <v>-</v>
      </c>
      <c r="G18227" t="str">
        <v>-</v>
      </c>
    </row>
    <row r="18228">
      <c r="B18228" t="str">
        <v>Công an xã Ia Hiao  tỉnh Gia Lai</v>
      </c>
      <c r="C18228" t="str">
        <v>-</v>
      </c>
      <c r="D18228" t="str">
        <v>-</v>
      </c>
      <c r="E18228" t="str">
        <v/>
      </c>
      <c r="F18228" t="str">
        <v>-</v>
      </c>
      <c r="G18228" t="str">
        <v>-</v>
      </c>
    </row>
    <row r="18229">
      <c r="B18229" t="str">
        <v>UBND Ủy ban nhân dân xã Ia Hiao  tỉnh Gia Lai</v>
      </c>
      <c r="C18229" t="str">
        <v>-</v>
      </c>
      <c r="D18229" t="str">
        <v>-</v>
      </c>
      <c r="E18229" t="str">
        <v>-</v>
      </c>
      <c r="F18229" t="str">
        <v>-</v>
      </c>
      <c r="G18229" t="str">
        <v>-</v>
      </c>
    </row>
    <row r="18230">
      <c r="B18230" t="str">
        <v>Công an xã Ia Yeng  tỉnh Gia Lai</v>
      </c>
      <c r="C18230" t="str">
        <v>-</v>
      </c>
      <c r="D18230" t="str">
        <v>-</v>
      </c>
      <c r="E18230" t="str">
        <v/>
      </c>
      <c r="F18230" t="str">
        <v>-</v>
      </c>
      <c r="G18230" t="str">
        <v>-</v>
      </c>
    </row>
    <row r="18231">
      <c r="B18231" t="str">
        <v>UBND Ủy ban nhân dân xã Ia Yeng  tỉnh Gia Lai</v>
      </c>
      <c r="C18231" t="str">
        <v>-</v>
      </c>
      <c r="D18231" t="str">
        <v>-</v>
      </c>
      <c r="E18231" t="str">
        <v>-</v>
      </c>
      <c r="F18231" t="str">
        <v>-</v>
      </c>
      <c r="G18231" t="str">
        <v>-</v>
      </c>
    </row>
    <row r="18232">
      <c r="B18232" t="str">
        <v>Công an xã Ia Hrú  tỉnh Gia Lai</v>
      </c>
      <c r="C18232" t="str">
        <v>-</v>
      </c>
      <c r="D18232" t="str">
        <v>-</v>
      </c>
      <c r="E18232" t="str">
        <v/>
      </c>
      <c r="F18232" t="str">
        <v>-</v>
      </c>
      <c r="G18232" t="str">
        <v>-</v>
      </c>
    </row>
    <row r="18233">
      <c r="B18233" t="str">
        <v>UBND Ủy ban nhân dân xã Ia Hrú  tỉnh Gia Lai</v>
      </c>
      <c r="C18233" t="str">
        <v>-</v>
      </c>
      <c r="D18233" t="str">
        <v>-</v>
      </c>
      <c r="E18233" t="str">
        <v>-</v>
      </c>
      <c r="F18233" t="str">
        <v>-</v>
      </c>
      <c r="G18233" t="str">
        <v>-</v>
      </c>
    </row>
    <row r="18234">
      <c r="B18234" t="str">
        <v>Công an xã Ia Rong  tỉnh Gia Lai</v>
      </c>
      <c r="C18234" t="str">
        <v>-</v>
      </c>
      <c r="D18234" t="str">
        <v>-</v>
      </c>
      <c r="E18234" t="str">
        <v/>
      </c>
      <c r="F18234" t="str">
        <v>-</v>
      </c>
      <c r="G18234" t="str">
        <v>-</v>
      </c>
    </row>
    <row r="18235">
      <c r="B18235" t="str">
        <v>UBND Ủy ban nhân dân xã Ia Rong  tỉnh Gia Lai</v>
      </c>
      <c r="C18235" t="str">
        <v>-</v>
      </c>
      <c r="D18235" t="str">
        <v>-</v>
      </c>
      <c r="E18235" t="str">
        <v>-</v>
      </c>
      <c r="F18235" t="str">
        <v>-</v>
      </c>
      <c r="G18235" t="str">
        <v>-</v>
      </c>
    </row>
    <row r="18236">
      <c r="B18236" t="str">
        <v>Công an xã Ia Dreng  tỉnh Gia Lai</v>
      </c>
      <c r="C18236" t="str">
        <v>-</v>
      </c>
      <c r="D18236" t="str">
        <v>-</v>
      </c>
      <c r="E18236" t="str">
        <v/>
      </c>
      <c r="F18236" t="str">
        <v>-</v>
      </c>
      <c r="G18236" t="str">
        <v>-</v>
      </c>
    </row>
    <row r="18237">
      <c r="B18237" t="str">
        <v>UBND Ủy ban nhân dân xã Ia Dreng  tỉnh Gia Lai</v>
      </c>
      <c r="C18237" t="str">
        <v>-</v>
      </c>
      <c r="D18237" t="str">
        <v>-</v>
      </c>
      <c r="E18237" t="str">
        <v>-</v>
      </c>
      <c r="F18237" t="str">
        <v>-</v>
      </c>
      <c r="G18237" t="str">
        <v>-</v>
      </c>
    </row>
    <row r="18238">
      <c r="B18238" t="str">
        <v>Công an xã Ia Hla  tỉnh Gia Lai</v>
      </c>
      <c r="C18238" t="str">
        <v>-</v>
      </c>
      <c r="D18238" t="str">
        <v>-</v>
      </c>
      <c r="E18238" t="str">
        <v/>
      </c>
      <c r="F18238" t="str">
        <v>-</v>
      </c>
      <c r="G18238" t="str">
        <v>-</v>
      </c>
    </row>
    <row r="18239">
      <c r="B18239" t="str">
        <v>UBND Ủy ban nhân dân xã Ia Hla  tỉnh Gia Lai</v>
      </c>
      <c r="C18239" t="str">
        <v>-</v>
      </c>
      <c r="D18239" t="str">
        <v>-</v>
      </c>
      <c r="E18239" t="str">
        <v>-</v>
      </c>
      <c r="F18239" t="str">
        <v>-</v>
      </c>
      <c r="G18239" t="str">
        <v>-</v>
      </c>
    </row>
    <row r="18240">
      <c r="B18240" t="str">
        <v>Công an xã Chư Don  tỉnh Gia Lai</v>
      </c>
      <c r="C18240" t="str">
        <v>-</v>
      </c>
      <c r="D18240" t="str">
        <v>-</v>
      </c>
      <c r="E18240" t="str">
        <v/>
      </c>
      <c r="F18240" t="str">
        <v>-</v>
      </c>
      <c r="G18240" t="str">
        <v>-</v>
      </c>
    </row>
    <row r="18241">
      <c r="B18241" t="str">
        <v>UBND Ủy ban nhân dân xã Chư Don  tỉnh Gia Lai</v>
      </c>
      <c r="C18241" t="str">
        <v>-</v>
      </c>
      <c r="D18241" t="str">
        <v>-</v>
      </c>
      <c r="E18241" t="str">
        <v>-</v>
      </c>
      <c r="F18241" t="str">
        <v>-</v>
      </c>
      <c r="G18241" t="str">
        <v>-</v>
      </c>
    </row>
    <row r="18242">
      <c r="B18242" t="str">
        <v>Công an xã Ia Phang  tỉnh Gia Lai</v>
      </c>
      <c r="C18242" t="str">
        <v>-</v>
      </c>
      <c r="D18242" t="str">
        <v>-</v>
      </c>
      <c r="E18242" t="str">
        <v/>
      </c>
      <c r="F18242" t="str">
        <v>-</v>
      </c>
      <c r="G18242" t="str">
        <v>-</v>
      </c>
    </row>
    <row r="18243">
      <c r="B18243" t="str">
        <v>UBND Ủy ban nhân dân xã Ia Phang  tỉnh Gia Lai</v>
      </c>
      <c r="C18243" t="str">
        <v>-</v>
      </c>
      <c r="D18243" t="str">
        <v>-</v>
      </c>
      <c r="E18243" t="str">
        <v>-</v>
      </c>
      <c r="F18243" t="str">
        <v>-</v>
      </c>
      <c r="G18243" t="str">
        <v>-</v>
      </c>
    </row>
    <row r="18244">
      <c r="B18244" t="str">
        <v>Công an xã Ia Le  tỉnh Gia Lai</v>
      </c>
      <c r="C18244" t="str">
        <v>-</v>
      </c>
      <c r="D18244" t="str">
        <v>-</v>
      </c>
      <c r="E18244" t="str">
        <v/>
      </c>
      <c r="F18244" t="str">
        <v>-</v>
      </c>
      <c r="G18244" t="str">
        <v>-</v>
      </c>
    </row>
    <row r="18245">
      <c r="B18245" t="str">
        <v>UBND Ủy ban nhân dân xã Ia Le  tỉnh Gia Lai</v>
      </c>
      <c r="C18245" t="str">
        <v>-</v>
      </c>
      <c r="D18245" t="str">
        <v>-</v>
      </c>
      <c r="E18245" t="str">
        <v>-</v>
      </c>
      <c r="F18245" t="str">
        <v>-</v>
      </c>
      <c r="G18245" t="str">
        <v>-</v>
      </c>
    </row>
    <row r="18246">
      <c r="B18246" t="str">
        <v>Công an xã Ia BLứ  tỉnh Gia Lai</v>
      </c>
      <c r="C18246" t="str">
        <v>-</v>
      </c>
      <c r="D18246" t="str">
        <v>-</v>
      </c>
      <c r="E18246" t="str">
        <v/>
      </c>
      <c r="F18246" t="str">
        <v>-</v>
      </c>
      <c r="G18246" t="str">
        <v>-</v>
      </c>
    </row>
    <row r="18247">
      <c r="B18247" t="str">
        <v>UBND Ủy ban nhân dân xã Ia BLứ  tỉnh Gia Lai</v>
      </c>
      <c r="C18247" t="str">
        <v>-</v>
      </c>
      <c r="D18247" t="str">
        <v>-</v>
      </c>
      <c r="E18247" t="str">
        <v>-</v>
      </c>
      <c r="F18247" t="str">
        <v>-</v>
      </c>
      <c r="G18247" t="str">
        <v>-</v>
      </c>
    </row>
    <row r="18248">
      <c r="B18248" t="str">
        <v>Công an phường Tân Lập  tỉnh Đắk Lắk</v>
      </c>
      <c r="C18248" t="str">
        <v>-</v>
      </c>
      <c r="D18248" t="str">
        <v>-</v>
      </c>
      <c r="E18248" t="str">
        <v/>
      </c>
      <c r="F18248" t="str">
        <v>-</v>
      </c>
      <c r="G18248" t="str">
        <v>-</v>
      </c>
    </row>
    <row r="18249">
      <c r="B18249" t="str">
        <v>UBND Ủy ban nhân dân phường Tân Lập  tỉnh Đắk Lắk</v>
      </c>
      <c r="C18249" t="str">
        <v>-</v>
      </c>
      <c r="D18249" t="str">
        <v>-</v>
      </c>
      <c r="E18249" t="str">
        <v>-</v>
      </c>
      <c r="F18249" t="str">
        <v>-</v>
      </c>
      <c r="G18249" t="str">
        <v>-</v>
      </c>
    </row>
    <row r="18250">
      <c r="B18250" t="str">
        <v>Công an phường Tân Hòa  tỉnh Đắk Lắk</v>
      </c>
      <c r="C18250" t="str">
        <v>-</v>
      </c>
      <c r="D18250" t="str">
        <v>-</v>
      </c>
      <c r="E18250" t="str">
        <v/>
      </c>
      <c r="F18250" t="str">
        <v>-</v>
      </c>
      <c r="G18250" t="str">
        <v>-</v>
      </c>
    </row>
    <row r="18251">
      <c r="B18251" t="str">
        <v>UBND Ủy ban nhân dân phường Tân Hòa  tỉnh Đắk Lắk</v>
      </c>
      <c r="C18251" t="str">
        <v>-</v>
      </c>
      <c r="D18251" t="str">
        <v>-</v>
      </c>
      <c r="E18251" t="str">
        <v>-</v>
      </c>
      <c r="F18251" t="str">
        <v>-</v>
      </c>
      <c r="G18251" t="str">
        <v>-</v>
      </c>
    </row>
    <row r="18252">
      <c r="B18252" t="str">
        <v>Công an phường Tân An  tỉnh Đắk Lắk</v>
      </c>
      <c r="C18252" t="str">
        <v>-</v>
      </c>
      <c r="D18252" t="str">
        <v>-</v>
      </c>
      <c r="E18252" t="str">
        <v/>
      </c>
      <c r="F18252" t="str">
        <v>-</v>
      </c>
      <c r="G18252" t="str">
        <v>-</v>
      </c>
    </row>
    <row r="18253">
      <c r="B18253" t="str">
        <v>UBND Ủy ban nhân dân phường Tân An  tỉnh Đắk Lắk</v>
      </c>
      <c r="C18253" t="str">
        <v>-</v>
      </c>
      <c r="D18253" t="str">
        <v>-</v>
      </c>
      <c r="E18253" t="str">
        <v>-</v>
      </c>
      <c r="F18253" t="str">
        <v>-</v>
      </c>
      <c r="G18253" t="str">
        <v>-</v>
      </c>
    </row>
    <row r="18254">
      <c r="B18254" t="str">
        <v>Công an phường Thống Nhất  tỉnh Đắk Lắk</v>
      </c>
      <c r="C18254" t="str">
        <v>-</v>
      </c>
      <c r="D18254" t="str">
        <v>-</v>
      </c>
      <c r="E18254" t="str">
        <v/>
      </c>
      <c r="F18254" t="str">
        <v>-</v>
      </c>
      <c r="G18254" t="str">
        <v>-</v>
      </c>
    </row>
    <row r="18255">
      <c r="B18255" t="str">
        <v>UBND Ủy ban nhân dân phường Thống Nhất  tỉnh Đắk Lắk</v>
      </c>
      <c r="C18255" t="str">
        <v>-</v>
      </c>
      <c r="D18255" t="str">
        <v>-</v>
      </c>
      <c r="E18255" t="str">
        <v>-</v>
      </c>
      <c r="F18255" t="str">
        <v>-</v>
      </c>
      <c r="G18255" t="str">
        <v>-</v>
      </c>
    </row>
    <row r="18256">
      <c r="B18256" t="str">
        <v>Công an phường Thành Nhất  tỉnh Đắk Lắk</v>
      </c>
      <c r="C18256" t="str">
        <v>-</v>
      </c>
      <c r="D18256" t="str">
        <v>-</v>
      </c>
      <c r="E18256" t="str">
        <v/>
      </c>
      <c r="F18256" t="str">
        <v>-</v>
      </c>
      <c r="G18256" t="str">
        <v>-</v>
      </c>
    </row>
    <row r="18257">
      <c r="B18257" t="str">
        <v>UBND Ủy ban nhân dân phường Thành Nhất  tỉnh Đắk Lắk</v>
      </c>
      <c r="C18257" t="str">
        <v>-</v>
      </c>
      <c r="D18257" t="str">
        <v>-</v>
      </c>
      <c r="E18257" t="str">
        <v>-</v>
      </c>
      <c r="F18257" t="str">
        <v>-</v>
      </c>
      <c r="G18257" t="str">
        <v>-</v>
      </c>
    </row>
    <row r="18258">
      <c r="B18258" t="str">
        <v>Công an phường Thắng Lợi  tỉnh Đắk Lắk</v>
      </c>
      <c r="C18258" t="str">
        <v>-</v>
      </c>
      <c r="D18258" t="str">
        <v>-</v>
      </c>
      <c r="E18258" t="str">
        <v/>
      </c>
      <c r="F18258" t="str">
        <v>-</v>
      </c>
      <c r="G18258" t="str">
        <v>-</v>
      </c>
    </row>
    <row r="18259">
      <c r="B18259" t="str">
        <v>UBND Ủy ban nhân dân phường Thắng Lợi  tỉnh Đắk Lắk</v>
      </c>
      <c r="C18259" t="str">
        <v>-</v>
      </c>
      <c r="D18259" t="str">
        <v>-</v>
      </c>
      <c r="E18259" t="str">
        <v>-</v>
      </c>
      <c r="F18259" t="str">
        <v>-</v>
      </c>
      <c r="G18259" t="str">
        <v>-</v>
      </c>
    </row>
    <row r="18260">
      <c r="B18260" t="str">
        <v>Công an phường Tân Lợi  tỉnh Đắk Lắk</v>
      </c>
      <c r="C18260" t="str">
        <v>-</v>
      </c>
      <c r="D18260" t="str">
        <v>-</v>
      </c>
      <c r="E18260" t="str">
        <v/>
      </c>
      <c r="F18260" t="str">
        <v>-</v>
      </c>
      <c r="G18260" t="str">
        <v>-</v>
      </c>
    </row>
    <row r="18261">
      <c r="B18261" t="str">
        <v>UBND Ủy ban nhân dân phường Tân Lợi  tỉnh Đắk Lắk</v>
      </c>
      <c r="C18261" t="str">
        <v>-</v>
      </c>
      <c r="D18261" t="str">
        <v>-</v>
      </c>
      <c r="E18261" t="str">
        <v>-</v>
      </c>
      <c r="F18261" t="str">
        <v>-</v>
      </c>
      <c r="G18261" t="str">
        <v>-</v>
      </c>
    </row>
    <row r="18262">
      <c r="B18262" t="str">
        <v>Công an phường Thành Công  tỉnh Đắk Lắk</v>
      </c>
      <c r="C18262" t="str">
        <v>-</v>
      </c>
      <c r="D18262" t="str">
        <v>-</v>
      </c>
      <c r="E18262" t="str">
        <v/>
      </c>
      <c r="F18262" t="str">
        <v>-</v>
      </c>
      <c r="G18262" t="str">
        <v>-</v>
      </c>
    </row>
    <row r="18263">
      <c r="B18263" t="str">
        <v>UBND Ủy ban nhân dân phường Thành Công  tỉnh Đắk Lắk</v>
      </c>
      <c r="C18263" t="str">
        <v>-</v>
      </c>
      <c r="D18263" t="str">
        <v>-</v>
      </c>
      <c r="E18263" t="str">
        <v>-</v>
      </c>
      <c r="F18263" t="str">
        <v>-</v>
      </c>
      <c r="G18263" t="str">
        <v>-</v>
      </c>
    </row>
    <row r="18264">
      <c r="B18264" t="str">
        <v>Công an phường Tân Thành  tỉnh Đắk Lắk</v>
      </c>
      <c r="C18264" t="str">
        <v>-</v>
      </c>
      <c r="D18264" t="str">
        <v>-</v>
      </c>
      <c r="E18264" t="str">
        <v/>
      </c>
      <c r="F18264" t="str">
        <v>-</v>
      </c>
      <c r="G18264" t="str">
        <v>-</v>
      </c>
    </row>
    <row r="18265">
      <c r="B18265" t="str">
        <v>UBND Ủy ban nhân dân phường Tân Thành  tỉnh Đắk Lắk</v>
      </c>
      <c r="C18265" t="str">
        <v>-</v>
      </c>
      <c r="D18265" t="str">
        <v>-</v>
      </c>
      <c r="E18265" t="str">
        <v>-</v>
      </c>
      <c r="F18265" t="str">
        <v>-</v>
      </c>
      <c r="G18265" t="str">
        <v>-</v>
      </c>
    </row>
    <row r="18266">
      <c r="B18266" t="str">
        <v>Công an phường Tân Tiến  tỉnh Đắk Lắk</v>
      </c>
      <c r="C18266" t="str">
        <v>-</v>
      </c>
      <c r="D18266" t="str">
        <v>-</v>
      </c>
      <c r="E18266" t="str">
        <v/>
      </c>
      <c r="F18266" t="str">
        <v>-</v>
      </c>
      <c r="G18266" t="str">
        <v>-</v>
      </c>
    </row>
    <row r="18267">
      <c r="B18267" t="str">
        <v>UBND Ủy ban nhân dân phường Tân Tiến  tỉnh Đắk Lắk</v>
      </c>
      <c r="C18267" t="str">
        <v>-</v>
      </c>
      <c r="D18267" t="str">
        <v>-</v>
      </c>
      <c r="E18267" t="str">
        <v>-</v>
      </c>
      <c r="F18267" t="str">
        <v>-</v>
      </c>
      <c r="G18267" t="str">
        <v>-</v>
      </c>
    </row>
    <row r="18268">
      <c r="B18268" t="str">
        <v>Công an phường Tự An  tỉnh Đắk Lắk</v>
      </c>
      <c r="C18268" t="str">
        <v>-</v>
      </c>
      <c r="D18268" t="str">
        <v>-</v>
      </c>
      <c r="E18268" t="str">
        <v/>
      </c>
      <c r="F18268" t="str">
        <v>-</v>
      </c>
      <c r="G18268" t="str">
        <v>-</v>
      </c>
    </row>
    <row r="18269">
      <c r="B18269" t="str">
        <v>UBND Ủy ban nhân dân phường Tự An  tỉnh Đắk Lắk</v>
      </c>
      <c r="C18269" t="str">
        <v>-</v>
      </c>
      <c r="D18269" t="str">
        <v>-</v>
      </c>
      <c r="E18269" t="str">
        <v>-</v>
      </c>
      <c r="F18269" t="str">
        <v>-</v>
      </c>
      <c r="G18269" t="str">
        <v>-</v>
      </c>
    </row>
    <row r="18270">
      <c r="B18270" t="str">
        <v>Công an phường Ea Tam  tỉnh Đắk Lắk</v>
      </c>
      <c r="C18270" t="str">
        <v>-</v>
      </c>
      <c r="D18270" t="str">
        <v>-</v>
      </c>
      <c r="E18270" t="str">
        <v/>
      </c>
      <c r="F18270" t="str">
        <v>-</v>
      </c>
      <c r="G18270" t="str">
        <v>-</v>
      </c>
    </row>
    <row r="18271">
      <c r="B18271" t="str">
        <v>UBND Ủy ban nhân dân phường Ea Tam  tỉnh Đắk Lắk</v>
      </c>
      <c r="C18271" t="str">
        <v>-</v>
      </c>
      <c r="D18271" t="str">
        <v>-</v>
      </c>
      <c r="E18271" t="str">
        <v>-</v>
      </c>
      <c r="F18271" t="str">
        <v>-</v>
      </c>
      <c r="G18271" t="str">
        <v>-</v>
      </c>
    </row>
    <row r="18272">
      <c r="B18272" t="str">
        <v>Công an phường Khánh Xuân  tỉnh Đắk Lắk</v>
      </c>
      <c r="C18272" t="str">
        <v>-</v>
      </c>
      <c r="D18272" t="str">
        <v>-</v>
      </c>
      <c r="E18272" t="str">
        <v/>
      </c>
      <c r="F18272" t="str">
        <v>-</v>
      </c>
      <c r="G18272" t="str">
        <v>-</v>
      </c>
    </row>
    <row r="18273">
      <c r="B18273" t="str">
        <v>UBND Ủy ban nhân dân phường Khánh Xuân  tỉnh Đắk Lắk</v>
      </c>
      <c r="C18273" t="str">
        <v>-</v>
      </c>
      <c r="D18273" t="str">
        <v>-</v>
      </c>
      <c r="E18273" t="str">
        <v>-</v>
      </c>
      <c r="F18273" t="str">
        <v>-</v>
      </c>
      <c r="G18273" t="str">
        <v>-</v>
      </c>
    </row>
    <row r="18274">
      <c r="B18274" t="str">
        <v>Công an xã Hòa Thuận  tỉnh Đắk Lắk</v>
      </c>
      <c r="C18274" t="str">
        <v>-</v>
      </c>
      <c r="D18274" t="str">
        <v>-</v>
      </c>
      <c r="E18274" t="str">
        <v/>
      </c>
      <c r="F18274" t="str">
        <v>-</v>
      </c>
      <c r="G18274" t="str">
        <v>-</v>
      </c>
    </row>
    <row r="18275">
      <c r="B18275" t="str">
        <v>UBND Ủy ban nhân dân xã Hòa Thuận  tỉnh Đắk Lắk</v>
      </c>
      <c r="C18275" t="str">
        <v>-</v>
      </c>
      <c r="D18275" t="str">
        <v>-</v>
      </c>
      <c r="E18275" t="str">
        <v>-</v>
      </c>
      <c r="F18275" t="str">
        <v>-</v>
      </c>
      <c r="G18275" t="str">
        <v>-</v>
      </c>
    </row>
    <row r="18276">
      <c r="B18276" t="str">
        <v>Công an xã Cư ÊBur  tỉnh Đắk Lắk</v>
      </c>
      <c r="C18276" t="str">
        <v>-</v>
      </c>
      <c r="D18276" t="str">
        <v>-</v>
      </c>
      <c r="E18276" t="str">
        <v/>
      </c>
      <c r="F18276" t="str">
        <v>-</v>
      </c>
      <c r="G18276" t="str">
        <v>-</v>
      </c>
    </row>
    <row r="18277">
      <c r="B18277" t="str">
        <v>UBND Ủy ban nhân dân xã Cư ÊBur  tỉnh Đắk Lắk</v>
      </c>
      <c r="C18277" t="str">
        <v>-</v>
      </c>
      <c r="D18277" t="str">
        <v>-</v>
      </c>
      <c r="E18277" t="str">
        <v>-</v>
      </c>
      <c r="F18277" t="str">
        <v>-</v>
      </c>
      <c r="G18277" t="str">
        <v>-</v>
      </c>
    </row>
    <row r="18278">
      <c r="B18278" t="str">
        <v>Công an xã Ea Tu  tỉnh Đắk Lắk</v>
      </c>
      <c r="C18278" t="str">
        <v>-</v>
      </c>
      <c r="D18278" t="str">
        <v>-</v>
      </c>
      <c r="E18278" t="str">
        <v/>
      </c>
      <c r="F18278" t="str">
        <v>-</v>
      </c>
      <c r="G18278" t="str">
        <v>-</v>
      </c>
    </row>
    <row r="18279">
      <c r="B18279" t="str">
        <v>UBND Ủy ban nhân dân xã Ea Tu  tỉnh Đắk Lắk</v>
      </c>
      <c r="C18279" t="str">
        <v>-</v>
      </c>
      <c r="D18279" t="str">
        <v>-</v>
      </c>
      <c r="E18279" t="str">
        <v>-</v>
      </c>
      <c r="F18279" t="str">
        <v>-</v>
      </c>
      <c r="G18279" t="str">
        <v>-</v>
      </c>
    </row>
    <row r="18280">
      <c r="B18280" t="str">
        <v>Công an xã Hòa Thắng  tỉnh Đắk Lắk</v>
      </c>
      <c r="C18280" t="str">
        <v>-</v>
      </c>
      <c r="D18280" t="str">
        <v>-</v>
      </c>
      <c r="E18280" t="str">
        <v/>
      </c>
      <c r="F18280" t="str">
        <v>-</v>
      </c>
      <c r="G18280" t="str">
        <v>-</v>
      </c>
    </row>
    <row r="18281">
      <c r="B18281" t="str">
        <v>UBND Ủy ban nhân dân xã Hòa Thắng  tỉnh Đắk Lắk</v>
      </c>
      <c r="C18281" t="str">
        <v>-</v>
      </c>
      <c r="D18281" t="str">
        <v>-</v>
      </c>
      <c r="E18281" t="str">
        <v>-</v>
      </c>
      <c r="F18281" t="str">
        <v>-</v>
      </c>
      <c r="G18281" t="str">
        <v>-</v>
      </c>
    </row>
    <row r="18282">
      <c r="B18282" t="str">
        <v>Công an xã Ea Kao  tỉnh Đắk Lắk</v>
      </c>
      <c r="C18282" t="str">
        <v>-</v>
      </c>
      <c r="D18282" t="str">
        <v>-</v>
      </c>
      <c r="E18282" t="str">
        <v/>
      </c>
      <c r="F18282" t="str">
        <v>-</v>
      </c>
      <c r="G18282" t="str">
        <v>-</v>
      </c>
    </row>
    <row r="18283">
      <c r="B18283" t="str">
        <v>UBND Ủy ban nhân dân xã Ea Kao  tỉnh Đắk Lắk</v>
      </c>
      <c r="C18283" t="str">
        <v>-</v>
      </c>
      <c r="D18283" t="str">
        <v>-</v>
      </c>
      <c r="E18283" t="str">
        <v>-</v>
      </c>
      <c r="F18283" t="str">
        <v>-</v>
      </c>
      <c r="G18283" t="str">
        <v>-</v>
      </c>
    </row>
    <row r="18284">
      <c r="B18284" t="str">
        <v>Công an xã Hòa Phú  tỉnh Đắk Lắk</v>
      </c>
      <c r="C18284" t="str">
        <v>-</v>
      </c>
      <c r="D18284" t="str">
        <v>-</v>
      </c>
      <c r="E18284" t="str">
        <v/>
      </c>
      <c r="F18284" t="str">
        <v>-</v>
      </c>
      <c r="G18284" t="str">
        <v>-</v>
      </c>
    </row>
    <row r="18285">
      <c r="B18285" t="str">
        <v>UBND Ủy ban nhân dân xã Hòa Phú  tỉnh Đắk Lắk</v>
      </c>
      <c r="C18285" t="str">
        <v>-</v>
      </c>
      <c r="D18285" t="str">
        <v>-</v>
      </c>
      <c r="E18285" t="str">
        <v>-</v>
      </c>
      <c r="F18285" t="str">
        <v>-</v>
      </c>
      <c r="G18285" t="str">
        <v>-</v>
      </c>
    </row>
    <row r="18286">
      <c r="B18286" t="str">
        <v>Công an xã Hòa Khánh  tỉnh Đắk Lắk</v>
      </c>
      <c r="C18286" t="str">
        <v>-</v>
      </c>
      <c r="D18286" t="str">
        <v>-</v>
      </c>
      <c r="E18286" t="str">
        <v/>
      </c>
      <c r="F18286" t="str">
        <v>-</v>
      </c>
      <c r="G18286" t="str">
        <v>-</v>
      </c>
    </row>
    <row r="18287">
      <c r="B18287" t="str">
        <v>UBND Ủy ban nhân dân xã Hòa Khánh  tỉnh Đắk Lắk</v>
      </c>
      <c r="C18287" t="str">
        <v>-</v>
      </c>
      <c r="D18287" t="str">
        <v>-</v>
      </c>
      <c r="E18287" t="str">
        <v>-</v>
      </c>
      <c r="F18287" t="str">
        <v>-</v>
      </c>
      <c r="G18287" t="str">
        <v>-</v>
      </c>
    </row>
    <row r="18288">
      <c r="B18288" t="str">
        <v>Công an xã Hòa Xuân  tỉnh Đắk Lắk</v>
      </c>
      <c r="C18288" t="str">
        <v>-</v>
      </c>
      <c r="D18288" t="str">
        <v>-</v>
      </c>
      <c r="E18288" t="str">
        <v/>
      </c>
      <c r="F18288" t="str">
        <v>-</v>
      </c>
      <c r="G18288" t="str">
        <v>-</v>
      </c>
    </row>
    <row r="18289">
      <c r="B18289" t="str">
        <v>UBND Ủy ban nhân dân xã Hòa Xuân  tỉnh Đắk Lắk</v>
      </c>
      <c r="C18289" t="str">
        <v>-</v>
      </c>
      <c r="D18289" t="str">
        <v>-</v>
      </c>
      <c r="E18289" t="str">
        <v>-</v>
      </c>
      <c r="F18289" t="str">
        <v>-</v>
      </c>
      <c r="G18289" t="str">
        <v>-</v>
      </c>
    </row>
    <row r="18290">
      <c r="B18290" t="str">
        <v>Công an phường An Lạc  tỉnh Đắk Lắk</v>
      </c>
      <c r="C18290" t="str">
        <v>-</v>
      </c>
      <c r="D18290" t="str">
        <v>-</v>
      </c>
      <c r="E18290" t="str">
        <v/>
      </c>
      <c r="F18290" t="str">
        <v>-</v>
      </c>
      <c r="G18290" t="str">
        <v>-</v>
      </c>
    </row>
    <row r="18291">
      <c r="B18291" t="str">
        <v>UBND Ủy ban nhân dân phường An Lạc  tỉnh Đắk Lắk</v>
      </c>
      <c r="C18291" t="str">
        <v>-</v>
      </c>
      <c r="D18291" t="str">
        <v>-</v>
      </c>
      <c r="E18291" t="str">
        <v>-</v>
      </c>
      <c r="F18291" t="str">
        <v>-</v>
      </c>
      <c r="G18291" t="str">
        <v>-</v>
      </c>
    </row>
    <row r="18292">
      <c r="B18292" t="str">
        <v>Công an phường An Bình  tỉnh Đắk Lắk</v>
      </c>
      <c r="C18292" t="str">
        <v>-</v>
      </c>
      <c r="D18292" t="str">
        <v>-</v>
      </c>
      <c r="E18292" t="str">
        <v/>
      </c>
      <c r="F18292" t="str">
        <v>-</v>
      </c>
      <c r="G18292" t="str">
        <v>-</v>
      </c>
    </row>
    <row r="18293">
      <c r="B18293" t="str">
        <v>UBND Ủy ban nhân dân phường An Bình  tỉnh Đắk Lắk</v>
      </c>
      <c r="C18293" t="str">
        <v>-</v>
      </c>
      <c r="D18293" t="str">
        <v>-</v>
      </c>
      <c r="E18293" t="str">
        <v>-</v>
      </c>
      <c r="F18293" t="str">
        <v>-</v>
      </c>
      <c r="G18293" t="str">
        <v>-</v>
      </c>
    </row>
    <row r="18294">
      <c r="B18294" t="str">
        <v>Công an phường Thiện An  tỉnh Đắk Lắk</v>
      </c>
      <c r="C18294" t="str">
        <v>-</v>
      </c>
      <c r="D18294" t="str">
        <v>-</v>
      </c>
      <c r="E18294" t="str">
        <v/>
      </c>
      <c r="F18294" t="str">
        <v>-</v>
      </c>
      <c r="G18294" t="str">
        <v>-</v>
      </c>
    </row>
    <row r="18295">
      <c r="B18295" t="str">
        <v>UBND Ủy ban nhân dân phường Thiện An  tỉnh Đắk Lắk</v>
      </c>
      <c r="C18295" t="str">
        <v>-</v>
      </c>
      <c r="D18295" t="str">
        <v>-</v>
      </c>
      <c r="E18295" t="str">
        <v>-</v>
      </c>
      <c r="F18295" t="str">
        <v>-</v>
      </c>
      <c r="G18295" t="str">
        <v>-</v>
      </c>
    </row>
    <row r="18296">
      <c r="B18296" t="str">
        <v>Công an phường Đạt Hiếu  tỉnh Đắk Lắk</v>
      </c>
      <c r="C18296" t="str">
        <v>-</v>
      </c>
      <c r="D18296" t="str">
        <v>-</v>
      </c>
      <c r="E18296" t="str">
        <v/>
      </c>
      <c r="F18296" t="str">
        <v>-</v>
      </c>
      <c r="G18296" t="str">
        <v>-</v>
      </c>
    </row>
    <row r="18297">
      <c r="B18297" t="str">
        <v>UBND Ủy ban nhân dân phường Đạt Hiếu  tỉnh Đắk Lắk</v>
      </c>
      <c r="C18297" t="str">
        <v>-</v>
      </c>
      <c r="D18297" t="str">
        <v>-</v>
      </c>
      <c r="E18297" t="str">
        <v>-</v>
      </c>
      <c r="F18297" t="str">
        <v>-</v>
      </c>
      <c r="G18297" t="str">
        <v>-</v>
      </c>
    </row>
    <row r="18298">
      <c r="B18298" t="str">
        <v>Công an phường Đoàn Kết  tỉnh Đắk Lắk</v>
      </c>
      <c r="C18298" t="str">
        <v>-</v>
      </c>
      <c r="D18298" t="str">
        <v>-</v>
      </c>
      <c r="E18298" t="str">
        <v/>
      </c>
      <c r="F18298" t="str">
        <v>-</v>
      </c>
      <c r="G18298" t="str">
        <v>-</v>
      </c>
    </row>
    <row r="18299">
      <c r="B18299" t="str">
        <v>UBND Ủy ban nhân dân phường Đoàn Kết  tỉnh Đắk Lắk</v>
      </c>
      <c r="C18299" t="str">
        <v>-</v>
      </c>
      <c r="D18299" t="str">
        <v>-</v>
      </c>
      <c r="E18299" t="str">
        <v>-</v>
      </c>
      <c r="F18299" t="str">
        <v>-</v>
      </c>
      <c r="G18299" t="str">
        <v>-</v>
      </c>
    </row>
    <row r="18300">
      <c r="B18300" t="str">
        <v>Công an xã Ea Blang  tỉnh Đắk Lắk</v>
      </c>
      <c r="C18300" t="str">
        <v>-</v>
      </c>
      <c r="D18300" t="str">
        <v>-</v>
      </c>
      <c r="E18300" t="str">
        <v/>
      </c>
      <c r="F18300" t="str">
        <v>-</v>
      </c>
      <c r="G18300" t="str">
        <v>-</v>
      </c>
    </row>
    <row r="18301">
      <c r="B18301" t="str">
        <v>UBND Ủy ban nhân dân xã Ea Blang  tỉnh Đắk Lắk</v>
      </c>
      <c r="C18301" t="str">
        <v>-</v>
      </c>
      <c r="D18301" t="str">
        <v>-</v>
      </c>
      <c r="E18301" t="str">
        <v>-</v>
      </c>
      <c r="F18301" t="str">
        <v>-</v>
      </c>
      <c r="G18301" t="str">
        <v>-</v>
      </c>
    </row>
    <row r="18302">
      <c r="B18302" t="str">
        <v>Công an xã Ea Drông  tỉnh Đắk Lắk</v>
      </c>
      <c r="C18302" t="str">
        <v>-</v>
      </c>
      <c r="D18302" t="str">
        <v>-</v>
      </c>
      <c r="E18302" t="str">
        <v/>
      </c>
      <c r="F18302" t="str">
        <v>-</v>
      </c>
      <c r="G18302" t="str">
        <v>-</v>
      </c>
    </row>
    <row r="18303">
      <c r="B18303" t="str">
        <v>UBND Ủy ban nhân dân xã Ea Drông  tỉnh Đắk Lắk</v>
      </c>
      <c r="C18303" t="str">
        <v>-</v>
      </c>
      <c r="D18303" t="str">
        <v>-</v>
      </c>
      <c r="E18303" t="str">
        <v>-</v>
      </c>
      <c r="F18303" t="str">
        <v>-</v>
      </c>
      <c r="G18303" t="str">
        <v>-</v>
      </c>
    </row>
    <row r="18304">
      <c r="B18304" t="str">
        <v>Công an phường Thống Nhất  tỉnh Đắk Lắk</v>
      </c>
      <c r="C18304" t="str">
        <v>-</v>
      </c>
      <c r="D18304" t="str">
        <v>-</v>
      </c>
      <c r="E18304" t="str">
        <v/>
      </c>
      <c r="F18304" t="str">
        <v>-</v>
      </c>
      <c r="G18304" t="str">
        <v>-</v>
      </c>
    </row>
    <row r="18305">
      <c r="B18305" t="str">
        <v>UBND Ủy ban nhân dân phường Thống Nhất  tỉnh Đắk Lắk</v>
      </c>
      <c r="C18305" t="str">
        <v>-</v>
      </c>
      <c r="D18305" t="str">
        <v>-</v>
      </c>
      <c r="E18305" t="str">
        <v>-</v>
      </c>
      <c r="F18305" t="str">
        <v>-</v>
      </c>
      <c r="G18305" t="str">
        <v>-</v>
      </c>
    </row>
    <row r="18306">
      <c r="B18306" t="str">
        <v>Công an phường Bình Tân  tỉnh Đắk Lắk</v>
      </c>
      <c r="C18306" t="str">
        <v>-</v>
      </c>
      <c r="D18306" t="str">
        <v>-</v>
      </c>
      <c r="E18306" t="str">
        <v/>
      </c>
      <c r="F18306" t="str">
        <v>-</v>
      </c>
      <c r="G18306" t="str">
        <v>-</v>
      </c>
    </row>
    <row r="18307">
      <c r="B18307" t="str">
        <v>UBND Ủy ban nhân dân phường Bình Tân  tỉnh Đắk Lắk</v>
      </c>
      <c r="C18307" t="str">
        <v>-</v>
      </c>
      <c r="D18307" t="str">
        <v>-</v>
      </c>
      <c r="E18307" t="str">
        <v>-</v>
      </c>
      <c r="F18307" t="str">
        <v>-</v>
      </c>
      <c r="G18307" t="str">
        <v>-</v>
      </c>
    </row>
    <row r="18308">
      <c r="B18308" t="str">
        <v>Công an xã Ea Siên  tỉnh Đắk Lắk</v>
      </c>
      <c r="C18308" t="str">
        <v>-</v>
      </c>
      <c r="D18308" t="str">
        <v>-</v>
      </c>
      <c r="E18308" t="str">
        <v/>
      </c>
      <c r="F18308" t="str">
        <v>-</v>
      </c>
      <c r="G18308" t="str">
        <v>-</v>
      </c>
    </row>
    <row r="18309">
      <c r="B18309" t="str">
        <v>UBND Ủy ban nhân dân xã Ea Siên  tỉnh Đắk Lắk</v>
      </c>
      <c r="C18309" t="str">
        <v>-</v>
      </c>
      <c r="D18309" t="str">
        <v>-</v>
      </c>
      <c r="E18309" t="str">
        <v>-</v>
      </c>
      <c r="F18309" t="str">
        <v>-</v>
      </c>
      <c r="G18309" t="str">
        <v>-</v>
      </c>
    </row>
    <row r="18310">
      <c r="B18310" t="str">
        <v>Công an xã Bình Thuận  tỉnh Đắk Lắk</v>
      </c>
      <c r="C18310" t="str">
        <v>-</v>
      </c>
      <c r="D18310" t="str">
        <v>-</v>
      </c>
      <c r="E18310" t="str">
        <v/>
      </c>
      <c r="F18310" t="str">
        <v>-</v>
      </c>
      <c r="G18310" t="str">
        <v>-</v>
      </c>
    </row>
    <row r="18311">
      <c r="B18311" t="str">
        <v>UBND Ủy ban nhân dân xã Bình Thuận  tỉnh Đắk Lắk</v>
      </c>
      <c r="C18311" t="str">
        <v>-</v>
      </c>
      <c r="D18311" t="str">
        <v>-</v>
      </c>
      <c r="E18311" t="str">
        <v>-</v>
      </c>
      <c r="F18311" t="str">
        <v>-</v>
      </c>
      <c r="G18311" t="str">
        <v>-</v>
      </c>
    </row>
    <row r="18312">
      <c r="B18312" t="str">
        <v>Công an xã Cư Bao  tỉnh Đắk Lắk</v>
      </c>
      <c r="C18312" t="str">
        <v>-</v>
      </c>
      <c r="D18312" t="str">
        <v>-</v>
      </c>
      <c r="E18312" t="str">
        <v/>
      </c>
      <c r="F18312" t="str">
        <v>-</v>
      </c>
      <c r="G18312" t="str">
        <v>-</v>
      </c>
    </row>
    <row r="18313">
      <c r="B18313" t="str">
        <v>UBND Ủy ban nhân dân xã Cư Bao  tỉnh Đắk Lắk</v>
      </c>
      <c r="C18313" t="str">
        <v>-</v>
      </c>
      <c r="D18313" t="str">
        <v>-</v>
      </c>
      <c r="E18313" t="str">
        <v>-</v>
      </c>
      <c r="F18313" t="str">
        <v>-</v>
      </c>
      <c r="G18313" t="str">
        <v>-</v>
      </c>
    </row>
    <row r="18314">
      <c r="B18314" t="str">
        <v>Công an xã Ea H'leo  tỉnh Đắk Lắk</v>
      </c>
      <c r="C18314" t="str">
        <v>-</v>
      </c>
      <c r="D18314" t="str">
        <v>-</v>
      </c>
      <c r="E18314" t="str">
        <v/>
      </c>
      <c r="F18314" t="str">
        <v>-</v>
      </c>
      <c r="G18314" t="str">
        <v>-</v>
      </c>
    </row>
    <row r="18315">
      <c r="B18315" t="str">
        <v>UBND Ủy ban nhân dân xã Ea H'leo  tỉnh Đắk Lắk</v>
      </c>
      <c r="C18315" t="str">
        <v>-</v>
      </c>
      <c r="D18315" t="str">
        <v>-</v>
      </c>
      <c r="E18315" t="str">
        <v>-</v>
      </c>
      <c r="F18315" t="str">
        <v>-</v>
      </c>
      <c r="G18315" t="str">
        <v>-</v>
      </c>
    </row>
    <row r="18316">
      <c r="B18316" t="str">
        <v>Công an xã Ea Sol  tỉnh Đắk Lắk</v>
      </c>
      <c r="C18316" t="str">
        <v>-</v>
      </c>
      <c r="D18316" t="str">
        <v>-</v>
      </c>
      <c r="E18316" t="str">
        <v/>
      </c>
      <c r="F18316" t="str">
        <v>-</v>
      </c>
      <c r="G18316" t="str">
        <v>-</v>
      </c>
    </row>
    <row r="18317">
      <c r="B18317" t="str">
        <v>UBND Ủy ban nhân dân xã Ea Sol  tỉnh Đắk Lắk</v>
      </c>
      <c r="C18317" t="str">
        <v>-</v>
      </c>
      <c r="D18317" t="str">
        <v>-</v>
      </c>
      <c r="E18317" t="str">
        <v>-</v>
      </c>
      <c r="F18317" t="str">
        <v>-</v>
      </c>
      <c r="G18317" t="str">
        <v>-</v>
      </c>
    </row>
    <row r="18318">
      <c r="B18318" t="str">
        <v>Công an xã Ea Ral  tỉnh Đắk Lắk</v>
      </c>
      <c r="C18318" t="str">
        <v>-</v>
      </c>
      <c r="D18318" t="str">
        <v>-</v>
      </c>
      <c r="E18318" t="str">
        <v/>
      </c>
      <c r="F18318" t="str">
        <v>-</v>
      </c>
      <c r="G18318" t="str">
        <v>-</v>
      </c>
    </row>
    <row r="18319">
      <c r="B18319" t="str">
        <v>UBND Ủy ban nhân dân xã Ea Ral  tỉnh Đắk Lắk</v>
      </c>
      <c r="C18319" t="str">
        <v>-</v>
      </c>
      <c r="D18319" t="str">
        <v>-</v>
      </c>
      <c r="E18319" t="str">
        <v>-</v>
      </c>
      <c r="F18319" t="str">
        <v>-</v>
      </c>
      <c r="G18319" t="str">
        <v>-</v>
      </c>
    </row>
    <row r="18320">
      <c r="B18320" t="str">
        <v>Công an xã Ea Wy  tỉnh Đắk Lắk</v>
      </c>
      <c r="C18320" t="str">
        <v>-</v>
      </c>
      <c r="D18320" t="str">
        <v>-</v>
      </c>
      <c r="E18320" t="str">
        <v/>
      </c>
      <c r="F18320" t="str">
        <v>-</v>
      </c>
      <c r="G18320" t="str">
        <v>-</v>
      </c>
    </row>
    <row r="18321">
      <c r="B18321" t="str">
        <v>UBND Ủy ban nhân dân xã Ea Wy  tỉnh Đắk Lắk</v>
      </c>
      <c r="C18321" t="str">
        <v>-</v>
      </c>
      <c r="D18321" t="str">
        <v>-</v>
      </c>
      <c r="E18321" t="str">
        <v>-</v>
      </c>
      <c r="F18321" t="str">
        <v>-</v>
      </c>
      <c r="G18321" t="str">
        <v>-</v>
      </c>
    </row>
    <row r="18322">
      <c r="B18322" t="str">
        <v>Công an xã Cư A Mung  tỉnh Đắk Lắk</v>
      </c>
      <c r="C18322" t="str">
        <v>-</v>
      </c>
      <c r="D18322" t="str">
        <v>-</v>
      </c>
      <c r="E18322" t="str">
        <v/>
      </c>
      <c r="F18322" t="str">
        <v>-</v>
      </c>
      <c r="G18322" t="str">
        <v>-</v>
      </c>
    </row>
    <row r="18323">
      <c r="B18323" t="str">
        <v>UBND Ủy ban nhân dân xã Cư A Mung  tỉnh Đắk Lắk</v>
      </c>
      <c r="C18323" t="str">
        <v>-</v>
      </c>
      <c r="D18323" t="str">
        <v>-</v>
      </c>
      <c r="E18323" t="str">
        <v>-</v>
      </c>
      <c r="F18323" t="str">
        <v>-</v>
      </c>
      <c r="G18323" t="str">
        <v>-</v>
      </c>
    </row>
    <row r="18324">
      <c r="B18324" t="str">
        <v>Công an xã Cư Mốt  tỉnh Đắk Lắk</v>
      </c>
      <c r="C18324" t="str">
        <v>-</v>
      </c>
      <c r="D18324" t="str">
        <v>-</v>
      </c>
      <c r="E18324" t="str">
        <v/>
      </c>
      <c r="F18324" t="str">
        <v>-</v>
      </c>
      <c r="G18324" t="str">
        <v>-</v>
      </c>
    </row>
    <row r="18325">
      <c r="B18325" t="str">
        <v>UBND Ủy ban nhân dân xã Cư Mốt  tỉnh Đắk Lắk</v>
      </c>
      <c r="C18325" t="str">
        <v>-</v>
      </c>
      <c r="D18325" t="str">
        <v>-</v>
      </c>
      <c r="E18325" t="str">
        <v>-</v>
      </c>
      <c r="F18325" t="str">
        <v>-</v>
      </c>
      <c r="G18325" t="str">
        <v>-</v>
      </c>
    </row>
    <row r="18326">
      <c r="B18326" t="str">
        <v>Công an xã Ea Hiao  tỉnh Đắk Lắk</v>
      </c>
      <c r="C18326" t="str">
        <v>-</v>
      </c>
      <c r="D18326" t="str">
        <v>-</v>
      </c>
      <c r="E18326" t="str">
        <v/>
      </c>
      <c r="F18326" t="str">
        <v>-</v>
      </c>
      <c r="G18326" t="str">
        <v>-</v>
      </c>
    </row>
    <row r="18327">
      <c r="B18327" t="str">
        <v>UBND Ủy ban nhân dân xã Ea Hiao  tỉnh Đắk Lắk</v>
      </c>
      <c r="C18327" t="str">
        <v>-</v>
      </c>
      <c r="D18327" t="str">
        <v>-</v>
      </c>
      <c r="E18327" t="str">
        <v>-</v>
      </c>
      <c r="F18327" t="str">
        <v>-</v>
      </c>
      <c r="G18327" t="str">
        <v>-</v>
      </c>
    </row>
    <row r="18328">
      <c r="B18328" t="str">
        <v>Công an xã Ea Khal  tỉnh Đắk Lắk</v>
      </c>
      <c r="C18328" t="str">
        <v>-</v>
      </c>
      <c r="D18328" t="str">
        <v>-</v>
      </c>
      <c r="E18328" t="str">
        <v/>
      </c>
      <c r="F18328" t="str">
        <v>-</v>
      </c>
      <c r="G18328" t="str">
        <v>-</v>
      </c>
    </row>
    <row r="18329">
      <c r="B18329" t="str">
        <v>UBND Ủy ban nhân dân xã Ea Khal  tỉnh Đắk Lắk</v>
      </c>
      <c r="C18329" t="str">
        <v>-</v>
      </c>
      <c r="D18329" t="str">
        <v>-</v>
      </c>
      <c r="E18329" t="str">
        <v>-</v>
      </c>
      <c r="F18329" t="str">
        <v>-</v>
      </c>
      <c r="G18329" t="str">
        <v>-</v>
      </c>
    </row>
    <row r="18330">
      <c r="B18330" t="str">
        <v>Công an xã Dliê Yang  tỉnh Đắk Lắk</v>
      </c>
      <c r="C18330" t="str">
        <v>-</v>
      </c>
      <c r="D18330" t="str">
        <v>-</v>
      </c>
      <c r="E18330" t="str">
        <v/>
      </c>
      <c r="F18330" t="str">
        <v>-</v>
      </c>
      <c r="G18330" t="str">
        <v>-</v>
      </c>
    </row>
    <row r="18331">
      <c r="B18331" t="str">
        <v>UBND Ủy ban nhân dân xã Dliê Yang  tỉnh Đắk Lắk</v>
      </c>
      <c r="C18331" t="str">
        <v>-</v>
      </c>
      <c r="D18331" t="str">
        <v>-</v>
      </c>
      <c r="E18331" t="str">
        <v>-</v>
      </c>
      <c r="F18331" t="str">
        <v>-</v>
      </c>
      <c r="G18331" t="str">
        <v>-</v>
      </c>
    </row>
    <row r="18332">
      <c r="B18332" t="str">
        <v>Công an xã Ea Tir  tỉnh Đắk Lắk</v>
      </c>
      <c r="C18332" t="str">
        <v>-</v>
      </c>
      <c r="D18332" t="str">
        <v>-</v>
      </c>
      <c r="E18332" t="str">
        <v/>
      </c>
      <c r="F18332" t="str">
        <v>-</v>
      </c>
      <c r="G18332" t="str">
        <v>-</v>
      </c>
    </row>
    <row r="18333">
      <c r="B18333" t="str">
        <v>UBND Ủy ban nhân dân xã Ea Tir  tỉnh Đắk Lắk</v>
      </c>
      <c r="C18333" t="str">
        <v>-</v>
      </c>
      <c r="D18333" t="str">
        <v>-</v>
      </c>
      <c r="E18333" t="str">
        <v>-</v>
      </c>
      <c r="F18333" t="str">
        <v>-</v>
      </c>
      <c r="G18333" t="str">
        <v>-</v>
      </c>
    </row>
    <row r="18334">
      <c r="B18334" t="str">
        <v>Công an xã Ea Nam  tỉnh Đắk Lắk</v>
      </c>
      <c r="C18334" t="str">
        <v>-</v>
      </c>
      <c r="D18334" t="str">
        <v>-</v>
      </c>
      <c r="E18334" t="str">
        <v/>
      </c>
      <c r="F18334" t="str">
        <v>-</v>
      </c>
      <c r="G18334" t="str">
        <v>-</v>
      </c>
    </row>
    <row r="18335">
      <c r="B18335" t="str">
        <v>UBND Ủy ban nhân dân xã Ea Nam  tỉnh Đắk Lắk</v>
      </c>
      <c r="C18335" t="str">
        <v>-</v>
      </c>
      <c r="D18335" t="str">
        <v>-</v>
      </c>
      <c r="E18335" t="str">
        <v>-</v>
      </c>
      <c r="F18335" t="str">
        <v>-</v>
      </c>
      <c r="G18335" t="str">
        <v>-</v>
      </c>
    </row>
    <row r="18336">
      <c r="B18336" t="str">
        <v>Công an xã Ia Lốp  tỉnh Đắk Lắk</v>
      </c>
      <c r="C18336" t="str">
        <v>-</v>
      </c>
      <c r="D18336" t="str">
        <v>-</v>
      </c>
      <c r="E18336" t="str">
        <v/>
      </c>
      <c r="F18336" t="str">
        <v>-</v>
      </c>
      <c r="G18336" t="str">
        <v>-</v>
      </c>
    </row>
    <row r="18337">
      <c r="B18337" t="str">
        <v>UBND Ủy ban nhân dân xã Ia Lốp  tỉnh Đắk Lắk</v>
      </c>
      <c r="C18337" t="str">
        <v>-</v>
      </c>
      <c r="D18337" t="str">
        <v>-</v>
      </c>
      <c r="E18337" t="str">
        <v>-</v>
      </c>
      <c r="F18337" t="str">
        <v>-</v>
      </c>
      <c r="G18337" t="str">
        <v>-</v>
      </c>
    </row>
    <row r="18338">
      <c r="B18338" t="str">
        <v>Công an xã Ia JLơi  tỉnh Đắk Lắk</v>
      </c>
      <c r="C18338" t="str">
        <v>-</v>
      </c>
      <c r="D18338" t="str">
        <v>-</v>
      </c>
      <c r="E18338" t="str">
        <v/>
      </c>
      <c r="F18338" t="str">
        <v>-</v>
      </c>
      <c r="G18338" t="str">
        <v>-</v>
      </c>
    </row>
    <row r="18339">
      <c r="B18339" t="str">
        <v>UBND Ủy ban nhân dân xã Ia JLơi  tỉnh Đắk Lắk</v>
      </c>
      <c r="C18339" t="str">
        <v>-</v>
      </c>
      <c r="D18339" t="str">
        <v>-</v>
      </c>
      <c r="E18339" t="str">
        <v>-</v>
      </c>
      <c r="F18339" t="str">
        <v>-</v>
      </c>
      <c r="G18339" t="str">
        <v>-</v>
      </c>
    </row>
    <row r="18340">
      <c r="B18340" t="str">
        <v>Công an xã Ea Rốk  tỉnh Đắk Lắk</v>
      </c>
      <c r="C18340" t="str">
        <v>-</v>
      </c>
      <c r="D18340" t="str">
        <v>-</v>
      </c>
      <c r="E18340" t="str">
        <v/>
      </c>
      <c r="F18340" t="str">
        <v>-</v>
      </c>
      <c r="G18340" t="str">
        <v>-</v>
      </c>
    </row>
    <row r="18341">
      <c r="B18341" t="str">
        <v>UBND Ủy ban nhân dân xã Ea Rốk  tỉnh Đắk Lắk</v>
      </c>
      <c r="C18341" t="str">
        <v>-</v>
      </c>
      <c r="D18341" t="str">
        <v>-</v>
      </c>
      <c r="E18341" t="str">
        <v>-</v>
      </c>
      <c r="F18341" t="str">
        <v>-</v>
      </c>
      <c r="G18341" t="str">
        <v>-</v>
      </c>
    </row>
    <row r="18342">
      <c r="B18342" t="str">
        <v>Công an xã Ya Tờ Mốt  tỉnh Đắk Lắk</v>
      </c>
      <c r="C18342" t="str">
        <v>-</v>
      </c>
      <c r="D18342" t="str">
        <v>-</v>
      </c>
      <c r="E18342" t="str">
        <v/>
      </c>
      <c r="F18342" t="str">
        <v>-</v>
      </c>
      <c r="G18342" t="str">
        <v>-</v>
      </c>
    </row>
    <row r="18343">
      <c r="B18343" t="str">
        <v>UBND Ủy ban nhân dân xã Ya Tờ Mốt  tỉnh Đắk Lắk</v>
      </c>
      <c r="C18343" t="str">
        <v>-</v>
      </c>
      <c r="D18343" t="str">
        <v>-</v>
      </c>
      <c r="E18343" t="str">
        <v>-</v>
      </c>
      <c r="F18343" t="str">
        <v>-</v>
      </c>
      <c r="G18343" t="str">
        <v>-</v>
      </c>
    </row>
    <row r="18344">
      <c r="B18344" t="str">
        <v>Công an xã Ia RVê  tỉnh Đắk Lắk</v>
      </c>
      <c r="C18344" t="str">
        <v>-</v>
      </c>
      <c r="D18344" t="str">
        <v>-</v>
      </c>
      <c r="E18344" t="str">
        <v/>
      </c>
      <c r="F18344" t="str">
        <v>-</v>
      </c>
      <c r="G18344" t="str">
        <v>-</v>
      </c>
    </row>
    <row r="18345">
      <c r="B18345" t="str">
        <v>UBND Ủy ban nhân dân xã Ia RVê  tỉnh Đắk Lắk</v>
      </c>
      <c r="C18345" t="str">
        <v>-</v>
      </c>
      <c r="D18345" t="str">
        <v>-</v>
      </c>
      <c r="E18345" t="str">
        <v>-</v>
      </c>
      <c r="F18345" t="str">
        <v>-</v>
      </c>
      <c r="G18345" t="str">
        <v>-</v>
      </c>
    </row>
    <row r="18346">
      <c r="B18346" t="str">
        <v>Công an xã Ea Lê  tỉnh Đắk Lắk</v>
      </c>
      <c r="C18346" t="str">
        <v>-</v>
      </c>
      <c r="D18346" t="str">
        <v>-</v>
      </c>
      <c r="E18346" t="str">
        <v/>
      </c>
      <c r="F18346" t="str">
        <v>-</v>
      </c>
      <c r="G18346" t="str">
        <v>-</v>
      </c>
    </row>
    <row r="18347">
      <c r="B18347" t="str">
        <v>UBND Ủy ban nhân dân xã Ea Lê  tỉnh Đắk Lắk</v>
      </c>
      <c r="C18347" t="str">
        <v>-</v>
      </c>
      <c r="D18347" t="str">
        <v>-</v>
      </c>
      <c r="E18347" t="str">
        <v>-</v>
      </c>
      <c r="F18347" t="str">
        <v>-</v>
      </c>
      <c r="G18347" t="str">
        <v>-</v>
      </c>
    </row>
    <row r="18348">
      <c r="B18348" t="str">
        <v>Công an xã Cư KBang  tỉnh Đắk Lắk</v>
      </c>
      <c r="C18348" t="str">
        <v>-</v>
      </c>
      <c r="D18348" t="str">
        <v>-</v>
      </c>
      <c r="E18348" t="str">
        <v/>
      </c>
      <c r="F18348" t="str">
        <v>-</v>
      </c>
      <c r="G18348" t="str">
        <v>-</v>
      </c>
    </row>
    <row r="18349">
      <c r="B18349" t="str">
        <v>UBND Ủy ban nhân dân xã Cư KBang  tỉnh Đắk Lắk</v>
      </c>
      <c r="C18349" t="str">
        <v>-</v>
      </c>
      <c r="D18349" t="str">
        <v>-</v>
      </c>
      <c r="E18349" t="str">
        <v>-</v>
      </c>
      <c r="F18349" t="str">
        <v>-</v>
      </c>
      <c r="G18349" t="str">
        <v>-</v>
      </c>
    </row>
    <row r="18350">
      <c r="B18350" t="str">
        <v>Công an xã Ea Bung  tỉnh Đắk Lắk</v>
      </c>
      <c r="C18350" t="str">
        <v>-</v>
      </c>
      <c r="D18350" t="str">
        <v>-</v>
      </c>
      <c r="E18350" t="str">
        <v/>
      </c>
      <c r="F18350" t="str">
        <v>-</v>
      </c>
      <c r="G18350" t="str">
        <v>-</v>
      </c>
    </row>
    <row r="18351">
      <c r="B18351" t="str">
        <v>UBND Ủy ban nhân dân xã Ea Bung  tỉnh Đắk Lắk</v>
      </c>
      <c r="C18351" t="str">
        <v>-</v>
      </c>
      <c r="D18351" t="str">
        <v>-</v>
      </c>
      <c r="E18351" t="str">
        <v>-</v>
      </c>
      <c r="F18351" t="str">
        <v>-</v>
      </c>
      <c r="G18351" t="str">
        <v>-</v>
      </c>
    </row>
    <row r="18352">
      <c r="B18352" t="str">
        <v>Công an xã Cư M'Lan  tỉnh Đắk Lắk</v>
      </c>
      <c r="C18352" t="str">
        <v>-</v>
      </c>
      <c r="D18352" t="str">
        <v>-</v>
      </c>
      <c r="E18352" t="str">
        <v/>
      </c>
      <c r="F18352" t="str">
        <v>-</v>
      </c>
      <c r="G18352" t="str">
        <v>-</v>
      </c>
    </row>
    <row r="18353">
      <c r="B18353" t="str">
        <v>UBND Ủy ban nhân dân xã Cư M'Lan  tỉnh Đắk Lắk</v>
      </c>
      <c r="C18353" t="str">
        <v>-</v>
      </c>
      <c r="D18353" t="str">
        <v>-</v>
      </c>
      <c r="E18353" t="str">
        <v>-</v>
      </c>
      <c r="F18353" t="str">
        <v>-</v>
      </c>
      <c r="G18353" t="str">
        <v>-</v>
      </c>
    </row>
    <row r="18354">
      <c r="B18354" t="str">
        <v>Công an xã Krông Na  tỉnh Đắk Lắk</v>
      </c>
      <c r="C18354" t="str">
        <v>-</v>
      </c>
      <c r="D18354" t="str">
        <v>-</v>
      </c>
      <c r="E18354" t="str">
        <v/>
      </c>
      <c r="F18354" t="str">
        <v>-</v>
      </c>
      <c r="G18354" t="str">
        <v>-</v>
      </c>
    </row>
    <row r="18355">
      <c r="B18355" t="str">
        <v>UBND Ủy ban nhân dân xã Krông Na  tỉnh Đắk Lắk</v>
      </c>
      <c r="C18355" t="str">
        <v>-</v>
      </c>
      <c r="D18355" t="str">
        <v>-</v>
      </c>
      <c r="E18355" t="str">
        <v>-</v>
      </c>
      <c r="F18355" t="str">
        <v>-</v>
      </c>
      <c r="G18355" t="str">
        <v>-</v>
      </c>
    </row>
    <row r="18356">
      <c r="B18356" t="str">
        <v>Công an xã Ea Huar  tỉnh Đắk Lắk</v>
      </c>
      <c r="C18356" t="str">
        <v>-</v>
      </c>
      <c r="D18356" t="str">
        <v>-</v>
      </c>
      <c r="E18356" t="str">
        <v/>
      </c>
      <c r="F18356" t="str">
        <v>-</v>
      </c>
      <c r="G18356" t="str">
        <v>-</v>
      </c>
    </row>
    <row r="18357">
      <c r="B18357" t="str">
        <v>UBND Ủy ban nhân dân xã Ea Huar  tỉnh Đắk Lắk</v>
      </c>
      <c r="C18357" t="str">
        <v>-</v>
      </c>
      <c r="D18357" t="str">
        <v>-</v>
      </c>
      <c r="E18357" t="str">
        <v>-</v>
      </c>
      <c r="F18357" t="str">
        <v>-</v>
      </c>
      <c r="G18357" t="str">
        <v>-</v>
      </c>
    </row>
    <row r="18358">
      <c r="B18358" t="str">
        <v>Công an xã Ea Wer  tỉnh Đắk Lắk</v>
      </c>
      <c r="C18358" t="str">
        <v>-</v>
      </c>
      <c r="D18358" t="str">
        <v>-</v>
      </c>
      <c r="E18358" t="str">
        <v/>
      </c>
      <c r="F18358" t="str">
        <v>-</v>
      </c>
      <c r="G18358" t="str">
        <v>-</v>
      </c>
    </row>
    <row r="18359">
      <c r="B18359" t="str">
        <v>UBND Ủy ban nhân dân xã Ea Wer  tỉnh Đắk Lắk</v>
      </c>
      <c r="C18359" t="str">
        <v>-</v>
      </c>
      <c r="D18359" t="str">
        <v>-</v>
      </c>
      <c r="E18359" t="str">
        <v>-</v>
      </c>
      <c r="F18359" t="str">
        <v>-</v>
      </c>
      <c r="G18359" t="str">
        <v>-</v>
      </c>
    </row>
    <row r="18360">
      <c r="B18360" t="str">
        <v>Công an xã Tân Hoà  tỉnh Đắk Lắk</v>
      </c>
      <c r="C18360" t="str">
        <v>-</v>
      </c>
      <c r="D18360" t="str">
        <v>-</v>
      </c>
      <c r="E18360" t="str">
        <v/>
      </c>
      <c r="F18360" t="str">
        <v>-</v>
      </c>
      <c r="G18360" t="str">
        <v>-</v>
      </c>
    </row>
    <row r="18361">
      <c r="B18361" t="str">
        <v>UBND Ủy ban nhân dân xã Tân Hoà  tỉnh Đắk Lắk</v>
      </c>
      <c r="C18361" t="str">
        <v>-</v>
      </c>
      <c r="D18361" t="str">
        <v>-</v>
      </c>
      <c r="E18361" t="str">
        <v>-</v>
      </c>
      <c r="F18361" t="str">
        <v>-</v>
      </c>
      <c r="G18361" t="str">
        <v>-</v>
      </c>
    </row>
    <row r="18362">
      <c r="B18362" t="str">
        <v>Công an xã Cuôr KNia  tỉnh Đắk Lắk</v>
      </c>
      <c r="C18362" t="str">
        <v>-</v>
      </c>
      <c r="D18362" t="str">
        <v>-</v>
      </c>
      <c r="E18362" t="str">
        <v/>
      </c>
      <c r="F18362" t="str">
        <v>-</v>
      </c>
      <c r="G18362" t="str">
        <v>-</v>
      </c>
    </row>
    <row r="18363">
      <c r="B18363" t="str">
        <v>UBND Ủy ban nhân dân xã Cuôr KNia  tỉnh Đắk Lắk</v>
      </c>
      <c r="C18363" t="str">
        <v>-</v>
      </c>
      <c r="D18363" t="str">
        <v>-</v>
      </c>
      <c r="E18363" t="str">
        <v>-</v>
      </c>
      <c r="F18363" t="str">
        <v>-</v>
      </c>
      <c r="G18363" t="str">
        <v>-</v>
      </c>
    </row>
    <row r="18364">
      <c r="B18364" t="str">
        <v>Công an xã Ea Bar  tỉnh Đắk Lắk</v>
      </c>
      <c r="C18364" t="str">
        <v>-</v>
      </c>
      <c r="D18364" t="str">
        <v>-</v>
      </c>
      <c r="E18364" t="str">
        <v/>
      </c>
      <c r="F18364" t="str">
        <v>-</v>
      </c>
      <c r="G18364" t="str">
        <v>-</v>
      </c>
    </row>
    <row r="18365">
      <c r="B18365" t="str">
        <v>UBND Ủy ban nhân dân xã Ea Bar  tỉnh Đắk Lắk</v>
      </c>
      <c r="C18365" t="str">
        <v>-</v>
      </c>
      <c r="D18365" t="str">
        <v>-</v>
      </c>
      <c r="E18365" t="str">
        <v>-</v>
      </c>
      <c r="F18365" t="str">
        <v>-</v>
      </c>
      <c r="G18365" t="str">
        <v>-</v>
      </c>
    </row>
    <row r="18366">
      <c r="B18366" t="str">
        <v>Công an xã Ea Nuôl  tỉnh Đắk Lắk</v>
      </c>
      <c r="C18366" t="str">
        <v>-</v>
      </c>
      <c r="D18366" t="str">
        <v>-</v>
      </c>
      <c r="E18366" t="str">
        <v/>
      </c>
      <c r="F18366" t="str">
        <v>-</v>
      </c>
      <c r="G18366" t="str">
        <v>-</v>
      </c>
    </row>
    <row r="18367">
      <c r="B18367" t="str">
        <v>UBND Ủy ban nhân dân xã Ea Nuôl  tỉnh Đắk Lắk</v>
      </c>
      <c r="C18367" t="str">
        <v>-</v>
      </c>
      <c r="D18367" t="str">
        <v>-</v>
      </c>
      <c r="E18367" t="str">
        <v>-</v>
      </c>
      <c r="F18367" t="str">
        <v>-</v>
      </c>
      <c r="G18367" t="str">
        <v>-</v>
      </c>
    </row>
    <row r="18368">
      <c r="B18368" t="str">
        <v>Công an xã Quảng Tiến  tỉnh Đắk Lắk</v>
      </c>
      <c r="C18368" t="str">
        <v>-</v>
      </c>
      <c r="D18368" t="str">
        <v>-</v>
      </c>
      <c r="E18368" t="str">
        <v/>
      </c>
      <c r="F18368" t="str">
        <v>-</v>
      </c>
      <c r="G18368" t="str">
        <v>-</v>
      </c>
    </row>
    <row r="18369">
      <c r="B18369" t="str">
        <v>UBND Ủy ban nhân dân xã Quảng Tiến  tỉnh Đắk Lắk</v>
      </c>
      <c r="C18369" t="str">
        <v>-</v>
      </c>
      <c r="D18369" t="str">
        <v>-</v>
      </c>
      <c r="E18369" t="str">
        <v>-</v>
      </c>
      <c r="F18369" t="str">
        <v>-</v>
      </c>
      <c r="G18369" t="str">
        <v>-</v>
      </c>
    </row>
    <row r="18370">
      <c r="B18370" t="str">
        <v>Công an xã Ea Kuêh  tỉnh Đắk Lắk</v>
      </c>
      <c r="C18370" t="str">
        <v>-</v>
      </c>
      <c r="D18370" t="str">
        <v>-</v>
      </c>
      <c r="E18370" t="str">
        <v/>
      </c>
      <c r="F18370" t="str">
        <v>-</v>
      </c>
      <c r="G18370" t="str">
        <v>-</v>
      </c>
    </row>
    <row r="18371">
      <c r="B18371" t="str">
        <v>UBND Ủy ban nhân dân xã Ea Kuêh  tỉnh Đắk Lắk</v>
      </c>
      <c r="C18371" t="str">
        <v>-</v>
      </c>
      <c r="D18371" t="str">
        <v>-</v>
      </c>
      <c r="E18371" t="str">
        <v>-</v>
      </c>
      <c r="F18371" t="str">
        <v>-</v>
      </c>
      <c r="G18371" t="str">
        <v>-</v>
      </c>
    </row>
    <row r="18372">
      <c r="B18372" t="str">
        <v>Công an xã Ea Kiết  tỉnh Đắk Lắk</v>
      </c>
      <c r="C18372" t="str">
        <v>-</v>
      </c>
      <c r="D18372" t="str">
        <v>-</v>
      </c>
      <c r="E18372" t="str">
        <v/>
      </c>
      <c r="F18372" t="str">
        <v>-</v>
      </c>
      <c r="G18372" t="str">
        <v>-</v>
      </c>
    </row>
    <row r="18373">
      <c r="B18373" t="str">
        <v>UBND Ủy ban nhân dân xã Ea Kiết  tỉnh Đắk Lắk</v>
      </c>
      <c r="C18373" t="str">
        <v>-</v>
      </c>
      <c r="D18373" t="str">
        <v>-</v>
      </c>
      <c r="E18373" t="str">
        <v>-</v>
      </c>
      <c r="F18373" t="str">
        <v>-</v>
      </c>
      <c r="G18373" t="str">
        <v>-</v>
      </c>
    </row>
    <row r="18374">
      <c r="B18374" t="str">
        <v>Công an xã Ea Tar  tỉnh Đắk Lắk</v>
      </c>
      <c r="C18374" t="str">
        <v>-</v>
      </c>
      <c r="D18374" t="str">
        <v>-</v>
      </c>
      <c r="E18374" t="str">
        <v/>
      </c>
      <c r="F18374" t="str">
        <v>-</v>
      </c>
      <c r="G18374" t="str">
        <v>-</v>
      </c>
    </row>
    <row r="18375">
      <c r="B18375" t="str">
        <v>UBND Ủy ban nhân dân xã Ea Tar  tỉnh Đắk Lắk</v>
      </c>
      <c r="C18375" t="str">
        <v>-</v>
      </c>
      <c r="D18375" t="str">
        <v>-</v>
      </c>
      <c r="E18375" t="str">
        <v>-</v>
      </c>
      <c r="F18375" t="str">
        <v>-</v>
      </c>
      <c r="G18375" t="str">
        <v>-</v>
      </c>
    </row>
    <row r="18376">
      <c r="B18376" t="str">
        <v>Công an xã Cư Dliê M'nông  tỉnh Đắk Lắk</v>
      </c>
      <c r="C18376" t="str">
        <v>-</v>
      </c>
      <c r="D18376" t="str">
        <v>-</v>
      </c>
      <c r="E18376" t="str">
        <v/>
      </c>
      <c r="F18376" t="str">
        <v>-</v>
      </c>
      <c r="G18376" t="str">
        <v>-</v>
      </c>
    </row>
    <row r="18377">
      <c r="B18377" t="str">
        <v>UBND Ủy ban nhân dân xã Cư Dliê M'nông  tỉnh Đắk Lắk</v>
      </c>
      <c r="C18377" t="str">
        <v>-</v>
      </c>
      <c r="D18377" t="str">
        <v>-</v>
      </c>
      <c r="E18377" t="str">
        <v>-</v>
      </c>
      <c r="F18377" t="str">
        <v>-</v>
      </c>
      <c r="G18377" t="str">
        <v>-</v>
      </c>
    </row>
    <row r="18378">
      <c r="B18378" t="str">
        <v>Công an xã Ea H'đinh  tỉnh Đắk Lắk</v>
      </c>
      <c r="C18378" t="str">
        <v>-</v>
      </c>
      <c r="D18378" t="str">
        <v>-</v>
      </c>
      <c r="E18378" t="str">
        <v/>
      </c>
      <c r="F18378" t="str">
        <v>-</v>
      </c>
      <c r="G18378" t="str">
        <v>-</v>
      </c>
    </row>
    <row r="18379">
      <c r="B18379" t="str">
        <v>UBND Ủy ban nhân dân xã Ea H'đinh  tỉnh Đắk Lắk</v>
      </c>
      <c r="C18379" t="str">
        <v>-</v>
      </c>
      <c r="D18379" t="str">
        <v>-</v>
      </c>
      <c r="E18379" t="str">
        <v>-</v>
      </c>
      <c r="F18379" t="str">
        <v>-</v>
      </c>
      <c r="G18379" t="str">
        <v>-</v>
      </c>
    </row>
    <row r="18380">
      <c r="B18380" t="str">
        <v>Công an xã Ea Tul  tỉnh Đắk Lắk</v>
      </c>
      <c r="C18380" t="str">
        <v>-</v>
      </c>
      <c r="D18380" t="str">
        <v>-</v>
      </c>
      <c r="E18380" t="str">
        <v/>
      </c>
      <c r="F18380" t="str">
        <v>-</v>
      </c>
      <c r="G18380" t="str">
        <v>-</v>
      </c>
    </row>
    <row r="18381">
      <c r="B18381" t="str">
        <v>UBND Ủy ban nhân dân xã Ea Tul  tỉnh Đắk Lắk</v>
      </c>
      <c r="C18381" t="str">
        <v>-</v>
      </c>
      <c r="D18381" t="str">
        <v>-</v>
      </c>
      <c r="E18381" t="str">
        <v>-</v>
      </c>
      <c r="F18381" t="str">
        <v>-</v>
      </c>
      <c r="G18381" t="str">
        <v>-</v>
      </c>
    </row>
    <row r="18382">
      <c r="B18382" t="str">
        <v>Công an xã Ea KPam  tỉnh Đắk Lắk</v>
      </c>
      <c r="C18382" t="str">
        <v>-</v>
      </c>
      <c r="D18382" t="str">
        <v>-</v>
      </c>
      <c r="E18382" t="str">
        <v/>
      </c>
      <c r="F18382" t="str">
        <v>-</v>
      </c>
      <c r="G18382" t="str">
        <v>-</v>
      </c>
    </row>
    <row r="18383">
      <c r="B18383" t="str">
        <v>UBND Ủy ban nhân dân xã Ea KPam  tỉnh Đắk Lắk</v>
      </c>
      <c r="C18383" t="str">
        <v>-</v>
      </c>
      <c r="D18383" t="str">
        <v>-</v>
      </c>
      <c r="E18383" t="str">
        <v>-</v>
      </c>
      <c r="F18383" t="str">
        <v>-</v>
      </c>
      <c r="G18383" t="str">
        <v>-</v>
      </c>
    </row>
    <row r="18384">
      <c r="B18384" t="str">
        <v>Công an xã Ea M'DRóh  tỉnh Đắk Lắk</v>
      </c>
      <c r="C18384" t="str">
        <v>-</v>
      </c>
      <c r="D18384" t="str">
        <v>-</v>
      </c>
      <c r="E18384" t="str">
        <v/>
      </c>
      <c r="F18384" t="str">
        <v>-</v>
      </c>
      <c r="G18384" t="str">
        <v>-</v>
      </c>
    </row>
    <row r="18385">
      <c r="B18385" t="str">
        <v>UBND Ủy ban nhân dân xã Ea M'DRóh  tỉnh Đắk Lắk</v>
      </c>
      <c r="C18385" t="str">
        <v>-</v>
      </c>
      <c r="D18385" t="str">
        <v>-</v>
      </c>
      <c r="E18385" t="str">
        <v>-</v>
      </c>
      <c r="F18385" t="str">
        <v>-</v>
      </c>
      <c r="G18385" t="str">
        <v>-</v>
      </c>
    </row>
    <row r="18386">
      <c r="B18386" t="str">
        <v>Công an xã Quảng Hiệp  tỉnh Đắk Lắk</v>
      </c>
      <c r="C18386" t="str">
        <v>-</v>
      </c>
      <c r="D18386" t="str">
        <v>-</v>
      </c>
      <c r="E18386" t="str">
        <v/>
      </c>
      <c r="F18386" t="str">
        <v>-</v>
      </c>
      <c r="G18386" t="str">
        <v>-</v>
      </c>
    </row>
    <row r="18387">
      <c r="B18387" t="str">
        <v>UBND Ủy ban nhân dân xã Quảng Hiệp  tỉnh Đắk Lắk</v>
      </c>
      <c r="C18387" t="str">
        <v>-</v>
      </c>
      <c r="D18387" t="str">
        <v>-</v>
      </c>
      <c r="E18387" t="str">
        <v>-</v>
      </c>
      <c r="F18387" t="str">
        <v>-</v>
      </c>
      <c r="G18387" t="str">
        <v>-</v>
      </c>
    </row>
    <row r="18388">
      <c r="B18388" t="str">
        <v>Công an xã Cư M'gar  tỉnh Đắk Lắk</v>
      </c>
      <c r="C18388" t="str">
        <v>-</v>
      </c>
      <c r="D18388" t="str">
        <v>-</v>
      </c>
      <c r="E18388" t="str">
        <v/>
      </c>
      <c r="F18388" t="str">
        <v>-</v>
      </c>
      <c r="G18388" t="str">
        <v>-</v>
      </c>
    </row>
    <row r="18389">
      <c r="B18389" t="str">
        <v>UBND Ủy ban nhân dân xã Cư M'gar  tỉnh Đắk Lắk</v>
      </c>
      <c r="C18389" t="str">
        <v>-</v>
      </c>
      <c r="D18389" t="str">
        <v>-</v>
      </c>
      <c r="E18389" t="str">
        <v>-</v>
      </c>
      <c r="F18389" t="str">
        <v>-</v>
      </c>
      <c r="G18389" t="str">
        <v>-</v>
      </c>
    </row>
    <row r="18390">
      <c r="B18390" t="str">
        <v>Công an xã Ea D'Rơng  tỉnh Đắk Lắk</v>
      </c>
      <c r="C18390" t="str">
        <v>-</v>
      </c>
      <c r="D18390" t="str">
        <v>-</v>
      </c>
      <c r="E18390" t="str">
        <v/>
      </c>
      <c r="F18390" t="str">
        <v>-</v>
      </c>
      <c r="G18390" t="str">
        <v>-</v>
      </c>
    </row>
    <row r="18391">
      <c r="B18391" t="str">
        <v>UBND Ủy ban nhân dân xã Ea D'Rơng  tỉnh Đắk Lắk</v>
      </c>
      <c r="C18391" t="str">
        <v>-</v>
      </c>
      <c r="D18391" t="str">
        <v>-</v>
      </c>
      <c r="E18391" t="str">
        <v>-</v>
      </c>
      <c r="F18391" t="str">
        <v>-</v>
      </c>
      <c r="G18391" t="str">
        <v>-</v>
      </c>
    </row>
    <row r="18392">
      <c r="B18392" t="str">
        <v>Công an xã Ea M'nang  tỉnh Đắk Lắk</v>
      </c>
      <c r="C18392" t="str">
        <v>-</v>
      </c>
      <c r="D18392" t="str">
        <v>-</v>
      </c>
      <c r="E18392" t="str">
        <v/>
      </c>
      <c r="F18392" t="str">
        <v>-</v>
      </c>
      <c r="G18392" t="str">
        <v>-</v>
      </c>
    </row>
    <row r="18393">
      <c r="B18393" t="str">
        <v>UBND Ủy ban nhân dân xã Ea M'nang  tỉnh Đắk Lắk</v>
      </c>
      <c r="C18393" t="str">
        <v>-</v>
      </c>
      <c r="D18393" t="str">
        <v>-</v>
      </c>
      <c r="E18393" t="str">
        <v>-</v>
      </c>
      <c r="F18393" t="str">
        <v>-</v>
      </c>
      <c r="G18393" t="str">
        <v>-</v>
      </c>
    </row>
    <row r="18394">
      <c r="B18394" t="str">
        <v>Công an xã Cư Suê  tỉnh Đắk Lắk</v>
      </c>
      <c r="C18394" t="str">
        <v>-</v>
      </c>
      <c r="D18394" t="str">
        <v>-</v>
      </c>
      <c r="E18394" t="str">
        <v/>
      </c>
      <c r="F18394" t="str">
        <v>-</v>
      </c>
      <c r="G18394" t="str">
        <v>-</v>
      </c>
    </row>
    <row r="18395">
      <c r="B18395" t="str">
        <v>UBND Ủy ban nhân dân xã Cư Suê  tỉnh Đắk Lắk</v>
      </c>
      <c r="C18395" t="str">
        <v>-</v>
      </c>
      <c r="D18395" t="str">
        <v>-</v>
      </c>
      <c r="E18395" t="str">
        <v>-</v>
      </c>
      <c r="F18395" t="str">
        <v>-</v>
      </c>
      <c r="G18395" t="str">
        <v>-</v>
      </c>
    </row>
    <row r="18396">
      <c r="B18396" t="str">
        <v>Công an xã Cuor Đăng  tỉnh Đắk Lắk</v>
      </c>
      <c r="C18396" t="str">
        <v>-</v>
      </c>
      <c r="D18396" t="str">
        <v>-</v>
      </c>
      <c r="E18396" t="str">
        <v/>
      </c>
      <c r="F18396" t="str">
        <v>-</v>
      </c>
      <c r="G18396" t="str">
        <v>-</v>
      </c>
    </row>
    <row r="18397">
      <c r="B18397" t="str">
        <v>UBND Ủy ban nhân dân xã Cuor Đăng  tỉnh Đắk Lắk</v>
      </c>
      <c r="C18397" t="str">
        <v>-</v>
      </c>
      <c r="D18397" t="str">
        <v>-</v>
      </c>
      <c r="E18397" t="str">
        <v>-</v>
      </c>
      <c r="F18397" t="str">
        <v>-</v>
      </c>
      <c r="G18397" t="str">
        <v>-</v>
      </c>
    </row>
    <row r="18398">
      <c r="B18398" t="str">
        <v>Công an xã Cư Né  tỉnh Đắk Lắk</v>
      </c>
      <c r="C18398" t="str">
        <v>-</v>
      </c>
      <c r="D18398" t="str">
        <v>-</v>
      </c>
      <c r="E18398" t="str">
        <v/>
      </c>
      <c r="F18398" t="str">
        <v>-</v>
      </c>
      <c r="G18398" t="str">
        <v>-</v>
      </c>
    </row>
    <row r="18399">
      <c r="B18399" t="str">
        <v>UBND Ủy ban nhân dân xã Cư Né  tỉnh Đắk Lắk</v>
      </c>
      <c r="C18399" t="str">
        <v>-</v>
      </c>
      <c r="D18399" t="str">
        <v>-</v>
      </c>
      <c r="E18399" t="str">
        <v>-</v>
      </c>
      <c r="F18399" t="str">
        <v>-</v>
      </c>
      <c r="G18399" t="str">
        <v>-</v>
      </c>
    </row>
    <row r="18400">
      <c r="B18400" t="str">
        <v>Công an xã Chư KBô  tỉnh Đắk Lắk</v>
      </c>
      <c r="C18400" t="str">
        <v>-</v>
      </c>
      <c r="D18400" t="str">
        <v>-</v>
      </c>
      <c r="E18400" t="str">
        <v/>
      </c>
      <c r="F18400" t="str">
        <v>-</v>
      </c>
      <c r="G18400" t="str">
        <v>-</v>
      </c>
    </row>
    <row r="18401">
      <c r="B18401" t="str">
        <v>UBND Ủy ban nhân dân xã Chư KBô  tỉnh Đắk Lắk</v>
      </c>
      <c r="C18401" t="str">
        <v>-</v>
      </c>
      <c r="D18401" t="str">
        <v>-</v>
      </c>
      <c r="E18401" t="str">
        <v>-</v>
      </c>
      <c r="F18401" t="str">
        <v>-</v>
      </c>
      <c r="G18401" t="str">
        <v>-</v>
      </c>
    </row>
    <row r="18402">
      <c r="B18402" t="str">
        <v>Công an xã Cư Pơng  tỉnh Đắk Lắk</v>
      </c>
      <c r="C18402" t="str">
        <v>-</v>
      </c>
      <c r="D18402" t="str">
        <v>-</v>
      </c>
      <c r="E18402" t="str">
        <v/>
      </c>
      <c r="F18402" t="str">
        <v>-</v>
      </c>
      <c r="G18402" t="str">
        <v>-</v>
      </c>
    </row>
    <row r="18403">
      <c r="B18403" t="str">
        <v>UBND Ủy ban nhân dân xã Cư Pơng  tỉnh Đắk Lắk</v>
      </c>
      <c r="C18403" t="str">
        <v>-</v>
      </c>
      <c r="D18403" t="str">
        <v>-</v>
      </c>
      <c r="E18403" t="str">
        <v>-</v>
      </c>
      <c r="F18403" t="str">
        <v>-</v>
      </c>
      <c r="G18403" t="str">
        <v>-</v>
      </c>
    </row>
    <row r="18404">
      <c r="B18404" t="str">
        <v>Công an xã Ea Sin  tỉnh Đắk Lắk</v>
      </c>
      <c r="C18404" t="str">
        <v>-</v>
      </c>
      <c r="D18404" t="str">
        <v>-</v>
      </c>
      <c r="E18404" t="str">
        <v/>
      </c>
      <c r="F18404" t="str">
        <v>-</v>
      </c>
      <c r="G18404" t="str">
        <v>-</v>
      </c>
    </row>
    <row r="18405">
      <c r="B18405" t="str">
        <v>UBND Ủy ban nhân dân xã Ea Sin  tỉnh Đắk Lắk</v>
      </c>
      <c r="C18405" t="str">
        <v>-</v>
      </c>
      <c r="D18405" t="str">
        <v>-</v>
      </c>
      <c r="E18405" t="str">
        <v>-</v>
      </c>
      <c r="F18405" t="str">
        <v>-</v>
      </c>
      <c r="G18405" t="str">
        <v>-</v>
      </c>
    </row>
    <row r="18406">
      <c r="B18406" t="str">
        <v>Công an xã Pơng Drang  tỉnh Đắk Lắk</v>
      </c>
      <c r="C18406" t="str">
        <v>-</v>
      </c>
      <c r="D18406" t="str">
        <v>-</v>
      </c>
      <c r="E18406" t="str">
        <v/>
      </c>
      <c r="F18406" t="str">
        <v>-</v>
      </c>
      <c r="G18406" t="str">
        <v>-</v>
      </c>
    </row>
    <row r="18407">
      <c r="B18407" t="str">
        <v>UBND Ủy ban nhân dân xã Pơng Drang  tỉnh Đắk Lắk</v>
      </c>
      <c r="C18407" t="str">
        <v>-</v>
      </c>
      <c r="D18407" t="str">
        <v>-</v>
      </c>
      <c r="E18407" t="str">
        <v>-</v>
      </c>
      <c r="F18407" t="str">
        <v>-</v>
      </c>
      <c r="G18407" t="str">
        <v>-</v>
      </c>
    </row>
    <row r="18408">
      <c r="B18408" t="str">
        <v>Công an xã Tân Lập  tỉnh Đắk Lắk</v>
      </c>
      <c r="C18408" t="str">
        <v>-</v>
      </c>
      <c r="D18408" t="str">
        <v>-</v>
      </c>
      <c r="E18408" t="str">
        <v/>
      </c>
      <c r="F18408" t="str">
        <v>-</v>
      </c>
      <c r="G18408" t="str">
        <v>-</v>
      </c>
    </row>
    <row r="18409">
      <c r="B18409" t="str">
        <v>UBND Ủy ban nhân dân xã Tân Lập  tỉnh Đắk Lắk</v>
      </c>
      <c r="C18409" t="str">
        <v>-</v>
      </c>
      <c r="D18409" t="str">
        <v>-</v>
      </c>
      <c r="E18409" t="str">
        <v>-</v>
      </c>
      <c r="F18409" t="str">
        <v>-</v>
      </c>
      <c r="G18409" t="str">
        <v>-</v>
      </c>
    </row>
    <row r="18410">
      <c r="B18410" t="str">
        <v>Công an xã Ea Ngai  tỉnh Đắk Lắk</v>
      </c>
      <c r="C18410" t="str">
        <v>-</v>
      </c>
      <c r="D18410" t="str">
        <v>-</v>
      </c>
      <c r="E18410" t="str">
        <v/>
      </c>
      <c r="F18410" t="str">
        <v>-</v>
      </c>
      <c r="G18410" t="str">
        <v>-</v>
      </c>
    </row>
    <row r="18411">
      <c r="B18411" t="str">
        <v>UBND Ủy ban nhân dân xã Ea Ngai  tỉnh Đắk Lắk</v>
      </c>
      <c r="C18411" t="str">
        <v>-</v>
      </c>
      <c r="D18411" t="str">
        <v>-</v>
      </c>
      <c r="E18411" t="str">
        <v>-</v>
      </c>
      <c r="F18411" t="str">
        <v>-</v>
      </c>
      <c r="G18411" t="str">
        <v>-</v>
      </c>
    </row>
    <row r="18412">
      <c r="B18412" t="str">
        <v>Công an xã ĐLiê Ya  tỉnh Đắk Lắk</v>
      </c>
      <c r="C18412" t="str">
        <v>-</v>
      </c>
      <c r="D18412" t="str">
        <v>-</v>
      </c>
      <c r="E18412" t="str">
        <v/>
      </c>
      <c r="F18412" t="str">
        <v>-</v>
      </c>
      <c r="G18412" t="str">
        <v>-</v>
      </c>
    </row>
    <row r="18413">
      <c r="B18413" t="str">
        <v>UBND Ủy ban nhân dân xã ĐLiê Ya  tỉnh Đắk Lắk</v>
      </c>
      <c r="C18413" t="str">
        <v>-</v>
      </c>
      <c r="D18413" t="str">
        <v>-</v>
      </c>
      <c r="E18413" t="str">
        <v>-</v>
      </c>
      <c r="F18413" t="str">
        <v>-</v>
      </c>
      <c r="G18413" t="str">
        <v>-</v>
      </c>
    </row>
    <row r="18414">
      <c r="B18414" t="str">
        <v>Công an xã Ea Tóh  tỉnh Đắk Lắk</v>
      </c>
      <c r="C18414" t="str">
        <v>-</v>
      </c>
      <c r="D18414" t="str">
        <v>-</v>
      </c>
      <c r="E18414" t="str">
        <v/>
      </c>
      <c r="F18414" t="str">
        <v>-</v>
      </c>
      <c r="G18414" t="str">
        <v>-</v>
      </c>
    </row>
    <row r="18415">
      <c r="B18415" t="str">
        <v>UBND Ủy ban nhân dân xã Ea Tóh  tỉnh Đắk Lắk</v>
      </c>
      <c r="C18415" t="str">
        <v>-</v>
      </c>
      <c r="D18415" t="str">
        <v>-</v>
      </c>
      <c r="E18415" t="str">
        <v>-</v>
      </c>
      <c r="F18415" t="str">
        <v>-</v>
      </c>
      <c r="G18415" t="str">
        <v>-</v>
      </c>
    </row>
    <row r="18416">
      <c r="B18416" t="str">
        <v>Công an xã Ea Tam  tỉnh Đắk Lắk</v>
      </c>
      <c r="C18416" t="str">
        <v>-</v>
      </c>
      <c r="D18416" t="str">
        <v>-</v>
      </c>
      <c r="E18416" t="str">
        <v/>
      </c>
      <c r="F18416" t="str">
        <v>-</v>
      </c>
      <c r="G18416" t="str">
        <v>-</v>
      </c>
    </row>
    <row r="18417">
      <c r="B18417" t="str">
        <v>UBND Ủy ban nhân dân xã Ea Tam  tỉnh Đắk Lắk</v>
      </c>
      <c r="C18417" t="str">
        <v>-</v>
      </c>
      <c r="D18417" t="str">
        <v>-</v>
      </c>
      <c r="E18417" t="str">
        <v>-</v>
      </c>
      <c r="F18417" t="str">
        <v>-</v>
      </c>
      <c r="G18417" t="str">
        <v>-</v>
      </c>
    </row>
    <row r="18418">
      <c r="B18418" t="str">
        <v>Công an xã Phú Lộc  tỉnh Đắk Lắk</v>
      </c>
      <c r="C18418" t="str">
        <v>-</v>
      </c>
      <c r="D18418" t="str">
        <v>-</v>
      </c>
      <c r="E18418" t="str">
        <v/>
      </c>
      <c r="F18418" t="str">
        <v>-</v>
      </c>
      <c r="G18418" t="str">
        <v>-</v>
      </c>
    </row>
    <row r="18419">
      <c r="B18419" t="str">
        <v>UBND Ủy ban nhân dân xã Phú Lộc  tỉnh Đắk Lắk</v>
      </c>
      <c r="C18419" t="str">
        <v>-</v>
      </c>
      <c r="D18419" t="str">
        <v>-</v>
      </c>
      <c r="E18419" t="str">
        <v>-</v>
      </c>
      <c r="F18419" t="str">
        <v>-</v>
      </c>
      <c r="G18419" t="str">
        <v>-</v>
      </c>
    </row>
    <row r="18420">
      <c r="B18420" t="str">
        <v>Công an xã Tam Giang  tỉnh Đắk Lắk</v>
      </c>
      <c r="C18420" t="str">
        <v>-</v>
      </c>
      <c r="D18420" t="str">
        <v>-</v>
      </c>
      <c r="E18420" t="str">
        <v/>
      </c>
      <c r="F18420" t="str">
        <v>-</v>
      </c>
      <c r="G18420" t="str">
        <v>-</v>
      </c>
    </row>
    <row r="18421">
      <c r="B18421" t="str">
        <v>UBND Ủy ban nhân dân xã Tam Giang  tỉnh Đắk Lắk</v>
      </c>
      <c r="C18421" t="str">
        <v>-</v>
      </c>
      <c r="D18421" t="str">
        <v>-</v>
      </c>
      <c r="E18421" t="str">
        <v>-</v>
      </c>
      <c r="F18421" t="str">
        <v>-</v>
      </c>
      <c r="G18421" t="str">
        <v>-</v>
      </c>
    </row>
    <row r="18422">
      <c r="B18422" t="str">
        <v>Công an xã Ea Puk  tỉnh Đắk Lắk</v>
      </c>
      <c r="C18422" t="str">
        <v>-</v>
      </c>
      <c r="D18422" t="str">
        <v>-</v>
      </c>
      <c r="E18422" t="str">
        <v/>
      </c>
      <c r="F18422" t="str">
        <v>-</v>
      </c>
      <c r="G18422" t="str">
        <v>-</v>
      </c>
    </row>
    <row r="18423">
      <c r="B18423" t="str">
        <v>UBND Ủy ban nhân dân xã Ea Puk  tỉnh Đắk Lắk</v>
      </c>
      <c r="C18423" t="str">
        <v>-</v>
      </c>
      <c r="D18423" t="str">
        <v>-</v>
      </c>
      <c r="E18423" t="str">
        <v>-</v>
      </c>
      <c r="F18423" t="str">
        <v>-</v>
      </c>
      <c r="G18423" t="str">
        <v>-</v>
      </c>
    </row>
    <row r="18424">
      <c r="B18424" t="str">
        <v>Công an xã Ea Dăh  tỉnh Đắk Lắk</v>
      </c>
      <c r="C18424" t="str">
        <v>-</v>
      </c>
      <c r="D18424" t="str">
        <v>-</v>
      </c>
      <c r="E18424" t="str">
        <v/>
      </c>
      <c r="F18424" t="str">
        <v>-</v>
      </c>
      <c r="G18424" t="str">
        <v>-</v>
      </c>
    </row>
    <row r="18425">
      <c r="B18425" t="str">
        <v>UBND Ủy ban nhân dân xã Ea Dăh  tỉnh Đắk Lắk</v>
      </c>
      <c r="C18425" t="str">
        <v>-</v>
      </c>
      <c r="D18425" t="str">
        <v>-</v>
      </c>
      <c r="E18425" t="str">
        <v>-</v>
      </c>
      <c r="F18425" t="str">
        <v>-</v>
      </c>
      <c r="G18425" t="str">
        <v>-</v>
      </c>
    </row>
    <row r="18426">
      <c r="B18426" t="str">
        <v>Công an xã Ea Hồ  tỉnh Đắk Lắk</v>
      </c>
      <c r="C18426" t="str">
        <v>-</v>
      </c>
      <c r="D18426" t="str">
        <v>-</v>
      </c>
      <c r="E18426" t="str">
        <v/>
      </c>
      <c r="F18426" t="str">
        <v>-</v>
      </c>
      <c r="G18426" t="str">
        <v>-</v>
      </c>
    </row>
    <row r="18427">
      <c r="B18427" t="str">
        <v>UBND Ủy ban nhân dân xã Ea Hồ  tỉnh Đắk Lắk</v>
      </c>
      <c r="C18427" t="str">
        <v>-</v>
      </c>
      <c r="D18427" t="str">
        <v>-</v>
      </c>
      <c r="E18427" t="str">
        <v>-</v>
      </c>
      <c r="F18427" t="str">
        <v>-</v>
      </c>
      <c r="G18427" t="str">
        <v>-</v>
      </c>
    </row>
    <row r="18428">
      <c r="B18428" t="str">
        <v>Công an xã Phú Xuân  tỉnh Đắk Lắk</v>
      </c>
      <c r="C18428" t="str">
        <v>-</v>
      </c>
      <c r="D18428" t="str">
        <v>-</v>
      </c>
      <c r="E18428" t="str">
        <v/>
      </c>
      <c r="F18428" t="str">
        <v>-</v>
      </c>
      <c r="G18428" t="str">
        <v>-</v>
      </c>
    </row>
    <row r="18429">
      <c r="B18429" t="str">
        <v>UBND Ủy ban nhân dân xã Phú Xuân  tỉnh Đắk Lắk</v>
      </c>
      <c r="C18429" t="str">
        <v>-</v>
      </c>
      <c r="D18429" t="str">
        <v>-</v>
      </c>
      <c r="E18429" t="str">
        <v>-</v>
      </c>
      <c r="F18429" t="str">
        <v>-</v>
      </c>
      <c r="G18429" t="str">
        <v>-</v>
      </c>
    </row>
    <row r="18430">
      <c r="B18430" t="str">
        <v>Công an xã Cư Klông  tỉnh Đắk Lắk</v>
      </c>
      <c r="C18430" t="str">
        <v>-</v>
      </c>
      <c r="D18430" t="str">
        <v>-</v>
      </c>
      <c r="E18430" t="str">
        <v/>
      </c>
      <c r="F18430" t="str">
        <v>-</v>
      </c>
      <c r="G18430" t="str">
        <v>-</v>
      </c>
    </row>
    <row r="18431">
      <c r="B18431" t="str">
        <v>UBND Ủy ban nhân dân xã Cư Klông  tỉnh Đắk Lắk</v>
      </c>
      <c r="C18431" t="str">
        <v>-</v>
      </c>
      <c r="D18431" t="str">
        <v>-</v>
      </c>
      <c r="E18431" t="str">
        <v>-</v>
      </c>
      <c r="F18431" t="str">
        <v>-</v>
      </c>
      <c r="G18431" t="str">
        <v>-</v>
      </c>
    </row>
    <row r="18432">
      <c r="B18432" t="str">
        <v>Công an xã Ea Tân  tỉnh Đắk Lắk</v>
      </c>
      <c r="C18432" t="str">
        <v>-</v>
      </c>
      <c r="D18432" t="str">
        <v>-</v>
      </c>
      <c r="E18432" t="str">
        <v/>
      </c>
      <c r="F18432" t="str">
        <v>-</v>
      </c>
      <c r="G18432" t="str">
        <v>-</v>
      </c>
    </row>
    <row r="18433">
      <c r="B18433" t="str">
        <v>UBND Ủy ban nhân dân xã Ea Tân  tỉnh Đắk Lắk</v>
      </c>
      <c r="C18433" t="str">
        <v>-</v>
      </c>
      <c r="D18433" t="str">
        <v>-</v>
      </c>
      <c r="E18433" t="str">
        <v>-</v>
      </c>
      <c r="F18433" t="str">
        <v>-</v>
      </c>
      <c r="G18433" t="str">
        <v>-</v>
      </c>
    </row>
    <row r="18434">
      <c r="B18434" t="str">
        <v>Công an xã Ea Sô  tỉnh Đắk Lắk</v>
      </c>
      <c r="C18434" t="str">
        <v>-</v>
      </c>
      <c r="D18434" t="str">
        <v>-</v>
      </c>
      <c r="E18434" t="str">
        <v/>
      </c>
      <c r="F18434" t="str">
        <v>-</v>
      </c>
      <c r="G18434" t="str">
        <v>-</v>
      </c>
    </row>
    <row r="18435">
      <c r="B18435" t="str">
        <v>UBND Ủy ban nhân dân xã Ea Sô  tỉnh Đắk Lắk</v>
      </c>
      <c r="C18435" t="str">
        <v>-</v>
      </c>
      <c r="D18435" t="str">
        <v>-</v>
      </c>
      <c r="E18435" t="str">
        <v>-</v>
      </c>
      <c r="F18435" t="str">
        <v>-</v>
      </c>
      <c r="G18435" t="str">
        <v>-</v>
      </c>
    </row>
    <row r="18436">
      <c r="B18436" t="str">
        <v>Công an xã Ea Sar  tỉnh Đắk Lắk</v>
      </c>
      <c r="C18436" t="str">
        <v>-</v>
      </c>
      <c r="D18436" t="str">
        <v>-</v>
      </c>
      <c r="E18436" t="str">
        <v/>
      </c>
      <c r="F18436" t="str">
        <v>-</v>
      </c>
      <c r="G18436" t="str">
        <v>-</v>
      </c>
    </row>
    <row r="18437">
      <c r="B18437" t="str">
        <v>UBND Ủy ban nhân dân xã Ea Sar  tỉnh Đắk Lắk</v>
      </c>
      <c r="C18437" t="str">
        <v>-</v>
      </c>
      <c r="D18437" t="str">
        <v>-</v>
      </c>
      <c r="E18437" t="str">
        <v>-</v>
      </c>
      <c r="F18437" t="str">
        <v>-</v>
      </c>
      <c r="G18437" t="str">
        <v>-</v>
      </c>
    </row>
    <row r="18438">
      <c r="B18438" t="str">
        <v>Công an xã Xuân Phú  tỉnh Đắk Lắk</v>
      </c>
      <c r="C18438" t="str">
        <v>-</v>
      </c>
      <c r="D18438" t="str">
        <v>-</v>
      </c>
      <c r="E18438" t="str">
        <v/>
      </c>
      <c r="F18438" t="str">
        <v>-</v>
      </c>
      <c r="G18438" t="str">
        <v>-</v>
      </c>
    </row>
    <row r="18439">
      <c r="B18439" t="str">
        <v>UBND Ủy ban nhân dân xã Xuân Phú  tỉnh Đắk Lắk</v>
      </c>
      <c r="C18439" t="str">
        <v>-</v>
      </c>
      <c r="D18439" t="str">
        <v>-</v>
      </c>
      <c r="E18439" t="str">
        <v>-</v>
      </c>
      <c r="F18439" t="str">
        <v>-</v>
      </c>
      <c r="G18439" t="str">
        <v>-</v>
      </c>
    </row>
    <row r="18440">
      <c r="B18440" t="str">
        <v>Công an xã Cư Huê  tỉnh Đắk Lắk</v>
      </c>
      <c r="C18440" t="str">
        <v>-</v>
      </c>
      <c r="D18440" t="str">
        <v>-</v>
      </c>
      <c r="E18440" t="str">
        <v/>
      </c>
      <c r="F18440" t="str">
        <v>-</v>
      </c>
      <c r="G18440" t="str">
        <v>-</v>
      </c>
    </row>
    <row r="18441">
      <c r="B18441" t="str">
        <v>UBND Ủy ban nhân dân xã Cư Huê  tỉnh Đắk Lắk</v>
      </c>
      <c r="C18441" t="str">
        <v>-</v>
      </c>
      <c r="D18441" t="str">
        <v>-</v>
      </c>
      <c r="E18441" t="str">
        <v>-</v>
      </c>
      <c r="F18441" t="str">
        <v>-</v>
      </c>
      <c r="G18441" t="str">
        <v>-</v>
      </c>
    </row>
    <row r="18442">
      <c r="B18442" t="str">
        <v>Công an xã Ea Tih  tỉnh Đắk Lắk</v>
      </c>
      <c r="C18442" t="str">
        <v>-</v>
      </c>
      <c r="D18442" t="str">
        <v>-</v>
      </c>
      <c r="E18442" t="str">
        <v/>
      </c>
      <c r="F18442" t="str">
        <v>-</v>
      </c>
      <c r="G18442" t="str">
        <v>-</v>
      </c>
    </row>
    <row r="18443">
      <c r="B18443" t="str">
        <v>UBND Ủy ban nhân dân xã Ea Tih  tỉnh Đắk Lắk</v>
      </c>
      <c r="C18443" t="str">
        <v>-</v>
      </c>
      <c r="D18443" t="str">
        <v>-</v>
      </c>
      <c r="E18443" t="str">
        <v>-</v>
      </c>
      <c r="F18443" t="str">
        <v>-</v>
      </c>
      <c r="G18443" t="str">
        <v>-</v>
      </c>
    </row>
    <row r="18444">
      <c r="B18444" t="str">
        <v>Công an xã Ea Đar  tỉnh Đắk Lắk</v>
      </c>
      <c r="C18444" t="str">
        <v>-</v>
      </c>
      <c r="D18444" t="str">
        <v>-</v>
      </c>
      <c r="E18444" t="str">
        <v/>
      </c>
      <c r="F18444" t="str">
        <v>-</v>
      </c>
      <c r="G18444" t="str">
        <v>-</v>
      </c>
    </row>
    <row r="18445">
      <c r="B18445" t="str">
        <v>UBND Ủy ban nhân dân xã Ea Đar  tỉnh Đắk Lắk</v>
      </c>
      <c r="C18445" t="str">
        <v>-</v>
      </c>
      <c r="D18445" t="str">
        <v>-</v>
      </c>
      <c r="E18445" t="str">
        <v>-</v>
      </c>
      <c r="F18445" t="str">
        <v>-</v>
      </c>
      <c r="G18445" t="str">
        <v>-</v>
      </c>
    </row>
    <row r="18446">
      <c r="B18446" t="str">
        <v>Công an xã Ea Kmút  tỉnh Đắk Lắk</v>
      </c>
      <c r="C18446" t="str">
        <v>-</v>
      </c>
      <c r="D18446" t="str">
        <v>-</v>
      </c>
      <c r="E18446" t="str">
        <v/>
      </c>
      <c r="F18446" t="str">
        <v>-</v>
      </c>
      <c r="G18446" t="str">
        <v>-</v>
      </c>
    </row>
    <row r="18447">
      <c r="B18447" t="str">
        <v>UBND Ủy ban nhân dân xã Ea Kmút  tỉnh Đắk Lắk</v>
      </c>
      <c r="C18447" t="str">
        <v>-</v>
      </c>
      <c r="D18447" t="str">
        <v>-</v>
      </c>
      <c r="E18447" t="str">
        <v>-</v>
      </c>
      <c r="F18447" t="str">
        <v>-</v>
      </c>
      <c r="G18447" t="str">
        <v>-</v>
      </c>
    </row>
    <row r="18448">
      <c r="B18448" t="str">
        <v>Công an xã Cư Ni  tỉnh Đắk Lắk</v>
      </c>
      <c r="C18448" t="str">
        <v>-</v>
      </c>
      <c r="D18448" t="str">
        <v>-</v>
      </c>
      <c r="E18448" t="str">
        <v/>
      </c>
      <c r="F18448" t="str">
        <v>-</v>
      </c>
      <c r="G18448" t="str">
        <v>-</v>
      </c>
    </row>
    <row r="18449">
      <c r="B18449" t="str">
        <v>UBND Ủy ban nhân dân xã Cư Ni  tỉnh Đắk Lắk</v>
      </c>
      <c r="C18449" t="str">
        <v>-</v>
      </c>
      <c r="D18449" t="str">
        <v>-</v>
      </c>
      <c r="E18449" t="str">
        <v>-</v>
      </c>
      <c r="F18449" t="str">
        <v>-</v>
      </c>
      <c r="G18449" t="str">
        <v>-</v>
      </c>
    </row>
    <row r="18450">
      <c r="B18450" t="str">
        <v>Công an xã Ea Păl  tỉnh Đắk Lắk</v>
      </c>
      <c r="C18450" t="str">
        <v>-</v>
      </c>
      <c r="D18450" t="str">
        <v>-</v>
      </c>
      <c r="E18450" t="str">
        <v/>
      </c>
      <c r="F18450" t="str">
        <v>-</v>
      </c>
      <c r="G18450" t="str">
        <v>-</v>
      </c>
    </row>
    <row r="18451">
      <c r="B18451" t="str">
        <v>UBND Ủy ban nhân dân xã Ea Păl  tỉnh Đắk Lắk</v>
      </c>
      <c r="C18451" t="str">
        <v>-</v>
      </c>
      <c r="D18451" t="str">
        <v>-</v>
      </c>
      <c r="E18451" t="str">
        <v>-</v>
      </c>
      <c r="F18451" t="str">
        <v>-</v>
      </c>
      <c r="G18451" t="str">
        <v>-</v>
      </c>
    </row>
    <row r="18452">
      <c r="B18452" t="str">
        <v>Công an xã Cư Prông  tỉnh Đắk Lắk</v>
      </c>
      <c r="C18452" t="str">
        <v>-</v>
      </c>
      <c r="D18452" t="str">
        <v>-</v>
      </c>
      <c r="E18452" t="str">
        <v/>
      </c>
      <c r="F18452" t="str">
        <v>-</v>
      </c>
      <c r="G18452" t="str">
        <v>-</v>
      </c>
    </row>
    <row r="18453">
      <c r="B18453" t="str">
        <v>UBND Ủy ban nhân dân xã Cư Prông  tỉnh Đắk Lắk</v>
      </c>
      <c r="C18453" t="str">
        <v>-</v>
      </c>
      <c r="D18453" t="str">
        <v>-</v>
      </c>
      <c r="E18453" t="str">
        <v>-</v>
      </c>
      <c r="F18453" t="str">
        <v>-</v>
      </c>
      <c r="G18453" t="str">
        <v>-</v>
      </c>
    </row>
    <row r="18454">
      <c r="B18454" t="str">
        <v>Công an xã Ea Ô  tỉnh Đắk Lắk</v>
      </c>
      <c r="C18454" t="str">
        <v>-</v>
      </c>
      <c r="D18454" t="str">
        <v>-</v>
      </c>
      <c r="E18454" t="str">
        <v/>
      </c>
      <c r="F18454" t="str">
        <v>-</v>
      </c>
      <c r="G18454" t="str">
        <v>-</v>
      </c>
    </row>
    <row r="18455">
      <c r="B18455" t="str">
        <v>UBND Ủy ban nhân dân xã Ea Ô  tỉnh Đắk Lắk</v>
      </c>
      <c r="C18455" t="str">
        <v>-</v>
      </c>
      <c r="D18455" t="str">
        <v>-</v>
      </c>
      <c r="E18455" t="str">
        <v>-</v>
      </c>
      <c r="F18455" t="str">
        <v>-</v>
      </c>
      <c r="G18455" t="str">
        <v>-</v>
      </c>
    </row>
    <row r="18456">
      <c r="B18456" t="str">
        <v>Công an xã Cư ELang  tỉnh Đắk Lắk</v>
      </c>
      <c r="C18456" t="str">
        <v>-</v>
      </c>
      <c r="D18456" t="str">
        <v>-</v>
      </c>
      <c r="E18456" t="str">
        <v/>
      </c>
      <c r="F18456" t="str">
        <v>-</v>
      </c>
      <c r="G18456" t="str">
        <v>-</v>
      </c>
    </row>
    <row r="18457">
      <c r="B18457" t="str">
        <v>UBND Ủy ban nhân dân xã Cư ELang  tỉnh Đắk Lắk</v>
      </c>
      <c r="C18457" t="str">
        <v>-</v>
      </c>
      <c r="D18457" t="str">
        <v>-</v>
      </c>
      <c r="E18457" t="str">
        <v>-</v>
      </c>
      <c r="F18457" t="str">
        <v>-</v>
      </c>
      <c r="G18457" t="str">
        <v>-</v>
      </c>
    </row>
    <row r="18458">
      <c r="B18458" t="str">
        <v>Công an xã Cư Bông  tỉnh Đắk Lắk</v>
      </c>
      <c r="C18458" t="str">
        <v>-</v>
      </c>
      <c r="D18458" t="str">
        <v>-</v>
      </c>
      <c r="E18458" t="str">
        <v/>
      </c>
      <c r="F18458" t="str">
        <v>-</v>
      </c>
      <c r="G18458" t="str">
        <v>-</v>
      </c>
    </row>
    <row r="18459">
      <c r="B18459" t="str">
        <v>UBND Ủy ban nhân dân xã Cư Bông  tỉnh Đắk Lắk</v>
      </c>
      <c r="C18459" t="str">
        <v>-</v>
      </c>
      <c r="D18459" t="str">
        <v>-</v>
      </c>
      <c r="E18459" t="str">
        <v>-</v>
      </c>
      <c r="F18459" t="str">
        <v>-</v>
      </c>
      <c r="G18459" t="str">
        <v>-</v>
      </c>
    </row>
    <row r="18460">
      <c r="B18460" t="str">
        <v>Công an xã Cư Jang  tỉnh Đắk Lắk</v>
      </c>
      <c r="C18460" t="str">
        <v>-</v>
      </c>
      <c r="D18460" t="str">
        <v>-</v>
      </c>
      <c r="E18460" t="str">
        <v/>
      </c>
      <c r="F18460" t="str">
        <v>-</v>
      </c>
      <c r="G18460" t="str">
        <v>-</v>
      </c>
    </row>
    <row r="18461">
      <c r="B18461" t="str">
        <v>UBND Ủy ban nhân dân xã Cư Jang  tỉnh Đắk Lắk</v>
      </c>
      <c r="C18461" t="str">
        <v>-</v>
      </c>
      <c r="D18461" t="str">
        <v>-</v>
      </c>
      <c r="E18461" t="str">
        <v>-</v>
      </c>
      <c r="F18461" t="str">
        <v>-</v>
      </c>
      <c r="G18461" t="str">
        <v>-</v>
      </c>
    </row>
    <row r="18462">
      <c r="B18462" t="str">
        <v>Công an xã Cư Prao  tỉnh Đắk Lắk</v>
      </c>
      <c r="C18462" t="str">
        <v>-</v>
      </c>
      <c r="D18462" t="str">
        <v>-</v>
      </c>
      <c r="E18462" t="str">
        <v/>
      </c>
      <c r="F18462" t="str">
        <v>-</v>
      </c>
      <c r="G18462" t="str">
        <v>-</v>
      </c>
    </row>
    <row r="18463">
      <c r="B18463" t="str">
        <v>UBND Ủy ban nhân dân xã Cư Prao  tỉnh Đắk Lắk</v>
      </c>
      <c r="C18463" t="str">
        <v>-</v>
      </c>
      <c r="D18463" t="str">
        <v>-</v>
      </c>
      <c r="E18463" t="str">
        <v>-</v>
      </c>
      <c r="F18463" t="str">
        <v>-</v>
      </c>
      <c r="G18463" t="str">
        <v>-</v>
      </c>
    </row>
    <row r="18464">
      <c r="B18464" t="str">
        <v>Công an xã Ea Pil  tỉnh Đắk Lắk</v>
      </c>
      <c r="C18464" t="str">
        <v>-</v>
      </c>
      <c r="D18464" t="str">
        <v>-</v>
      </c>
      <c r="E18464" t="str">
        <v/>
      </c>
      <c r="F18464" t="str">
        <v>-</v>
      </c>
      <c r="G18464" t="str">
        <v>-</v>
      </c>
    </row>
    <row r="18465">
      <c r="B18465" t="str">
        <v>UBND Ủy ban nhân dân xã Ea Pil  tỉnh Đắk Lắk</v>
      </c>
      <c r="C18465" t="str">
        <v>-</v>
      </c>
      <c r="D18465" t="str">
        <v>-</v>
      </c>
      <c r="E18465" t="str">
        <v>-</v>
      </c>
      <c r="F18465" t="str">
        <v>-</v>
      </c>
      <c r="G18465" t="str">
        <v>-</v>
      </c>
    </row>
    <row r="18466">
      <c r="B18466" t="str">
        <v>Công an xã Ea Lai  tỉnh Đắk Lắk</v>
      </c>
      <c r="C18466" t="str">
        <v>-</v>
      </c>
      <c r="D18466" t="str">
        <v>-</v>
      </c>
      <c r="E18466" t="str">
        <v/>
      </c>
      <c r="F18466" t="str">
        <v>-</v>
      </c>
      <c r="G18466" t="str">
        <v>-</v>
      </c>
    </row>
    <row r="18467">
      <c r="B18467" t="str">
        <v>UBND Ủy ban nhân dân xã Ea Lai  tỉnh Đắk Lắk</v>
      </c>
      <c r="C18467" t="str">
        <v>-</v>
      </c>
      <c r="D18467" t="str">
        <v>-</v>
      </c>
      <c r="E18467" t="str">
        <v>-</v>
      </c>
      <c r="F18467" t="str">
        <v>-</v>
      </c>
      <c r="G18467" t="str">
        <v>-</v>
      </c>
    </row>
    <row r="18468">
      <c r="B18468" t="str">
        <v>Công an xã Ea H'MLay  tỉnh Đắk Lắk</v>
      </c>
      <c r="C18468" t="str">
        <v>-</v>
      </c>
      <c r="D18468" t="str">
        <v>-</v>
      </c>
      <c r="E18468" t="str">
        <v/>
      </c>
      <c r="F18468" t="str">
        <v>-</v>
      </c>
      <c r="G18468" t="str">
        <v>-</v>
      </c>
    </row>
    <row r="18469">
      <c r="B18469" t="str">
        <v>UBND Ủy ban nhân dân xã Ea H'MLay  tỉnh Đắk Lắk</v>
      </c>
      <c r="C18469" t="str">
        <v>-</v>
      </c>
      <c r="D18469" t="str">
        <v>-</v>
      </c>
      <c r="E18469" t="str">
        <v>-</v>
      </c>
      <c r="F18469" t="str">
        <v>-</v>
      </c>
      <c r="G18469" t="str">
        <v>-</v>
      </c>
    </row>
    <row r="18470">
      <c r="B18470" t="str">
        <v>Công an xã Krông Jing  tỉnh Đắk Lắk</v>
      </c>
      <c r="C18470" t="str">
        <v>-</v>
      </c>
      <c r="D18470" t="str">
        <v>-</v>
      </c>
      <c r="E18470" t="str">
        <v/>
      </c>
      <c r="F18470" t="str">
        <v>-</v>
      </c>
      <c r="G18470" t="str">
        <v>-</v>
      </c>
    </row>
    <row r="18471">
      <c r="B18471" t="str">
        <v>UBND Ủy ban nhân dân xã Krông Jing  tỉnh Đắk Lắk</v>
      </c>
      <c r="C18471" t="str">
        <v>-</v>
      </c>
      <c r="D18471" t="str">
        <v>-</v>
      </c>
      <c r="E18471" t="str">
        <v>-</v>
      </c>
      <c r="F18471" t="str">
        <v>-</v>
      </c>
      <c r="G18471" t="str">
        <v>-</v>
      </c>
    </row>
    <row r="18472">
      <c r="B18472" t="str">
        <v>Công an xã Ea M' Doal  tỉnh Đắk Lắk</v>
      </c>
      <c r="C18472" t="str">
        <v>-</v>
      </c>
      <c r="D18472" t="str">
        <v>-</v>
      </c>
      <c r="E18472" t="str">
        <v/>
      </c>
      <c r="F18472" t="str">
        <v>-</v>
      </c>
      <c r="G18472" t="str">
        <v>-</v>
      </c>
    </row>
    <row r="18473">
      <c r="B18473" t="str">
        <v>UBND Ủy ban nhân dân xã Ea M' Doal  tỉnh Đắk Lắk</v>
      </c>
      <c r="C18473" t="str">
        <v>-</v>
      </c>
      <c r="D18473" t="str">
        <v>-</v>
      </c>
      <c r="E18473" t="str">
        <v>-</v>
      </c>
      <c r="F18473" t="str">
        <v>-</v>
      </c>
      <c r="G18473" t="str">
        <v>-</v>
      </c>
    </row>
    <row r="18474">
      <c r="B18474" t="str">
        <v>Công an xã Ea Riêng  tỉnh Đắk Lắk</v>
      </c>
      <c r="C18474" t="str">
        <v>-</v>
      </c>
      <c r="D18474" t="str">
        <v>-</v>
      </c>
      <c r="E18474" t="str">
        <v/>
      </c>
      <c r="F18474" t="str">
        <v>-</v>
      </c>
      <c r="G18474" t="str">
        <v>-</v>
      </c>
    </row>
    <row r="18475">
      <c r="B18475" t="str">
        <v>UBND Ủy ban nhân dân xã Ea Riêng  tỉnh Đắk Lắk</v>
      </c>
      <c r="C18475" t="str">
        <v>-</v>
      </c>
      <c r="D18475" t="str">
        <v>-</v>
      </c>
      <c r="E18475" t="str">
        <v>-</v>
      </c>
      <c r="F18475" t="str">
        <v>-</v>
      </c>
      <c r="G18475" t="str">
        <v>-</v>
      </c>
    </row>
    <row r="18476">
      <c r="B18476" t="str">
        <v>Công an xã Cư M'ta  tỉnh Đắk Lắk</v>
      </c>
      <c r="C18476" t="str">
        <v>-</v>
      </c>
      <c r="D18476" t="str">
        <v>-</v>
      </c>
      <c r="E18476" t="str">
        <v/>
      </c>
      <c r="F18476" t="str">
        <v>-</v>
      </c>
      <c r="G18476" t="str">
        <v>-</v>
      </c>
    </row>
    <row r="18477">
      <c r="B18477" t="str">
        <v>UBND Ủy ban nhân dân xã Cư M'ta  tỉnh Đắk Lắk</v>
      </c>
      <c r="C18477" t="str">
        <v>-</v>
      </c>
      <c r="D18477" t="str">
        <v>-</v>
      </c>
      <c r="E18477" t="str">
        <v>-</v>
      </c>
      <c r="F18477" t="str">
        <v>-</v>
      </c>
      <c r="G18477" t="str">
        <v>-</v>
      </c>
    </row>
    <row r="18478">
      <c r="B18478" t="str">
        <v>Công an xã Cư K Róa  tỉnh Đắk Lắk</v>
      </c>
      <c r="C18478" t="str">
        <v>-</v>
      </c>
      <c r="D18478" t="str">
        <v>-</v>
      </c>
      <c r="E18478" t="str">
        <v/>
      </c>
      <c r="F18478" t="str">
        <v>-</v>
      </c>
      <c r="G18478" t="str">
        <v>-</v>
      </c>
    </row>
    <row r="18479">
      <c r="B18479" t="str">
        <v>UBND Ủy ban nhân dân xã Cư K Róa  tỉnh Đắk Lắk</v>
      </c>
      <c r="C18479" t="str">
        <v>-</v>
      </c>
      <c r="D18479" t="str">
        <v>-</v>
      </c>
      <c r="E18479" t="str">
        <v>-</v>
      </c>
      <c r="F18479" t="str">
        <v>-</v>
      </c>
      <c r="G18479" t="str">
        <v>-</v>
      </c>
    </row>
    <row r="18480">
      <c r="B18480" t="str">
        <v>Công an xã Krông Á  tỉnh Đắk Lắk</v>
      </c>
      <c r="C18480" t="str">
        <v>-</v>
      </c>
      <c r="D18480" t="str">
        <v>-</v>
      </c>
      <c r="E18480" t="str">
        <v/>
      </c>
      <c r="F18480" t="str">
        <v>-</v>
      </c>
      <c r="G18480" t="str">
        <v>-</v>
      </c>
    </row>
    <row r="18481">
      <c r="B18481" t="str">
        <v>UBND Ủy ban nhân dân xã Krông Á  tỉnh Đắk Lắk</v>
      </c>
      <c r="C18481" t="str">
        <v>-</v>
      </c>
      <c r="D18481" t="str">
        <v>-</v>
      </c>
      <c r="E18481" t="str">
        <v>-</v>
      </c>
      <c r="F18481" t="str">
        <v>-</v>
      </c>
      <c r="G18481" t="str">
        <v>-</v>
      </c>
    </row>
    <row r="18482">
      <c r="B18482" t="str">
        <v>Công an xã Cư San  tỉnh Đắk Lắk</v>
      </c>
      <c r="C18482" t="str">
        <v>-</v>
      </c>
      <c r="D18482" t="str">
        <v>-</v>
      </c>
      <c r="E18482" t="str">
        <v/>
      </c>
      <c r="F18482" t="str">
        <v>-</v>
      </c>
      <c r="G18482" t="str">
        <v>-</v>
      </c>
    </row>
    <row r="18483">
      <c r="B18483" t="str">
        <v>UBND Ủy ban nhân dân xã Cư San  tỉnh Đắk Lắk</v>
      </c>
      <c r="C18483" t="str">
        <v>-</v>
      </c>
      <c r="D18483" t="str">
        <v>-</v>
      </c>
      <c r="E18483" t="str">
        <v>-</v>
      </c>
      <c r="F18483" t="str">
        <v>-</v>
      </c>
      <c r="G18483" t="str">
        <v>-</v>
      </c>
    </row>
    <row r="18484">
      <c r="B18484" t="str">
        <v>Công an xã Ea Trang  tỉnh Đắk Lắk</v>
      </c>
      <c r="C18484" t="str">
        <v>-</v>
      </c>
      <c r="D18484" t="str">
        <v>-</v>
      </c>
      <c r="E18484" t="str">
        <v/>
      </c>
      <c r="F18484" t="str">
        <v>-</v>
      </c>
      <c r="G18484" t="str">
        <v>-</v>
      </c>
    </row>
    <row r="18485">
      <c r="B18485" t="str">
        <v>UBND Ủy ban nhân dân xã Ea Trang  tỉnh Đắk Lắk</v>
      </c>
      <c r="C18485" t="str">
        <v>-</v>
      </c>
      <c r="D18485" t="str">
        <v>-</v>
      </c>
      <c r="E18485" t="str">
        <v>-</v>
      </c>
      <c r="F18485" t="str">
        <v>-</v>
      </c>
      <c r="G18485" t="str">
        <v>-</v>
      </c>
    </row>
    <row r="18486">
      <c r="B18486" t="str">
        <v>Công an xã Dang Kang  tỉnh Đắk Lắk</v>
      </c>
      <c r="C18486" t="str">
        <v>-</v>
      </c>
      <c r="D18486" t="str">
        <v>-</v>
      </c>
      <c r="E18486" t="str">
        <v/>
      </c>
      <c r="F18486" t="str">
        <v>-</v>
      </c>
      <c r="G18486" t="str">
        <v>-</v>
      </c>
    </row>
    <row r="18487">
      <c r="B18487" t="str">
        <v>UBND Ủy ban nhân dân xã Dang Kang  tỉnh Đắk Lắk</v>
      </c>
      <c r="C18487" t="str">
        <v>-</v>
      </c>
      <c r="D18487" t="str">
        <v>-</v>
      </c>
      <c r="E18487" t="str">
        <v>-</v>
      </c>
      <c r="F18487" t="str">
        <v>-</v>
      </c>
      <c r="G18487" t="str">
        <v>-</v>
      </c>
    </row>
    <row r="18488">
      <c r="B18488" t="str">
        <v>Công an xã Cư KTy  tỉnh Đắk Lắk</v>
      </c>
      <c r="C18488" t="str">
        <v>-</v>
      </c>
      <c r="D18488" t="str">
        <v>-</v>
      </c>
      <c r="E18488" t="str">
        <v/>
      </c>
      <c r="F18488" t="str">
        <v>-</v>
      </c>
      <c r="G18488" t="str">
        <v>-</v>
      </c>
    </row>
    <row r="18489">
      <c r="B18489" t="str">
        <v>UBND Ủy ban nhân dân xã Cư KTy  tỉnh Đắk Lắk</v>
      </c>
      <c r="C18489" t="str">
        <v>-</v>
      </c>
      <c r="D18489" t="str">
        <v>-</v>
      </c>
      <c r="E18489" t="str">
        <v>-</v>
      </c>
      <c r="F18489" t="str">
        <v>-</v>
      </c>
      <c r="G18489" t="str">
        <v>-</v>
      </c>
    </row>
    <row r="18490">
      <c r="B18490" t="str">
        <v>Công an xã Hòa Thành  tỉnh Đắk Lắk</v>
      </c>
      <c r="C18490" t="str">
        <v>-</v>
      </c>
      <c r="D18490" t="str">
        <v>-</v>
      </c>
      <c r="E18490" t="str">
        <v/>
      </c>
      <c r="F18490" t="str">
        <v>-</v>
      </c>
      <c r="G18490" t="str">
        <v>-</v>
      </c>
    </row>
    <row r="18491">
      <c r="B18491" t="str">
        <v>UBND Ủy ban nhân dân xã Hòa Thành  tỉnh Đắk Lắk</v>
      </c>
      <c r="C18491" t="str">
        <v>-</v>
      </c>
      <c r="D18491" t="str">
        <v>-</v>
      </c>
      <c r="E18491" t="str">
        <v>-</v>
      </c>
      <c r="F18491" t="str">
        <v>-</v>
      </c>
      <c r="G18491" t="str">
        <v>-</v>
      </c>
    </row>
    <row r="18492">
      <c r="B18492" t="str">
        <v>Công an xã Hòa Tân  tỉnh Đắk Lắk</v>
      </c>
      <c r="C18492" t="str">
        <v>-</v>
      </c>
      <c r="D18492" t="str">
        <v>-</v>
      </c>
      <c r="E18492" t="str">
        <v/>
      </c>
      <c r="F18492" t="str">
        <v>-</v>
      </c>
      <c r="G18492" t="str">
        <v>-</v>
      </c>
    </row>
    <row r="18493">
      <c r="B18493" t="str">
        <v>UBND Ủy ban nhân dân xã Hòa Tân  tỉnh Đắk Lắk</v>
      </c>
      <c r="C18493" t="str">
        <v>-</v>
      </c>
      <c r="D18493" t="str">
        <v>-</v>
      </c>
      <c r="E18493" t="str">
        <v>-</v>
      </c>
      <c r="F18493" t="str">
        <v>-</v>
      </c>
      <c r="G18493" t="str">
        <v>-</v>
      </c>
    </row>
    <row r="18494">
      <c r="B18494" t="str">
        <v>Công an xã Hòa Phong  tỉnh Đắk Lắk</v>
      </c>
      <c r="C18494" t="str">
        <v>-</v>
      </c>
      <c r="D18494" t="str">
        <v>-</v>
      </c>
      <c r="E18494" t="str">
        <v/>
      </c>
      <c r="F18494" t="str">
        <v>-</v>
      </c>
      <c r="G18494" t="str">
        <v>-</v>
      </c>
    </row>
    <row r="18495">
      <c r="B18495" t="str">
        <v>UBND Ủy ban nhân dân xã Hòa Phong  tỉnh Đắk Lắk</v>
      </c>
      <c r="C18495" t="str">
        <v>-</v>
      </c>
      <c r="D18495" t="str">
        <v>-</v>
      </c>
      <c r="E18495" t="str">
        <v>-</v>
      </c>
      <c r="F18495" t="str">
        <v>-</v>
      </c>
      <c r="G18495" t="str">
        <v>-</v>
      </c>
    </row>
    <row r="18496">
      <c r="B18496" t="str">
        <v>Công an xã Hòa Lễ  tỉnh Đắk Lắk</v>
      </c>
      <c r="C18496" t="str">
        <v>-</v>
      </c>
      <c r="D18496" t="str">
        <v>-</v>
      </c>
      <c r="E18496" t="str">
        <v/>
      </c>
      <c r="F18496" t="str">
        <v>-</v>
      </c>
      <c r="G18496" t="str">
        <v>-</v>
      </c>
    </row>
    <row r="18497">
      <c r="B18497" t="str">
        <v>UBND Ủy ban nhân dân xã Hòa Lễ  tỉnh Đắk Lắk</v>
      </c>
      <c r="C18497" t="str">
        <v>-</v>
      </c>
      <c r="D18497" t="str">
        <v>-</v>
      </c>
      <c r="E18497" t="str">
        <v>-</v>
      </c>
      <c r="F18497" t="str">
        <v>-</v>
      </c>
      <c r="G18497" t="str">
        <v>-</v>
      </c>
    </row>
    <row r="18498">
      <c r="B18498" t="str">
        <v>Công an xã Yang Reh  tỉnh Đắk Lắk</v>
      </c>
      <c r="C18498" t="str">
        <v>-</v>
      </c>
      <c r="D18498" t="str">
        <v>-</v>
      </c>
      <c r="E18498" t="str">
        <v/>
      </c>
      <c r="F18498" t="str">
        <v>-</v>
      </c>
      <c r="G18498" t="str">
        <v>-</v>
      </c>
    </row>
    <row r="18499">
      <c r="B18499" t="str">
        <v>UBND Ủy ban nhân dân xã Yang Reh  tỉnh Đắk Lắk</v>
      </c>
      <c r="C18499" t="str">
        <v>-</v>
      </c>
      <c r="D18499" t="str">
        <v>-</v>
      </c>
      <c r="E18499" t="str">
        <v>-</v>
      </c>
      <c r="F18499" t="str">
        <v>-</v>
      </c>
      <c r="G18499" t="str">
        <v>-</v>
      </c>
    </row>
    <row r="18500">
      <c r="B18500" t="str">
        <v>Công an xã Ea Trul  tỉnh Đắk Lắk</v>
      </c>
      <c r="C18500" t="str">
        <v>-</v>
      </c>
      <c r="D18500" t="str">
        <v>-</v>
      </c>
      <c r="E18500" t="str">
        <v/>
      </c>
      <c r="F18500" t="str">
        <v>-</v>
      </c>
      <c r="G18500" t="str">
        <v>-</v>
      </c>
    </row>
    <row r="18501">
      <c r="B18501" t="str">
        <v>UBND Ủy ban nhân dân xã Ea Trul  tỉnh Đắk Lắk</v>
      </c>
      <c r="C18501" t="str">
        <v>-</v>
      </c>
      <c r="D18501" t="str">
        <v>-</v>
      </c>
      <c r="E18501" t="str">
        <v>-</v>
      </c>
      <c r="F18501" t="str">
        <v>-</v>
      </c>
      <c r="G18501" t="str">
        <v>-</v>
      </c>
    </row>
    <row r="18502">
      <c r="B18502" t="str">
        <v>Công an xã Khuê Ngọc Điền  tỉnh Đắk Lắk</v>
      </c>
      <c r="C18502" t="str">
        <v>-</v>
      </c>
      <c r="D18502" t="str">
        <v>-</v>
      </c>
      <c r="E18502" t="str">
        <v/>
      </c>
      <c r="F18502" t="str">
        <v>-</v>
      </c>
      <c r="G18502" t="str">
        <v>-</v>
      </c>
    </row>
    <row r="18503">
      <c r="B18503" t="str">
        <v>UBND Ủy ban nhân dân xã Khuê Ngọc Điền  tỉnh Đắk Lắk</v>
      </c>
      <c r="C18503" t="str">
        <v>-</v>
      </c>
      <c r="D18503" t="str">
        <v>-</v>
      </c>
      <c r="E18503" t="str">
        <v>-</v>
      </c>
      <c r="F18503" t="str">
        <v>-</v>
      </c>
      <c r="G18503" t="str">
        <v>-</v>
      </c>
    </row>
    <row r="18504">
      <c r="B18504" t="str">
        <v>Công an xã Cư Pui  tỉnh Đắk Lắk</v>
      </c>
      <c r="C18504" t="str">
        <v>-</v>
      </c>
      <c r="D18504" t="str">
        <v>-</v>
      </c>
      <c r="E18504" t="str">
        <v/>
      </c>
      <c r="F18504" t="str">
        <v>-</v>
      </c>
      <c r="G18504" t="str">
        <v>-</v>
      </c>
    </row>
    <row r="18505">
      <c r="B18505" t="str">
        <v>UBND Ủy ban nhân dân xã Cư Pui  tỉnh Đắk Lắk</v>
      </c>
      <c r="C18505" t="str">
        <v>-</v>
      </c>
      <c r="D18505" t="str">
        <v>-</v>
      </c>
      <c r="E18505" t="str">
        <v>-</v>
      </c>
      <c r="F18505" t="str">
        <v>-</v>
      </c>
      <c r="G18505" t="str">
        <v>-</v>
      </c>
    </row>
    <row r="18506">
      <c r="B18506" t="str">
        <v>Công an xã Hòa Sơn  tỉnh Đắk Lắk</v>
      </c>
      <c r="C18506" t="str">
        <v>-</v>
      </c>
      <c r="D18506" t="str">
        <v>-</v>
      </c>
      <c r="E18506" t="str">
        <v/>
      </c>
      <c r="F18506" t="str">
        <v>-</v>
      </c>
      <c r="G18506" t="str">
        <v>-</v>
      </c>
    </row>
    <row r="18507">
      <c r="B18507" t="str">
        <v>UBND Ủy ban nhân dân xã Hòa Sơn  tỉnh Đắk Lắk</v>
      </c>
      <c r="C18507" t="str">
        <v>-</v>
      </c>
      <c r="D18507" t="str">
        <v>-</v>
      </c>
      <c r="E18507" t="str">
        <v>-</v>
      </c>
      <c r="F18507" t="str">
        <v>-</v>
      </c>
      <c r="G18507" t="str">
        <v>-</v>
      </c>
    </row>
    <row r="18508">
      <c r="B18508" t="str">
        <v>Công an xã Cư Drăm  tỉnh Đắk Lắk</v>
      </c>
      <c r="C18508" t="str">
        <v>-</v>
      </c>
      <c r="D18508" t="str">
        <v>-</v>
      </c>
      <c r="E18508" t="str">
        <v/>
      </c>
      <c r="F18508" t="str">
        <v>-</v>
      </c>
      <c r="G18508" t="str">
        <v>-</v>
      </c>
    </row>
    <row r="18509">
      <c r="B18509" t="str">
        <v>UBND Ủy ban nhân dân xã Cư Drăm  tỉnh Đắk Lắk</v>
      </c>
      <c r="C18509" t="str">
        <v>-</v>
      </c>
      <c r="D18509" t="str">
        <v>-</v>
      </c>
      <c r="E18509" t="str">
        <v>-</v>
      </c>
      <c r="F18509" t="str">
        <v>-</v>
      </c>
      <c r="G18509" t="str">
        <v>-</v>
      </c>
    </row>
    <row r="18510">
      <c r="B18510" t="str">
        <v>Công an xã Yang Mao  tỉnh Đắk Lắk</v>
      </c>
      <c r="C18510" t="str">
        <v>-</v>
      </c>
      <c r="D18510" t="str">
        <v>-</v>
      </c>
      <c r="E18510" t="str">
        <v/>
      </c>
      <c r="F18510" t="str">
        <v>-</v>
      </c>
      <c r="G18510" t="str">
        <v>-</v>
      </c>
    </row>
    <row r="18511">
      <c r="B18511" t="str">
        <v>UBND Ủy ban nhân dân xã Yang Mao  tỉnh Đắk Lắk</v>
      </c>
      <c r="C18511" t="str">
        <v>-</v>
      </c>
      <c r="D18511" t="str">
        <v>-</v>
      </c>
      <c r="E18511" t="str">
        <v>-</v>
      </c>
      <c r="F18511" t="str">
        <v>-</v>
      </c>
      <c r="G18511" t="str">
        <v>-</v>
      </c>
    </row>
    <row r="18512">
      <c r="B18512" t="str">
        <v>Công an xã KRông Búk  tỉnh Đắk Lắk</v>
      </c>
      <c r="C18512" t="str">
        <v>-</v>
      </c>
      <c r="D18512" t="str">
        <v>-</v>
      </c>
      <c r="E18512" t="str">
        <v/>
      </c>
      <c r="F18512" t="str">
        <v>-</v>
      </c>
      <c r="G18512" t="str">
        <v>-</v>
      </c>
    </row>
    <row r="18513">
      <c r="B18513" t="str">
        <v>UBND Ủy ban nhân dân xã KRông Búk  tỉnh Đắk Lắk</v>
      </c>
      <c r="C18513" t="str">
        <v>-</v>
      </c>
      <c r="D18513" t="str">
        <v>-</v>
      </c>
      <c r="E18513" t="str">
        <v>-</v>
      </c>
      <c r="F18513" t="str">
        <v>-</v>
      </c>
      <c r="G18513" t="str">
        <v>-</v>
      </c>
    </row>
    <row r="18514">
      <c r="B18514" t="str">
        <v>Công an xã Ea Kly  tỉnh Đắk Lắk</v>
      </c>
      <c r="C18514" t="str">
        <v>-</v>
      </c>
      <c r="D18514" t="str">
        <v>-</v>
      </c>
      <c r="E18514" t="str">
        <v/>
      </c>
      <c r="F18514" t="str">
        <v>-</v>
      </c>
      <c r="G18514" t="str">
        <v>-</v>
      </c>
    </row>
    <row r="18515">
      <c r="B18515" t="str">
        <v>UBND Ủy ban nhân dân xã Ea Kly  tỉnh Đắk Lắk</v>
      </c>
      <c r="C18515" t="str">
        <v>-</v>
      </c>
      <c r="D18515" t="str">
        <v>-</v>
      </c>
      <c r="E18515" t="str">
        <v>-</v>
      </c>
      <c r="F18515" t="str">
        <v>-</v>
      </c>
      <c r="G18515" t="str">
        <v>-</v>
      </c>
    </row>
    <row r="18516">
      <c r="B18516" t="str">
        <v>Công an xã Ea Kênh  tỉnh Đắk Lắk</v>
      </c>
      <c r="C18516" t="str">
        <v>-</v>
      </c>
      <c r="D18516" t="str">
        <v>-</v>
      </c>
      <c r="E18516" t="str">
        <v/>
      </c>
      <c r="F18516" t="str">
        <v>-</v>
      </c>
      <c r="G18516" t="str">
        <v>-</v>
      </c>
    </row>
    <row r="18517">
      <c r="B18517" t="str">
        <v>UBND Ủy ban nhân dân xã Ea Kênh  tỉnh Đắk Lắk</v>
      </c>
      <c r="C18517" t="str">
        <v>-</v>
      </c>
      <c r="D18517" t="str">
        <v>-</v>
      </c>
      <c r="E18517" t="str">
        <v>-</v>
      </c>
      <c r="F18517" t="str">
        <v>-</v>
      </c>
      <c r="G18517" t="str">
        <v>-</v>
      </c>
    </row>
    <row r="18518">
      <c r="B18518" t="str">
        <v>Công an xã Ea Phê  tỉnh Đắk Lắk</v>
      </c>
      <c r="C18518" t="str">
        <v>-</v>
      </c>
      <c r="D18518" t="str">
        <v>-</v>
      </c>
      <c r="E18518" t="str">
        <v/>
      </c>
      <c r="F18518" t="str">
        <v>-</v>
      </c>
      <c r="G18518" t="str">
        <v>-</v>
      </c>
    </row>
    <row r="18519">
      <c r="B18519" t="str">
        <v>UBND Ủy ban nhân dân xã Ea Phê  tỉnh Đắk Lắk</v>
      </c>
      <c r="C18519" t="str">
        <v>-</v>
      </c>
      <c r="D18519" t="str">
        <v>-</v>
      </c>
      <c r="E18519" t="str">
        <v>-</v>
      </c>
      <c r="F18519" t="str">
        <v>-</v>
      </c>
      <c r="G18519" t="str">
        <v>-</v>
      </c>
    </row>
    <row r="18520">
      <c r="B18520" t="str">
        <v>Công an xã Ea KNuec  tỉnh Đắk Lắk</v>
      </c>
      <c r="C18520" t="str">
        <v>-</v>
      </c>
      <c r="D18520" t="str">
        <v>-</v>
      </c>
      <c r="E18520" t="str">
        <v/>
      </c>
      <c r="F18520" t="str">
        <v>-</v>
      </c>
      <c r="G18520" t="str">
        <v>-</v>
      </c>
    </row>
    <row r="18521">
      <c r="B18521" t="str">
        <v>UBND Ủy ban nhân dân xã Ea KNuec  tỉnh Đắk Lắk</v>
      </c>
      <c r="C18521" t="str">
        <v>-</v>
      </c>
      <c r="D18521" t="str">
        <v>-</v>
      </c>
      <c r="E18521" t="str">
        <v>-</v>
      </c>
      <c r="F18521" t="str">
        <v>-</v>
      </c>
      <c r="G18521" t="str">
        <v>-</v>
      </c>
    </row>
    <row r="18522">
      <c r="B18522" t="str">
        <v>Công an xã Ea Yông  tỉnh Đắk Lắk</v>
      </c>
      <c r="C18522" t="str">
        <v>-</v>
      </c>
      <c r="D18522" t="str">
        <v>-</v>
      </c>
      <c r="E18522" t="str">
        <v/>
      </c>
      <c r="F18522" t="str">
        <v>-</v>
      </c>
      <c r="G18522" t="str">
        <v>-</v>
      </c>
    </row>
    <row r="18523">
      <c r="B18523" t="str">
        <v>UBND Ủy ban nhân dân xã Ea Yông  tỉnh Đắk Lắk</v>
      </c>
      <c r="C18523" t="str">
        <v>-</v>
      </c>
      <c r="D18523" t="str">
        <v>-</v>
      </c>
      <c r="E18523" t="str">
        <v>-</v>
      </c>
      <c r="F18523" t="str">
        <v>-</v>
      </c>
      <c r="G18523" t="str">
        <v>-</v>
      </c>
    </row>
    <row r="18524">
      <c r="B18524" t="str">
        <v>Công an xã Hòa An  tỉnh Đắk Lắk</v>
      </c>
      <c r="C18524" t="str">
        <v>-</v>
      </c>
      <c r="D18524" t="str">
        <v>-</v>
      </c>
      <c r="E18524" t="str">
        <v/>
      </c>
      <c r="F18524" t="str">
        <v>-</v>
      </c>
      <c r="G18524" t="str">
        <v>-</v>
      </c>
    </row>
    <row r="18525">
      <c r="B18525" t="str">
        <v>UBND Ủy ban nhân dân xã Hòa An  tỉnh Đắk Lắk</v>
      </c>
      <c r="C18525" t="str">
        <v>-</v>
      </c>
      <c r="D18525" t="str">
        <v>-</v>
      </c>
      <c r="E18525" t="str">
        <v>-</v>
      </c>
      <c r="F18525" t="str">
        <v>-</v>
      </c>
      <c r="G18525" t="str">
        <v>-</v>
      </c>
    </row>
    <row r="18526">
      <c r="B18526" t="str">
        <v>Công an xã Ea Kuăng  tỉnh Đắk Lắk</v>
      </c>
      <c r="C18526" t="str">
        <v>-</v>
      </c>
      <c r="D18526" t="str">
        <v>-</v>
      </c>
      <c r="E18526" t="str">
        <v/>
      </c>
      <c r="F18526" t="str">
        <v>-</v>
      </c>
      <c r="G18526" t="str">
        <v>-</v>
      </c>
    </row>
    <row r="18527">
      <c r="B18527" t="str">
        <v>UBND Ủy ban nhân dân xã Ea Kuăng  tỉnh Đắk Lắk</v>
      </c>
      <c r="C18527" t="str">
        <v>-</v>
      </c>
      <c r="D18527" t="str">
        <v>-</v>
      </c>
      <c r="E18527" t="str">
        <v>-</v>
      </c>
      <c r="F18527" t="str">
        <v>-</v>
      </c>
      <c r="G18527" t="str">
        <v>-</v>
      </c>
    </row>
    <row r="18528">
      <c r="B18528" t="str">
        <v>Công an xã Hòa Đông  tỉnh Đắk Lắk</v>
      </c>
      <c r="C18528" t="str">
        <v>-</v>
      </c>
      <c r="D18528" t="str">
        <v>-</v>
      </c>
      <c r="E18528" t="str">
        <v/>
      </c>
      <c r="F18528" t="str">
        <v>-</v>
      </c>
      <c r="G18528" t="str">
        <v>-</v>
      </c>
    </row>
    <row r="18529">
      <c r="B18529" t="str">
        <v>UBND Ủy ban nhân dân xã Hòa Đông  tỉnh Đắk Lắk</v>
      </c>
      <c r="C18529" t="str">
        <v>-</v>
      </c>
      <c r="D18529" t="str">
        <v>-</v>
      </c>
      <c r="E18529" t="str">
        <v>-</v>
      </c>
      <c r="F18529" t="str">
        <v>-</v>
      </c>
      <c r="G18529" t="str">
        <v>-</v>
      </c>
    </row>
    <row r="18530">
      <c r="B18530" t="str">
        <v>Công an xã Ea Hiu  tỉnh Đắk Lắk</v>
      </c>
      <c r="C18530" t="str">
        <v>-</v>
      </c>
      <c r="D18530" t="str">
        <v>-</v>
      </c>
      <c r="E18530" t="str">
        <v/>
      </c>
      <c r="F18530" t="str">
        <v>-</v>
      </c>
      <c r="G18530" t="str">
        <v>-</v>
      </c>
    </row>
    <row r="18531">
      <c r="B18531" t="str">
        <v>UBND Ủy ban nhân dân xã Ea Hiu  tỉnh Đắk Lắk</v>
      </c>
      <c r="C18531" t="str">
        <v>-</v>
      </c>
      <c r="D18531" t="str">
        <v>-</v>
      </c>
      <c r="E18531" t="str">
        <v>-</v>
      </c>
      <c r="F18531" t="str">
        <v>-</v>
      </c>
      <c r="G18531" t="str">
        <v>-</v>
      </c>
    </row>
    <row r="18532">
      <c r="B18532" t="str">
        <v>Công an xã Hòa Tiến  tỉnh Đắk Lắk</v>
      </c>
      <c r="C18532" t="str">
        <v>-</v>
      </c>
      <c r="D18532" t="str">
        <v>-</v>
      </c>
      <c r="E18532" t="str">
        <v/>
      </c>
      <c r="F18532" t="str">
        <v>-</v>
      </c>
      <c r="G18532" t="str">
        <v>-</v>
      </c>
    </row>
    <row r="18533">
      <c r="B18533" t="str">
        <v>UBND Ủy ban nhân dân xã Hòa Tiến  tỉnh Đắk Lắk</v>
      </c>
      <c r="C18533" t="str">
        <v>-</v>
      </c>
      <c r="D18533" t="str">
        <v>-</v>
      </c>
      <c r="E18533" t="str">
        <v>-</v>
      </c>
      <c r="F18533" t="str">
        <v>-</v>
      </c>
      <c r="G18533" t="str">
        <v>-</v>
      </c>
    </row>
    <row r="18534">
      <c r="B18534" t="str">
        <v>Công an xã Tân Tiến  tỉnh Đắk Lắk</v>
      </c>
      <c r="C18534" t="str">
        <v>-</v>
      </c>
      <c r="D18534" t="str">
        <v>-</v>
      </c>
      <c r="E18534" t="str">
        <v/>
      </c>
      <c r="F18534" t="str">
        <v>-</v>
      </c>
      <c r="G18534" t="str">
        <v>-</v>
      </c>
    </row>
    <row r="18535">
      <c r="B18535" t="str">
        <v>UBND Ủy ban nhân dân xã Tân Tiến  tỉnh Đắk Lắk</v>
      </c>
      <c r="C18535" t="str">
        <v>-</v>
      </c>
      <c r="D18535" t="str">
        <v>-</v>
      </c>
      <c r="E18535" t="str">
        <v>-</v>
      </c>
      <c r="F18535" t="str">
        <v>-</v>
      </c>
      <c r="G18535" t="str">
        <v>-</v>
      </c>
    </row>
    <row r="18536">
      <c r="B18536" t="str">
        <v>Công an xã Vụ Bổn  tỉnh Đắk Lắk</v>
      </c>
      <c r="C18536" t="str">
        <v>-</v>
      </c>
      <c r="D18536" t="str">
        <v>-</v>
      </c>
      <c r="E18536" t="str">
        <v/>
      </c>
      <c r="F18536" t="str">
        <v>-</v>
      </c>
      <c r="G18536" t="str">
        <v>-</v>
      </c>
    </row>
    <row r="18537">
      <c r="B18537" t="str">
        <v>UBND Ủy ban nhân dân xã Vụ Bổn  tỉnh Đắk Lắk</v>
      </c>
      <c r="C18537" t="str">
        <v>-</v>
      </c>
      <c r="D18537" t="str">
        <v>-</v>
      </c>
      <c r="E18537" t="str">
        <v>-</v>
      </c>
      <c r="F18537" t="str">
        <v>-</v>
      </c>
      <c r="G18537" t="str">
        <v>-</v>
      </c>
    </row>
    <row r="18538">
      <c r="B18538" t="str">
        <v>Công an xã Ea Uy  tỉnh Đắk Lắk</v>
      </c>
      <c r="C18538" t="str">
        <v>-</v>
      </c>
      <c r="D18538" t="str">
        <v>-</v>
      </c>
      <c r="E18538" t="str">
        <v/>
      </c>
      <c r="F18538" t="str">
        <v>-</v>
      </c>
      <c r="G18538" t="str">
        <v>-</v>
      </c>
    </row>
    <row r="18539">
      <c r="B18539" t="str">
        <v>UBND Ủy ban nhân dân xã Ea Uy  tỉnh Đắk Lắk</v>
      </c>
      <c r="C18539" t="str">
        <v>-</v>
      </c>
      <c r="D18539" t="str">
        <v>-</v>
      </c>
      <c r="E18539" t="str">
        <v>-</v>
      </c>
      <c r="F18539" t="str">
        <v>-</v>
      </c>
      <c r="G18539" t="str">
        <v>-</v>
      </c>
    </row>
    <row r="18540">
      <c r="B18540" t="str">
        <v>Công an xã Ea Yiêng  tỉnh Đắk Lắk</v>
      </c>
      <c r="C18540" t="str">
        <v>-</v>
      </c>
      <c r="D18540" t="str">
        <v>-</v>
      </c>
      <c r="E18540" t="str">
        <v/>
      </c>
      <c r="F18540" t="str">
        <v>-</v>
      </c>
      <c r="G18540" t="str">
        <v>-</v>
      </c>
    </row>
    <row r="18541">
      <c r="B18541" t="str">
        <v>UBND Ủy ban nhân dân xã Ea Yiêng  tỉnh Đắk Lắk</v>
      </c>
      <c r="C18541" t="str">
        <v>-</v>
      </c>
      <c r="D18541" t="str">
        <v>-</v>
      </c>
      <c r="E18541" t="str">
        <v>-</v>
      </c>
      <c r="F18541" t="str">
        <v>-</v>
      </c>
      <c r="G18541" t="str">
        <v>-</v>
      </c>
    </row>
    <row r="18542">
      <c r="B18542" t="str">
        <v>Công an xã Dray Sáp  tỉnh Đắk Lắk</v>
      </c>
      <c r="C18542" t="str">
        <v>-</v>
      </c>
      <c r="D18542" t="str">
        <v>-</v>
      </c>
      <c r="E18542" t="str">
        <v/>
      </c>
      <c r="F18542" t="str">
        <v>-</v>
      </c>
      <c r="G18542" t="str">
        <v>-</v>
      </c>
    </row>
    <row r="18543">
      <c r="B18543" t="str">
        <v>UBND Ủy ban nhân dân xã Dray Sáp  tỉnh Đắk Lắk</v>
      </c>
      <c r="C18543" t="str">
        <v>-</v>
      </c>
      <c r="D18543" t="str">
        <v>-</v>
      </c>
      <c r="E18543" t="str">
        <v>-</v>
      </c>
      <c r="F18543" t="str">
        <v>-</v>
      </c>
      <c r="G18543" t="str">
        <v>-</v>
      </c>
    </row>
    <row r="18544">
      <c r="B18544" t="str">
        <v>Công an xã Vụ Bổn  tỉnh Đắk Lắk</v>
      </c>
      <c r="C18544" t="str">
        <v>-</v>
      </c>
      <c r="D18544" t="str">
        <v>-</v>
      </c>
      <c r="E18544" t="str">
        <v/>
      </c>
      <c r="F18544" t="str">
        <v>-</v>
      </c>
      <c r="G18544" t="str">
        <v>-</v>
      </c>
    </row>
    <row r="18545">
      <c r="B18545" t="str">
        <v>UBND Ủy ban nhân dân xã Vụ Bổn  tỉnh Đắk Lắk</v>
      </c>
      <c r="C18545" t="str">
        <v>-</v>
      </c>
      <c r="D18545" t="str">
        <v>-</v>
      </c>
      <c r="E18545" t="str">
        <v>-</v>
      </c>
      <c r="F18545" t="str">
        <v>-</v>
      </c>
      <c r="G18545" t="str">
        <v>-</v>
      </c>
    </row>
    <row r="18546">
      <c r="B18546" t="str">
        <v>Công an xã Ea Bông  tỉnh Đắk Lắk</v>
      </c>
      <c r="C18546" t="str">
        <v>-</v>
      </c>
      <c r="D18546" t="str">
        <v>-</v>
      </c>
      <c r="E18546" t="str">
        <v/>
      </c>
      <c r="F18546" t="str">
        <v>-</v>
      </c>
      <c r="G18546" t="str">
        <v>-</v>
      </c>
    </row>
    <row r="18547">
      <c r="B18547" t="str">
        <v>UBND Ủy ban nhân dân xã Ea Bông  tỉnh Đắk Lắk</v>
      </c>
      <c r="C18547" t="str">
        <v>-</v>
      </c>
      <c r="D18547" t="str">
        <v>-</v>
      </c>
      <c r="E18547" t="str">
        <v>-</v>
      </c>
      <c r="F18547" t="str">
        <v>-</v>
      </c>
      <c r="G18547" t="str">
        <v>-</v>
      </c>
    </row>
    <row r="18548">
      <c r="B18548" t="str">
        <v>Công an xã Băng A Drênh  tỉnh Đắk Lắk</v>
      </c>
      <c r="C18548" t="str">
        <v>-</v>
      </c>
      <c r="D18548" t="str">
        <v>-</v>
      </c>
      <c r="E18548" t="str">
        <v/>
      </c>
      <c r="F18548" t="str">
        <v>-</v>
      </c>
      <c r="G18548" t="str">
        <v>-</v>
      </c>
    </row>
    <row r="18549">
      <c r="B18549" t="str">
        <v>UBND Ủy ban nhân dân xã Băng A Drênh  tỉnh Đắk Lắk</v>
      </c>
      <c r="C18549" t="str">
        <v>-</v>
      </c>
      <c r="D18549" t="str">
        <v>-</v>
      </c>
      <c r="E18549" t="str">
        <v>-</v>
      </c>
      <c r="F18549" t="str">
        <v>-</v>
      </c>
      <c r="G18549" t="str">
        <v>-</v>
      </c>
    </row>
    <row r="18550">
      <c r="B18550" t="str">
        <v>Công an xã Dur KMăl  tỉnh Đắk Lắk</v>
      </c>
      <c r="C18550" t="str">
        <v>-</v>
      </c>
      <c r="D18550" t="str">
        <v>-</v>
      </c>
      <c r="E18550" t="str">
        <v/>
      </c>
      <c r="F18550" t="str">
        <v>-</v>
      </c>
      <c r="G18550" t="str">
        <v>-</v>
      </c>
    </row>
    <row r="18551">
      <c r="B18551" t="str">
        <v>UBND Ủy ban nhân dân xã Dur KMăl  tỉnh Đắk Lắk</v>
      </c>
      <c r="C18551" t="str">
        <v>-</v>
      </c>
      <c r="D18551" t="str">
        <v>-</v>
      </c>
      <c r="E18551" t="str">
        <v>-</v>
      </c>
      <c r="F18551" t="str">
        <v>-</v>
      </c>
      <c r="G18551" t="str">
        <v>-</v>
      </c>
    </row>
    <row r="18552">
      <c r="B18552" t="str">
        <v>Công an xã Bình Hòa  tỉnh Đắk Lắk</v>
      </c>
      <c r="C18552" t="str">
        <v>-</v>
      </c>
      <c r="D18552" t="str">
        <v>-</v>
      </c>
      <c r="E18552" t="str">
        <v/>
      </c>
      <c r="F18552" t="str">
        <v>-</v>
      </c>
      <c r="G18552" t="str">
        <v>-</v>
      </c>
    </row>
    <row r="18553">
      <c r="B18553" t="str">
        <v>UBND Ủy ban nhân dân xã Bình Hòa  tỉnh Đắk Lắk</v>
      </c>
      <c r="C18553" t="str">
        <v>-</v>
      </c>
      <c r="D18553" t="str">
        <v>-</v>
      </c>
      <c r="E18553" t="str">
        <v>-</v>
      </c>
      <c r="F18553" t="str">
        <v>-</v>
      </c>
      <c r="G18553" t="str">
        <v>-</v>
      </c>
    </row>
    <row r="18554">
      <c r="B18554" t="str">
        <v>Công an xã Quảng Điền  tỉnh Đắk Lắk</v>
      </c>
      <c r="C18554" t="str">
        <v>-</v>
      </c>
      <c r="D18554" t="str">
        <v>-</v>
      </c>
      <c r="E18554" t="str">
        <v/>
      </c>
      <c r="F18554" t="str">
        <v>-</v>
      </c>
      <c r="G18554" t="str">
        <v>-</v>
      </c>
    </row>
    <row r="18555">
      <c r="B18555" t="str">
        <v>UBND Ủy ban nhân dân xã Quảng Điền  tỉnh Đắk Lắk</v>
      </c>
      <c r="C18555" t="str">
        <v>-</v>
      </c>
      <c r="D18555" t="str">
        <v>-</v>
      </c>
      <c r="E18555" t="str">
        <v>-</v>
      </c>
      <c r="F18555" t="str">
        <v>-</v>
      </c>
      <c r="G18555" t="str">
        <v>-</v>
      </c>
    </row>
    <row r="18556">
      <c r="B18556" t="str">
        <v>Công an xã Yang Tao  tỉnh Đắk Lắk</v>
      </c>
      <c r="C18556" t="str">
        <v>-</v>
      </c>
      <c r="D18556" t="str">
        <v>-</v>
      </c>
      <c r="E18556" t="str">
        <v/>
      </c>
      <c r="F18556" t="str">
        <v>-</v>
      </c>
      <c r="G18556" t="str">
        <v>-</v>
      </c>
    </row>
    <row r="18557">
      <c r="B18557" t="str">
        <v>UBND Ủy ban nhân dân xã Yang Tao  tỉnh Đắk Lắk</v>
      </c>
      <c r="C18557" t="str">
        <v>-</v>
      </c>
      <c r="D18557" t="str">
        <v>-</v>
      </c>
      <c r="E18557" t="str">
        <v>-</v>
      </c>
      <c r="F18557" t="str">
        <v>-</v>
      </c>
      <c r="G18557" t="str">
        <v>-</v>
      </c>
    </row>
    <row r="18558">
      <c r="B18558" t="str">
        <v>Công an xã Bông Krang  tỉnh Đắk Lắk</v>
      </c>
      <c r="C18558" t="str">
        <v>-</v>
      </c>
      <c r="D18558" t="str">
        <v>-</v>
      </c>
      <c r="E18558" t="str">
        <v/>
      </c>
      <c r="F18558" t="str">
        <v>-</v>
      </c>
      <c r="G18558" t="str">
        <v>-</v>
      </c>
    </row>
    <row r="18559">
      <c r="B18559" t="str">
        <v>UBND Ủy ban nhân dân xã Bông Krang  tỉnh Đắk Lắk</v>
      </c>
      <c r="C18559" t="str">
        <v>-</v>
      </c>
      <c r="D18559" t="str">
        <v>-</v>
      </c>
      <c r="E18559" t="str">
        <v>-</v>
      </c>
      <c r="F18559" t="str">
        <v>-</v>
      </c>
      <c r="G18559" t="str">
        <v>-</v>
      </c>
    </row>
    <row r="18560">
      <c r="B18560" t="str">
        <v>Công an xã Đắk Liêng  tỉnh Đắk Lắk</v>
      </c>
      <c r="C18560" t="str">
        <v>-</v>
      </c>
      <c r="D18560" t="str">
        <v>-</v>
      </c>
      <c r="E18560" t="str">
        <v/>
      </c>
      <c r="F18560" t="str">
        <v>-</v>
      </c>
      <c r="G18560" t="str">
        <v>-</v>
      </c>
    </row>
    <row r="18561">
      <c r="B18561" t="str">
        <v>UBND Ủy ban nhân dân xã Đắk Liêng  tỉnh Đắk Lắk</v>
      </c>
      <c r="C18561" t="str">
        <v>-</v>
      </c>
      <c r="D18561" t="str">
        <v>-</v>
      </c>
      <c r="E18561" t="str">
        <v>-</v>
      </c>
      <c r="F18561" t="str">
        <v>-</v>
      </c>
      <c r="G18561" t="str">
        <v>-</v>
      </c>
    </row>
    <row r="18562">
      <c r="B18562" t="str">
        <v>Công an xã Buôn Triết  tỉnh Đắk Lắk</v>
      </c>
      <c r="C18562" t="str">
        <v>-</v>
      </c>
      <c r="D18562" t="str">
        <v>-</v>
      </c>
      <c r="E18562" t="str">
        <v/>
      </c>
      <c r="F18562" t="str">
        <v>-</v>
      </c>
      <c r="G18562" t="str">
        <v>-</v>
      </c>
    </row>
    <row r="18563">
      <c r="B18563" t="str">
        <v>UBND Ủy ban nhân dân xã Buôn Triết  tỉnh Đắk Lắk</v>
      </c>
      <c r="C18563" t="str">
        <v>-</v>
      </c>
      <c r="D18563" t="str">
        <v>-</v>
      </c>
      <c r="E18563" t="str">
        <v>-</v>
      </c>
      <c r="F18563" t="str">
        <v>-</v>
      </c>
      <c r="G18563" t="str">
        <v>-</v>
      </c>
    </row>
    <row r="18564">
      <c r="B18564" t="str">
        <v>Công an xã Buôn Tría  tỉnh Đắk Lắk</v>
      </c>
      <c r="C18564" t="str">
        <v>-</v>
      </c>
      <c r="D18564" t="str">
        <v>-</v>
      </c>
      <c r="E18564" t="str">
        <v/>
      </c>
      <c r="F18564" t="str">
        <v>-</v>
      </c>
      <c r="G18564" t="str">
        <v>-</v>
      </c>
    </row>
    <row r="18565">
      <c r="B18565" t="str">
        <v>UBND Ủy ban nhân dân xã Buôn Tría  tỉnh Đắk Lắk</v>
      </c>
      <c r="C18565" t="str">
        <v>-</v>
      </c>
      <c r="D18565" t="str">
        <v>-</v>
      </c>
      <c r="E18565" t="str">
        <v>-</v>
      </c>
      <c r="F18565" t="str">
        <v>-</v>
      </c>
      <c r="G18565" t="str">
        <v>-</v>
      </c>
    </row>
    <row r="18566">
      <c r="B18566" t="str">
        <v>Công an xã Đắk Phơi  tỉnh Đắk Lắk</v>
      </c>
      <c r="C18566" t="str">
        <v>-</v>
      </c>
      <c r="D18566" t="str">
        <v>-</v>
      </c>
      <c r="E18566" t="str">
        <v/>
      </c>
      <c r="F18566" t="str">
        <v>-</v>
      </c>
      <c r="G18566" t="str">
        <v>-</v>
      </c>
    </row>
    <row r="18567">
      <c r="B18567" t="str">
        <v>UBND Ủy ban nhân dân xã Đắk Phơi  tỉnh Đắk Lắk</v>
      </c>
      <c r="C18567" t="str">
        <v>-</v>
      </c>
      <c r="D18567" t="str">
        <v>-</v>
      </c>
      <c r="E18567" t="str">
        <v>-</v>
      </c>
      <c r="F18567" t="str">
        <v>-</v>
      </c>
      <c r="G18567" t="str">
        <v>-</v>
      </c>
    </row>
    <row r="18568">
      <c r="B18568" t="str">
        <v>Công an xã Đắk Nuê  tỉnh Đắk Lắk</v>
      </c>
      <c r="C18568" t="str">
        <v>-</v>
      </c>
      <c r="D18568" t="str">
        <v>-</v>
      </c>
      <c r="E18568" t="str">
        <v/>
      </c>
      <c r="F18568" t="str">
        <v>-</v>
      </c>
      <c r="G18568" t="str">
        <v>-</v>
      </c>
    </row>
    <row r="18569">
      <c r="B18569" t="str">
        <v>UBND Ủy ban nhân dân xã Đắk Nuê  tỉnh Đắk Lắk</v>
      </c>
      <c r="C18569" t="str">
        <v>-</v>
      </c>
      <c r="D18569" t="str">
        <v>-</v>
      </c>
      <c r="E18569" t="str">
        <v>-</v>
      </c>
      <c r="F18569" t="str">
        <v>-</v>
      </c>
      <c r="G18569" t="str">
        <v>-</v>
      </c>
    </row>
    <row r="18570">
      <c r="B18570" t="str">
        <v>Công an xã Krông Nô  tỉnh Đắk Lắk</v>
      </c>
      <c r="C18570" t="str">
        <v>-</v>
      </c>
      <c r="D18570" t="str">
        <v>-</v>
      </c>
      <c r="E18570" t="str">
        <v/>
      </c>
      <c r="F18570" t="str">
        <v>-</v>
      </c>
      <c r="G18570" t="str">
        <v>-</v>
      </c>
    </row>
    <row r="18571">
      <c r="B18571" t="str">
        <v>UBND Ủy ban nhân dân xã Krông Nô  tỉnh Đắk Lắk</v>
      </c>
      <c r="C18571" t="str">
        <v>-</v>
      </c>
      <c r="D18571" t="str">
        <v>-</v>
      </c>
      <c r="E18571" t="str">
        <v>-</v>
      </c>
      <c r="F18571" t="str">
        <v>-</v>
      </c>
      <c r="G18571" t="str">
        <v>-</v>
      </c>
    </row>
    <row r="18572">
      <c r="B18572" t="str">
        <v>Công an xã Nam Ka  tỉnh Đắk Lắk</v>
      </c>
      <c r="C18572" t="str">
        <v>-</v>
      </c>
      <c r="D18572" t="str">
        <v>-</v>
      </c>
      <c r="E18572" t="str">
        <v/>
      </c>
      <c r="F18572" t="str">
        <v>-</v>
      </c>
      <c r="G18572" t="str">
        <v>-</v>
      </c>
    </row>
    <row r="18573">
      <c r="B18573" t="str">
        <v>UBND Ủy ban nhân dân xã Nam Ka  tỉnh Đắk Lắk</v>
      </c>
      <c r="C18573" t="str">
        <v>-</v>
      </c>
      <c r="D18573" t="str">
        <v>-</v>
      </c>
      <c r="E18573" t="str">
        <v>-</v>
      </c>
      <c r="F18573" t="str">
        <v>-</v>
      </c>
      <c r="G18573" t="str">
        <v>-</v>
      </c>
    </row>
    <row r="18574">
      <c r="B18574" t="str">
        <v>Công an xã Ea R'Bin  tỉnh Đắk Lắk</v>
      </c>
      <c r="C18574" t="str">
        <v>-</v>
      </c>
      <c r="D18574" t="str">
        <v>-</v>
      </c>
      <c r="E18574" t="str">
        <v/>
      </c>
      <c r="F18574" t="str">
        <v>-</v>
      </c>
      <c r="G18574" t="str">
        <v>-</v>
      </c>
    </row>
    <row r="18575">
      <c r="B18575" t="str">
        <v>UBND Ủy ban nhân dân xã Ea R'Bin  tỉnh Đắk Lắk</v>
      </c>
      <c r="C18575" t="str">
        <v>-</v>
      </c>
      <c r="D18575" t="str">
        <v>-</v>
      </c>
      <c r="E18575" t="str">
        <v>-</v>
      </c>
      <c r="F18575" t="str">
        <v>-</v>
      </c>
      <c r="G18575" t="str">
        <v>-</v>
      </c>
    </row>
    <row r="18576">
      <c r="B18576" t="str">
        <v>Công an xã Ea Ning  tỉnh Đắk Lắk</v>
      </c>
      <c r="C18576" t="str">
        <v>-</v>
      </c>
      <c r="D18576" t="str">
        <v>-</v>
      </c>
      <c r="E18576" t="str">
        <v/>
      </c>
      <c r="F18576" t="str">
        <v>-</v>
      </c>
      <c r="G18576" t="str">
        <v>-</v>
      </c>
    </row>
    <row r="18577">
      <c r="B18577" t="str">
        <v>UBND Ủy ban nhân dân xã Ea Ning  tỉnh Đắk Lắk</v>
      </c>
      <c r="C18577" t="str">
        <v>-</v>
      </c>
      <c r="D18577" t="str">
        <v>-</v>
      </c>
      <c r="E18577" t="str">
        <v>-</v>
      </c>
      <c r="F18577" t="str">
        <v>-</v>
      </c>
      <c r="G18577" t="str">
        <v>-</v>
      </c>
    </row>
    <row r="18578">
      <c r="B18578" t="str">
        <v>Công an xã Cư Ê Wi  tỉnh Đắk Lắk</v>
      </c>
      <c r="C18578" t="str">
        <v>-</v>
      </c>
      <c r="D18578" t="str">
        <v>-</v>
      </c>
      <c r="E18578" t="str">
        <v/>
      </c>
      <c r="F18578" t="str">
        <v>-</v>
      </c>
      <c r="G18578" t="str">
        <v>-</v>
      </c>
    </row>
    <row r="18579">
      <c r="B18579" t="str">
        <v>UBND Ủy ban nhân dân xã Cư Ê Wi  tỉnh Đắk Lắk</v>
      </c>
      <c r="C18579" t="str">
        <v>-</v>
      </c>
      <c r="D18579" t="str">
        <v>-</v>
      </c>
      <c r="E18579" t="str">
        <v>-</v>
      </c>
      <c r="F18579" t="str">
        <v>-</v>
      </c>
      <c r="G18579" t="str">
        <v>-</v>
      </c>
    </row>
    <row r="18580">
      <c r="B18580" t="str">
        <v>Công an xã Ea Ktur  tỉnh Đắk Lắk</v>
      </c>
      <c r="C18580" t="str">
        <v>-</v>
      </c>
      <c r="D18580" t="str">
        <v>-</v>
      </c>
      <c r="E18580" t="str">
        <v/>
      </c>
      <c r="F18580" t="str">
        <v>-</v>
      </c>
      <c r="G18580" t="str">
        <v>-</v>
      </c>
    </row>
    <row r="18581">
      <c r="B18581" t="str">
        <v>UBND Ủy ban nhân dân xã Ea Ktur  tỉnh Đắk Lắk</v>
      </c>
      <c r="C18581" t="str">
        <v>-</v>
      </c>
      <c r="D18581" t="str">
        <v>-</v>
      </c>
      <c r="E18581" t="str">
        <v>-</v>
      </c>
      <c r="F18581" t="str">
        <v>-</v>
      </c>
      <c r="G18581" t="str">
        <v>-</v>
      </c>
    </row>
    <row r="18582">
      <c r="B18582" t="str">
        <v>Công an xã Ea Tiêu  tỉnh Đắk Lắk</v>
      </c>
      <c r="C18582" t="str">
        <v>-</v>
      </c>
      <c r="D18582" t="str">
        <v>-</v>
      </c>
      <c r="E18582" t="str">
        <v/>
      </c>
      <c r="F18582" t="str">
        <v>-</v>
      </c>
      <c r="G18582" t="str">
        <v>-</v>
      </c>
    </row>
    <row r="18583">
      <c r="B18583" t="str">
        <v>UBND Ủy ban nhân dân xã Ea Tiêu  tỉnh Đắk Lắk</v>
      </c>
      <c r="C18583" t="str">
        <v>-</v>
      </c>
      <c r="D18583" t="str">
        <v>-</v>
      </c>
      <c r="E18583" t="str">
        <v>-</v>
      </c>
      <c r="F18583" t="str">
        <v>-</v>
      </c>
      <c r="G18583" t="str">
        <v>-</v>
      </c>
    </row>
    <row r="18584">
      <c r="B18584" t="str">
        <v>Công an xã Ea BHốk  tỉnh Đắk Lắk</v>
      </c>
      <c r="C18584" t="str">
        <v>-</v>
      </c>
      <c r="D18584" t="str">
        <v>-</v>
      </c>
      <c r="E18584" t="str">
        <v/>
      </c>
      <c r="F18584" t="str">
        <v>-</v>
      </c>
      <c r="G18584" t="str">
        <v>-</v>
      </c>
    </row>
    <row r="18585">
      <c r="B18585" t="str">
        <v>UBND Ủy ban nhân dân xã Ea BHốk  tỉnh Đắk Lắk</v>
      </c>
      <c r="C18585" t="str">
        <v>-</v>
      </c>
      <c r="D18585" t="str">
        <v>-</v>
      </c>
      <c r="E18585" t="str">
        <v>-</v>
      </c>
      <c r="F18585" t="str">
        <v>-</v>
      </c>
      <c r="G18585" t="str">
        <v>-</v>
      </c>
    </row>
    <row r="18586">
      <c r="B18586" t="str">
        <v>Công an xã Ea Hu  tỉnh Đắk Lắk</v>
      </c>
      <c r="C18586" t="str">
        <v>-</v>
      </c>
      <c r="D18586" t="str">
        <v>-</v>
      </c>
      <c r="E18586" t="str">
        <v/>
      </c>
      <c r="F18586" t="str">
        <v>-</v>
      </c>
      <c r="G18586" t="str">
        <v>-</v>
      </c>
    </row>
    <row r="18587">
      <c r="B18587" t="str">
        <v>UBND Ủy ban nhân dân xã Ea Hu  tỉnh Đắk Lắk</v>
      </c>
      <c r="C18587" t="str">
        <v>-</v>
      </c>
      <c r="D18587" t="str">
        <v>-</v>
      </c>
      <c r="E18587" t="str">
        <v>-</v>
      </c>
      <c r="F18587" t="str">
        <v>-</v>
      </c>
      <c r="G18587" t="str">
        <v>-</v>
      </c>
    </row>
    <row r="18588">
      <c r="B18588" t="str">
        <v>Công an xã Dray Bhăng  tỉnh Đắk Lắk</v>
      </c>
      <c r="C18588" t="str">
        <v>-</v>
      </c>
      <c r="D18588" t="str">
        <v>-</v>
      </c>
      <c r="E18588" t="str">
        <v/>
      </c>
      <c r="F18588" t="str">
        <v>-</v>
      </c>
      <c r="G18588" t="str">
        <v>-</v>
      </c>
    </row>
    <row r="18589">
      <c r="B18589" t="str">
        <v>UBND Ủy ban nhân dân xã Dray Bhăng  tỉnh Đắk Lắk</v>
      </c>
      <c r="C18589" t="str">
        <v>-</v>
      </c>
      <c r="D18589" t="str">
        <v>-</v>
      </c>
      <c r="E18589" t="str">
        <v>-</v>
      </c>
      <c r="F18589" t="str">
        <v>-</v>
      </c>
      <c r="G18589" t="str">
        <v>-</v>
      </c>
    </row>
    <row r="18590">
      <c r="B18590" t="str">
        <v>Công an xã Hòa Hiệp  tỉnh Đắk Lắk</v>
      </c>
      <c r="C18590" t="str">
        <v>-</v>
      </c>
      <c r="D18590" t="str">
        <v>-</v>
      </c>
      <c r="E18590" t="str">
        <v/>
      </c>
      <c r="F18590" t="str">
        <v>-</v>
      </c>
      <c r="G18590" t="str">
        <v>-</v>
      </c>
    </row>
    <row r="18591">
      <c r="B18591" t="str">
        <v>UBND Ủy ban nhân dân xã Hòa Hiệp  tỉnh Đắk Lắk</v>
      </c>
      <c r="C18591" t="str">
        <v>-</v>
      </c>
      <c r="D18591" t="str">
        <v>-</v>
      </c>
      <c r="E18591" t="str">
        <v>-</v>
      </c>
      <c r="F18591" t="str">
        <v>-</v>
      </c>
      <c r="G18591" t="str">
        <v>-</v>
      </c>
    </row>
    <row r="18592">
      <c r="B18592" t="str">
        <v>Công an phường Nghĩa Đức  tỉnh Đắk Nông</v>
      </c>
      <c r="C18592" t="str">
        <v>-</v>
      </c>
      <c r="D18592" t="str">
        <v>-</v>
      </c>
      <c r="E18592" t="str">
        <v/>
      </c>
      <c r="F18592" t="str">
        <v>-</v>
      </c>
      <c r="G18592" t="str">
        <v>-</v>
      </c>
    </row>
    <row r="18593">
      <c r="B18593" t="str">
        <v>UBND Ủy ban nhân dân phường Nghĩa Đức  tỉnh Đắk Nông</v>
      </c>
      <c r="C18593" t="str">
        <v>-</v>
      </c>
      <c r="D18593" t="str">
        <v>-</v>
      </c>
      <c r="E18593" t="str">
        <v>-</v>
      </c>
      <c r="F18593" t="str">
        <v>-</v>
      </c>
      <c r="G18593" t="str">
        <v>-</v>
      </c>
    </row>
    <row r="18594">
      <c r="B18594" t="str">
        <v>Công an phường Nghĩa Thành  tỉnh Đắk Nông</v>
      </c>
      <c r="C18594" t="str">
        <v>-</v>
      </c>
      <c r="D18594" t="str">
        <v>-</v>
      </c>
      <c r="E18594" t="str">
        <v/>
      </c>
      <c r="F18594" t="str">
        <v>-</v>
      </c>
      <c r="G18594" t="str">
        <v>-</v>
      </c>
    </row>
    <row r="18595">
      <c r="B18595" t="str">
        <v>UBND Ủy ban nhân dân phường Nghĩa Thành  tỉnh Đắk Nông</v>
      </c>
      <c r="C18595" t="str">
        <v>-</v>
      </c>
      <c r="D18595" t="str">
        <v>-</v>
      </c>
      <c r="E18595" t="str">
        <v>-</v>
      </c>
      <c r="F18595" t="str">
        <v>-</v>
      </c>
      <c r="G18595" t="str">
        <v>-</v>
      </c>
    </row>
    <row r="18596">
      <c r="B18596" t="str">
        <v>Công an phường Nghĩa Phú  tỉnh Đắk Nông</v>
      </c>
      <c r="C18596" t="str">
        <v>-</v>
      </c>
      <c r="D18596" t="str">
        <v>-</v>
      </c>
      <c r="E18596" t="str">
        <v/>
      </c>
      <c r="F18596" t="str">
        <v>-</v>
      </c>
      <c r="G18596" t="str">
        <v>-</v>
      </c>
    </row>
    <row r="18597">
      <c r="B18597" t="str">
        <v>UBND Ủy ban nhân dân phường Nghĩa Phú  tỉnh Đắk Nông</v>
      </c>
      <c r="C18597" t="str">
        <v>-</v>
      </c>
      <c r="D18597" t="str">
        <v>-</v>
      </c>
      <c r="E18597" t="str">
        <v>-</v>
      </c>
      <c r="F18597" t="str">
        <v>-</v>
      </c>
      <c r="G18597" t="str">
        <v>-</v>
      </c>
    </row>
    <row r="18598">
      <c r="B18598" t="str">
        <v>Công an phường Nghĩa Tân  tỉnh Đắk Nông</v>
      </c>
      <c r="C18598" t="str">
        <v>-</v>
      </c>
      <c r="D18598" t="str">
        <v>-</v>
      </c>
      <c r="E18598" t="str">
        <v/>
      </c>
      <c r="F18598" t="str">
        <v>-</v>
      </c>
      <c r="G18598" t="str">
        <v>-</v>
      </c>
    </row>
    <row r="18599">
      <c r="B18599" t="str">
        <v>UBND Ủy ban nhân dân phường Nghĩa Tân  tỉnh Đắk Nông</v>
      </c>
      <c r="C18599" t="str">
        <v>-</v>
      </c>
      <c r="D18599" t="str">
        <v>-</v>
      </c>
      <c r="E18599" t="str">
        <v>-</v>
      </c>
      <c r="F18599" t="str">
        <v>-</v>
      </c>
      <c r="G18599" t="str">
        <v>-</v>
      </c>
    </row>
    <row r="18600">
      <c r="B18600" t="str">
        <v>Công an phường Nghĩa Trung  tỉnh Đắk Nông</v>
      </c>
      <c r="C18600" t="str">
        <v>-</v>
      </c>
      <c r="D18600" t="str">
        <v>-</v>
      </c>
      <c r="E18600" t="str">
        <v/>
      </c>
      <c r="F18600" t="str">
        <v>-</v>
      </c>
      <c r="G18600" t="str">
        <v>-</v>
      </c>
    </row>
    <row r="18601">
      <c r="B18601" t="str">
        <v>UBND Ủy ban nhân dân phường Nghĩa Trung  tỉnh Đắk Nông</v>
      </c>
      <c r="C18601" t="str">
        <v>-</v>
      </c>
      <c r="D18601" t="str">
        <v>-</v>
      </c>
      <c r="E18601" t="str">
        <v>-</v>
      </c>
      <c r="F18601" t="str">
        <v>-</v>
      </c>
      <c r="G18601" t="str">
        <v>-</v>
      </c>
    </row>
    <row r="18602">
      <c r="B18602" t="str">
        <v>Công an xã Đăk R'Moan  tỉnh Đắk Nông</v>
      </c>
      <c r="C18602" t="str">
        <v>-</v>
      </c>
      <c r="D18602" t="str">
        <v>-</v>
      </c>
      <c r="E18602" t="str">
        <v/>
      </c>
      <c r="F18602" t="str">
        <v>-</v>
      </c>
      <c r="G18602" t="str">
        <v>-</v>
      </c>
    </row>
    <row r="18603">
      <c r="B18603" t="str">
        <v>UBND Ủy ban nhân dân xã Đăk R'Moan  tỉnh Đắk Nông</v>
      </c>
      <c r="C18603" t="str">
        <v>-</v>
      </c>
      <c r="D18603" t="str">
        <v>-</v>
      </c>
      <c r="E18603" t="str">
        <v>-</v>
      </c>
      <c r="F18603" t="str">
        <v>-</v>
      </c>
      <c r="G18603" t="str">
        <v>-</v>
      </c>
    </row>
    <row r="18604">
      <c r="B18604" t="str">
        <v>Công an xã Quảng Thành  tỉnh Đắk Nông</v>
      </c>
      <c r="C18604" t="str">
        <v>-</v>
      </c>
      <c r="D18604" t="str">
        <v>-</v>
      </c>
      <c r="E18604" t="str">
        <v/>
      </c>
      <c r="F18604" t="str">
        <v>-</v>
      </c>
      <c r="G18604" t="str">
        <v>-</v>
      </c>
    </row>
    <row r="18605">
      <c r="B18605" t="str">
        <v>UBND Ủy ban nhân dân xã Quảng Thành  tỉnh Đắk Nông</v>
      </c>
      <c r="C18605" t="str">
        <v>-</v>
      </c>
      <c r="D18605" t="str">
        <v>-</v>
      </c>
      <c r="E18605" t="str">
        <v>-</v>
      </c>
      <c r="F18605" t="str">
        <v>-</v>
      </c>
      <c r="G18605" t="str">
        <v>-</v>
      </c>
    </row>
    <row r="18606">
      <c r="B18606" t="str">
        <v>Công an xã Đắk Nia  tỉnh Đắk Nông</v>
      </c>
      <c r="C18606" t="str">
        <v>-</v>
      </c>
      <c r="D18606" t="str">
        <v>-</v>
      </c>
      <c r="E18606" t="str">
        <v/>
      </c>
      <c r="F18606" t="str">
        <v>-</v>
      </c>
      <c r="G18606" t="str">
        <v>-</v>
      </c>
    </row>
    <row r="18607">
      <c r="B18607" t="str">
        <v>UBND Ủy ban nhân dân xã Đắk Nia  tỉnh Đắk Nông</v>
      </c>
      <c r="C18607" t="str">
        <v>-</v>
      </c>
      <c r="D18607" t="str">
        <v>-</v>
      </c>
      <c r="E18607" t="str">
        <v>-</v>
      </c>
      <c r="F18607" t="str">
        <v>-</v>
      </c>
      <c r="G18607" t="str">
        <v>-</v>
      </c>
    </row>
    <row r="18608">
      <c r="B18608" t="str">
        <v>Công an xã Quảng Sơn  tỉnh Đắk Nông</v>
      </c>
      <c r="C18608" t="str">
        <v>-</v>
      </c>
      <c r="D18608" t="str">
        <v>-</v>
      </c>
      <c r="E18608" t="str">
        <v/>
      </c>
      <c r="F18608" t="str">
        <v>-</v>
      </c>
      <c r="G18608" t="str">
        <v>-</v>
      </c>
    </row>
    <row r="18609">
      <c r="B18609" t="str">
        <v>UBND Ủy ban nhân dân xã Quảng Sơn  tỉnh Đắk Nông</v>
      </c>
      <c r="C18609" t="str">
        <v>-</v>
      </c>
      <c r="D18609" t="str">
        <v>-</v>
      </c>
      <c r="E18609" t="str">
        <v>-</v>
      </c>
      <c r="F18609" t="str">
        <v>-</v>
      </c>
      <c r="G18609" t="str">
        <v>-</v>
      </c>
    </row>
    <row r="18610">
      <c r="B18610" t="str">
        <v>Công an xã Quảng Hoà  tỉnh Đắk Nông</v>
      </c>
      <c r="C18610" t="str">
        <v>-</v>
      </c>
      <c r="D18610" t="str">
        <v>-</v>
      </c>
      <c r="E18610" t="str">
        <v/>
      </c>
      <c r="F18610" t="str">
        <v>-</v>
      </c>
      <c r="G18610" t="str">
        <v>-</v>
      </c>
    </row>
    <row r="18611">
      <c r="B18611" t="str">
        <v>UBND Ủy ban nhân dân xã Quảng Hoà  tỉnh Đắk Nông</v>
      </c>
      <c r="C18611" t="str">
        <v>-</v>
      </c>
      <c r="D18611" t="str">
        <v>-</v>
      </c>
      <c r="E18611" t="str">
        <v>-</v>
      </c>
      <c r="F18611" t="str">
        <v>-</v>
      </c>
      <c r="G18611" t="str">
        <v>-</v>
      </c>
    </row>
    <row r="18612">
      <c r="B18612" t="str">
        <v>Công an xã Đắk Ha  tỉnh Đắk Nông</v>
      </c>
      <c r="C18612" t="str">
        <v>-</v>
      </c>
      <c r="D18612" t="str">
        <v>-</v>
      </c>
      <c r="E18612" t="str">
        <v/>
      </c>
      <c r="F18612" t="str">
        <v>-</v>
      </c>
      <c r="G18612" t="str">
        <v>-</v>
      </c>
    </row>
    <row r="18613">
      <c r="B18613" t="str">
        <v>UBND Ủy ban nhân dân xã Đắk Ha  tỉnh Đắk Nông</v>
      </c>
      <c r="C18613" t="str">
        <v>-</v>
      </c>
      <c r="D18613" t="str">
        <v>-</v>
      </c>
      <c r="E18613" t="str">
        <v>-</v>
      </c>
      <c r="F18613" t="str">
        <v>-</v>
      </c>
      <c r="G18613" t="str">
        <v>-</v>
      </c>
    </row>
    <row r="18614">
      <c r="B18614" t="str">
        <v>Công an xã Đắk R'Măng  tỉnh Đắk Nông</v>
      </c>
      <c r="C18614" t="str">
        <v>-</v>
      </c>
      <c r="D18614" t="str">
        <v>-</v>
      </c>
      <c r="E18614" t="str">
        <v/>
      </c>
      <c r="F18614" t="str">
        <v>-</v>
      </c>
      <c r="G18614" t="str">
        <v>-</v>
      </c>
    </row>
    <row r="18615">
      <c r="B18615" t="str">
        <v>UBND Ủy ban nhân dân xã Đắk R'Măng  tỉnh Đắk Nông</v>
      </c>
      <c r="C18615" t="str">
        <v>-</v>
      </c>
      <c r="D18615" t="str">
        <v>-</v>
      </c>
      <c r="E18615" t="str">
        <v>-</v>
      </c>
      <c r="F18615" t="str">
        <v>-</v>
      </c>
      <c r="G18615" t="str">
        <v>-</v>
      </c>
    </row>
    <row r="18616">
      <c r="B18616" t="str">
        <v>Công an xã Quảng Khê  tỉnh Đắk Nông</v>
      </c>
      <c r="C18616" t="str">
        <v>-</v>
      </c>
      <c r="D18616" t="str">
        <v>-</v>
      </c>
      <c r="E18616" t="str">
        <v/>
      </c>
      <c r="F18616" t="str">
        <v>-</v>
      </c>
      <c r="G18616" t="str">
        <v>-</v>
      </c>
    </row>
    <row r="18617">
      <c r="B18617" t="str">
        <v>UBND Ủy ban nhân dân xã Quảng Khê  tỉnh Đắk Nông</v>
      </c>
      <c r="C18617" t="str">
        <v>-</v>
      </c>
      <c r="D18617" t="str">
        <v>-</v>
      </c>
      <c r="E18617" t="str">
        <v>-</v>
      </c>
      <c r="F18617" t="str">
        <v>-</v>
      </c>
      <c r="G18617" t="str">
        <v>-</v>
      </c>
    </row>
    <row r="18618">
      <c r="B18618" t="str">
        <v>Công an xã Đắk Plao  tỉnh Đắk Nông</v>
      </c>
      <c r="C18618" t="str">
        <v>-</v>
      </c>
      <c r="D18618" t="str">
        <v>-</v>
      </c>
      <c r="E18618" t="str">
        <v/>
      </c>
      <c r="F18618" t="str">
        <v>-</v>
      </c>
      <c r="G18618" t="str">
        <v>-</v>
      </c>
    </row>
    <row r="18619">
      <c r="B18619" t="str">
        <v>UBND Ủy ban nhân dân xã Đắk Plao  tỉnh Đắk Nông</v>
      </c>
      <c r="C18619" t="str">
        <v>-</v>
      </c>
      <c r="D18619" t="str">
        <v>-</v>
      </c>
      <c r="E18619" t="str">
        <v>-</v>
      </c>
      <c r="F18619" t="str">
        <v>-</v>
      </c>
      <c r="G18619" t="str">
        <v>-</v>
      </c>
    </row>
    <row r="18620">
      <c r="B18620" t="str">
        <v>Công an xã Đắk Som  tỉnh Đắk Nông</v>
      </c>
      <c r="C18620" t="str">
        <v>-</v>
      </c>
      <c r="D18620" t="str">
        <v>-</v>
      </c>
      <c r="E18620" t="str">
        <v/>
      </c>
      <c r="F18620" t="str">
        <v>-</v>
      </c>
      <c r="G18620" t="str">
        <v>-</v>
      </c>
    </row>
    <row r="18621">
      <c r="B18621" t="str">
        <v>UBND Ủy ban nhân dân xã Đắk Som  tỉnh Đắk Nông</v>
      </c>
      <c r="C18621" t="str">
        <v>-</v>
      </c>
      <c r="D18621" t="str">
        <v>-</v>
      </c>
      <c r="E18621" t="str">
        <v>-</v>
      </c>
      <c r="F18621" t="str">
        <v>-</v>
      </c>
      <c r="G18621" t="str">
        <v>-</v>
      </c>
    </row>
    <row r="18622">
      <c r="B18622" t="str">
        <v>Công an xã Đắk Wil  tỉnh Đắk Nông</v>
      </c>
      <c r="C18622" t="str">
        <v>-</v>
      </c>
      <c r="D18622" t="str">
        <v>-</v>
      </c>
      <c r="E18622" t="str">
        <v/>
      </c>
      <c r="F18622" t="str">
        <v>-</v>
      </c>
      <c r="G18622" t="str">
        <v>-</v>
      </c>
    </row>
    <row r="18623">
      <c r="B18623" t="str">
        <v>UBND Ủy ban nhân dân xã Đắk Wil  tỉnh Đắk Nông</v>
      </c>
      <c r="C18623" t="str">
        <v>-</v>
      </c>
      <c r="D18623" t="str">
        <v>-</v>
      </c>
      <c r="E18623" t="str">
        <v>-</v>
      </c>
      <c r="F18623" t="str">
        <v>-</v>
      </c>
      <c r="G18623" t="str">
        <v>-</v>
      </c>
    </row>
    <row r="18624">
      <c r="B18624" t="str">
        <v>Công an xã Ea Pô  tỉnh Đắk Nông</v>
      </c>
      <c r="C18624" t="str">
        <v>-</v>
      </c>
      <c r="D18624" t="str">
        <v>-</v>
      </c>
      <c r="E18624" t="str">
        <v/>
      </c>
      <c r="F18624" t="str">
        <v>-</v>
      </c>
      <c r="G18624" t="str">
        <v>-</v>
      </c>
    </row>
    <row r="18625">
      <c r="B18625" t="str">
        <v>UBND Ủy ban nhân dân xã Ea Pô  tỉnh Đắk Nông</v>
      </c>
      <c r="C18625" t="str">
        <v>-</v>
      </c>
      <c r="D18625" t="str">
        <v>-</v>
      </c>
      <c r="E18625" t="str">
        <v>-</v>
      </c>
      <c r="F18625" t="str">
        <v>-</v>
      </c>
      <c r="G18625" t="str">
        <v>-</v>
      </c>
    </row>
    <row r="18626">
      <c r="B18626" t="str">
        <v>Công an xã Nam Dong  tỉnh Đắk Nông</v>
      </c>
      <c r="C18626" t="str">
        <v>-</v>
      </c>
      <c r="D18626" t="str">
        <v>-</v>
      </c>
      <c r="E18626" t="str">
        <v/>
      </c>
      <c r="F18626" t="str">
        <v>-</v>
      </c>
      <c r="G18626" t="str">
        <v>-</v>
      </c>
    </row>
    <row r="18627">
      <c r="B18627" t="str">
        <v>UBND Ủy ban nhân dân xã Nam Dong  tỉnh Đắk Nông</v>
      </c>
      <c r="C18627" t="str">
        <v>-</v>
      </c>
      <c r="D18627" t="str">
        <v>-</v>
      </c>
      <c r="E18627" t="str">
        <v>-</v>
      </c>
      <c r="F18627" t="str">
        <v>-</v>
      </c>
      <c r="G18627" t="str">
        <v>-</v>
      </c>
    </row>
    <row r="18628">
      <c r="B18628" t="str">
        <v>Công an xã Đắk DRông  tỉnh Đắk Nông</v>
      </c>
      <c r="C18628" t="str">
        <v>-</v>
      </c>
      <c r="D18628" t="str">
        <v>-</v>
      </c>
      <c r="E18628" t="str">
        <v/>
      </c>
      <c r="F18628" t="str">
        <v>-</v>
      </c>
      <c r="G18628" t="str">
        <v>-</v>
      </c>
    </row>
    <row r="18629">
      <c r="B18629" t="str">
        <v>UBND Ủy ban nhân dân xã Đắk DRông  tỉnh Đắk Nông</v>
      </c>
      <c r="C18629" t="str">
        <v>-</v>
      </c>
      <c r="D18629" t="str">
        <v>-</v>
      </c>
      <c r="E18629" t="str">
        <v>-</v>
      </c>
      <c r="F18629" t="str">
        <v>-</v>
      </c>
      <c r="G18629" t="str">
        <v>-</v>
      </c>
    </row>
    <row r="18630">
      <c r="B18630" t="str">
        <v>Công an xã Tâm Thắng  tỉnh Đắk Nông</v>
      </c>
      <c r="C18630" t="str">
        <v>-</v>
      </c>
      <c r="D18630" t="str">
        <v>-</v>
      </c>
      <c r="E18630" t="str">
        <v/>
      </c>
      <c r="F18630" t="str">
        <v>-</v>
      </c>
      <c r="G18630" t="str">
        <v>-</v>
      </c>
    </row>
    <row r="18631">
      <c r="B18631" t="str">
        <v>UBND Ủy ban nhân dân xã Tâm Thắng  tỉnh Đắk Nông</v>
      </c>
      <c r="C18631" t="str">
        <v>-</v>
      </c>
      <c r="D18631" t="str">
        <v>-</v>
      </c>
      <c r="E18631" t="str">
        <v>-</v>
      </c>
      <c r="F18631" t="str">
        <v>-</v>
      </c>
      <c r="G18631" t="str">
        <v>-</v>
      </c>
    </row>
    <row r="18632">
      <c r="B18632" t="str">
        <v>Công an xã Cư Knia  tỉnh Đắk Nông</v>
      </c>
      <c r="C18632" t="str">
        <v>-</v>
      </c>
      <c r="D18632" t="str">
        <v>-</v>
      </c>
      <c r="E18632" t="str">
        <v/>
      </c>
      <c r="F18632" t="str">
        <v>-</v>
      </c>
      <c r="G18632" t="str">
        <v>-</v>
      </c>
    </row>
    <row r="18633">
      <c r="B18633" t="str">
        <v>UBND Ủy ban nhân dân xã Cư Knia  tỉnh Đắk Nông</v>
      </c>
      <c r="C18633" t="str">
        <v>-</v>
      </c>
      <c r="D18633" t="str">
        <v>-</v>
      </c>
      <c r="E18633" t="str">
        <v>-</v>
      </c>
      <c r="F18633" t="str">
        <v>-</v>
      </c>
      <c r="G18633" t="str">
        <v>-</v>
      </c>
    </row>
    <row r="18634">
      <c r="B18634" t="str">
        <v>Công an xã Trúc Sơn  tỉnh Đắk Nông</v>
      </c>
      <c r="C18634" t="str">
        <v>-</v>
      </c>
      <c r="D18634" t="str">
        <v>-</v>
      </c>
      <c r="E18634" t="str">
        <v/>
      </c>
      <c r="F18634" t="str">
        <v>-</v>
      </c>
      <c r="G18634" t="str">
        <v>-</v>
      </c>
    </row>
    <row r="18635">
      <c r="B18635" t="str">
        <v>UBND Ủy ban nhân dân xã Trúc Sơn  tỉnh Đắk Nông</v>
      </c>
      <c r="C18635" t="str">
        <v>-</v>
      </c>
      <c r="D18635" t="str">
        <v>-</v>
      </c>
      <c r="E18635" t="str">
        <v>-</v>
      </c>
      <c r="F18635" t="str">
        <v>-</v>
      </c>
      <c r="G18635" t="str">
        <v>-</v>
      </c>
    </row>
    <row r="18636">
      <c r="B18636" t="str">
        <v>Công an xã  Đắk Lao  tỉnh Đắk Nông</v>
      </c>
      <c r="C18636" t="str">
        <v>-</v>
      </c>
      <c r="D18636" t="str">
        <v>-</v>
      </c>
      <c r="E18636" t="str">
        <v/>
      </c>
      <c r="F18636" t="str">
        <v>-</v>
      </c>
      <c r="G18636" t="str">
        <v>-</v>
      </c>
    </row>
    <row r="18637">
      <c r="B18637" t="str">
        <v>UBND Ủy ban nhân dân xã  Đắk Lao  tỉnh Đắk Nông</v>
      </c>
      <c r="C18637" t="str">
        <v>-</v>
      </c>
      <c r="D18637" t="str">
        <v>-</v>
      </c>
      <c r="E18637" t="str">
        <v>-</v>
      </c>
      <c r="F18637" t="str">
        <v>-</v>
      </c>
      <c r="G18637" t="str">
        <v>-</v>
      </c>
    </row>
    <row r="18638">
      <c r="B18638" t="str">
        <v>Công an xã Đắk R'La  tỉnh Đắk Nông</v>
      </c>
      <c r="C18638" t="str">
        <v>-</v>
      </c>
      <c r="D18638" t="str">
        <v>-</v>
      </c>
      <c r="E18638" t="str">
        <v/>
      </c>
      <c r="F18638" t="str">
        <v>-</v>
      </c>
      <c r="G18638" t="str">
        <v>-</v>
      </c>
    </row>
    <row r="18639">
      <c r="B18639" t="str">
        <v>UBND Ủy ban nhân dân xã Đắk R'La  tỉnh Đắk Nông</v>
      </c>
      <c r="C18639" t="str">
        <v>-</v>
      </c>
      <c r="D18639" t="str">
        <v>-</v>
      </c>
      <c r="E18639" t="str">
        <v>-</v>
      </c>
      <c r="F18639" t="str">
        <v>-</v>
      </c>
      <c r="G18639" t="str">
        <v>-</v>
      </c>
    </row>
    <row r="18640">
      <c r="B18640" t="str">
        <v>Công an xã Đắk Gằn  tỉnh Đắk Nông</v>
      </c>
      <c r="C18640" t="str">
        <v>-</v>
      </c>
      <c r="D18640" t="str">
        <v>-</v>
      </c>
      <c r="E18640" t="str">
        <v/>
      </c>
      <c r="F18640" t="str">
        <v>-</v>
      </c>
      <c r="G18640" t="str">
        <v>-</v>
      </c>
    </row>
    <row r="18641">
      <c r="B18641" t="str">
        <v>UBND Ủy ban nhân dân xã Đắk Gằn  tỉnh Đắk Nông</v>
      </c>
      <c r="C18641" t="str">
        <v>-</v>
      </c>
      <c r="D18641" t="str">
        <v>-</v>
      </c>
      <c r="E18641" t="str">
        <v>-</v>
      </c>
      <c r="F18641" t="str">
        <v>-</v>
      </c>
      <c r="G18641" t="str">
        <v>-</v>
      </c>
    </row>
    <row r="18642">
      <c r="B18642" t="str">
        <v>Công an xã Đức Mạnh  tỉnh Đắk Nông</v>
      </c>
      <c r="C18642" t="str">
        <v>-</v>
      </c>
      <c r="D18642" t="str">
        <v>-</v>
      </c>
      <c r="E18642" t="str">
        <v/>
      </c>
      <c r="F18642" t="str">
        <v>-</v>
      </c>
      <c r="G18642" t="str">
        <v>-</v>
      </c>
    </row>
    <row r="18643">
      <c r="B18643" t="str">
        <v>UBND Ủy ban nhân dân xã Đức Mạnh  tỉnh Đắk Nông</v>
      </c>
      <c r="C18643" t="str">
        <v>-</v>
      </c>
      <c r="D18643" t="str">
        <v>-</v>
      </c>
      <c r="E18643" t="str">
        <v>-</v>
      </c>
      <c r="F18643" t="str">
        <v>-</v>
      </c>
      <c r="G18643" t="str">
        <v>-</v>
      </c>
    </row>
    <row r="18644">
      <c r="B18644" t="str">
        <v>Công an xã Đắk N'Drót  tỉnh Đắk Nông</v>
      </c>
      <c r="C18644" t="str">
        <v>-</v>
      </c>
      <c r="D18644" t="str">
        <v>-</v>
      </c>
      <c r="E18644" t="str">
        <v/>
      </c>
      <c r="F18644" t="str">
        <v>-</v>
      </c>
      <c r="G18644" t="str">
        <v>-</v>
      </c>
    </row>
    <row r="18645">
      <c r="B18645" t="str">
        <v>UBND Ủy ban nhân dân xã Đắk N'Drót  tỉnh Đắk Nông</v>
      </c>
      <c r="C18645" t="str">
        <v>-</v>
      </c>
      <c r="D18645" t="str">
        <v>-</v>
      </c>
      <c r="E18645" t="str">
        <v>-</v>
      </c>
      <c r="F18645" t="str">
        <v>-</v>
      </c>
      <c r="G18645" t="str">
        <v>-</v>
      </c>
    </row>
    <row r="18646">
      <c r="B18646" t="str">
        <v>Công an xã Long Sơn  tỉnh Đắk Nông</v>
      </c>
      <c r="C18646" t="str">
        <v>-</v>
      </c>
      <c r="D18646" t="str">
        <v>-</v>
      </c>
      <c r="E18646" t="str">
        <v/>
      </c>
      <c r="F18646" t="str">
        <v>-</v>
      </c>
      <c r="G18646" t="str">
        <v>-</v>
      </c>
    </row>
    <row r="18647">
      <c r="B18647" t="str">
        <v>UBND Ủy ban nhân dân xã Long Sơn  tỉnh Đắk Nông</v>
      </c>
      <c r="C18647" t="str">
        <v>-</v>
      </c>
      <c r="D18647" t="str">
        <v>-</v>
      </c>
      <c r="E18647" t="str">
        <v>-</v>
      </c>
      <c r="F18647" t="str">
        <v>-</v>
      </c>
      <c r="G18647" t="str">
        <v>-</v>
      </c>
    </row>
    <row r="18648">
      <c r="B18648" t="str">
        <v>Công an xã Đắk Sắk  tỉnh Đắk Nông</v>
      </c>
      <c r="C18648" t="str">
        <v>-</v>
      </c>
      <c r="D18648" t="str">
        <v>-</v>
      </c>
      <c r="E18648" t="str">
        <v/>
      </c>
      <c r="F18648" t="str">
        <v>-</v>
      </c>
      <c r="G18648" t="str">
        <v>-</v>
      </c>
    </row>
    <row r="18649">
      <c r="B18649" t="str">
        <v>UBND Ủy ban nhân dân xã Đắk Sắk  tỉnh Đắk Nông</v>
      </c>
      <c r="C18649" t="str">
        <v>-</v>
      </c>
      <c r="D18649" t="str">
        <v>-</v>
      </c>
      <c r="E18649" t="str">
        <v>-</v>
      </c>
      <c r="F18649" t="str">
        <v>-</v>
      </c>
      <c r="G18649" t="str">
        <v>-</v>
      </c>
    </row>
    <row r="18650">
      <c r="B18650" t="str">
        <v>Công an xã Thuận An  tỉnh Đắk Nông</v>
      </c>
      <c r="C18650" t="str">
        <v>-</v>
      </c>
      <c r="D18650" t="str">
        <v>-</v>
      </c>
      <c r="E18650" t="str">
        <v/>
      </c>
      <c r="F18650" t="str">
        <v>-</v>
      </c>
      <c r="G18650" t="str">
        <v>-</v>
      </c>
    </row>
    <row r="18651">
      <c r="B18651" t="str">
        <v>UBND Ủy ban nhân dân xã Thuận An  tỉnh Đắk Nông</v>
      </c>
      <c r="C18651" t="str">
        <v>-</v>
      </c>
      <c r="D18651" t="str">
        <v>-</v>
      </c>
      <c r="E18651" t="str">
        <v>-</v>
      </c>
      <c r="F18651" t="str">
        <v>-</v>
      </c>
      <c r="G18651" t="str">
        <v>-</v>
      </c>
    </row>
    <row r="18652">
      <c r="B18652" t="str">
        <v>Công an xã Đức Minh  tỉnh Đắk Nông</v>
      </c>
      <c r="C18652" t="str">
        <v>-</v>
      </c>
      <c r="D18652" t="str">
        <v>-</v>
      </c>
      <c r="E18652" t="str">
        <v/>
      </c>
      <c r="F18652" t="str">
        <v>-</v>
      </c>
      <c r="G18652" t="str">
        <v>-</v>
      </c>
    </row>
    <row r="18653">
      <c r="B18653" t="str">
        <v>UBND Ủy ban nhân dân xã Đức Minh  tỉnh Đắk Nông</v>
      </c>
      <c r="C18653" t="str">
        <v>-</v>
      </c>
      <c r="D18653" t="str">
        <v>-</v>
      </c>
      <c r="E18653" t="str">
        <v>-</v>
      </c>
      <c r="F18653" t="str">
        <v>-</v>
      </c>
      <c r="G18653" t="str">
        <v>-</v>
      </c>
    </row>
    <row r="18654">
      <c r="B18654" t="str">
        <v>Công an xã Đắk Sôr  tỉnh Đắk Nông</v>
      </c>
      <c r="C18654" t="str">
        <v>-</v>
      </c>
      <c r="D18654" t="str">
        <v>-</v>
      </c>
      <c r="E18654" t="str">
        <v/>
      </c>
      <c r="F18654" t="str">
        <v>-</v>
      </c>
      <c r="G18654" t="str">
        <v>-</v>
      </c>
    </row>
    <row r="18655">
      <c r="B18655" t="str">
        <v>UBND Ủy ban nhân dân xã Đắk Sôr  tỉnh Đắk Nông</v>
      </c>
      <c r="C18655" t="str">
        <v>-</v>
      </c>
      <c r="D18655" t="str">
        <v>-</v>
      </c>
      <c r="E18655" t="str">
        <v>-</v>
      </c>
      <c r="F18655" t="str">
        <v>-</v>
      </c>
      <c r="G18655" t="str">
        <v>-</v>
      </c>
    </row>
    <row r="18656">
      <c r="B18656" t="str">
        <v>Công an xã Nam Xuân  tỉnh Đắk Nông</v>
      </c>
      <c r="C18656" t="str">
        <v>-</v>
      </c>
      <c r="D18656" t="str">
        <v>-</v>
      </c>
      <c r="E18656" t="str">
        <v/>
      </c>
      <c r="F18656" t="str">
        <v>-</v>
      </c>
      <c r="G18656" t="str">
        <v>-</v>
      </c>
    </row>
    <row r="18657">
      <c r="B18657" t="str">
        <v>UBND Ủy ban nhân dân xã Nam Xuân  tỉnh Đắk Nông</v>
      </c>
      <c r="C18657" t="str">
        <v>-</v>
      </c>
      <c r="D18657" t="str">
        <v>-</v>
      </c>
      <c r="E18657" t="str">
        <v>-</v>
      </c>
      <c r="F18657" t="str">
        <v>-</v>
      </c>
      <c r="G18657" t="str">
        <v>-</v>
      </c>
    </row>
    <row r="18658">
      <c r="B18658" t="str">
        <v>Công an xã Buôn Choah  tỉnh Đắk Nông</v>
      </c>
      <c r="C18658" t="str">
        <v>-</v>
      </c>
      <c r="D18658" t="str">
        <v>-</v>
      </c>
      <c r="E18658" t="str">
        <v/>
      </c>
      <c r="F18658" t="str">
        <v>-</v>
      </c>
      <c r="G18658" t="str">
        <v>-</v>
      </c>
    </row>
    <row r="18659">
      <c r="B18659" t="str">
        <v>UBND Ủy ban nhân dân xã Buôn Choah  tỉnh Đắk Nông</v>
      </c>
      <c r="C18659" t="str">
        <v>-</v>
      </c>
      <c r="D18659" t="str">
        <v>-</v>
      </c>
      <c r="E18659" t="str">
        <v>-</v>
      </c>
      <c r="F18659" t="str">
        <v>-</v>
      </c>
      <c r="G18659" t="str">
        <v>-</v>
      </c>
    </row>
    <row r="18660">
      <c r="B18660" t="str">
        <v>Công an xã Nam Đà  tỉnh Đắk Nông</v>
      </c>
      <c r="C18660" t="str">
        <v>-</v>
      </c>
      <c r="D18660" t="str">
        <v>-</v>
      </c>
      <c r="E18660" t="str">
        <v/>
      </c>
      <c r="F18660" t="str">
        <v>-</v>
      </c>
      <c r="G18660" t="str">
        <v>-</v>
      </c>
    </row>
    <row r="18661">
      <c r="B18661" t="str">
        <v>UBND Ủy ban nhân dân xã Nam Đà  tỉnh Đắk Nông</v>
      </c>
      <c r="C18661" t="str">
        <v>-</v>
      </c>
      <c r="D18661" t="str">
        <v>-</v>
      </c>
      <c r="E18661" t="str">
        <v>-</v>
      </c>
      <c r="F18661" t="str">
        <v>-</v>
      </c>
      <c r="G18661" t="str">
        <v>-</v>
      </c>
    </row>
    <row r="18662">
      <c r="B18662" t="str">
        <v>Công an xã Tân Thành  tỉnh Đắk Nông</v>
      </c>
      <c r="C18662" t="str">
        <v>-</v>
      </c>
      <c r="D18662" t="str">
        <v>-</v>
      </c>
      <c r="E18662" t="str">
        <v/>
      </c>
      <c r="F18662" t="str">
        <v>-</v>
      </c>
      <c r="G18662" t="str">
        <v>-</v>
      </c>
    </row>
    <row r="18663">
      <c r="B18663" t="str">
        <v>UBND Ủy ban nhân dân xã Tân Thành  tỉnh Đắk Nông</v>
      </c>
      <c r="C18663" t="str">
        <v>-</v>
      </c>
      <c r="D18663" t="str">
        <v>-</v>
      </c>
      <c r="E18663" t="str">
        <v>-</v>
      </c>
      <c r="F18663" t="str">
        <v>-</v>
      </c>
      <c r="G18663" t="str">
        <v>-</v>
      </c>
    </row>
    <row r="18664">
      <c r="B18664" t="str">
        <v>Công an xã Đắk Drô  tỉnh Đắk Nông</v>
      </c>
      <c r="C18664" t="str">
        <v>-</v>
      </c>
      <c r="D18664" t="str">
        <v>-</v>
      </c>
      <c r="E18664" t="str">
        <v/>
      </c>
      <c r="F18664" t="str">
        <v>-</v>
      </c>
      <c r="G18664" t="str">
        <v>-</v>
      </c>
    </row>
    <row r="18665">
      <c r="B18665" t="str">
        <v>UBND Ủy ban nhân dân xã Đắk Drô  tỉnh Đắk Nông</v>
      </c>
      <c r="C18665" t="str">
        <v>-</v>
      </c>
      <c r="D18665" t="str">
        <v>-</v>
      </c>
      <c r="E18665" t="str">
        <v>-</v>
      </c>
      <c r="F18665" t="str">
        <v>-</v>
      </c>
      <c r="G18665" t="str">
        <v>-</v>
      </c>
    </row>
    <row r="18666">
      <c r="B18666" t="str">
        <v>Công an xã Nâm Nung  tỉnh Đắk Nông</v>
      </c>
      <c r="C18666" t="str">
        <v>-</v>
      </c>
      <c r="D18666" t="str">
        <v>-</v>
      </c>
      <c r="E18666" t="str">
        <v/>
      </c>
      <c r="F18666" t="str">
        <v>-</v>
      </c>
      <c r="G18666" t="str">
        <v>-</v>
      </c>
    </row>
    <row r="18667">
      <c r="B18667" t="str">
        <v>UBND Ủy ban nhân dân xã Nâm Nung  tỉnh Đắk Nông</v>
      </c>
      <c r="C18667" t="str">
        <v>-</v>
      </c>
      <c r="D18667" t="str">
        <v>-</v>
      </c>
      <c r="E18667" t="str">
        <v>-</v>
      </c>
      <c r="F18667" t="str">
        <v>-</v>
      </c>
      <c r="G18667" t="str">
        <v>-</v>
      </c>
    </row>
    <row r="18668">
      <c r="B18668" t="str">
        <v>Công an xã Đức Xuyên  tỉnh Đắk Nông</v>
      </c>
      <c r="C18668" t="str">
        <v>-</v>
      </c>
      <c r="D18668" t="str">
        <v>-</v>
      </c>
      <c r="E18668" t="str">
        <v/>
      </c>
      <c r="F18668" t="str">
        <v>-</v>
      </c>
      <c r="G18668" t="str">
        <v>-</v>
      </c>
    </row>
    <row r="18669">
      <c r="B18669" t="str">
        <v>UBND Ủy ban nhân dân xã Đức Xuyên  tỉnh Đắk Nông</v>
      </c>
      <c r="C18669" t="str">
        <v>-</v>
      </c>
      <c r="D18669" t="str">
        <v>-</v>
      </c>
      <c r="E18669" t="str">
        <v>-</v>
      </c>
      <c r="F18669" t="str">
        <v>-</v>
      </c>
      <c r="G18669" t="str">
        <v>-</v>
      </c>
    </row>
    <row r="18670">
      <c r="B18670" t="str">
        <v>Công an xã Đắk Nang  tỉnh Đắk Nông</v>
      </c>
      <c r="C18670" t="str">
        <v>-</v>
      </c>
      <c r="D18670" t="str">
        <v>-</v>
      </c>
      <c r="E18670" t="str">
        <v/>
      </c>
      <c r="F18670" t="str">
        <v>-</v>
      </c>
      <c r="G18670" t="str">
        <v>-</v>
      </c>
    </row>
    <row r="18671">
      <c r="B18671" t="str">
        <v>UBND Ủy ban nhân dân xã Đắk Nang  tỉnh Đắk Nông</v>
      </c>
      <c r="C18671" t="str">
        <v>-</v>
      </c>
      <c r="D18671" t="str">
        <v>-</v>
      </c>
      <c r="E18671" t="str">
        <v>-</v>
      </c>
      <c r="F18671" t="str">
        <v>-</v>
      </c>
      <c r="G18671" t="str">
        <v>-</v>
      </c>
    </row>
    <row r="18672">
      <c r="B18672" t="str">
        <v>Công an xã Quảng Phú  tỉnh Đắk Nông</v>
      </c>
      <c r="C18672" t="str">
        <v>-</v>
      </c>
      <c r="D18672" t="str">
        <v>-</v>
      </c>
      <c r="E18672" t="str">
        <v/>
      </c>
      <c r="F18672" t="str">
        <v>-</v>
      </c>
      <c r="G18672" t="str">
        <v>-</v>
      </c>
    </row>
    <row r="18673">
      <c r="B18673" t="str">
        <v>UBND Ủy ban nhân dân xã Quảng Phú  tỉnh Đắk Nông</v>
      </c>
      <c r="C18673" t="str">
        <v>-</v>
      </c>
      <c r="D18673" t="str">
        <v>-</v>
      </c>
      <c r="E18673" t="str">
        <v>-</v>
      </c>
      <c r="F18673" t="str">
        <v>-</v>
      </c>
      <c r="G18673" t="str">
        <v>-</v>
      </c>
    </row>
    <row r="18674">
      <c r="B18674" t="str">
        <v>Công an xã Nâm N'Đir  tỉnh Đắk Nông</v>
      </c>
      <c r="C18674" t="str">
        <v>-</v>
      </c>
      <c r="D18674" t="str">
        <v>-</v>
      </c>
      <c r="E18674" t="str">
        <v/>
      </c>
      <c r="F18674" t="str">
        <v>-</v>
      </c>
      <c r="G18674" t="str">
        <v>-</v>
      </c>
    </row>
    <row r="18675">
      <c r="B18675" t="str">
        <v>UBND Ủy ban nhân dân xã Nâm N'Đir  tỉnh Đắk Nông</v>
      </c>
      <c r="C18675" t="str">
        <v>-</v>
      </c>
      <c r="D18675" t="str">
        <v>-</v>
      </c>
      <c r="E18675" t="str">
        <v>-</v>
      </c>
      <c r="F18675" t="str">
        <v>-</v>
      </c>
      <c r="G18675" t="str">
        <v>-</v>
      </c>
    </row>
    <row r="18676">
      <c r="B18676" t="str">
        <v>Công an xã Đắk Môl  tỉnh Đắk Nông</v>
      </c>
      <c r="C18676" t="str">
        <v>-</v>
      </c>
      <c r="D18676" t="str">
        <v>-</v>
      </c>
      <c r="E18676" t="str">
        <v/>
      </c>
      <c r="F18676" t="str">
        <v>-</v>
      </c>
      <c r="G18676" t="str">
        <v>-</v>
      </c>
    </row>
    <row r="18677">
      <c r="B18677" t="str">
        <v>UBND Ủy ban nhân dân xã Đắk Môl  tỉnh Đắk Nông</v>
      </c>
      <c r="C18677" t="str">
        <v>-</v>
      </c>
      <c r="D18677" t="str">
        <v>-</v>
      </c>
      <c r="E18677" t="str">
        <v>-</v>
      </c>
      <c r="F18677" t="str">
        <v>-</v>
      </c>
      <c r="G18677" t="str">
        <v>-</v>
      </c>
    </row>
    <row r="18678">
      <c r="B18678" t="str">
        <v>Công an xã Đắk Hòa  tỉnh Đắk Nông</v>
      </c>
      <c r="C18678" t="str">
        <v>-</v>
      </c>
      <c r="D18678" t="str">
        <v>-</v>
      </c>
      <c r="E18678" t="str">
        <v/>
      </c>
      <c r="F18678" t="str">
        <v>-</v>
      </c>
      <c r="G18678" t="str">
        <v>-</v>
      </c>
    </row>
    <row r="18679">
      <c r="B18679" t="str">
        <v>UBND Ủy ban nhân dân xã Đắk Hòa  tỉnh Đắk Nông</v>
      </c>
      <c r="C18679" t="str">
        <v>-</v>
      </c>
      <c r="D18679" t="str">
        <v>-</v>
      </c>
      <c r="E18679" t="str">
        <v>-</v>
      </c>
      <c r="F18679" t="str">
        <v>-</v>
      </c>
      <c r="G18679" t="str">
        <v>-</v>
      </c>
    </row>
    <row r="18680">
      <c r="B18680" t="str">
        <v>Công an xã Nam Bình  tỉnh Đắk Nông</v>
      </c>
      <c r="C18680" t="str">
        <v>-</v>
      </c>
      <c r="D18680" t="str">
        <v>-</v>
      </c>
      <c r="E18680" t="str">
        <v/>
      </c>
      <c r="F18680" t="str">
        <v>-</v>
      </c>
      <c r="G18680" t="str">
        <v>-</v>
      </c>
    </row>
    <row r="18681">
      <c r="B18681" t="str">
        <v>UBND Ủy ban nhân dân xã Nam Bình  tỉnh Đắk Nông</v>
      </c>
      <c r="C18681" t="str">
        <v>-</v>
      </c>
      <c r="D18681" t="str">
        <v>-</v>
      </c>
      <c r="E18681" t="str">
        <v>-</v>
      </c>
      <c r="F18681" t="str">
        <v>-</v>
      </c>
      <c r="G18681" t="str">
        <v>-</v>
      </c>
    </row>
    <row r="18682">
      <c r="B18682" t="str">
        <v>Công an xã Thuận Hà  tỉnh Đắk Nông</v>
      </c>
      <c r="C18682" t="str">
        <v>-</v>
      </c>
      <c r="D18682" t="str">
        <v>-</v>
      </c>
      <c r="E18682" t="str">
        <v/>
      </c>
      <c r="F18682" t="str">
        <v>-</v>
      </c>
      <c r="G18682" t="str">
        <v>-</v>
      </c>
    </row>
    <row r="18683">
      <c r="B18683" t="str">
        <v>UBND Ủy ban nhân dân xã Thuận Hà  tỉnh Đắk Nông</v>
      </c>
      <c r="C18683" t="str">
        <v>-</v>
      </c>
      <c r="D18683" t="str">
        <v>-</v>
      </c>
      <c r="E18683" t="str">
        <v>-</v>
      </c>
      <c r="F18683" t="str">
        <v>-</v>
      </c>
      <c r="G18683" t="str">
        <v>-</v>
      </c>
    </row>
    <row r="18684">
      <c r="B18684" t="str">
        <v>Công an xã Thuận Hạnh  tỉnh Đắk Nông</v>
      </c>
      <c r="C18684" t="str">
        <v>-</v>
      </c>
      <c r="D18684" t="str">
        <v>-</v>
      </c>
      <c r="E18684" t="str">
        <v/>
      </c>
      <c r="F18684" t="str">
        <v>-</v>
      </c>
      <c r="G18684" t="str">
        <v>-</v>
      </c>
    </row>
    <row r="18685">
      <c r="B18685" t="str">
        <v>UBND Ủy ban nhân dân xã Thuận Hạnh  tỉnh Đắk Nông</v>
      </c>
      <c r="C18685" t="str">
        <v>-</v>
      </c>
      <c r="D18685" t="str">
        <v>-</v>
      </c>
      <c r="E18685" t="str">
        <v>-</v>
      </c>
      <c r="F18685" t="str">
        <v>-</v>
      </c>
      <c r="G18685" t="str">
        <v>-</v>
      </c>
    </row>
    <row r="18686">
      <c r="B18686" t="str">
        <v>Công an xã Đắk N'Dung  tỉnh Đắk Nông</v>
      </c>
      <c r="C18686" t="str">
        <v>-</v>
      </c>
      <c r="D18686" t="str">
        <v>-</v>
      </c>
      <c r="E18686" t="str">
        <v/>
      </c>
      <c r="F18686" t="str">
        <v>-</v>
      </c>
      <c r="G18686" t="str">
        <v>-</v>
      </c>
    </row>
    <row r="18687">
      <c r="B18687" t="str">
        <v>UBND Ủy ban nhân dân xã Đắk N'Dung  tỉnh Đắk Nông</v>
      </c>
      <c r="C18687" t="str">
        <v>-</v>
      </c>
      <c r="D18687" t="str">
        <v>-</v>
      </c>
      <c r="E18687" t="str">
        <v>-</v>
      </c>
      <c r="F18687" t="str">
        <v>-</v>
      </c>
      <c r="G18687" t="str">
        <v>-</v>
      </c>
    </row>
    <row r="18688">
      <c r="B18688" t="str">
        <v>Công an xã Nâm N'Jang  tỉnh Đắk Nông</v>
      </c>
      <c r="C18688" t="str">
        <v>-</v>
      </c>
      <c r="D18688" t="str">
        <v>-</v>
      </c>
      <c r="E18688" t="str">
        <v/>
      </c>
      <c r="F18688" t="str">
        <v>-</v>
      </c>
      <c r="G18688" t="str">
        <v>-</v>
      </c>
    </row>
    <row r="18689">
      <c r="B18689" t="str">
        <v>UBND Ủy ban nhân dân xã Nâm N'Jang  tỉnh Đắk Nông</v>
      </c>
      <c r="C18689" t="str">
        <v>-</v>
      </c>
      <c r="D18689" t="str">
        <v>-</v>
      </c>
      <c r="E18689" t="str">
        <v>-</v>
      </c>
      <c r="F18689" t="str">
        <v>-</v>
      </c>
      <c r="G18689" t="str">
        <v>-</v>
      </c>
    </row>
    <row r="18690">
      <c r="B18690" t="str">
        <v>Công an xã Trường Xuân  tỉnh Đắk Nông</v>
      </c>
      <c r="C18690" t="str">
        <v>-</v>
      </c>
      <c r="D18690" t="str">
        <v>-</v>
      </c>
      <c r="E18690" t="str">
        <v/>
      </c>
      <c r="F18690" t="str">
        <v>-</v>
      </c>
      <c r="G18690" t="str">
        <v>-</v>
      </c>
    </row>
    <row r="18691">
      <c r="B18691" t="str">
        <v>UBND Ủy ban nhân dân xã Trường Xuân  tỉnh Đắk Nông</v>
      </c>
      <c r="C18691" t="str">
        <v>-</v>
      </c>
      <c r="D18691" t="str">
        <v>-</v>
      </c>
      <c r="E18691" t="str">
        <v>-</v>
      </c>
      <c r="F18691" t="str">
        <v>-</v>
      </c>
      <c r="G18691" t="str">
        <v>-</v>
      </c>
    </row>
    <row r="18692">
      <c r="B18692" t="str">
        <v>Công an xã Quảng Tín  tỉnh Đắk Nông</v>
      </c>
      <c r="C18692" t="str">
        <v>-</v>
      </c>
      <c r="D18692" t="str">
        <v>-</v>
      </c>
      <c r="E18692" t="str">
        <v/>
      </c>
      <c r="F18692" t="str">
        <v>-</v>
      </c>
      <c r="G18692" t="str">
        <v>-</v>
      </c>
    </row>
    <row r="18693">
      <c r="B18693" t="str">
        <v>UBND Ủy ban nhân dân xã Quảng Tín  tỉnh Đắk Nông</v>
      </c>
      <c r="C18693" t="str">
        <v>-</v>
      </c>
      <c r="D18693" t="str">
        <v>-</v>
      </c>
      <c r="E18693" t="str">
        <v>-</v>
      </c>
      <c r="F18693" t="str">
        <v>-</v>
      </c>
      <c r="G18693" t="str">
        <v>-</v>
      </c>
    </row>
    <row r="18694">
      <c r="B18694" t="str">
        <v>Công an xã Đắk Wer  tỉnh Đắk Nông</v>
      </c>
      <c r="C18694" t="str">
        <v>-</v>
      </c>
      <c r="D18694" t="str">
        <v>-</v>
      </c>
      <c r="E18694" t="str">
        <v/>
      </c>
      <c r="F18694" t="str">
        <v>-</v>
      </c>
      <c r="G18694" t="str">
        <v>-</v>
      </c>
    </row>
    <row r="18695">
      <c r="B18695" t="str">
        <v>UBND Ủy ban nhân dân xã Đắk Wer  tỉnh Đắk Nông</v>
      </c>
      <c r="C18695" t="str">
        <v>-</v>
      </c>
      <c r="D18695" t="str">
        <v>-</v>
      </c>
      <c r="E18695" t="str">
        <v>-</v>
      </c>
      <c r="F18695" t="str">
        <v>-</v>
      </c>
      <c r="G18695" t="str">
        <v>-</v>
      </c>
    </row>
    <row r="18696">
      <c r="B18696" t="str">
        <v>Công an xã Nhân Cơ  tỉnh Đắk Nông</v>
      </c>
      <c r="C18696" t="str">
        <v>-</v>
      </c>
      <c r="D18696" t="str">
        <v>-</v>
      </c>
      <c r="E18696" t="str">
        <v/>
      </c>
      <c r="F18696" t="str">
        <v>-</v>
      </c>
      <c r="G18696" t="str">
        <v>-</v>
      </c>
    </row>
    <row r="18697">
      <c r="B18697" t="str">
        <v>UBND Ủy ban nhân dân xã Nhân Cơ  tỉnh Đắk Nông</v>
      </c>
      <c r="C18697" t="str">
        <v>-</v>
      </c>
      <c r="D18697" t="str">
        <v>-</v>
      </c>
      <c r="E18697" t="str">
        <v>-</v>
      </c>
      <c r="F18697" t="str">
        <v>-</v>
      </c>
      <c r="G18697" t="str">
        <v>-</v>
      </c>
    </row>
    <row r="18698">
      <c r="B18698" t="str">
        <v>Công an xã Kiến Thành  tỉnh Đắk Nông</v>
      </c>
      <c r="C18698" t="str">
        <v>-</v>
      </c>
      <c r="D18698" t="str">
        <v>-</v>
      </c>
      <c r="E18698" t="str">
        <v/>
      </c>
      <c r="F18698" t="str">
        <v>-</v>
      </c>
      <c r="G18698" t="str">
        <v>-</v>
      </c>
    </row>
    <row r="18699">
      <c r="B18699" t="str">
        <v>UBND Ủy ban nhân dân xã Kiến Thành  tỉnh Đắk Nông</v>
      </c>
      <c r="C18699" t="str">
        <v>-</v>
      </c>
      <c r="D18699" t="str">
        <v>-</v>
      </c>
      <c r="E18699" t="str">
        <v>-</v>
      </c>
      <c r="F18699" t="str">
        <v>-</v>
      </c>
      <c r="G18699" t="str">
        <v>-</v>
      </c>
    </row>
    <row r="18700">
      <c r="B18700" t="str">
        <v>Công an xã Nghĩa Thắng  tỉnh Đắk Nông</v>
      </c>
      <c r="C18700" t="str">
        <v>-</v>
      </c>
      <c r="D18700" t="str">
        <v>-</v>
      </c>
      <c r="E18700" t="str">
        <v/>
      </c>
      <c r="F18700" t="str">
        <v>-</v>
      </c>
      <c r="G18700" t="str">
        <v>-</v>
      </c>
    </row>
    <row r="18701">
      <c r="B18701" t="str">
        <v>UBND Ủy ban nhân dân xã Nghĩa Thắng  tỉnh Đắk Nông</v>
      </c>
      <c r="C18701" t="str">
        <v>-</v>
      </c>
      <c r="D18701" t="str">
        <v>-</v>
      </c>
      <c r="E18701" t="str">
        <v>-</v>
      </c>
      <c r="F18701" t="str">
        <v>-</v>
      </c>
      <c r="G18701" t="str">
        <v>-</v>
      </c>
    </row>
    <row r="18702">
      <c r="B18702" t="str">
        <v>Công an xã Đạo Nghĩa  tỉnh Đắk Nông</v>
      </c>
      <c r="C18702" t="str">
        <v>-</v>
      </c>
      <c r="D18702" t="str">
        <v>-</v>
      </c>
      <c r="E18702" t="str">
        <v/>
      </c>
      <c r="F18702" t="str">
        <v>-</v>
      </c>
      <c r="G18702" t="str">
        <v>-</v>
      </c>
    </row>
    <row r="18703">
      <c r="B18703" t="str">
        <v>UBND Ủy ban nhân dân xã Đạo Nghĩa  tỉnh Đắk Nông</v>
      </c>
      <c r="C18703" t="str">
        <v>-</v>
      </c>
      <c r="D18703" t="str">
        <v>-</v>
      </c>
      <c r="E18703" t="str">
        <v>-</v>
      </c>
      <c r="F18703" t="str">
        <v>-</v>
      </c>
      <c r="G18703" t="str">
        <v>-</v>
      </c>
    </row>
    <row r="18704">
      <c r="B18704" t="str">
        <v>Công an xã Đắk Sin  tỉnh Đắk Nông</v>
      </c>
      <c r="C18704" t="str">
        <v>-</v>
      </c>
      <c r="D18704" t="str">
        <v>-</v>
      </c>
      <c r="E18704" t="str">
        <v/>
      </c>
      <c r="F18704" t="str">
        <v>-</v>
      </c>
      <c r="G18704" t="str">
        <v>-</v>
      </c>
    </row>
    <row r="18705">
      <c r="B18705" t="str">
        <v>UBND Ủy ban nhân dân xã Đắk Sin  tỉnh Đắk Nông</v>
      </c>
      <c r="C18705" t="str">
        <v>-</v>
      </c>
      <c r="D18705" t="str">
        <v>-</v>
      </c>
      <c r="E18705" t="str">
        <v>-</v>
      </c>
      <c r="F18705" t="str">
        <v>-</v>
      </c>
      <c r="G18705" t="str">
        <v>-</v>
      </c>
    </row>
    <row r="18706">
      <c r="B18706" t="str">
        <v>Công an xã Hưng Bình  tỉnh Đắk Nông</v>
      </c>
      <c r="C18706" t="str">
        <v>-</v>
      </c>
      <c r="D18706" t="str">
        <v>-</v>
      </c>
      <c r="E18706" t="str">
        <v/>
      </c>
      <c r="F18706" t="str">
        <v>-</v>
      </c>
      <c r="G18706" t="str">
        <v>-</v>
      </c>
    </row>
    <row r="18707">
      <c r="B18707" t="str">
        <v>UBND Ủy ban nhân dân xã Hưng Bình  tỉnh Đắk Nông</v>
      </c>
      <c r="C18707" t="str">
        <v>-</v>
      </c>
      <c r="D18707" t="str">
        <v>-</v>
      </c>
      <c r="E18707" t="str">
        <v>-</v>
      </c>
      <c r="F18707" t="str">
        <v>-</v>
      </c>
      <c r="G18707" t="str">
        <v>-</v>
      </c>
    </row>
    <row r="18708">
      <c r="B18708" t="str">
        <v>Công an xã Đắk Ru  tỉnh Đắk Nông</v>
      </c>
      <c r="C18708" t="str">
        <v>-</v>
      </c>
      <c r="D18708" t="str">
        <v>-</v>
      </c>
      <c r="E18708" t="str">
        <v/>
      </c>
      <c r="F18708" t="str">
        <v>-</v>
      </c>
      <c r="G18708" t="str">
        <v>-</v>
      </c>
    </row>
    <row r="18709">
      <c r="B18709" t="str">
        <v>UBND Ủy ban nhân dân xã Đắk Ru  tỉnh Đắk Nông</v>
      </c>
      <c r="C18709" t="str">
        <v>-</v>
      </c>
      <c r="D18709" t="str">
        <v>-</v>
      </c>
      <c r="E18709" t="str">
        <v>-</v>
      </c>
      <c r="F18709" t="str">
        <v>-</v>
      </c>
      <c r="G18709" t="str">
        <v>-</v>
      </c>
    </row>
    <row r="18710">
      <c r="B18710" t="str">
        <v>Công an xã Nhân Đạo  tỉnh Đắk Nông</v>
      </c>
      <c r="C18710" t="str">
        <v>-</v>
      </c>
      <c r="D18710" t="str">
        <v>-</v>
      </c>
      <c r="E18710" t="str">
        <v/>
      </c>
      <c r="F18710" t="str">
        <v>-</v>
      </c>
      <c r="G18710" t="str">
        <v>-</v>
      </c>
    </row>
    <row r="18711">
      <c r="B18711" t="str">
        <v>UBND Ủy ban nhân dân xã Nhân Đạo  tỉnh Đắk Nông</v>
      </c>
      <c r="C18711" t="str">
        <v>-</v>
      </c>
      <c r="D18711" t="str">
        <v>-</v>
      </c>
      <c r="E18711" t="str">
        <v>-</v>
      </c>
      <c r="F18711" t="str">
        <v>-</v>
      </c>
      <c r="G18711" t="str">
        <v>-</v>
      </c>
    </row>
    <row r="18712">
      <c r="B18712" t="str">
        <v>Công an xã Quảng Trực  tỉnh Đắk Nông</v>
      </c>
      <c r="C18712" t="str">
        <v>-</v>
      </c>
      <c r="D18712" t="str">
        <v>-</v>
      </c>
      <c r="E18712" t="str">
        <v/>
      </c>
      <c r="F18712" t="str">
        <v>-</v>
      </c>
      <c r="G18712" t="str">
        <v>-</v>
      </c>
    </row>
    <row r="18713">
      <c r="B18713" t="str">
        <v>UBND Ủy ban nhân dân xã Quảng Trực  tỉnh Đắk Nông</v>
      </c>
      <c r="C18713" t="str">
        <v>-</v>
      </c>
      <c r="D18713" t="str">
        <v>-</v>
      </c>
      <c r="E18713" t="str">
        <v>-</v>
      </c>
      <c r="F18713" t="str">
        <v>-</v>
      </c>
      <c r="G18713" t="str">
        <v>-</v>
      </c>
    </row>
    <row r="18714">
      <c r="B18714" t="str">
        <v>Công an xã Đắk Búk So  tỉnh Đắk Nông</v>
      </c>
      <c r="C18714" t="str">
        <v>-</v>
      </c>
      <c r="D18714" t="str">
        <v>-</v>
      </c>
      <c r="E18714" t="str">
        <v/>
      </c>
      <c r="F18714" t="str">
        <v>-</v>
      </c>
      <c r="G18714" t="str">
        <v>-</v>
      </c>
    </row>
    <row r="18715">
      <c r="B18715" t="str">
        <v>UBND Ủy ban nhân dân xã Đắk Búk So  tỉnh Đắk Nông</v>
      </c>
      <c r="C18715" t="str">
        <v>-</v>
      </c>
      <c r="D18715" t="str">
        <v>-</v>
      </c>
      <c r="E18715" t="str">
        <v>-</v>
      </c>
      <c r="F18715" t="str">
        <v>-</v>
      </c>
      <c r="G18715" t="str">
        <v>-</v>
      </c>
    </row>
    <row r="18716">
      <c r="B18716" t="str">
        <v>Công an xã Quảng Tâm  tỉnh Đắk Nông</v>
      </c>
      <c r="C18716" t="str">
        <v>-</v>
      </c>
      <c r="D18716" t="str">
        <v>-</v>
      </c>
      <c r="E18716" t="str">
        <v/>
      </c>
      <c r="F18716" t="str">
        <v>-</v>
      </c>
      <c r="G18716" t="str">
        <v>-</v>
      </c>
    </row>
    <row r="18717">
      <c r="B18717" t="str">
        <v>UBND Ủy ban nhân dân xã Quảng Tâm  tỉnh Đắk Nông</v>
      </c>
      <c r="C18717" t="str">
        <v>-</v>
      </c>
      <c r="D18717" t="str">
        <v>-</v>
      </c>
      <c r="E18717" t="str">
        <v>-</v>
      </c>
      <c r="F18717" t="str">
        <v>-</v>
      </c>
      <c r="G18717" t="str">
        <v>-</v>
      </c>
    </row>
    <row r="18718">
      <c r="B18718" t="str">
        <v>Công an xã Đắk R'Tíh  tỉnh Đắk Nông</v>
      </c>
      <c r="C18718" t="str">
        <v>-</v>
      </c>
      <c r="D18718" t="str">
        <v>-</v>
      </c>
      <c r="E18718" t="str">
        <v/>
      </c>
      <c r="F18718" t="str">
        <v>-</v>
      </c>
      <c r="G18718" t="str">
        <v>-</v>
      </c>
    </row>
    <row r="18719">
      <c r="B18719" t="str">
        <v>UBND Ủy ban nhân dân xã Đắk R'Tíh  tỉnh Đắk Nông</v>
      </c>
      <c r="C18719" t="str">
        <v>-</v>
      </c>
      <c r="D18719" t="str">
        <v>-</v>
      </c>
      <c r="E18719" t="str">
        <v>-</v>
      </c>
      <c r="F18719" t="str">
        <v>-</v>
      </c>
      <c r="G18719" t="str">
        <v>-</v>
      </c>
    </row>
    <row r="18720">
      <c r="B18720" t="str">
        <v>Công an xã Đắk Ngo  tỉnh Đắk Nông</v>
      </c>
      <c r="C18720" t="str">
        <v>-</v>
      </c>
      <c r="D18720" t="str">
        <v>-</v>
      </c>
      <c r="E18720" t="str">
        <v/>
      </c>
      <c r="F18720" t="str">
        <v>-</v>
      </c>
      <c r="G18720" t="str">
        <v>-</v>
      </c>
    </row>
    <row r="18721">
      <c r="B18721" t="str">
        <v>UBND Ủy ban nhân dân xã Đắk Ngo  tỉnh Đắk Nông</v>
      </c>
      <c r="C18721" t="str">
        <v>-</v>
      </c>
      <c r="D18721" t="str">
        <v>-</v>
      </c>
      <c r="E18721" t="str">
        <v>-</v>
      </c>
      <c r="F18721" t="str">
        <v>-</v>
      </c>
      <c r="G18721" t="str">
        <v>-</v>
      </c>
    </row>
    <row r="18722">
      <c r="B18722" t="str">
        <v>Công an xã Quảng Tân  tỉnh Đắk Nông</v>
      </c>
      <c r="C18722" t="str">
        <v>-</v>
      </c>
      <c r="D18722" t="str">
        <v>-</v>
      </c>
      <c r="E18722" t="str">
        <v/>
      </c>
      <c r="F18722" t="str">
        <v>-</v>
      </c>
      <c r="G18722" t="str">
        <v>-</v>
      </c>
    </row>
    <row r="18723">
      <c r="B18723" t="str">
        <v>UBND Ủy ban nhân dân xã Quảng Tân  tỉnh Đắk Nông</v>
      </c>
      <c r="C18723" t="str">
        <v>-</v>
      </c>
      <c r="D18723" t="str">
        <v>-</v>
      </c>
      <c r="E18723" t="str">
        <v>-</v>
      </c>
      <c r="F18723" t="str">
        <v>-</v>
      </c>
      <c r="G18723" t="str">
        <v>-</v>
      </c>
    </row>
    <row r="18724">
      <c r="B18724" t="str">
        <v>Công an phường 7  tỉnh Lâm Đồng</v>
      </c>
      <c r="C18724" t="str">
        <v>-</v>
      </c>
      <c r="D18724" t="str">
        <v>-</v>
      </c>
      <c r="E18724" t="str">
        <v/>
      </c>
      <c r="F18724" t="str">
        <v>-</v>
      </c>
      <c r="G18724" t="str">
        <v>-</v>
      </c>
    </row>
    <row r="18725">
      <c r="B18725" t="str">
        <v>UBND Ủy ban nhân dân phường 7  tỉnh Lâm Đồng</v>
      </c>
      <c r="C18725" t="str">
        <v>-</v>
      </c>
      <c r="D18725" t="str">
        <v>-</v>
      </c>
      <c r="E18725" t="str">
        <v>-</v>
      </c>
      <c r="F18725" t="str">
        <v>-</v>
      </c>
      <c r="G18725" t="str">
        <v>-</v>
      </c>
    </row>
    <row r="18726">
      <c r="B18726" t="str">
        <v>Công an phường 8  tỉnh Lâm Đồng</v>
      </c>
      <c r="C18726" t="str">
        <v>-</v>
      </c>
      <c r="D18726" t="str">
        <v>-</v>
      </c>
      <c r="E18726" t="str">
        <v/>
      </c>
      <c r="F18726" t="str">
        <v>-</v>
      </c>
      <c r="G18726" t="str">
        <v>-</v>
      </c>
    </row>
    <row r="18727">
      <c r="B18727" t="str">
        <v>UBND Ủy ban nhân dân phường 8  tỉnh Lâm Đồng</v>
      </c>
      <c r="C18727" t="str">
        <v>-</v>
      </c>
      <c r="D18727" t="str">
        <v>-</v>
      </c>
      <c r="E18727" t="str">
        <v>-</v>
      </c>
      <c r="F18727" t="str">
        <v>-</v>
      </c>
      <c r="G18727" t="str">
        <v>-</v>
      </c>
    </row>
    <row r="18728">
      <c r="B18728" t="str">
        <v>Công an phường 12  tỉnh Lâm Đồng</v>
      </c>
      <c r="C18728" t="str">
        <v>-</v>
      </c>
      <c r="D18728" t="str">
        <v>-</v>
      </c>
      <c r="E18728" t="str">
        <v/>
      </c>
      <c r="F18728" t="str">
        <v>-</v>
      </c>
      <c r="G18728" t="str">
        <v>-</v>
      </c>
    </row>
    <row r="18729">
      <c r="B18729" t="str">
        <v>UBND Ủy ban nhân dân phường 12  tỉnh Lâm Đồng</v>
      </c>
      <c r="C18729" t="str">
        <v>-</v>
      </c>
      <c r="D18729" t="str">
        <v>-</v>
      </c>
      <c r="E18729" t="str">
        <v>-</v>
      </c>
      <c r="F18729" t="str">
        <v>-</v>
      </c>
      <c r="G18729" t="str">
        <v>-</v>
      </c>
    </row>
    <row r="18730">
      <c r="B18730" t="str">
        <v>Công an phường 9  tỉnh Lâm Đồng</v>
      </c>
      <c r="C18730" t="str">
        <v>-</v>
      </c>
      <c r="D18730" t="str">
        <v>-</v>
      </c>
      <c r="E18730" t="str">
        <v/>
      </c>
      <c r="F18730" t="str">
        <v>-</v>
      </c>
      <c r="G18730" t="str">
        <v>-</v>
      </c>
    </row>
    <row r="18731">
      <c r="B18731" t="str">
        <v>UBND Ủy ban nhân dân phường 9  tỉnh Lâm Đồng</v>
      </c>
      <c r="C18731" t="str">
        <v>-</v>
      </c>
      <c r="D18731" t="str">
        <v>-</v>
      </c>
      <c r="E18731" t="str">
        <v>-</v>
      </c>
      <c r="F18731" t="str">
        <v>-</v>
      </c>
      <c r="G18731" t="str">
        <v>-</v>
      </c>
    </row>
    <row r="18732">
      <c r="B18732" t="str">
        <v>Công an phường 2  tỉnh Lâm Đồng</v>
      </c>
      <c r="C18732" t="str">
        <v>-</v>
      </c>
      <c r="D18732" t="str">
        <v>-</v>
      </c>
      <c r="E18732" t="str">
        <v/>
      </c>
      <c r="F18732" t="str">
        <v>-</v>
      </c>
      <c r="G18732" t="str">
        <v>-</v>
      </c>
    </row>
    <row r="18733">
      <c r="B18733" t="str">
        <v>UBND Ủy ban nhân dân phường 2  tỉnh Lâm Đồng</v>
      </c>
      <c r="C18733" t="str">
        <v>-</v>
      </c>
      <c r="D18733" t="str">
        <v>-</v>
      </c>
      <c r="E18733" t="str">
        <v>-</v>
      </c>
      <c r="F18733" t="str">
        <v>-</v>
      </c>
      <c r="G18733" t="str">
        <v>-</v>
      </c>
    </row>
    <row r="18734">
      <c r="B18734" t="str">
        <v>Công an phường 1  tỉnh Lâm Đồng</v>
      </c>
      <c r="C18734" t="str">
        <v>-</v>
      </c>
      <c r="D18734" t="str">
        <v>-</v>
      </c>
      <c r="E18734" t="str">
        <v/>
      </c>
      <c r="F18734" t="str">
        <v>-</v>
      </c>
      <c r="G18734" t="str">
        <v>-</v>
      </c>
    </row>
    <row r="18735">
      <c r="B18735" t="str">
        <v>UBND Ủy ban nhân dân phường 1  tỉnh Lâm Đồng</v>
      </c>
      <c r="C18735" t="str">
        <v>-</v>
      </c>
      <c r="D18735" t="str">
        <v>-</v>
      </c>
      <c r="E18735" t="str">
        <v>-</v>
      </c>
      <c r="F18735" t="str">
        <v>-</v>
      </c>
      <c r="G18735" t="str">
        <v>-</v>
      </c>
    </row>
    <row r="18736">
      <c r="B18736" t="str">
        <v>Công an phường 6  tỉnh Lâm Đồng</v>
      </c>
      <c r="C18736" t="str">
        <v>-</v>
      </c>
      <c r="D18736" t="str">
        <v>-</v>
      </c>
      <c r="E18736" t="str">
        <v/>
      </c>
      <c r="F18736" t="str">
        <v>-</v>
      </c>
      <c r="G18736" t="str">
        <v>-</v>
      </c>
    </row>
    <row r="18737">
      <c r="B18737" t="str">
        <v>UBND Ủy ban nhân dân phường 6  tỉnh Lâm Đồng</v>
      </c>
      <c r="C18737" t="str">
        <v>-</v>
      </c>
      <c r="D18737" t="str">
        <v>-</v>
      </c>
      <c r="E18737" t="str">
        <v>-</v>
      </c>
      <c r="F18737" t="str">
        <v>-</v>
      </c>
      <c r="G18737" t="str">
        <v>-</v>
      </c>
    </row>
    <row r="18738">
      <c r="B18738" t="str">
        <v>Công an phường 5  tỉnh Lâm Đồng</v>
      </c>
      <c r="C18738" t="str">
        <v>-</v>
      </c>
      <c r="D18738" t="str">
        <v>-</v>
      </c>
      <c r="E18738" t="str">
        <v/>
      </c>
      <c r="F18738" t="str">
        <v>-</v>
      </c>
      <c r="G18738" t="str">
        <v>-</v>
      </c>
    </row>
    <row r="18739">
      <c r="B18739" t="str">
        <v>UBND Ủy ban nhân dân phường 5  tỉnh Lâm Đồng</v>
      </c>
      <c r="C18739" t="str">
        <v>-</v>
      </c>
      <c r="D18739" t="str">
        <v>-</v>
      </c>
      <c r="E18739" t="str">
        <v>-</v>
      </c>
      <c r="F18739" t="str">
        <v>-</v>
      </c>
      <c r="G18739" t="str">
        <v>-</v>
      </c>
    </row>
    <row r="18740">
      <c r="B18740" t="str">
        <v>Công an phường 4  tỉnh Lâm Đồng</v>
      </c>
      <c r="C18740" t="str">
        <v>-</v>
      </c>
      <c r="D18740" t="str">
        <v>-</v>
      </c>
      <c r="E18740" t="str">
        <v/>
      </c>
      <c r="F18740" t="str">
        <v>-</v>
      </c>
      <c r="G18740" t="str">
        <v>-</v>
      </c>
    </row>
    <row r="18741">
      <c r="B18741" t="str">
        <v>UBND Ủy ban nhân dân phường 4  tỉnh Lâm Đồng</v>
      </c>
      <c r="C18741" t="str">
        <v>-</v>
      </c>
      <c r="D18741" t="str">
        <v>-</v>
      </c>
      <c r="E18741" t="str">
        <v>-</v>
      </c>
      <c r="F18741" t="str">
        <v>-</v>
      </c>
      <c r="G18741" t="str">
        <v>-</v>
      </c>
    </row>
    <row r="18742">
      <c r="B18742" t="str">
        <v>Công an phường 10  tỉnh Lâm Đồng</v>
      </c>
      <c r="C18742" t="str">
        <v>-</v>
      </c>
      <c r="D18742" t="str">
        <v>-</v>
      </c>
      <c r="E18742" t="str">
        <v/>
      </c>
      <c r="F18742" t="str">
        <v>-</v>
      </c>
      <c r="G18742" t="str">
        <v>-</v>
      </c>
    </row>
    <row r="18743">
      <c r="B18743" t="str">
        <v>UBND Ủy ban nhân dân phường 10  tỉnh Lâm Đồng</v>
      </c>
      <c r="C18743" t="str">
        <v>-</v>
      </c>
      <c r="D18743" t="str">
        <v>-</v>
      </c>
      <c r="E18743" t="str">
        <v>-</v>
      </c>
      <c r="F18743" t="str">
        <v>-</v>
      </c>
      <c r="G18743" t="str">
        <v>-</v>
      </c>
    </row>
    <row r="18744">
      <c r="B18744" t="str">
        <v>Công an phường 11  tỉnh Lâm Đồng</v>
      </c>
      <c r="C18744" t="str">
        <v>-</v>
      </c>
      <c r="D18744" t="str">
        <v>-</v>
      </c>
      <c r="E18744" t="str">
        <v/>
      </c>
      <c r="F18744" t="str">
        <v>-</v>
      </c>
      <c r="G18744" t="str">
        <v>-</v>
      </c>
    </row>
    <row r="18745">
      <c r="B18745" t="str">
        <v>UBND Ủy ban nhân dân phường 11  tỉnh Lâm Đồng</v>
      </c>
      <c r="C18745" t="str">
        <v>-</v>
      </c>
      <c r="D18745" t="str">
        <v>-</v>
      </c>
      <c r="E18745" t="str">
        <v>-</v>
      </c>
      <c r="F18745" t="str">
        <v>-</v>
      </c>
      <c r="G18745" t="str">
        <v>-</v>
      </c>
    </row>
    <row r="18746">
      <c r="B18746" t="str">
        <v>Công an phường 3  tỉnh Lâm Đồng</v>
      </c>
      <c r="C18746" t="str">
        <v>-</v>
      </c>
      <c r="D18746" t="str">
        <v>-</v>
      </c>
      <c r="E18746" t="str">
        <v/>
      </c>
      <c r="F18746" t="str">
        <v>-</v>
      </c>
      <c r="G18746" t="str">
        <v>-</v>
      </c>
    </row>
    <row r="18747">
      <c r="B18747" t="str">
        <v>UBND Ủy ban nhân dân phường 3  tỉnh Lâm Đồng</v>
      </c>
      <c r="C18747" t="str">
        <v>-</v>
      </c>
      <c r="D18747" t="str">
        <v>-</v>
      </c>
      <c r="E18747" t="str">
        <v>-</v>
      </c>
      <c r="F18747" t="str">
        <v>-</v>
      </c>
      <c r="G18747" t="str">
        <v>-</v>
      </c>
    </row>
    <row r="18748">
      <c r="B18748" t="str">
        <v>Công an xã Xuân Thọ  tỉnh Lâm Đồng</v>
      </c>
      <c r="C18748" t="str">
        <v>-</v>
      </c>
      <c r="D18748" t="str">
        <v>-</v>
      </c>
      <c r="E18748" t="str">
        <v/>
      </c>
      <c r="F18748" t="str">
        <v>-</v>
      </c>
      <c r="G18748" t="str">
        <v>-</v>
      </c>
    </row>
    <row r="18749">
      <c r="B18749" t="str">
        <v>UBND Ủy ban nhân dân xã Xuân Thọ  tỉnh Lâm Đồng</v>
      </c>
      <c r="C18749" t="str">
        <v>-</v>
      </c>
      <c r="D18749" t="str">
        <v>-</v>
      </c>
      <c r="E18749" t="str">
        <v>-</v>
      </c>
      <c r="F18749" t="str">
        <v>-</v>
      </c>
      <c r="G18749" t="str">
        <v>-</v>
      </c>
    </row>
    <row r="18750">
      <c r="B18750" t="str">
        <v>Công an xã Tà Nung  tỉnh Lâm Đồng</v>
      </c>
      <c r="C18750" t="str">
        <v>-</v>
      </c>
      <c r="D18750" t="str">
        <v>-</v>
      </c>
      <c r="E18750" t="str">
        <v/>
      </c>
      <c r="F18750" t="str">
        <v>-</v>
      </c>
      <c r="G18750" t="str">
        <v>-</v>
      </c>
    </row>
    <row r="18751">
      <c r="B18751" t="str">
        <v>UBND Ủy ban nhân dân xã Tà Nung  tỉnh Lâm Đồng</v>
      </c>
      <c r="C18751" t="str">
        <v>-</v>
      </c>
      <c r="D18751" t="str">
        <v>-</v>
      </c>
      <c r="E18751" t="str">
        <v>-</v>
      </c>
      <c r="F18751" t="str">
        <v>-</v>
      </c>
      <c r="G18751" t="str">
        <v>-</v>
      </c>
    </row>
    <row r="18752">
      <c r="B18752" t="str">
        <v>Công an xã Trạm Hành  tỉnh Lâm Đồng</v>
      </c>
      <c r="C18752" t="str">
        <v>-</v>
      </c>
      <c r="D18752" t="str">
        <v>-</v>
      </c>
      <c r="E18752" t="str">
        <v/>
      </c>
      <c r="F18752" t="str">
        <v>-</v>
      </c>
      <c r="G18752" t="str">
        <v>-</v>
      </c>
    </row>
    <row r="18753">
      <c r="B18753" t="str">
        <v>UBND Ủy ban nhân dân xã Trạm Hành  tỉnh Lâm Đồng</v>
      </c>
      <c r="C18753" t="str">
        <v>-</v>
      </c>
      <c r="D18753" t="str">
        <v>-</v>
      </c>
      <c r="E18753" t="str">
        <v>-</v>
      </c>
      <c r="F18753" t="str">
        <v>-</v>
      </c>
      <c r="G18753" t="str">
        <v>-</v>
      </c>
    </row>
    <row r="18754">
      <c r="B18754" t="str">
        <v>Công an xã Xuân Trường  tỉnh Lâm Đồng</v>
      </c>
      <c r="C18754" t="str">
        <v>-</v>
      </c>
      <c r="D18754" t="str">
        <v>-</v>
      </c>
      <c r="E18754" t="str">
        <v/>
      </c>
      <c r="F18754" t="str">
        <v>-</v>
      </c>
      <c r="G18754" t="str">
        <v>-</v>
      </c>
    </row>
    <row r="18755">
      <c r="B18755" t="str">
        <v>UBND Ủy ban nhân dân xã Xuân Trường  tỉnh Lâm Đồng</v>
      </c>
      <c r="C18755" t="str">
        <v>-</v>
      </c>
      <c r="D18755" t="str">
        <v>-</v>
      </c>
      <c r="E18755" t="str">
        <v>-</v>
      </c>
      <c r="F18755" t="str">
        <v>-</v>
      </c>
      <c r="G18755" t="str">
        <v>-</v>
      </c>
    </row>
    <row r="18756">
      <c r="B18756" t="str">
        <v>Công an phường Lộc Phát  tỉnh Lâm Đồng</v>
      </c>
      <c r="C18756" t="str">
        <v>-</v>
      </c>
      <c r="D18756" t="str">
        <v>-</v>
      </c>
      <c r="E18756" t="str">
        <v/>
      </c>
      <c r="F18756" t="str">
        <v>-</v>
      </c>
      <c r="G18756" t="str">
        <v>-</v>
      </c>
    </row>
    <row r="18757">
      <c r="B18757" t="str">
        <v>UBND Ủy ban nhân dân phường Lộc Phát  tỉnh Lâm Đồng</v>
      </c>
      <c r="C18757" t="str">
        <v>-</v>
      </c>
      <c r="D18757" t="str">
        <v>-</v>
      </c>
      <c r="E18757" t="str">
        <v>-</v>
      </c>
      <c r="F18757" t="str">
        <v>-</v>
      </c>
      <c r="G18757" t="str">
        <v>-</v>
      </c>
    </row>
    <row r="18758">
      <c r="B18758" t="str">
        <v>Công an phường Lộc Tiến  tỉnh Lâm Đồng</v>
      </c>
      <c r="C18758" t="str">
        <v>-</v>
      </c>
      <c r="D18758" t="str">
        <v>-</v>
      </c>
      <c r="E18758" t="str">
        <v/>
      </c>
      <c r="F18758" t="str">
        <v>-</v>
      </c>
      <c r="G18758" t="str">
        <v>-</v>
      </c>
    </row>
    <row r="18759">
      <c r="B18759" t="str">
        <v>UBND Ủy ban nhân dân phường Lộc Tiến  tỉnh Lâm Đồng</v>
      </c>
      <c r="C18759" t="str">
        <v>-</v>
      </c>
      <c r="D18759" t="str">
        <v>-</v>
      </c>
      <c r="E18759" t="str">
        <v>-</v>
      </c>
      <c r="F18759" t="str">
        <v>-</v>
      </c>
      <c r="G18759" t="str">
        <v>-</v>
      </c>
    </row>
    <row r="18760">
      <c r="B18760" t="str">
        <v>Công an phường 2  tỉnh Lâm Đồng</v>
      </c>
      <c r="C18760" t="str">
        <v>-</v>
      </c>
      <c r="D18760" t="str">
        <v>-</v>
      </c>
      <c r="E18760" t="str">
        <v/>
      </c>
      <c r="F18760" t="str">
        <v>-</v>
      </c>
      <c r="G18760" t="str">
        <v>-</v>
      </c>
    </row>
    <row r="18761">
      <c r="B18761" t="str">
        <v>UBND Ủy ban nhân dân phường 2  tỉnh Lâm Đồng</v>
      </c>
      <c r="C18761" t="str">
        <v>-</v>
      </c>
      <c r="D18761" t="str">
        <v>-</v>
      </c>
      <c r="E18761" t="str">
        <v>-</v>
      </c>
      <c r="F18761" t="str">
        <v>-</v>
      </c>
      <c r="G18761" t="str">
        <v>-</v>
      </c>
    </row>
    <row r="18762">
      <c r="B18762" t="str">
        <v>Công an phường 1  tỉnh Lâm Đồng</v>
      </c>
      <c r="C18762" t="str">
        <v>-</v>
      </c>
      <c r="D18762" t="str">
        <v>-</v>
      </c>
      <c r="E18762" t="str">
        <v/>
      </c>
      <c r="F18762" t="str">
        <v>-</v>
      </c>
      <c r="G18762" t="str">
        <v>-</v>
      </c>
    </row>
    <row r="18763">
      <c r="B18763" t="str">
        <v>UBND Ủy ban nhân dân phường 1  tỉnh Lâm Đồng</v>
      </c>
      <c r="C18763" t="str">
        <v>-</v>
      </c>
      <c r="D18763" t="str">
        <v>-</v>
      </c>
      <c r="E18763" t="str">
        <v>-</v>
      </c>
      <c r="F18763" t="str">
        <v>-</v>
      </c>
      <c r="G18763" t="str">
        <v>-</v>
      </c>
    </row>
    <row r="18764">
      <c r="B18764" t="str">
        <v>Công an phường B'lao  tỉnh Lâm Đồng</v>
      </c>
      <c r="C18764" t="str">
        <v>-</v>
      </c>
      <c r="D18764" t="str">
        <v>-</v>
      </c>
      <c r="E18764" t="str">
        <v/>
      </c>
      <c r="F18764" t="str">
        <v>-</v>
      </c>
      <c r="G18764" t="str">
        <v>-</v>
      </c>
    </row>
    <row r="18765">
      <c r="B18765" t="str">
        <v>UBND Ủy ban nhân dân phường B'lao  tỉnh Lâm Đồng</v>
      </c>
      <c r="C18765" t="str">
        <v>-</v>
      </c>
      <c r="D18765" t="str">
        <v>-</v>
      </c>
      <c r="E18765" t="str">
        <v>-</v>
      </c>
      <c r="F18765" t="str">
        <v>-</v>
      </c>
      <c r="G18765" t="str">
        <v>-</v>
      </c>
    </row>
    <row r="18766">
      <c r="B18766" t="str">
        <v>Công an phường Lộc Sơn  tỉnh Lâm Đồng</v>
      </c>
      <c r="C18766" t="str">
        <v>-</v>
      </c>
      <c r="D18766" t="str">
        <v>-</v>
      </c>
      <c r="E18766" t="str">
        <v/>
      </c>
      <c r="F18766" t="str">
        <v>-</v>
      </c>
      <c r="G18766" t="str">
        <v>-</v>
      </c>
    </row>
    <row r="18767">
      <c r="B18767" t="str">
        <v>UBND Ủy ban nhân dân phường Lộc Sơn  tỉnh Lâm Đồng</v>
      </c>
      <c r="C18767" t="str">
        <v>-</v>
      </c>
      <c r="D18767" t="str">
        <v>-</v>
      </c>
      <c r="E18767" t="str">
        <v>-</v>
      </c>
      <c r="F18767" t="str">
        <v>-</v>
      </c>
      <c r="G18767" t="str">
        <v>-</v>
      </c>
    </row>
    <row r="18768">
      <c r="B18768" t="str">
        <v>Công an xã Đạm Bri  tỉnh Lâm Đồng</v>
      </c>
      <c r="C18768" t="str">
        <v>-</v>
      </c>
      <c r="D18768" t="str">
        <v>-</v>
      </c>
      <c r="E18768" t="str">
        <v/>
      </c>
      <c r="F18768" t="str">
        <v>-</v>
      </c>
      <c r="G18768" t="str">
        <v>-</v>
      </c>
    </row>
    <row r="18769">
      <c r="B18769" t="str">
        <v>UBND Ủy ban nhân dân xã Đạm Bri  tỉnh Lâm Đồng</v>
      </c>
      <c r="C18769" t="str">
        <v>-</v>
      </c>
      <c r="D18769" t="str">
        <v>-</v>
      </c>
      <c r="E18769" t="str">
        <v>-</v>
      </c>
      <c r="F18769" t="str">
        <v>-</v>
      </c>
      <c r="G18769" t="str">
        <v>-</v>
      </c>
    </row>
    <row r="18770">
      <c r="B18770" t="str">
        <v>Công an xã Lộc Thanh  tỉnh Lâm Đồng</v>
      </c>
      <c r="C18770" t="str">
        <v>-</v>
      </c>
      <c r="D18770" t="str">
        <v>-</v>
      </c>
      <c r="E18770" t="str">
        <v/>
      </c>
      <c r="F18770" t="str">
        <v>-</v>
      </c>
      <c r="G18770" t="str">
        <v>-</v>
      </c>
    </row>
    <row r="18771">
      <c r="B18771" t="str">
        <v>UBND Ủy ban nhân dân xã Lộc Thanh  tỉnh Lâm Đồng</v>
      </c>
      <c r="C18771" t="str">
        <v>-</v>
      </c>
      <c r="D18771" t="str">
        <v>-</v>
      </c>
      <c r="E18771" t="str">
        <v>-</v>
      </c>
      <c r="F18771" t="str">
        <v>-</v>
      </c>
      <c r="G18771" t="str">
        <v>-</v>
      </c>
    </row>
    <row r="18772">
      <c r="B18772" t="str">
        <v>Công an xã Lộc Nga  tỉnh Lâm Đồng</v>
      </c>
      <c r="C18772" t="str">
        <v>-</v>
      </c>
      <c r="D18772" t="str">
        <v>-</v>
      </c>
      <c r="E18772" t="str">
        <v/>
      </c>
      <c r="F18772" t="str">
        <v>-</v>
      </c>
      <c r="G18772" t="str">
        <v>-</v>
      </c>
    </row>
    <row r="18773">
      <c r="B18773" t="str">
        <v>UBND Ủy ban nhân dân xã Lộc Nga  tỉnh Lâm Đồng</v>
      </c>
      <c r="C18773" t="str">
        <v>-</v>
      </c>
      <c r="D18773" t="str">
        <v>-</v>
      </c>
      <c r="E18773" t="str">
        <v>-</v>
      </c>
      <c r="F18773" t="str">
        <v>-</v>
      </c>
      <c r="G18773" t="str">
        <v>-</v>
      </c>
    </row>
    <row r="18774">
      <c r="B18774" t="str">
        <v>Công an xã Lộc Châu  tỉnh Lâm Đồng</v>
      </c>
      <c r="C18774" t="str">
        <v>-</v>
      </c>
      <c r="D18774" t="str">
        <v>-</v>
      </c>
      <c r="E18774" t="str">
        <v/>
      </c>
      <c r="F18774" t="str">
        <v>-</v>
      </c>
      <c r="G18774" t="str">
        <v>-</v>
      </c>
    </row>
    <row r="18775">
      <c r="B18775" t="str">
        <v>UBND Ủy ban nhân dân xã Lộc Châu  tỉnh Lâm Đồng</v>
      </c>
      <c r="C18775" t="str">
        <v>-</v>
      </c>
      <c r="D18775" t="str">
        <v>-</v>
      </c>
      <c r="E18775" t="str">
        <v>-</v>
      </c>
      <c r="F18775" t="str">
        <v>-</v>
      </c>
      <c r="G18775" t="str">
        <v>-</v>
      </c>
    </row>
    <row r="18776">
      <c r="B18776" t="str">
        <v>Công an xã Đại Lào  tỉnh Lâm Đồng</v>
      </c>
      <c r="C18776" t="str">
        <v>-</v>
      </c>
      <c r="D18776" t="str">
        <v>-</v>
      </c>
      <c r="E18776" t="str">
        <v/>
      </c>
      <c r="F18776" t="str">
        <v>-</v>
      </c>
      <c r="G18776" t="str">
        <v>-</v>
      </c>
    </row>
    <row r="18777">
      <c r="B18777" t="str">
        <v>UBND Ủy ban nhân dân xã Đại Lào  tỉnh Lâm Đồng</v>
      </c>
      <c r="C18777" t="str">
        <v>-</v>
      </c>
      <c r="D18777" t="str">
        <v>-</v>
      </c>
      <c r="E18777" t="str">
        <v>-</v>
      </c>
      <c r="F18777" t="str">
        <v>-</v>
      </c>
      <c r="G18777" t="str">
        <v>-</v>
      </c>
    </row>
    <row r="18778">
      <c r="B18778" t="str">
        <v>Công an xã Đạ Tông  tỉnh Lâm Đồng</v>
      </c>
      <c r="C18778" t="str">
        <v>-</v>
      </c>
      <c r="D18778" t="str">
        <v>-</v>
      </c>
      <c r="E18778" t="str">
        <v/>
      </c>
      <c r="F18778" t="str">
        <v>-</v>
      </c>
      <c r="G18778" t="str">
        <v>-</v>
      </c>
    </row>
    <row r="18779">
      <c r="B18779" t="str">
        <v>UBND Ủy ban nhân dân xã Đạ Tông  tỉnh Lâm Đồng</v>
      </c>
      <c r="C18779" t="str">
        <v>-</v>
      </c>
      <c r="D18779" t="str">
        <v>-</v>
      </c>
      <c r="E18779" t="str">
        <v>-</v>
      </c>
      <c r="F18779" t="str">
        <v>-</v>
      </c>
      <c r="G18779" t="str">
        <v>-</v>
      </c>
    </row>
    <row r="18780">
      <c r="B18780" t="str">
        <v>Công an xã Đạ Long  tỉnh Lâm Đồng</v>
      </c>
      <c r="C18780" t="str">
        <v>-</v>
      </c>
      <c r="D18780" t="str">
        <v>-</v>
      </c>
      <c r="E18780" t="str">
        <v/>
      </c>
      <c r="F18780" t="str">
        <v>-</v>
      </c>
      <c r="G18780" t="str">
        <v>-</v>
      </c>
    </row>
    <row r="18781">
      <c r="B18781" t="str">
        <v>UBND Ủy ban nhân dân xã Đạ Long  tỉnh Lâm Đồng</v>
      </c>
      <c r="C18781" t="str">
        <v>-</v>
      </c>
      <c r="D18781" t="str">
        <v>-</v>
      </c>
      <c r="E18781" t="str">
        <v>-</v>
      </c>
      <c r="F18781" t="str">
        <v>-</v>
      </c>
      <c r="G18781" t="str">
        <v>-</v>
      </c>
    </row>
    <row r="18782">
      <c r="B18782" t="str">
        <v>Công an xã Đạ M' Rong  tỉnh Lâm Đồng</v>
      </c>
      <c r="C18782" t="str">
        <v>-</v>
      </c>
      <c r="D18782" t="str">
        <v>-</v>
      </c>
      <c r="E18782" t="str">
        <v/>
      </c>
      <c r="F18782" t="str">
        <v>-</v>
      </c>
      <c r="G18782" t="str">
        <v>-</v>
      </c>
    </row>
    <row r="18783">
      <c r="B18783" t="str">
        <v>UBND Ủy ban nhân dân xã Đạ M' Rong  tỉnh Lâm Đồng</v>
      </c>
      <c r="C18783" t="str">
        <v>-</v>
      </c>
      <c r="D18783" t="str">
        <v>-</v>
      </c>
      <c r="E18783" t="str">
        <v>-</v>
      </c>
      <c r="F18783" t="str">
        <v>-</v>
      </c>
      <c r="G18783" t="str">
        <v>-</v>
      </c>
    </row>
    <row r="18784">
      <c r="B18784" t="str">
        <v>Công an xã Liêng Srônh  tỉnh Lâm Đồng</v>
      </c>
      <c r="C18784" t="str">
        <v>-</v>
      </c>
      <c r="D18784" t="str">
        <v>-</v>
      </c>
      <c r="E18784" t="str">
        <v/>
      </c>
      <c r="F18784" t="str">
        <v>-</v>
      </c>
      <c r="G18784" t="str">
        <v>-</v>
      </c>
    </row>
    <row r="18785">
      <c r="B18785" t="str">
        <v>UBND Ủy ban nhân dân xã Liêng Srônh  tỉnh Lâm Đồng</v>
      </c>
      <c r="C18785" t="str">
        <v>-</v>
      </c>
      <c r="D18785" t="str">
        <v>-</v>
      </c>
      <c r="E18785" t="str">
        <v>-</v>
      </c>
      <c r="F18785" t="str">
        <v>-</v>
      </c>
      <c r="G18785" t="str">
        <v>-</v>
      </c>
    </row>
    <row r="18786">
      <c r="B18786" t="str">
        <v>Công an xã Đạ Rsal  tỉnh Lâm Đồng</v>
      </c>
      <c r="C18786" t="str">
        <v>-</v>
      </c>
      <c r="D18786" t="str">
        <v>-</v>
      </c>
      <c r="E18786" t="str">
        <v/>
      </c>
      <c r="F18786" t="str">
        <v>-</v>
      </c>
      <c r="G18786" t="str">
        <v>-</v>
      </c>
    </row>
    <row r="18787">
      <c r="B18787" t="str">
        <v>UBND Ủy ban nhân dân xã Đạ Rsal  tỉnh Lâm Đồng</v>
      </c>
      <c r="C18787" t="str">
        <v>-</v>
      </c>
      <c r="D18787" t="str">
        <v>-</v>
      </c>
      <c r="E18787" t="str">
        <v>-</v>
      </c>
      <c r="F18787" t="str">
        <v>-</v>
      </c>
      <c r="G18787" t="str">
        <v>-</v>
      </c>
    </row>
    <row r="18788">
      <c r="B18788" t="str">
        <v>Công an xã Rô Men  tỉnh Lâm Đồng</v>
      </c>
      <c r="C18788" t="str">
        <v>-</v>
      </c>
      <c r="D18788" t="str">
        <v>-</v>
      </c>
      <c r="E18788" t="str">
        <v/>
      </c>
      <c r="F18788" t="str">
        <v>-</v>
      </c>
      <c r="G18788" t="str">
        <v>-</v>
      </c>
    </row>
    <row r="18789">
      <c r="B18789" t="str">
        <v>UBND Ủy ban nhân dân xã Rô Men  tỉnh Lâm Đồng</v>
      </c>
      <c r="C18789" t="str">
        <v>-</v>
      </c>
      <c r="D18789" t="str">
        <v>-</v>
      </c>
      <c r="E18789" t="str">
        <v>-</v>
      </c>
      <c r="F18789" t="str">
        <v>-</v>
      </c>
      <c r="G18789" t="str">
        <v>-</v>
      </c>
    </row>
    <row r="18790">
      <c r="B18790" t="str">
        <v>Công an xã Phi Liêng  tỉnh Lâm Đồng</v>
      </c>
      <c r="C18790" t="str">
        <v>-</v>
      </c>
      <c r="D18790" t="str">
        <v>-</v>
      </c>
      <c r="E18790" t="str">
        <v/>
      </c>
      <c r="F18790" t="str">
        <v>-</v>
      </c>
      <c r="G18790" t="str">
        <v>-</v>
      </c>
    </row>
    <row r="18791">
      <c r="B18791" t="str">
        <v>UBND Ủy ban nhân dân xã Phi Liêng  tỉnh Lâm Đồng</v>
      </c>
      <c r="C18791" t="str">
        <v>-</v>
      </c>
      <c r="D18791" t="str">
        <v>-</v>
      </c>
      <c r="E18791" t="str">
        <v>-</v>
      </c>
      <c r="F18791" t="str">
        <v>-</v>
      </c>
      <c r="G18791" t="str">
        <v>-</v>
      </c>
    </row>
    <row r="18792">
      <c r="B18792" t="str">
        <v>Công an xã Đạ K' Nàng  tỉnh Lâm Đồng</v>
      </c>
      <c r="C18792" t="str">
        <v>-</v>
      </c>
      <c r="D18792" t="str">
        <v>-</v>
      </c>
      <c r="E18792" t="str">
        <v/>
      </c>
      <c r="F18792" t="str">
        <v>-</v>
      </c>
      <c r="G18792" t="str">
        <v>-</v>
      </c>
    </row>
    <row r="18793">
      <c r="B18793" t="str">
        <v>UBND Ủy ban nhân dân xã Đạ K' Nàng  tỉnh Lâm Đồng</v>
      </c>
      <c r="C18793" t="str">
        <v>-</v>
      </c>
      <c r="D18793" t="str">
        <v>-</v>
      </c>
      <c r="E18793" t="str">
        <v>-</v>
      </c>
      <c r="F18793" t="str">
        <v>-</v>
      </c>
      <c r="G18793" t="str">
        <v>-</v>
      </c>
    </row>
    <row r="18794">
      <c r="B18794" t="str">
        <v>Công an xã Đạ Chais  tỉnh Lâm Đồng</v>
      </c>
      <c r="C18794" t="str">
        <v>-</v>
      </c>
      <c r="D18794" t="str">
        <v>-</v>
      </c>
      <c r="E18794" t="str">
        <v/>
      </c>
      <c r="F18794" t="str">
        <v>-</v>
      </c>
      <c r="G18794" t="str">
        <v>-</v>
      </c>
    </row>
    <row r="18795">
      <c r="B18795" t="str">
        <v>UBND Ủy ban nhân dân xã Đạ Chais  tỉnh Lâm Đồng</v>
      </c>
      <c r="C18795" t="str">
        <v>-</v>
      </c>
      <c r="D18795" t="str">
        <v>-</v>
      </c>
      <c r="E18795" t="str">
        <v>-</v>
      </c>
      <c r="F18795" t="str">
        <v>-</v>
      </c>
      <c r="G18795" t="str">
        <v>-</v>
      </c>
    </row>
    <row r="18796">
      <c r="B18796" t="str">
        <v>Công an xã Đạ Nhim  tỉnh Lâm Đồng</v>
      </c>
      <c r="C18796" t="str">
        <v>-</v>
      </c>
      <c r="D18796" t="str">
        <v>-</v>
      </c>
      <c r="E18796" t="str">
        <v/>
      </c>
      <c r="F18796" t="str">
        <v>-</v>
      </c>
      <c r="G18796" t="str">
        <v>-</v>
      </c>
    </row>
    <row r="18797">
      <c r="B18797" t="str">
        <v>UBND Ủy ban nhân dân xã Đạ Nhim  tỉnh Lâm Đồng</v>
      </c>
      <c r="C18797" t="str">
        <v>-</v>
      </c>
      <c r="D18797" t="str">
        <v>-</v>
      </c>
      <c r="E18797" t="str">
        <v>-</v>
      </c>
      <c r="F18797" t="str">
        <v>-</v>
      </c>
      <c r="G18797" t="str">
        <v>-</v>
      </c>
    </row>
    <row r="18798">
      <c r="B18798" t="str">
        <v>Công an xã Đưng KNớ  tỉnh Lâm Đồng</v>
      </c>
      <c r="C18798" t="str">
        <v>-</v>
      </c>
      <c r="D18798" t="str">
        <v>-</v>
      </c>
      <c r="E18798" t="str">
        <v/>
      </c>
      <c r="F18798" t="str">
        <v>-</v>
      </c>
      <c r="G18798" t="str">
        <v>-</v>
      </c>
    </row>
    <row r="18799">
      <c r="B18799" t="str">
        <v>UBND Ủy ban nhân dân xã Đưng KNớ  tỉnh Lâm Đồng</v>
      </c>
      <c r="C18799" t="str">
        <v>-</v>
      </c>
      <c r="D18799" t="str">
        <v>-</v>
      </c>
      <c r="E18799" t="str">
        <v>-</v>
      </c>
      <c r="F18799" t="str">
        <v>-</v>
      </c>
      <c r="G18799" t="str">
        <v>-</v>
      </c>
    </row>
    <row r="18800">
      <c r="B18800" t="str">
        <v>Công an xã Lát  tỉnh Lâm Đồng</v>
      </c>
      <c r="C18800" t="str">
        <v>-</v>
      </c>
      <c r="D18800" t="str">
        <v>-</v>
      </c>
      <c r="E18800" t="str">
        <v/>
      </c>
      <c r="F18800" t="str">
        <v>-</v>
      </c>
      <c r="G18800" t="str">
        <v>-</v>
      </c>
    </row>
    <row r="18801">
      <c r="B18801" t="str">
        <v>UBND Ủy ban nhân dân xã Lát  tỉnh Lâm Đồng</v>
      </c>
      <c r="C18801" t="str">
        <v>-</v>
      </c>
      <c r="D18801" t="str">
        <v>-</v>
      </c>
      <c r="E18801" t="str">
        <v>-</v>
      </c>
      <c r="F18801" t="str">
        <v>-</v>
      </c>
      <c r="G18801" t="str">
        <v>-</v>
      </c>
    </row>
    <row r="18802">
      <c r="B18802" t="str">
        <v>Công an xã Đạ Sar  tỉnh Lâm Đồng</v>
      </c>
      <c r="C18802" t="str">
        <v>-</v>
      </c>
      <c r="D18802" t="str">
        <v>-</v>
      </c>
      <c r="E18802" t="str">
        <v/>
      </c>
      <c r="F18802" t="str">
        <v>-</v>
      </c>
      <c r="G18802" t="str">
        <v>-</v>
      </c>
    </row>
    <row r="18803">
      <c r="B18803" t="str">
        <v>UBND Ủy ban nhân dân xã Đạ Sar  tỉnh Lâm Đồng</v>
      </c>
      <c r="C18803" t="str">
        <v>-</v>
      </c>
      <c r="D18803" t="str">
        <v>-</v>
      </c>
      <c r="E18803" t="str">
        <v>-</v>
      </c>
      <c r="F18803" t="str">
        <v>-</v>
      </c>
      <c r="G18803" t="str">
        <v>-</v>
      </c>
    </row>
    <row r="18804">
      <c r="B18804" t="str">
        <v>Công an xã Phú Sơn  tỉnh Lâm Đồng</v>
      </c>
      <c r="C18804" t="str">
        <v>-</v>
      </c>
      <c r="D18804" t="str">
        <v>-</v>
      </c>
      <c r="E18804" t="str">
        <v/>
      </c>
      <c r="F18804" t="str">
        <v>-</v>
      </c>
      <c r="G18804" t="str">
        <v>-</v>
      </c>
    </row>
    <row r="18805">
      <c r="B18805" t="str">
        <v>UBND Ủy ban nhân dân xã Phú Sơn  tỉnh Lâm Đồng</v>
      </c>
      <c r="C18805" t="str">
        <v>-</v>
      </c>
      <c r="D18805" t="str">
        <v>-</v>
      </c>
      <c r="E18805" t="str">
        <v>-</v>
      </c>
      <c r="F18805" t="str">
        <v>-</v>
      </c>
      <c r="G18805" t="str">
        <v>-</v>
      </c>
    </row>
    <row r="18806">
      <c r="B18806" t="str">
        <v>Công an xã Phi Tô  tỉnh Lâm Đồng</v>
      </c>
      <c r="C18806" t="str">
        <v>-</v>
      </c>
      <c r="D18806" t="str">
        <v>-</v>
      </c>
      <c r="E18806" t="str">
        <v/>
      </c>
      <c r="F18806" t="str">
        <v>-</v>
      </c>
      <c r="G18806" t="str">
        <v>-</v>
      </c>
    </row>
    <row r="18807">
      <c r="B18807" t="str">
        <v>UBND Ủy ban nhân dân xã Phi Tô  tỉnh Lâm Đồng</v>
      </c>
      <c r="C18807" t="str">
        <v>-</v>
      </c>
      <c r="D18807" t="str">
        <v>-</v>
      </c>
      <c r="E18807" t="str">
        <v>-</v>
      </c>
      <c r="F18807" t="str">
        <v>-</v>
      </c>
      <c r="G18807" t="str">
        <v>-</v>
      </c>
    </row>
    <row r="18808">
      <c r="B18808" t="str">
        <v>Công an xã Mê Linh  tỉnh Lâm Đồng</v>
      </c>
      <c r="C18808" t="str">
        <v>-</v>
      </c>
      <c r="D18808" t="str">
        <v>-</v>
      </c>
      <c r="E18808" t="str">
        <v/>
      </c>
      <c r="F18808" t="str">
        <v>-</v>
      </c>
      <c r="G18808" t="str">
        <v>-</v>
      </c>
    </row>
    <row r="18809">
      <c r="B18809" t="str">
        <v>UBND Ủy ban nhân dân xã Mê Linh  tỉnh Lâm Đồng</v>
      </c>
      <c r="C18809" t="str">
        <v>-</v>
      </c>
      <c r="D18809" t="str">
        <v>-</v>
      </c>
      <c r="E18809" t="str">
        <v>-</v>
      </c>
      <c r="F18809" t="str">
        <v>-</v>
      </c>
      <c r="G18809" t="str">
        <v>-</v>
      </c>
    </row>
    <row r="18810">
      <c r="B18810" t="str">
        <v>Công an xã Đạ Đờn  tỉnh Lâm Đồng</v>
      </c>
      <c r="C18810" t="str">
        <v>-</v>
      </c>
      <c r="D18810" t="str">
        <v>-</v>
      </c>
      <c r="E18810" t="str">
        <v/>
      </c>
      <c r="F18810" t="str">
        <v>-</v>
      </c>
      <c r="G18810" t="str">
        <v>-</v>
      </c>
    </row>
    <row r="18811">
      <c r="B18811" t="str">
        <v>UBND Ủy ban nhân dân xã Đạ Đờn  tỉnh Lâm Đồng</v>
      </c>
      <c r="C18811" t="str">
        <v>-</v>
      </c>
      <c r="D18811" t="str">
        <v>-</v>
      </c>
      <c r="E18811" t="str">
        <v>-</v>
      </c>
      <c r="F18811" t="str">
        <v>-</v>
      </c>
      <c r="G18811" t="str">
        <v>-</v>
      </c>
    </row>
    <row r="18812">
      <c r="B18812" t="str">
        <v>Công an xã Phúc Thọ  tỉnh Lâm Đồng</v>
      </c>
      <c r="C18812" t="str">
        <v>-</v>
      </c>
      <c r="D18812" t="str">
        <v>-</v>
      </c>
      <c r="E18812" t="str">
        <v/>
      </c>
      <c r="F18812" t="str">
        <v>-</v>
      </c>
      <c r="G18812" t="str">
        <v>-</v>
      </c>
    </row>
    <row r="18813">
      <c r="B18813" t="str">
        <v>UBND Ủy ban nhân dân xã Phúc Thọ  tỉnh Lâm Đồng</v>
      </c>
      <c r="C18813" t="str">
        <v>-</v>
      </c>
      <c r="D18813" t="str">
        <v>-</v>
      </c>
      <c r="E18813" t="str">
        <v>-</v>
      </c>
      <c r="F18813" t="str">
        <v>-</v>
      </c>
      <c r="G18813" t="str">
        <v>-</v>
      </c>
    </row>
    <row r="18814">
      <c r="B18814" t="str">
        <v>Công an xã Đông Thanh  tỉnh Lâm Đồng</v>
      </c>
      <c r="C18814" t="str">
        <v>-</v>
      </c>
      <c r="D18814" t="str">
        <v>-</v>
      </c>
      <c r="E18814" t="str">
        <v/>
      </c>
      <c r="F18814" t="str">
        <v>-</v>
      </c>
      <c r="G18814" t="str">
        <v>-</v>
      </c>
    </row>
    <row r="18815">
      <c r="B18815" t="str">
        <v>UBND Ủy ban nhân dân xã Đông Thanh  tỉnh Lâm Đồng</v>
      </c>
      <c r="C18815" t="str">
        <v>-</v>
      </c>
      <c r="D18815" t="str">
        <v>-</v>
      </c>
      <c r="E18815" t="str">
        <v>-</v>
      </c>
      <c r="F18815" t="str">
        <v>-</v>
      </c>
      <c r="G18815" t="str">
        <v>-</v>
      </c>
    </row>
    <row r="18816">
      <c r="B18816" t="str">
        <v>Công an xã Gia Lâm  tỉnh Lâm Đồng</v>
      </c>
      <c r="C18816" t="str">
        <v>-</v>
      </c>
      <c r="D18816" t="str">
        <v>-</v>
      </c>
      <c r="E18816" t="str">
        <v/>
      </c>
      <c r="F18816" t="str">
        <v>-</v>
      </c>
      <c r="G18816" t="str">
        <v>-</v>
      </c>
    </row>
    <row r="18817">
      <c r="B18817" t="str">
        <v>UBND Ủy ban nhân dân xã Gia Lâm  tỉnh Lâm Đồng</v>
      </c>
      <c r="C18817" t="str">
        <v>-</v>
      </c>
      <c r="D18817" t="str">
        <v>-</v>
      </c>
      <c r="E18817" t="str">
        <v>-</v>
      </c>
      <c r="F18817" t="str">
        <v>-</v>
      </c>
      <c r="G18817" t="str">
        <v>-</v>
      </c>
    </row>
    <row r="18818">
      <c r="B18818" t="str">
        <v>Công an xã Tân Thanh  tỉnh Lâm Đồng</v>
      </c>
      <c r="C18818" t="str">
        <v>-</v>
      </c>
      <c r="D18818" t="str">
        <v>-</v>
      </c>
      <c r="E18818" t="str">
        <v/>
      </c>
      <c r="F18818" t="str">
        <v>-</v>
      </c>
      <c r="G18818" t="str">
        <v>-</v>
      </c>
    </row>
    <row r="18819">
      <c r="B18819" t="str">
        <v>UBND Ủy ban nhân dân xã Tân Thanh  tỉnh Lâm Đồng</v>
      </c>
      <c r="C18819" t="str">
        <v>-</v>
      </c>
      <c r="D18819" t="str">
        <v>-</v>
      </c>
      <c r="E18819" t="str">
        <v>-</v>
      </c>
      <c r="F18819" t="str">
        <v>-</v>
      </c>
      <c r="G18819" t="str">
        <v>-</v>
      </c>
    </row>
    <row r="18820">
      <c r="B18820" t="str">
        <v>Công an xã Tân Văn  tỉnh Lâm Đồng</v>
      </c>
      <c r="C18820" t="str">
        <v>-</v>
      </c>
      <c r="D18820" t="str">
        <v>-</v>
      </c>
      <c r="E18820" t="str">
        <v/>
      </c>
      <c r="F18820" t="str">
        <v>-</v>
      </c>
      <c r="G18820" t="str">
        <v>-</v>
      </c>
    </row>
    <row r="18821">
      <c r="B18821" t="str">
        <v>UBND Ủy ban nhân dân xã Tân Văn  tỉnh Lâm Đồng</v>
      </c>
      <c r="C18821" t="str">
        <v>-</v>
      </c>
      <c r="D18821" t="str">
        <v>-</v>
      </c>
      <c r="E18821" t="str">
        <v>-</v>
      </c>
      <c r="F18821" t="str">
        <v>-</v>
      </c>
      <c r="G18821" t="str">
        <v>-</v>
      </c>
    </row>
    <row r="18822">
      <c r="B18822" t="str">
        <v>Công an xã Hoài Đức  tỉnh Lâm Đồng</v>
      </c>
      <c r="C18822" t="str">
        <v>-</v>
      </c>
      <c r="D18822" t="str">
        <v>-</v>
      </c>
      <c r="E18822" t="str">
        <v/>
      </c>
      <c r="F18822" t="str">
        <v>-</v>
      </c>
      <c r="G18822" t="str">
        <v>-</v>
      </c>
    </row>
    <row r="18823">
      <c r="B18823" t="str">
        <v>UBND Ủy ban nhân dân xã Hoài Đức  tỉnh Lâm Đồng</v>
      </c>
      <c r="C18823" t="str">
        <v>-</v>
      </c>
      <c r="D18823" t="str">
        <v>-</v>
      </c>
      <c r="E18823" t="str">
        <v>-</v>
      </c>
      <c r="F18823" t="str">
        <v>-</v>
      </c>
      <c r="G18823" t="str">
        <v>-</v>
      </c>
    </row>
    <row r="18824">
      <c r="B18824" t="str">
        <v>Công an xã Tân Hà  tỉnh Lâm Đồng</v>
      </c>
      <c r="C18824" t="str">
        <v>-</v>
      </c>
      <c r="D18824" t="str">
        <v>-</v>
      </c>
      <c r="E18824" t="str">
        <v/>
      </c>
      <c r="F18824" t="str">
        <v>-</v>
      </c>
      <c r="G18824" t="str">
        <v>-</v>
      </c>
    </row>
    <row r="18825">
      <c r="B18825" t="str">
        <v>UBND Ủy ban nhân dân xã Tân Hà  tỉnh Lâm Đồng</v>
      </c>
      <c r="C18825" t="str">
        <v>-</v>
      </c>
      <c r="D18825" t="str">
        <v>-</v>
      </c>
      <c r="E18825" t="str">
        <v>-</v>
      </c>
      <c r="F18825" t="str">
        <v>-</v>
      </c>
      <c r="G18825" t="str">
        <v>-</v>
      </c>
    </row>
    <row r="18826">
      <c r="B18826" t="str">
        <v>Công an xã Liên Hà  tỉnh Lâm Đồng</v>
      </c>
      <c r="C18826" t="str">
        <v>-</v>
      </c>
      <c r="D18826" t="str">
        <v>-</v>
      </c>
      <c r="E18826" t="str">
        <v/>
      </c>
      <c r="F18826" t="str">
        <v>-</v>
      </c>
      <c r="G18826" t="str">
        <v>-</v>
      </c>
    </row>
    <row r="18827">
      <c r="B18827" t="str">
        <v>UBND Ủy ban nhân dân xã Liên Hà  tỉnh Lâm Đồng</v>
      </c>
      <c r="C18827" t="str">
        <v>-</v>
      </c>
      <c r="D18827" t="str">
        <v>-</v>
      </c>
      <c r="E18827" t="str">
        <v>-</v>
      </c>
      <c r="F18827" t="str">
        <v>-</v>
      </c>
      <c r="G18827" t="str">
        <v>-</v>
      </c>
    </row>
    <row r="18828">
      <c r="B18828" t="str">
        <v>Công an xã Đan Phượng  tỉnh Lâm Đồng</v>
      </c>
      <c r="C18828" t="str">
        <v>-</v>
      </c>
      <c r="D18828" t="str">
        <v>-</v>
      </c>
      <c r="E18828" t="str">
        <v/>
      </c>
      <c r="F18828" t="str">
        <v>-</v>
      </c>
      <c r="G18828" t="str">
        <v>-</v>
      </c>
    </row>
    <row r="18829">
      <c r="B18829" t="str">
        <v>UBND Ủy ban nhân dân xã Đan Phượng  tỉnh Lâm Đồng</v>
      </c>
      <c r="C18829" t="str">
        <v>-</v>
      </c>
      <c r="D18829" t="str">
        <v>-</v>
      </c>
      <c r="E18829" t="str">
        <v>-</v>
      </c>
      <c r="F18829" t="str">
        <v>-</v>
      </c>
      <c r="G18829" t="str">
        <v>-</v>
      </c>
    </row>
    <row r="18830">
      <c r="B18830" t="str">
        <v>Công an xã Nam Hà  tỉnh Lâm Đồng</v>
      </c>
      <c r="C18830" t="str">
        <v>-</v>
      </c>
      <c r="D18830" t="str">
        <v>-</v>
      </c>
      <c r="E18830" t="str">
        <v/>
      </c>
      <c r="F18830" t="str">
        <v>-</v>
      </c>
      <c r="G18830" t="str">
        <v>-</v>
      </c>
    </row>
    <row r="18831">
      <c r="B18831" t="str">
        <v>UBND Ủy ban nhân dân xã Nam Hà  tỉnh Lâm Đồng</v>
      </c>
      <c r="C18831" t="str">
        <v>-</v>
      </c>
      <c r="D18831" t="str">
        <v>-</v>
      </c>
      <c r="E18831" t="str">
        <v>-</v>
      </c>
      <c r="F18831" t="str">
        <v>-</v>
      </c>
      <c r="G18831" t="str">
        <v>-</v>
      </c>
    </row>
    <row r="18832">
      <c r="B18832" t="str">
        <v>Công an xã Lạc Xuân  tỉnh Lâm Đồng</v>
      </c>
      <c r="C18832" t="str">
        <v>-</v>
      </c>
      <c r="D18832" t="str">
        <v>-</v>
      </c>
      <c r="E18832" t="str">
        <v/>
      </c>
      <c r="F18832" t="str">
        <v>-</v>
      </c>
      <c r="G18832" t="str">
        <v>-</v>
      </c>
    </row>
    <row r="18833">
      <c r="B18833" t="str">
        <v>UBND Ủy ban nhân dân xã Lạc Xuân  tỉnh Lâm Đồng</v>
      </c>
      <c r="C18833" t="str">
        <v>-</v>
      </c>
      <c r="D18833" t="str">
        <v>-</v>
      </c>
      <c r="E18833" t="str">
        <v>-</v>
      </c>
      <c r="F18833" t="str">
        <v>-</v>
      </c>
      <c r="G18833" t="str">
        <v>-</v>
      </c>
    </row>
    <row r="18834">
      <c r="B18834" t="str">
        <v>Công an xã Đạ Ròn  tỉnh Lâm Đồng</v>
      </c>
      <c r="C18834" t="str">
        <v>-</v>
      </c>
      <c r="D18834" t="str">
        <v>-</v>
      </c>
      <c r="E18834" t="str">
        <v/>
      </c>
      <c r="F18834" t="str">
        <v>-</v>
      </c>
      <c r="G18834" t="str">
        <v>-</v>
      </c>
    </row>
    <row r="18835">
      <c r="B18835" t="str">
        <v>UBND Ủy ban nhân dân xã Đạ Ròn  tỉnh Lâm Đồng</v>
      </c>
      <c r="C18835" t="str">
        <v>-</v>
      </c>
      <c r="D18835" t="str">
        <v>-</v>
      </c>
      <c r="E18835" t="str">
        <v>-</v>
      </c>
      <c r="F18835" t="str">
        <v>-</v>
      </c>
      <c r="G18835" t="str">
        <v>-</v>
      </c>
    </row>
    <row r="18836">
      <c r="B18836" t="str">
        <v>Công an xã Lạc Lâm  tỉnh Lâm Đồng</v>
      </c>
      <c r="C18836" t="str">
        <v>-</v>
      </c>
      <c r="D18836" t="str">
        <v>-</v>
      </c>
      <c r="E18836" t="str">
        <v/>
      </c>
      <c r="F18836" t="str">
        <v>-</v>
      </c>
      <c r="G18836" t="str">
        <v>-</v>
      </c>
    </row>
    <row r="18837">
      <c r="B18837" t="str">
        <v>UBND Ủy ban nhân dân xã Lạc Lâm  tỉnh Lâm Đồng</v>
      </c>
      <c r="C18837" t="str">
        <v>-</v>
      </c>
      <c r="D18837" t="str">
        <v>-</v>
      </c>
      <c r="E18837" t="str">
        <v>-</v>
      </c>
      <c r="F18837" t="str">
        <v>-</v>
      </c>
      <c r="G18837" t="str">
        <v>-</v>
      </c>
    </row>
    <row r="18838">
      <c r="B18838" t="str">
        <v>Công an xã Ka Đô  tỉnh Lâm Đồng</v>
      </c>
      <c r="C18838" t="str">
        <v>-</v>
      </c>
      <c r="D18838" t="str">
        <v>-</v>
      </c>
      <c r="E18838" t="str">
        <v/>
      </c>
      <c r="F18838" t="str">
        <v>-</v>
      </c>
      <c r="G18838" t="str">
        <v>-</v>
      </c>
    </row>
    <row r="18839">
      <c r="B18839" t="str">
        <v>UBND Ủy ban nhân dân xã Ka Đô  tỉnh Lâm Đồng</v>
      </c>
      <c r="C18839" t="str">
        <v>-</v>
      </c>
      <c r="D18839" t="str">
        <v>-</v>
      </c>
      <c r="E18839" t="str">
        <v>-</v>
      </c>
      <c r="F18839" t="str">
        <v>-</v>
      </c>
      <c r="G18839" t="str">
        <v>-</v>
      </c>
    </row>
    <row r="18840">
      <c r="B18840" t="str">
        <v>Công an xã Quảng Lập  tỉnh Lâm Đồng</v>
      </c>
      <c r="C18840" t="str">
        <v>-</v>
      </c>
      <c r="D18840" t="str">
        <v>-</v>
      </c>
      <c r="E18840" t="str">
        <v/>
      </c>
      <c r="F18840" t="str">
        <v>-</v>
      </c>
      <c r="G18840" t="str">
        <v>-</v>
      </c>
    </row>
    <row r="18841">
      <c r="B18841" t="str">
        <v>UBND Ủy ban nhân dân xã Quảng Lập  tỉnh Lâm Đồng</v>
      </c>
      <c r="C18841" t="str">
        <v>-</v>
      </c>
      <c r="D18841" t="str">
        <v>-</v>
      </c>
      <c r="E18841" t="str">
        <v>-</v>
      </c>
      <c r="F18841" t="str">
        <v>-</v>
      </c>
      <c r="G18841" t="str">
        <v>-</v>
      </c>
    </row>
    <row r="18842">
      <c r="B18842" t="str">
        <v>Công an xã Ka Đơn  tỉnh Lâm Đồng</v>
      </c>
      <c r="C18842" t="str">
        <v>-</v>
      </c>
      <c r="D18842" t="str">
        <v>-</v>
      </c>
      <c r="E18842" t="str">
        <v/>
      </c>
      <c r="F18842" t="str">
        <v>-</v>
      </c>
      <c r="G18842" t="str">
        <v>-</v>
      </c>
    </row>
    <row r="18843">
      <c r="B18843" t="str">
        <v>UBND Ủy ban nhân dân xã Ka Đơn  tỉnh Lâm Đồng</v>
      </c>
      <c r="C18843" t="str">
        <v>-</v>
      </c>
      <c r="D18843" t="str">
        <v>-</v>
      </c>
      <c r="E18843" t="str">
        <v>-</v>
      </c>
      <c r="F18843" t="str">
        <v>-</v>
      </c>
      <c r="G18843" t="str">
        <v>-</v>
      </c>
    </row>
    <row r="18844">
      <c r="B18844" t="str">
        <v>Công an xã Tu Tra  tỉnh Lâm Đồng</v>
      </c>
      <c r="C18844" t="str">
        <v>-</v>
      </c>
      <c r="D18844" t="str">
        <v>-</v>
      </c>
      <c r="E18844" t="str">
        <v/>
      </c>
      <c r="F18844" t="str">
        <v>-</v>
      </c>
      <c r="G18844" t="str">
        <v>-</v>
      </c>
    </row>
    <row r="18845">
      <c r="B18845" t="str">
        <v>UBND Ủy ban nhân dân xã Tu Tra  tỉnh Lâm Đồng</v>
      </c>
      <c r="C18845" t="str">
        <v>-</v>
      </c>
      <c r="D18845" t="str">
        <v>-</v>
      </c>
      <c r="E18845" t="str">
        <v>-</v>
      </c>
      <c r="F18845" t="str">
        <v>-</v>
      </c>
      <c r="G18845" t="str">
        <v>-</v>
      </c>
    </row>
    <row r="18846">
      <c r="B18846" t="str">
        <v>Công an xã Pró  tỉnh Lâm Đồng</v>
      </c>
      <c r="C18846" t="str">
        <v>-</v>
      </c>
      <c r="D18846" t="str">
        <v>-</v>
      </c>
      <c r="E18846" t="str">
        <v/>
      </c>
      <c r="F18846" t="str">
        <v>-</v>
      </c>
      <c r="G18846" t="str">
        <v>-</v>
      </c>
    </row>
    <row r="18847">
      <c r="B18847" t="str">
        <v>UBND Ủy ban nhân dân xã Pró  tỉnh Lâm Đồng</v>
      </c>
      <c r="C18847" t="str">
        <v>-</v>
      </c>
      <c r="D18847" t="str">
        <v>-</v>
      </c>
      <c r="E18847" t="str">
        <v>-</v>
      </c>
      <c r="F18847" t="str">
        <v>-</v>
      </c>
      <c r="G18847" t="str">
        <v>-</v>
      </c>
    </row>
    <row r="18848">
      <c r="B18848" t="str">
        <v>Công an xã Hiệp An  tỉnh Lâm Đồng</v>
      </c>
      <c r="C18848" t="str">
        <v>-</v>
      </c>
      <c r="D18848" t="str">
        <v>-</v>
      </c>
      <c r="E18848" t="str">
        <v/>
      </c>
      <c r="F18848" t="str">
        <v>-</v>
      </c>
      <c r="G18848" t="str">
        <v>-</v>
      </c>
    </row>
    <row r="18849">
      <c r="B18849" t="str">
        <v>UBND Ủy ban nhân dân xã Hiệp An  tỉnh Lâm Đồng</v>
      </c>
      <c r="C18849" t="str">
        <v>-</v>
      </c>
      <c r="D18849" t="str">
        <v>-</v>
      </c>
      <c r="E18849" t="str">
        <v>-</v>
      </c>
      <c r="F18849" t="str">
        <v>-</v>
      </c>
      <c r="G18849" t="str">
        <v>-</v>
      </c>
    </row>
    <row r="18850">
      <c r="B18850" t="str">
        <v>Công an xã Liên Hiệp  tỉnh Lâm Đồng</v>
      </c>
      <c r="C18850" t="str">
        <v>-</v>
      </c>
      <c r="D18850" t="str">
        <v>-</v>
      </c>
      <c r="E18850" t="str">
        <v/>
      </c>
      <c r="F18850" t="str">
        <v>-</v>
      </c>
      <c r="G18850" t="str">
        <v>-</v>
      </c>
    </row>
    <row r="18851">
      <c r="B18851" t="str">
        <v>UBND Ủy ban nhân dân xã Liên Hiệp  tỉnh Lâm Đồng</v>
      </c>
      <c r="C18851" t="str">
        <v>-</v>
      </c>
      <c r="D18851" t="str">
        <v>-</v>
      </c>
      <c r="E18851" t="str">
        <v>-</v>
      </c>
      <c r="F18851" t="str">
        <v>-</v>
      </c>
      <c r="G18851" t="str">
        <v>-</v>
      </c>
    </row>
    <row r="18852">
      <c r="B18852" t="str">
        <v>Công an xã Hiệp Thạnh  tỉnh Lâm Đồng</v>
      </c>
      <c r="C18852" t="str">
        <v>-</v>
      </c>
      <c r="D18852" t="str">
        <v>-</v>
      </c>
      <c r="E18852" t="str">
        <v/>
      </c>
      <c r="F18852" t="str">
        <v>-</v>
      </c>
      <c r="G18852" t="str">
        <v>-</v>
      </c>
    </row>
    <row r="18853">
      <c r="B18853" t="str">
        <v>UBND Ủy ban nhân dân xã Hiệp Thạnh  tỉnh Lâm Đồng</v>
      </c>
      <c r="C18853" t="str">
        <v>-</v>
      </c>
      <c r="D18853" t="str">
        <v>-</v>
      </c>
      <c r="E18853" t="str">
        <v>-</v>
      </c>
      <c r="F18853" t="str">
        <v>-</v>
      </c>
      <c r="G18853" t="str">
        <v>-</v>
      </c>
    </row>
    <row r="18854">
      <c r="B18854" t="str">
        <v>Công an xã Bình Thạnh  tỉnh Lâm Đồng</v>
      </c>
      <c r="C18854" t="str">
        <v>-</v>
      </c>
      <c r="D18854" t="str">
        <v>-</v>
      </c>
      <c r="E18854" t="str">
        <v/>
      </c>
      <c r="F18854" t="str">
        <v>-</v>
      </c>
      <c r="G18854" t="str">
        <v>-</v>
      </c>
    </row>
    <row r="18855">
      <c r="B18855" t="str">
        <v>UBND Ủy ban nhân dân xã Bình Thạnh  tỉnh Lâm Đồng</v>
      </c>
      <c r="C18855" t="str">
        <v>-</v>
      </c>
      <c r="D18855" t="str">
        <v>-</v>
      </c>
      <c r="E18855" t="str">
        <v>-</v>
      </c>
      <c r="F18855" t="str">
        <v>-</v>
      </c>
      <c r="G18855" t="str">
        <v>-</v>
      </c>
    </row>
    <row r="18856">
      <c r="B18856" t="str">
        <v>Công an xã N'Thol Hạ  tỉnh Lâm Đồng</v>
      </c>
      <c r="C18856" t="str">
        <v>-</v>
      </c>
      <c r="D18856" t="str">
        <v>-</v>
      </c>
      <c r="E18856" t="str">
        <v/>
      </c>
      <c r="F18856" t="str">
        <v>-</v>
      </c>
      <c r="G18856" t="str">
        <v>-</v>
      </c>
    </row>
    <row r="18857">
      <c r="B18857" t="str">
        <v>UBND Ủy ban nhân dân xã N'Thol Hạ  tỉnh Lâm Đồng</v>
      </c>
      <c r="C18857" t="str">
        <v>-</v>
      </c>
      <c r="D18857" t="str">
        <v>-</v>
      </c>
      <c r="E18857" t="str">
        <v>-</v>
      </c>
      <c r="F18857" t="str">
        <v>-</v>
      </c>
      <c r="G18857" t="str">
        <v>-</v>
      </c>
    </row>
    <row r="18858">
      <c r="B18858" t="str">
        <v>Công an xã Tân Hội  tỉnh Lâm Đồng</v>
      </c>
      <c r="C18858" t="str">
        <v>-</v>
      </c>
      <c r="D18858" t="str">
        <v>-</v>
      </c>
      <c r="E18858" t="str">
        <v/>
      </c>
      <c r="F18858" t="str">
        <v>-</v>
      </c>
      <c r="G18858" t="str">
        <v>-</v>
      </c>
    </row>
    <row r="18859">
      <c r="B18859" t="str">
        <v>UBND Ủy ban nhân dân xã Tân Hội  tỉnh Lâm Đồng</v>
      </c>
      <c r="C18859" t="str">
        <v>-</v>
      </c>
      <c r="D18859" t="str">
        <v>-</v>
      </c>
      <c r="E18859" t="str">
        <v>-</v>
      </c>
      <c r="F18859" t="str">
        <v>-</v>
      </c>
      <c r="G18859" t="str">
        <v>-</v>
      </c>
    </row>
    <row r="18860">
      <c r="B18860" t="str">
        <v>Công an xã Tân Thành  tỉnh Lâm Đồng</v>
      </c>
      <c r="C18860" t="str">
        <v>-</v>
      </c>
      <c r="D18860" t="str">
        <v>-</v>
      </c>
      <c r="E18860" t="str">
        <v/>
      </c>
      <c r="F18860" t="str">
        <v>-</v>
      </c>
      <c r="G18860" t="str">
        <v>-</v>
      </c>
    </row>
    <row r="18861">
      <c r="B18861" t="str">
        <v>UBND Ủy ban nhân dân xã Tân Thành  tỉnh Lâm Đồng</v>
      </c>
      <c r="C18861" t="str">
        <v>-</v>
      </c>
      <c r="D18861" t="str">
        <v>-</v>
      </c>
      <c r="E18861" t="str">
        <v>-</v>
      </c>
      <c r="F18861" t="str">
        <v>-</v>
      </c>
      <c r="G18861" t="str">
        <v>-</v>
      </c>
    </row>
    <row r="18862">
      <c r="B18862" t="str">
        <v>Công an xã Phú Hội  tỉnh Lâm Đồng</v>
      </c>
      <c r="C18862" t="str">
        <v>-</v>
      </c>
      <c r="D18862" t="str">
        <v>-</v>
      </c>
      <c r="E18862" t="str">
        <v/>
      </c>
      <c r="F18862" t="str">
        <v>-</v>
      </c>
      <c r="G18862" t="str">
        <v>-</v>
      </c>
    </row>
    <row r="18863">
      <c r="B18863" t="str">
        <v>UBND Ủy ban nhân dân xã Phú Hội  tỉnh Lâm Đồng</v>
      </c>
      <c r="C18863" t="str">
        <v>-</v>
      </c>
      <c r="D18863" t="str">
        <v>-</v>
      </c>
      <c r="E18863" t="str">
        <v>-</v>
      </c>
      <c r="F18863" t="str">
        <v>-</v>
      </c>
      <c r="G18863" t="str">
        <v>-</v>
      </c>
    </row>
    <row r="18864">
      <c r="B18864" t="str">
        <v>Công an xã Ninh Gia  tỉnh Lâm Đồng</v>
      </c>
      <c r="C18864" t="str">
        <v>-</v>
      </c>
      <c r="D18864" t="str">
        <v>-</v>
      </c>
      <c r="E18864" t="str">
        <v/>
      </c>
      <c r="F18864" t="str">
        <v>-</v>
      </c>
      <c r="G18864" t="str">
        <v>-</v>
      </c>
    </row>
    <row r="18865">
      <c r="B18865" t="str">
        <v>UBND Ủy ban nhân dân xã Ninh Gia  tỉnh Lâm Đồng</v>
      </c>
      <c r="C18865" t="str">
        <v>-</v>
      </c>
      <c r="D18865" t="str">
        <v>-</v>
      </c>
      <c r="E18865" t="str">
        <v>-</v>
      </c>
      <c r="F18865" t="str">
        <v>-</v>
      </c>
      <c r="G18865" t="str">
        <v>-</v>
      </c>
    </row>
    <row r="18866">
      <c r="B18866" t="str">
        <v>Công an xã Tà Năng  tỉnh Lâm Đồng</v>
      </c>
      <c r="C18866" t="str">
        <v>-</v>
      </c>
      <c r="D18866" t="str">
        <v>-</v>
      </c>
      <c r="E18866" t="str">
        <v/>
      </c>
      <c r="F18866" t="str">
        <v>-</v>
      </c>
      <c r="G18866" t="str">
        <v>-</v>
      </c>
    </row>
    <row r="18867">
      <c r="B18867" t="str">
        <v>UBND Ủy ban nhân dân xã Tà Năng  tỉnh Lâm Đồng</v>
      </c>
      <c r="C18867" t="str">
        <v>-</v>
      </c>
      <c r="D18867" t="str">
        <v>-</v>
      </c>
      <c r="E18867" t="str">
        <v>-</v>
      </c>
      <c r="F18867" t="str">
        <v>-</v>
      </c>
      <c r="G18867" t="str">
        <v>-</v>
      </c>
    </row>
    <row r="18868">
      <c r="B18868" t="str">
        <v>Công an xã Đa Quyn  tỉnh Lâm Đồng</v>
      </c>
      <c r="C18868" t="str">
        <v>-</v>
      </c>
      <c r="D18868" t="str">
        <v>-</v>
      </c>
      <c r="E18868" t="str">
        <v/>
      </c>
      <c r="F18868" t="str">
        <v>-</v>
      </c>
      <c r="G18868" t="str">
        <v>-</v>
      </c>
    </row>
    <row r="18869">
      <c r="B18869" t="str">
        <v>UBND Ủy ban nhân dân xã Đa Quyn  tỉnh Lâm Đồng</v>
      </c>
      <c r="C18869" t="str">
        <v>-</v>
      </c>
      <c r="D18869" t="str">
        <v>-</v>
      </c>
      <c r="E18869" t="str">
        <v>-</v>
      </c>
      <c r="F18869" t="str">
        <v>-</v>
      </c>
      <c r="G18869" t="str">
        <v>-</v>
      </c>
    </row>
    <row r="18870">
      <c r="B18870" t="str">
        <v>Công an xã Tà Hine  tỉnh Lâm Đồng</v>
      </c>
      <c r="C18870" t="str">
        <v>-</v>
      </c>
      <c r="D18870" t="str">
        <v>-</v>
      </c>
      <c r="E18870" t="str">
        <v/>
      </c>
      <c r="F18870" t="str">
        <v>-</v>
      </c>
      <c r="G18870" t="str">
        <v>-</v>
      </c>
    </row>
    <row r="18871">
      <c r="B18871" t="str">
        <v>UBND Ủy ban nhân dân xã Tà Hine  tỉnh Lâm Đồng</v>
      </c>
      <c r="C18871" t="str">
        <v>-</v>
      </c>
      <c r="D18871" t="str">
        <v>-</v>
      </c>
      <c r="E18871" t="str">
        <v>-</v>
      </c>
      <c r="F18871" t="str">
        <v>-</v>
      </c>
      <c r="G18871" t="str">
        <v>-</v>
      </c>
    </row>
    <row r="18872">
      <c r="B18872" t="str">
        <v>Công an xã Đà Loan  tỉnh Lâm Đồng</v>
      </c>
      <c r="C18872" t="str">
        <v>-</v>
      </c>
      <c r="D18872" t="str">
        <v>-</v>
      </c>
      <c r="E18872" t="str">
        <v/>
      </c>
      <c r="F18872" t="str">
        <v>-</v>
      </c>
      <c r="G18872" t="str">
        <v>-</v>
      </c>
    </row>
    <row r="18873">
      <c r="B18873" t="str">
        <v>UBND Ủy ban nhân dân xã Đà Loan  tỉnh Lâm Đồng</v>
      </c>
      <c r="C18873" t="str">
        <v>-</v>
      </c>
      <c r="D18873" t="str">
        <v>-</v>
      </c>
      <c r="E18873" t="str">
        <v>-</v>
      </c>
      <c r="F18873" t="str">
        <v>-</v>
      </c>
      <c r="G18873" t="str">
        <v>-</v>
      </c>
    </row>
    <row r="18874">
      <c r="B18874" t="str">
        <v>Công an xã Ninh Loan  tỉnh Lâm Đồng</v>
      </c>
      <c r="C18874" t="str">
        <v>-</v>
      </c>
      <c r="D18874" t="str">
        <v>-</v>
      </c>
      <c r="E18874" t="str">
        <v/>
      </c>
      <c r="F18874" t="str">
        <v>-</v>
      </c>
      <c r="G18874" t="str">
        <v>-</v>
      </c>
    </row>
    <row r="18875">
      <c r="B18875" t="str">
        <v>UBND Ủy ban nhân dân xã Ninh Loan  tỉnh Lâm Đồng</v>
      </c>
      <c r="C18875" t="str">
        <v>-</v>
      </c>
      <c r="D18875" t="str">
        <v>-</v>
      </c>
      <c r="E18875" t="str">
        <v>-</v>
      </c>
      <c r="F18875" t="str">
        <v>-</v>
      </c>
      <c r="G18875" t="str">
        <v>-</v>
      </c>
    </row>
    <row r="18876">
      <c r="B18876" t="str">
        <v>Công an xã Đinh Trang Thượng  tỉnh Lâm Đồng</v>
      </c>
      <c r="C18876" t="str">
        <v>-</v>
      </c>
      <c r="D18876" t="str">
        <v>-</v>
      </c>
      <c r="E18876" t="str">
        <v/>
      </c>
      <c r="F18876" t="str">
        <v>-</v>
      </c>
      <c r="G18876" t="str">
        <v>-</v>
      </c>
    </row>
    <row r="18877">
      <c r="B18877" t="str">
        <v>UBND Ủy ban nhân dân xã Đinh Trang Thượng  tỉnh Lâm Đồng</v>
      </c>
      <c r="C18877" t="str">
        <v>-</v>
      </c>
      <c r="D18877" t="str">
        <v>-</v>
      </c>
      <c r="E18877" t="str">
        <v>-</v>
      </c>
      <c r="F18877" t="str">
        <v>-</v>
      </c>
      <c r="G18877" t="str">
        <v>-</v>
      </c>
    </row>
    <row r="18878">
      <c r="B18878" t="str">
        <v>Công an xã Tân Thượng  tỉnh Lâm Đồng</v>
      </c>
      <c r="C18878" t="str">
        <v>-</v>
      </c>
      <c r="D18878" t="str">
        <v>-</v>
      </c>
      <c r="E18878" t="str">
        <v/>
      </c>
      <c r="F18878" t="str">
        <v>-</v>
      </c>
      <c r="G18878" t="str">
        <v>-</v>
      </c>
    </row>
    <row r="18879">
      <c r="B18879" t="str">
        <v>UBND Ủy ban nhân dân xã Tân Thượng  tỉnh Lâm Đồng</v>
      </c>
      <c r="C18879" t="str">
        <v>-</v>
      </c>
      <c r="D18879" t="str">
        <v>-</v>
      </c>
      <c r="E18879" t="str">
        <v>-</v>
      </c>
      <c r="F18879" t="str">
        <v>-</v>
      </c>
      <c r="G18879" t="str">
        <v>-</v>
      </c>
    </row>
    <row r="18880">
      <c r="B18880" t="str">
        <v>Công an xã Tân Lâm  tỉnh Lâm Đồng</v>
      </c>
      <c r="C18880" t="str">
        <v>-</v>
      </c>
      <c r="D18880" t="str">
        <v>-</v>
      </c>
      <c r="E18880" t="str">
        <v/>
      </c>
      <c r="F18880" t="str">
        <v>-</v>
      </c>
      <c r="G18880" t="str">
        <v>-</v>
      </c>
    </row>
    <row r="18881">
      <c r="B18881" t="str">
        <v>UBND Ủy ban nhân dân xã Tân Lâm  tỉnh Lâm Đồng</v>
      </c>
      <c r="C18881" t="str">
        <v>-</v>
      </c>
      <c r="D18881" t="str">
        <v>-</v>
      </c>
      <c r="E18881" t="str">
        <v>-</v>
      </c>
      <c r="F18881" t="str">
        <v>-</v>
      </c>
      <c r="G18881" t="str">
        <v>-</v>
      </c>
    </row>
    <row r="18882">
      <c r="B18882" t="str">
        <v>Công an xã Tân Châu  tỉnh Lâm Đồng</v>
      </c>
      <c r="C18882" t="str">
        <v>-</v>
      </c>
      <c r="D18882" t="str">
        <v>-</v>
      </c>
      <c r="E18882" t="str">
        <v/>
      </c>
      <c r="F18882" t="str">
        <v>-</v>
      </c>
      <c r="G18882" t="str">
        <v>-</v>
      </c>
    </row>
    <row r="18883">
      <c r="B18883" t="str">
        <v>UBND Ủy ban nhân dân xã Tân Châu  tỉnh Lâm Đồng</v>
      </c>
      <c r="C18883" t="str">
        <v>-</v>
      </c>
      <c r="D18883" t="str">
        <v>-</v>
      </c>
      <c r="E18883" t="str">
        <v>-</v>
      </c>
      <c r="F18883" t="str">
        <v>-</v>
      </c>
      <c r="G18883" t="str">
        <v>-</v>
      </c>
    </row>
    <row r="18884">
      <c r="B18884" t="str">
        <v>Công an xã Tân Nghĩa  tỉnh Lâm Đồng</v>
      </c>
      <c r="C18884" t="str">
        <v>-</v>
      </c>
      <c r="D18884" t="str">
        <v>-</v>
      </c>
      <c r="E18884" t="str">
        <v/>
      </c>
      <c r="F18884" t="str">
        <v>-</v>
      </c>
      <c r="G18884" t="str">
        <v>-</v>
      </c>
    </row>
    <row r="18885">
      <c r="B18885" t="str">
        <v>UBND Ủy ban nhân dân xã Tân Nghĩa  tỉnh Lâm Đồng</v>
      </c>
      <c r="C18885" t="str">
        <v>-</v>
      </c>
      <c r="D18885" t="str">
        <v>-</v>
      </c>
      <c r="E18885" t="str">
        <v>-</v>
      </c>
      <c r="F18885" t="str">
        <v>-</v>
      </c>
      <c r="G18885" t="str">
        <v>-</v>
      </c>
    </row>
    <row r="18886">
      <c r="B18886" t="str">
        <v>Công an xã Gia Hiệp  tỉnh Lâm Đồng</v>
      </c>
      <c r="C18886" t="str">
        <v>-</v>
      </c>
      <c r="D18886" t="str">
        <v>-</v>
      </c>
      <c r="E18886" t="str">
        <v/>
      </c>
      <c r="F18886" t="str">
        <v>-</v>
      </c>
      <c r="G18886" t="str">
        <v>-</v>
      </c>
    </row>
    <row r="18887">
      <c r="B18887" t="str">
        <v>UBND Ủy ban nhân dân xã Gia Hiệp  tỉnh Lâm Đồng</v>
      </c>
      <c r="C18887" t="str">
        <v>-</v>
      </c>
      <c r="D18887" t="str">
        <v>-</v>
      </c>
      <c r="E18887" t="str">
        <v>-</v>
      </c>
      <c r="F18887" t="str">
        <v>-</v>
      </c>
      <c r="G18887" t="str">
        <v>-</v>
      </c>
    </row>
    <row r="18888">
      <c r="B18888" t="str">
        <v>Công an xã Đinh Lạc  tỉnh Lâm Đồng</v>
      </c>
      <c r="C18888" t="str">
        <v>-</v>
      </c>
      <c r="D18888" t="str">
        <v>-</v>
      </c>
      <c r="E18888" t="str">
        <v/>
      </c>
      <c r="F18888" t="str">
        <v>-</v>
      </c>
      <c r="G18888" t="str">
        <v>-</v>
      </c>
    </row>
    <row r="18889">
      <c r="B18889" t="str">
        <v>UBND Ủy ban nhân dân xã Đinh Lạc  tỉnh Lâm Đồng</v>
      </c>
      <c r="C18889" t="str">
        <v>-</v>
      </c>
      <c r="D18889" t="str">
        <v>-</v>
      </c>
      <c r="E18889" t="str">
        <v>-</v>
      </c>
      <c r="F18889" t="str">
        <v>-</v>
      </c>
      <c r="G18889" t="str">
        <v>-</v>
      </c>
    </row>
    <row r="18890">
      <c r="B18890" t="str">
        <v>Công an xã Tam Bố  tỉnh Lâm Đồng</v>
      </c>
      <c r="C18890" t="str">
        <v>-</v>
      </c>
      <c r="D18890" t="str">
        <v>-</v>
      </c>
      <c r="E18890" t="str">
        <v/>
      </c>
      <c r="F18890" t="str">
        <v>-</v>
      </c>
      <c r="G18890" t="str">
        <v>-</v>
      </c>
    </row>
    <row r="18891">
      <c r="B18891" t="str">
        <v>UBND Ủy ban nhân dân xã Tam Bố  tỉnh Lâm Đồng</v>
      </c>
      <c r="C18891" t="str">
        <v>-</v>
      </c>
      <c r="D18891" t="str">
        <v>-</v>
      </c>
      <c r="E18891" t="str">
        <v>-</v>
      </c>
      <c r="F18891" t="str">
        <v>-</v>
      </c>
      <c r="G18891" t="str">
        <v>-</v>
      </c>
    </row>
    <row r="18892">
      <c r="B18892" t="str">
        <v>Công an xã Đinh Trang Hòa  tỉnh Lâm Đồng</v>
      </c>
      <c r="C18892" t="str">
        <v>-</v>
      </c>
      <c r="D18892" t="str">
        <v>-</v>
      </c>
      <c r="E18892" t="str">
        <v/>
      </c>
      <c r="F18892" t="str">
        <v>-</v>
      </c>
      <c r="G18892" t="str">
        <v>-</v>
      </c>
    </row>
    <row r="18893">
      <c r="B18893" t="str">
        <v>UBND Ủy ban nhân dân xã Đinh Trang Hòa  tỉnh Lâm Đồng</v>
      </c>
      <c r="C18893" t="str">
        <v>-</v>
      </c>
      <c r="D18893" t="str">
        <v>-</v>
      </c>
      <c r="E18893" t="str">
        <v>-</v>
      </c>
      <c r="F18893" t="str">
        <v>-</v>
      </c>
      <c r="G18893" t="str">
        <v>-</v>
      </c>
    </row>
    <row r="18894">
      <c r="B18894" t="str">
        <v>Công an xã Liên Đầm  tỉnh Lâm Đồng</v>
      </c>
      <c r="C18894" t="str">
        <v>-</v>
      </c>
      <c r="D18894" t="str">
        <v>-</v>
      </c>
      <c r="E18894" t="str">
        <v/>
      </c>
      <c r="F18894" t="str">
        <v>-</v>
      </c>
      <c r="G18894" t="str">
        <v>-</v>
      </c>
    </row>
    <row r="18895">
      <c r="B18895" t="str">
        <v>UBND Ủy ban nhân dân xã Liên Đầm  tỉnh Lâm Đồng</v>
      </c>
      <c r="C18895" t="str">
        <v>-</v>
      </c>
      <c r="D18895" t="str">
        <v>-</v>
      </c>
      <c r="E18895" t="str">
        <v>-</v>
      </c>
      <c r="F18895" t="str">
        <v>-</v>
      </c>
      <c r="G18895" t="str">
        <v>-</v>
      </c>
    </row>
    <row r="18896">
      <c r="B18896" t="str">
        <v>Công an xã Gung Ré  tỉnh Lâm Đồng</v>
      </c>
      <c r="C18896" t="str">
        <v>-</v>
      </c>
      <c r="D18896" t="str">
        <v>-</v>
      </c>
      <c r="E18896" t="str">
        <v/>
      </c>
      <c r="F18896" t="str">
        <v>-</v>
      </c>
      <c r="G18896" t="str">
        <v>-</v>
      </c>
    </row>
    <row r="18897">
      <c r="B18897" t="str">
        <v>UBND Ủy ban nhân dân xã Gung Ré  tỉnh Lâm Đồng</v>
      </c>
      <c r="C18897" t="str">
        <v>-</v>
      </c>
      <c r="D18897" t="str">
        <v>-</v>
      </c>
      <c r="E18897" t="str">
        <v>-</v>
      </c>
      <c r="F18897" t="str">
        <v>-</v>
      </c>
      <c r="G18897" t="str">
        <v>-</v>
      </c>
    </row>
    <row r="18898">
      <c r="B18898" t="str">
        <v>Công an xã Bảo Thuận  tỉnh Lâm Đồng</v>
      </c>
      <c r="C18898" t="str">
        <v>-</v>
      </c>
      <c r="D18898" t="str">
        <v>-</v>
      </c>
      <c r="E18898" t="str">
        <v/>
      </c>
      <c r="F18898" t="str">
        <v>-</v>
      </c>
      <c r="G18898" t="str">
        <v>-</v>
      </c>
    </row>
    <row r="18899">
      <c r="B18899" t="str">
        <v>UBND Ủy ban nhân dân xã Bảo Thuận  tỉnh Lâm Đồng</v>
      </c>
      <c r="C18899" t="str">
        <v>-</v>
      </c>
      <c r="D18899" t="str">
        <v>-</v>
      </c>
      <c r="E18899" t="str">
        <v>-</v>
      </c>
      <c r="F18899" t="str">
        <v>-</v>
      </c>
      <c r="G18899" t="str">
        <v>-</v>
      </c>
    </row>
    <row r="18900">
      <c r="B18900" t="str">
        <v>Công an xã Hòa Ninh  tỉnh Lâm Đồng</v>
      </c>
      <c r="C18900" t="str">
        <v>-</v>
      </c>
      <c r="D18900" t="str">
        <v>-</v>
      </c>
      <c r="E18900" t="str">
        <v/>
      </c>
      <c r="F18900" t="str">
        <v>-</v>
      </c>
      <c r="G18900" t="str">
        <v>-</v>
      </c>
    </row>
    <row r="18901">
      <c r="B18901" t="str">
        <v>UBND Ủy ban nhân dân xã Hòa Ninh  tỉnh Lâm Đồng</v>
      </c>
      <c r="C18901" t="str">
        <v>-</v>
      </c>
      <c r="D18901" t="str">
        <v>-</v>
      </c>
      <c r="E18901" t="str">
        <v>-</v>
      </c>
      <c r="F18901" t="str">
        <v>-</v>
      </c>
      <c r="G18901" t="str">
        <v>-</v>
      </c>
    </row>
    <row r="18902">
      <c r="B18902" t="str">
        <v>Công an xã Hòa Trung  tỉnh Lâm Đồng</v>
      </c>
      <c r="C18902" t="str">
        <v>-</v>
      </c>
      <c r="D18902" t="str">
        <v>-</v>
      </c>
      <c r="E18902" t="str">
        <v/>
      </c>
      <c r="F18902" t="str">
        <v>-</v>
      </c>
      <c r="G18902" t="str">
        <v>-</v>
      </c>
    </row>
    <row r="18903">
      <c r="B18903" t="str">
        <v>UBND Ủy ban nhân dân xã Hòa Trung  tỉnh Lâm Đồng</v>
      </c>
      <c r="C18903" t="str">
        <v>-</v>
      </c>
      <c r="D18903" t="str">
        <v>-</v>
      </c>
      <c r="E18903" t="str">
        <v>-</v>
      </c>
      <c r="F18903" t="str">
        <v>-</v>
      </c>
      <c r="G18903" t="str">
        <v>-</v>
      </c>
    </row>
    <row r="18904">
      <c r="B18904" t="str">
        <v>Công an xã Hòa Nam  tỉnh Lâm Đồng</v>
      </c>
      <c r="C18904" t="str">
        <v>-</v>
      </c>
      <c r="D18904" t="str">
        <v>-</v>
      </c>
      <c r="E18904" t="str">
        <v/>
      </c>
      <c r="F18904" t="str">
        <v>-</v>
      </c>
      <c r="G18904" t="str">
        <v>-</v>
      </c>
    </row>
    <row r="18905">
      <c r="B18905" t="str">
        <v>UBND Ủy ban nhân dân xã Hòa Nam  tỉnh Lâm Đồng</v>
      </c>
      <c r="C18905" t="str">
        <v>-</v>
      </c>
      <c r="D18905" t="str">
        <v>-</v>
      </c>
      <c r="E18905" t="str">
        <v>-</v>
      </c>
      <c r="F18905" t="str">
        <v>-</v>
      </c>
      <c r="G18905" t="str">
        <v>-</v>
      </c>
    </row>
    <row r="18906">
      <c r="B18906" t="str">
        <v>Công an xã Hòa Bắc  tỉnh Lâm Đồng</v>
      </c>
      <c r="C18906" t="str">
        <v>-</v>
      </c>
      <c r="D18906" t="str">
        <v>-</v>
      </c>
      <c r="E18906" t="str">
        <v/>
      </c>
      <c r="F18906" t="str">
        <v>-</v>
      </c>
      <c r="G18906" t="str">
        <v>-</v>
      </c>
    </row>
    <row r="18907">
      <c r="B18907" t="str">
        <v>UBND Ủy ban nhân dân xã Hòa Bắc  tỉnh Lâm Đồng</v>
      </c>
      <c r="C18907" t="str">
        <v>-</v>
      </c>
      <c r="D18907" t="str">
        <v>-</v>
      </c>
      <c r="E18907" t="str">
        <v>-</v>
      </c>
      <c r="F18907" t="str">
        <v>-</v>
      </c>
      <c r="G18907" t="str">
        <v>-</v>
      </c>
    </row>
    <row r="18908">
      <c r="B18908" t="str">
        <v>Công an xã Sơn Điền  tỉnh Lâm Đồng</v>
      </c>
      <c r="C18908" t="str">
        <v>-</v>
      </c>
      <c r="D18908" t="str">
        <v>-</v>
      </c>
      <c r="E18908" t="str">
        <v/>
      </c>
      <c r="F18908" t="str">
        <v>-</v>
      </c>
      <c r="G18908" t="str">
        <v>-</v>
      </c>
    </row>
    <row r="18909">
      <c r="B18909" t="str">
        <v>UBND Ủy ban nhân dân xã Sơn Điền  tỉnh Lâm Đồng</v>
      </c>
      <c r="C18909" t="str">
        <v>-</v>
      </c>
      <c r="D18909" t="str">
        <v>-</v>
      </c>
      <c r="E18909" t="str">
        <v>-</v>
      </c>
      <c r="F18909" t="str">
        <v>-</v>
      </c>
      <c r="G18909" t="str">
        <v>-</v>
      </c>
    </row>
    <row r="18910">
      <c r="B18910" t="str">
        <v>Công an xã Gia Bắc  tỉnh Lâm Đồng</v>
      </c>
      <c r="C18910" t="str">
        <v>-</v>
      </c>
      <c r="D18910" t="str">
        <v>-</v>
      </c>
      <c r="E18910" t="str">
        <v/>
      </c>
      <c r="F18910" t="str">
        <v>-</v>
      </c>
      <c r="G18910" t="str">
        <v>-</v>
      </c>
    </row>
    <row r="18911">
      <c r="B18911" t="str">
        <v>UBND Ủy ban nhân dân xã Gia Bắc  tỉnh Lâm Đồng</v>
      </c>
      <c r="C18911" t="str">
        <v>-</v>
      </c>
      <c r="D18911" t="str">
        <v>-</v>
      </c>
      <c r="E18911" t="str">
        <v>-</v>
      </c>
      <c r="F18911" t="str">
        <v>-</v>
      </c>
      <c r="G18911" t="str">
        <v>-</v>
      </c>
    </row>
    <row r="18912">
      <c r="B18912" t="str">
        <v>Công an xã Lộc Bảo  tỉnh Lâm Đồng</v>
      </c>
      <c r="C18912" t="str">
        <v>-</v>
      </c>
      <c r="D18912" t="str">
        <v>-</v>
      </c>
      <c r="E18912" t="str">
        <v/>
      </c>
      <c r="F18912" t="str">
        <v>-</v>
      </c>
      <c r="G18912" t="str">
        <v>-</v>
      </c>
    </row>
    <row r="18913">
      <c r="B18913" t="str">
        <v>UBND Ủy ban nhân dân xã Lộc Bảo  tỉnh Lâm Đồng</v>
      </c>
      <c r="C18913" t="str">
        <v>-</v>
      </c>
      <c r="D18913" t="str">
        <v>-</v>
      </c>
      <c r="E18913" t="str">
        <v>-</v>
      </c>
      <c r="F18913" t="str">
        <v>-</v>
      </c>
      <c r="G18913" t="str">
        <v>-</v>
      </c>
    </row>
    <row r="18914">
      <c r="B18914" t="str">
        <v>Công an xã Lộc Lâm  tỉnh Lâm Đồng</v>
      </c>
      <c r="C18914" t="str">
        <v>-</v>
      </c>
      <c r="D18914" t="str">
        <v>-</v>
      </c>
      <c r="E18914" t="str">
        <v/>
      </c>
      <c r="F18914" t="str">
        <v>-</v>
      </c>
      <c r="G18914" t="str">
        <v>-</v>
      </c>
    </row>
    <row r="18915">
      <c r="B18915" t="str">
        <v>UBND Ủy ban nhân dân xã Lộc Lâm  tỉnh Lâm Đồng</v>
      </c>
      <c r="C18915" t="str">
        <v>-</v>
      </c>
      <c r="D18915" t="str">
        <v>-</v>
      </c>
      <c r="E18915" t="str">
        <v>-</v>
      </c>
      <c r="F18915" t="str">
        <v>-</v>
      </c>
      <c r="G18915" t="str">
        <v>-</v>
      </c>
    </row>
    <row r="18916">
      <c r="B18916" t="str">
        <v>Công an xã Lộc Phú  tỉnh Lâm Đồng</v>
      </c>
      <c r="C18916" t="str">
        <v>-</v>
      </c>
      <c r="D18916" t="str">
        <v>-</v>
      </c>
      <c r="E18916" t="str">
        <v/>
      </c>
      <c r="F18916" t="str">
        <v>-</v>
      </c>
      <c r="G18916" t="str">
        <v>-</v>
      </c>
    </row>
    <row r="18917">
      <c r="B18917" t="str">
        <v>UBND Ủy ban nhân dân xã Lộc Phú  tỉnh Lâm Đồng</v>
      </c>
      <c r="C18917" t="str">
        <v>-</v>
      </c>
      <c r="D18917" t="str">
        <v>-</v>
      </c>
      <c r="E18917" t="str">
        <v>-</v>
      </c>
      <c r="F18917" t="str">
        <v>-</v>
      </c>
      <c r="G18917" t="str">
        <v>-</v>
      </c>
    </row>
    <row r="18918">
      <c r="B18918" t="str">
        <v>Công an xã Lộc Bắc  tỉnh Lâm Đồng</v>
      </c>
      <c r="C18918" t="str">
        <v>-</v>
      </c>
      <c r="D18918" t="str">
        <v>-</v>
      </c>
      <c r="E18918" t="str">
        <v/>
      </c>
      <c r="F18918" t="str">
        <v>-</v>
      </c>
      <c r="G18918" t="str">
        <v>-</v>
      </c>
    </row>
    <row r="18919">
      <c r="B18919" t="str">
        <v>UBND Ủy ban nhân dân xã Lộc Bắc  tỉnh Lâm Đồng</v>
      </c>
      <c r="C18919" t="str">
        <v>-</v>
      </c>
      <c r="D18919" t="str">
        <v>-</v>
      </c>
      <c r="E18919" t="str">
        <v>-</v>
      </c>
      <c r="F18919" t="str">
        <v>-</v>
      </c>
      <c r="G18919" t="str">
        <v>-</v>
      </c>
    </row>
    <row r="18920">
      <c r="B18920" t="str">
        <v>Công an xã B' Lá  tỉnh Lâm Đồng</v>
      </c>
      <c r="C18920" t="str">
        <v>-</v>
      </c>
      <c r="D18920" t="str">
        <v>-</v>
      </c>
      <c r="E18920" t="str">
        <v/>
      </c>
      <c r="F18920" t="str">
        <v>-</v>
      </c>
      <c r="G18920" t="str">
        <v>-</v>
      </c>
    </row>
    <row r="18921">
      <c r="B18921" t="str">
        <v>UBND Ủy ban nhân dân xã B' Lá  tỉnh Lâm Đồng</v>
      </c>
      <c r="C18921" t="str">
        <v>-</v>
      </c>
      <c r="D18921" t="str">
        <v>-</v>
      </c>
      <c r="E18921" t="str">
        <v>-</v>
      </c>
      <c r="F18921" t="str">
        <v>-</v>
      </c>
      <c r="G18921" t="str">
        <v>-</v>
      </c>
    </row>
    <row r="18922">
      <c r="B18922" t="str">
        <v>Công an xã Lộc Ngãi  tỉnh Lâm Đồng</v>
      </c>
      <c r="C18922" t="str">
        <v>-</v>
      </c>
      <c r="D18922" t="str">
        <v>-</v>
      </c>
      <c r="E18922" t="str">
        <v/>
      </c>
      <c r="F18922" t="str">
        <v>-</v>
      </c>
      <c r="G18922" t="str">
        <v>-</v>
      </c>
    </row>
    <row r="18923">
      <c r="B18923" t="str">
        <v>UBND Ủy ban nhân dân xã Lộc Ngãi  tỉnh Lâm Đồng</v>
      </c>
      <c r="C18923" t="str">
        <v>-</v>
      </c>
      <c r="D18923" t="str">
        <v>-</v>
      </c>
      <c r="E18923" t="str">
        <v>-</v>
      </c>
      <c r="F18923" t="str">
        <v>-</v>
      </c>
      <c r="G18923" t="str">
        <v>-</v>
      </c>
    </row>
    <row r="18924">
      <c r="B18924" t="str">
        <v>Công an xã Lộc Quảng  tỉnh Lâm Đồng</v>
      </c>
      <c r="C18924" t="str">
        <v>-</v>
      </c>
      <c r="D18924" t="str">
        <v>-</v>
      </c>
      <c r="E18924" t="str">
        <v/>
      </c>
      <c r="F18924" t="str">
        <v>-</v>
      </c>
      <c r="G18924" t="str">
        <v>-</v>
      </c>
    </row>
    <row r="18925">
      <c r="B18925" t="str">
        <v>UBND Ủy ban nhân dân xã Lộc Quảng  tỉnh Lâm Đồng</v>
      </c>
      <c r="C18925" t="str">
        <v>-</v>
      </c>
      <c r="D18925" t="str">
        <v>-</v>
      </c>
      <c r="E18925" t="str">
        <v>-</v>
      </c>
      <c r="F18925" t="str">
        <v>-</v>
      </c>
      <c r="G18925" t="str">
        <v>-</v>
      </c>
    </row>
    <row r="18926">
      <c r="B18926" t="str">
        <v>Công an xã Lộc Tân  tỉnh Lâm Đồng</v>
      </c>
      <c r="C18926" t="str">
        <v>-</v>
      </c>
      <c r="D18926" t="str">
        <v>-</v>
      </c>
      <c r="E18926" t="str">
        <v/>
      </c>
      <c r="F18926" t="str">
        <v>-</v>
      </c>
      <c r="G18926" t="str">
        <v>-</v>
      </c>
    </row>
    <row r="18927">
      <c r="B18927" t="str">
        <v>UBND Ủy ban nhân dân xã Lộc Tân  tỉnh Lâm Đồng</v>
      </c>
      <c r="C18927" t="str">
        <v>-</v>
      </c>
      <c r="D18927" t="str">
        <v>-</v>
      </c>
      <c r="E18927" t="str">
        <v>-</v>
      </c>
      <c r="F18927" t="str">
        <v>-</v>
      </c>
      <c r="G18927" t="str">
        <v>-</v>
      </c>
    </row>
    <row r="18928">
      <c r="B18928" t="str">
        <v>Công an xã Lộc Đức  tỉnh Lâm Đồng</v>
      </c>
      <c r="C18928" t="str">
        <v>-</v>
      </c>
      <c r="D18928" t="str">
        <v>-</v>
      </c>
      <c r="E18928" t="str">
        <v/>
      </c>
      <c r="F18928" t="str">
        <v>-</v>
      </c>
      <c r="G18928" t="str">
        <v>-</v>
      </c>
    </row>
    <row r="18929">
      <c r="B18929" t="str">
        <v>UBND Ủy ban nhân dân xã Lộc Đức  tỉnh Lâm Đồng</v>
      </c>
      <c r="C18929" t="str">
        <v>-</v>
      </c>
      <c r="D18929" t="str">
        <v>-</v>
      </c>
      <c r="E18929" t="str">
        <v>-</v>
      </c>
      <c r="F18929" t="str">
        <v>-</v>
      </c>
      <c r="G18929" t="str">
        <v>-</v>
      </c>
    </row>
    <row r="18930">
      <c r="B18930" t="str">
        <v>Công an xã Lộc An  tỉnh Lâm Đồng</v>
      </c>
      <c r="C18930" t="str">
        <v>-</v>
      </c>
      <c r="D18930" t="str">
        <v>-</v>
      </c>
      <c r="E18930" t="str">
        <v/>
      </c>
      <c r="F18930" t="str">
        <v>-</v>
      </c>
      <c r="G18930" t="str">
        <v>-</v>
      </c>
    </row>
    <row r="18931">
      <c r="B18931" t="str">
        <v>UBND Ủy ban nhân dân xã Lộc An  tỉnh Lâm Đồng</v>
      </c>
      <c r="C18931" t="str">
        <v>-</v>
      </c>
      <c r="D18931" t="str">
        <v>-</v>
      </c>
      <c r="E18931" t="str">
        <v>-</v>
      </c>
      <c r="F18931" t="str">
        <v>-</v>
      </c>
      <c r="G18931" t="str">
        <v>-</v>
      </c>
    </row>
    <row r="18932">
      <c r="B18932" t="str">
        <v>Công an xã Tân Lạc  tỉnh Lâm Đồng</v>
      </c>
      <c r="C18932" t="str">
        <v>-</v>
      </c>
      <c r="D18932" t="str">
        <v>-</v>
      </c>
      <c r="E18932" t="str">
        <v/>
      </c>
      <c r="F18932" t="str">
        <v>-</v>
      </c>
      <c r="G18932" t="str">
        <v>-</v>
      </c>
    </row>
    <row r="18933">
      <c r="B18933" t="str">
        <v>UBND Ủy ban nhân dân xã Tân Lạc  tỉnh Lâm Đồng</v>
      </c>
      <c r="C18933" t="str">
        <v>-</v>
      </c>
      <c r="D18933" t="str">
        <v>-</v>
      </c>
      <c r="E18933" t="str">
        <v>-</v>
      </c>
      <c r="F18933" t="str">
        <v>-</v>
      </c>
      <c r="G18933" t="str">
        <v>-</v>
      </c>
    </row>
    <row r="18934">
      <c r="B18934" t="str">
        <v>Công an xã Lộc Thành  tỉnh Lâm Đồng</v>
      </c>
      <c r="C18934" t="str">
        <v>-</v>
      </c>
      <c r="D18934" t="str">
        <v>-</v>
      </c>
      <c r="E18934" t="str">
        <v/>
      </c>
      <c r="F18934" t="str">
        <v>-</v>
      </c>
      <c r="G18934" t="str">
        <v>-</v>
      </c>
    </row>
    <row r="18935">
      <c r="B18935" t="str">
        <v>UBND Ủy ban nhân dân xã Lộc Thành  tỉnh Lâm Đồng</v>
      </c>
      <c r="C18935" t="str">
        <v>-</v>
      </c>
      <c r="D18935" t="str">
        <v>-</v>
      </c>
      <c r="E18935" t="str">
        <v>-</v>
      </c>
      <c r="F18935" t="str">
        <v>-</v>
      </c>
      <c r="G18935" t="str">
        <v>-</v>
      </c>
    </row>
    <row r="18936">
      <c r="B18936" t="str">
        <v>Công an xã Lộc Nam  tỉnh Lâm Đồng</v>
      </c>
      <c r="C18936" t="str">
        <v>-</v>
      </c>
      <c r="D18936" t="str">
        <v>-</v>
      </c>
      <c r="E18936" t="str">
        <v/>
      </c>
      <c r="F18936" t="str">
        <v>-</v>
      </c>
      <c r="G18936" t="str">
        <v>-</v>
      </c>
    </row>
    <row r="18937">
      <c r="B18937" t="str">
        <v>UBND Ủy ban nhân dân xã Lộc Nam  tỉnh Lâm Đồng</v>
      </c>
      <c r="C18937" t="str">
        <v>-</v>
      </c>
      <c r="D18937" t="str">
        <v>-</v>
      </c>
      <c r="E18937" t="str">
        <v>-</v>
      </c>
      <c r="F18937" t="str">
        <v>-</v>
      </c>
      <c r="G18937" t="str">
        <v>-</v>
      </c>
    </row>
    <row r="18938">
      <c r="B18938" t="str">
        <v>Công an xã Đạ M'ri  tỉnh Lâm Đồng</v>
      </c>
      <c r="C18938" t="str">
        <v>-</v>
      </c>
      <c r="D18938" t="str">
        <v>-</v>
      </c>
      <c r="E18938" t="str">
        <v/>
      </c>
      <c r="F18938" t="str">
        <v>-</v>
      </c>
      <c r="G18938" t="str">
        <v>-</v>
      </c>
    </row>
    <row r="18939">
      <c r="B18939" t="str">
        <v>UBND Ủy ban nhân dân xã Đạ M'ri  tỉnh Lâm Đồng</v>
      </c>
      <c r="C18939" t="str">
        <v>-</v>
      </c>
      <c r="D18939" t="str">
        <v>-</v>
      </c>
      <c r="E18939" t="str">
        <v>-</v>
      </c>
      <c r="F18939" t="str">
        <v>-</v>
      </c>
      <c r="G18939" t="str">
        <v>-</v>
      </c>
    </row>
    <row r="18940">
      <c r="B18940" t="str">
        <v>Công an xã Hà Lâm  tỉnh Lâm Đồng</v>
      </c>
      <c r="C18940" t="str">
        <v>-</v>
      </c>
      <c r="D18940" t="str">
        <v>-</v>
      </c>
      <c r="E18940" t="str">
        <v/>
      </c>
      <c r="F18940" t="str">
        <v>-</v>
      </c>
      <c r="G18940" t="str">
        <v>-</v>
      </c>
    </row>
    <row r="18941">
      <c r="B18941" t="str">
        <v>UBND Ủy ban nhân dân xã Hà Lâm  tỉnh Lâm Đồng</v>
      </c>
      <c r="C18941" t="str">
        <v>-</v>
      </c>
      <c r="D18941" t="str">
        <v>-</v>
      </c>
      <c r="E18941" t="str">
        <v>-</v>
      </c>
      <c r="F18941" t="str">
        <v>-</v>
      </c>
      <c r="G18941" t="str">
        <v>-</v>
      </c>
    </row>
    <row r="18942">
      <c r="B18942" t="str">
        <v>Công an xã Đạ Tồn  tỉnh Lâm Đồng</v>
      </c>
      <c r="C18942" t="str">
        <v>-</v>
      </c>
      <c r="D18942" t="str">
        <v>-</v>
      </c>
      <c r="E18942" t="str">
        <v/>
      </c>
      <c r="F18942" t="str">
        <v>-</v>
      </c>
      <c r="G18942" t="str">
        <v>-</v>
      </c>
    </row>
    <row r="18943">
      <c r="B18943" t="str">
        <v>UBND Ủy ban nhân dân xã Đạ Tồn  tỉnh Lâm Đồng</v>
      </c>
      <c r="C18943" t="str">
        <v>-</v>
      </c>
      <c r="D18943" t="str">
        <v>-</v>
      </c>
      <c r="E18943" t="str">
        <v>-</v>
      </c>
      <c r="F18943" t="str">
        <v>-</v>
      </c>
      <c r="G18943" t="str">
        <v>-</v>
      </c>
    </row>
    <row r="18944">
      <c r="B18944" t="str">
        <v>Công an xã Đạ Oai  tỉnh Lâm Đồng</v>
      </c>
      <c r="C18944" t="str">
        <v>-</v>
      </c>
      <c r="D18944" t="str">
        <v>-</v>
      </c>
      <c r="E18944" t="str">
        <v/>
      </c>
      <c r="F18944" t="str">
        <v>-</v>
      </c>
      <c r="G18944" t="str">
        <v>-</v>
      </c>
    </row>
    <row r="18945">
      <c r="B18945" t="str">
        <v>UBND Ủy ban nhân dân xã Đạ Oai  tỉnh Lâm Đồng</v>
      </c>
      <c r="C18945" t="str">
        <v>-</v>
      </c>
      <c r="D18945" t="str">
        <v>-</v>
      </c>
      <c r="E18945" t="str">
        <v>-</v>
      </c>
      <c r="F18945" t="str">
        <v>-</v>
      </c>
      <c r="G18945" t="str">
        <v>-</v>
      </c>
    </row>
    <row r="18946">
      <c r="B18946" t="str">
        <v>Công an xã Đạ Ploa  tỉnh Lâm Đồng</v>
      </c>
      <c r="C18946" t="str">
        <v>-</v>
      </c>
      <c r="D18946" t="str">
        <v>-</v>
      </c>
      <c r="E18946" t="str">
        <v/>
      </c>
      <c r="F18946" t="str">
        <v>-</v>
      </c>
      <c r="G18946" t="str">
        <v>-</v>
      </c>
    </row>
    <row r="18947">
      <c r="B18947" t="str">
        <v>UBND Ủy ban nhân dân xã Đạ Ploa  tỉnh Lâm Đồng</v>
      </c>
      <c r="C18947" t="str">
        <v>-</v>
      </c>
      <c r="D18947" t="str">
        <v>-</v>
      </c>
      <c r="E18947" t="str">
        <v>-</v>
      </c>
      <c r="F18947" t="str">
        <v>-</v>
      </c>
      <c r="G18947" t="str">
        <v>-</v>
      </c>
    </row>
    <row r="18948">
      <c r="B18948" t="str">
        <v>Công an xã Ma Đa Guôi  tỉnh Lâm Đồng</v>
      </c>
      <c r="C18948" t="str">
        <v>-</v>
      </c>
      <c r="D18948" t="str">
        <v>-</v>
      </c>
      <c r="E18948" t="str">
        <v/>
      </c>
      <c r="F18948" t="str">
        <v>-</v>
      </c>
      <c r="G18948" t="str">
        <v>-</v>
      </c>
    </row>
    <row r="18949">
      <c r="B18949" t="str">
        <v>UBND Ủy ban nhân dân xã Ma Đa Guôi  tỉnh Lâm Đồng</v>
      </c>
      <c r="C18949" t="str">
        <v>-</v>
      </c>
      <c r="D18949" t="str">
        <v>-</v>
      </c>
      <c r="E18949" t="str">
        <v>-</v>
      </c>
      <c r="F18949" t="str">
        <v>-</v>
      </c>
      <c r="G18949" t="str">
        <v>-</v>
      </c>
    </row>
    <row r="18950">
      <c r="B18950" t="str">
        <v>Công an xã Đoàn Kết  tỉnh Lâm Đồng</v>
      </c>
      <c r="C18950" t="str">
        <v>-</v>
      </c>
      <c r="D18950" t="str">
        <v>-</v>
      </c>
      <c r="E18950" t="str">
        <v/>
      </c>
      <c r="F18950" t="str">
        <v>-</v>
      </c>
      <c r="G18950" t="str">
        <v>-</v>
      </c>
    </row>
    <row r="18951">
      <c r="B18951" t="str">
        <v>UBND Ủy ban nhân dân xã Đoàn Kết  tỉnh Lâm Đồng</v>
      </c>
      <c r="C18951" t="str">
        <v>-</v>
      </c>
      <c r="D18951" t="str">
        <v>-</v>
      </c>
      <c r="E18951" t="str">
        <v>-</v>
      </c>
      <c r="F18951" t="str">
        <v>-</v>
      </c>
      <c r="G18951" t="str">
        <v>-</v>
      </c>
    </row>
    <row r="18952">
      <c r="B18952" t="str">
        <v>Công an xã Phước Lộc  tỉnh Lâm Đồng</v>
      </c>
      <c r="C18952" t="str">
        <v>-</v>
      </c>
      <c r="D18952" t="str">
        <v>-</v>
      </c>
      <c r="E18952" t="str">
        <v/>
      </c>
      <c r="F18952" t="str">
        <v>-</v>
      </c>
      <c r="G18952" t="str">
        <v>-</v>
      </c>
    </row>
    <row r="18953">
      <c r="B18953" t="str">
        <v>UBND Ủy ban nhân dân xã Phước Lộc  tỉnh Lâm Đồng</v>
      </c>
      <c r="C18953" t="str">
        <v>-</v>
      </c>
      <c r="D18953" t="str">
        <v>-</v>
      </c>
      <c r="E18953" t="str">
        <v>-</v>
      </c>
      <c r="F18953" t="str">
        <v>-</v>
      </c>
      <c r="G18953" t="str">
        <v>-</v>
      </c>
    </row>
    <row r="18954">
      <c r="B18954" t="str">
        <v>Công an xã An Nhơn  tỉnh Lâm Đồng</v>
      </c>
      <c r="C18954" t="str">
        <v>-</v>
      </c>
      <c r="D18954" t="str">
        <v>-</v>
      </c>
      <c r="E18954" t="str">
        <v/>
      </c>
      <c r="F18954" t="str">
        <v>-</v>
      </c>
      <c r="G18954" t="str">
        <v>-</v>
      </c>
    </row>
    <row r="18955">
      <c r="B18955" t="str">
        <v>UBND Ủy ban nhân dân xã An Nhơn  tỉnh Lâm Đồng</v>
      </c>
      <c r="C18955" t="str">
        <v>-</v>
      </c>
      <c r="D18955" t="str">
        <v>-</v>
      </c>
      <c r="E18955" t="str">
        <v>-</v>
      </c>
      <c r="F18955" t="str">
        <v>-</v>
      </c>
      <c r="G18955" t="str">
        <v>-</v>
      </c>
    </row>
    <row r="18956">
      <c r="B18956" t="str">
        <v>Công an xã Quốc Oai  tỉnh Lâm Đồng</v>
      </c>
      <c r="C18956" t="str">
        <v>-</v>
      </c>
      <c r="D18956" t="str">
        <v>-</v>
      </c>
      <c r="E18956" t="str">
        <v/>
      </c>
      <c r="F18956" t="str">
        <v>-</v>
      </c>
      <c r="G18956" t="str">
        <v>-</v>
      </c>
    </row>
    <row r="18957">
      <c r="B18957" t="str">
        <v>UBND Ủy ban nhân dân xã Quốc Oai  tỉnh Lâm Đồng</v>
      </c>
      <c r="C18957" t="str">
        <v>-</v>
      </c>
      <c r="D18957" t="str">
        <v>-</v>
      </c>
      <c r="E18957" t="str">
        <v>-</v>
      </c>
      <c r="F18957" t="str">
        <v>-</v>
      </c>
      <c r="G18957" t="str">
        <v>-</v>
      </c>
    </row>
    <row r="18958">
      <c r="B18958" t="str">
        <v>Công an xã Mỹ Đức  tỉnh Lâm Đồng</v>
      </c>
      <c r="C18958" t="str">
        <v>-</v>
      </c>
      <c r="D18958" t="str">
        <v>-</v>
      </c>
      <c r="E18958" t="str">
        <v/>
      </c>
      <c r="F18958" t="str">
        <v>-</v>
      </c>
      <c r="G18958" t="str">
        <v>-</v>
      </c>
    </row>
    <row r="18959">
      <c r="B18959" t="str">
        <v>UBND Ủy ban nhân dân xã Mỹ Đức  tỉnh Lâm Đồng</v>
      </c>
      <c r="C18959" t="str">
        <v>-</v>
      </c>
      <c r="D18959" t="str">
        <v>-</v>
      </c>
      <c r="E18959" t="str">
        <v>-</v>
      </c>
      <c r="F18959" t="str">
        <v>-</v>
      </c>
      <c r="G18959" t="str">
        <v>-</v>
      </c>
    </row>
    <row r="18960">
      <c r="B18960" t="str">
        <v>Công an xã Quảng Trị  tỉnh Lâm Đồng</v>
      </c>
      <c r="C18960" t="str">
        <v>-</v>
      </c>
      <c r="D18960" t="str">
        <v>-</v>
      </c>
      <c r="E18960" t="str">
        <v/>
      </c>
      <c r="F18960" t="str">
        <v>-</v>
      </c>
      <c r="G18960" t="str">
        <v>-</v>
      </c>
    </row>
    <row r="18961">
      <c r="B18961" t="str">
        <v>UBND Ủy ban nhân dân xã Quảng Trị  tỉnh Lâm Đồng</v>
      </c>
      <c r="C18961" t="str">
        <v>-</v>
      </c>
      <c r="D18961" t="str">
        <v>-</v>
      </c>
      <c r="E18961" t="str">
        <v>-</v>
      </c>
      <c r="F18961" t="str">
        <v>-</v>
      </c>
      <c r="G18961" t="str">
        <v>-</v>
      </c>
    </row>
    <row r="18962">
      <c r="B18962" t="str">
        <v>Công an xã Đạ Lây  tỉnh Lâm Đồng</v>
      </c>
      <c r="C18962" t="str">
        <v>-</v>
      </c>
      <c r="D18962" t="str">
        <v>-</v>
      </c>
      <c r="E18962" t="str">
        <v/>
      </c>
      <c r="F18962" t="str">
        <v>-</v>
      </c>
      <c r="G18962" t="str">
        <v>-</v>
      </c>
    </row>
    <row r="18963">
      <c r="B18963" t="str">
        <v>UBND Ủy ban nhân dân xã Đạ Lây  tỉnh Lâm Đồng</v>
      </c>
      <c r="C18963" t="str">
        <v>-</v>
      </c>
      <c r="D18963" t="str">
        <v>-</v>
      </c>
      <c r="E18963" t="str">
        <v>-</v>
      </c>
      <c r="F18963" t="str">
        <v>-</v>
      </c>
      <c r="G18963" t="str">
        <v>-</v>
      </c>
    </row>
    <row r="18964">
      <c r="B18964" t="str">
        <v>Công an xã Hương Lâm  tỉnh Lâm Đồng</v>
      </c>
      <c r="C18964" t="str">
        <v>-</v>
      </c>
      <c r="D18964" t="str">
        <v>-</v>
      </c>
      <c r="E18964" t="str">
        <v/>
      </c>
      <c r="F18964" t="str">
        <v>-</v>
      </c>
      <c r="G18964" t="str">
        <v>-</v>
      </c>
    </row>
    <row r="18965">
      <c r="B18965" t="str">
        <v>UBND Ủy ban nhân dân xã Hương Lâm  tỉnh Lâm Đồng</v>
      </c>
      <c r="C18965" t="str">
        <v>-</v>
      </c>
      <c r="D18965" t="str">
        <v>-</v>
      </c>
      <c r="E18965" t="str">
        <v>-</v>
      </c>
      <c r="F18965" t="str">
        <v>-</v>
      </c>
      <c r="G18965" t="str">
        <v>-</v>
      </c>
    </row>
    <row r="18966">
      <c r="B18966" t="str">
        <v>Công an xã Triệu Hải  tỉnh Lâm Đồng</v>
      </c>
      <c r="C18966" t="str">
        <v>-</v>
      </c>
      <c r="D18966" t="str">
        <v>-</v>
      </c>
      <c r="E18966" t="str">
        <v/>
      </c>
      <c r="F18966" t="str">
        <v>-</v>
      </c>
      <c r="G18966" t="str">
        <v>-</v>
      </c>
    </row>
    <row r="18967">
      <c r="B18967" t="str">
        <v>UBND Ủy ban nhân dân xã Triệu Hải  tỉnh Lâm Đồng</v>
      </c>
      <c r="C18967" t="str">
        <v>-</v>
      </c>
      <c r="D18967" t="str">
        <v>-</v>
      </c>
      <c r="E18967" t="str">
        <v>-</v>
      </c>
      <c r="F18967" t="str">
        <v>-</v>
      </c>
      <c r="G18967" t="str">
        <v>-</v>
      </c>
    </row>
    <row r="18968">
      <c r="B18968" t="str">
        <v>Công an xã Hà Đông  tỉnh Lâm Đồng</v>
      </c>
      <c r="C18968" t="str">
        <v>-</v>
      </c>
      <c r="D18968" t="str">
        <v>-</v>
      </c>
      <c r="E18968" t="str">
        <v/>
      </c>
      <c r="F18968" t="str">
        <v>-</v>
      </c>
      <c r="G18968" t="str">
        <v>-</v>
      </c>
    </row>
    <row r="18969">
      <c r="B18969" t="str">
        <v>UBND Ủy ban nhân dân xã Hà Đông  tỉnh Lâm Đồng</v>
      </c>
      <c r="C18969" t="str">
        <v>-</v>
      </c>
      <c r="D18969" t="str">
        <v>-</v>
      </c>
      <c r="E18969" t="str">
        <v>-</v>
      </c>
      <c r="F18969" t="str">
        <v>-</v>
      </c>
      <c r="G18969" t="str">
        <v>-</v>
      </c>
    </row>
    <row r="18970">
      <c r="B18970" t="str">
        <v>Công an xã Đạ Kho  tỉnh Lâm Đồng</v>
      </c>
      <c r="C18970" t="str">
        <v>-</v>
      </c>
      <c r="D18970" t="str">
        <v>-</v>
      </c>
      <c r="E18970" t="str">
        <v/>
      </c>
      <c r="F18970" t="str">
        <v>-</v>
      </c>
      <c r="G18970" t="str">
        <v>-</v>
      </c>
    </row>
    <row r="18971">
      <c r="B18971" t="str">
        <v>UBND Ủy ban nhân dân xã Đạ Kho  tỉnh Lâm Đồng</v>
      </c>
      <c r="C18971" t="str">
        <v>-</v>
      </c>
      <c r="D18971" t="str">
        <v>-</v>
      </c>
      <c r="E18971" t="str">
        <v>-</v>
      </c>
      <c r="F18971" t="str">
        <v>-</v>
      </c>
      <c r="G18971" t="str">
        <v>-</v>
      </c>
    </row>
    <row r="18972">
      <c r="B18972" t="str">
        <v>Công an xã Đạ Pal  tỉnh Lâm Đồng</v>
      </c>
      <c r="C18972" t="str">
        <v>-</v>
      </c>
      <c r="D18972" t="str">
        <v>-</v>
      </c>
      <c r="E18972" t="str">
        <v/>
      </c>
      <c r="F18972" t="str">
        <v>-</v>
      </c>
      <c r="G18972" t="str">
        <v>-</v>
      </c>
    </row>
    <row r="18973">
      <c r="B18973" t="str">
        <v>UBND Ủy ban nhân dân xã Đạ Pal  tỉnh Lâm Đồng</v>
      </c>
      <c r="C18973" t="str">
        <v>-</v>
      </c>
      <c r="D18973" t="str">
        <v>-</v>
      </c>
      <c r="E18973" t="str">
        <v>-</v>
      </c>
      <c r="F18973" t="str">
        <v>-</v>
      </c>
      <c r="G18973" t="str">
        <v>-</v>
      </c>
    </row>
    <row r="18974">
      <c r="B18974" t="str">
        <v>Công an xã Tiên Hoàng  tỉnh Lâm Đồng</v>
      </c>
      <c r="C18974" t="str">
        <v>-</v>
      </c>
      <c r="D18974" t="str">
        <v>-</v>
      </c>
      <c r="E18974" t="str">
        <v/>
      </c>
      <c r="F18974" t="str">
        <v>-</v>
      </c>
      <c r="G18974" t="str">
        <v>-</v>
      </c>
    </row>
    <row r="18975">
      <c r="B18975" t="str">
        <v>UBND Ủy ban nhân dân xã Tiên Hoàng  tỉnh Lâm Đồng</v>
      </c>
      <c r="C18975" t="str">
        <v>-</v>
      </c>
      <c r="D18975" t="str">
        <v>-</v>
      </c>
      <c r="E18975" t="str">
        <v>-</v>
      </c>
      <c r="F18975" t="str">
        <v>-</v>
      </c>
      <c r="G18975" t="str">
        <v>-</v>
      </c>
    </row>
    <row r="18976">
      <c r="B18976" t="str">
        <v>Công an xã Phước Cát 2  tỉnh Lâm Đồng</v>
      </c>
      <c r="C18976" t="str">
        <v>-</v>
      </c>
      <c r="D18976" t="str">
        <v>-</v>
      </c>
      <c r="E18976" t="str">
        <v/>
      </c>
      <c r="F18976" t="str">
        <v>-</v>
      </c>
      <c r="G18976" t="str">
        <v>-</v>
      </c>
    </row>
    <row r="18977">
      <c r="B18977" t="str">
        <v>UBND Ủy ban nhân dân xã Phước Cát 2  tỉnh Lâm Đồng</v>
      </c>
      <c r="C18977" t="str">
        <v>-</v>
      </c>
      <c r="D18977" t="str">
        <v>-</v>
      </c>
      <c r="E18977" t="str">
        <v>-</v>
      </c>
      <c r="F18977" t="str">
        <v>-</v>
      </c>
      <c r="G18977" t="str">
        <v>-</v>
      </c>
    </row>
    <row r="18978">
      <c r="B18978" t="str">
        <v>Công an xã Gia Viễn  tỉnh Lâm Đồng</v>
      </c>
      <c r="C18978" t="str">
        <v>-</v>
      </c>
      <c r="D18978" t="str">
        <v>-</v>
      </c>
      <c r="E18978" t="str">
        <v/>
      </c>
      <c r="F18978" t="str">
        <v>-</v>
      </c>
      <c r="G18978" t="str">
        <v>-</v>
      </c>
    </row>
    <row r="18979">
      <c r="B18979" t="str">
        <v>UBND Ủy ban nhân dân xã Gia Viễn  tỉnh Lâm Đồng</v>
      </c>
      <c r="C18979" t="str">
        <v>-</v>
      </c>
      <c r="D18979" t="str">
        <v>-</v>
      </c>
      <c r="E18979" t="str">
        <v>-</v>
      </c>
      <c r="F18979" t="str">
        <v>-</v>
      </c>
      <c r="G18979" t="str">
        <v>-</v>
      </c>
    </row>
    <row r="18980">
      <c r="B18980" t="str">
        <v>Công an xã Nam Ninh  tỉnh Lâm Đồng</v>
      </c>
      <c r="C18980" t="str">
        <v>-</v>
      </c>
      <c r="D18980" t="str">
        <v>-</v>
      </c>
      <c r="E18980" t="str">
        <v/>
      </c>
      <c r="F18980" t="str">
        <v>-</v>
      </c>
      <c r="G18980" t="str">
        <v>-</v>
      </c>
    </row>
    <row r="18981">
      <c r="B18981" t="str">
        <v>UBND Ủy ban nhân dân xã Nam Ninh  tỉnh Lâm Đồng</v>
      </c>
      <c r="C18981" t="str">
        <v>-</v>
      </c>
      <c r="D18981" t="str">
        <v>-</v>
      </c>
      <c r="E18981" t="str">
        <v>-</v>
      </c>
      <c r="F18981" t="str">
        <v>-</v>
      </c>
      <c r="G18981" t="str">
        <v>-</v>
      </c>
    </row>
    <row r="18982">
      <c r="B18982" t="str">
        <v>Công an xã Mỹ Lâm  tỉnh Lâm Đồng</v>
      </c>
      <c r="C18982" t="str">
        <v>-</v>
      </c>
      <c r="D18982" t="str">
        <v>-</v>
      </c>
      <c r="E18982" t="str">
        <v/>
      </c>
      <c r="F18982" t="str">
        <v>-</v>
      </c>
      <c r="G18982" t="str">
        <v>-</v>
      </c>
    </row>
    <row r="18983">
      <c r="B18983" t="str">
        <v>UBND Ủy ban nhân dân xã Mỹ Lâm  tỉnh Lâm Đồng</v>
      </c>
      <c r="C18983" t="str">
        <v>-</v>
      </c>
      <c r="D18983" t="str">
        <v>-</v>
      </c>
      <c r="E18983" t="str">
        <v>-</v>
      </c>
      <c r="F18983" t="str">
        <v>-</v>
      </c>
      <c r="G18983" t="str">
        <v>-</v>
      </c>
    </row>
    <row r="18984">
      <c r="B18984" t="str">
        <v>Công an xã Tư Nghĩa  tỉnh Lâm Đồng</v>
      </c>
      <c r="C18984" t="str">
        <v>-</v>
      </c>
      <c r="D18984" t="str">
        <v>-</v>
      </c>
      <c r="E18984" t="str">
        <v/>
      </c>
      <c r="F18984" t="str">
        <v>-</v>
      </c>
      <c r="G18984" t="str">
        <v>-</v>
      </c>
    </row>
    <row r="18985">
      <c r="B18985" t="str">
        <v>UBND Ủy ban nhân dân xã Tư Nghĩa  tỉnh Lâm Đồng</v>
      </c>
      <c r="C18985" t="str">
        <v>-</v>
      </c>
      <c r="D18985" t="str">
        <v>-</v>
      </c>
      <c r="E18985" t="str">
        <v>-</v>
      </c>
      <c r="F18985" t="str">
        <v>-</v>
      </c>
      <c r="G18985" t="str">
        <v>-</v>
      </c>
    </row>
    <row r="18986">
      <c r="B18986" t="str">
        <v>Công an xã Phước Cát 1  tỉnh Lâm Đồng</v>
      </c>
      <c r="C18986" t="str">
        <v>-</v>
      </c>
      <c r="D18986" t="str">
        <v>-</v>
      </c>
      <c r="E18986" t="str">
        <v/>
      </c>
      <c r="F18986" t="str">
        <v>-</v>
      </c>
      <c r="G18986" t="str">
        <v>-</v>
      </c>
    </row>
    <row r="18987">
      <c r="B18987" t="str">
        <v>UBND Ủy ban nhân dân xã Phước Cát 1  tỉnh Lâm Đồng</v>
      </c>
      <c r="C18987" t="str">
        <v>-</v>
      </c>
      <c r="D18987" t="str">
        <v>-</v>
      </c>
      <c r="E18987" t="str">
        <v>-</v>
      </c>
      <c r="F18987" t="str">
        <v>-</v>
      </c>
      <c r="G18987" t="str">
        <v>-</v>
      </c>
    </row>
    <row r="18988">
      <c r="B18988" t="str">
        <v>Công an xã Đức Phổ  tỉnh Lâm Đồng</v>
      </c>
      <c r="C18988" t="str">
        <v>-</v>
      </c>
      <c r="D18988" t="str">
        <v>-</v>
      </c>
      <c r="E18988" t="str">
        <v/>
      </c>
      <c r="F18988" t="str">
        <v>-</v>
      </c>
      <c r="G18988" t="str">
        <v>-</v>
      </c>
    </row>
    <row r="18989">
      <c r="B18989" t="str">
        <v>UBND Ủy ban nhân dân xã Đức Phổ  tỉnh Lâm Đồng</v>
      </c>
      <c r="C18989" t="str">
        <v>-</v>
      </c>
      <c r="D18989" t="str">
        <v>-</v>
      </c>
      <c r="E18989" t="str">
        <v>-</v>
      </c>
      <c r="F18989" t="str">
        <v>-</v>
      </c>
      <c r="G18989" t="str">
        <v>-</v>
      </c>
    </row>
    <row r="18990">
      <c r="B18990" t="str">
        <v>Công an xã Quảng Ngãi  tỉnh Lâm Đồng</v>
      </c>
      <c r="C18990" t="str">
        <v>-</v>
      </c>
      <c r="D18990" t="str">
        <v>-</v>
      </c>
      <c r="E18990" t="str">
        <v/>
      </c>
      <c r="F18990" t="str">
        <v>-</v>
      </c>
      <c r="G18990" t="str">
        <v>-</v>
      </c>
    </row>
    <row r="18991">
      <c r="B18991" t="str">
        <v>UBND Ủy ban nhân dân xã Quảng Ngãi  tỉnh Lâm Đồng</v>
      </c>
      <c r="C18991" t="str">
        <v>-</v>
      </c>
      <c r="D18991" t="str">
        <v>-</v>
      </c>
      <c r="E18991" t="str">
        <v>-</v>
      </c>
      <c r="F18991" t="str">
        <v>-</v>
      </c>
      <c r="G18991" t="str">
        <v>-</v>
      </c>
    </row>
    <row r="18992">
      <c r="B18992" t="str">
        <v>Công an xã Đồng Nai Thượng  tỉnh Lâm Đồng</v>
      </c>
      <c r="C18992" t="str">
        <v>-</v>
      </c>
      <c r="D18992" t="str">
        <v>-</v>
      </c>
      <c r="E18992" t="str">
        <v/>
      </c>
      <c r="F18992" t="str">
        <v>-</v>
      </c>
      <c r="G18992" t="str">
        <v>-</v>
      </c>
    </row>
    <row r="18993">
      <c r="B18993" t="str">
        <v>UBND Ủy ban nhân dân xã Đồng Nai Thượng  tỉnh Lâm Đồng</v>
      </c>
      <c r="C18993" t="str">
        <v>-</v>
      </c>
      <c r="D18993" t="str">
        <v>-</v>
      </c>
      <c r="E18993" t="str">
        <v>-</v>
      </c>
      <c r="F18993" t="str">
        <v>-</v>
      </c>
      <c r="G18993" t="str">
        <v>-</v>
      </c>
    </row>
    <row r="18994">
      <c r="B18994" t="str">
        <v>Công an phường Thác Mơ  tỉnh Bình Phước</v>
      </c>
      <c r="C18994" t="str">
        <v>-</v>
      </c>
      <c r="D18994" t="str">
        <v>-</v>
      </c>
      <c r="E18994" t="str">
        <v/>
      </c>
      <c r="F18994" t="str">
        <v>-</v>
      </c>
      <c r="G18994" t="str">
        <v>-</v>
      </c>
    </row>
    <row r="18995">
      <c r="B18995" t="str">
        <v>UBND Ủy ban nhân dân phường Thác Mơ  tỉnh Bình Phước</v>
      </c>
      <c r="C18995" t="str">
        <v>-</v>
      </c>
      <c r="D18995" t="str">
        <v>-</v>
      </c>
      <c r="E18995" t="str">
        <v>-</v>
      </c>
      <c r="F18995" t="str">
        <v>-</v>
      </c>
      <c r="G18995" t="str">
        <v>-</v>
      </c>
    </row>
    <row r="18996">
      <c r="B18996" t="str">
        <v>Công an phường Long Thủy  tỉnh Bình Phước</v>
      </c>
      <c r="C18996" t="str">
        <v>-</v>
      </c>
      <c r="D18996" t="str">
        <v>-</v>
      </c>
      <c r="E18996" t="str">
        <v/>
      </c>
      <c r="F18996" t="str">
        <v>-</v>
      </c>
      <c r="G18996" t="str">
        <v>-</v>
      </c>
    </row>
    <row r="18997">
      <c r="B18997" t="str">
        <v>UBND Ủy ban nhân dân phường Long Thủy  tỉnh Bình Phước</v>
      </c>
      <c r="C18997" t="str">
        <v>-</v>
      </c>
      <c r="D18997" t="str">
        <v>-</v>
      </c>
      <c r="E18997" t="str">
        <v>-</v>
      </c>
      <c r="F18997" t="str">
        <v>-</v>
      </c>
      <c r="G18997" t="str">
        <v>-</v>
      </c>
    </row>
    <row r="18998">
      <c r="B18998" t="str">
        <v>Công an phường Phước Bình  tỉnh Bình Phước</v>
      </c>
      <c r="C18998" t="str">
        <v>-</v>
      </c>
      <c r="D18998" t="str">
        <v>-</v>
      </c>
      <c r="E18998" t="str">
        <v/>
      </c>
      <c r="F18998" t="str">
        <v>-</v>
      </c>
      <c r="G18998" t="str">
        <v>-</v>
      </c>
    </row>
    <row r="18999">
      <c r="B18999" t="str">
        <v>UBND Ủy ban nhân dân phường Phước Bình  tỉnh Bình Phước</v>
      </c>
      <c r="C18999" t="str">
        <v>-</v>
      </c>
      <c r="D18999" t="str">
        <v>-</v>
      </c>
      <c r="E18999" t="str">
        <v>-</v>
      </c>
      <c r="F18999" t="str">
        <v>-</v>
      </c>
      <c r="G18999" t="str">
        <v>-</v>
      </c>
    </row>
    <row r="19000">
      <c r="B19000" t="str">
        <v>Công an phường Long Phước  tỉnh Bình Phước</v>
      </c>
      <c r="C19000" t="str">
        <v>-</v>
      </c>
      <c r="D19000" t="str">
        <v>-</v>
      </c>
      <c r="E19000" t="str">
        <v/>
      </c>
      <c r="F19000" t="str">
        <v>-</v>
      </c>
      <c r="G19000" t="str">
        <v>-</v>
      </c>
    </row>
    <row r="19001">
      <c r="B19001" t="str">
        <v>UBND Ủy ban nhân dân phường Long Phước  tỉnh Bình Phước</v>
      </c>
      <c r="C19001" t="str">
        <v>-</v>
      </c>
      <c r="D19001" t="str">
        <v>-</v>
      </c>
      <c r="E19001" t="str">
        <v>-</v>
      </c>
      <c r="F19001" t="str">
        <v>-</v>
      </c>
      <c r="G19001" t="str">
        <v>-</v>
      </c>
    </row>
    <row r="19002">
      <c r="B19002" t="str">
        <v>Công an phường Sơn Giang  tỉnh Bình Phước</v>
      </c>
      <c r="C19002" t="str">
        <v>-</v>
      </c>
      <c r="D19002" t="str">
        <v>-</v>
      </c>
      <c r="E19002" t="str">
        <v/>
      </c>
      <c r="F19002" t="str">
        <v>-</v>
      </c>
      <c r="G19002" t="str">
        <v>-</v>
      </c>
    </row>
    <row r="19003">
      <c r="B19003" t="str">
        <v>UBND Ủy ban nhân dân phường Sơn Giang  tỉnh Bình Phước</v>
      </c>
      <c r="C19003" t="str">
        <v>-</v>
      </c>
      <c r="D19003" t="str">
        <v>-</v>
      </c>
      <c r="E19003" t="str">
        <v>-</v>
      </c>
      <c r="F19003" t="str">
        <v>-</v>
      </c>
      <c r="G19003" t="str">
        <v>-</v>
      </c>
    </row>
    <row r="19004">
      <c r="B19004" t="str">
        <v>Công an xã Long Giang  tỉnh Bình Phước</v>
      </c>
      <c r="C19004" t="str">
        <v>-</v>
      </c>
      <c r="D19004" t="str">
        <v>-</v>
      </c>
      <c r="E19004" t="str">
        <v/>
      </c>
      <c r="F19004" t="str">
        <v>-</v>
      </c>
      <c r="G19004" t="str">
        <v>-</v>
      </c>
    </row>
    <row r="19005">
      <c r="B19005" t="str">
        <v>UBND Ủy ban nhân dân xã Long Giang  tỉnh Bình Phước</v>
      </c>
      <c r="C19005" t="str">
        <v>-</v>
      </c>
      <c r="D19005" t="str">
        <v>-</v>
      </c>
      <c r="E19005" t="str">
        <v>-</v>
      </c>
      <c r="F19005" t="str">
        <v>-</v>
      </c>
      <c r="G19005" t="str">
        <v>-</v>
      </c>
    </row>
    <row r="19006">
      <c r="B19006" t="str">
        <v>Công an xã Phước Tín  tỉnh Bình Phước</v>
      </c>
      <c r="C19006" t="str">
        <v>-</v>
      </c>
      <c r="D19006" t="str">
        <v>-</v>
      </c>
      <c r="E19006" t="str">
        <v/>
      </c>
      <c r="F19006" t="str">
        <v>-</v>
      </c>
      <c r="G19006" t="str">
        <v>-</v>
      </c>
    </row>
    <row r="19007">
      <c r="B19007" t="str">
        <v>UBND Ủy ban nhân dân xã Phước Tín  tỉnh Bình Phước</v>
      </c>
      <c r="C19007" t="str">
        <v>-</v>
      </c>
      <c r="D19007" t="str">
        <v>-</v>
      </c>
      <c r="E19007" t="str">
        <v>-</v>
      </c>
      <c r="F19007" t="str">
        <v>-</v>
      </c>
      <c r="G19007" t="str">
        <v>-</v>
      </c>
    </row>
    <row r="19008">
      <c r="B19008" t="str">
        <v>Công an phường Tân Phú  tỉnh Bình Phước</v>
      </c>
      <c r="C19008" t="str">
        <v>-</v>
      </c>
      <c r="D19008" t="str">
        <v>-</v>
      </c>
      <c r="E19008" t="str">
        <v/>
      </c>
      <c r="F19008" t="str">
        <v>-</v>
      </c>
      <c r="G19008" t="str">
        <v>-</v>
      </c>
    </row>
    <row r="19009">
      <c r="B19009" t="str">
        <v>UBND Ủy ban nhân dân phường Tân Phú  tỉnh Bình Phước</v>
      </c>
      <c r="C19009" t="str">
        <v>-</v>
      </c>
      <c r="D19009" t="str">
        <v>-</v>
      </c>
      <c r="E19009" t="str">
        <v>-</v>
      </c>
      <c r="F19009" t="str">
        <v>-</v>
      </c>
      <c r="G19009" t="str">
        <v>-</v>
      </c>
    </row>
    <row r="19010">
      <c r="B19010" t="str">
        <v>Công an phường Tân Đồng  tỉnh Bình Phước</v>
      </c>
      <c r="C19010" t="str">
        <v>-</v>
      </c>
      <c r="D19010" t="str">
        <v>-</v>
      </c>
      <c r="E19010" t="str">
        <v/>
      </c>
      <c r="F19010" t="str">
        <v>-</v>
      </c>
      <c r="G19010" t="str">
        <v>-</v>
      </c>
    </row>
    <row r="19011">
      <c r="B19011" t="str">
        <v>UBND Ủy ban nhân dân phường Tân Đồng  tỉnh Bình Phước</v>
      </c>
      <c r="C19011" t="str">
        <v>-</v>
      </c>
      <c r="D19011" t="str">
        <v>-</v>
      </c>
      <c r="E19011" t="str">
        <v>-</v>
      </c>
      <c r="F19011" t="str">
        <v>-</v>
      </c>
      <c r="G19011" t="str">
        <v>-</v>
      </c>
    </row>
    <row r="19012">
      <c r="B19012" t="str">
        <v>Công an phường Tân Bình  tỉnh Bình Phước</v>
      </c>
      <c r="C19012" t="str">
        <v>-</v>
      </c>
      <c r="D19012" t="str">
        <v>-</v>
      </c>
      <c r="E19012" t="str">
        <v/>
      </c>
      <c r="F19012" t="str">
        <v>-</v>
      </c>
      <c r="G19012" t="str">
        <v>-</v>
      </c>
    </row>
    <row r="19013">
      <c r="B19013" t="str">
        <v>UBND Ủy ban nhân dân phường Tân Bình  tỉnh Bình Phước</v>
      </c>
      <c r="C19013" t="str">
        <v>-</v>
      </c>
      <c r="D19013" t="str">
        <v>-</v>
      </c>
      <c r="E19013" t="str">
        <v>-</v>
      </c>
      <c r="F19013" t="str">
        <v>-</v>
      </c>
      <c r="G19013" t="str">
        <v>-</v>
      </c>
    </row>
    <row r="19014">
      <c r="B19014" t="str">
        <v>Công an phường Tân Xuân  tỉnh Bình Phước</v>
      </c>
      <c r="C19014" t="str">
        <v>-</v>
      </c>
      <c r="D19014" t="str">
        <v>-</v>
      </c>
      <c r="E19014" t="str">
        <v/>
      </c>
      <c r="F19014" t="str">
        <v>-</v>
      </c>
      <c r="G19014" t="str">
        <v>-</v>
      </c>
    </row>
    <row r="19015">
      <c r="B19015" t="str">
        <v>UBND Ủy ban nhân dân phường Tân Xuân  tỉnh Bình Phước</v>
      </c>
      <c r="C19015" t="str">
        <v>-</v>
      </c>
      <c r="D19015" t="str">
        <v>-</v>
      </c>
      <c r="E19015" t="str">
        <v>-</v>
      </c>
      <c r="F19015" t="str">
        <v>-</v>
      </c>
      <c r="G19015" t="str">
        <v>-</v>
      </c>
    </row>
    <row r="19016">
      <c r="B19016" t="str">
        <v>Công an phường Tân Thiện  tỉnh Bình Phước</v>
      </c>
      <c r="C19016" t="str">
        <v>-</v>
      </c>
      <c r="D19016" t="str">
        <v>-</v>
      </c>
      <c r="E19016" t="str">
        <v/>
      </c>
      <c r="F19016" t="str">
        <v>-</v>
      </c>
      <c r="G19016" t="str">
        <v>-</v>
      </c>
    </row>
    <row r="19017">
      <c r="B19017" t="str">
        <v>UBND Ủy ban nhân dân phường Tân Thiện  tỉnh Bình Phước</v>
      </c>
      <c r="C19017" t="str">
        <v>-</v>
      </c>
      <c r="D19017" t="str">
        <v>-</v>
      </c>
      <c r="E19017" t="str">
        <v>-</v>
      </c>
      <c r="F19017" t="str">
        <v>-</v>
      </c>
      <c r="G19017" t="str">
        <v>-</v>
      </c>
    </row>
    <row r="19018">
      <c r="B19018" t="str">
        <v>Công an xã Tân Thành  tỉnh Bình Phước</v>
      </c>
      <c r="C19018" t="str">
        <v>-</v>
      </c>
      <c r="D19018" t="str">
        <v>-</v>
      </c>
      <c r="E19018" t="str">
        <v/>
      </c>
      <c r="F19018" t="str">
        <v>-</v>
      </c>
      <c r="G19018" t="str">
        <v>-</v>
      </c>
    </row>
    <row r="19019">
      <c r="B19019" t="str">
        <v>UBND Ủy ban nhân dân xã Tân Thành  tỉnh Bình Phước</v>
      </c>
      <c r="C19019" t="str">
        <v>-</v>
      </c>
      <c r="D19019" t="str">
        <v>-</v>
      </c>
      <c r="E19019" t="str">
        <v>-</v>
      </c>
      <c r="F19019" t="str">
        <v>-</v>
      </c>
      <c r="G19019" t="str">
        <v>-</v>
      </c>
    </row>
    <row r="19020">
      <c r="B19020" t="str">
        <v>Công an xã Tiến Thành  tỉnh Bình Phước</v>
      </c>
      <c r="C19020" t="str">
        <v>-</v>
      </c>
      <c r="D19020" t="str">
        <v>-</v>
      </c>
      <c r="E19020" t="str">
        <v/>
      </c>
      <c r="F19020" t="str">
        <v>-</v>
      </c>
      <c r="G19020" t="str">
        <v>-</v>
      </c>
    </row>
    <row r="19021">
      <c r="B19021" t="str">
        <v>UBND Ủy ban nhân dân xã Tiến Thành  tỉnh Bình Phước</v>
      </c>
      <c r="C19021" t="str">
        <v>-</v>
      </c>
      <c r="D19021" t="str">
        <v>-</v>
      </c>
      <c r="E19021" t="str">
        <v>-</v>
      </c>
      <c r="F19021" t="str">
        <v>-</v>
      </c>
      <c r="G19021" t="str">
        <v>-</v>
      </c>
    </row>
    <row r="19022">
      <c r="B19022" t="str">
        <v>Công an xã Tiến Hưng  tỉnh Bình Phước</v>
      </c>
      <c r="C19022" t="str">
        <v>-</v>
      </c>
      <c r="D19022" t="str">
        <v>-</v>
      </c>
      <c r="E19022" t="str">
        <v/>
      </c>
      <c r="F19022" t="str">
        <v>-</v>
      </c>
      <c r="G19022" t="str">
        <v>-</v>
      </c>
    </row>
    <row r="19023">
      <c r="B19023" t="str">
        <v>UBND Ủy ban nhân dân xã Tiến Hưng  tỉnh Bình Phước</v>
      </c>
      <c r="C19023" t="str">
        <v>-</v>
      </c>
      <c r="D19023" t="str">
        <v>-</v>
      </c>
      <c r="E19023" t="str">
        <v>-</v>
      </c>
      <c r="F19023" t="str">
        <v>-</v>
      </c>
      <c r="G19023" t="str">
        <v>-</v>
      </c>
    </row>
    <row r="19024">
      <c r="B19024" t="str">
        <v>Công an phường Hưng Chiến  tỉnh Bình Phước</v>
      </c>
      <c r="C19024" t="str">
        <v>-</v>
      </c>
      <c r="D19024" t="str">
        <v>-</v>
      </c>
      <c r="E19024" t="str">
        <v/>
      </c>
      <c r="F19024" t="str">
        <v>-</v>
      </c>
      <c r="G19024" t="str">
        <v>-</v>
      </c>
    </row>
    <row r="19025">
      <c r="B19025" t="str">
        <v>UBND Ủy ban nhân dân phường Hưng Chiến  tỉnh Bình Phước</v>
      </c>
      <c r="C19025" t="str">
        <v>-</v>
      </c>
      <c r="D19025" t="str">
        <v>-</v>
      </c>
      <c r="E19025" t="str">
        <v>-</v>
      </c>
      <c r="F19025" t="str">
        <v>-</v>
      </c>
      <c r="G19025" t="str">
        <v>-</v>
      </c>
    </row>
    <row r="19026">
      <c r="B19026" t="str">
        <v>Công an phường An Lộc  tỉnh Bình Phước</v>
      </c>
      <c r="C19026" t="str">
        <v>-</v>
      </c>
      <c r="D19026" t="str">
        <v>-</v>
      </c>
      <c r="E19026" t="str">
        <v/>
      </c>
      <c r="F19026" t="str">
        <v>-</v>
      </c>
      <c r="G19026" t="str">
        <v>-</v>
      </c>
    </row>
    <row r="19027">
      <c r="B19027" t="str">
        <v>UBND Ủy ban nhân dân phường An Lộc  tỉnh Bình Phước</v>
      </c>
      <c r="C19027" t="str">
        <v>-</v>
      </c>
      <c r="D19027" t="str">
        <v>-</v>
      </c>
      <c r="E19027" t="str">
        <v>-</v>
      </c>
      <c r="F19027" t="str">
        <v>-</v>
      </c>
      <c r="G19027" t="str">
        <v>-</v>
      </c>
    </row>
    <row r="19028">
      <c r="B19028" t="str">
        <v>Công an phường Phú Thịnh  tỉnh Bình Phước</v>
      </c>
      <c r="C19028" t="str">
        <v>-</v>
      </c>
      <c r="D19028" t="str">
        <v>-</v>
      </c>
      <c r="E19028" t="str">
        <v/>
      </c>
      <c r="F19028" t="str">
        <v>-</v>
      </c>
      <c r="G19028" t="str">
        <v>-</v>
      </c>
    </row>
    <row r="19029">
      <c r="B19029" t="str">
        <v>UBND Ủy ban nhân dân phường Phú Thịnh  tỉnh Bình Phước</v>
      </c>
      <c r="C19029" t="str">
        <v>-</v>
      </c>
      <c r="D19029" t="str">
        <v>-</v>
      </c>
      <c r="E19029" t="str">
        <v>-</v>
      </c>
      <c r="F19029" t="str">
        <v>-</v>
      </c>
      <c r="G19029" t="str">
        <v>-</v>
      </c>
    </row>
    <row r="19030">
      <c r="B19030" t="str">
        <v>Công an phường Phú Đức  tỉnh Bình Phước</v>
      </c>
      <c r="C19030" t="str">
        <v>-</v>
      </c>
      <c r="D19030" t="str">
        <v>-</v>
      </c>
      <c r="E19030" t="str">
        <v/>
      </c>
      <c r="F19030" t="str">
        <v>-</v>
      </c>
      <c r="G19030" t="str">
        <v>-</v>
      </c>
    </row>
    <row r="19031">
      <c r="B19031" t="str">
        <v>UBND Ủy ban nhân dân phường Phú Đức  tỉnh Bình Phước</v>
      </c>
      <c r="C19031" t="str">
        <v>-</v>
      </c>
      <c r="D19031" t="str">
        <v>-</v>
      </c>
      <c r="E19031" t="str">
        <v>-</v>
      </c>
      <c r="F19031" t="str">
        <v>-</v>
      </c>
      <c r="G19031" t="str">
        <v>-</v>
      </c>
    </row>
    <row r="19032">
      <c r="B19032" t="str">
        <v>Công an xã Thanh Lương  tỉnh Bình Phước</v>
      </c>
      <c r="C19032" t="str">
        <v>-</v>
      </c>
      <c r="D19032" t="str">
        <v>-</v>
      </c>
      <c r="E19032" t="str">
        <v/>
      </c>
      <c r="F19032" t="str">
        <v>-</v>
      </c>
      <c r="G19032" t="str">
        <v>-</v>
      </c>
    </row>
    <row r="19033">
      <c r="B19033" t="str">
        <v>UBND Ủy ban nhân dân xã Thanh Lương  tỉnh Bình Phước</v>
      </c>
      <c r="C19033" t="str">
        <v>-</v>
      </c>
      <c r="D19033" t="str">
        <v>-</v>
      </c>
      <c r="E19033" t="str">
        <v>-</v>
      </c>
      <c r="F19033" t="str">
        <v>-</v>
      </c>
      <c r="G19033" t="str">
        <v>-</v>
      </c>
    </row>
    <row r="19034">
      <c r="B19034" t="str">
        <v>Công an xã Thanh Phú  tỉnh Bình Phước</v>
      </c>
      <c r="C19034" t="str">
        <v>-</v>
      </c>
      <c r="D19034" t="str">
        <v>-</v>
      </c>
      <c r="E19034" t="str">
        <v/>
      </c>
      <c r="F19034" t="str">
        <v>-</v>
      </c>
      <c r="G19034" t="str">
        <v>-</v>
      </c>
    </row>
    <row r="19035">
      <c r="B19035" t="str">
        <v>UBND Ủy ban nhân dân xã Thanh Phú  tỉnh Bình Phước</v>
      </c>
      <c r="C19035" t="str">
        <v>-</v>
      </c>
      <c r="D19035" t="str">
        <v>-</v>
      </c>
      <c r="E19035" t="str">
        <v>-</v>
      </c>
      <c r="F19035" t="str">
        <v>-</v>
      </c>
      <c r="G19035" t="str">
        <v>-</v>
      </c>
    </row>
    <row r="19036">
      <c r="B19036" t="str">
        <v>Công an xã Bù Gia Mập  tỉnh Bình Phước</v>
      </c>
      <c r="C19036" t="str">
        <v>-</v>
      </c>
      <c r="D19036" t="str">
        <v>-</v>
      </c>
      <c r="E19036" t="str">
        <v/>
      </c>
      <c r="F19036" t="str">
        <v>-</v>
      </c>
      <c r="G19036" t="str">
        <v>-</v>
      </c>
    </row>
    <row r="19037">
      <c r="B19037" t="str">
        <v>UBND Ủy ban nhân dân xã Bù Gia Mập  tỉnh Bình Phước</v>
      </c>
      <c r="C19037" t="str">
        <v>-</v>
      </c>
      <c r="D19037" t="str">
        <v>-</v>
      </c>
      <c r="E19037" t="str">
        <v>-</v>
      </c>
      <c r="F19037" t="str">
        <v>-</v>
      </c>
      <c r="G19037" t="str">
        <v>-</v>
      </c>
    </row>
    <row r="19038">
      <c r="B19038" t="str">
        <v>Công an xã Đak Ơ  tỉnh Bình Phước</v>
      </c>
      <c r="C19038" t="str">
        <v>-</v>
      </c>
      <c r="D19038" t="str">
        <v>-</v>
      </c>
      <c r="E19038" t="str">
        <v/>
      </c>
      <c r="F19038" t="str">
        <v>-</v>
      </c>
      <c r="G19038" t="str">
        <v>-</v>
      </c>
    </row>
    <row r="19039">
      <c r="B19039" t="str">
        <v>UBND Ủy ban nhân dân xã Đak Ơ  tỉnh Bình Phước</v>
      </c>
      <c r="C19039" t="str">
        <v>-</v>
      </c>
      <c r="D19039" t="str">
        <v>-</v>
      </c>
      <c r="E19039" t="str">
        <v>-</v>
      </c>
      <c r="F19039" t="str">
        <v>-</v>
      </c>
      <c r="G19039" t="str">
        <v>-</v>
      </c>
    </row>
    <row r="19040">
      <c r="B19040" t="str">
        <v>Công an xã Đức Hạnh  tỉnh Bình Phước</v>
      </c>
      <c r="C19040" t="str">
        <v>-</v>
      </c>
      <c r="D19040" t="str">
        <v>-</v>
      </c>
      <c r="E19040" t="str">
        <v/>
      </c>
      <c r="F19040" t="str">
        <v>-</v>
      </c>
      <c r="G19040" t="str">
        <v>-</v>
      </c>
    </row>
    <row r="19041">
      <c r="B19041" t="str">
        <v>UBND Ủy ban nhân dân xã Đức Hạnh  tỉnh Bình Phước</v>
      </c>
      <c r="C19041" t="str">
        <v>-</v>
      </c>
      <c r="D19041" t="str">
        <v>-</v>
      </c>
      <c r="E19041" t="str">
        <v>-</v>
      </c>
      <c r="F19041" t="str">
        <v>-</v>
      </c>
      <c r="G19041" t="str">
        <v>-</v>
      </c>
    </row>
    <row r="19042">
      <c r="B19042" t="str">
        <v>Công an xã Phú Văn  tỉnh Bình Phước</v>
      </c>
      <c r="C19042" t="str">
        <v>-</v>
      </c>
      <c r="D19042" t="str">
        <v>-</v>
      </c>
      <c r="E19042" t="str">
        <v/>
      </c>
      <c r="F19042" t="str">
        <v>-</v>
      </c>
      <c r="G19042" t="str">
        <v>-</v>
      </c>
    </row>
    <row r="19043">
      <c r="B19043" t="str">
        <v>UBND Ủy ban nhân dân xã Phú Văn  tỉnh Bình Phước</v>
      </c>
      <c r="C19043" t="str">
        <v>-</v>
      </c>
      <c r="D19043" t="str">
        <v>-</v>
      </c>
      <c r="E19043" t="str">
        <v>-</v>
      </c>
      <c r="F19043" t="str">
        <v>-</v>
      </c>
      <c r="G19043" t="str">
        <v>-</v>
      </c>
    </row>
    <row r="19044">
      <c r="B19044" t="str">
        <v>Công an xã Đa Kia  tỉnh Bình Phước</v>
      </c>
      <c r="C19044" t="str">
        <v>-</v>
      </c>
      <c r="D19044" t="str">
        <v>-</v>
      </c>
      <c r="E19044" t="str">
        <v/>
      </c>
      <c r="F19044" t="str">
        <v>-</v>
      </c>
      <c r="G19044" t="str">
        <v>-</v>
      </c>
    </row>
    <row r="19045">
      <c r="B19045" t="str">
        <v>UBND Ủy ban nhân dân xã Đa Kia  tỉnh Bình Phước</v>
      </c>
      <c r="C19045" t="str">
        <v>-</v>
      </c>
      <c r="D19045" t="str">
        <v>-</v>
      </c>
      <c r="E19045" t="str">
        <v>-</v>
      </c>
      <c r="F19045" t="str">
        <v>-</v>
      </c>
      <c r="G19045" t="str">
        <v>-</v>
      </c>
    </row>
    <row r="19046">
      <c r="B19046" t="str">
        <v>Công an xã Phước Minh  tỉnh Bình Phước</v>
      </c>
      <c r="C19046" t="str">
        <v>-</v>
      </c>
      <c r="D19046" t="str">
        <v>-</v>
      </c>
      <c r="E19046" t="str">
        <v/>
      </c>
      <c r="F19046" t="str">
        <v>-</v>
      </c>
      <c r="G19046" t="str">
        <v>-</v>
      </c>
    </row>
    <row r="19047">
      <c r="B19047" t="str">
        <v>UBND Ủy ban nhân dân xã Phước Minh  tỉnh Bình Phước</v>
      </c>
      <c r="C19047" t="str">
        <v>-</v>
      </c>
      <c r="D19047" t="str">
        <v>-</v>
      </c>
      <c r="E19047" t="str">
        <v>-</v>
      </c>
      <c r="F19047" t="str">
        <v>-</v>
      </c>
      <c r="G19047" t="str">
        <v>-</v>
      </c>
    </row>
    <row r="19048">
      <c r="B19048" t="str">
        <v>Công an xã Bình Thắng  tỉnh Bình Phước</v>
      </c>
      <c r="C19048" t="str">
        <v>-</v>
      </c>
      <c r="D19048" t="str">
        <v>-</v>
      </c>
      <c r="E19048" t="str">
        <v/>
      </c>
      <c r="F19048" t="str">
        <v>-</v>
      </c>
      <c r="G19048" t="str">
        <v>-</v>
      </c>
    </row>
    <row r="19049">
      <c r="B19049" t="str">
        <v>UBND Ủy ban nhân dân xã Bình Thắng  tỉnh Bình Phước</v>
      </c>
      <c r="C19049" t="str">
        <v>-</v>
      </c>
      <c r="D19049" t="str">
        <v>-</v>
      </c>
      <c r="E19049" t="str">
        <v>-</v>
      </c>
      <c r="F19049" t="str">
        <v>-</v>
      </c>
      <c r="G19049" t="str">
        <v>-</v>
      </c>
    </row>
    <row r="19050">
      <c r="B19050" t="str">
        <v>Công an xã Phú Nghĩa  tỉnh Bình Phước</v>
      </c>
      <c r="C19050" t="str">
        <v>-</v>
      </c>
      <c r="D19050" t="str">
        <v>-</v>
      </c>
      <c r="E19050" t="str">
        <v/>
      </c>
      <c r="F19050" t="str">
        <v>-</v>
      </c>
      <c r="G19050" t="str">
        <v>-</v>
      </c>
    </row>
    <row r="19051">
      <c r="B19051" t="str">
        <v>UBND Ủy ban nhân dân xã Phú Nghĩa  tỉnh Bình Phước</v>
      </c>
      <c r="C19051" t="str">
        <v>-</v>
      </c>
      <c r="D19051" t="str">
        <v>-</v>
      </c>
      <c r="E19051" t="str">
        <v>-</v>
      </c>
      <c r="F19051" t="str">
        <v>-</v>
      </c>
      <c r="G19051" t="str">
        <v>-</v>
      </c>
    </row>
    <row r="19052">
      <c r="B19052" t="str">
        <v>Công an xã Lộc Hòa  tỉnh Bình Phước</v>
      </c>
      <c r="C19052" t="str">
        <v>-</v>
      </c>
      <c r="D19052" t="str">
        <v>-</v>
      </c>
      <c r="E19052" t="str">
        <v/>
      </c>
      <c r="F19052" t="str">
        <v>-</v>
      </c>
      <c r="G19052" t="str">
        <v>-</v>
      </c>
    </row>
    <row r="19053">
      <c r="B19053" t="str">
        <v>UBND Ủy ban nhân dân xã Lộc Hòa  tỉnh Bình Phước</v>
      </c>
      <c r="C19053" t="str">
        <v>-</v>
      </c>
      <c r="D19053" t="str">
        <v>-</v>
      </c>
      <c r="E19053" t="str">
        <v>-</v>
      </c>
      <c r="F19053" t="str">
        <v>-</v>
      </c>
      <c r="G19053" t="str">
        <v>-</v>
      </c>
    </row>
    <row r="19054">
      <c r="B19054" t="str">
        <v>Công an xã Lộc An  tỉnh Bình Phước</v>
      </c>
      <c r="C19054" t="str">
        <v>-</v>
      </c>
      <c r="D19054" t="str">
        <v>-</v>
      </c>
      <c r="E19054" t="str">
        <v/>
      </c>
      <c r="F19054" t="str">
        <v>-</v>
      </c>
      <c r="G19054" t="str">
        <v>-</v>
      </c>
    </row>
    <row r="19055">
      <c r="B19055" t="str">
        <v>UBND Ủy ban nhân dân xã Lộc An  tỉnh Bình Phước</v>
      </c>
      <c r="C19055" t="str">
        <v>-</v>
      </c>
      <c r="D19055" t="str">
        <v>-</v>
      </c>
      <c r="E19055" t="str">
        <v>-</v>
      </c>
      <c r="F19055" t="str">
        <v>-</v>
      </c>
      <c r="G19055" t="str">
        <v>-</v>
      </c>
    </row>
    <row r="19056">
      <c r="B19056" t="str">
        <v>Công an xã Lộc Tấn  tỉnh Bình Phước</v>
      </c>
      <c r="C19056" t="str">
        <v>-</v>
      </c>
      <c r="D19056" t="str">
        <v>-</v>
      </c>
      <c r="E19056" t="str">
        <v/>
      </c>
      <c r="F19056" t="str">
        <v>-</v>
      </c>
      <c r="G19056" t="str">
        <v>-</v>
      </c>
    </row>
    <row r="19057">
      <c r="B19057" t="str">
        <v>UBND Ủy ban nhân dân xã Lộc Tấn  tỉnh Bình Phước</v>
      </c>
      <c r="C19057" t="str">
        <v>-</v>
      </c>
      <c r="D19057" t="str">
        <v>-</v>
      </c>
      <c r="E19057" t="str">
        <v>-</v>
      </c>
      <c r="F19057" t="str">
        <v>-</v>
      </c>
      <c r="G19057" t="str">
        <v>-</v>
      </c>
    </row>
    <row r="19058">
      <c r="B19058" t="str">
        <v>Công an xã Lộc Thạnh  tỉnh Bình Phước</v>
      </c>
      <c r="C19058" t="str">
        <v>-</v>
      </c>
      <c r="D19058" t="str">
        <v>-</v>
      </c>
      <c r="E19058" t="str">
        <v/>
      </c>
      <c r="F19058" t="str">
        <v>-</v>
      </c>
      <c r="G19058" t="str">
        <v>-</v>
      </c>
    </row>
    <row r="19059">
      <c r="B19059" t="str">
        <v>UBND Ủy ban nhân dân xã Lộc Thạnh  tỉnh Bình Phước</v>
      </c>
      <c r="C19059" t="str">
        <v>-</v>
      </c>
      <c r="D19059" t="str">
        <v>-</v>
      </c>
      <c r="E19059" t="str">
        <v>-</v>
      </c>
      <c r="F19059" t="str">
        <v>-</v>
      </c>
      <c r="G19059" t="str">
        <v>-</v>
      </c>
    </row>
    <row r="19060">
      <c r="B19060" t="str">
        <v>Công an xã Lộc Hiệp  tỉnh Bình Phước</v>
      </c>
      <c r="C19060" t="str">
        <v>-</v>
      </c>
      <c r="D19060" t="str">
        <v>-</v>
      </c>
      <c r="E19060" t="str">
        <v/>
      </c>
      <c r="F19060" t="str">
        <v>-</v>
      </c>
      <c r="G19060" t="str">
        <v>-</v>
      </c>
    </row>
    <row r="19061">
      <c r="B19061" t="str">
        <v>UBND Ủy ban nhân dân xã Lộc Hiệp  tỉnh Bình Phước</v>
      </c>
      <c r="C19061" t="str">
        <v>-</v>
      </c>
      <c r="D19061" t="str">
        <v>-</v>
      </c>
      <c r="E19061" t="str">
        <v>-</v>
      </c>
      <c r="F19061" t="str">
        <v>-</v>
      </c>
      <c r="G19061" t="str">
        <v>-</v>
      </c>
    </row>
    <row r="19062">
      <c r="B19062" t="str">
        <v>Công an xã Lộc Thiện  tỉnh Bình Phước</v>
      </c>
      <c r="C19062" t="str">
        <v>-</v>
      </c>
      <c r="D19062" t="str">
        <v>-</v>
      </c>
      <c r="E19062" t="str">
        <v/>
      </c>
      <c r="F19062" t="str">
        <v>-</v>
      </c>
      <c r="G19062" t="str">
        <v>-</v>
      </c>
    </row>
    <row r="19063">
      <c r="B19063" t="str">
        <v>UBND Ủy ban nhân dân xã Lộc Thiện  tỉnh Bình Phước</v>
      </c>
      <c r="C19063" t="str">
        <v>-</v>
      </c>
      <c r="D19063" t="str">
        <v>-</v>
      </c>
      <c r="E19063" t="str">
        <v>-</v>
      </c>
      <c r="F19063" t="str">
        <v>-</v>
      </c>
      <c r="G19063" t="str">
        <v>-</v>
      </c>
    </row>
    <row r="19064">
      <c r="B19064" t="str">
        <v>Công an xã Lộc Thuận  tỉnh Bình Phước</v>
      </c>
      <c r="C19064" t="str">
        <v>-</v>
      </c>
      <c r="D19064" t="str">
        <v>-</v>
      </c>
      <c r="E19064" t="str">
        <v/>
      </c>
      <c r="F19064" t="str">
        <v>-</v>
      </c>
      <c r="G19064" t="str">
        <v>-</v>
      </c>
    </row>
    <row r="19065">
      <c r="B19065" t="str">
        <v>UBND Ủy ban nhân dân xã Lộc Thuận  tỉnh Bình Phước</v>
      </c>
      <c r="C19065" t="str">
        <v>-</v>
      </c>
      <c r="D19065" t="str">
        <v>-</v>
      </c>
      <c r="E19065" t="str">
        <v>-</v>
      </c>
      <c r="F19065" t="str">
        <v>-</v>
      </c>
      <c r="G19065" t="str">
        <v>-</v>
      </c>
    </row>
    <row r="19066">
      <c r="B19066" t="str">
        <v>Công an xã Lộc Quang  tỉnh Bình Phước</v>
      </c>
      <c r="C19066" t="str">
        <v>-</v>
      </c>
      <c r="D19066" t="str">
        <v>-</v>
      </c>
      <c r="E19066" t="str">
        <v/>
      </c>
      <c r="F19066" t="str">
        <v>-</v>
      </c>
      <c r="G19066" t="str">
        <v>-</v>
      </c>
    </row>
    <row r="19067">
      <c r="B19067" t="str">
        <v>UBND Ủy ban nhân dân xã Lộc Quang  tỉnh Bình Phước</v>
      </c>
      <c r="C19067" t="str">
        <v>-</v>
      </c>
      <c r="D19067" t="str">
        <v>-</v>
      </c>
      <c r="E19067" t="str">
        <v>-</v>
      </c>
      <c r="F19067" t="str">
        <v>-</v>
      </c>
      <c r="G19067" t="str">
        <v>-</v>
      </c>
    </row>
    <row r="19068">
      <c r="B19068" t="str">
        <v>Công an xã Lộc Phú  tỉnh Bình Phước</v>
      </c>
      <c r="C19068" t="str">
        <v>-</v>
      </c>
      <c r="D19068" t="str">
        <v>-</v>
      </c>
      <c r="E19068" t="str">
        <v/>
      </c>
      <c r="F19068" t="str">
        <v>-</v>
      </c>
      <c r="G19068" t="str">
        <v>-</v>
      </c>
    </row>
    <row r="19069">
      <c r="B19069" t="str">
        <v>UBND Ủy ban nhân dân xã Lộc Phú  tỉnh Bình Phước</v>
      </c>
      <c r="C19069" t="str">
        <v>-</v>
      </c>
      <c r="D19069" t="str">
        <v>-</v>
      </c>
      <c r="E19069" t="str">
        <v>-</v>
      </c>
      <c r="F19069" t="str">
        <v>-</v>
      </c>
      <c r="G19069" t="str">
        <v>-</v>
      </c>
    </row>
    <row r="19070">
      <c r="B19070" t="str">
        <v>Công an xã Lộc Thành  tỉnh Bình Phước</v>
      </c>
      <c r="C19070" t="str">
        <v>-</v>
      </c>
      <c r="D19070" t="str">
        <v>-</v>
      </c>
      <c r="E19070" t="str">
        <v/>
      </c>
      <c r="F19070" t="str">
        <v>-</v>
      </c>
      <c r="G19070" t="str">
        <v>-</v>
      </c>
    </row>
    <row r="19071">
      <c r="B19071" t="str">
        <v>UBND Ủy ban nhân dân xã Lộc Thành  tỉnh Bình Phước</v>
      </c>
      <c r="C19071" t="str">
        <v>-</v>
      </c>
      <c r="D19071" t="str">
        <v>-</v>
      </c>
      <c r="E19071" t="str">
        <v>-</v>
      </c>
      <c r="F19071" t="str">
        <v>-</v>
      </c>
      <c r="G19071" t="str">
        <v>-</v>
      </c>
    </row>
    <row r="19072">
      <c r="B19072" t="str">
        <v>Công an xã Lộc Thái  tỉnh Bình Phước</v>
      </c>
      <c r="C19072" t="str">
        <v>-</v>
      </c>
      <c r="D19072" t="str">
        <v>-</v>
      </c>
      <c r="E19072" t="str">
        <v/>
      </c>
      <c r="F19072" t="str">
        <v>-</v>
      </c>
      <c r="G19072" t="str">
        <v>-</v>
      </c>
    </row>
    <row r="19073">
      <c r="B19073" t="str">
        <v>UBND Ủy ban nhân dân xã Lộc Thái  tỉnh Bình Phước</v>
      </c>
      <c r="C19073" t="str">
        <v>-</v>
      </c>
      <c r="D19073" t="str">
        <v>-</v>
      </c>
      <c r="E19073" t="str">
        <v>-</v>
      </c>
      <c r="F19073" t="str">
        <v>-</v>
      </c>
      <c r="G19073" t="str">
        <v>-</v>
      </c>
    </row>
    <row r="19074">
      <c r="B19074" t="str">
        <v>Công an xã Lộc Điền  tỉnh Bình Phước</v>
      </c>
      <c r="C19074" t="str">
        <v>-</v>
      </c>
      <c r="D19074" t="str">
        <v>-</v>
      </c>
      <c r="E19074" t="str">
        <v/>
      </c>
      <c r="F19074" t="str">
        <v>-</v>
      </c>
      <c r="G19074" t="str">
        <v>-</v>
      </c>
    </row>
    <row r="19075">
      <c r="B19075" t="str">
        <v>UBND Ủy ban nhân dân xã Lộc Điền  tỉnh Bình Phước</v>
      </c>
      <c r="C19075" t="str">
        <v>-</v>
      </c>
      <c r="D19075" t="str">
        <v>-</v>
      </c>
      <c r="E19075" t="str">
        <v>-</v>
      </c>
      <c r="F19075" t="str">
        <v>-</v>
      </c>
      <c r="G19075" t="str">
        <v>-</v>
      </c>
    </row>
    <row r="19076">
      <c r="B19076" t="str">
        <v>Công an xã Lộc Hưng  tỉnh Bình Phước</v>
      </c>
      <c r="C19076" t="str">
        <v>-</v>
      </c>
      <c r="D19076" t="str">
        <v>-</v>
      </c>
      <c r="E19076" t="str">
        <v/>
      </c>
      <c r="F19076" t="str">
        <v>-</v>
      </c>
      <c r="G19076" t="str">
        <v>-</v>
      </c>
    </row>
    <row r="19077">
      <c r="B19077" t="str">
        <v>UBND Ủy ban nhân dân xã Lộc Hưng  tỉnh Bình Phước</v>
      </c>
      <c r="C19077" t="str">
        <v>-</v>
      </c>
      <c r="D19077" t="str">
        <v>-</v>
      </c>
      <c r="E19077" t="str">
        <v>-</v>
      </c>
      <c r="F19077" t="str">
        <v>-</v>
      </c>
      <c r="G19077" t="str">
        <v>-</v>
      </c>
    </row>
    <row r="19078">
      <c r="B19078" t="str">
        <v>Công an xã Lộc Thịnh  tỉnh Bình Phước</v>
      </c>
      <c r="C19078" t="str">
        <v>-</v>
      </c>
      <c r="D19078" t="str">
        <v>-</v>
      </c>
      <c r="E19078" t="str">
        <v/>
      </c>
      <c r="F19078" t="str">
        <v>-</v>
      </c>
      <c r="G19078" t="str">
        <v>-</v>
      </c>
    </row>
    <row r="19079">
      <c r="B19079" t="str">
        <v>UBND Ủy ban nhân dân xã Lộc Thịnh  tỉnh Bình Phước</v>
      </c>
      <c r="C19079" t="str">
        <v>-</v>
      </c>
      <c r="D19079" t="str">
        <v>-</v>
      </c>
      <c r="E19079" t="str">
        <v>-</v>
      </c>
      <c r="F19079" t="str">
        <v>-</v>
      </c>
      <c r="G19079" t="str">
        <v>-</v>
      </c>
    </row>
    <row r="19080">
      <c r="B19080" t="str">
        <v>Công an xã Lộc Khánh  tỉnh Bình Phước</v>
      </c>
      <c r="C19080" t="str">
        <v>-</v>
      </c>
      <c r="D19080" t="str">
        <v>-</v>
      </c>
      <c r="E19080" t="str">
        <v/>
      </c>
      <c r="F19080" t="str">
        <v>-</v>
      </c>
      <c r="G19080" t="str">
        <v>-</v>
      </c>
    </row>
    <row r="19081">
      <c r="B19081" t="str">
        <v>UBND Ủy ban nhân dân xã Lộc Khánh  tỉnh Bình Phước</v>
      </c>
      <c r="C19081" t="str">
        <v>-</v>
      </c>
      <c r="D19081" t="str">
        <v>-</v>
      </c>
      <c r="E19081" t="str">
        <v>-</v>
      </c>
      <c r="F19081" t="str">
        <v>-</v>
      </c>
      <c r="G19081" t="str">
        <v>-</v>
      </c>
    </row>
    <row r="19082">
      <c r="B19082" t="str">
        <v>Công an xã Hưng Phước  tỉnh Bình Phước</v>
      </c>
      <c r="C19082" t="str">
        <v>-</v>
      </c>
      <c r="D19082" t="str">
        <v>-</v>
      </c>
      <c r="E19082" t="str">
        <v/>
      </c>
      <c r="F19082" t="str">
        <v>-</v>
      </c>
      <c r="G19082" t="str">
        <v>-</v>
      </c>
    </row>
    <row r="19083">
      <c r="B19083" t="str">
        <v>UBND Ủy ban nhân dân xã Hưng Phước  tỉnh Bình Phước</v>
      </c>
      <c r="C19083" t="str">
        <v>-</v>
      </c>
      <c r="D19083" t="str">
        <v>-</v>
      </c>
      <c r="E19083" t="str">
        <v>-</v>
      </c>
      <c r="F19083" t="str">
        <v>-</v>
      </c>
      <c r="G19083" t="str">
        <v>-</v>
      </c>
    </row>
    <row r="19084">
      <c r="B19084" t="str">
        <v>Công an xã Phước Thiện  tỉnh Bình Phước</v>
      </c>
      <c r="C19084" t="str">
        <v>-</v>
      </c>
      <c r="D19084" t="str">
        <v>-</v>
      </c>
      <c r="E19084" t="str">
        <v/>
      </c>
      <c r="F19084" t="str">
        <v>-</v>
      </c>
      <c r="G19084" t="str">
        <v>-</v>
      </c>
    </row>
    <row r="19085">
      <c r="B19085" t="str">
        <v>UBND Ủy ban nhân dân xã Phước Thiện  tỉnh Bình Phước</v>
      </c>
      <c r="C19085" t="str">
        <v>-</v>
      </c>
      <c r="D19085" t="str">
        <v>-</v>
      </c>
      <c r="E19085" t="str">
        <v>-</v>
      </c>
      <c r="F19085" t="str">
        <v>-</v>
      </c>
      <c r="G19085" t="str">
        <v>-</v>
      </c>
    </row>
    <row r="19086">
      <c r="B19086" t="str">
        <v>Công an xã Thiện Hưng  tỉnh Bình Phước</v>
      </c>
      <c r="C19086" t="str">
        <v>-</v>
      </c>
      <c r="D19086" t="str">
        <v>-</v>
      </c>
      <c r="E19086" t="str">
        <v/>
      </c>
      <c r="F19086" t="str">
        <v>-</v>
      </c>
      <c r="G19086" t="str">
        <v>-</v>
      </c>
    </row>
    <row r="19087">
      <c r="B19087" t="str">
        <v>UBND Ủy ban nhân dân xã Thiện Hưng  tỉnh Bình Phước</v>
      </c>
      <c r="C19087" t="str">
        <v>-</v>
      </c>
      <c r="D19087" t="str">
        <v>-</v>
      </c>
      <c r="E19087" t="str">
        <v>-</v>
      </c>
      <c r="F19087" t="str">
        <v>-</v>
      </c>
      <c r="G19087" t="str">
        <v>-</v>
      </c>
    </row>
    <row r="19088">
      <c r="B19088" t="str">
        <v>Công an xã Thanh Hòa  tỉnh Bình Phước</v>
      </c>
      <c r="C19088" t="str">
        <v>-</v>
      </c>
      <c r="D19088" t="str">
        <v>-</v>
      </c>
      <c r="E19088" t="str">
        <v/>
      </c>
      <c r="F19088" t="str">
        <v>-</v>
      </c>
      <c r="G19088" t="str">
        <v>-</v>
      </c>
    </row>
    <row r="19089">
      <c r="B19089" t="str">
        <v>UBND Ủy ban nhân dân xã Thanh Hòa  tỉnh Bình Phước</v>
      </c>
      <c r="C19089" t="str">
        <v>-</v>
      </c>
      <c r="D19089" t="str">
        <v>-</v>
      </c>
      <c r="E19089" t="str">
        <v>-</v>
      </c>
      <c r="F19089" t="str">
        <v>-</v>
      </c>
      <c r="G19089" t="str">
        <v>-</v>
      </c>
    </row>
    <row r="19090">
      <c r="B19090" t="str">
        <v>Công an xã Tân Thành  tỉnh Bình Phước</v>
      </c>
      <c r="C19090" t="str">
        <v>-</v>
      </c>
      <c r="D19090" t="str">
        <v>-</v>
      </c>
      <c r="E19090" t="str">
        <v/>
      </c>
      <c r="F19090" t="str">
        <v>-</v>
      </c>
      <c r="G19090" t="str">
        <v>-</v>
      </c>
    </row>
    <row r="19091">
      <c r="B19091" t="str">
        <v>UBND Ủy ban nhân dân xã Tân Thành  tỉnh Bình Phước</v>
      </c>
      <c r="C19091" t="str">
        <v>-</v>
      </c>
      <c r="D19091" t="str">
        <v>-</v>
      </c>
      <c r="E19091" t="str">
        <v>-</v>
      </c>
      <c r="F19091" t="str">
        <v>-</v>
      </c>
      <c r="G19091" t="str">
        <v>-</v>
      </c>
    </row>
    <row r="19092">
      <c r="B19092" t="str">
        <v>Công an xã Tân Tiến  tỉnh Bình Phước</v>
      </c>
      <c r="C19092" t="str">
        <v>-</v>
      </c>
      <c r="D19092" t="str">
        <v>-</v>
      </c>
      <c r="E19092" t="str">
        <v/>
      </c>
      <c r="F19092" t="str">
        <v>-</v>
      </c>
      <c r="G19092" t="str">
        <v>-</v>
      </c>
    </row>
    <row r="19093">
      <c r="B19093" t="str">
        <v>UBND Ủy ban nhân dân xã Tân Tiến  tỉnh Bình Phước</v>
      </c>
      <c r="C19093" t="str">
        <v>-</v>
      </c>
      <c r="D19093" t="str">
        <v>-</v>
      </c>
      <c r="E19093" t="str">
        <v>-</v>
      </c>
      <c r="F19093" t="str">
        <v>-</v>
      </c>
      <c r="G19093" t="str">
        <v>-</v>
      </c>
    </row>
    <row r="19094">
      <c r="B19094" t="str">
        <v>Công an xã Thanh An  tỉnh Bình Phước</v>
      </c>
      <c r="C19094" t="str">
        <v>-</v>
      </c>
      <c r="D19094" t="str">
        <v>-</v>
      </c>
      <c r="E19094" t="str">
        <v/>
      </c>
      <c r="F19094" t="str">
        <v>-</v>
      </c>
      <c r="G19094" t="str">
        <v>-</v>
      </c>
    </row>
    <row r="19095">
      <c r="B19095" t="str">
        <v>UBND Ủy ban nhân dân xã Thanh An  tỉnh Bình Phước</v>
      </c>
      <c r="C19095" t="str">
        <v>-</v>
      </c>
      <c r="D19095" t="str">
        <v>-</v>
      </c>
      <c r="E19095" t="str">
        <v>-</v>
      </c>
      <c r="F19095" t="str">
        <v>-</v>
      </c>
      <c r="G19095" t="str">
        <v>-</v>
      </c>
    </row>
    <row r="19096">
      <c r="B19096" t="str">
        <v>Công an xã An Khương  tỉnh Bình Phước</v>
      </c>
      <c r="C19096" t="str">
        <v>-</v>
      </c>
      <c r="D19096" t="str">
        <v>-</v>
      </c>
      <c r="E19096" t="str">
        <v/>
      </c>
      <c r="F19096" t="str">
        <v>-</v>
      </c>
      <c r="G19096" t="str">
        <v>-</v>
      </c>
    </row>
    <row r="19097">
      <c r="B19097" t="str">
        <v>UBND Ủy ban nhân dân xã An Khương  tỉnh Bình Phước</v>
      </c>
      <c r="C19097" t="str">
        <v>-</v>
      </c>
      <c r="D19097" t="str">
        <v>-</v>
      </c>
      <c r="E19097" t="str">
        <v>-</v>
      </c>
      <c r="F19097" t="str">
        <v>-</v>
      </c>
      <c r="G19097" t="str">
        <v>-</v>
      </c>
    </row>
    <row r="19098">
      <c r="B19098" t="str">
        <v>Công an xã An Phú  tỉnh Bình Phước</v>
      </c>
      <c r="C19098" t="str">
        <v>-</v>
      </c>
      <c r="D19098" t="str">
        <v>-</v>
      </c>
      <c r="E19098" t="str">
        <v/>
      </c>
      <c r="F19098" t="str">
        <v>-</v>
      </c>
      <c r="G19098" t="str">
        <v>-</v>
      </c>
    </row>
    <row r="19099">
      <c r="B19099" t="str">
        <v>UBND Ủy ban nhân dân xã An Phú  tỉnh Bình Phước</v>
      </c>
      <c r="C19099" t="str">
        <v>-</v>
      </c>
      <c r="D19099" t="str">
        <v>-</v>
      </c>
      <c r="E19099" t="str">
        <v>-</v>
      </c>
      <c r="F19099" t="str">
        <v>-</v>
      </c>
      <c r="G19099" t="str">
        <v>-</v>
      </c>
    </row>
    <row r="19100">
      <c r="B19100" t="str">
        <v>Công an xã Tân Lợi  tỉnh Bình Phước</v>
      </c>
      <c r="C19100" t="str">
        <v>-</v>
      </c>
      <c r="D19100" t="str">
        <v>-</v>
      </c>
      <c r="E19100" t="str">
        <v/>
      </c>
      <c r="F19100" t="str">
        <v>-</v>
      </c>
      <c r="G19100" t="str">
        <v>-</v>
      </c>
    </row>
    <row r="19101">
      <c r="B19101" t="str">
        <v>UBND Ủy ban nhân dân xã Tân Lợi  tỉnh Bình Phước</v>
      </c>
      <c r="C19101" t="str">
        <v>-</v>
      </c>
      <c r="D19101" t="str">
        <v>-</v>
      </c>
      <c r="E19101" t="str">
        <v>-</v>
      </c>
      <c r="F19101" t="str">
        <v>-</v>
      </c>
      <c r="G19101" t="str">
        <v>-</v>
      </c>
    </row>
    <row r="19102">
      <c r="B19102" t="str">
        <v>Công an xã Tân Hưng  tỉnh Bình Phước</v>
      </c>
      <c r="C19102" t="str">
        <v>-</v>
      </c>
      <c r="D19102" t="str">
        <v>-</v>
      </c>
      <c r="E19102" t="str">
        <v/>
      </c>
      <c r="F19102" t="str">
        <v>-</v>
      </c>
      <c r="G19102" t="str">
        <v>-</v>
      </c>
    </row>
    <row r="19103">
      <c r="B19103" t="str">
        <v>UBND Ủy ban nhân dân xã Tân Hưng  tỉnh Bình Phước</v>
      </c>
      <c r="C19103" t="str">
        <v>-</v>
      </c>
      <c r="D19103" t="str">
        <v>-</v>
      </c>
      <c r="E19103" t="str">
        <v>-</v>
      </c>
      <c r="F19103" t="str">
        <v>-</v>
      </c>
      <c r="G19103" t="str">
        <v>-</v>
      </c>
    </row>
    <row r="19104">
      <c r="B19104" t="str">
        <v>Công an xã Minh Đức  tỉnh Bình Phước</v>
      </c>
      <c r="C19104" t="str">
        <v>-</v>
      </c>
      <c r="D19104" t="str">
        <v>-</v>
      </c>
      <c r="E19104" t="str">
        <v/>
      </c>
      <c r="F19104" t="str">
        <v>-</v>
      </c>
      <c r="G19104" t="str">
        <v>-</v>
      </c>
    </row>
    <row r="19105">
      <c r="B19105" t="str">
        <v>UBND Ủy ban nhân dân xã Minh Đức  tỉnh Bình Phước</v>
      </c>
      <c r="C19105" t="str">
        <v>-</v>
      </c>
      <c r="D19105" t="str">
        <v>-</v>
      </c>
      <c r="E19105" t="str">
        <v>-</v>
      </c>
      <c r="F19105" t="str">
        <v>-</v>
      </c>
      <c r="G19105" t="str">
        <v>-</v>
      </c>
    </row>
    <row r="19106">
      <c r="B19106" t="str">
        <v>Công an xã Minh Tâm  tỉnh Bình Phước</v>
      </c>
      <c r="C19106" t="str">
        <v>-</v>
      </c>
      <c r="D19106" t="str">
        <v>-</v>
      </c>
      <c r="E19106" t="str">
        <v/>
      </c>
      <c r="F19106" t="str">
        <v>-</v>
      </c>
      <c r="G19106" t="str">
        <v>-</v>
      </c>
    </row>
    <row r="19107">
      <c r="B19107" t="str">
        <v>UBND Ủy ban nhân dân xã Minh Tâm  tỉnh Bình Phước</v>
      </c>
      <c r="C19107" t="str">
        <v>-</v>
      </c>
      <c r="D19107" t="str">
        <v>-</v>
      </c>
      <c r="E19107" t="str">
        <v>-</v>
      </c>
      <c r="F19107" t="str">
        <v>-</v>
      </c>
      <c r="G19107" t="str">
        <v>-</v>
      </c>
    </row>
    <row r="19108">
      <c r="B19108" t="str">
        <v>Công an xã Phước An  tỉnh Bình Phước</v>
      </c>
      <c r="C19108" t="str">
        <v>-</v>
      </c>
      <c r="D19108" t="str">
        <v>-</v>
      </c>
      <c r="E19108" t="str">
        <v/>
      </c>
      <c r="F19108" t="str">
        <v>-</v>
      </c>
      <c r="G19108" t="str">
        <v>-</v>
      </c>
    </row>
    <row r="19109">
      <c r="B19109" t="str">
        <v>UBND Ủy ban nhân dân xã Phước An  tỉnh Bình Phước</v>
      </c>
      <c r="C19109" t="str">
        <v>-</v>
      </c>
      <c r="D19109" t="str">
        <v>-</v>
      </c>
      <c r="E19109" t="str">
        <v>-</v>
      </c>
      <c r="F19109" t="str">
        <v>-</v>
      </c>
      <c r="G19109" t="str">
        <v>-</v>
      </c>
    </row>
    <row r="19110">
      <c r="B19110" t="str">
        <v>Công an xã Thanh Bình  tỉnh Bình Phước</v>
      </c>
      <c r="C19110" t="str">
        <v>-</v>
      </c>
      <c r="D19110" t="str">
        <v>-</v>
      </c>
      <c r="E19110" t="str">
        <v/>
      </c>
      <c r="F19110" t="str">
        <v>-</v>
      </c>
      <c r="G19110" t="str">
        <v>-</v>
      </c>
    </row>
    <row r="19111">
      <c r="B19111" t="str">
        <v>UBND Ủy ban nhân dân xã Thanh Bình  tỉnh Bình Phước</v>
      </c>
      <c r="C19111" t="str">
        <v>-</v>
      </c>
      <c r="D19111" t="str">
        <v>-</v>
      </c>
      <c r="E19111" t="str">
        <v>-</v>
      </c>
      <c r="F19111" t="str">
        <v>-</v>
      </c>
      <c r="G19111" t="str">
        <v>-</v>
      </c>
    </row>
    <row r="19112">
      <c r="B19112" t="str">
        <v>Công an xã Tân Khai  tỉnh Bình Phước</v>
      </c>
      <c r="C19112" t="str">
        <v>-</v>
      </c>
      <c r="D19112" t="str">
        <v>-</v>
      </c>
      <c r="E19112" t="str">
        <v/>
      </c>
      <c r="F19112" t="str">
        <v>-</v>
      </c>
      <c r="G19112" t="str">
        <v>-</v>
      </c>
    </row>
    <row r="19113">
      <c r="B19113" t="str">
        <v>UBND Ủy ban nhân dân xã Tân Khai  tỉnh Bình Phước</v>
      </c>
      <c r="C19113" t="str">
        <v>-</v>
      </c>
      <c r="D19113" t="str">
        <v>-</v>
      </c>
      <c r="E19113" t="str">
        <v>-</v>
      </c>
      <c r="F19113" t="str">
        <v>-</v>
      </c>
      <c r="G19113" t="str">
        <v>-</v>
      </c>
    </row>
    <row r="19114">
      <c r="B19114" t="str">
        <v>Công an xã Đồng Nơ  tỉnh Bình Phước</v>
      </c>
      <c r="C19114" t="str">
        <v>-</v>
      </c>
      <c r="D19114" t="str">
        <v>-</v>
      </c>
      <c r="E19114" t="str">
        <v/>
      </c>
      <c r="F19114" t="str">
        <v>-</v>
      </c>
      <c r="G19114" t="str">
        <v>-</v>
      </c>
    </row>
    <row r="19115">
      <c r="B19115" t="str">
        <v>UBND Ủy ban nhân dân xã Đồng Nơ  tỉnh Bình Phước</v>
      </c>
      <c r="C19115" t="str">
        <v>-</v>
      </c>
      <c r="D19115" t="str">
        <v>-</v>
      </c>
      <c r="E19115" t="str">
        <v>-</v>
      </c>
      <c r="F19115" t="str">
        <v>-</v>
      </c>
      <c r="G19115" t="str">
        <v>-</v>
      </c>
    </row>
    <row r="19116">
      <c r="B19116" t="str">
        <v>Công an xã Tân Hiệp  tỉnh Bình Phước</v>
      </c>
      <c r="C19116" t="str">
        <v>-</v>
      </c>
      <c r="D19116" t="str">
        <v>-</v>
      </c>
      <c r="E19116" t="str">
        <v/>
      </c>
      <c r="F19116" t="str">
        <v>-</v>
      </c>
      <c r="G19116" t="str">
        <v>-</v>
      </c>
    </row>
    <row r="19117">
      <c r="B19117" t="str">
        <v>UBND Ủy ban nhân dân xã Tân Hiệp  tỉnh Bình Phước</v>
      </c>
      <c r="C19117" t="str">
        <v>-</v>
      </c>
      <c r="D19117" t="str">
        <v>-</v>
      </c>
      <c r="E19117" t="str">
        <v>-</v>
      </c>
      <c r="F19117" t="str">
        <v>-</v>
      </c>
      <c r="G19117" t="str">
        <v>-</v>
      </c>
    </row>
    <row r="19118">
      <c r="B19118" t="str">
        <v>Công an xã Tân Quan  tỉnh Bình Phước</v>
      </c>
      <c r="C19118" t="str">
        <v>-</v>
      </c>
      <c r="D19118" t="str">
        <v>-</v>
      </c>
      <c r="E19118" t="str">
        <v/>
      </c>
      <c r="F19118" t="str">
        <v>-</v>
      </c>
      <c r="G19118" t="str">
        <v>-</v>
      </c>
    </row>
    <row r="19119">
      <c r="B19119" t="str">
        <v>UBND Ủy ban nhân dân xã Tân Quan  tỉnh Bình Phước</v>
      </c>
      <c r="C19119" t="str">
        <v>-</v>
      </c>
      <c r="D19119" t="str">
        <v>-</v>
      </c>
      <c r="E19119" t="str">
        <v>-</v>
      </c>
      <c r="F19119" t="str">
        <v>-</v>
      </c>
      <c r="G19119" t="str">
        <v>-</v>
      </c>
    </row>
    <row r="19120">
      <c r="B19120" t="str">
        <v>Công an xã Thuận Lợi  tỉnh Bình Phước</v>
      </c>
      <c r="C19120" t="str">
        <v>-</v>
      </c>
      <c r="D19120" t="str">
        <v>-</v>
      </c>
      <c r="E19120" t="str">
        <v/>
      </c>
      <c r="F19120" t="str">
        <v>-</v>
      </c>
      <c r="G19120" t="str">
        <v>-</v>
      </c>
    </row>
    <row r="19121">
      <c r="B19121" t="str">
        <v>UBND Ủy ban nhân dân xã Thuận Lợi  tỉnh Bình Phước</v>
      </c>
      <c r="C19121" t="str">
        <v>-</v>
      </c>
      <c r="D19121" t="str">
        <v>-</v>
      </c>
      <c r="E19121" t="str">
        <v>-</v>
      </c>
      <c r="F19121" t="str">
        <v>-</v>
      </c>
      <c r="G19121" t="str">
        <v>-</v>
      </c>
    </row>
    <row r="19122">
      <c r="B19122" t="str">
        <v>Công an xã Đồng Tâm  tỉnh Bình Phước</v>
      </c>
      <c r="C19122" t="str">
        <v>-</v>
      </c>
      <c r="D19122" t="str">
        <v>-</v>
      </c>
      <c r="E19122" t="str">
        <v/>
      </c>
      <c r="F19122" t="str">
        <v>-</v>
      </c>
      <c r="G19122" t="str">
        <v>-</v>
      </c>
    </row>
    <row r="19123">
      <c r="B19123" t="str">
        <v>UBND Ủy ban nhân dân xã Đồng Tâm  tỉnh Bình Phước</v>
      </c>
      <c r="C19123" t="str">
        <v>-</v>
      </c>
      <c r="D19123" t="str">
        <v>-</v>
      </c>
      <c r="E19123" t="str">
        <v>-</v>
      </c>
      <c r="F19123" t="str">
        <v>-</v>
      </c>
      <c r="G19123" t="str">
        <v>-</v>
      </c>
    </row>
    <row r="19124">
      <c r="B19124" t="str">
        <v>Công an xã Tân Phước  tỉnh Bình Phước</v>
      </c>
      <c r="C19124" t="str">
        <v>-</v>
      </c>
      <c r="D19124" t="str">
        <v>-</v>
      </c>
      <c r="E19124" t="str">
        <v/>
      </c>
      <c r="F19124" t="str">
        <v>-</v>
      </c>
      <c r="G19124" t="str">
        <v>-</v>
      </c>
    </row>
    <row r="19125">
      <c r="B19125" t="str">
        <v>UBND Ủy ban nhân dân xã Tân Phước  tỉnh Bình Phước</v>
      </c>
      <c r="C19125" t="str">
        <v>-</v>
      </c>
      <c r="D19125" t="str">
        <v>-</v>
      </c>
      <c r="E19125" t="str">
        <v>-</v>
      </c>
      <c r="F19125" t="str">
        <v>-</v>
      </c>
      <c r="G19125" t="str">
        <v>-</v>
      </c>
    </row>
    <row r="19126">
      <c r="B19126" t="str">
        <v>Công an xã Tân Hưng  tỉnh Bình Phước</v>
      </c>
      <c r="C19126" t="str">
        <v>-</v>
      </c>
      <c r="D19126" t="str">
        <v>-</v>
      </c>
      <c r="E19126" t="str">
        <v/>
      </c>
      <c r="F19126" t="str">
        <v>-</v>
      </c>
      <c r="G19126" t="str">
        <v>-</v>
      </c>
    </row>
    <row r="19127">
      <c r="B19127" t="str">
        <v>UBND Ủy ban nhân dân xã Tân Hưng  tỉnh Bình Phước</v>
      </c>
      <c r="C19127" t="str">
        <v>-</v>
      </c>
      <c r="D19127" t="str">
        <v>-</v>
      </c>
      <c r="E19127" t="str">
        <v>-</v>
      </c>
      <c r="F19127" t="str">
        <v>-</v>
      </c>
      <c r="G19127" t="str">
        <v>-</v>
      </c>
    </row>
    <row r="19128">
      <c r="B19128" t="str">
        <v>Công an xã Tân Lợi  tỉnh Bình Phước</v>
      </c>
      <c r="C19128" t="str">
        <v>-</v>
      </c>
      <c r="D19128" t="str">
        <v>-</v>
      </c>
      <c r="E19128" t="str">
        <v/>
      </c>
      <c r="F19128" t="str">
        <v>-</v>
      </c>
      <c r="G19128" t="str">
        <v>-</v>
      </c>
    </row>
    <row r="19129">
      <c r="B19129" t="str">
        <v>UBND Ủy ban nhân dân xã Tân Lợi  tỉnh Bình Phước</v>
      </c>
      <c r="C19129" t="str">
        <v>-</v>
      </c>
      <c r="D19129" t="str">
        <v>-</v>
      </c>
      <c r="E19129" t="str">
        <v>-</v>
      </c>
      <c r="F19129" t="str">
        <v>-</v>
      </c>
      <c r="G19129" t="str">
        <v>-</v>
      </c>
    </row>
    <row r="19130">
      <c r="B19130" t="str">
        <v>Công an xã Tân Lập  tỉnh Bình Phước</v>
      </c>
      <c r="C19130" t="str">
        <v>-</v>
      </c>
      <c r="D19130" t="str">
        <v>-</v>
      </c>
      <c r="E19130" t="str">
        <v/>
      </c>
      <c r="F19130" t="str">
        <v>-</v>
      </c>
      <c r="G19130" t="str">
        <v>-</v>
      </c>
    </row>
    <row r="19131">
      <c r="B19131" t="str">
        <v>UBND Ủy ban nhân dân xã Tân Lập  tỉnh Bình Phước</v>
      </c>
      <c r="C19131" t="str">
        <v>-</v>
      </c>
      <c r="D19131" t="str">
        <v>-</v>
      </c>
      <c r="E19131" t="str">
        <v>-</v>
      </c>
      <c r="F19131" t="str">
        <v>-</v>
      </c>
      <c r="G19131" t="str">
        <v>-</v>
      </c>
    </row>
    <row r="19132">
      <c r="B19132" t="str">
        <v>Công an xã Tân Hòa  tỉnh Bình Phước</v>
      </c>
      <c r="C19132" t="str">
        <v>-</v>
      </c>
      <c r="D19132" t="str">
        <v>-</v>
      </c>
      <c r="E19132" t="str">
        <v/>
      </c>
      <c r="F19132" t="str">
        <v>-</v>
      </c>
      <c r="G19132" t="str">
        <v>-</v>
      </c>
    </row>
    <row r="19133">
      <c r="B19133" t="str">
        <v>UBND Ủy ban nhân dân xã Tân Hòa  tỉnh Bình Phước</v>
      </c>
      <c r="C19133" t="str">
        <v>-</v>
      </c>
      <c r="D19133" t="str">
        <v>-</v>
      </c>
      <c r="E19133" t="str">
        <v>-</v>
      </c>
      <c r="F19133" t="str">
        <v>-</v>
      </c>
      <c r="G19133" t="str">
        <v>-</v>
      </c>
    </row>
    <row r="19134">
      <c r="B19134" t="str">
        <v>Công an xã Thuận Phú  tỉnh Bình Phước</v>
      </c>
      <c r="C19134" t="str">
        <v>-</v>
      </c>
      <c r="D19134" t="str">
        <v>-</v>
      </c>
      <c r="E19134" t="str">
        <v/>
      </c>
      <c r="F19134" t="str">
        <v>-</v>
      </c>
      <c r="G19134" t="str">
        <v>-</v>
      </c>
    </row>
    <row r="19135">
      <c r="B19135" t="str">
        <v>UBND Ủy ban nhân dân xã Thuận Phú  tỉnh Bình Phước</v>
      </c>
      <c r="C19135" t="str">
        <v>-</v>
      </c>
      <c r="D19135" t="str">
        <v>-</v>
      </c>
      <c r="E19135" t="str">
        <v>-</v>
      </c>
      <c r="F19135" t="str">
        <v>-</v>
      </c>
      <c r="G19135" t="str">
        <v>-</v>
      </c>
    </row>
    <row r="19136">
      <c r="B19136" t="str">
        <v>Công an xã Đồng Tiến  tỉnh Bình Phước</v>
      </c>
      <c r="C19136" t="str">
        <v>-</v>
      </c>
      <c r="D19136" t="str">
        <v>-</v>
      </c>
      <c r="E19136" t="str">
        <v/>
      </c>
      <c r="F19136" t="str">
        <v>-</v>
      </c>
      <c r="G19136" t="str">
        <v>-</v>
      </c>
    </row>
    <row r="19137">
      <c r="B19137" t="str">
        <v>UBND Ủy ban nhân dân xã Đồng Tiến  tỉnh Bình Phước</v>
      </c>
      <c r="C19137" t="str">
        <v>-</v>
      </c>
      <c r="D19137" t="str">
        <v>-</v>
      </c>
      <c r="E19137" t="str">
        <v>-</v>
      </c>
      <c r="F19137" t="str">
        <v>-</v>
      </c>
      <c r="G19137" t="str">
        <v>-</v>
      </c>
    </row>
    <row r="19138">
      <c r="B19138" t="str">
        <v>Công an xã Tân Tiến  tỉnh Bình Phước</v>
      </c>
      <c r="C19138" t="str">
        <v>-</v>
      </c>
      <c r="D19138" t="str">
        <v>-</v>
      </c>
      <c r="E19138" t="str">
        <v/>
      </c>
      <c r="F19138" t="str">
        <v>-</v>
      </c>
      <c r="G19138" t="str">
        <v>-</v>
      </c>
    </row>
    <row r="19139">
      <c r="B19139" t="str">
        <v>UBND Ủy ban nhân dân xã Tân Tiến  tỉnh Bình Phước</v>
      </c>
      <c r="C19139" t="str">
        <v>-</v>
      </c>
      <c r="D19139" t="str">
        <v>-</v>
      </c>
      <c r="E19139" t="str">
        <v>-</v>
      </c>
      <c r="F19139" t="str">
        <v>-</v>
      </c>
      <c r="G19139" t="str">
        <v>-</v>
      </c>
    </row>
    <row r="19140">
      <c r="B19140" t="str">
        <v>Công an xã Đường 10  tỉnh Bình Phước</v>
      </c>
      <c r="C19140" t="str">
        <v>-</v>
      </c>
      <c r="D19140" t="str">
        <v>-</v>
      </c>
      <c r="E19140" t="str">
        <v/>
      </c>
      <c r="F19140" t="str">
        <v>-</v>
      </c>
      <c r="G19140" t="str">
        <v>-</v>
      </c>
    </row>
    <row r="19141">
      <c r="B19141" t="str">
        <v>UBND Ủy ban nhân dân xã Đường 10  tỉnh Bình Phước</v>
      </c>
      <c r="C19141" t="str">
        <v>-</v>
      </c>
      <c r="D19141" t="str">
        <v>-</v>
      </c>
      <c r="E19141" t="str">
        <v>-</v>
      </c>
      <c r="F19141" t="str">
        <v>-</v>
      </c>
      <c r="G19141" t="str">
        <v>-</v>
      </c>
    </row>
    <row r="19142">
      <c r="B19142" t="str">
        <v>Công an xã Đak Nhau  tỉnh Bình Phước</v>
      </c>
      <c r="C19142" t="str">
        <v>-</v>
      </c>
      <c r="D19142" t="str">
        <v>-</v>
      </c>
      <c r="E19142" t="str">
        <v/>
      </c>
      <c r="F19142" t="str">
        <v>-</v>
      </c>
      <c r="G19142" t="str">
        <v>-</v>
      </c>
    </row>
    <row r="19143">
      <c r="B19143" t="str">
        <v>UBND Ủy ban nhân dân xã Đak Nhau  tỉnh Bình Phước</v>
      </c>
      <c r="C19143" t="str">
        <v>-</v>
      </c>
      <c r="D19143" t="str">
        <v>-</v>
      </c>
      <c r="E19143" t="str">
        <v>-</v>
      </c>
      <c r="F19143" t="str">
        <v>-</v>
      </c>
      <c r="G19143" t="str">
        <v>-</v>
      </c>
    </row>
    <row r="19144">
      <c r="B19144" t="str">
        <v>Công an xã Phú Sơn  tỉnh Bình Phước</v>
      </c>
      <c r="C19144" t="str">
        <v>-</v>
      </c>
      <c r="D19144" t="str">
        <v>-</v>
      </c>
      <c r="E19144" t="str">
        <v/>
      </c>
      <c r="F19144" t="str">
        <v>-</v>
      </c>
      <c r="G19144" t="str">
        <v>-</v>
      </c>
    </row>
    <row r="19145">
      <c r="B19145" t="str">
        <v>UBND Ủy ban nhân dân xã Phú Sơn  tỉnh Bình Phước</v>
      </c>
      <c r="C19145" t="str">
        <v>-</v>
      </c>
      <c r="D19145" t="str">
        <v>-</v>
      </c>
      <c r="E19145" t="str">
        <v>-</v>
      </c>
      <c r="F19145" t="str">
        <v>-</v>
      </c>
      <c r="G19145" t="str">
        <v>-</v>
      </c>
    </row>
    <row r="19146">
      <c r="B19146" t="str">
        <v>Công an xã Thọ Sơn  tỉnh Bình Phước</v>
      </c>
      <c r="C19146" t="str">
        <v>-</v>
      </c>
      <c r="D19146" t="str">
        <v>-</v>
      </c>
      <c r="E19146" t="str">
        <v/>
      </c>
      <c r="F19146" t="str">
        <v>-</v>
      </c>
      <c r="G19146" t="str">
        <v>-</v>
      </c>
    </row>
    <row r="19147">
      <c r="B19147" t="str">
        <v>UBND Ủy ban nhân dân xã Thọ Sơn  tỉnh Bình Phước</v>
      </c>
      <c r="C19147" t="str">
        <v>-</v>
      </c>
      <c r="D19147" t="str">
        <v>-</v>
      </c>
      <c r="E19147" t="str">
        <v>-</v>
      </c>
      <c r="F19147" t="str">
        <v>-</v>
      </c>
      <c r="G19147" t="str">
        <v>-</v>
      </c>
    </row>
    <row r="19148">
      <c r="B19148" t="str">
        <v>Công an xã Bình Minh  tỉnh Bình Phước</v>
      </c>
      <c r="C19148" t="str">
        <v>-</v>
      </c>
      <c r="D19148" t="str">
        <v>-</v>
      </c>
      <c r="E19148" t="str">
        <v/>
      </c>
      <c r="F19148" t="str">
        <v>-</v>
      </c>
      <c r="G19148" t="str">
        <v>-</v>
      </c>
    </row>
    <row r="19149">
      <c r="B19149" t="str">
        <v>UBND Ủy ban nhân dân xã Bình Minh  tỉnh Bình Phước</v>
      </c>
      <c r="C19149" t="str">
        <v>-</v>
      </c>
      <c r="D19149" t="str">
        <v>-</v>
      </c>
      <c r="E19149" t="str">
        <v>-</v>
      </c>
      <c r="F19149" t="str">
        <v>-</v>
      </c>
      <c r="G19149" t="str">
        <v>-</v>
      </c>
    </row>
    <row r="19150">
      <c r="B19150" t="str">
        <v>Công an xã Bom Bo  tỉnh Bình Phước</v>
      </c>
      <c r="C19150" t="str">
        <v>-</v>
      </c>
      <c r="D19150" t="str">
        <v>-</v>
      </c>
      <c r="E19150" t="str">
        <v/>
      </c>
      <c r="F19150" t="str">
        <v>-</v>
      </c>
      <c r="G19150" t="str">
        <v>-</v>
      </c>
    </row>
    <row r="19151">
      <c r="B19151" t="str">
        <v>UBND Ủy ban nhân dân xã Bom Bo  tỉnh Bình Phước</v>
      </c>
      <c r="C19151" t="str">
        <v>-</v>
      </c>
      <c r="D19151" t="str">
        <v>-</v>
      </c>
      <c r="E19151" t="str">
        <v>-</v>
      </c>
      <c r="F19151" t="str">
        <v>-</v>
      </c>
      <c r="G19151" t="str">
        <v>-</v>
      </c>
    </row>
    <row r="19152">
      <c r="B19152" t="str">
        <v>Công an xã Minh Hưng  tỉnh Bình Phước</v>
      </c>
      <c r="C19152" t="str">
        <v>-</v>
      </c>
      <c r="D19152" t="str">
        <v>-</v>
      </c>
      <c r="E19152" t="str">
        <v/>
      </c>
      <c r="F19152" t="str">
        <v>-</v>
      </c>
      <c r="G19152" t="str">
        <v>-</v>
      </c>
    </row>
    <row r="19153">
      <c r="B19153" t="str">
        <v>UBND Ủy ban nhân dân xã Minh Hưng  tỉnh Bình Phước</v>
      </c>
      <c r="C19153" t="str">
        <v>-</v>
      </c>
      <c r="D19153" t="str">
        <v>-</v>
      </c>
      <c r="E19153" t="str">
        <v>-</v>
      </c>
      <c r="F19153" t="str">
        <v>-</v>
      </c>
      <c r="G19153" t="str">
        <v>-</v>
      </c>
    </row>
    <row r="19154">
      <c r="B19154" t="str">
        <v>Công an xã Đoàn Kết  tỉnh Bình Phước</v>
      </c>
      <c r="C19154" t="str">
        <v>-</v>
      </c>
      <c r="D19154" t="str">
        <v>-</v>
      </c>
      <c r="E19154" t="str">
        <v/>
      </c>
      <c r="F19154" t="str">
        <v>-</v>
      </c>
      <c r="G19154" t="str">
        <v>-</v>
      </c>
    </row>
    <row r="19155">
      <c r="B19155" t="str">
        <v>UBND Ủy ban nhân dân xã Đoàn Kết  tỉnh Bình Phước</v>
      </c>
      <c r="C19155" t="str">
        <v>-</v>
      </c>
      <c r="D19155" t="str">
        <v>-</v>
      </c>
      <c r="E19155" t="str">
        <v>-</v>
      </c>
      <c r="F19155" t="str">
        <v>-</v>
      </c>
      <c r="G19155" t="str">
        <v>-</v>
      </c>
    </row>
    <row r="19156">
      <c r="B19156" t="str">
        <v>Công an xã Đồng Nai  tỉnh Bình Phước</v>
      </c>
      <c r="C19156" t="str">
        <v>-</v>
      </c>
      <c r="D19156" t="str">
        <v>-</v>
      </c>
      <c r="E19156" t="str">
        <v/>
      </c>
      <c r="F19156" t="str">
        <v>-</v>
      </c>
      <c r="G19156" t="str">
        <v>-</v>
      </c>
    </row>
    <row r="19157">
      <c r="B19157" t="str">
        <v>UBND Ủy ban nhân dân xã Đồng Nai  tỉnh Bình Phước</v>
      </c>
      <c r="C19157" t="str">
        <v>-</v>
      </c>
      <c r="D19157" t="str">
        <v>-</v>
      </c>
      <c r="E19157" t="str">
        <v>-</v>
      </c>
      <c r="F19157" t="str">
        <v>-</v>
      </c>
      <c r="G19157" t="str">
        <v>-</v>
      </c>
    </row>
    <row r="19158">
      <c r="B19158" t="str">
        <v>Công an xã Đức Liễu  tỉnh Bình Phước</v>
      </c>
      <c r="C19158" t="str">
        <v>-</v>
      </c>
      <c r="D19158" t="str">
        <v>-</v>
      </c>
      <c r="E19158" t="str">
        <v/>
      </c>
      <c r="F19158" t="str">
        <v>-</v>
      </c>
      <c r="G19158" t="str">
        <v>-</v>
      </c>
    </row>
    <row r="19159">
      <c r="B19159" t="str">
        <v>UBND Ủy ban nhân dân xã Đức Liễu  tỉnh Bình Phước</v>
      </c>
      <c r="C19159" t="str">
        <v>-</v>
      </c>
      <c r="D19159" t="str">
        <v>-</v>
      </c>
      <c r="E19159" t="str">
        <v>-</v>
      </c>
      <c r="F19159" t="str">
        <v>-</v>
      </c>
      <c r="G19159" t="str">
        <v>-</v>
      </c>
    </row>
    <row r="19160">
      <c r="B19160" t="str">
        <v>Công an xã Thống Nhất  tỉnh Bình Phước</v>
      </c>
      <c r="C19160" t="str">
        <v>-</v>
      </c>
      <c r="D19160" t="str">
        <v>-</v>
      </c>
      <c r="E19160" t="str">
        <v/>
      </c>
      <c r="F19160" t="str">
        <v>-</v>
      </c>
      <c r="G19160" t="str">
        <v>-</v>
      </c>
    </row>
    <row r="19161">
      <c r="B19161" t="str">
        <v>UBND Ủy ban nhân dân xã Thống Nhất  tỉnh Bình Phước</v>
      </c>
      <c r="C19161" t="str">
        <v>-</v>
      </c>
      <c r="D19161" t="str">
        <v>-</v>
      </c>
      <c r="E19161" t="str">
        <v>-</v>
      </c>
      <c r="F19161" t="str">
        <v>-</v>
      </c>
      <c r="G19161" t="str">
        <v>-</v>
      </c>
    </row>
    <row r="19162">
      <c r="B19162" t="str">
        <v>Công an xã Nghĩa Trung  tỉnh Bình Phước</v>
      </c>
      <c r="C19162" t="str">
        <v>-</v>
      </c>
      <c r="D19162" t="str">
        <v>-</v>
      </c>
      <c r="E19162" t="str">
        <v/>
      </c>
      <c r="F19162" t="str">
        <v>-</v>
      </c>
      <c r="G19162" t="str">
        <v>-</v>
      </c>
    </row>
    <row r="19163">
      <c r="B19163" t="str">
        <v>UBND Ủy ban nhân dân xã Nghĩa Trung  tỉnh Bình Phước</v>
      </c>
      <c r="C19163" t="str">
        <v>-</v>
      </c>
      <c r="D19163" t="str">
        <v>-</v>
      </c>
      <c r="E19163" t="str">
        <v>-</v>
      </c>
      <c r="F19163" t="str">
        <v>-</v>
      </c>
      <c r="G19163" t="str">
        <v>-</v>
      </c>
    </row>
    <row r="19164">
      <c r="B19164" t="str">
        <v>Công an xã Nghĩa Bình  tỉnh Bình Phước</v>
      </c>
      <c r="C19164" t="str">
        <v>-</v>
      </c>
      <c r="D19164" t="str">
        <v>-</v>
      </c>
      <c r="E19164" t="str">
        <v/>
      </c>
      <c r="F19164" t="str">
        <v>-</v>
      </c>
      <c r="G19164" t="str">
        <v>-</v>
      </c>
    </row>
    <row r="19165">
      <c r="B19165" t="str">
        <v>UBND Ủy ban nhân dân xã Nghĩa Bình  tỉnh Bình Phước</v>
      </c>
      <c r="C19165" t="str">
        <v>-</v>
      </c>
      <c r="D19165" t="str">
        <v>-</v>
      </c>
      <c r="E19165" t="str">
        <v>-</v>
      </c>
      <c r="F19165" t="str">
        <v>-</v>
      </c>
      <c r="G19165" t="str">
        <v>-</v>
      </c>
    </row>
    <row r="19166">
      <c r="B19166" t="str">
        <v>Công an xã Đăng Hà  tỉnh Bình Phước</v>
      </c>
      <c r="C19166" t="str">
        <v>-</v>
      </c>
      <c r="D19166" t="str">
        <v>-</v>
      </c>
      <c r="E19166" t="str">
        <v/>
      </c>
      <c r="F19166" t="str">
        <v>-</v>
      </c>
      <c r="G19166" t="str">
        <v>-</v>
      </c>
    </row>
    <row r="19167">
      <c r="B19167" t="str">
        <v>UBND Ủy ban nhân dân xã Đăng Hà  tỉnh Bình Phước</v>
      </c>
      <c r="C19167" t="str">
        <v>-</v>
      </c>
      <c r="D19167" t="str">
        <v>-</v>
      </c>
      <c r="E19167" t="str">
        <v>-</v>
      </c>
      <c r="F19167" t="str">
        <v>-</v>
      </c>
      <c r="G19167" t="str">
        <v>-</v>
      </c>
    </row>
    <row r="19168">
      <c r="B19168" t="str">
        <v>Công an xã Phước Sơn  tỉnh Bình Phước</v>
      </c>
      <c r="C19168" t="str">
        <v>-</v>
      </c>
      <c r="D19168" t="str">
        <v>-</v>
      </c>
      <c r="E19168" t="str">
        <v/>
      </c>
      <c r="F19168" t="str">
        <v>-</v>
      </c>
      <c r="G19168" t="str">
        <v>-</v>
      </c>
    </row>
    <row r="19169">
      <c r="B19169" t="str">
        <v>UBND Ủy ban nhân dân xã Phước Sơn  tỉnh Bình Phước</v>
      </c>
      <c r="C19169" t="str">
        <v>-</v>
      </c>
      <c r="D19169" t="str">
        <v>-</v>
      </c>
      <c r="E19169" t="str">
        <v>-</v>
      </c>
      <c r="F19169" t="str">
        <v>-</v>
      </c>
      <c r="G19169" t="str">
        <v>-</v>
      </c>
    </row>
    <row r="19170">
      <c r="B19170" t="str">
        <v>Công an xã Thành Tâm  tỉnh Bình Phước</v>
      </c>
      <c r="C19170" t="str">
        <v>-</v>
      </c>
      <c r="D19170" t="str">
        <v>-</v>
      </c>
      <c r="E19170" t="str">
        <v/>
      </c>
      <c r="F19170" t="str">
        <v>-</v>
      </c>
      <c r="G19170" t="str">
        <v>-</v>
      </c>
    </row>
    <row r="19171">
      <c r="B19171" t="str">
        <v>UBND Ủy ban nhân dân xã Thành Tâm  tỉnh Bình Phước</v>
      </c>
      <c r="C19171" t="str">
        <v>-</v>
      </c>
      <c r="D19171" t="str">
        <v>-</v>
      </c>
      <c r="E19171" t="str">
        <v>-</v>
      </c>
      <c r="F19171" t="str">
        <v>-</v>
      </c>
      <c r="G19171" t="str">
        <v>-</v>
      </c>
    </row>
    <row r="19172">
      <c r="B19172" t="str">
        <v>Công an xã Minh Lập  tỉnh Bình Phước</v>
      </c>
      <c r="C19172" t="str">
        <v>-</v>
      </c>
      <c r="D19172" t="str">
        <v>-</v>
      </c>
      <c r="E19172" t="str">
        <v/>
      </c>
      <c r="F19172" t="str">
        <v>-</v>
      </c>
      <c r="G19172" t="str">
        <v>-</v>
      </c>
    </row>
    <row r="19173">
      <c r="B19173" t="str">
        <v>UBND Ủy ban nhân dân xã Minh Lập  tỉnh Bình Phước</v>
      </c>
      <c r="C19173" t="str">
        <v>-</v>
      </c>
      <c r="D19173" t="str">
        <v>-</v>
      </c>
      <c r="E19173" t="str">
        <v>-</v>
      </c>
      <c r="F19173" t="str">
        <v>-</v>
      </c>
      <c r="G19173" t="str">
        <v>-</v>
      </c>
    </row>
    <row r="19174">
      <c r="B19174" t="str">
        <v>Công an xã Quang Minh  tỉnh Bình Phước</v>
      </c>
      <c r="C19174" t="str">
        <v>-</v>
      </c>
      <c r="D19174" t="str">
        <v>-</v>
      </c>
      <c r="E19174" t="str">
        <v/>
      </c>
      <c r="F19174" t="str">
        <v>-</v>
      </c>
      <c r="G19174" t="str">
        <v>-</v>
      </c>
    </row>
    <row r="19175">
      <c r="B19175" t="str">
        <v>UBND Ủy ban nhân dân xã Quang Minh  tỉnh Bình Phước</v>
      </c>
      <c r="C19175" t="str">
        <v>-</v>
      </c>
      <c r="D19175" t="str">
        <v>-</v>
      </c>
      <c r="E19175" t="str">
        <v>-</v>
      </c>
      <c r="F19175" t="str">
        <v>-</v>
      </c>
      <c r="G19175" t="str">
        <v>-</v>
      </c>
    </row>
    <row r="19176">
      <c r="B19176" t="str">
        <v>Công an xã Minh Hưng  tỉnh Bình Phước</v>
      </c>
      <c r="C19176" t="str">
        <v>-</v>
      </c>
      <c r="D19176" t="str">
        <v>-</v>
      </c>
      <c r="E19176" t="str">
        <v/>
      </c>
      <c r="F19176" t="str">
        <v>-</v>
      </c>
      <c r="G19176" t="str">
        <v>-</v>
      </c>
    </row>
    <row r="19177">
      <c r="B19177" t="str">
        <v>UBND Ủy ban nhân dân xã Minh Hưng  tỉnh Bình Phước</v>
      </c>
      <c r="C19177" t="str">
        <v>-</v>
      </c>
      <c r="D19177" t="str">
        <v>-</v>
      </c>
      <c r="E19177" t="str">
        <v>-</v>
      </c>
      <c r="F19177" t="str">
        <v>-</v>
      </c>
      <c r="G19177" t="str">
        <v>-</v>
      </c>
    </row>
    <row r="19178">
      <c r="B19178" t="str">
        <v>Công an xã Minh Long  tỉnh Bình Phước</v>
      </c>
      <c r="C19178" t="str">
        <v>-</v>
      </c>
      <c r="D19178" t="str">
        <v>-</v>
      </c>
      <c r="E19178" t="str">
        <v/>
      </c>
      <c r="F19178" t="str">
        <v>-</v>
      </c>
      <c r="G19178" t="str">
        <v>-</v>
      </c>
    </row>
    <row r="19179">
      <c r="B19179" t="str">
        <v>UBND Ủy ban nhân dân xã Minh Long  tỉnh Bình Phước</v>
      </c>
      <c r="C19179" t="str">
        <v>-</v>
      </c>
      <c r="D19179" t="str">
        <v>-</v>
      </c>
      <c r="E19179" t="str">
        <v>-</v>
      </c>
      <c r="F19179" t="str">
        <v>-</v>
      </c>
      <c r="G19179" t="str">
        <v>-</v>
      </c>
    </row>
    <row r="19180">
      <c r="B19180" t="str">
        <v>Công an xã Minh Thành  tỉnh Bình Phước</v>
      </c>
      <c r="C19180" t="str">
        <v>-</v>
      </c>
      <c r="D19180" t="str">
        <v>-</v>
      </c>
      <c r="E19180" t="str">
        <v/>
      </c>
      <c r="F19180" t="str">
        <v>-</v>
      </c>
      <c r="G19180" t="str">
        <v>-</v>
      </c>
    </row>
    <row r="19181">
      <c r="B19181" t="str">
        <v>UBND Ủy ban nhân dân xã Minh Thành  tỉnh Bình Phước</v>
      </c>
      <c r="C19181" t="str">
        <v>-</v>
      </c>
      <c r="D19181" t="str">
        <v>-</v>
      </c>
      <c r="E19181" t="str">
        <v>-</v>
      </c>
      <c r="F19181" t="str">
        <v>-</v>
      </c>
      <c r="G19181" t="str">
        <v>-</v>
      </c>
    </row>
    <row r="19182">
      <c r="B19182" t="str">
        <v>Công an xã Nha Bích  tỉnh Bình Phước</v>
      </c>
      <c r="C19182" t="str">
        <v>-</v>
      </c>
      <c r="D19182" t="str">
        <v>-</v>
      </c>
      <c r="E19182" t="str">
        <v/>
      </c>
      <c r="F19182" t="str">
        <v>-</v>
      </c>
      <c r="G19182" t="str">
        <v>-</v>
      </c>
    </row>
    <row r="19183">
      <c r="B19183" t="str">
        <v>UBND Ủy ban nhân dân xã Nha Bích  tỉnh Bình Phước</v>
      </c>
      <c r="C19183" t="str">
        <v>-</v>
      </c>
      <c r="D19183" t="str">
        <v>-</v>
      </c>
      <c r="E19183" t="str">
        <v>-</v>
      </c>
      <c r="F19183" t="str">
        <v>-</v>
      </c>
      <c r="G19183" t="str">
        <v>-</v>
      </c>
    </row>
    <row r="19184">
      <c r="B19184" t="str">
        <v>Công an xã Minh Thắng  tỉnh Bình Phước</v>
      </c>
      <c r="C19184" t="str">
        <v>-</v>
      </c>
      <c r="D19184" t="str">
        <v>-</v>
      </c>
      <c r="E19184" t="str">
        <v/>
      </c>
      <c r="F19184" t="str">
        <v>-</v>
      </c>
      <c r="G19184" t="str">
        <v>-</v>
      </c>
    </row>
    <row r="19185">
      <c r="B19185" t="str">
        <v>UBND Ủy ban nhân dân xã Minh Thắng  tỉnh Bình Phước</v>
      </c>
      <c r="C19185" t="str">
        <v>-</v>
      </c>
      <c r="D19185" t="str">
        <v>-</v>
      </c>
      <c r="E19185" t="str">
        <v>-</v>
      </c>
      <c r="F19185" t="str">
        <v>-</v>
      </c>
      <c r="G19185" t="str">
        <v>-</v>
      </c>
    </row>
    <row r="19186">
      <c r="B19186" t="str">
        <v>Công an xã Long Bình  tỉnh Bình Phước</v>
      </c>
      <c r="C19186" t="str">
        <v>-</v>
      </c>
      <c r="D19186" t="str">
        <v>-</v>
      </c>
      <c r="E19186" t="str">
        <v/>
      </c>
      <c r="F19186" t="str">
        <v>-</v>
      </c>
      <c r="G19186" t="str">
        <v>-</v>
      </c>
    </row>
    <row r="19187">
      <c r="B19187" t="str">
        <v>UBND Ủy ban nhân dân xã Long Bình  tỉnh Bình Phước</v>
      </c>
      <c r="C19187" t="str">
        <v>-</v>
      </c>
      <c r="D19187" t="str">
        <v>-</v>
      </c>
      <c r="E19187" t="str">
        <v>-</v>
      </c>
      <c r="F19187" t="str">
        <v>-</v>
      </c>
      <c r="G19187" t="str">
        <v>-</v>
      </c>
    </row>
    <row r="19188">
      <c r="B19188" t="str">
        <v>Công an xã Bình Tân  tỉnh Bình Phước</v>
      </c>
      <c r="C19188" t="str">
        <v>-</v>
      </c>
      <c r="D19188" t="str">
        <v>-</v>
      </c>
      <c r="E19188" t="str">
        <v/>
      </c>
      <c r="F19188" t="str">
        <v>-</v>
      </c>
      <c r="G19188" t="str">
        <v>-</v>
      </c>
    </row>
    <row r="19189">
      <c r="B19189" t="str">
        <v>UBND Ủy ban nhân dân xã Bình Tân  tỉnh Bình Phước</v>
      </c>
      <c r="C19189" t="str">
        <v>-</v>
      </c>
      <c r="D19189" t="str">
        <v>-</v>
      </c>
      <c r="E19189" t="str">
        <v>-</v>
      </c>
      <c r="F19189" t="str">
        <v>-</v>
      </c>
      <c r="G19189" t="str">
        <v>-</v>
      </c>
    </row>
    <row r="19190">
      <c r="B19190" t="str">
        <v>Công an xã Bình Sơn  tỉnh Bình Phước</v>
      </c>
      <c r="C19190" t="str">
        <v>-</v>
      </c>
      <c r="D19190" t="str">
        <v>-</v>
      </c>
      <c r="E19190" t="str">
        <v/>
      </c>
      <c r="F19190" t="str">
        <v>-</v>
      </c>
      <c r="G19190" t="str">
        <v>-</v>
      </c>
    </row>
    <row r="19191">
      <c r="B19191" t="str">
        <v>UBND Ủy ban nhân dân xã Bình Sơn  tỉnh Bình Phước</v>
      </c>
      <c r="C19191" t="str">
        <v>-</v>
      </c>
      <c r="D19191" t="str">
        <v>-</v>
      </c>
      <c r="E19191" t="str">
        <v>-</v>
      </c>
      <c r="F19191" t="str">
        <v>-</v>
      </c>
      <c r="G19191" t="str">
        <v>-</v>
      </c>
    </row>
    <row r="19192">
      <c r="B19192" t="str">
        <v>Công an xã Long Hưng  tỉnh Bình Phước</v>
      </c>
      <c r="C19192" t="str">
        <v>-</v>
      </c>
      <c r="D19192" t="str">
        <v>-</v>
      </c>
      <c r="E19192" t="str">
        <v/>
      </c>
      <c r="F19192" t="str">
        <v>-</v>
      </c>
      <c r="G19192" t="str">
        <v>-</v>
      </c>
    </row>
    <row r="19193">
      <c r="B19193" t="str">
        <v>UBND Ủy ban nhân dân xã Long Hưng  tỉnh Bình Phước</v>
      </c>
      <c r="C19193" t="str">
        <v>-</v>
      </c>
      <c r="D19193" t="str">
        <v>-</v>
      </c>
      <c r="E19193" t="str">
        <v>-</v>
      </c>
      <c r="F19193" t="str">
        <v>-</v>
      </c>
      <c r="G19193" t="str">
        <v>-</v>
      </c>
    </row>
    <row r="19194">
      <c r="B19194" t="str">
        <v>Công an xã Phước Tân  tỉnh Bình Phước</v>
      </c>
      <c r="C19194" t="str">
        <v>-</v>
      </c>
      <c r="D19194" t="str">
        <v>-</v>
      </c>
      <c r="E19194" t="str">
        <v/>
      </c>
      <c r="F19194" t="str">
        <v>-</v>
      </c>
      <c r="G19194" t="str">
        <v>-</v>
      </c>
    </row>
    <row r="19195">
      <c r="B19195" t="str">
        <v>UBND Ủy ban nhân dân xã Phước Tân  tỉnh Bình Phước</v>
      </c>
      <c r="C19195" t="str">
        <v>-</v>
      </c>
      <c r="D19195" t="str">
        <v>-</v>
      </c>
      <c r="E19195" t="str">
        <v>-</v>
      </c>
      <c r="F19195" t="str">
        <v>-</v>
      </c>
      <c r="G19195" t="str">
        <v>-</v>
      </c>
    </row>
    <row r="19196">
      <c r="B19196" t="str">
        <v>Công an xã Bù Nho  tỉnh Bình Phước</v>
      </c>
      <c r="C19196" t="str">
        <v>-</v>
      </c>
      <c r="D19196" t="str">
        <v>-</v>
      </c>
      <c r="E19196" t="str">
        <v/>
      </c>
      <c r="F19196" t="str">
        <v>-</v>
      </c>
      <c r="G19196" t="str">
        <v>-</v>
      </c>
    </row>
    <row r="19197">
      <c r="B19197" t="str">
        <v>UBND Ủy ban nhân dân xã Bù Nho  tỉnh Bình Phước</v>
      </c>
      <c r="C19197" t="str">
        <v>-</v>
      </c>
      <c r="D19197" t="str">
        <v>-</v>
      </c>
      <c r="E19197" t="str">
        <v>-</v>
      </c>
      <c r="F19197" t="str">
        <v>-</v>
      </c>
      <c r="G19197" t="str">
        <v>-</v>
      </c>
    </row>
    <row r="19198">
      <c r="B19198" t="str">
        <v>Công an xã Long Hà  tỉnh Bình Phước</v>
      </c>
      <c r="C19198" t="str">
        <v>-</v>
      </c>
      <c r="D19198" t="str">
        <v>-</v>
      </c>
      <c r="E19198" t="str">
        <v/>
      </c>
      <c r="F19198" t="str">
        <v>-</v>
      </c>
      <c r="G19198" t="str">
        <v>-</v>
      </c>
    </row>
    <row r="19199">
      <c r="B19199" t="str">
        <v>UBND Ủy ban nhân dân xã Long Hà  tỉnh Bình Phước</v>
      </c>
      <c r="C19199" t="str">
        <v>-</v>
      </c>
      <c r="D19199" t="str">
        <v>-</v>
      </c>
      <c r="E19199" t="str">
        <v>-</v>
      </c>
      <c r="F19199" t="str">
        <v>-</v>
      </c>
      <c r="G19199" t="str">
        <v>-</v>
      </c>
    </row>
    <row r="19200">
      <c r="B19200" t="str">
        <v>Công an xã Long Tân  tỉnh Bình Phước</v>
      </c>
      <c r="C19200" t="str">
        <v>-</v>
      </c>
      <c r="D19200" t="str">
        <v>-</v>
      </c>
      <c r="E19200" t="str">
        <v/>
      </c>
      <c r="F19200" t="str">
        <v>-</v>
      </c>
      <c r="G19200" t="str">
        <v>-</v>
      </c>
    </row>
    <row r="19201">
      <c r="B19201" t="str">
        <v>UBND Ủy ban nhân dân xã Long Tân  tỉnh Bình Phước</v>
      </c>
      <c r="C19201" t="str">
        <v>-</v>
      </c>
      <c r="D19201" t="str">
        <v>-</v>
      </c>
      <c r="E19201" t="str">
        <v>-</v>
      </c>
      <c r="F19201" t="str">
        <v>-</v>
      </c>
      <c r="G19201" t="str">
        <v>-</v>
      </c>
    </row>
    <row r="19202">
      <c r="B19202" t="str">
        <v>Công an xã Phú Trung  tỉnh Bình Phước</v>
      </c>
      <c r="C19202" t="str">
        <v>-</v>
      </c>
      <c r="D19202" t="str">
        <v>-</v>
      </c>
      <c r="E19202" t="str">
        <v/>
      </c>
      <c r="F19202" t="str">
        <v>-</v>
      </c>
      <c r="G19202" t="str">
        <v>-</v>
      </c>
    </row>
    <row r="19203">
      <c r="B19203" t="str">
        <v>UBND Ủy ban nhân dân xã Phú Trung  tỉnh Bình Phước</v>
      </c>
      <c r="C19203" t="str">
        <v>-</v>
      </c>
      <c r="D19203" t="str">
        <v>-</v>
      </c>
      <c r="E19203" t="str">
        <v>-</v>
      </c>
      <c r="F19203" t="str">
        <v>-</v>
      </c>
      <c r="G19203" t="str">
        <v>-</v>
      </c>
    </row>
    <row r="19204">
      <c r="B19204" t="str">
        <v>Công an xã Phú Riềng  tỉnh Bình Phước</v>
      </c>
      <c r="C19204" t="str">
        <v>-</v>
      </c>
      <c r="D19204" t="str">
        <v>-</v>
      </c>
      <c r="E19204" t="str">
        <v/>
      </c>
      <c r="F19204" t="str">
        <v>-</v>
      </c>
      <c r="G19204" t="str">
        <v>-</v>
      </c>
    </row>
    <row r="19205">
      <c r="B19205" t="str">
        <v>UBND Ủy ban nhân dân xã Phú Riềng  tỉnh Bình Phước</v>
      </c>
      <c r="C19205" t="str">
        <v>-</v>
      </c>
      <c r="D19205" t="str">
        <v>-</v>
      </c>
      <c r="E19205" t="str">
        <v>-</v>
      </c>
      <c r="F19205" t="str">
        <v>-</v>
      </c>
      <c r="G19205" t="str">
        <v>-</v>
      </c>
    </row>
    <row r="19206">
      <c r="B19206" t="str">
        <v>Công an phường 1  tỉnh Tây Ninh</v>
      </c>
      <c r="C19206" t="str">
        <v>-</v>
      </c>
      <c r="D19206" t="str">
        <v>-</v>
      </c>
      <c r="E19206" t="str">
        <v/>
      </c>
      <c r="F19206" t="str">
        <v>-</v>
      </c>
      <c r="G19206" t="str">
        <v>-</v>
      </c>
    </row>
    <row r="19207">
      <c r="B19207" t="str">
        <v>UBND Ủy ban nhân dân phường 1  tỉnh Tây Ninh</v>
      </c>
      <c r="C19207" t="str">
        <v>-</v>
      </c>
      <c r="D19207" t="str">
        <v>-</v>
      </c>
      <c r="E19207" t="str">
        <v>-</v>
      </c>
      <c r="F19207" t="str">
        <v>-</v>
      </c>
      <c r="G19207" t="str">
        <v>-</v>
      </c>
    </row>
    <row r="19208">
      <c r="B19208" t="str">
        <v>Công an phường 3  tỉnh Tây Ninh</v>
      </c>
      <c r="C19208" t="str">
        <v>-</v>
      </c>
      <c r="D19208" t="str">
        <v>-</v>
      </c>
      <c r="E19208" t="str">
        <v/>
      </c>
      <c r="F19208" t="str">
        <v>-</v>
      </c>
      <c r="G19208" t="str">
        <v>-</v>
      </c>
    </row>
    <row r="19209">
      <c r="B19209" t="str">
        <v>UBND Ủy ban nhân dân phường 3  tỉnh Tây Ninh</v>
      </c>
      <c r="C19209" t="str">
        <v>-</v>
      </c>
      <c r="D19209" t="str">
        <v>-</v>
      </c>
      <c r="E19209" t="str">
        <v>-</v>
      </c>
      <c r="F19209" t="str">
        <v>-</v>
      </c>
      <c r="G19209" t="str">
        <v>-</v>
      </c>
    </row>
    <row r="19210">
      <c r="B19210" t="str">
        <v>Công an phường 4  tỉnh Tây Ninh</v>
      </c>
      <c r="C19210" t="str">
        <v>-</v>
      </c>
      <c r="D19210" t="str">
        <v>-</v>
      </c>
      <c r="E19210" t="str">
        <v/>
      </c>
      <c r="F19210" t="str">
        <v>-</v>
      </c>
      <c r="G19210" t="str">
        <v>-</v>
      </c>
    </row>
    <row r="19211">
      <c r="B19211" t="str">
        <v>UBND Ủy ban nhân dân phường 4  tỉnh Tây Ninh</v>
      </c>
      <c r="C19211" t="str">
        <v>-</v>
      </c>
      <c r="D19211" t="str">
        <v>-</v>
      </c>
      <c r="E19211" t="str">
        <v>-</v>
      </c>
      <c r="F19211" t="str">
        <v>-</v>
      </c>
      <c r="G19211" t="str">
        <v>-</v>
      </c>
    </row>
    <row r="19212">
      <c r="B19212" t="str">
        <v>Công an phường Hiệp Ninh  tỉnh Tây Ninh</v>
      </c>
      <c r="C19212" t="str">
        <v>-</v>
      </c>
      <c r="D19212" t="str">
        <v>-</v>
      </c>
      <c r="E19212" t="str">
        <v/>
      </c>
      <c r="F19212" t="str">
        <v>-</v>
      </c>
      <c r="G19212" t="str">
        <v>-</v>
      </c>
    </row>
    <row r="19213">
      <c r="B19213" t="str">
        <v>UBND Ủy ban nhân dân phường Hiệp Ninh  tỉnh Tây Ninh</v>
      </c>
      <c r="C19213" t="str">
        <v>-</v>
      </c>
      <c r="D19213" t="str">
        <v>-</v>
      </c>
      <c r="E19213" t="str">
        <v>-</v>
      </c>
      <c r="F19213" t="str">
        <v>-</v>
      </c>
      <c r="G19213" t="str">
        <v>-</v>
      </c>
    </row>
    <row r="19214">
      <c r="B19214" t="str">
        <v>Công an phường 2  tỉnh Tây Ninh</v>
      </c>
      <c r="C19214" t="str">
        <v>-</v>
      </c>
      <c r="D19214" t="str">
        <v>-</v>
      </c>
      <c r="E19214" t="str">
        <v/>
      </c>
      <c r="F19214" t="str">
        <v>-</v>
      </c>
      <c r="G19214" t="str">
        <v>-</v>
      </c>
    </row>
    <row r="19215">
      <c r="B19215" t="str">
        <v>UBND Ủy ban nhân dân phường 2  tỉnh Tây Ninh</v>
      </c>
      <c r="C19215" t="str">
        <v>-</v>
      </c>
      <c r="D19215" t="str">
        <v>-</v>
      </c>
      <c r="E19215" t="str">
        <v>-</v>
      </c>
      <c r="F19215" t="str">
        <v>-</v>
      </c>
      <c r="G19215" t="str">
        <v>-</v>
      </c>
    </row>
    <row r="19216">
      <c r="B19216" t="str">
        <v>Công an xã Thạnh Tân  tỉnh Tây Ninh</v>
      </c>
      <c r="C19216" t="str">
        <v>-</v>
      </c>
      <c r="D19216" t="str">
        <v>-</v>
      </c>
      <c r="E19216" t="str">
        <v/>
      </c>
      <c r="F19216" t="str">
        <v>-</v>
      </c>
      <c r="G19216" t="str">
        <v>-</v>
      </c>
    </row>
    <row r="19217">
      <c r="B19217" t="str">
        <v>UBND Ủy ban nhân dân xã Thạnh Tân  tỉnh Tây Ninh</v>
      </c>
      <c r="C19217" t="str">
        <v>-</v>
      </c>
      <c r="D19217" t="str">
        <v>-</v>
      </c>
      <c r="E19217" t="str">
        <v>-</v>
      </c>
      <c r="F19217" t="str">
        <v>-</v>
      </c>
      <c r="G19217" t="str">
        <v>-</v>
      </c>
    </row>
    <row r="19218">
      <c r="B19218" t="str">
        <v>Công an xã Tân Bình  tỉnh Tây Ninh</v>
      </c>
      <c r="C19218" t="str">
        <v>-</v>
      </c>
      <c r="D19218" t="str">
        <v>-</v>
      </c>
      <c r="E19218" t="str">
        <v/>
      </c>
      <c r="F19218" t="str">
        <v>-</v>
      </c>
      <c r="G19218" t="str">
        <v>-</v>
      </c>
    </row>
    <row r="19219">
      <c r="B19219" t="str">
        <v>UBND Ủy ban nhân dân xã Tân Bình  tỉnh Tây Ninh</v>
      </c>
      <c r="C19219" t="str">
        <v>-</v>
      </c>
      <c r="D19219" t="str">
        <v>-</v>
      </c>
      <c r="E19219" t="str">
        <v>-</v>
      </c>
      <c r="F19219" t="str">
        <v>-</v>
      </c>
      <c r="G19219" t="str">
        <v>-</v>
      </c>
    </row>
    <row r="19220">
      <c r="B19220" t="str">
        <v>Công an xã Bình Minh  tỉnh Tây Ninh</v>
      </c>
      <c r="C19220" t="str">
        <v>-</v>
      </c>
      <c r="D19220" t="str">
        <v>-</v>
      </c>
      <c r="E19220" t="str">
        <v/>
      </c>
      <c r="F19220" t="str">
        <v>-</v>
      </c>
      <c r="G19220" t="str">
        <v>-</v>
      </c>
    </row>
    <row r="19221">
      <c r="B19221" t="str">
        <v>UBND Ủy ban nhân dân xã Bình Minh  tỉnh Tây Ninh</v>
      </c>
      <c r="C19221" t="str">
        <v>-</v>
      </c>
      <c r="D19221" t="str">
        <v>-</v>
      </c>
      <c r="E19221" t="str">
        <v>-</v>
      </c>
      <c r="F19221" t="str">
        <v>-</v>
      </c>
      <c r="G19221" t="str">
        <v>-</v>
      </c>
    </row>
    <row r="19222">
      <c r="B19222" t="str">
        <v>Công an phường Ninh Sơn  tỉnh Tây Ninh</v>
      </c>
      <c r="C19222" t="str">
        <v>-</v>
      </c>
      <c r="D19222" t="str">
        <v>-</v>
      </c>
      <c r="E19222" t="str">
        <v/>
      </c>
      <c r="F19222" t="str">
        <v>-</v>
      </c>
      <c r="G19222" t="str">
        <v>-</v>
      </c>
    </row>
    <row r="19223">
      <c r="B19223" t="str">
        <v>UBND Ủy ban nhân dân phường Ninh Sơn  tỉnh Tây Ninh</v>
      </c>
      <c r="C19223" t="str">
        <v>-</v>
      </c>
      <c r="D19223" t="str">
        <v>-</v>
      </c>
      <c r="E19223" t="str">
        <v>-</v>
      </c>
      <c r="F19223" t="str">
        <v>-</v>
      </c>
      <c r="G19223" t="str">
        <v>-</v>
      </c>
    </row>
    <row r="19224">
      <c r="B19224" t="str">
        <v>Công an phường Ninh Thạnh  tỉnh Tây Ninh</v>
      </c>
      <c r="C19224" t="str">
        <v>-</v>
      </c>
      <c r="D19224" t="str">
        <v>-</v>
      </c>
      <c r="E19224" t="str">
        <v/>
      </c>
      <c r="F19224" t="str">
        <v>-</v>
      </c>
      <c r="G19224" t="str">
        <v>-</v>
      </c>
    </row>
    <row r="19225">
      <c r="B19225" t="str">
        <v>UBND Ủy ban nhân dân phường Ninh Thạnh  tỉnh Tây Ninh</v>
      </c>
      <c r="C19225" t="str">
        <v>-</v>
      </c>
      <c r="D19225" t="str">
        <v>-</v>
      </c>
      <c r="E19225" t="str">
        <v>-</v>
      </c>
      <c r="F19225" t="str">
        <v>-</v>
      </c>
      <c r="G19225" t="str">
        <v>-</v>
      </c>
    </row>
    <row r="19226">
      <c r="B19226" t="str">
        <v>Công an xã Tân Lập  tỉnh Tây Ninh</v>
      </c>
      <c r="C19226" t="str">
        <v>-</v>
      </c>
      <c r="D19226" t="str">
        <v>-</v>
      </c>
      <c r="E19226" t="str">
        <v/>
      </c>
      <c r="F19226" t="str">
        <v>-</v>
      </c>
      <c r="G19226" t="str">
        <v>-</v>
      </c>
    </row>
    <row r="19227">
      <c r="B19227" t="str">
        <v>UBND Ủy ban nhân dân xã Tân Lập  tỉnh Tây Ninh</v>
      </c>
      <c r="C19227" t="str">
        <v>-</v>
      </c>
      <c r="D19227" t="str">
        <v>-</v>
      </c>
      <c r="E19227" t="str">
        <v>-</v>
      </c>
      <c r="F19227" t="str">
        <v>-</v>
      </c>
      <c r="G19227" t="str">
        <v>-</v>
      </c>
    </row>
    <row r="19228">
      <c r="B19228" t="str">
        <v>Công an xã Thạnh Bắc  tỉnh Tây Ninh</v>
      </c>
      <c r="C19228" t="str">
        <v>-</v>
      </c>
      <c r="D19228" t="str">
        <v>-</v>
      </c>
      <c r="E19228" t="str">
        <v/>
      </c>
      <c r="F19228" t="str">
        <v>-</v>
      </c>
      <c r="G19228" t="str">
        <v>-</v>
      </c>
    </row>
    <row r="19229">
      <c r="B19229" t="str">
        <v>UBND Ủy ban nhân dân xã Thạnh Bắc  tỉnh Tây Ninh</v>
      </c>
      <c r="C19229" t="str">
        <v>-</v>
      </c>
      <c r="D19229" t="str">
        <v>-</v>
      </c>
      <c r="E19229" t="str">
        <v>-</v>
      </c>
      <c r="F19229" t="str">
        <v>-</v>
      </c>
      <c r="G19229" t="str">
        <v>-</v>
      </c>
    </row>
    <row r="19230">
      <c r="B19230" t="str">
        <v>Công an xã Tân Bình  tỉnh Tây Ninh</v>
      </c>
      <c r="C19230" t="str">
        <v>-</v>
      </c>
      <c r="D19230" t="str">
        <v>-</v>
      </c>
      <c r="E19230" t="str">
        <v/>
      </c>
      <c r="F19230" t="str">
        <v>-</v>
      </c>
      <c r="G19230" t="str">
        <v>-</v>
      </c>
    </row>
    <row r="19231">
      <c r="B19231" t="str">
        <v>UBND Ủy ban nhân dân xã Tân Bình  tỉnh Tây Ninh</v>
      </c>
      <c r="C19231" t="str">
        <v>-</v>
      </c>
      <c r="D19231" t="str">
        <v>-</v>
      </c>
      <c r="E19231" t="str">
        <v>-</v>
      </c>
      <c r="F19231" t="str">
        <v>-</v>
      </c>
      <c r="G19231" t="str">
        <v>-</v>
      </c>
    </row>
    <row r="19232">
      <c r="B19232" t="str">
        <v>Công an xã Thạnh Bình  tỉnh Tây Ninh</v>
      </c>
      <c r="C19232" t="str">
        <v>-</v>
      </c>
      <c r="D19232" t="str">
        <v>-</v>
      </c>
      <c r="E19232" t="str">
        <v/>
      </c>
      <c r="F19232" t="str">
        <v>-</v>
      </c>
      <c r="G19232" t="str">
        <v>-</v>
      </c>
    </row>
    <row r="19233">
      <c r="B19233" t="str">
        <v>UBND Ủy ban nhân dân xã Thạnh Bình  tỉnh Tây Ninh</v>
      </c>
      <c r="C19233" t="str">
        <v>-</v>
      </c>
      <c r="D19233" t="str">
        <v>-</v>
      </c>
      <c r="E19233" t="str">
        <v>-</v>
      </c>
      <c r="F19233" t="str">
        <v>-</v>
      </c>
      <c r="G19233" t="str">
        <v>-</v>
      </c>
    </row>
    <row r="19234">
      <c r="B19234" t="str">
        <v>Công an xã Thạnh Tây  tỉnh Tây Ninh</v>
      </c>
      <c r="C19234" t="str">
        <v>-</v>
      </c>
      <c r="D19234" t="str">
        <v>-</v>
      </c>
      <c r="E19234" t="str">
        <v/>
      </c>
      <c r="F19234" t="str">
        <v>-</v>
      </c>
      <c r="G19234" t="str">
        <v>-</v>
      </c>
    </row>
    <row r="19235">
      <c r="B19235" t="str">
        <v>UBND Ủy ban nhân dân xã Thạnh Tây  tỉnh Tây Ninh</v>
      </c>
      <c r="C19235" t="str">
        <v>-</v>
      </c>
      <c r="D19235" t="str">
        <v>-</v>
      </c>
      <c r="E19235" t="str">
        <v>-</v>
      </c>
      <c r="F19235" t="str">
        <v>-</v>
      </c>
      <c r="G19235" t="str">
        <v>-</v>
      </c>
    </row>
    <row r="19236">
      <c r="B19236" t="str">
        <v>Công an xã Hòa Hiệp  tỉnh Tây Ninh</v>
      </c>
      <c r="C19236" t="str">
        <v>-</v>
      </c>
      <c r="D19236" t="str">
        <v>-</v>
      </c>
      <c r="E19236" t="str">
        <v/>
      </c>
      <c r="F19236" t="str">
        <v>-</v>
      </c>
      <c r="G19236" t="str">
        <v>-</v>
      </c>
    </row>
    <row r="19237">
      <c r="B19237" t="str">
        <v>UBND Ủy ban nhân dân xã Hòa Hiệp  tỉnh Tây Ninh</v>
      </c>
      <c r="C19237" t="str">
        <v>-</v>
      </c>
      <c r="D19237" t="str">
        <v>-</v>
      </c>
      <c r="E19237" t="str">
        <v>-</v>
      </c>
      <c r="F19237" t="str">
        <v>-</v>
      </c>
      <c r="G19237" t="str">
        <v>-</v>
      </c>
    </row>
    <row r="19238">
      <c r="B19238" t="str">
        <v>Công an xã Tân Phong  tỉnh Tây Ninh</v>
      </c>
      <c r="C19238" t="str">
        <v>-</v>
      </c>
      <c r="D19238" t="str">
        <v>-</v>
      </c>
      <c r="E19238" t="str">
        <v/>
      </c>
      <c r="F19238" t="str">
        <v>-</v>
      </c>
      <c r="G19238" t="str">
        <v>-</v>
      </c>
    </row>
    <row r="19239">
      <c r="B19239" t="str">
        <v>UBND Ủy ban nhân dân xã Tân Phong  tỉnh Tây Ninh</v>
      </c>
      <c r="C19239" t="str">
        <v>-</v>
      </c>
      <c r="D19239" t="str">
        <v>-</v>
      </c>
      <c r="E19239" t="str">
        <v>-</v>
      </c>
      <c r="F19239" t="str">
        <v>-</v>
      </c>
      <c r="G19239" t="str">
        <v>-</v>
      </c>
    </row>
    <row r="19240">
      <c r="B19240" t="str">
        <v>Công an xã Mỏ Công  tỉnh Tây Ninh</v>
      </c>
      <c r="C19240" t="str">
        <v>-</v>
      </c>
      <c r="D19240" t="str">
        <v>-</v>
      </c>
      <c r="E19240" t="str">
        <v/>
      </c>
      <c r="F19240" t="str">
        <v>-</v>
      </c>
      <c r="G19240" t="str">
        <v>-</v>
      </c>
    </row>
    <row r="19241">
      <c r="B19241" t="str">
        <v>UBND Ủy ban nhân dân xã Mỏ Công  tỉnh Tây Ninh</v>
      </c>
      <c r="C19241" t="str">
        <v>-</v>
      </c>
      <c r="D19241" t="str">
        <v>-</v>
      </c>
      <c r="E19241" t="str">
        <v>-</v>
      </c>
      <c r="F19241" t="str">
        <v>-</v>
      </c>
      <c r="G19241" t="str">
        <v>-</v>
      </c>
    </row>
    <row r="19242">
      <c r="B19242" t="str">
        <v>Công an xã Trà Vong  tỉnh Tây Ninh</v>
      </c>
      <c r="C19242" t="str">
        <v>-</v>
      </c>
      <c r="D19242" t="str">
        <v>-</v>
      </c>
      <c r="E19242" t="str">
        <v/>
      </c>
      <c r="F19242" t="str">
        <v>-</v>
      </c>
      <c r="G19242" t="str">
        <v>-</v>
      </c>
    </row>
    <row r="19243">
      <c r="B19243" t="str">
        <v>UBND Ủy ban nhân dân xã Trà Vong  tỉnh Tây Ninh</v>
      </c>
      <c r="C19243" t="str">
        <v>-</v>
      </c>
      <c r="D19243" t="str">
        <v>-</v>
      </c>
      <c r="E19243" t="str">
        <v>-</v>
      </c>
      <c r="F19243" t="str">
        <v>-</v>
      </c>
      <c r="G19243" t="str">
        <v>-</v>
      </c>
    </row>
    <row r="19244">
      <c r="B19244" t="str">
        <v>Công an xã Tân Hà  tỉnh Tây Ninh</v>
      </c>
      <c r="C19244" t="str">
        <v>-</v>
      </c>
      <c r="D19244" t="str">
        <v>-</v>
      </c>
      <c r="E19244" t="str">
        <v/>
      </c>
      <c r="F19244" t="str">
        <v>-</v>
      </c>
      <c r="G19244" t="str">
        <v>-</v>
      </c>
    </row>
    <row r="19245">
      <c r="B19245" t="str">
        <v>UBND Ủy ban nhân dân xã Tân Hà  tỉnh Tây Ninh</v>
      </c>
      <c r="C19245" t="str">
        <v>-</v>
      </c>
      <c r="D19245" t="str">
        <v>-</v>
      </c>
      <c r="E19245" t="str">
        <v>-</v>
      </c>
      <c r="F19245" t="str">
        <v>-</v>
      </c>
      <c r="G19245" t="str">
        <v>-</v>
      </c>
    </row>
    <row r="19246">
      <c r="B19246" t="str">
        <v>Công an xã Tân Đông  tỉnh Tây Ninh</v>
      </c>
      <c r="C19246" t="str">
        <v>-</v>
      </c>
      <c r="D19246" t="str">
        <v>-</v>
      </c>
      <c r="E19246" t="str">
        <v/>
      </c>
      <c r="F19246" t="str">
        <v>-</v>
      </c>
      <c r="G19246" t="str">
        <v>-</v>
      </c>
    </row>
    <row r="19247">
      <c r="B19247" t="str">
        <v>UBND Ủy ban nhân dân xã Tân Đông  tỉnh Tây Ninh</v>
      </c>
      <c r="C19247" t="str">
        <v>-</v>
      </c>
      <c r="D19247" t="str">
        <v>-</v>
      </c>
      <c r="E19247" t="str">
        <v>-</v>
      </c>
      <c r="F19247" t="str">
        <v>-</v>
      </c>
      <c r="G19247" t="str">
        <v>-</v>
      </c>
    </row>
    <row r="19248">
      <c r="B19248" t="str">
        <v>Công an xã Tân Hội  tỉnh Tây Ninh</v>
      </c>
      <c r="C19248" t="str">
        <v>-</v>
      </c>
      <c r="D19248" t="str">
        <v>-</v>
      </c>
      <c r="E19248" t="str">
        <v/>
      </c>
      <c r="F19248" t="str">
        <v>-</v>
      </c>
      <c r="G19248" t="str">
        <v>-</v>
      </c>
    </row>
    <row r="19249">
      <c r="B19249" t="str">
        <v>UBND Ủy ban nhân dân xã Tân Hội  tỉnh Tây Ninh</v>
      </c>
      <c r="C19249" t="str">
        <v>-</v>
      </c>
      <c r="D19249" t="str">
        <v>-</v>
      </c>
      <c r="E19249" t="str">
        <v>-</v>
      </c>
      <c r="F19249" t="str">
        <v>-</v>
      </c>
      <c r="G19249" t="str">
        <v>-</v>
      </c>
    </row>
    <row r="19250">
      <c r="B19250" t="str">
        <v>Công an xã Tân Hòa  tỉnh Tây Ninh</v>
      </c>
      <c r="C19250" t="str">
        <v>-</v>
      </c>
      <c r="D19250" t="str">
        <v>-</v>
      </c>
      <c r="E19250" t="str">
        <v/>
      </c>
      <c r="F19250" t="str">
        <v>-</v>
      </c>
      <c r="G19250" t="str">
        <v>-</v>
      </c>
    </row>
    <row r="19251">
      <c r="B19251" t="str">
        <v>UBND Ủy ban nhân dân xã Tân Hòa  tỉnh Tây Ninh</v>
      </c>
      <c r="C19251" t="str">
        <v>-</v>
      </c>
      <c r="D19251" t="str">
        <v>-</v>
      </c>
      <c r="E19251" t="str">
        <v>-</v>
      </c>
      <c r="F19251" t="str">
        <v>-</v>
      </c>
      <c r="G19251" t="str">
        <v>-</v>
      </c>
    </row>
    <row r="19252">
      <c r="B19252" t="str">
        <v>Công an xã Suối Ngô  tỉnh Tây Ninh</v>
      </c>
      <c r="C19252" t="str">
        <v>-</v>
      </c>
      <c r="D19252" t="str">
        <v>-</v>
      </c>
      <c r="E19252" t="str">
        <v/>
      </c>
      <c r="F19252" t="str">
        <v>-</v>
      </c>
      <c r="G19252" t="str">
        <v>-</v>
      </c>
    </row>
    <row r="19253">
      <c r="B19253" t="str">
        <v>UBND Ủy ban nhân dân xã Suối Ngô  tỉnh Tây Ninh</v>
      </c>
      <c r="C19253" t="str">
        <v>-</v>
      </c>
      <c r="D19253" t="str">
        <v>-</v>
      </c>
      <c r="E19253" t="str">
        <v>-</v>
      </c>
      <c r="F19253" t="str">
        <v>-</v>
      </c>
      <c r="G19253" t="str">
        <v>-</v>
      </c>
    </row>
    <row r="19254">
      <c r="B19254" t="str">
        <v>Công an xã Suối Dây  tỉnh Tây Ninh</v>
      </c>
      <c r="C19254" t="str">
        <v>-</v>
      </c>
      <c r="D19254" t="str">
        <v>-</v>
      </c>
      <c r="E19254" t="str">
        <v/>
      </c>
      <c r="F19254" t="str">
        <v>-</v>
      </c>
      <c r="G19254" t="str">
        <v>-</v>
      </c>
    </row>
    <row r="19255">
      <c r="B19255" t="str">
        <v>UBND Ủy ban nhân dân xã Suối Dây  tỉnh Tây Ninh</v>
      </c>
      <c r="C19255" t="str">
        <v>-</v>
      </c>
      <c r="D19255" t="str">
        <v>-</v>
      </c>
      <c r="E19255" t="str">
        <v>-</v>
      </c>
      <c r="F19255" t="str">
        <v>-</v>
      </c>
      <c r="G19255" t="str">
        <v>-</v>
      </c>
    </row>
    <row r="19256">
      <c r="B19256" t="str">
        <v>Công an xã Tân Hiệp  tỉnh Tây Ninh</v>
      </c>
      <c r="C19256" t="str">
        <v>-</v>
      </c>
      <c r="D19256" t="str">
        <v>-</v>
      </c>
      <c r="E19256" t="str">
        <v/>
      </c>
      <c r="F19256" t="str">
        <v>-</v>
      </c>
      <c r="G19256" t="str">
        <v>-</v>
      </c>
    </row>
    <row r="19257">
      <c r="B19257" t="str">
        <v>UBND Ủy ban nhân dân xã Tân Hiệp  tỉnh Tây Ninh</v>
      </c>
      <c r="C19257" t="str">
        <v>-</v>
      </c>
      <c r="D19257" t="str">
        <v>-</v>
      </c>
      <c r="E19257" t="str">
        <v>-</v>
      </c>
      <c r="F19257" t="str">
        <v>-</v>
      </c>
      <c r="G19257" t="str">
        <v>-</v>
      </c>
    </row>
    <row r="19258">
      <c r="B19258" t="str">
        <v>Công an xã Thạnh Đông  tỉnh Tây Ninh</v>
      </c>
      <c r="C19258" t="str">
        <v>-</v>
      </c>
      <c r="D19258" t="str">
        <v>-</v>
      </c>
      <c r="E19258" t="str">
        <v/>
      </c>
      <c r="F19258" t="str">
        <v>-</v>
      </c>
      <c r="G19258" t="str">
        <v>-</v>
      </c>
    </row>
    <row r="19259">
      <c r="B19259" t="str">
        <v>UBND Ủy ban nhân dân xã Thạnh Đông  tỉnh Tây Ninh</v>
      </c>
      <c r="C19259" t="str">
        <v>-</v>
      </c>
      <c r="D19259" t="str">
        <v>-</v>
      </c>
      <c r="E19259" t="str">
        <v>-</v>
      </c>
      <c r="F19259" t="str">
        <v>-</v>
      </c>
      <c r="G19259" t="str">
        <v>-</v>
      </c>
    </row>
    <row r="19260">
      <c r="B19260" t="str">
        <v>Công an xã Tân Thành  tỉnh Tây Ninh</v>
      </c>
      <c r="C19260" t="str">
        <v>-</v>
      </c>
      <c r="D19260" t="str">
        <v>-</v>
      </c>
      <c r="E19260" t="str">
        <v/>
      </c>
      <c r="F19260" t="str">
        <v>-</v>
      </c>
      <c r="G19260" t="str">
        <v>-</v>
      </c>
    </row>
    <row r="19261">
      <c r="B19261" t="str">
        <v>UBND Ủy ban nhân dân xã Tân Thành  tỉnh Tây Ninh</v>
      </c>
      <c r="C19261" t="str">
        <v>-</v>
      </c>
      <c r="D19261" t="str">
        <v>-</v>
      </c>
      <c r="E19261" t="str">
        <v>-</v>
      </c>
      <c r="F19261" t="str">
        <v>-</v>
      </c>
      <c r="G19261" t="str">
        <v>-</v>
      </c>
    </row>
    <row r="19262">
      <c r="B19262" t="str">
        <v>Công an xã Tân Phú  tỉnh Tây Ninh</v>
      </c>
      <c r="C19262" t="str">
        <v>-</v>
      </c>
      <c r="D19262" t="str">
        <v>-</v>
      </c>
      <c r="E19262" t="str">
        <v/>
      </c>
      <c r="F19262" t="str">
        <v>-</v>
      </c>
      <c r="G19262" t="str">
        <v>-</v>
      </c>
    </row>
    <row r="19263">
      <c r="B19263" t="str">
        <v>UBND Ủy ban nhân dân xã Tân Phú  tỉnh Tây Ninh</v>
      </c>
      <c r="C19263" t="str">
        <v>-</v>
      </c>
      <c r="D19263" t="str">
        <v>-</v>
      </c>
      <c r="E19263" t="str">
        <v>-</v>
      </c>
      <c r="F19263" t="str">
        <v>-</v>
      </c>
      <c r="G19263" t="str">
        <v>-</v>
      </c>
    </row>
    <row r="19264">
      <c r="B19264" t="str">
        <v>Công an xã Tân Hưng  tỉnh Tây Ninh</v>
      </c>
      <c r="C19264" t="str">
        <v>-</v>
      </c>
      <c r="D19264" t="str">
        <v>-</v>
      </c>
      <c r="E19264" t="str">
        <v/>
      </c>
      <c r="F19264" t="str">
        <v>-</v>
      </c>
      <c r="G19264" t="str">
        <v>-</v>
      </c>
    </row>
    <row r="19265">
      <c r="B19265" t="str">
        <v>UBND Ủy ban nhân dân xã Tân Hưng  tỉnh Tây Ninh</v>
      </c>
      <c r="C19265" t="str">
        <v>-</v>
      </c>
      <c r="D19265" t="str">
        <v>-</v>
      </c>
      <c r="E19265" t="str">
        <v>-</v>
      </c>
      <c r="F19265" t="str">
        <v>-</v>
      </c>
      <c r="G19265" t="str">
        <v>-</v>
      </c>
    </row>
    <row r="19266">
      <c r="B19266" t="str">
        <v>Công an xã Suối Đá  tỉnh Tây Ninh</v>
      </c>
      <c r="C19266" t="str">
        <v>-</v>
      </c>
      <c r="D19266" t="str">
        <v>-</v>
      </c>
      <c r="E19266" t="str">
        <v/>
      </c>
      <c r="F19266" t="str">
        <v>-</v>
      </c>
      <c r="G19266" t="str">
        <v>-</v>
      </c>
    </row>
    <row r="19267">
      <c r="B19267" t="str">
        <v>UBND Ủy ban nhân dân xã Suối Đá  tỉnh Tây Ninh</v>
      </c>
      <c r="C19267" t="str">
        <v>-</v>
      </c>
      <c r="D19267" t="str">
        <v>-</v>
      </c>
      <c r="E19267" t="str">
        <v>-</v>
      </c>
      <c r="F19267" t="str">
        <v>-</v>
      </c>
      <c r="G19267" t="str">
        <v>-</v>
      </c>
    </row>
    <row r="19268">
      <c r="B19268" t="str">
        <v>Công an xã Phan  tỉnh Tây Ninh</v>
      </c>
      <c r="C19268" t="str">
        <v>-</v>
      </c>
      <c r="D19268" t="str">
        <v>-</v>
      </c>
      <c r="E19268" t="str">
        <v/>
      </c>
      <c r="F19268" t="str">
        <v>-</v>
      </c>
      <c r="G19268" t="str">
        <v>-</v>
      </c>
    </row>
    <row r="19269">
      <c r="B19269" t="str">
        <v>UBND Ủy ban nhân dân xã Phan  tỉnh Tây Ninh</v>
      </c>
      <c r="C19269" t="str">
        <v>-</v>
      </c>
      <c r="D19269" t="str">
        <v>-</v>
      </c>
      <c r="E19269" t="str">
        <v>-</v>
      </c>
      <c r="F19269" t="str">
        <v>-</v>
      </c>
      <c r="G19269" t="str">
        <v>-</v>
      </c>
    </row>
    <row r="19270">
      <c r="B19270" t="str">
        <v>Công an xã Phước Ninh  tỉnh Tây Ninh</v>
      </c>
      <c r="C19270" t="str">
        <v>-</v>
      </c>
      <c r="D19270" t="str">
        <v>-</v>
      </c>
      <c r="E19270" t="str">
        <v/>
      </c>
      <c r="F19270" t="str">
        <v>-</v>
      </c>
      <c r="G19270" t="str">
        <v>-</v>
      </c>
    </row>
    <row r="19271">
      <c r="B19271" t="str">
        <v>UBND Ủy ban nhân dân xã Phước Ninh  tỉnh Tây Ninh</v>
      </c>
      <c r="C19271" t="str">
        <v>-</v>
      </c>
      <c r="D19271" t="str">
        <v>-</v>
      </c>
      <c r="E19271" t="str">
        <v>-</v>
      </c>
      <c r="F19271" t="str">
        <v>-</v>
      </c>
      <c r="G19271" t="str">
        <v>-</v>
      </c>
    </row>
    <row r="19272">
      <c r="B19272" t="str">
        <v>Công an xã Phước Minh  tỉnh Tây Ninh</v>
      </c>
      <c r="C19272" t="str">
        <v>-</v>
      </c>
      <c r="D19272" t="str">
        <v>-</v>
      </c>
      <c r="E19272" t="str">
        <v/>
      </c>
      <c r="F19272" t="str">
        <v>-</v>
      </c>
      <c r="G19272" t="str">
        <v>-</v>
      </c>
    </row>
    <row r="19273">
      <c r="B19273" t="str">
        <v>UBND Ủy ban nhân dân xã Phước Minh  tỉnh Tây Ninh</v>
      </c>
      <c r="C19273" t="str">
        <v>-</v>
      </c>
      <c r="D19273" t="str">
        <v>-</v>
      </c>
      <c r="E19273" t="str">
        <v>-</v>
      </c>
      <c r="F19273" t="str">
        <v>-</v>
      </c>
      <c r="G19273" t="str">
        <v>-</v>
      </c>
    </row>
    <row r="19274">
      <c r="B19274" t="str">
        <v>Công an xã Bàu Năng  tỉnh Tây Ninh</v>
      </c>
      <c r="C19274" t="str">
        <v>-</v>
      </c>
      <c r="D19274" t="str">
        <v>-</v>
      </c>
      <c r="E19274" t="str">
        <v/>
      </c>
      <c r="F19274" t="str">
        <v>-</v>
      </c>
      <c r="G19274" t="str">
        <v>-</v>
      </c>
    </row>
    <row r="19275">
      <c r="B19275" t="str">
        <v>UBND Ủy ban nhân dân xã Bàu Năng  tỉnh Tây Ninh</v>
      </c>
      <c r="C19275" t="str">
        <v>-</v>
      </c>
      <c r="D19275" t="str">
        <v>-</v>
      </c>
      <c r="E19275" t="str">
        <v>-</v>
      </c>
      <c r="F19275" t="str">
        <v>-</v>
      </c>
      <c r="G19275" t="str">
        <v>-</v>
      </c>
    </row>
    <row r="19276">
      <c r="B19276" t="str">
        <v>Công an xã Chà Là  tỉnh Tây Ninh</v>
      </c>
      <c r="C19276" t="str">
        <v>-</v>
      </c>
      <c r="D19276" t="str">
        <v>-</v>
      </c>
      <c r="E19276" t="str">
        <v/>
      </c>
      <c r="F19276" t="str">
        <v>-</v>
      </c>
      <c r="G19276" t="str">
        <v>-</v>
      </c>
    </row>
    <row r="19277">
      <c r="B19277" t="str">
        <v>UBND Ủy ban nhân dân xã Chà Là  tỉnh Tây Ninh</v>
      </c>
      <c r="C19277" t="str">
        <v>-</v>
      </c>
      <c r="D19277" t="str">
        <v>-</v>
      </c>
      <c r="E19277" t="str">
        <v>-</v>
      </c>
      <c r="F19277" t="str">
        <v>-</v>
      </c>
      <c r="G19277" t="str">
        <v>-</v>
      </c>
    </row>
    <row r="19278">
      <c r="B19278" t="str">
        <v>Công an xã Cầu Khởi  tỉnh Tây Ninh</v>
      </c>
      <c r="C19278" t="str">
        <v>-</v>
      </c>
      <c r="D19278" t="str">
        <v>-</v>
      </c>
      <c r="E19278" t="str">
        <v/>
      </c>
      <c r="F19278" t="str">
        <v>-</v>
      </c>
      <c r="G19278" t="str">
        <v>-</v>
      </c>
    </row>
    <row r="19279">
      <c r="B19279" t="str">
        <v>UBND Ủy ban nhân dân xã Cầu Khởi  tỉnh Tây Ninh</v>
      </c>
      <c r="C19279" t="str">
        <v>-</v>
      </c>
      <c r="D19279" t="str">
        <v>-</v>
      </c>
      <c r="E19279" t="str">
        <v>-</v>
      </c>
      <c r="F19279" t="str">
        <v>-</v>
      </c>
      <c r="G19279" t="str">
        <v>-</v>
      </c>
    </row>
    <row r="19280">
      <c r="B19280" t="str">
        <v>Công an xã Bến Củi  tỉnh Tây Ninh</v>
      </c>
      <c r="C19280" t="str">
        <v>-</v>
      </c>
      <c r="D19280" t="str">
        <v>-</v>
      </c>
      <c r="E19280" t="str">
        <v/>
      </c>
      <c r="F19280" t="str">
        <v>-</v>
      </c>
      <c r="G19280" t="str">
        <v>-</v>
      </c>
    </row>
    <row r="19281">
      <c r="B19281" t="str">
        <v>UBND Ủy ban nhân dân xã Bến Củi  tỉnh Tây Ninh</v>
      </c>
      <c r="C19281" t="str">
        <v>-</v>
      </c>
      <c r="D19281" t="str">
        <v>-</v>
      </c>
      <c r="E19281" t="str">
        <v>-</v>
      </c>
      <c r="F19281" t="str">
        <v>-</v>
      </c>
      <c r="G19281" t="str">
        <v>-</v>
      </c>
    </row>
    <row r="19282">
      <c r="B19282" t="str">
        <v>Công an xã Lộc Ninh  tỉnh Tây Ninh</v>
      </c>
      <c r="C19282" t="str">
        <v>-</v>
      </c>
      <c r="D19282" t="str">
        <v>-</v>
      </c>
      <c r="E19282" t="str">
        <v/>
      </c>
      <c r="F19282" t="str">
        <v>-</v>
      </c>
      <c r="G19282" t="str">
        <v>-</v>
      </c>
    </row>
    <row r="19283">
      <c r="B19283" t="str">
        <v>UBND Ủy ban nhân dân xã Lộc Ninh  tỉnh Tây Ninh</v>
      </c>
      <c r="C19283" t="str">
        <v>-</v>
      </c>
      <c r="D19283" t="str">
        <v>-</v>
      </c>
      <c r="E19283" t="str">
        <v>-</v>
      </c>
      <c r="F19283" t="str">
        <v>-</v>
      </c>
      <c r="G19283" t="str">
        <v>-</v>
      </c>
    </row>
    <row r="19284">
      <c r="B19284" t="str">
        <v>Công an xã Truông Mít  tỉnh Tây Ninh</v>
      </c>
      <c r="C19284" t="str">
        <v>-</v>
      </c>
      <c r="D19284" t="str">
        <v>-</v>
      </c>
      <c r="E19284" t="str">
        <v/>
      </c>
      <c r="F19284" t="str">
        <v>-</v>
      </c>
      <c r="G19284" t="str">
        <v>-</v>
      </c>
    </row>
    <row r="19285">
      <c r="B19285" t="str">
        <v>UBND Ủy ban nhân dân xã Truông Mít  tỉnh Tây Ninh</v>
      </c>
      <c r="C19285" t="str">
        <v>-</v>
      </c>
      <c r="D19285" t="str">
        <v>-</v>
      </c>
      <c r="E19285" t="str">
        <v>-</v>
      </c>
      <c r="F19285" t="str">
        <v>-</v>
      </c>
      <c r="G19285" t="str">
        <v>-</v>
      </c>
    </row>
    <row r="19286">
      <c r="B19286" t="str">
        <v>Công an xã Hảo Đước  tỉnh Tây Ninh</v>
      </c>
      <c r="C19286" t="str">
        <v>-</v>
      </c>
      <c r="D19286" t="str">
        <v>-</v>
      </c>
      <c r="E19286" t="str">
        <v/>
      </c>
      <c r="F19286" t="str">
        <v>-</v>
      </c>
      <c r="G19286" t="str">
        <v>-</v>
      </c>
    </row>
    <row r="19287">
      <c r="B19287" t="str">
        <v>UBND Ủy ban nhân dân xã Hảo Đước  tỉnh Tây Ninh</v>
      </c>
      <c r="C19287" t="str">
        <v>-</v>
      </c>
      <c r="D19287" t="str">
        <v>-</v>
      </c>
      <c r="E19287" t="str">
        <v>-</v>
      </c>
      <c r="F19287" t="str">
        <v>-</v>
      </c>
      <c r="G19287" t="str">
        <v>-</v>
      </c>
    </row>
    <row r="19288">
      <c r="B19288" t="str">
        <v>Công an xã Phước Vinh  tỉnh Tây Ninh</v>
      </c>
      <c r="C19288" t="str">
        <v>-</v>
      </c>
      <c r="D19288" t="str">
        <v>-</v>
      </c>
      <c r="E19288" t="str">
        <v/>
      </c>
      <c r="F19288" t="str">
        <v>-</v>
      </c>
      <c r="G19288" t="str">
        <v>-</v>
      </c>
    </row>
    <row r="19289">
      <c r="B19289" t="str">
        <v>UBND Ủy ban nhân dân xã Phước Vinh  tỉnh Tây Ninh</v>
      </c>
      <c r="C19289" t="str">
        <v>-</v>
      </c>
      <c r="D19289" t="str">
        <v>-</v>
      </c>
      <c r="E19289" t="str">
        <v>-</v>
      </c>
      <c r="F19289" t="str">
        <v>-</v>
      </c>
      <c r="G19289" t="str">
        <v>-</v>
      </c>
    </row>
    <row r="19290">
      <c r="B19290" t="str">
        <v>Công an xã Đồng Khởi  tỉnh Tây Ninh</v>
      </c>
      <c r="C19290" t="str">
        <v>-</v>
      </c>
      <c r="D19290" t="str">
        <v>-</v>
      </c>
      <c r="E19290" t="str">
        <v/>
      </c>
      <c r="F19290" t="str">
        <v>-</v>
      </c>
      <c r="G19290" t="str">
        <v>-</v>
      </c>
    </row>
    <row r="19291">
      <c r="B19291" t="str">
        <v>UBND Ủy ban nhân dân xã Đồng Khởi  tỉnh Tây Ninh</v>
      </c>
      <c r="C19291" t="str">
        <v>-</v>
      </c>
      <c r="D19291" t="str">
        <v>-</v>
      </c>
      <c r="E19291" t="str">
        <v>-</v>
      </c>
      <c r="F19291" t="str">
        <v>-</v>
      </c>
      <c r="G19291" t="str">
        <v>-</v>
      </c>
    </row>
    <row r="19292">
      <c r="B19292" t="str">
        <v>Công an xã Thái Bình  tỉnh Tây Ninh</v>
      </c>
      <c r="C19292" t="str">
        <v>-</v>
      </c>
      <c r="D19292" t="str">
        <v>-</v>
      </c>
      <c r="E19292" t="str">
        <v/>
      </c>
      <c r="F19292" t="str">
        <v>-</v>
      </c>
      <c r="G19292" t="str">
        <v>-</v>
      </c>
    </row>
    <row r="19293">
      <c r="B19293" t="str">
        <v>UBND Ủy ban nhân dân xã Thái Bình  tỉnh Tây Ninh</v>
      </c>
      <c r="C19293" t="str">
        <v>-</v>
      </c>
      <c r="D19293" t="str">
        <v>-</v>
      </c>
      <c r="E19293" t="str">
        <v>-</v>
      </c>
      <c r="F19293" t="str">
        <v>-</v>
      </c>
      <c r="G19293" t="str">
        <v>-</v>
      </c>
    </row>
    <row r="19294">
      <c r="B19294" t="str">
        <v>Công an xã An Cơ  tỉnh Tây Ninh</v>
      </c>
      <c r="C19294" t="str">
        <v>-</v>
      </c>
      <c r="D19294" t="str">
        <v>-</v>
      </c>
      <c r="E19294" t="str">
        <v/>
      </c>
      <c r="F19294" t="str">
        <v>-</v>
      </c>
      <c r="G19294" t="str">
        <v>-</v>
      </c>
    </row>
    <row r="19295">
      <c r="B19295" t="str">
        <v>UBND Ủy ban nhân dân xã An Cơ  tỉnh Tây Ninh</v>
      </c>
      <c r="C19295" t="str">
        <v>-</v>
      </c>
      <c r="D19295" t="str">
        <v>-</v>
      </c>
      <c r="E19295" t="str">
        <v>-</v>
      </c>
      <c r="F19295" t="str">
        <v>-</v>
      </c>
      <c r="G19295" t="str">
        <v>-</v>
      </c>
    </row>
    <row r="19296">
      <c r="B19296" t="str">
        <v>Công an xã Biên Giới  tỉnh Tây Ninh</v>
      </c>
      <c r="C19296" t="str">
        <v>-</v>
      </c>
      <c r="D19296" t="str">
        <v>-</v>
      </c>
      <c r="E19296" t="str">
        <v/>
      </c>
      <c r="F19296" t="str">
        <v>-</v>
      </c>
      <c r="G19296" t="str">
        <v>-</v>
      </c>
    </row>
    <row r="19297">
      <c r="B19297" t="str">
        <v>UBND Ủy ban nhân dân xã Biên Giới  tỉnh Tây Ninh</v>
      </c>
      <c r="C19297" t="str">
        <v>-</v>
      </c>
      <c r="D19297" t="str">
        <v>-</v>
      </c>
      <c r="E19297" t="str">
        <v>-</v>
      </c>
      <c r="F19297" t="str">
        <v>-</v>
      </c>
      <c r="G19297" t="str">
        <v>-</v>
      </c>
    </row>
    <row r="19298">
      <c r="B19298" t="str">
        <v>Công an xã Hòa Thạnh  tỉnh Tây Ninh</v>
      </c>
      <c r="C19298" t="str">
        <v>-</v>
      </c>
      <c r="D19298" t="str">
        <v>-</v>
      </c>
      <c r="E19298" t="str">
        <v/>
      </c>
      <c r="F19298" t="str">
        <v>-</v>
      </c>
      <c r="G19298" t="str">
        <v>-</v>
      </c>
    </row>
    <row r="19299">
      <c r="B19299" t="str">
        <v>UBND Ủy ban nhân dân xã Hòa Thạnh  tỉnh Tây Ninh</v>
      </c>
      <c r="C19299" t="str">
        <v>-</v>
      </c>
      <c r="D19299" t="str">
        <v>-</v>
      </c>
      <c r="E19299" t="str">
        <v>-</v>
      </c>
      <c r="F19299" t="str">
        <v>-</v>
      </c>
      <c r="G19299" t="str">
        <v>-</v>
      </c>
    </row>
    <row r="19300">
      <c r="B19300" t="str">
        <v>Công an xã Trí Bình  tỉnh Tây Ninh</v>
      </c>
      <c r="C19300" t="str">
        <v>-</v>
      </c>
      <c r="D19300" t="str">
        <v>-</v>
      </c>
      <c r="E19300" t="str">
        <v/>
      </c>
      <c r="F19300" t="str">
        <v>-</v>
      </c>
      <c r="G19300" t="str">
        <v>-</v>
      </c>
    </row>
    <row r="19301">
      <c r="B19301" t="str">
        <v>UBND Ủy ban nhân dân xã Trí Bình  tỉnh Tây Ninh</v>
      </c>
      <c r="C19301" t="str">
        <v>-</v>
      </c>
      <c r="D19301" t="str">
        <v>-</v>
      </c>
      <c r="E19301" t="str">
        <v>-</v>
      </c>
      <c r="F19301" t="str">
        <v>-</v>
      </c>
      <c r="G19301" t="str">
        <v>-</v>
      </c>
    </row>
    <row r="19302">
      <c r="B19302" t="str">
        <v>Công an xã Hòa Hội  tỉnh Tây Ninh</v>
      </c>
      <c r="C19302" t="str">
        <v>-</v>
      </c>
      <c r="D19302" t="str">
        <v>-</v>
      </c>
      <c r="E19302" t="str">
        <v/>
      </c>
      <c r="F19302" t="str">
        <v>-</v>
      </c>
      <c r="G19302" t="str">
        <v>-</v>
      </c>
    </row>
    <row r="19303">
      <c r="B19303" t="str">
        <v>UBND Ủy ban nhân dân xã Hòa Hội  tỉnh Tây Ninh</v>
      </c>
      <c r="C19303" t="str">
        <v>-</v>
      </c>
      <c r="D19303" t="str">
        <v>-</v>
      </c>
      <c r="E19303" t="str">
        <v>-</v>
      </c>
      <c r="F19303" t="str">
        <v>-</v>
      </c>
      <c r="G19303" t="str">
        <v>-</v>
      </c>
    </row>
    <row r="19304">
      <c r="B19304" t="str">
        <v>Công an xã An Bình  tỉnh Tây Ninh</v>
      </c>
      <c r="C19304" t="str">
        <v>-</v>
      </c>
      <c r="D19304" t="str">
        <v>-</v>
      </c>
      <c r="E19304" t="str">
        <v/>
      </c>
      <c r="F19304" t="str">
        <v>-</v>
      </c>
      <c r="G19304" t="str">
        <v>-</v>
      </c>
    </row>
    <row r="19305">
      <c r="B19305" t="str">
        <v>UBND Ủy ban nhân dân xã An Bình  tỉnh Tây Ninh</v>
      </c>
      <c r="C19305" t="str">
        <v>-</v>
      </c>
      <c r="D19305" t="str">
        <v>-</v>
      </c>
      <c r="E19305" t="str">
        <v>-</v>
      </c>
      <c r="F19305" t="str">
        <v>-</v>
      </c>
      <c r="G19305" t="str">
        <v>-</v>
      </c>
    </row>
    <row r="19306">
      <c r="B19306" t="str">
        <v>Công an xã Thanh Điền  tỉnh Tây Ninh</v>
      </c>
      <c r="C19306" t="str">
        <v>-</v>
      </c>
      <c r="D19306" t="str">
        <v>-</v>
      </c>
      <c r="E19306" t="str">
        <v/>
      </c>
      <c r="F19306" t="str">
        <v>-</v>
      </c>
      <c r="G19306" t="str">
        <v>-</v>
      </c>
    </row>
    <row r="19307">
      <c r="B19307" t="str">
        <v>UBND Ủy ban nhân dân xã Thanh Điền  tỉnh Tây Ninh</v>
      </c>
      <c r="C19307" t="str">
        <v>-</v>
      </c>
      <c r="D19307" t="str">
        <v>-</v>
      </c>
      <c r="E19307" t="str">
        <v>-</v>
      </c>
      <c r="F19307" t="str">
        <v>-</v>
      </c>
      <c r="G19307" t="str">
        <v>-</v>
      </c>
    </row>
    <row r="19308">
      <c r="B19308" t="str">
        <v>Công an xã Thành Long  tỉnh Tây Ninh</v>
      </c>
      <c r="C19308" t="str">
        <v>-</v>
      </c>
      <c r="D19308" t="str">
        <v>-</v>
      </c>
      <c r="E19308" t="str">
        <v/>
      </c>
      <c r="F19308" t="str">
        <v>-</v>
      </c>
      <c r="G19308" t="str">
        <v>-</v>
      </c>
    </row>
    <row r="19309">
      <c r="B19309" t="str">
        <v>UBND Ủy ban nhân dân xã Thành Long  tỉnh Tây Ninh</v>
      </c>
      <c r="C19309" t="str">
        <v>-</v>
      </c>
      <c r="D19309" t="str">
        <v>-</v>
      </c>
      <c r="E19309" t="str">
        <v>-</v>
      </c>
      <c r="F19309" t="str">
        <v>-</v>
      </c>
      <c r="G19309" t="str">
        <v>-</v>
      </c>
    </row>
    <row r="19310">
      <c r="B19310" t="str">
        <v>Công an xã Ninh Điền  tỉnh Tây Ninh</v>
      </c>
      <c r="C19310" t="str">
        <v>-</v>
      </c>
      <c r="D19310" t="str">
        <v>-</v>
      </c>
      <c r="E19310" t="str">
        <v/>
      </c>
      <c r="F19310" t="str">
        <v>-</v>
      </c>
      <c r="G19310" t="str">
        <v>-</v>
      </c>
    </row>
    <row r="19311">
      <c r="B19311" t="str">
        <v>UBND Ủy ban nhân dân xã Ninh Điền  tỉnh Tây Ninh</v>
      </c>
      <c r="C19311" t="str">
        <v>-</v>
      </c>
      <c r="D19311" t="str">
        <v>-</v>
      </c>
      <c r="E19311" t="str">
        <v>-</v>
      </c>
      <c r="F19311" t="str">
        <v>-</v>
      </c>
      <c r="G19311" t="str">
        <v>-</v>
      </c>
    </row>
    <row r="19312">
      <c r="B19312" t="str">
        <v>Công an xã Long Vĩnh  tỉnh Tây Ninh</v>
      </c>
      <c r="C19312" t="str">
        <v>-</v>
      </c>
      <c r="D19312" t="str">
        <v>-</v>
      </c>
      <c r="E19312" t="str">
        <v/>
      </c>
      <c r="F19312" t="str">
        <v>-</v>
      </c>
      <c r="G19312" t="str">
        <v>-</v>
      </c>
    </row>
    <row r="19313">
      <c r="B19313" t="str">
        <v>UBND Ủy ban nhân dân xã Long Vĩnh  tỉnh Tây Ninh</v>
      </c>
      <c r="C19313" t="str">
        <v>-</v>
      </c>
      <c r="D19313" t="str">
        <v>-</v>
      </c>
      <c r="E19313" t="str">
        <v>-</v>
      </c>
      <c r="F19313" t="str">
        <v>-</v>
      </c>
      <c r="G19313" t="str">
        <v>-</v>
      </c>
    </row>
    <row r="19314">
      <c r="B19314" t="str">
        <v>Công an xã Hiệp Tân  tỉnh Tây Ninh</v>
      </c>
      <c r="C19314" t="str">
        <v>-</v>
      </c>
      <c r="D19314" t="str">
        <v>-</v>
      </c>
      <c r="E19314" t="str">
        <v/>
      </c>
      <c r="F19314" t="str">
        <v>-</v>
      </c>
      <c r="G19314" t="str">
        <v>-</v>
      </c>
    </row>
    <row r="19315">
      <c r="B19315" t="str">
        <v>UBND Ủy ban nhân dân xã Hiệp Tân  tỉnh Tây Ninh</v>
      </c>
      <c r="C19315" t="str">
        <v>-</v>
      </c>
      <c r="D19315" t="str">
        <v>-</v>
      </c>
      <c r="E19315" t="str">
        <v>-</v>
      </c>
      <c r="F19315" t="str">
        <v>-</v>
      </c>
      <c r="G19315" t="str">
        <v>-</v>
      </c>
    </row>
    <row r="19316">
      <c r="B19316" t="str">
        <v>Công an xã Long Thành Bắc  tỉnh Tây Ninh</v>
      </c>
      <c r="C19316" t="str">
        <v>-</v>
      </c>
      <c r="D19316" t="str">
        <v>-</v>
      </c>
      <c r="E19316" t="str">
        <v/>
      </c>
      <c r="F19316" t="str">
        <v>-</v>
      </c>
      <c r="G19316" t="str">
        <v>-</v>
      </c>
    </row>
    <row r="19317">
      <c r="B19317" t="str">
        <v>UBND Ủy ban nhân dân xã Long Thành Bắc  tỉnh Tây Ninh</v>
      </c>
      <c r="C19317" t="str">
        <v>-</v>
      </c>
      <c r="D19317" t="str">
        <v>-</v>
      </c>
      <c r="E19317" t="str">
        <v>-</v>
      </c>
      <c r="F19317" t="str">
        <v>-</v>
      </c>
      <c r="G19317" t="str">
        <v>-</v>
      </c>
    </row>
    <row r="19318">
      <c r="B19318" t="str">
        <v>Công an xã Trường Hòa  tỉnh Tây Ninh</v>
      </c>
      <c r="C19318" t="str">
        <v>-</v>
      </c>
      <c r="D19318" t="str">
        <v>-</v>
      </c>
      <c r="E19318" t="str">
        <v/>
      </c>
      <c r="F19318" t="str">
        <v>-</v>
      </c>
      <c r="G19318" t="str">
        <v>-</v>
      </c>
    </row>
    <row r="19319">
      <c r="B19319" t="str">
        <v>UBND Ủy ban nhân dân xã Trường Hòa  tỉnh Tây Ninh</v>
      </c>
      <c r="C19319" t="str">
        <v>-</v>
      </c>
      <c r="D19319" t="str">
        <v>-</v>
      </c>
      <c r="E19319" t="str">
        <v>-</v>
      </c>
      <c r="F19319" t="str">
        <v>-</v>
      </c>
      <c r="G19319" t="str">
        <v>-</v>
      </c>
    </row>
    <row r="19320">
      <c r="B19320" t="str">
        <v>Công an xã Trường Đông  tỉnh Tây Ninh</v>
      </c>
      <c r="C19320" t="str">
        <v>-</v>
      </c>
      <c r="D19320" t="str">
        <v>-</v>
      </c>
      <c r="E19320" t="str">
        <v/>
      </c>
      <c r="F19320" t="str">
        <v>-</v>
      </c>
      <c r="G19320" t="str">
        <v>-</v>
      </c>
    </row>
    <row r="19321">
      <c r="B19321" t="str">
        <v>UBND Ủy ban nhân dân xã Trường Đông  tỉnh Tây Ninh</v>
      </c>
      <c r="C19321" t="str">
        <v>-</v>
      </c>
      <c r="D19321" t="str">
        <v>-</v>
      </c>
      <c r="E19321" t="str">
        <v>-</v>
      </c>
      <c r="F19321" t="str">
        <v>-</v>
      </c>
      <c r="G19321" t="str">
        <v>-</v>
      </c>
    </row>
    <row r="19322">
      <c r="B19322" t="str">
        <v>Công an xã Long Thành Trung  tỉnh Tây Ninh</v>
      </c>
      <c r="C19322" t="str">
        <v>-</v>
      </c>
      <c r="D19322" t="str">
        <v>-</v>
      </c>
      <c r="E19322" t="str">
        <v/>
      </c>
      <c r="F19322" t="str">
        <v>-</v>
      </c>
      <c r="G19322" t="str">
        <v>-</v>
      </c>
    </row>
    <row r="19323">
      <c r="B19323" t="str">
        <v>UBND Ủy ban nhân dân xã Long Thành Trung  tỉnh Tây Ninh</v>
      </c>
      <c r="C19323" t="str">
        <v>-</v>
      </c>
      <c r="D19323" t="str">
        <v>-</v>
      </c>
      <c r="E19323" t="str">
        <v>-</v>
      </c>
      <c r="F19323" t="str">
        <v>-</v>
      </c>
      <c r="G19323" t="str">
        <v>-</v>
      </c>
    </row>
    <row r="19324">
      <c r="B19324" t="str">
        <v>Công an xã Trường Tây  tỉnh Tây Ninh</v>
      </c>
      <c r="C19324" t="str">
        <v>-</v>
      </c>
      <c r="D19324" t="str">
        <v>-</v>
      </c>
      <c r="E19324" t="str">
        <v/>
      </c>
      <c r="F19324" t="str">
        <v>-</v>
      </c>
      <c r="G19324" t="str">
        <v>-</v>
      </c>
    </row>
    <row r="19325">
      <c r="B19325" t="str">
        <v>UBND Ủy ban nhân dân xã Trường Tây  tỉnh Tây Ninh</v>
      </c>
      <c r="C19325" t="str">
        <v>-</v>
      </c>
      <c r="D19325" t="str">
        <v>-</v>
      </c>
      <c r="E19325" t="str">
        <v>-</v>
      </c>
      <c r="F19325" t="str">
        <v>-</v>
      </c>
      <c r="G19325" t="str">
        <v>-</v>
      </c>
    </row>
    <row r="19326">
      <c r="B19326" t="str">
        <v>Công an xã Long Thành Nam  tỉnh Tây Ninh</v>
      </c>
      <c r="C19326" t="str">
        <v>-</v>
      </c>
      <c r="D19326" t="str">
        <v>-</v>
      </c>
      <c r="E19326" t="str">
        <v/>
      </c>
      <c r="F19326" t="str">
        <v>-</v>
      </c>
      <c r="G19326" t="str">
        <v>-</v>
      </c>
    </row>
    <row r="19327">
      <c r="B19327" t="str">
        <v>UBND Ủy ban nhân dân xã Long Thành Nam  tỉnh Tây Ninh</v>
      </c>
      <c r="C19327" t="str">
        <v>-</v>
      </c>
      <c r="D19327" t="str">
        <v>-</v>
      </c>
      <c r="E19327" t="str">
        <v>-</v>
      </c>
      <c r="F19327" t="str">
        <v>-</v>
      </c>
      <c r="G19327" t="str">
        <v>-</v>
      </c>
    </row>
    <row r="19328">
      <c r="B19328" t="str">
        <v>Công an xã Thạnh Đức  tỉnh Tây Ninh</v>
      </c>
      <c r="C19328" t="str">
        <v>-</v>
      </c>
      <c r="D19328" t="str">
        <v>-</v>
      </c>
      <c r="E19328" t="str">
        <v/>
      </c>
      <c r="F19328" t="str">
        <v>-</v>
      </c>
      <c r="G19328" t="str">
        <v>-</v>
      </c>
    </row>
    <row r="19329">
      <c r="B19329" t="str">
        <v>UBND Ủy ban nhân dân xã Thạnh Đức  tỉnh Tây Ninh</v>
      </c>
      <c r="C19329" t="str">
        <v>-</v>
      </c>
      <c r="D19329" t="str">
        <v>-</v>
      </c>
      <c r="E19329" t="str">
        <v>-</v>
      </c>
      <c r="F19329" t="str">
        <v>-</v>
      </c>
      <c r="G19329" t="str">
        <v>-</v>
      </c>
    </row>
    <row r="19330">
      <c r="B19330" t="str">
        <v>Công an xã Cẩm Giang  tỉnh Tây Ninh</v>
      </c>
      <c r="C19330" t="str">
        <v>-</v>
      </c>
      <c r="D19330" t="str">
        <v>-</v>
      </c>
      <c r="E19330" t="str">
        <v/>
      </c>
      <c r="F19330" t="str">
        <v>-</v>
      </c>
      <c r="G19330" t="str">
        <v>-</v>
      </c>
    </row>
    <row r="19331">
      <c r="B19331" t="str">
        <v>UBND Ủy ban nhân dân xã Cẩm Giang  tỉnh Tây Ninh</v>
      </c>
      <c r="C19331" t="str">
        <v>-</v>
      </c>
      <c r="D19331" t="str">
        <v>-</v>
      </c>
      <c r="E19331" t="str">
        <v>-</v>
      </c>
      <c r="F19331" t="str">
        <v>-</v>
      </c>
      <c r="G19331" t="str">
        <v>-</v>
      </c>
    </row>
    <row r="19332">
      <c r="B19332" t="str">
        <v>Công an xã Hiệp Thạnh  tỉnh Tây Ninh</v>
      </c>
      <c r="C19332" t="str">
        <v>-</v>
      </c>
      <c r="D19332" t="str">
        <v>-</v>
      </c>
      <c r="E19332" t="str">
        <v/>
      </c>
      <c r="F19332" t="str">
        <v>-</v>
      </c>
      <c r="G19332" t="str">
        <v>-</v>
      </c>
    </row>
    <row r="19333">
      <c r="B19333" t="str">
        <v>UBND Ủy ban nhân dân xã Hiệp Thạnh  tỉnh Tây Ninh</v>
      </c>
      <c r="C19333" t="str">
        <v>-</v>
      </c>
      <c r="D19333" t="str">
        <v>-</v>
      </c>
      <c r="E19333" t="str">
        <v>-</v>
      </c>
      <c r="F19333" t="str">
        <v>-</v>
      </c>
      <c r="G19333" t="str">
        <v>-</v>
      </c>
    </row>
    <row r="19334">
      <c r="B19334" t="str">
        <v>Công an xã Bàu Đồn  tỉnh Tây Ninh</v>
      </c>
      <c r="C19334" t="str">
        <v>-</v>
      </c>
      <c r="D19334" t="str">
        <v>-</v>
      </c>
      <c r="E19334" t="str">
        <v/>
      </c>
      <c r="F19334" t="str">
        <v>-</v>
      </c>
      <c r="G19334" t="str">
        <v>-</v>
      </c>
    </row>
    <row r="19335">
      <c r="B19335" t="str">
        <v>UBND Ủy ban nhân dân xã Bàu Đồn  tỉnh Tây Ninh</v>
      </c>
      <c r="C19335" t="str">
        <v>-</v>
      </c>
      <c r="D19335" t="str">
        <v>-</v>
      </c>
      <c r="E19335" t="str">
        <v>-</v>
      </c>
      <c r="F19335" t="str">
        <v>-</v>
      </c>
      <c r="G19335" t="str">
        <v>-</v>
      </c>
    </row>
    <row r="19336">
      <c r="B19336" t="str">
        <v>Công an xã Phước Thạnh  tỉnh Tây Ninh</v>
      </c>
      <c r="C19336" t="str">
        <v>-</v>
      </c>
      <c r="D19336" t="str">
        <v>-</v>
      </c>
      <c r="E19336" t="str">
        <v/>
      </c>
      <c r="F19336" t="str">
        <v>-</v>
      </c>
      <c r="G19336" t="str">
        <v>-</v>
      </c>
    </row>
    <row r="19337">
      <c r="B19337" t="str">
        <v>UBND Ủy ban nhân dân xã Phước Thạnh  tỉnh Tây Ninh</v>
      </c>
      <c r="C19337" t="str">
        <v>-</v>
      </c>
      <c r="D19337" t="str">
        <v>-</v>
      </c>
      <c r="E19337" t="str">
        <v>-</v>
      </c>
      <c r="F19337" t="str">
        <v>-</v>
      </c>
      <c r="G19337" t="str">
        <v>-</v>
      </c>
    </row>
    <row r="19338">
      <c r="B19338" t="str">
        <v>Công an xã Phước Đông  tỉnh Tây Ninh</v>
      </c>
      <c r="C19338" t="str">
        <v>-</v>
      </c>
      <c r="D19338" t="str">
        <v>-</v>
      </c>
      <c r="E19338" t="str">
        <v/>
      </c>
      <c r="F19338" t="str">
        <v>-</v>
      </c>
      <c r="G19338" t="str">
        <v>-</v>
      </c>
    </row>
    <row r="19339">
      <c r="B19339" t="str">
        <v>UBND Ủy ban nhân dân xã Phước Đông  tỉnh Tây Ninh</v>
      </c>
      <c r="C19339" t="str">
        <v>-</v>
      </c>
      <c r="D19339" t="str">
        <v>-</v>
      </c>
      <c r="E19339" t="str">
        <v>-</v>
      </c>
      <c r="F19339" t="str">
        <v>-</v>
      </c>
      <c r="G19339" t="str">
        <v>-</v>
      </c>
    </row>
    <row r="19340">
      <c r="B19340" t="str">
        <v>Công an xã Phước Trạch  tỉnh Tây Ninh</v>
      </c>
      <c r="C19340" t="str">
        <v>-</v>
      </c>
      <c r="D19340" t="str">
        <v>-</v>
      </c>
      <c r="E19340" t="str">
        <v/>
      </c>
      <c r="F19340" t="str">
        <v>-</v>
      </c>
      <c r="G19340" t="str">
        <v>-</v>
      </c>
    </row>
    <row r="19341">
      <c r="B19341" t="str">
        <v>UBND Ủy ban nhân dân xã Phước Trạch  tỉnh Tây Ninh</v>
      </c>
      <c r="C19341" t="str">
        <v>-</v>
      </c>
      <c r="D19341" t="str">
        <v>-</v>
      </c>
      <c r="E19341" t="str">
        <v>-</v>
      </c>
      <c r="F19341" t="str">
        <v>-</v>
      </c>
      <c r="G19341" t="str">
        <v>-</v>
      </c>
    </row>
    <row r="19342">
      <c r="B19342" t="str">
        <v>Công an xã Thanh Phước  tỉnh Tây Ninh</v>
      </c>
      <c r="C19342" t="str">
        <v>-</v>
      </c>
      <c r="D19342" t="str">
        <v>-</v>
      </c>
      <c r="E19342" t="str">
        <v/>
      </c>
      <c r="F19342" t="str">
        <v>-</v>
      </c>
      <c r="G19342" t="str">
        <v>-</v>
      </c>
    </row>
    <row r="19343">
      <c r="B19343" t="str">
        <v>UBND Ủy ban nhân dân xã Thanh Phước  tỉnh Tây Ninh</v>
      </c>
      <c r="C19343" t="str">
        <v>-</v>
      </c>
      <c r="D19343" t="str">
        <v>-</v>
      </c>
      <c r="E19343" t="str">
        <v>-</v>
      </c>
      <c r="F19343" t="str">
        <v>-</v>
      </c>
      <c r="G19343" t="str">
        <v>-</v>
      </c>
    </row>
    <row r="19344">
      <c r="B19344" t="str">
        <v>Công an xã Long Chữ  tỉnh Tây Ninh</v>
      </c>
      <c r="C19344" t="str">
        <v>-</v>
      </c>
      <c r="D19344" t="str">
        <v>-</v>
      </c>
      <c r="E19344" t="str">
        <v/>
      </c>
      <c r="F19344" t="str">
        <v>-</v>
      </c>
      <c r="G19344" t="str">
        <v>-</v>
      </c>
    </row>
    <row r="19345">
      <c r="B19345" t="str">
        <v>UBND Ủy ban nhân dân xã Long Chữ  tỉnh Tây Ninh</v>
      </c>
      <c r="C19345" t="str">
        <v>-</v>
      </c>
      <c r="D19345" t="str">
        <v>-</v>
      </c>
      <c r="E19345" t="str">
        <v>-</v>
      </c>
      <c r="F19345" t="str">
        <v>-</v>
      </c>
      <c r="G19345" t="str">
        <v>-</v>
      </c>
    </row>
    <row r="19346">
      <c r="B19346" t="str">
        <v>Công an xã Long Phước  tỉnh Tây Ninh</v>
      </c>
      <c r="C19346" t="str">
        <v>-</v>
      </c>
      <c r="D19346" t="str">
        <v>-</v>
      </c>
      <c r="E19346" t="str">
        <v/>
      </c>
      <c r="F19346" t="str">
        <v>-</v>
      </c>
      <c r="G19346" t="str">
        <v>-</v>
      </c>
    </row>
    <row r="19347">
      <c r="B19347" t="str">
        <v>UBND Ủy ban nhân dân xã Long Phước  tỉnh Tây Ninh</v>
      </c>
      <c r="C19347" t="str">
        <v>-</v>
      </c>
      <c r="D19347" t="str">
        <v>-</v>
      </c>
      <c r="E19347" t="str">
        <v>-</v>
      </c>
      <c r="F19347" t="str">
        <v>-</v>
      </c>
      <c r="G19347" t="str">
        <v>-</v>
      </c>
    </row>
    <row r="19348">
      <c r="B19348" t="str">
        <v>Công an xã Long Giang  tỉnh Tây Ninh</v>
      </c>
      <c r="C19348" t="str">
        <v>-</v>
      </c>
      <c r="D19348" t="str">
        <v>-</v>
      </c>
      <c r="E19348" t="str">
        <v/>
      </c>
      <c r="F19348" t="str">
        <v>-</v>
      </c>
      <c r="G19348" t="str">
        <v>-</v>
      </c>
    </row>
    <row r="19349">
      <c r="B19349" t="str">
        <v>UBND Ủy ban nhân dân xã Long Giang  tỉnh Tây Ninh</v>
      </c>
      <c r="C19349" t="str">
        <v>-</v>
      </c>
      <c r="D19349" t="str">
        <v>-</v>
      </c>
      <c r="E19349" t="str">
        <v>-</v>
      </c>
      <c r="F19349" t="str">
        <v>-</v>
      </c>
      <c r="G19349" t="str">
        <v>-</v>
      </c>
    </row>
    <row r="19350">
      <c r="B19350" t="str">
        <v>Công an xã Tiên Thuận  tỉnh Tây Ninh</v>
      </c>
      <c r="C19350" t="str">
        <v>-</v>
      </c>
      <c r="D19350" t="str">
        <v>-</v>
      </c>
      <c r="E19350" t="str">
        <v/>
      </c>
      <c r="F19350" t="str">
        <v>-</v>
      </c>
      <c r="G19350" t="str">
        <v>-</v>
      </c>
    </row>
    <row r="19351">
      <c r="B19351" t="str">
        <v>UBND Ủy ban nhân dân xã Tiên Thuận  tỉnh Tây Ninh</v>
      </c>
      <c r="C19351" t="str">
        <v>-</v>
      </c>
      <c r="D19351" t="str">
        <v>-</v>
      </c>
      <c r="E19351" t="str">
        <v>-</v>
      </c>
      <c r="F19351" t="str">
        <v>-</v>
      </c>
      <c r="G19351" t="str">
        <v>-</v>
      </c>
    </row>
    <row r="19352">
      <c r="B19352" t="str">
        <v>Công an xã Long Khánh  tỉnh Tây Ninh</v>
      </c>
      <c r="C19352" t="str">
        <v>-</v>
      </c>
      <c r="D19352" t="str">
        <v>-</v>
      </c>
      <c r="E19352" t="str">
        <v/>
      </c>
      <c r="F19352" t="str">
        <v>-</v>
      </c>
      <c r="G19352" t="str">
        <v>-</v>
      </c>
    </row>
    <row r="19353">
      <c r="B19353" t="str">
        <v>UBND Ủy ban nhân dân xã Long Khánh  tỉnh Tây Ninh</v>
      </c>
      <c r="C19353" t="str">
        <v>-</v>
      </c>
      <c r="D19353" t="str">
        <v>-</v>
      </c>
      <c r="E19353" t="str">
        <v>-</v>
      </c>
      <c r="F19353" t="str">
        <v>-</v>
      </c>
      <c r="G19353" t="str">
        <v>-</v>
      </c>
    </row>
    <row r="19354">
      <c r="B19354" t="str">
        <v>Công an xã Lợi Thuận  tỉnh Tây Ninh</v>
      </c>
      <c r="C19354" t="str">
        <v>-</v>
      </c>
      <c r="D19354" t="str">
        <v>-</v>
      </c>
      <c r="E19354" t="str">
        <v/>
      </c>
      <c r="F19354" t="str">
        <v>-</v>
      </c>
      <c r="G19354" t="str">
        <v>-</v>
      </c>
    </row>
    <row r="19355">
      <c r="B19355" t="str">
        <v>UBND Ủy ban nhân dân xã Lợi Thuận  tỉnh Tây Ninh</v>
      </c>
      <c r="C19355" t="str">
        <v>-</v>
      </c>
      <c r="D19355" t="str">
        <v>-</v>
      </c>
      <c r="E19355" t="str">
        <v>-</v>
      </c>
      <c r="F19355" t="str">
        <v>-</v>
      </c>
      <c r="G19355" t="str">
        <v>-</v>
      </c>
    </row>
    <row r="19356">
      <c r="B19356" t="str">
        <v>Công an xã Long Thuận  tỉnh Tây Ninh</v>
      </c>
      <c r="C19356" t="str">
        <v>-</v>
      </c>
      <c r="D19356" t="str">
        <v>-</v>
      </c>
      <c r="E19356" t="str">
        <v/>
      </c>
      <c r="F19356" t="str">
        <v>-</v>
      </c>
      <c r="G19356" t="str">
        <v>-</v>
      </c>
    </row>
    <row r="19357">
      <c r="B19357" t="str">
        <v>UBND Ủy ban nhân dân xã Long Thuận  tỉnh Tây Ninh</v>
      </c>
      <c r="C19357" t="str">
        <v>-</v>
      </c>
      <c r="D19357" t="str">
        <v>-</v>
      </c>
      <c r="E19357" t="str">
        <v>-</v>
      </c>
      <c r="F19357" t="str">
        <v>-</v>
      </c>
      <c r="G19357" t="str">
        <v>-</v>
      </c>
    </row>
    <row r="19358">
      <c r="B19358" t="str">
        <v>Công an xã An Thạnh  tỉnh Tây Ninh</v>
      </c>
      <c r="C19358" t="str">
        <v>-</v>
      </c>
      <c r="D19358" t="str">
        <v>-</v>
      </c>
      <c r="E19358" t="str">
        <v/>
      </c>
      <c r="F19358" t="str">
        <v>-</v>
      </c>
      <c r="G19358" t="str">
        <v>-</v>
      </c>
    </row>
    <row r="19359">
      <c r="B19359" t="str">
        <v>UBND Ủy ban nhân dân xã An Thạnh  tỉnh Tây Ninh</v>
      </c>
      <c r="C19359" t="str">
        <v>-</v>
      </c>
      <c r="D19359" t="str">
        <v>-</v>
      </c>
      <c r="E19359" t="str">
        <v>-</v>
      </c>
      <c r="F19359" t="str">
        <v>-</v>
      </c>
      <c r="G19359" t="str">
        <v>-</v>
      </c>
    </row>
    <row r="19360">
      <c r="B19360" t="str">
        <v>Công an xã Đôn Thuận  tỉnh Tây Ninh</v>
      </c>
      <c r="C19360" t="str">
        <v>-</v>
      </c>
      <c r="D19360" t="str">
        <v>-</v>
      </c>
      <c r="E19360" t="str">
        <v/>
      </c>
      <c r="F19360" t="str">
        <v>-</v>
      </c>
      <c r="G19360" t="str">
        <v>-</v>
      </c>
    </row>
    <row r="19361">
      <c r="B19361" t="str">
        <v>UBND Ủy ban nhân dân xã Đôn Thuận  tỉnh Tây Ninh</v>
      </c>
      <c r="C19361" t="str">
        <v>-</v>
      </c>
      <c r="D19361" t="str">
        <v>-</v>
      </c>
      <c r="E19361" t="str">
        <v>-</v>
      </c>
      <c r="F19361" t="str">
        <v>-</v>
      </c>
      <c r="G19361" t="str">
        <v>-</v>
      </c>
    </row>
    <row r="19362">
      <c r="B19362" t="str">
        <v>Công an xã Hưng Thuận  tỉnh Tây Ninh</v>
      </c>
      <c r="C19362" t="str">
        <v>-</v>
      </c>
      <c r="D19362" t="str">
        <v>-</v>
      </c>
      <c r="E19362" t="str">
        <v/>
      </c>
      <c r="F19362" t="str">
        <v>-</v>
      </c>
      <c r="G19362" t="str">
        <v>-</v>
      </c>
    </row>
    <row r="19363">
      <c r="B19363" t="str">
        <v>UBND Ủy ban nhân dân xã Hưng Thuận  tỉnh Tây Ninh</v>
      </c>
      <c r="C19363" t="str">
        <v>-</v>
      </c>
      <c r="D19363" t="str">
        <v>-</v>
      </c>
      <c r="E19363" t="str">
        <v>-</v>
      </c>
      <c r="F19363" t="str">
        <v>-</v>
      </c>
      <c r="G19363" t="str">
        <v>-</v>
      </c>
    </row>
    <row r="19364">
      <c r="B19364" t="str">
        <v>Công an xã Lộc Hưng  tỉnh Tây Ninh</v>
      </c>
      <c r="C19364" t="str">
        <v>-</v>
      </c>
      <c r="D19364" t="str">
        <v>-</v>
      </c>
      <c r="E19364" t="str">
        <v/>
      </c>
      <c r="F19364" t="str">
        <v>-</v>
      </c>
      <c r="G19364" t="str">
        <v>-</v>
      </c>
    </row>
    <row r="19365">
      <c r="B19365" t="str">
        <v>UBND Ủy ban nhân dân xã Lộc Hưng  tỉnh Tây Ninh</v>
      </c>
      <c r="C19365" t="str">
        <v>-</v>
      </c>
      <c r="D19365" t="str">
        <v>-</v>
      </c>
      <c r="E19365" t="str">
        <v>-</v>
      </c>
      <c r="F19365" t="str">
        <v>-</v>
      </c>
      <c r="G19365" t="str">
        <v>-</v>
      </c>
    </row>
    <row r="19366">
      <c r="B19366" t="str">
        <v>Công an xã Gia Lộc  tỉnh Tây Ninh</v>
      </c>
      <c r="C19366" t="str">
        <v>-</v>
      </c>
      <c r="D19366" t="str">
        <v>-</v>
      </c>
      <c r="E19366" t="str">
        <v/>
      </c>
      <c r="F19366" t="str">
        <v>-</v>
      </c>
      <c r="G19366" t="str">
        <v>-</v>
      </c>
    </row>
    <row r="19367">
      <c r="B19367" t="str">
        <v>UBND Ủy ban nhân dân xã Gia Lộc  tỉnh Tây Ninh</v>
      </c>
      <c r="C19367" t="str">
        <v>-</v>
      </c>
      <c r="D19367" t="str">
        <v>-</v>
      </c>
      <c r="E19367" t="str">
        <v>-</v>
      </c>
      <c r="F19367" t="str">
        <v>-</v>
      </c>
      <c r="G19367" t="str">
        <v>-</v>
      </c>
    </row>
    <row r="19368">
      <c r="B19368" t="str">
        <v>Công an xã Gia Bình  tỉnh Tây Ninh</v>
      </c>
      <c r="C19368" t="str">
        <v>-</v>
      </c>
      <c r="D19368" t="str">
        <v>-</v>
      </c>
      <c r="E19368" t="str">
        <v/>
      </c>
      <c r="F19368" t="str">
        <v>-</v>
      </c>
      <c r="G19368" t="str">
        <v>-</v>
      </c>
    </row>
    <row r="19369">
      <c r="B19369" t="str">
        <v>UBND Ủy ban nhân dân xã Gia Bình  tỉnh Tây Ninh</v>
      </c>
      <c r="C19369" t="str">
        <v>-</v>
      </c>
      <c r="D19369" t="str">
        <v>-</v>
      </c>
      <c r="E19369" t="str">
        <v>-</v>
      </c>
      <c r="F19369" t="str">
        <v>-</v>
      </c>
      <c r="G19369" t="str">
        <v>-</v>
      </c>
    </row>
    <row r="19370">
      <c r="B19370" t="str">
        <v>Công an xã Phước Lưu  tỉnh Tây Ninh</v>
      </c>
      <c r="C19370" t="str">
        <v>-</v>
      </c>
      <c r="D19370" t="str">
        <v>-</v>
      </c>
      <c r="E19370" t="str">
        <v/>
      </c>
      <c r="F19370" t="str">
        <v>-</v>
      </c>
      <c r="G19370" t="str">
        <v>-</v>
      </c>
    </row>
    <row r="19371">
      <c r="B19371" t="str">
        <v>UBND Ủy ban nhân dân xã Phước Lưu  tỉnh Tây Ninh</v>
      </c>
      <c r="C19371" t="str">
        <v>-</v>
      </c>
      <c r="D19371" t="str">
        <v>-</v>
      </c>
      <c r="E19371" t="str">
        <v>-</v>
      </c>
      <c r="F19371" t="str">
        <v>-</v>
      </c>
      <c r="G19371" t="str">
        <v>-</v>
      </c>
    </row>
    <row r="19372">
      <c r="B19372" t="str">
        <v>Công an xã Bình Thạnh  tỉnh Tây Ninh</v>
      </c>
      <c r="C19372" t="str">
        <v>-</v>
      </c>
      <c r="D19372" t="str">
        <v>-</v>
      </c>
      <c r="E19372" t="str">
        <v/>
      </c>
      <c r="F19372" t="str">
        <v>-</v>
      </c>
      <c r="G19372" t="str">
        <v>-</v>
      </c>
    </row>
    <row r="19373">
      <c r="B19373" t="str">
        <v>UBND Ủy ban nhân dân xã Bình Thạnh  tỉnh Tây Ninh</v>
      </c>
      <c r="C19373" t="str">
        <v>-</v>
      </c>
      <c r="D19373" t="str">
        <v>-</v>
      </c>
      <c r="E19373" t="str">
        <v>-</v>
      </c>
      <c r="F19373" t="str">
        <v>-</v>
      </c>
      <c r="G19373" t="str">
        <v>-</v>
      </c>
    </row>
    <row r="19374">
      <c r="B19374" t="str">
        <v>Công an xã An Tịnh  tỉnh Tây Ninh</v>
      </c>
      <c r="C19374" t="str">
        <v>-</v>
      </c>
      <c r="D19374" t="str">
        <v>-</v>
      </c>
      <c r="E19374" t="str">
        <v/>
      </c>
      <c r="F19374" t="str">
        <v>-</v>
      </c>
      <c r="G19374" t="str">
        <v>-</v>
      </c>
    </row>
    <row r="19375">
      <c r="B19375" t="str">
        <v>UBND Ủy ban nhân dân xã An Tịnh  tỉnh Tây Ninh</v>
      </c>
      <c r="C19375" t="str">
        <v>-</v>
      </c>
      <c r="D19375" t="str">
        <v>-</v>
      </c>
      <c r="E19375" t="str">
        <v>-</v>
      </c>
      <c r="F19375" t="str">
        <v>-</v>
      </c>
      <c r="G19375" t="str">
        <v>-</v>
      </c>
    </row>
    <row r="19376">
      <c r="B19376" t="str">
        <v>Công an xã An Hòa  tỉnh Tây Ninh</v>
      </c>
      <c r="C19376" t="str">
        <v>-</v>
      </c>
      <c r="D19376" t="str">
        <v>-</v>
      </c>
      <c r="E19376" t="str">
        <v/>
      </c>
      <c r="F19376" t="str">
        <v>-</v>
      </c>
      <c r="G19376" t="str">
        <v>-</v>
      </c>
    </row>
    <row r="19377">
      <c r="B19377" t="str">
        <v>UBND Ủy ban nhân dân xã An Hòa  tỉnh Tây Ninh</v>
      </c>
      <c r="C19377" t="str">
        <v>-</v>
      </c>
      <c r="D19377" t="str">
        <v>-</v>
      </c>
      <c r="E19377" t="str">
        <v>-</v>
      </c>
      <c r="F19377" t="str">
        <v>-</v>
      </c>
      <c r="G19377" t="str">
        <v>-</v>
      </c>
    </row>
    <row r="19378">
      <c r="B19378" t="str">
        <v>Công an xã Phước Chỉ  tỉnh Tây Ninh</v>
      </c>
      <c r="C19378" t="str">
        <v>-</v>
      </c>
      <c r="D19378" t="str">
        <v>-</v>
      </c>
      <c r="E19378" t="str">
        <v/>
      </c>
      <c r="F19378" t="str">
        <v>-</v>
      </c>
      <c r="G19378" t="str">
        <v>-</v>
      </c>
    </row>
    <row r="19379">
      <c r="B19379" t="str">
        <v>UBND Ủy ban nhân dân xã Phước Chỉ  tỉnh Tây Ninh</v>
      </c>
      <c r="C19379" t="str">
        <v>-</v>
      </c>
      <c r="D19379" t="str">
        <v>-</v>
      </c>
      <c r="E19379" t="str">
        <v>-</v>
      </c>
      <c r="F19379" t="str">
        <v>-</v>
      </c>
      <c r="G19379" t="str">
        <v>-</v>
      </c>
    </row>
    <row r="19380">
      <c r="B19380" t="str">
        <v>Công an phường Hiệp Thành  tỉnh Bình Dương</v>
      </c>
      <c r="C19380" t="str">
        <v>-</v>
      </c>
      <c r="D19380" t="str">
        <v>-</v>
      </c>
      <c r="E19380" t="str">
        <v/>
      </c>
      <c r="F19380" t="str">
        <v>-</v>
      </c>
      <c r="G19380" t="str">
        <v>-</v>
      </c>
    </row>
    <row r="19381">
      <c r="B19381" t="str">
        <v>UBND Ủy ban nhân dân phường Hiệp Thành  tỉnh Bình Dương</v>
      </c>
      <c r="C19381" t="str">
        <v>-</v>
      </c>
      <c r="D19381" t="str">
        <v>-</v>
      </c>
      <c r="E19381" t="str">
        <v>-</v>
      </c>
      <c r="F19381" t="str">
        <v>-</v>
      </c>
      <c r="G19381" t="str">
        <v>-</v>
      </c>
    </row>
    <row r="19382">
      <c r="B19382" t="str">
        <v>Công an phường Phú Lợi  tỉnh Bình Dương</v>
      </c>
      <c r="C19382" t="str">
        <v>-</v>
      </c>
      <c r="D19382" t="str">
        <v>-</v>
      </c>
      <c r="E19382" t="str">
        <v/>
      </c>
      <c r="F19382" t="str">
        <v>-</v>
      </c>
      <c r="G19382" t="str">
        <v>-</v>
      </c>
    </row>
    <row r="19383">
      <c r="B19383" t="str">
        <v>UBND Ủy ban nhân dân phường Phú Lợi  tỉnh Bình Dương</v>
      </c>
      <c r="C19383" t="str">
        <v>-</v>
      </c>
      <c r="D19383" t="str">
        <v>-</v>
      </c>
      <c r="E19383" t="str">
        <v>-</v>
      </c>
      <c r="F19383" t="str">
        <v>-</v>
      </c>
      <c r="G19383" t="str">
        <v>-</v>
      </c>
    </row>
    <row r="19384">
      <c r="B19384" t="str">
        <v>Công an phường Phú Cường  tỉnh Bình Dương</v>
      </c>
      <c r="C19384" t="str">
        <v>-</v>
      </c>
      <c r="D19384" t="str">
        <v>-</v>
      </c>
      <c r="E19384" t="str">
        <v/>
      </c>
      <c r="F19384" t="str">
        <v>-</v>
      </c>
      <c r="G19384" t="str">
        <v>-</v>
      </c>
    </row>
    <row r="19385">
      <c r="B19385" t="str">
        <v>UBND Ủy ban nhân dân phường Phú Cường  tỉnh Bình Dương</v>
      </c>
      <c r="C19385" t="str">
        <v>-</v>
      </c>
      <c r="D19385" t="str">
        <v>-</v>
      </c>
      <c r="E19385" t="str">
        <v>-</v>
      </c>
      <c r="F19385" t="str">
        <v>-</v>
      </c>
      <c r="G19385" t="str">
        <v>-</v>
      </c>
    </row>
    <row r="19386">
      <c r="B19386" t="str">
        <v>Công an phường Phú Hòa  tỉnh Bình Dương</v>
      </c>
      <c r="C19386" t="str">
        <v>-</v>
      </c>
      <c r="D19386" t="str">
        <v>-</v>
      </c>
      <c r="E19386" t="str">
        <v/>
      </c>
      <c r="F19386" t="str">
        <v>-</v>
      </c>
      <c r="G19386" t="str">
        <v>-</v>
      </c>
    </row>
    <row r="19387">
      <c r="B19387" t="str">
        <v>UBND Ủy ban nhân dân phường Phú Hòa  tỉnh Bình Dương</v>
      </c>
      <c r="C19387" t="str">
        <v>-</v>
      </c>
      <c r="D19387" t="str">
        <v>-</v>
      </c>
      <c r="E19387" t="str">
        <v>-</v>
      </c>
      <c r="F19387" t="str">
        <v>-</v>
      </c>
      <c r="G19387" t="str">
        <v>-</v>
      </c>
    </row>
    <row r="19388">
      <c r="B19388" t="str">
        <v>Công an phường Phú Thọ  tỉnh Bình Dương</v>
      </c>
      <c r="C19388" t="str">
        <v>-</v>
      </c>
      <c r="D19388" t="str">
        <v>-</v>
      </c>
      <c r="E19388" t="str">
        <v/>
      </c>
      <c r="F19388" t="str">
        <v>-</v>
      </c>
      <c r="G19388" t="str">
        <v>-</v>
      </c>
    </row>
    <row r="19389">
      <c r="B19389" t="str">
        <v>UBND Ủy ban nhân dân phường Phú Thọ  tỉnh Bình Dương</v>
      </c>
      <c r="C19389" t="str">
        <v>-</v>
      </c>
      <c r="D19389" t="str">
        <v>-</v>
      </c>
      <c r="E19389" t="str">
        <v>-</v>
      </c>
      <c r="F19389" t="str">
        <v>-</v>
      </c>
      <c r="G19389" t="str">
        <v>-</v>
      </c>
    </row>
    <row r="19390">
      <c r="B19390" t="str">
        <v>Công an phường Chánh Nghĩa  tỉnh Bình Dương</v>
      </c>
      <c r="C19390" t="str">
        <v>-</v>
      </c>
      <c r="D19390" t="str">
        <v>-</v>
      </c>
      <c r="E19390" t="str">
        <v/>
      </c>
      <c r="F19390" t="str">
        <v>-</v>
      </c>
      <c r="G19390" t="str">
        <v>-</v>
      </c>
    </row>
    <row r="19391">
      <c r="B19391" t="str">
        <v>UBND Ủy ban nhân dân phường Chánh Nghĩa  tỉnh Bình Dương</v>
      </c>
      <c r="C19391" t="str">
        <v>-</v>
      </c>
      <c r="D19391" t="str">
        <v>-</v>
      </c>
      <c r="E19391" t="str">
        <v>-</v>
      </c>
      <c r="F19391" t="str">
        <v>-</v>
      </c>
      <c r="G19391" t="str">
        <v>-</v>
      </c>
    </row>
    <row r="19392">
      <c r="B19392" t="str">
        <v>Công an phường Định Hoà  tỉnh Bình Dương</v>
      </c>
      <c r="C19392" t="str">
        <v>-</v>
      </c>
      <c r="D19392" t="str">
        <v>-</v>
      </c>
      <c r="E19392" t="str">
        <v/>
      </c>
      <c r="F19392" t="str">
        <v>-</v>
      </c>
      <c r="G19392" t="str">
        <v>-</v>
      </c>
    </row>
    <row r="19393">
      <c r="B19393" t="str">
        <v>UBND Ủy ban nhân dân phường Định Hoà  tỉnh Bình Dương</v>
      </c>
      <c r="C19393" t="str">
        <v>-</v>
      </c>
      <c r="D19393" t="str">
        <v>-</v>
      </c>
      <c r="E19393" t="str">
        <v>-</v>
      </c>
      <c r="F19393" t="str">
        <v>-</v>
      </c>
      <c r="G19393" t="str">
        <v>-</v>
      </c>
    </row>
    <row r="19394">
      <c r="B19394" t="str">
        <v>Công an phường Hoà Phú  tỉnh Bình Dương</v>
      </c>
      <c r="C19394" t="str">
        <v>-</v>
      </c>
      <c r="D19394" t="str">
        <v>-</v>
      </c>
      <c r="E19394" t="str">
        <v/>
      </c>
      <c r="F19394" t="str">
        <v>-</v>
      </c>
      <c r="G19394" t="str">
        <v>-</v>
      </c>
    </row>
    <row r="19395">
      <c r="B19395" t="str">
        <v>UBND Ủy ban nhân dân phường Hoà Phú  tỉnh Bình Dương</v>
      </c>
      <c r="C19395" t="str">
        <v>-</v>
      </c>
      <c r="D19395" t="str">
        <v>-</v>
      </c>
      <c r="E19395" t="str">
        <v>-</v>
      </c>
      <c r="F19395" t="str">
        <v>-</v>
      </c>
      <c r="G19395" t="str">
        <v>-</v>
      </c>
    </row>
    <row r="19396">
      <c r="B19396" t="str">
        <v>Công an phường Phú Mỹ  tỉnh Bình Dương</v>
      </c>
      <c r="C19396" t="str">
        <v>-</v>
      </c>
      <c r="D19396" t="str">
        <v>-</v>
      </c>
      <c r="E19396" t="str">
        <v/>
      </c>
      <c r="F19396" t="str">
        <v>-</v>
      </c>
      <c r="G19396" t="str">
        <v>-</v>
      </c>
    </row>
    <row r="19397">
      <c r="B19397" t="str">
        <v>UBND Ủy ban nhân dân phường Phú Mỹ  tỉnh Bình Dương</v>
      </c>
      <c r="C19397" t="str">
        <v>-</v>
      </c>
      <c r="D19397" t="str">
        <v>-</v>
      </c>
      <c r="E19397" t="str">
        <v>-</v>
      </c>
      <c r="F19397" t="str">
        <v>-</v>
      </c>
      <c r="G19397" t="str">
        <v>-</v>
      </c>
    </row>
    <row r="19398">
      <c r="B19398" t="str">
        <v>Công an phường Phú Tân  tỉnh Bình Dương</v>
      </c>
      <c r="C19398" t="str">
        <v>-</v>
      </c>
      <c r="D19398" t="str">
        <v>-</v>
      </c>
      <c r="E19398" t="str">
        <v/>
      </c>
      <c r="F19398" t="str">
        <v>-</v>
      </c>
      <c r="G19398" t="str">
        <v>-</v>
      </c>
    </row>
    <row r="19399">
      <c r="B19399" t="str">
        <v>UBND Ủy ban nhân dân phường Phú Tân  tỉnh Bình Dương</v>
      </c>
      <c r="C19399" t="str">
        <v>-</v>
      </c>
      <c r="D19399" t="str">
        <v>-</v>
      </c>
      <c r="E19399" t="str">
        <v>-</v>
      </c>
      <c r="F19399" t="str">
        <v>-</v>
      </c>
      <c r="G19399" t="str">
        <v>-</v>
      </c>
    </row>
    <row r="19400">
      <c r="B19400" t="str">
        <v>Công an phường Tân An  tỉnh Bình Dương</v>
      </c>
      <c r="C19400" t="str">
        <v>-</v>
      </c>
      <c r="D19400" t="str">
        <v>-</v>
      </c>
      <c r="E19400" t="str">
        <v/>
      </c>
      <c r="F19400" t="str">
        <v>-</v>
      </c>
      <c r="G19400" t="str">
        <v>-</v>
      </c>
    </row>
    <row r="19401">
      <c r="B19401" t="str">
        <v>UBND Ủy ban nhân dân phường Tân An  tỉnh Bình Dương</v>
      </c>
      <c r="C19401" t="str">
        <v>-</v>
      </c>
      <c r="D19401" t="str">
        <v>-</v>
      </c>
      <c r="E19401" t="str">
        <v>-</v>
      </c>
      <c r="F19401" t="str">
        <v>-</v>
      </c>
      <c r="G19401" t="str">
        <v>-</v>
      </c>
    </row>
    <row r="19402">
      <c r="B19402" t="str">
        <v>Công an phường Hiệp An  tỉnh Bình Dương</v>
      </c>
      <c r="C19402" t="str">
        <v>-</v>
      </c>
      <c r="D19402" t="str">
        <v>-</v>
      </c>
      <c r="E19402" t="str">
        <v/>
      </c>
      <c r="F19402" t="str">
        <v>-</v>
      </c>
      <c r="G19402" t="str">
        <v>-</v>
      </c>
    </row>
    <row r="19403">
      <c r="B19403" t="str">
        <v>UBND Ủy ban nhân dân phường Hiệp An  tỉnh Bình Dương</v>
      </c>
      <c r="C19403" t="str">
        <v>-</v>
      </c>
      <c r="D19403" t="str">
        <v>-</v>
      </c>
      <c r="E19403" t="str">
        <v>-</v>
      </c>
      <c r="F19403" t="str">
        <v>-</v>
      </c>
      <c r="G19403" t="str">
        <v>-</v>
      </c>
    </row>
    <row r="19404">
      <c r="B19404" t="str">
        <v>Công an phường Tương Bình Hiệp  tỉnh Bình Dương</v>
      </c>
      <c r="C19404" t="str">
        <v>-</v>
      </c>
      <c r="D19404" t="str">
        <v>-</v>
      </c>
      <c r="E19404" t="str">
        <v/>
      </c>
      <c r="F19404" t="str">
        <v>-</v>
      </c>
      <c r="G19404" t="str">
        <v>-</v>
      </c>
    </row>
    <row r="19405">
      <c r="B19405" t="str">
        <v>UBND Ủy ban nhân dân phường Tương Bình Hiệp  tỉnh Bình Dương</v>
      </c>
      <c r="C19405" t="str">
        <v>-</v>
      </c>
      <c r="D19405" t="str">
        <v>-</v>
      </c>
      <c r="E19405" t="str">
        <v>-</v>
      </c>
      <c r="F19405" t="str">
        <v>-</v>
      </c>
      <c r="G19405" t="str">
        <v>-</v>
      </c>
    </row>
    <row r="19406">
      <c r="B19406" t="str">
        <v>Công an phường Chánh Mỹ  tỉnh Bình Dương</v>
      </c>
      <c r="C19406" t="str">
        <v>-</v>
      </c>
      <c r="D19406" t="str">
        <v>-</v>
      </c>
      <c r="E19406" t="str">
        <v/>
      </c>
      <c r="F19406" t="str">
        <v>-</v>
      </c>
      <c r="G19406" t="str">
        <v>-</v>
      </c>
    </row>
    <row r="19407">
      <c r="B19407" t="str">
        <v>UBND Ủy ban nhân dân phường Chánh Mỹ  tỉnh Bình Dương</v>
      </c>
      <c r="C19407" t="str">
        <v>-</v>
      </c>
      <c r="D19407" t="str">
        <v>-</v>
      </c>
      <c r="E19407" t="str">
        <v>-</v>
      </c>
      <c r="F19407" t="str">
        <v>-</v>
      </c>
      <c r="G19407" t="str">
        <v>-</v>
      </c>
    </row>
    <row r="19408">
      <c r="B19408" t="str">
        <v>Công an xã Trừ Văn Thố  tỉnh Bình Dương</v>
      </c>
      <c r="C19408" t="str">
        <v>-</v>
      </c>
      <c r="D19408" t="str">
        <v>-</v>
      </c>
      <c r="E19408" t="str">
        <v/>
      </c>
      <c r="F19408" t="str">
        <v>-</v>
      </c>
      <c r="G19408" t="str">
        <v>-</v>
      </c>
    </row>
    <row r="19409">
      <c r="B19409" t="str">
        <v>UBND Ủy ban nhân dân xã Trừ Văn Thố  tỉnh Bình Dương</v>
      </c>
      <c r="C19409" t="str">
        <v>-</v>
      </c>
      <c r="D19409" t="str">
        <v>-</v>
      </c>
      <c r="E19409" t="str">
        <v>-</v>
      </c>
      <c r="F19409" t="str">
        <v>-</v>
      </c>
      <c r="G19409" t="str">
        <v>-</v>
      </c>
    </row>
    <row r="19410">
      <c r="B19410" t="str">
        <v>Công an xã Cây Trường II  tỉnh Bình Dương</v>
      </c>
      <c r="C19410" t="str">
        <v>-</v>
      </c>
      <c r="D19410" t="str">
        <v>-</v>
      </c>
      <c r="E19410" t="str">
        <v/>
      </c>
      <c r="F19410" t="str">
        <v>-</v>
      </c>
      <c r="G19410" t="str">
        <v>-</v>
      </c>
    </row>
    <row r="19411">
      <c r="B19411" t="str">
        <v>UBND Ủy ban nhân dân xã Cây Trường II  tỉnh Bình Dương</v>
      </c>
      <c r="C19411" t="str">
        <v>-</v>
      </c>
      <c r="D19411" t="str">
        <v>-</v>
      </c>
      <c r="E19411" t="str">
        <v>-</v>
      </c>
      <c r="F19411" t="str">
        <v>-</v>
      </c>
      <c r="G19411" t="str">
        <v>-</v>
      </c>
    </row>
    <row r="19412">
      <c r="B19412" t="str">
        <v>Công an xã Lai Uyên  tỉnh Bình Dương</v>
      </c>
      <c r="C19412" t="str">
        <v>-</v>
      </c>
      <c r="D19412" t="str">
        <v>-</v>
      </c>
      <c r="E19412" t="str">
        <v/>
      </c>
      <c r="F19412" t="str">
        <v>-</v>
      </c>
      <c r="G19412" t="str">
        <v>-</v>
      </c>
    </row>
    <row r="19413">
      <c r="B19413" t="str">
        <v>UBND Ủy ban nhân dân xã Lai Uyên  tỉnh Bình Dương</v>
      </c>
      <c r="C19413" t="str">
        <v>-</v>
      </c>
      <c r="D19413" t="str">
        <v>-</v>
      </c>
      <c r="E19413" t="str">
        <v>-</v>
      </c>
      <c r="F19413" t="str">
        <v>-</v>
      </c>
      <c r="G19413" t="str">
        <v>-</v>
      </c>
    </row>
    <row r="19414">
      <c r="B19414" t="str">
        <v>Công an xã Tân Hưng  tỉnh Bình Dương</v>
      </c>
      <c r="C19414" t="str">
        <v>-</v>
      </c>
      <c r="D19414" t="str">
        <v>-</v>
      </c>
      <c r="E19414" t="str">
        <v/>
      </c>
      <c r="F19414" t="str">
        <v>-</v>
      </c>
      <c r="G19414" t="str">
        <v>-</v>
      </c>
    </row>
    <row r="19415">
      <c r="B19415" t="str">
        <v>UBND Ủy ban nhân dân xã Tân Hưng  tỉnh Bình Dương</v>
      </c>
      <c r="C19415" t="str">
        <v>-</v>
      </c>
      <c r="D19415" t="str">
        <v>-</v>
      </c>
      <c r="E19415" t="str">
        <v>-</v>
      </c>
      <c r="F19415" t="str">
        <v>-</v>
      </c>
      <c r="G19415" t="str">
        <v>-</v>
      </c>
    </row>
    <row r="19416">
      <c r="B19416" t="str">
        <v>Công an xã Long Nguyên  tỉnh Bình Dương</v>
      </c>
      <c r="C19416" t="str">
        <v>-</v>
      </c>
      <c r="D19416" t="str">
        <v>-</v>
      </c>
      <c r="E19416" t="str">
        <v/>
      </c>
      <c r="F19416" t="str">
        <v>-</v>
      </c>
      <c r="G19416" t="str">
        <v>-</v>
      </c>
    </row>
    <row r="19417">
      <c r="B19417" t="str">
        <v>UBND Ủy ban nhân dân xã Long Nguyên  tỉnh Bình Dương</v>
      </c>
      <c r="C19417" t="str">
        <v>-</v>
      </c>
      <c r="D19417" t="str">
        <v>-</v>
      </c>
      <c r="E19417" t="str">
        <v>-</v>
      </c>
      <c r="F19417" t="str">
        <v>-</v>
      </c>
      <c r="G19417" t="str">
        <v>-</v>
      </c>
    </row>
    <row r="19418">
      <c r="B19418" t="str">
        <v>Công an xã Hưng Hòa  tỉnh Bình Dương</v>
      </c>
      <c r="C19418" t="str">
        <v>-</v>
      </c>
      <c r="D19418" t="str">
        <v>-</v>
      </c>
      <c r="E19418" t="str">
        <v/>
      </c>
      <c r="F19418" t="str">
        <v>-</v>
      </c>
      <c r="G19418" t="str">
        <v>-</v>
      </c>
    </row>
    <row r="19419">
      <c r="B19419" t="str">
        <v>UBND Ủy ban nhân dân xã Hưng Hòa  tỉnh Bình Dương</v>
      </c>
      <c r="C19419" t="str">
        <v>-</v>
      </c>
      <c r="D19419" t="str">
        <v>-</v>
      </c>
      <c r="E19419" t="str">
        <v>-</v>
      </c>
      <c r="F19419" t="str">
        <v>-</v>
      </c>
      <c r="G19419" t="str">
        <v>-</v>
      </c>
    </row>
    <row r="19420">
      <c r="B19420" t="str">
        <v>Công an xã Lai Hưng  tỉnh Bình Dương</v>
      </c>
      <c r="C19420" t="str">
        <v>-</v>
      </c>
      <c r="D19420" t="str">
        <v>-</v>
      </c>
      <c r="E19420" t="str">
        <v/>
      </c>
      <c r="F19420" t="str">
        <v>-</v>
      </c>
      <c r="G19420" t="str">
        <v>-</v>
      </c>
    </row>
    <row r="19421">
      <c r="B19421" t="str">
        <v>UBND Ủy ban nhân dân xã Lai Hưng  tỉnh Bình Dương</v>
      </c>
      <c r="C19421" t="str">
        <v>-</v>
      </c>
      <c r="D19421" t="str">
        <v>-</v>
      </c>
      <c r="E19421" t="str">
        <v>-</v>
      </c>
      <c r="F19421" t="str">
        <v>-</v>
      </c>
      <c r="G19421" t="str">
        <v>-</v>
      </c>
    </row>
    <row r="19422">
      <c r="B19422" t="str">
        <v>Công an xã Minh Hoà  tỉnh Bình Dương</v>
      </c>
      <c r="C19422" t="str">
        <v>-</v>
      </c>
      <c r="D19422" t="str">
        <v>-</v>
      </c>
      <c r="E19422" t="str">
        <v/>
      </c>
      <c r="F19422" t="str">
        <v>-</v>
      </c>
      <c r="G19422" t="str">
        <v>-</v>
      </c>
    </row>
    <row r="19423">
      <c r="B19423" t="str">
        <v>UBND Ủy ban nhân dân xã Minh Hoà  tỉnh Bình Dương</v>
      </c>
      <c r="C19423" t="str">
        <v>-</v>
      </c>
      <c r="D19423" t="str">
        <v>-</v>
      </c>
      <c r="E19423" t="str">
        <v>-</v>
      </c>
      <c r="F19423" t="str">
        <v>-</v>
      </c>
      <c r="G19423" t="str">
        <v>-</v>
      </c>
    </row>
    <row r="19424">
      <c r="B19424" t="str">
        <v>Công an xã Minh Thạnh  tỉnh Bình Dương</v>
      </c>
      <c r="C19424" t="str">
        <v>-</v>
      </c>
      <c r="D19424" t="str">
        <v>-</v>
      </c>
      <c r="E19424" t="str">
        <v/>
      </c>
      <c r="F19424" t="str">
        <v>-</v>
      </c>
      <c r="G19424" t="str">
        <v>-</v>
      </c>
    </row>
    <row r="19425">
      <c r="B19425" t="str">
        <v>UBND Ủy ban nhân dân xã Minh Thạnh  tỉnh Bình Dương</v>
      </c>
      <c r="C19425" t="str">
        <v>-</v>
      </c>
      <c r="D19425" t="str">
        <v>-</v>
      </c>
      <c r="E19425" t="str">
        <v>-</v>
      </c>
      <c r="F19425" t="str">
        <v>-</v>
      </c>
      <c r="G19425" t="str">
        <v>-</v>
      </c>
    </row>
    <row r="19426">
      <c r="B19426" t="str">
        <v>Công an xã Minh Tân  tỉnh Bình Dương</v>
      </c>
      <c r="C19426" t="str">
        <v>-</v>
      </c>
      <c r="D19426" t="str">
        <v>-</v>
      </c>
      <c r="E19426" t="str">
        <v/>
      </c>
      <c r="F19426" t="str">
        <v>-</v>
      </c>
      <c r="G19426" t="str">
        <v>-</v>
      </c>
    </row>
    <row r="19427">
      <c r="B19427" t="str">
        <v>UBND Ủy ban nhân dân xã Minh Tân  tỉnh Bình Dương</v>
      </c>
      <c r="C19427" t="str">
        <v>-</v>
      </c>
      <c r="D19427" t="str">
        <v>-</v>
      </c>
      <c r="E19427" t="str">
        <v>-</v>
      </c>
      <c r="F19427" t="str">
        <v>-</v>
      </c>
      <c r="G19427" t="str">
        <v>-</v>
      </c>
    </row>
    <row r="19428">
      <c r="B19428" t="str">
        <v>Công an xã Định An  tỉnh Bình Dương</v>
      </c>
      <c r="C19428" t="str">
        <v>-</v>
      </c>
      <c r="D19428" t="str">
        <v>-</v>
      </c>
      <c r="E19428" t="str">
        <v/>
      </c>
      <c r="F19428" t="str">
        <v>-</v>
      </c>
      <c r="G19428" t="str">
        <v>-</v>
      </c>
    </row>
    <row r="19429">
      <c r="B19429" t="str">
        <v>UBND Ủy ban nhân dân xã Định An  tỉnh Bình Dương</v>
      </c>
      <c r="C19429" t="str">
        <v>-</v>
      </c>
      <c r="D19429" t="str">
        <v>-</v>
      </c>
      <c r="E19429" t="str">
        <v>-</v>
      </c>
      <c r="F19429" t="str">
        <v>-</v>
      </c>
      <c r="G19429" t="str">
        <v>-</v>
      </c>
    </row>
    <row r="19430">
      <c r="B19430" t="str">
        <v>Công an xã Long Hoà  tỉnh Bình Dương</v>
      </c>
      <c r="C19430" t="str">
        <v>-</v>
      </c>
      <c r="D19430" t="str">
        <v>-</v>
      </c>
      <c r="E19430" t="str">
        <v/>
      </c>
      <c r="F19430" t="str">
        <v>-</v>
      </c>
      <c r="G19430" t="str">
        <v>-</v>
      </c>
    </row>
    <row r="19431">
      <c r="B19431" t="str">
        <v>UBND Ủy ban nhân dân xã Long Hoà  tỉnh Bình Dương</v>
      </c>
      <c r="C19431" t="str">
        <v>-</v>
      </c>
      <c r="D19431" t="str">
        <v>-</v>
      </c>
      <c r="E19431" t="str">
        <v>-</v>
      </c>
      <c r="F19431" t="str">
        <v>-</v>
      </c>
      <c r="G19431" t="str">
        <v>-</v>
      </c>
    </row>
    <row r="19432">
      <c r="B19432" t="str">
        <v>Công an xã Định Thành  tỉnh Bình Dương</v>
      </c>
      <c r="C19432" t="str">
        <v>-</v>
      </c>
      <c r="D19432" t="str">
        <v>-</v>
      </c>
      <c r="E19432" t="str">
        <v/>
      </c>
      <c r="F19432" t="str">
        <v>-</v>
      </c>
      <c r="G19432" t="str">
        <v>-</v>
      </c>
    </row>
    <row r="19433">
      <c r="B19433" t="str">
        <v>UBND Ủy ban nhân dân xã Định Thành  tỉnh Bình Dương</v>
      </c>
      <c r="C19433" t="str">
        <v>-</v>
      </c>
      <c r="D19433" t="str">
        <v>-</v>
      </c>
      <c r="E19433" t="str">
        <v>-</v>
      </c>
      <c r="F19433" t="str">
        <v>-</v>
      </c>
      <c r="G19433" t="str">
        <v>-</v>
      </c>
    </row>
    <row r="19434">
      <c r="B19434" t="str">
        <v>Công an xã Định Hiệp  tỉnh Bình Dương</v>
      </c>
      <c r="C19434" t="str">
        <v>-</v>
      </c>
      <c r="D19434" t="str">
        <v>-</v>
      </c>
      <c r="E19434" t="str">
        <v/>
      </c>
      <c r="F19434" t="str">
        <v>-</v>
      </c>
      <c r="G19434" t="str">
        <v>-</v>
      </c>
    </row>
    <row r="19435">
      <c r="B19435" t="str">
        <v>UBND Ủy ban nhân dân xã Định Hiệp  tỉnh Bình Dương</v>
      </c>
      <c r="C19435" t="str">
        <v>-</v>
      </c>
      <c r="D19435" t="str">
        <v>-</v>
      </c>
      <c r="E19435" t="str">
        <v>-</v>
      </c>
      <c r="F19435" t="str">
        <v>-</v>
      </c>
      <c r="G19435" t="str">
        <v>-</v>
      </c>
    </row>
    <row r="19436">
      <c r="B19436" t="str">
        <v>Công an xã An Lập  tỉnh Bình Dương</v>
      </c>
      <c r="C19436" t="str">
        <v>-</v>
      </c>
      <c r="D19436" t="str">
        <v>-</v>
      </c>
      <c r="E19436" t="str">
        <v/>
      </c>
      <c r="F19436" t="str">
        <v>-</v>
      </c>
      <c r="G19436" t="str">
        <v>-</v>
      </c>
    </row>
    <row r="19437">
      <c r="B19437" t="str">
        <v>UBND Ủy ban nhân dân xã An Lập  tỉnh Bình Dương</v>
      </c>
      <c r="C19437" t="str">
        <v>-</v>
      </c>
      <c r="D19437" t="str">
        <v>-</v>
      </c>
      <c r="E19437" t="str">
        <v>-</v>
      </c>
      <c r="F19437" t="str">
        <v>-</v>
      </c>
      <c r="G19437" t="str">
        <v>-</v>
      </c>
    </row>
    <row r="19438">
      <c r="B19438" t="str">
        <v>Công an xã Long Tân  tỉnh Bình Dương</v>
      </c>
      <c r="C19438" t="str">
        <v>-</v>
      </c>
      <c r="D19438" t="str">
        <v>-</v>
      </c>
      <c r="E19438" t="str">
        <v/>
      </c>
      <c r="F19438" t="str">
        <v>-</v>
      </c>
      <c r="G19438" t="str">
        <v>-</v>
      </c>
    </row>
    <row r="19439">
      <c r="B19439" t="str">
        <v>UBND Ủy ban nhân dân xã Long Tân  tỉnh Bình Dương</v>
      </c>
      <c r="C19439" t="str">
        <v>-</v>
      </c>
      <c r="D19439" t="str">
        <v>-</v>
      </c>
      <c r="E19439" t="str">
        <v>-</v>
      </c>
      <c r="F19439" t="str">
        <v>-</v>
      </c>
      <c r="G19439" t="str">
        <v>-</v>
      </c>
    </row>
    <row r="19440">
      <c r="B19440" t="str">
        <v>Công an xã Thanh An  tỉnh Bình Dương</v>
      </c>
      <c r="C19440" t="str">
        <v>-</v>
      </c>
      <c r="D19440" t="str">
        <v>-</v>
      </c>
      <c r="E19440" t="str">
        <v/>
      </c>
      <c r="F19440" t="str">
        <v>-</v>
      </c>
      <c r="G19440" t="str">
        <v>-</v>
      </c>
    </row>
    <row r="19441">
      <c r="B19441" t="str">
        <v>UBND Ủy ban nhân dân xã Thanh An  tỉnh Bình Dương</v>
      </c>
      <c r="C19441" t="str">
        <v>-</v>
      </c>
      <c r="D19441" t="str">
        <v>-</v>
      </c>
      <c r="E19441" t="str">
        <v>-</v>
      </c>
      <c r="F19441" t="str">
        <v>-</v>
      </c>
      <c r="G19441" t="str">
        <v>-</v>
      </c>
    </row>
    <row r="19442">
      <c r="B19442" t="str">
        <v>Công an xã Thanh Tuyền  tỉnh Bình Dương</v>
      </c>
      <c r="C19442" t="str">
        <v>-</v>
      </c>
      <c r="D19442" t="str">
        <v>-</v>
      </c>
      <c r="E19442" t="str">
        <v/>
      </c>
      <c r="F19442" t="str">
        <v>-</v>
      </c>
      <c r="G19442" t="str">
        <v>-</v>
      </c>
    </row>
    <row r="19443">
      <c r="B19443" t="str">
        <v>UBND Ủy ban nhân dân xã Thanh Tuyền  tỉnh Bình Dương</v>
      </c>
      <c r="C19443" t="str">
        <v>-</v>
      </c>
      <c r="D19443" t="str">
        <v>-</v>
      </c>
      <c r="E19443" t="str">
        <v>-</v>
      </c>
      <c r="F19443" t="str">
        <v>-</v>
      </c>
      <c r="G19443" t="str">
        <v>-</v>
      </c>
    </row>
    <row r="19444">
      <c r="B19444" t="str">
        <v>Công an phường Mỹ Phước  tỉnh Bình Dương</v>
      </c>
      <c r="C19444" t="str">
        <v>-</v>
      </c>
      <c r="D19444" t="str">
        <v>-</v>
      </c>
      <c r="E19444" t="str">
        <v/>
      </c>
      <c r="F19444" t="str">
        <v>-</v>
      </c>
      <c r="G19444" t="str">
        <v>-</v>
      </c>
    </row>
    <row r="19445">
      <c r="B19445" t="str">
        <v>UBND Ủy ban nhân dân phường Mỹ Phước  tỉnh Bình Dương</v>
      </c>
      <c r="C19445" t="str">
        <v>-</v>
      </c>
      <c r="D19445" t="str">
        <v>-</v>
      </c>
      <c r="E19445" t="str">
        <v>-</v>
      </c>
      <c r="F19445" t="str">
        <v>-</v>
      </c>
      <c r="G19445" t="str">
        <v>-</v>
      </c>
    </row>
    <row r="19446">
      <c r="B19446" t="str">
        <v>Công an phường Chánh Phú Hòa  tỉnh Bình Dương</v>
      </c>
      <c r="C19446" t="str">
        <v>-</v>
      </c>
      <c r="D19446" t="str">
        <v>-</v>
      </c>
      <c r="E19446" t="str">
        <v/>
      </c>
      <c r="F19446" t="str">
        <v>-</v>
      </c>
      <c r="G19446" t="str">
        <v>-</v>
      </c>
    </row>
    <row r="19447">
      <c r="B19447" t="str">
        <v>UBND Ủy ban nhân dân phường Chánh Phú Hòa  tỉnh Bình Dương</v>
      </c>
      <c r="C19447" t="str">
        <v>-</v>
      </c>
      <c r="D19447" t="str">
        <v>-</v>
      </c>
      <c r="E19447" t="str">
        <v>-</v>
      </c>
      <c r="F19447" t="str">
        <v>-</v>
      </c>
      <c r="G19447" t="str">
        <v>-</v>
      </c>
    </row>
    <row r="19448">
      <c r="B19448" t="str">
        <v>Công an xã An Điền  tỉnh Bình Dương</v>
      </c>
      <c r="C19448" t="str">
        <v>-</v>
      </c>
      <c r="D19448" t="str">
        <v>-</v>
      </c>
      <c r="E19448" t="str">
        <v/>
      </c>
      <c r="F19448" t="str">
        <v>-</v>
      </c>
      <c r="G19448" t="str">
        <v>-</v>
      </c>
    </row>
    <row r="19449">
      <c r="B19449" t="str">
        <v>UBND Ủy ban nhân dân xã An Điền  tỉnh Bình Dương</v>
      </c>
      <c r="C19449" t="str">
        <v>-</v>
      </c>
      <c r="D19449" t="str">
        <v>-</v>
      </c>
      <c r="E19449" t="str">
        <v>-</v>
      </c>
      <c r="F19449" t="str">
        <v>-</v>
      </c>
      <c r="G19449" t="str">
        <v>-</v>
      </c>
    </row>
    <row r="19450">
      <c r="B19450" t="str">
        <v>Công an xã An Tây  tỉnh Bình Dương</v>
      </c>
      <c r="C19450" t="str">
        <v>-</v>
      </c>
      <c r="D19450" t="str">
        <v>-</v>
      </c>
      <c r="E19450" t="str">
        <v/>
      </c>
      <c r="F19450" t="str">
        <v>-</v>
      </c>
      <c r="G19450" t="str">
        <v>-</v>
      </c>
    </row>
    <row r="19451">
      <c r="B19451" t="str">
        <v>UBND Ủy ban nhân dân xã An Tây  tỉnh Bình Dương</v>
      </c>
      <c r="C19451" t="str">
        <v>-</v>
      </c>
      <c r="D19451" t="str">
        <v>-</v>
      </c>
      <c r="E19451" t="str">
        <v>-</v>
      </c>
      <c r="F19451" t="str">
        <v>-</v>
      </c>
      <c r="G19451" t="str">
        <v>-</v>
      </c>
    </row>
    <row r="19452">
      <c r="B19452" t="str">
        <v>Công an phường Thới Hòa  tỉnh Bình Dương</v>
      </c>
      <c r="C19452" t="str">
        <v>-</v>
      </c>
      <c r="D19452" t="str">
        <v>-</v>
      </c>
      <c r="E19452" t="str">
        <v/>
      </c>
      <c r="F19452" t="str">
        <v>-</v>
      </c>
      <c r="G19452" t="str">
        <v>-</v>
      </c>
    </row>
    <row r="19453">
      <c r="B19453" t="str">
        <v>UBND Ủy ban nhân dân phường Thới Hòa  tỉnh Bình Dương</v>
      </c>
      <c r="C19453" t="str">
        <v>-</v>
      </c>
      <c r="D19453" t="str">
        <v>-</v>
      </c>
      <c r="E19453" t="str">
        <v>-</v>
      </c>
      <c r="F19453" t="str">
        <v>-</v>
      </c>
      <c r="G19453" t="str">
        <v>-</v>
      </c>
    </row>
    <row r="19454">
      <c r="B19454" t="str">
        <v>Công an phường Hòa Lợi  tỉnh Bình Dương</v>
      </c>
      <c r="C19454" t="str">
        <v>-</v>
      </c>
      <c r="D19454" t="str">
        <v>-</v>
      </c>
      <c r="E19454" t="str">
        <v/>
      </c>
      <c r="F19454" t="str">
        <v>-</v>
      </c>
      <c r="G19454" t="str">
        <v>-</v>
      </c>
    </row>
    <row r="19455">
      <c r="B19455" t="str">
        <v>UBND Ủy ban nhân dân phường Hòa Lợi  tỉnh Bình Dương</v>
      </c>
      <c r="C19455" t="str">
        <v>-</v>
      </c>
      <c r="D19455" t="str">
        <v>-</v>
      </c>
      <c r="E19455" t="str">
        <v>-</v>
      </c>
      <c r="F19455" t="str">
        <v>-</v>
      </c>
      <c r="G19455" t="str">
        <v>-</v>
      </c>
    </row>
    <row r="19456">
      <c r="B19456" t="str">
        <v>Công an phường Tân Định  tỉnh Bình Dương</v>
      </c>
      <c r="C19456" t="str">
        <v>-</v>
      </c>
      <c r="D19456" t="str">
        <v>-</v>
      </c>
      <c r="E19456" t="str">
        <v/>
      </c>
      <c r="F19456" t="str">
        <v>-</v>
      </c>
      <c r="G19456" t="str">
        <v>-</v>
      </c>
    </row>
    <row r="19457">
      <c r="B19457" t="str">
        <v>UBND Ủy ban nhân dân phường Tân Định  tỉnh Bình Dương</v>
      </c>
      <c r="C19457" t="str">
        <v>-</v>
      </c>
      <c r="D19457" t="str">
        <v>-</v>
      </c>
      <c r="E19457" t="str">
        <v>-</v>
      </c>
      <c r="F19457" t="str">
        <v>-</v>
      </c>
      <c r="G19457" t="str">
        <v>-</v>
      </c>
    </row>
    <row r="19458">
      <c r="B19458" t="str">
        <v>Công an xã Phú An  tỉnh Bình Dương</v>
      </c>
      <c r="C19458" t="str">
        <v>-</v>
      </c>
      <c r="D19458" t="str">
        <v>-</v>
      </c>
      <c r="E19458" t="str">
        <v/>
      </c>
      <c r="F19458" t="str">
        <v>-</v>
      </c>
      <c r="G19458" t="str">
        <v>-</v>
      </c>
    </row>
    <row r="19459">
      <c r="B19459" t="str">
        <v>UBND Ủy ban nhân dân xã Phú An  tỉnh Bình Dương</v>
      </c>
      <c r="C19459" t="str">
        <v>-</v>
      </c>
      <c r="D19459" t="str">
        <v>-</v>
      </c>
      <c r="E19459" t="str">
        <v>-</v>
      </c>
      <c r="F19459" t="str">
        <v>-</v>
      </c>
      <c r="G19459" t="str">
        <v>-</v>
      </c>
    </row>
    <row r="19460">
      <c r="B19460" t="str">
        <v>Công an xã An Linh  tỉnh Bình Dương</v>
      </c>
      <c r="C19460" t="str">
        <v>-</v>
      </c>
      <c r="D19460" t="str">
        <v>-</v>
      </c>
      <c r="E19460" t="str">
        <v/>
      </c>
      <c r="F19460" t="str">
        <v>-</v>
      </c>
      <c r="G19460" t="str">
        <v>-</v>
      </c>
    </row>
    <row r="19461">
      <c r="B19461" t="str">
        <v>UBND Ủy ban nhân dân xã An Linh  tỉnh Bình Dương</v>
      </c>
      <c r="C19461" t="str">
        <v>-</v>
      </c>
      <c r="D19461" t="str">
        <v>-</v>
      </c>
      <c r="E19461" t="str">
        <v>-</v>
      </c>
      <c r="F19461" t="str">
        <v>-</v>
      </c>
      <c r="G19461" t="str">
        <v>-</v>
      </c>
    </row>
    <row r="19462">
      <c r="B19462" t="str">
        <v>Công an xã Phước Sang  tỉnh Bình Dương</v>
      </c>
      <c r="C19462" t="str">
        <v>-</v>
      </c>
      <c r="D19462" t="str">
        <v>-</v>
      </c>
      <c r="E19462" t="str">
        <v/>
      </c>
      <c r="F19462" t="str">
        <v>-</v>
      </c>
      <c r="G19462" t="str">
        <v>-</v>
      </c>
    </row>
    <row r="19463">
      <c r="B19463" t="str">
        <v>UBND Ủy ban nhân dân xã Phước Sang  tỉnh Bình Dương</v>
      </c>
      <c r="C19463" t="str">
        <v>-</v>
      </c>
      <c r="D19463" t="str">
        <v>-</v>
      </c>
      <c r="E19463" t="str">
        <v>-</v>
      </c>
      <c r="F19463" t="str">
        <v>-</v>
      </c>
      <c r="G19463" t="str">
        <v>-</v>
      </c>
    </row>
    <row r="19464">
      <c r="B19464" t="str">
        <v>Công an xã An Thái  tỉnh Bình Dương</v>
      </c>
      <c r="C19464" t="str">
        <v>-</v>
      </c>
      <c r="D19464" t="str">
        <v>-</v>
      </c>
      <c r="E19464" t="str">
        <v/>
      </c>
      <c r="F19464" t="str">
        <v>-</v>
      </c>
      <c r="G19464" t="str">
        <v>-</v>
      </c>
    </row>
    <row r="19465">
      <c r="B19465" t="str">
        <v>UBND Ủy ban nhân dân xã An Thái  tỉnh Bình Dương</v>
      </c>
      <c r="C19465" t="str">
        <v>-</v>
      </c>
      <c r="D19465" t="str">
        <v>-</v>
      </c>
      <c r="E19465" t="str">
        <v>-</v>
      </c>
      <c r="F19465" t="str">
        <v>-</v>
      </c>
      <c r="G19465" t="str">
        <v>-</v>
      </c>
    </row>
    <row r="19466">
      <c r="B19466" t="str">
        <v>Công an xã An Long  tỉnh Bình Dương</v>
      </c>
      <c r="C19466" t="str">
        <v>-</v>
      </c>
      <c r="D19466" t="str">
        <v>-</v>
      </c>
      <c r="E19466" t="str">
        <v/>
      </c>
      <c r="F19466" t="str">
        <v>-</v>
      </c>
      <c r="G19466" t="str">
        <v>-</v>
      </c>
    </row>
    <row r="19467">
      <c r="B19467" t="str">
        <v>UBND Ủy ban nhân dân xã An Long  tỉnh Bình Dương</v>
      </c>
      <c r="C19467" t="str">
        <v>-</v>
      </c>
      <c r="D19467" t="str">
        <v>-</v>
      </c>
      <c r="E19467" t="str">
        <v>-</v>
      </c>
      <c r="F19467" t="str">
        <v>-</v>
      </c>
      <c r="G19467" t="str">
        <v>-</v>
      </c>
    </row>
    <row r="19468">
      <c r="B19468" t="str">
        <v>Công an xã An Bình  tỉnh Bình Dương</v>
      </c>
      <c r="C19468" t="str">
        <v>-</v>
      </c>
      <c r="D19468" t="str">
        <v>-</v>
      </c>
      <c r="E19468" t="str">
        <v/>
      </c>
      <c r="F19468" t="str">
        <v>-</v>
      </c>
      <c r="G19468" t="str">
        <v>-</v>
      </c>
    </row>
    <row r="19469">
      <c r="B19469" t="str">
        <v>UBND Ủy ban nhân dân xã An Bình  tỉnh Bình Dương</v>
      </c>
      <c r="C19469" t="str">
        <v>-</v>
      </c>
      <c r="D19469" t="str">
        <v>-</v>
      </c>
      <c r="E19469" t="str">
        <v>-</v>
      </c>
      <c r="F19469" t="str">
        <v>-</v>
      </c>
      <c r="G19469" t="str">
        <v>-</v>
      </c>
    </row>
    <row r="19470">
      <c r="B19470" t="str">
        <v>Công an xã Tân Hiệp  tỉnh Bình Dương</v>
      </c>
      <c r="C19470" t="str">
        <v>-</v>
      </c>
      <c r="D19470" t="str">
        <v>-</v>
      </c>
      <c r="E19470" t="str">
        <v/>
      </c>
      <c r="F19470" t="str">
        <v>-</v>
      </c>
      <c r="G19470" t="str">
        <v>-</v>
      </c>
    </row>
    <row r="19471">
      <c r="B19471" t="str">
        <v>UBND Ủy ban nhân dân xã Tân Hiệp  tỉnh Bình Dương</v>
      </c>
      <c r="C19471" t="str">
        <v>-</v>
      </c>
      <c r="D19471" t="str">
        <v>-</v>
      </c>
      <c r="E19471" t="str">
        <v>-</v>
      </c>
      <c r="F19471" t="str">
        <v>-</v>
      </c>
      <c r="G19471" t="str">
        <v>-</v>
      </c>
    </row>
    <row r="19472">
      <c r="B19472" t="str">
        <v>Công an xã Tam Lập  tỉnh Bình Dương</v>
      </c>
      <c r="C19472" t="str">
        <v>-</v>
      </c>
      <c r="D19472" t="str">
        <v>-</v>
      </c>
      <c r="E19472" t="str">
        <v/>
      </c>
      <c r="F19472" t="str">
        <v>-</v>
      </c>
      <c r="G19472" t="str">
        <v>-</v>
      </c>
    </row>
    <row r="19473">
      <c r="B19473" t="str">
        <v>UBND Ủy ban nhân dân xã Tam Lập  tỉnh Bình Dương</v>
      </c>
      <c r="C19473" t="str">
        <v>-</v>
      </c>
      <c r="D19473" t="str">
        <v>-</v>
      </c>
      <c r="E19473" t="str">
        <v>-</v>
      </c>
      <c r="F19473" t="str">
        <v>-</v>
      </c>
      <c r="G19473" t="str">
        <v>-</v>
      </c>
    </row>
    <row r="19474">
      <c r="B19474" t="str">
        <v>Công an xã Tân Long  tỉnh Bình Dương</v>
      </c>
      <c r="C19474" t="str">
        <v>-</v>
      </c>
      <c r="D19474" t="str">
        <v>-</v>
      </c>
      <c r="E19474" t="str">
        <v/>
      </c>
      <c r="F19474" t="str">
        <v>-</v>
      </c>
      <c r="G19474" t="str">
        <v>-</v>
      </c>
    </row>
    <row r="19475">
      <c r="B19475" t="str">
        <v>UBND Ủy ban nhân dân xã Tân Long  tỉnh Bình Dương</v>
      </c>
      <c r="C19475" t="str">
        <v>-</v>
      </c>
      <c r="D19475" t="str">
        <v>-</v>
      </c>
      <c r="E19475" t="str">
        <v>-</v>
      </c>
      <c r="F19475" t="str">
        <v>-</v>
      </c>
      <c r="G19475" t="str">
        <v>-</v>
      </c>
    </row>
    <row r="19476">
      <c r="B19476" t="str">
        <v>Công an xã Vĩnh Hoà  tỉnh Bình Dương</v>
      </c>
      <c r="C19476" t="str">
        <v>-</v>
      </c>
      <c r="D19476" t="str">
        <v>-</v>
      </c>
      <c r="E19476" t="str">
        <v/>
      </c>
      <c r="F19476" t="str">
        <v>-</v>
      </c>
      <c r="G19476" t="str">
        <v>-</v>
      </c>
    </row>
    <row r="19477">
      <c r="B19477" t="str">
        <v>UBND Ủy ban nhân dân xã Vĩnh Hoà  tỉnh Bình Dương</v>
      </c>
      <c r="C19477" t="str">
        <v>-</v>
      </c>
      <c r="D19477" t="str">
        <v>-</v>
      </c>
      <c r="E19477" t="str">
        <v>-</v>
      </c>
      <c r="F19477" t="str">
        <v>-</v>
      </c>
      <c r="G19477" t="str">
        <v>-</v>
      </c>
    </row>
    <row r="19478">
      <c r="B19478" t="str">
        <v>Công an xã Phước Hoà  tỉnh Bình Dương</v>
      </c>
      <c r="C19478" t="str">
        <v>-</v>
      </c>
      <c r="D19478" t="str">
        <v>-</v>
      </c>
      <c r="E19478" t="str">
        <v/>
      </c>
      <c r="F19478" t="str">
        <v>-</v>
      </c>
      <c r="G19478" t="str">
        <v>-</v>
      </c>
    </row>
    <row r="19479">
      <c r="B19479" t="str">
        <v>UBND Ủy ban nhân dân xã Phước Hoà  tỉnh Bình Dương</v>
      </c>
      <c r="C19479" t="str">
        <v>-</v>
      </c>
      <c r="D19479" t="str">
        <v>-</v>
      </c>
      <c r="E19479" t="str">
        <v>-</v>
      </c>
      <c r="F19479" t="str">
        <v>-</v>
      </c>
      <c r="G19479" t="str">
        <v>-</v>
      </c>
    </row>
    <row r="19480">
      <c r="B19480" t="str">
        <v>Công an phường Uyên Hưng  tỉnh Bình Dương</v>
      </c>
      <c r="C19480" t="str">
        <v>-</v>
      </c>
      <c r="D19480" t="str">
        <v>-</v>
      </c>
      <c r="E19480" t="str">
        <v/>
      </c>
      <c r="F19480" t="str">
        <v>-</v>
      </c>
      <c r="G19480" t="str">
        <v>-</v>
      </c>
    </row>
    <row r="19481">
      <c r="B19481" t="str">
        <v>UBND Ủy ban nhân dân phường Uyên Hưng  tỉnh Bình Dương</v>
      </c>
      <c r="C19481" t="str">
        <v>-</v>
      </c>
      <c r="D19481" t="str">
        <v>-</v>
      </c>
      <c r="E19481" t="str">
        <v>-</v>
      </c>
      <c r="F19481" t="str">
        <v>-</v>
      </c>
      <c r="G19481" t="str">
        <v>-</v>
      </c>
    </row>
    <row r="19482">
      <c r="B19482" t="str">
        <v>Công an phường Tân Phước Khánh  tỉnh Bình Dương</v>
      </c>
      <c r="C19482" t="str">
        <v>-</v>
      </c>
      <c r="D19482" t="str">
        <v>-</v>
      </c>
      <c r="E19482" t="str">
        <v/>
      </c>
      <c r="F19482" t="str">
        <v>-</v>
      </c>
      <c r="G19482" t="str">
        <v>-</v>
      </c>
    </row>
    <row r="19483">
      <c r="B19483" t="str">
        <v>UBND Ủy ban nhân dân phường Tân Phước Khánh  tỉnh Bình Dương</v>
      </c>
      <c r="C19483" t="str">
        <v>-</v>
      </c>
      <c r="D19483" t="str">
        <v>-</v>
      </c>
      <c r="E19483" t="str">
        <v>-</v>
      </c>
      <c r="F19483" t="str">
        <v>-</v>
      </c>
      <c r="G19483" t="str">
        <v>-</v>
      </c>
    </row>
    <row r="19484">
      <c r="B19484" t="str">
        <v>Công an xã Vĩnh Tân  tỉnh Bình Dương</v>
      </c>
      <c r="C19484" t="str">
        <v>-</v>
      </c>
      <c r="D19484" t="str">
        <v>-</v>
      </c>
      <c r="E19484" t="str">
        <v/>
      </c>
      <c r="F19484" t="str">
        <v>-</v>
      </c>
      <c r="G19484" t="str">
        <v>-</v>
      </c>
    </row>
    <row r="19485">
      <c r="B19485" t="str">
        <v>UBND Ủy ban nhân dân xã Vĩnh Tân  tỉnh Bình Dương</v>
      </c>
      <c r="C19485" t="str">
        <v>-</v>
      </c>
      <c r="D19485" t="str">
        <v>-</v>
      </c>
      <c r="E19485" t="str">
        <v>-</v>
      </c>
      <c r="F19485" t="str">
        <v>-</v>
      </c>
      <c r="G19485" t="str">
        <v>-</v>
      </c>
    </row>
    <row r="19486">
      <c r="B19486" t="str">
        <v>Công an xã Hội Nghĩa  tỉnh Bình Dương</v>
      </c>
      <c r="C19486" t="str">
        <v>-</v>
      </c>
      <c r="D19486" t="str">
        <v>-</v>
      </c>
      <c r="E19486" t="str">
        <v/>
      </c>
      <c r="F19486" t="str">
        <v>-</v>
      </c>
      <c r="G19486" t="str">
        <v>-</v>
      </c>
    </row>
    <row r="19487">
      <c r="B19487" t="str">
        <v>UBND Ủy ban nhân dân xã Hội Nghĩa  tỉnh Bình Dương</v>
      </c>
      <c r="C19487" t="str">
        <v>-</v>
      </c>
      <c r="D19487" t="str">
        <v>-</v>
      </c>
      <c r="E19487" t="str">
        <v>-</v>
      </c>
      <c r="F19487" t="str">
        <v>-</v>
      </c>
      <c r="G19487" t="str">
        <v>-</v>
      </c>
    </row>
    <row r="19488">
      <c r="B19488" t="str">
        <v>Công an phường Tân Hiệp  tỉnh Bình Dương</v>
      </c>
      <c r="C19488" t="str">
        <v>-</v>
      </c>
      <c r="D19488" t="str">
        <v>-</v>
      </c>
      <c r="E19488" t="str">
        <v/>
      </c>
      <c r="F19488" t="str">
        <v>-</v>
      </c>
      <c r="G19488" t="str">
        <v>-</v>
      </c>
    </row>
    <row r="19489">
      <c r="B19489" t="str">
        <v>UBND Ủy ban nhân dân phường Tân Hiệp  tỉnh Bình Dương</v>
      </c>
      <c r="C19489" t="str">
        <v>-</v>
      </c>
      <c r="D19489" t="str">
        <v>-</v>
      </c>
      <c r="E19489" t="str">
        <v>-</v>
      </c>
      <c r="F19489" t="str">
        <v>-</v>
      </c>
      <c r="G19489" t="str">
        <v>-</v>
      </c>
    </row>
    <row r="19490">
      <c r="B19490" t="str">
        <v>Công an phường Khánh Bình  tỉnh Bình Dương</v>
      </c>
      <c r="C19490" t="str">
        <v>-</v>
      </c>
      <c r="D19490" t="str">
        <v>-</v>
      </c>
      <c r="E19490" t="str">
        <v/>
      </c>
      <c r="F19490" t="str">
        <v>-</v>
      </c>
      <c r="G19490" t="str">
        <v>-</v>
      </c>
    </row>
    <row r="19491">
      <c r="B19491" t="str">
        <v>UBND Ủy ban nhân dân phường Khánh Bình  tỉnh Bình Dương</v>
      </c>
      <c r="C19491" t="str">
        <v>-</v>
      </c>
      <c r="D19491" t="str">
        <v>-</v>
      </c>
      <c r="E19491" t="str">
        <v>-</v>
      </c>
      <c r="F19491" t="str">
        <v>-</v>
      </c>
      <c r="G19491" t="str">
        <v>-</v>
      </c>
    </row>
    <row r="19492">
      <c r="B19492" t="str">
        <v>Công an xã Phú Chánh  tỉnh Bình Dương</v>
      </c>
      <c r="C19492" t="str">
        <v>-</v>
      </c>
      <c r="D19492" t="str">
        <v>-</v>
      </c>
      <c r="E19492" t="str">
        <v/>
      </c>
      <c r="F19492" t="str">
        <v>-</v>
      </c>
      <c r="G19492" t="str">
        <v>-</v>
      </c>
    </row>
    <row r="19493">
      <c r="B19493" t="str">
        <v>UBND Ủy ban nhân dân xã Phú Chánh  tỉnh Bình Dương</v>
      </c>
      <c r="C19493" t="str">
        <v>-</v>
      </c>
      <c r="D19493" t="str">
        <v>-</v>
      </c>
      <c r="E19493" t="str">
        <v>-</v>
      </c>
      <c r="F19493" t="str">
        <v>-</v>
      </c>
      <c r="G19493" t="str">
        <v>-</v>
      </c>
    </row>
    <row r="19494">
      <c r="B19494" t="str">
        <v>Công an xã Bạch Đằng  tỉnh Bình Dương</v>
      </c>
      <c r="C19494" t="str">
        <v>-</v>
      </c>
      <c r="D19494" t="str">
        <v>-</v>
      </c>
      <c r="E19494" t="str">
        <v/>
      </c>
      <c r="F19494" t="str">
        <v>-</v>
      </c>
      <c r="G19494" t="str">
        <v>-</v>
      </c>
    </row>
    <row r="19495">
      <c r="B19495" t="str">
        <v>UBND Ủy ban nhân dân xã Bạch Đằng  tỉnh Bình Dương</v>
      </c>
      <c r="C19495" t="str">
        <v>-</v>
      </c>
      <c r="D19495" t="str">
        <v>-</v>
      </c>
      <c r="E19495" t="str">
        <v>-</v>
      </c>
      <c r="F19495" t="str">
        <v>-</v>
      </c>
      <c r="G19495" t="str">
        <v>-</v>
      </c>
    </row>
    <row r="19496">
      <c r="B19496" t="str">
        <v>Công an xã Tân Vĩnh Hiệp  tỉnh Bình Dương</v>
      </c>
      <c r="C19496" t="str">
        <v>-</v>
      </c>
      <c r="D19496" t="str">
        <v>-</v>
      </c>
      <c r="E19496" t="str">
        <v/>
      </c>
      <c r="F19496" t="str">
        <v>-</v>
      </c>
      <c r="G19496" t="str">
        <v>-</v>
      </c>
    </row>
    <row r="19497">
      <c r="B19497" t="str">
        <v>UBND Ủy ban nhân dân xã Tân Vĩnh Hiệp  tỉnh Bình Dương</v>
      </c>
      <c r="C19497" t="str">
        <v>-</v>
      </c>
      <c r="D19497" t="str">
        <v>-</v>
      </c>
      <c r="E19497" t="str">
        <v>-</v>
      </c>
      <c r="F19497" t="str">
        <v>-</v>
      </c>
      <c r="G19497" t="str">
        <v>-</v>
      </c>
    </row>
    <row r="19498">
      <c r="B19498" t="str">
        <v>Công an phường Thạnh Phước  tỉnh Bình Dương</v>
      </c>
      <c r="C19498" t="str">
        <v>-</v>
      </c>
      <c r="D19498" t="str">
        <v>-</v>
      </c>
      <c r="E19498" t="str">
        <v/>
      </c>
      <c r="F19498" t="str">
        <v>-</v>
      </c>
      <c r="G19498" t="str">
        <v>-</v>
      </c>
    </row>
    <row r="19499">
      <c r="B19499" t="str">
        <v>UBND Ủy ban nhân dân phường Thạnh Phước  tỉnh Bình Dương</v>
      </c>
      <c r="C19499" t="str">
        <v>-</v>
      </c>
      <c r="D19499" t="str">
        <v>-</v>
      </c>
      <c r="E19499" t="str">
        <v>-</v>
      </c>
      <c r="F19499" t="str">
        <v>-</v>
      </c>
      <c r="G19499" t="str">
        <v>-</v>
      </c>
    </row>
    <row r="19500">
      <c r="B19500" t="str">
        <v>Công an xã Thạnh Hội  tỉnh Bình Dương</v>
      </c>
      <c r="C19500" t="str">
        <v>-</v>
      </c>
      <c r="D19500" t="str">
        <v>-</v>
      </c>
      <c r="E19500" t="str">
        <v/>
      </c>
      <c r="F19500" t="str">
        <v>-</v>
      </c>
      <c r="G19500" t="str">
        <v>-</v>
      </c>
    </row>
    <row r="19501">
      <c r="B19501" t="str">
        <v>UBND Ủy ban nhân dân xã Thạnh Hội  tỉnh Bình Dương</v>
      </c>
      <c r="C19501" t="str">
        <v>-</v>
      </c>
      <c r="D19501" t="str">
        <v>-</v>
      </c>
      <c r="E19501" t="str">
        <v>-</v>
      </c>
      <c r="F19501" t="str">
        <v>-</v>
      </c>
      <c r="G19501" t="str">
        <v>-</v>
      </c>
    </row>
    <row r="19502">
      <c r="B19502" t="str">
        <v>Công an phường Thái Hòa  tỉnh Bình Dương</v>
      </c>
      <c r="C19502" t="str">
        <v>-</v>
      </c>
      <c r="D19502" t="str">
        <v>-</v>
      </c>
      <c r="E19502" t="str">
        <v/>
      </c>
      <c r="F19502" t="str">
        <v>-</v>
      </c>
      <c r="G19502" t="str">
        <v>-</v>
      </c>
    </row>
    <row r="19503">
      <c r="B19503" t="str">
        <v>UBND Ủy ban nhân dân phường Thái Hòa  tỉnh Bình Dương</v>
      </c>
      <c r="C19503" t="str">
        <v>-</v>
      </c>
      <c r="D19503" t="str">
        <v>-</v>
      </c>
      <c r="E19503" t="str">
        <v>-</v>
      </c>
      <c r="F19503" t="str">
        <v>-</v>
      </c>
      <c r="G19503" t="str">
        <v>-</v>
      </c>
    </row>
    <row r="19504">
      <c r="B19504" t="str">
        <v>Công an phường Dĩ An  tỉnh Bình Dương</v>
      </c>
      <c r="C19504" t="str">
        <v>-</v>
      </c>
      <c r="D19504" t="str">
        <v>-</v>
      </c>
      <c r="E19504" t="str">
        <v/>
      </c>
      <c r="F19504" t="str">
        <v>-</v>
      </c>
      <c r="G19504" t="str">
        <v>-</v>
      </c>
    </row>
    <row r="19505">
      <c r="B19505" t="str">
        <v>UBND Ủy ban nhân dân phường Dĩ An  tỉnh Bình Dương</v>
      </c>
      <c r="C19505" t="str">
        <v>-</v>
      </c>
      <c r="D19505" t="str">
        <v>-</v>
      </c>
      <c r="E19505" t="str">
        <v>-</v>
      </c>
      <c r="F19505" t="str">
        <v>-</v>
      </c>
      <c r="G19505" t="str">
        <v>-</v>
      </c>
    </row>
    <row r="19506">
      <c r="B19506" t="str">
        <v>Công an phường Tân Bình  tỉnh Bình Dương</v>
      </c>
      <c r="C19506" t="str">
        <v>-</v>
      </c>
      <c r="D19506" t="str">
        <v>-</v>
      </c>
      <c r="E19506" t="str">
        <v/>
      </c>
      <c r="F19506" t="str">
        <v>-</v>
      </c>
      <c r="G19506" t="str">
        <v>-</v>
      </c>
    </row>
    <row r="19507">
      <c r="B19507" t="str">
        <v>UBND Ủy ban nhân dân phường Tân Bình  tỉnh Bình Dương</v>
      </c>
      <c r="C19507" t="str">
        <v>-</v>
      </c>
      <c r="D19507" t="str">
        <v>-</v>
      </c>
      <c r="E19507" t="str">
        <v>-</v>
      </c>
      <c r="F19507" t="str">
        <v>-</v>
      </c>
      <c r="G19507" t="str">
        <v>-</v>
      </c>
    </row>
    <row r="19508">
      <c r="B19508" t="str">
        <v>Công an phường Tân Đông Hiệp  tỉnh Bình Dương</v>
      </c>
      <c r="C19508" t="str">
        <v>-</v>
      </c>
      <c r="D19508" t="str">
        <v>-</v>
      </c>
      <c r="E19508" t="str">
        <v/>
      </c>
      <c r="F19508" t="str">
        <v>-</v>
      </c>
      <c r="G19508" t="str">
        <v>-</v>
      </c>
    </row>
    <row r="19509">
      <c r="B19509" t="str">
        <v>UBND Ủy ban nhân dân phường Tân Đông Hiệp  tỉnh Bình Dương</v>
      </c>
      <c r="C19509" t="str">
        <v>-</v>
      </c>
      <c r="D19509" t="str">
        <v>-</v>
      </c>
      <c r="E19509" t="str">
        <v>-</v>
      </c>
      <c r="F19509" t="str">
        <v>-</v>
      </c>
      <c r="G19509" t="str">
        <v>-</v>
      </c>
    </row>
    <row r="19510">
      <c r="B19510" t="str">
        <v>Công an phường Bình An  tỉnh Bình Dương</v>
      </c>
      <c r="C19510" t="str">
        <v>-</v>
      </c>
      <c r="D19510" t="str">
        <v>-</v>
      </c>
      <c r="E19510" t="str">
        <v/>
      </c>
      <c r="F19510" t="str">
        <v>-</v>
      </c>
      <c r="G19510" t="str">
        <v>-</v>
      </c>
    </row>
    <row r="19511">
      <c r="B19511" t="str">
        <v>UBND Ủy ban nhân dân phường Bình An  tỉnh Bình Dương</v>
      </c>
      <c r="C19511" t="str">
        <v>-</v>
      </c>
      <c r="D19511" t="str">
        <v>-</v>
      </c>
      <c r="E19511" t="str">
        <v>-</v>
      </c>
      <c r="F19511" t="str">
        <v>-</v>
      </c>
      <c r="G19511" t="str">
        <v>-</v>
      </c>
    </row>
    <row r="19512">
      <c r="B19512" t="str">
        <v>Công an phường Bình Thắng  tỉnh Bình Dương</v>
      </c>
      <c r="C19512" t="str">
        <v>-</v>
      </c>
      <c r="D19512" t="str">
        <v>-</v>
      </c>
      <c r="E19512" t="str">
        <v/>
      </c>
      <c r="F19512" t="str">
        <v>-</v>
      </c>
      <c r="G19512" t="str">
        <v>-</v>
      </c>
    </row>
    <row r="19513">
      <c r="B19513" t="str">
        <v>UBND Ủy ban nhân dân phường Bình Thắng  tỉnh Bình Dương</v>
      </c>
      <c r="C19513" t="str">
        <v>-</v>
      </c>
      <c r="D19513" t="str">
        <v>-</v>
      </c>
      <c r="E19513" t="str">
        <v>-</v>
      </c>
      <c r="F19513" t="str">
        <v>-</v>
      </c>
      <c r="G19513" t="str">
        <v>-</v>
      </c>
    </row>
    <row r="19514">
      <c r="B19514" t="str">
        <v>Công an phường Đông Hòa  tỉnh Bình Dương</v>
      </c>
      <c r="C19514" t="str">
        <v>-</v>
      </c>
      <c r="D19514" t="str">
        <v>-</v>
      </c>
      <c r="E19514" t="str">
        <v/>
      </c>
      <c r="F19514" t="str">
        <v>-</v>
      </c>
      <c r="G19514" t="str">
        <v>-</v>
      </c>
    </row>
    <row r="19515">
      <c r="B19515" t="str">
        <v>UBND Ủy ban nhân dân phường Đông Hòa  tỉnh Bình Dương</v>
      </c>
      <c r="C19515" t="str">
        <v>-</v>
      </c>
      <c r="D19515" t="str">
        <v>-</v>
      </c>
      <c r="E19515" t="str">
        <v>-</v>
      </c>
      <c r="F19515" t="str">
        <v>-</v>
      </c>
      <c r="G19515" t="str">
        <v>-</v>
      </c>
    </row>
    <row r="19516">
      <c r="B19516" t="str">
        <v>Công an phường An Bình  tỉnh Bình Dương</v>
      </c>
      <c r="C19516" t="str">
        <v>-</v>
      </c>
      <c r="D19516" t="str">
        <v>-</v>
      </c>
      <c r="E19516" t="str">
        <v/>
      </c>
      <c r="F19516" t="str">
        <v>-</v>
      </c>
      <c r="G19516" t="str">
        <v>-</v>
      </c>
    </row>
    <row r="19517">
      <c r="B19517" t="str">
        <v>UBND Ủy ban nhân dân phường An Bình  tỉnh Bình Dương</v>
      </c>
      <c r="C19517" t="str">
        <v>-</v>
      </c>
      <c r="D19517" t="str">
        <v>-</v>
      </c>
      <c r="E19517" t="str">
        <v>-</v>
      </c>
      <c r="F19517" t="str">
        <v>-</v>
      </c>
      <c r="G19517" t="str">
        <v>-</v>
      </c>
    </row>
    <row r="19518">
      <c r="B19518" t="str">
        <v>Công an phường An Thạnh  tỉnh Bình Dương</v>
      </c>
      <c r="C19518" t="str">
        <v>-</v>
      </c>
      <c r="D19518" t="str">
        <v>-</v>
      </c>
      <c r="E19518" t="str">
        <v/>
      </c>
      <c r="F19518" t="str">
        <v>-</v>
      </c>
      <c r="G19518" t="str">
        <v>-</v>
      </c>
    </row>
    <row r="19519">
      <c r="B19519" t="str">
        <v>UBND Ủy ban nhân dân phường An Thạnh  tỉnh Bình Dương</v>
      </c>
      <c r="C19519" t="str">
        <v>-</v>
      </c>
      <c r="D19519" t="str">
        <v>-</v>
      </c>
      <c r="E19519" t="str">
        <v>-</v>
      </c>
      <c r="F19519" t="str">
        <v>-</v>
      </c>
      <c r="G19519" t="str">
        <v>-</v>
      </c>
    </row>
    <row r="19520">
      <c r="B19520" t="str">
        <v>Công an phường Bình Chuẩn  tỉnh Bình Dương</v>
      </c>
      <c r="C19520" t="str">
        <v>-</v>
      </c>
      <c r="D19520" t="str">
        <v>-</v>
      </c>
      <c r="E19520" t="str">
        <v/>
      </c>
      <c r="F19520" t="str">
        <v>-</v>
      </c>
      <c r="G19520" t="str">
        <v>-</v>
      </c>
    </row>
    <row r="19521">
      <c r="B19521" t="str">
        <v>UBND Ủy ban nhân dân phường Bình Chuẩn  tỉnh Bình Dương</v>
      </c>
      <c r="C19521" t="str">
        <v>-</v>
      </c>
      <c r="D19521" t="str">
        <v>-</v>
      </c>
      <c r="E19521" t="str">
        <v>-</v>
      </c>
      <c r="F19521" t="str">
        <v>-</v>
      </c>
      <c r="G19521" t="str">
        <v>-</v>
      </c>
    </row>
    <row r="19522">
      <c r="B19522" t="str">
        <v>Công an phường Thuận Giao  tỉnh Bình Dương</v>
      </c>
      <c r="C19522" t="str">
        <v>-</v>
      </c>
      <c r="D19522" t="str">
        <v>-</v>
      </c>
      <c r="E19522" t="str">
        <v/>
      </c>
      <c r="F19522" t="str">
        <v>-</v>
      </c>
      <c r="G19522" t="str">
        <v>-</v>
      </c>
    </row>
    <row r="19523">
      <c r="B19523" t="str">
        <v>UBND Ủy ban nhân dân phường Thuận Giao  tỉnh Bình Dương</v>
      </c>
      <c r="C19523" t="str">
        <v>-</v>
      </c>
      <c r="D19523" t="str">
        <v>-</v>
      </c>
      <c r="E19523" t="str">
        <v>-</v>
      </c>
      <c r="F19523" t="str">
        <v>-</v>
      </c>
      <c r="G19523" t="str">
        <v>-</v>
      </c>
    </row>
    <row r="19524">
      <c r="B19524" t="str">
        <v>Công an phường An Phú  tỉnh Bình Dương</v>
      </c>
      <c r="C19524" t="str">
        <v>-</v>
      </c>
      <c r="D19524" t="str">
        <v>-</v>
      </c>
      <c r="E19524" t="str">
        <v/>
      </c>
      <c r="F19524" t="str">
        <v>-</v>
      </c>
      <c r="G19524" t="str">
        <v>-</v>
      </c>
    </row>
    <row r="19525">
      <c r="B19525" t="str">
        <v>UBND Ủy ban nhân dân phường An Phú  tỉnh Bình Dương</v>
      </c>
      <c r="C19525" t="str">
        <v>-</v>
      </c>
      <c r="D19525" t="str">
        <v>-</v>
      </c>
      <c r="E19525" t="str">
        <v>-</v>
      </c>
      <c r="F19525" t="str">
        <v>-</v>
      </c>
      <c r="G19525" t="str">
        <v>-</v>
      </c>
    </row>
    <row r="19526">
      <c r="B19526" t="str">
        <v>Công an phường Hưng Định  tỉnh Bình Dương</v>
      </c>
      <c r="C19526" t="str">
        <v>-</v>
      </c>
      <c r="D19526" t="str">
        <v>-</v>
      </c>
      <c r="E19526" t="str">
        <v/>
      </c>
      <c r="F19526" t="str">
        <v>-</v>
      </c>
      <c r="G19526" t="str">
        <v>-</v>
      </c>
    </row>
    <row r="19527">
      <c r="B19527" t="str">
        <v>UBND Ủy ban nhân dân phường Hưng Định  tỉnh Bình Dương</v>
      </c>
      <c r="C19527" t="str">
        <v>-</v>
      </c>
      <c r="D19527" t="str">
        <v>-</v>
      </c>
      <c r="E19527" t="str">
        <v>-</v>
      </c>
      <c r="F19527" t="str">
        <v>-</v>
      </c>
      <c r="G19527" t="str">
        <v>-</v>
      </c>
    </row>
    <row r="19528">
      <c r="B19528" t="str">
        <v>Công an xã An Sơn  tỉnh Bình Dương</v>
      </c>
      <c r="C19528" t="str">
        <v>-</v>
      </c>
      <c r="D19528" t="str">
        <v>-</v>
      </c>
      <c r="E19528" t="str">
        <v/>
      </c>
      <c r="F19528" t="str">
        <v>-</v>
      </c>
      <c r="G19528" t="str">
        <v>-</v>
      </c>
    </row>
    <row r="19529">
      <c r="B19529" t="str">
        <v>UBND Ủy ban nhân dân xã An Sơn  tỉnh Bình Dương</v>
      </c>
      <c r="C19529" t="str">
        <v>-</v>
      </c>
      <c r="D19529" t="str">
        <v>-</v>
      </c>
      <c r="E19529" t="str">
        <v>-</v>
      </c>
      <c r="F19529" t="str">
        <v>-</v>
      </c>
      <c r="G19529" t="str">
        <v>-</v>
      </c>
    </row>
    <row r="19530">
      <c r="B19530" t="str">
        <v>Công an phường Bình Nhâm  tỉnh Bình Dương</v>
      </c>
      <c r="C19530" t="str">
        <v>-</v>
      </c>
      <c r="D19530" t="str">
        <v>-</v>
      </c>
      <c r="E19530" t="str">
        <v/>
      </c>
      <c r="F19530" t="str">
        <v>-</v>
      </c>
      <c r="G19530" t="str">
        <v>-</v>
      </c>
    </row>
    <row r="19531">
      <c r="B19531" t="str">
        <v>UBND Ủy ban nhân dân phường Bình Nhâm  tỉnh Bình Dương</v>
      </c>
      <c r="C19531" t="str">
        <v>-</v>
      </c>
      <c r="D19531" t="str">
        <v>-</v>
      </c>
      <c r="E19531" t="str">
        <v>-</v>
      </c>
      <c r="F19531" t="str">
        <v>-</v>
      </c>
      <c r="G19531" t="str">
        <v>-</v>
      </c>
    </row>
    <row r="19532">
      <c r="B19532" t="str">
        <v>Công an phường Bình Hòa  tỉnh Bình Dương</v>
      </c>
      <c r="C19532" t="str">
        <v>-</v>
      </c>
      <c r="D19532" t="str">
        <v>-</v>
      </c>
      <c r="E19532" t="str">
        <v/>
      </c>
      <c r="F19532" t="str">
        <v>-</v>
      </c>
      <c r="G19532" t="str">
        <v>-</v>
      </c>
    </row>
    <row r="19533">
      <c r="B19533" t="str">
        <v>UBND Ủy ban nhân dân phường Bình Hòa  tỉnh Bình Dương</v>
      </c>
      <c r="C19533" t="str">
        <v>-</v>
      </c>
      <c r="D19533" t="str">
        <v>-</v>
      </c>
      <c r="E19533" t="str">
        <v>-</v>
      </c>
      <c r="F19533" t="str">
        <v>-</v>
      </c>
      <c r="G19533" t="str">
        <v>-</v>
      </c>
    </row>
    <row r="19534">
      <c r="B19534" t="str">
        <v>Công an phường Vĩnh Phú  tỉnh Bình Dương</v>
      </c>
      <c r="C19534" t="str">
        <v>-</v>
      </c>
      <c r="D19534" t="str">
        <v>-</v>
      </c>
      <c r="E19534" t="str">
        <v/>
      </c>
      <c r="F19534" t="str">
        <v>-</v>
      </c>
      <c r="G19534" t="str">
        <v>-</v>
      </c>
    </row>
    <row r="19535">
      <c r="B19535" t="str">
        <v>UBND Ủy ban nhân dân phường Vĩnh Phú  tỉnh Bình Dương</v>
      </c>
      <c r="C19535" t="str">
        <v>-</v>
      </c>
      <c r="D19535" t="str">
        <v>-</v>
      </c>
      <c r="E19535" t="str">
        <v>-</v>
      </c>
      <c r="F19535" t="str">
        <v>-</v>
      </c>
      <c r="G19535" t="str">
        <v>-</v>
      </c>
    </row>
    <row r="19536">
      <c r="B19536" t="str">
        <v>Công an xã Tân Định  tỉnh Bình Dương</v>
      </c>
      <c r="C19536" t="str">
        <v>-</v>
      </c>
      <c r="D19536" t="str">
        <v>-</v>
      </c>
      <c r="E19536" t="str">
        <v/>
      </c>
      <c r="F19536" t="str">
        <v>-</v>
      </c>
      <c r="G19536" t="str">
        <v>-</v>
      </c>
    </row>
    <row r="19537">
      <c r="B19537" t="str">
        <v>UBND Ủy ban nhân dân xã Tân Định  tỉnh Bình Dương</v>
      </c>
      <c r="C19537" t="str">
        <v>-</v>
      </c>
      <c r="D19537" t="str">
        <v>-</v>
      </c>
      <c r="E19537" t="str">
        <v>-</v>
      </c>
      <c r="F19537" t="str">
        <v>-</v>
      </c>
      <c r="G19537" t="str">
        <v>-</v>
      </c>
    </row>
    <row r="19538">
      <c r="B19538" t="str">
        <v>Công an xã Bình Mỹ  tỉnh Bình Dương</v>
      </c>
      <c r="C19538" t="str">
        <v>-</v>
      </c>
      <c r="D19538" t="str">
        <v>-</v>
      </c>
      <c r="E19538" t="str">
        <v/>
      </c>
      <c r="F19538" t="str">
        <v>-</v>
      </c>
      <c r="G19538" t="str">
        <v>-</v>
      </c>
    </row>
    <row r="19539">
      <c r="B19539" t="str">
        <v>UBND Ủy ban nhân dân xã Bình Mỹ  tỉnh Bình Dương</v>
      </c>
      <c r="C19539" t="str">
        <v>-</v>
      </c>
      <c r="D19539" t="str">
        <v>-</v>
      </c>
      <c r="E19539" t="str">
        <v>-</v>
      </c>
      <c r="F19539" t="str">
        <v>-</v>
      </c>
      <c r="G19539" t="str">
        <v>-</v>
      </c>
    </row>
    <row r="19540">
      <c r="B19540" t="str">
        <v>Công an xã Tân Bình  tỉnh Bình Dương</v>
      </c>
      <c r="C19540" t="str">
        <v>-</v>
      </c>
      <c r="D19540" t="str">
        <v>-</v>
      </c>
      <c r="E19540" t="str">
        <v/>
      </c>
      <c r="F19540" t="str">
        <v>-</v>
      </c>
      <c r="G19540" t="str">
        <v>-</v>
      </c>
    </row>
    <row r="19541">
      <c r="B19541" t="str">
        <v>UBND Ủy ban nhân dân xã Tân Bình  tỉnh Bình Dương</v>
      </c>
      <c r="C19541" t="str">
        <v>-</v>
      </c>
      <c r="D19541" t="str">
        <v>-</v>
      </c>
      <c r="E19541" t="str">
        <v>-</v>
      </c>
      <c r="F19541" t="str">
        <v>-</v>
      </c>
      <c r="G19541" t="str">
        <v>-</v>
      </c>
    </row>
    <row r="19542">
      <c r="B19542" t="str">
        <v>Công an xã Tân Lập  tỉnh Bình Dương</v>
      </c>
      <c r="C19542" t="str">
        <v>-</v>
      </c>
      <c r="D19542" t="str">
        <v>-</v>
      </c>
      <c r="E19542" t="str">
        <v/>
      </c>
      <c r="F19542" t="str">
        <v>-</v>
      </c>
      <c r="G19542" t="str">
        <v>-</v>
      </c>
    </row>
    <row r="19543">
      <c r="B19543" t="str">
        <v>UBND Ủy ban nhân dân xã Tân Lập  tỉnh Bình Dương</v>
      </c>
      <c r="C19543" t="str">
        <v>-</v>
      </c>
      <c r="D19543" t="str">
        <v>-</v>
      </c>
      <c r="E19543" t="str">
        <v>-</v>
      </c>
      <c r="F19543" t="str">
        <v>-</v>
      </c>
      <c r="G19543" t="str">
        <v>-</v>
      </c>
    </row>
    <row r="19544">
      <c r="B19544" t="str">
        <v>Công an xã Tân Thành  tỉnh Bình Dương</v>
      </c>
      <c r="C19544" t="str">
        <v>-</v>
      </c>
      <c r="D19544" t="str">
        <v>-</v>
      </c>
      <c r="E19544" t="str">
        <v/>
      </c>
      <c r="F19544" t="str">
        <v>-</v>
      </c>
      <c r="G19544" t="str">
        <v>-</v>
      </c>
    </row>
    <row r="19545">
      <c r="B19545" t="str">
        <v>UBND Ủy ban nhân dân xã Tân Thành  tỉnh Bình Dương</v>
      </c>
      <c r="C19545" t="str">
        <v>-</v>
      </c>
      <c r="D19545" t="str">
        <v>-</v>
      </c>
      <c r="E19545" t="str">
        <v>-</v>
      </c>
      <c r="F19545" t="str">
        <v>-</v>
      </c>
      <c r="G19545" t="str">
        <v>-</v>
      </c>
    </row>
    <row r="19546">
      <c r="B19546" t="str">
        <v>Công an xã Đất Cuốc  tỉnh Bình Dương</v>
      </c>
      <c r="C19546" t="str">
        <v>-</v>
      </c>
      <c r="D19546" t="str">
        <v>-</v>
      </c>
      <c r="E19546" t="str">
        <v/>
      </c>
      <c r="F19546" t="str">
        <v>-</v>
      </c>
      <c r="G19546" t="str">
        <v>-</v>
      </c>
    </row>
    <row r="19547">
      <c r="B19547" t="str">
        <v>UBND Ủy ban nhân dân xã Đất Cuốc  tỉnh Bình Dương</v>
      </c>
      <c r="C19547" t="str">
        <v>-</v>
      </c>
      <c r="D19547" t="str">
        <v>-</v>
      </c>
      <c r="E19547" t="str">
        <v>-</v>
      </c>
      <c r="F19547" t="str">
        <v>-</v>
      </c>
      <c r="G19547" t="str">
        <v>-</v>
      </c>
    </row>
    <row r="19548">
      <c r="B19548" t="str">
        <v>Công an xã Hiếu Liêm  tỉnh Bình Dương</v>
      </c>
      <c r="C19548" t="str">
        <v>-</v>
      </c>
      <c r="D19548" t="str">
        <v>-</v>
      </c>
      <c r="E19548" t="str">
        <v/>
      </c>
      <c r="F19548" t="str">
        <v>-</v>
      </c>
      <c r="G19548" t="str">
        <v>-</v>
      </c>
    </row>
    <row r="19549">
      <c r="B19549" t="str">
        <v>UBND Ủy ban nhân dân xã Hiếu Liêm  tỉnh Bình Dương</v>
      </c>
      <c r="C19549" t="str">
        <v>-</v>
      </c>
      <c r="D19549" t="str">
        <v>-</v>
      </c>
      <c r="E19549" t="str">
        <v>-</v>
      </c>
      <c r="F19549" t="str">
        <v>-</v>
      </c>
      <c r="G19549" t="str">
        <v>-</v>
      </c>
    </row>
    <row r="19550">
      <c r="B19550" t="str">
        <v>Công an xã Lạc An  tỉnh Bình Dương</v>
      </c>
      <c r="C19550" t="str">
        <v>-</v>
      </c>
      <c r="D19550" t="str">
        <v>-</v>
      </c>
      <c r="E19550" t="str">
        <v/>
      </c>
      <c r="F19550" t="str">
        <v>-</v>
      </c>
      <c r="G19550" t="str">
        <v>-</v>
      </c>
    </row>
    <row r="19551">
      <c r="B19551" t="str">
        <v>UBND Ủy ban nhân dân xã Lạc An  tỉnh Bình Dương</v>
      </c>
      <c r="C19551" t="str">
        <v>-</v>
      </c>
      <c r="D19551" t="str">
        <v>-</v>
      </c>
      <c r="E19551" t="str">
        <v>-</v>
      </c>
      <c r="F19551" t="str">
        <v>-</v>
      </c>
      <c r="G19551" t="str">
        <v>-</v>
      </c>
    </row>
    <row r="19552">
      <c r="B19552" t="str">
        <v>Công an xã Tân Mỹ  tỉnh Bình Dương</v>
      </c>
      <c r="C19552" t="str">
        <v>-</v>
      </c>
      <c r="D19552" t="str">
        <v>-</v>
      </c>
      <c r="E19552" t="str">
        <v/>
      </c>
      <c r="F19552" t="str">
        <v>-</v>
      </c>
      <c r="G19552" t="str">
        <v>-</v>
      </c>
    </row>
    <row r="19553">
      <c r="B19553" t="str">
        <v>UBND Ủy ban nhân dân xã Tân Mỹ  tỉnh Bình Dương</v>
      </c>
      <c r="C19553" t="str">
        <v>-</v>
      </c>
      <c r="D19553" t="str">
        <v>-</v>
      </c>
      <c r="E19553" t="str">
        <v>-</v>
      </c>
      <c r="F19553" t="str">
        <v>-</v>
      </c>
      <c r="G19553" t="str">
        <v>-</v>
      </c>
    </row>
    <row r="19554">
      <c r="B19554" t="str">
        <v>Công an xã Thường Tân  tỉnh Bình Dương</v>
      </c>
      <c r="C19554" t="str">
        <v>-</v>
      </c>
      <c r="D19554" t="str">
        <v>-</v>
      </c>
      <c r="E19554" t="str">
        <v/>
      </c>
      <c r="F19554" t="str">
        <v>-</v>
      </c>
      <c r="G19554" t="str">
        <v>-</v>
      </c>
    </row>
    <row r="19555">
      <c r="B19555" t="str">
        <v>UBND Ủy ban nhân dân xã Thường Tân  tỉnh Bình Dương</v>
      </c>
      <c r="C19555" t="str">
        <v>-</v>
      </c>
      <c r="D19555" t="str">
        <v>-</v>
      </c>
      <c r="E19555" t="str">
        <v>-</v>
      </c>
      <c r="F19555" t="str">
        <v>-</v>
      </c>
      <c r="G19555" t="str">
        <v>-</v>
      </c>
    </row>
    <row r="19556">
      <c r="B19556" t="str">
        <v>Công an phường Trảng Dài  tỉnh Đồng Nai</v>
      </c>
      <c r="C19556" t="str">
        <v>-</v>
      </c>
      <c r="D19556" t="str">
        <v>-</v>
      </c>
      <c r="E19556" t="str">
        <v/>
      </c>
      <c r="F19556" t="str">
        <v>-</v>
      </c>
      <c r="G19556" t="str">
        <v>-</v>
      </c>
    </row>
    <row r="19557">
      <c r="B19557" t="str">
        <v>UBND Ủy ban nhân dân phường Trảng Dài  tỉnh Đồng Nai</v>
      </c>
      <c r="C19557" t="str">
        <v>-</v>
      </c>
      <c r="D19557" t="str">
        <v>-</v>
      </c>
      <c r="E19557" t="str">
        <v>-</v>
      </c>
      <c r="F19557" t="str">
        <v>-</v>
      </c>
      <c r="G19557" t="str">
        <v>-</v>
      </c>
    </row>
    <row r="19558">
      <c r="B19558" t="str">
        <v>Công an phường Tân Phong  tỉnh Đồng Nai</v>
      </c>
      <c r="C19558" t="str">
        <v>-</v>
      </c>
      <c r="D19558" t="str">
        <v>-</v>
      </c>
      <c r="E19558" t="str">
        <v/>
      </c>
      <c r="F19558" t="str">
        <v>-</v>
      </c>
      <c r="G19558" t="str">
        <v>-</v>
      </c>
    </row>
    <row r="19559">
      <c r="B19559" t="str">
        <v>UBND Ủy ban nhân dân phường Tân Phong  tỉnh Đồng Nai</v>
      </c>
      <c r="C19559" t="str">
        <v>-</v>
      </c>
      <c r="D19559" t="str">
        <v>-</v>
      </c>
      <c r="E19559" t="str">
        <v>-</v>
      </c>
      <c r="F19559" t="str">
        <v>-</v>
      </c>
      <c r="G19559" t="str">
        <v>-</v>
      </c>
    </row>
    <row r="19560">
      <c r="B19560" t="str">
        <v>Công an phường Tân Biên  tỉnh Đồng Nai</v>
      </c>
      <c r="C19560" t="str">
        <v>-</v>
      </c>
      <c r="D19560" t="str">
        <v>-</v>
      </c>
      <c r="E19560" t="str">
        <v/>
      </c>
      <c r="F19560" t="str">
        <v>-</v>
      </c>
      <c r="G19560" t="str">
        <v>-</v>
      </c>
    </row>
    <row r="19561">
      <c r="B19561" t="str">
        <v>UBND Ủy ban nhân dân phường Tân Biên  tỉnh Đồng Nai</v>
      </c>
      <c r="C19561" t="str">
        <v>-</v>
      </c>
      <c r="D19561" t="str">
        <v>-</v>
      </c>
      <c r="E19561" t="str">
        <v>-</v>
      </c>
      <c r="F19561" t="str">
        <v>-</v>
      </c>
      <c r="G19561" t="str">
        <v>-</v>
      </c>
    </row>
    <row r="19562">
      <c r="B19562" t="str">
        <v>Công an phường Hố Nai  tỉnh Đồng Nai</v>
      </c>
      <c r="C19562" t="str">
        <v>-</v>
      </c>
      <c r="D19562" t="str">
        <v>-</v>
      </c>
      <c r="E19562" t="str">
        <v/>
      </c>
      <c r="F19562" t="str">
        <v>-</v>
      </c>
      <c r="G19562" t="str">
        <v>-</v>
      </c>
    </row>
    <row r="19563">
      <c r="B19563" t="str">
        <v>UBND Ủy ban nhân dân phường Hố Nai  tỉnh Đồng Nai</v>
      </c>
      <c r="C19563" t="str">
        <v>-</v>
      </c>
      <c r="D19563" t="str">
        <v>-</v>
      </c>
      <c r="E19563" t="str">
        <v>-</v>
      </c>
      <c r="F19563" t="str">
        <v>-</v>
      </c>
      <c r="G19563" t="str">
        <v>-</v>
      </c>
    </row>
    <row r="19564">
      <c r="B19564" t="str">
        <v>Công an phường Tân Hòa  tỉnh Đồng Nai</v>
      </c>
      <c r="C19564" t="str">
        <v>-</v>
      </c>
      <c r="D19564" t="str">
        <v>-</v>
      </c>
      <c r="E19564" t="str">
        <v/>
      </c>
      <c r="F19564" t="str">
        <v>-</v>
      </c>
      <c r="G19564" t="str">
        <v>-</v>
      </c>
    </row>
    <row r="19565">
      <c r="B19565" t="str">
        <v>UBND Ủy ban nhân dân phường Tân Hòa  tỉnh Đồng Nai</v>
      </c>
      <c r="C19565" t="str">
        <v>-</v>
      </c>
      <c r="D19565" t="str">
        <v>-</v>
      </c>
      <c r="E19565" t="str">
        <v>-</v>
      </c>
      <c r="F19565" t="str">
        <v>-</v>
      </c>
      <c r="G19565" t="str">
        <v>-</v>
      </c>
    </row>
    <row r="19566">
      <c r="B19566" t="str">
        <v>Công an phường Tân Hiệp  tỉnh Đồng Nai</v>
      </c>
      <c r="C19566" t="str">
        <v>-</v>
      </c>
      <c r="D19566" t="str">
        <v>-</v>
      </c>
      <c r="E19566" t="str">
        <v/>
      </c>
      <c r="F19566" t="str">
        <v>-</v>
      </c>
      <c r="G19566" t="str">
        <v>-</v>
      </c>
    </row>
    <row r="19567">
      <c r="B19567" t="str">
        <v>UBND Ủy ban nhân dân phường Tân Hiệp  tỉnh Đồng Nai</v>
      </c>
      <c r="C19567" t="str">
        <v>-</v>
      </c>
      <c r="D19567" t="str">
        <v>-</v>
      </c>
      <c r="E19567" t="str">
        <v>-</v>
      </c>
      <c r="F19567" t="str">
        <v>-</v>
      </c>
      <c r="G19567" t="str">
        <v>-</v>
      </c>
    </row>
    <row r="19568">
      <c r="B19568" t="str">
        <v>Công an phường Bửu Long  tỉnh Đồng Nai</v>
      </c>
      <c r="C19568" t="str">
        <v>-</v>
      </c>
      <c r="D19568" t="str">
        <v>-</v>
      </c>
      <c r="E19568" t="str">
        <v/>
      </c>
      <c r="F19568" t="str">
        <v>-</v>
      </c>
      <c r="G19568" t="str">
        <v>-</v>
      </c>
    </row>
    <row r="19569">
      <c r="B19569" t="str">
        <v>UBND Ủy ban nhân dân phường Bửu Long  tỉnh Đồng Nai</v>
      </c>
      <c r="C19569" t="str">
        <v>-</v>
      </c>
      <c r="D19569" t="str">
        <v>-</v>
      </c>
      <c r="E19569" t="str">
        <v>-</v>
      </c>
      <c r="F19569" t="str">
        <v>-</v>
      </c>
      <c r="G19569" t="str">
        <v>-</v>
      </c>
    </row>
    <row r="19570">
      <c r="B19570" t="str">
        <v>Công an phường Tân Tiến  tỉnh Đồng Nai</v>
      </c>
      <c r="C19570" t="str">
        <v>-</v>
      </c>
      <c r="D19570" t="str">
        <v>-</v>
      </c>
      <c r="E19570" t="str">
        <v/>
      </c>
      <c r="F19570" t="str">
        <v>-</v>
      </c>
      <c r="G19570" t="str">
        <v>-</v>
      </c>
    </row>
    <row r="19571">
      <c r="B19571" t="str">
        <v>UBND Ủy ban nhân dân phường Tân Tiến  tỉnh Đồng Nai</v>
      </c>
      <c r="C19571" t="str">
        <v>-</v>
      </c>
      <c r="D19571" t="str">
        <v>-</v>
      </c>
      <c r="E19571" t="str">
        <v>-</v>
      </c>
      <c r="F19571" t="str">
        <v>-</v>
      </c>
      <c r="G19571" t="str">
        <v>-</v>
      </c>
    </row>
    <row r="19572">
      <c r="B19572" t="str">
        <v>Công an phường Tam Hiệp  tỉnh Đồng Nai</v>
      </c>
      <c r="C19572" t="str">
        <v>-</v>
      </c>
      <c r="D19572" t="str">
        <v>-</v>
      </c>
      <c r="E19572" t="str">
        <v/>
      </c>
      <c r="F19572" t="str">
        <v>-</v>
      </c>
      <c r="G19572" t="str">
        <v>-</v>
      </c>
    </row>
    <row r="19573">
      <c r="B19573" t="str">
        <v>UBND Ủy ban nhân dân phường Tam Hiệp  tỉnh Đồng Nai</v>
      </c>
      <c r="C19573" t="str">
        <v>-</v>
      </c>
      <c r="D19573" t="str">
        <v>-</v>
      </c>
      <c r="E19573" t="str">
        <v>-</v>
      </c>
      <c r="F19573" t="str">
        <v>-</v>
      </c>
      <c r="G19573" t="str">
        <v>-</v>
      </c>
    </row>
    <row r="19574">
      <c r="B19574" t="str">
        <v>Công an phường Long Bình  tỉnh Đồng Nai</v>
      </c>
      <c r="C19574" t="str">
        <v>-</v>
      </c>
      <c r="D19574" t="str">
        <v>-</v>
      </c>
      <c r="E19574" t="str">
        <v/>
      </c>
      <c r="F19574" t="str">
        <v>-</v>
      </c>
      <c r="G19574" t="str">
        <v>-</v>
      </c>
    </row>
    <row r="19575">
      <c r="B19575" t="str">
        <v>UBND Ủy ban nhân dân phường Long Bình  tỉnh Đồng Nai</v>
      </c>
      <c r="C19575" t="str">
        <v>-</v>
      </c>
      <c r="D19575" t="str">
        <v>-</v>
      </c>
      <c r="E19575" t="str">
        <v>-</v>
      </c>
      <c r="F19575" t="str">
        <v>-</v>
      </c>
      <c r="G19575" t="str">
        <v>-</v>
      </c>
    </row>
    <row r="19576">
      <c r="B19576" t="str">
        <v>Công an phường Quang Vinh  tỉnh Đồng Nai</v>
      </c>
      <c r="C19576" t="str">
        <v>-</v>
      </c>
      <c r="D19576" t="str">
        <v>-</v>
      </c>
      <c r="E19576" t="str">
        <v/>
      </c>
      <c r="F19576" t="str">
        <v>-</v>
      </c>
      <c r="G19576" t="str">
        <v>-</v>
      </c>
    </row>
    <row r="19577">
      <c r="B19577" t="str">
        <v>UBND Ủy ban nhân dân phường Quang Vinh  tỉnh Đồng Nai</v>
      </c>
      <c r="C19577" t="str">
        <v>-</v>
      </c>
      <c r="D19577" t="str">
        <v>-</v>
      </c>
      <c r="E19577" t="str">
        <v>-</v>
      </c>
      <c r="F19577" t="str">
        <v>-</v>
      </c>
      <c r="G19577" t="str">
        <v>-</v>
      </c>
    </row>
    <row r="19578">
      <c r="B19578" t="str">
        <v>Công an phường Tân Mai  tỉnh Đồng Nai</v>
      </c>
      <c r="C19578" t="str">
        <v>-</v>
      </c>
      <c r="D19578" t="str">
        <v>-</v>
      </c>
      <c r="E19578" t="str">
        <v/>
      </c>
      <c r="F19578" t="str">
        <v>-</v>
      </c>
      <c r="G19578" t="str">
        <v>-</v>
      </c>
    </row>
    <row r="19579">
      <c r="B19579" t="str">
        <v>UBND Ủy ban nhân dân phường Tân Mai  tỉnh Đồng Nai</v>
      </c>
      <c r="C19579" t="str">
        <v>-</v>
      </c>
      <c r="D19579" t="str">
        <v>-</v>
      </c>
      <c r="E19579" t="str">
        <v>-</v>
      </c>
      <c r="F19579" t="str">
        <v>-</v>
      </c>
      <c r="G19579" t="str">
        <v>-</v>
      </c>
    </row>
    <row r="19580">
      <c r="B19580" t="str">
        <v>Công an phường Thống Nhất  tỉnh Đồng Nai</v>
      </c>
      <c r="C19580" t="str">
        <v>-</v>
      </c>
      <c r="D19580" t="str">
        <v>-</v>
      </c>
      <c r="E19580" t="str">
        <v/>
      </c>
      <c r="F19580" t="str">
        <v>-</v>
      </c>
      <c r="G19580" t="str">
        <v>-</v>
      </c>
    </row>
    <row r="19581">
      <c r="B19581" t="str">
        <v>UBND Ủy ban nhân dân phường Thống Nhất  tỉnh Đồng Nai</v>
      </c>
      <c r="C19581" t="str">
        <v>-</v>
      </c>
      <c r="D19581" t="str">
        <v>-</v>
      </c>
      <c r="E19581" t="str">
        <v>-</v>
      </c>
      <c r="F19581" t="str">
        <v>-</v>
      </c>
      <c r="G19581" t="str">
        <v>-</v>
      </c>
    </row>
    <row r="19582">
      <c r="B19582" t="str">
        <v>Công an phường Trung Dũng  tỉnh Đồng Nai</v>
      </c>
      <c r="C19582" t="str">
        <v>-</v>
      </c>
      <c r="D19582" t="str">
        <v>-</v>
      </c>
      <c r="E19582" t="str">
        <v/>
      </c>
      <c r="F19582" t="str">
        <v>-</v>
      </c>
      <c r="G19582" t="str">
        <v>-</v>
      </c>
    </row>
    <row r="19583">
      <c r="B19583" t="str">
        <v>UBND Ủy ban nhân dân phường Trung Dũng  tỉnh Đồng Nai</v>
      </c>
      <c r="C19583" t="str">
        <v>-</v>
      </c>
      <c r="D19583" t="str">
        <v>-</v>
      </c>
      <c r="E19583" t="str">
        <v>-</v>
      </c>
      <c r="F19583" t="str">
        <v>-</v>
      </c>
      <c r="G19583" t="str">
        <v>-</v>
      </c>
    </row>
    <row r="19584">
      <c r="B19584" t="str">
        <v>Công an phường Tam Hòa  tỉnh Đồng Nai</v>
      </c>
      <c r="C19584" t="str">
        <v>-</v>
      </c>
      <c r="D19584" t="str">
        <v>-</v>
      </c>
      <c r="E19584" t="str">
        <v/>
      </c>
      <c r="F19584" t="str">
        <v>-</v>
      </c>
      <c r="G19584" t="str">
        <v>-</v>
      </c>
    </row>
    <row r="19585">
      <c r="B19585" t="str">
        <v>UBND Ủy ban nhân dân phường Tam Hòa  tỉnh Đồng Nai</v>
      </c>
      <c r="C19585" t="str">
        <v>-</v>
      </c>
      <c r="D19585" t="str">
        <v>-</v>
      </c>
      <c r="E19585" t="str">
        <v>-</v>
      </c>
      <c r="F19585" t="str">
        <v>-</v>
      </c>
      <c r="G19585" t="str">
        <v>-</v>
      </c>
    </row>
    <row r="19586">
      <c r="B19586" t="str">
        <v>Công an phường Hòa Bình  tỉnh Đồng Nai</v>
      </c>
      <c r="C19586" t="str">
        <v>-</v>
      </c>
      <c r="D19586" t="str">
        <v>-</v>
      </c>
      <c r="E19586" t="str">
        <v/>
      </c>
      <c r="F19586" t="str">
        <v>-</v>
      </c>
      <c r="G19586" t="str">
        <v>-</v>
      </c>
    </row>
    <row r="19587">
      <c r="B19587" t="str">
        <v>UBND Ủy ban nhân dân phường Hòa Bình  tỉnh Đồng Nai</v>
      </c>
      <c r="C19587" t="str">
        <v>-</v>
      </c>
      <c r="D19587" t="str">
        <v>-</v>
      </c>
      <c r="E19587" t="str">
        <v>-</v>
      </c>
      <c r="F19587" t="str">
        <v>-</v>
      </c>
      <c r="G19587" t="str">
        <v>-</v>
      </c>
    </row>
    <row r="19588">
      <c r="B19588" t="str">
        <v>Công an phường Quyết Thắng  tỉnh Đồng Nai</v>
      </c>
      <c r="C19588" t="str">
        <v>-</v>
      </c>
      <c r="D19588" t="str">
        <v>-</v>
      </c>
      <c r="E19588" t="str">
        <v/>
      </c>
      <c r="F19588" t="str">
        <v>-</v>
      </c>
      <c r="G19588" t="str">
        <v>-</v>
      </c>
    </row>
    <row r="19589">
      <c r="B19589" t="str">
        <v>UBND Ủy ban nhân dân phường Quyết Thắng  tỉnh Đồng Nai</v>
      </c>
      <c r="C19589" t="str">
        <v>-</v>
      </c>
      <c r="D19589" t="str">
        <v>-</v>
      </c>
      <c r="E19589" t="str">
        <v>-</v>
      </c>
      <c r="F19589" t="str">
        <v>-</v>
      </c>
      <c r="G19589" t="str">
        <v>-</v>
      </c>
    </row>
    <row r="19590">
      <c r="B19590" t="str">
        <v>Công an phường Thanh Bình  tỉnh Đồng Nai</v>
      </c>
      <c r="C19590" t="str">
        <v>-</v>
      </c>
      <c r="D19590" t="str">
        <v>-</v>
      </c>
      <c r="E19590" t="str">
        <v/>
      </c>
      <c r="F19590" t="str">
        <v>-</v>
      </c>
      <c r="G19590" t="str">
        <v>-</v>
      </c>
    </row>
    <row r="19591">
      <c r="B19591" t="str">
        <v>UBND Ủy ban nhân dân phường Thanh Bình  tỉnh Đồng Nai</v>
      </c>
      <c r="C19591" t="str">
        <v>-</v>
      </c>
      <c r="D19591" t="str">
        <v>-</v>
      </c>
      <c r="E19591" t="str">
        <v>-</v>
      </c>
      <c r="F19591" t="str">
        <v>-</v>
      </c>
      <c r="G19591" t="str">
        <v>-</v>
      </c>
    </row>
    <row r="19592">
      <c r="B19592" t="str">
        <v>Công an phường Bình Đa  tỉnh Đồng Nai</v>
      </c>
      <c r="C19592" t="str">
        <v>-</v>
      </c>
      <c r="D19592" t="str">
        <v>-</v>
      </c>
      <c r="E19592" t="str">
        <v/>
      </c>
      <c r="F19592" t="str">
        <v>-</v>
      </c>
      <c r="G19592" t="str">
        <v>-</v>
      </c>
    </row>
    <row r="19593">
      <c r="B19593" t="str">
        <v>UBND Ủy ban nhân dân phường Bình Đa  tỉnh Đồng Nai</v>
      </c>
      <c r="C19593" t="str">
        <v>-</v>
      </c>
      <c r="D19593" t="str">
        <v>-</v>
      </c>
      <c r="E19593" t="str">
        <v>-</v>
      </c>
      <c r="F19593" t="str">
        <v>-</v>
      </c>
      <c r="G19593" t="str">
        <v>-</v>
      </c>
    </row>
    <row r="19594">
      <c r="B19594" t="str">
        <v>Công an phường An Bình  tỉnh Đồng Nai</v>
      </c>
      <c r="C19594" t="str">
        <v>-</v>
      </c>
      <c r="D19594" t="str">
        <v>-</v>
      </c>
      <c r="E19594" t="str">
        <v/>
      </c>
      <c r="F19594" t="str">
        <v>-</v>
      </c>
      <c r="G19594" t="str">
        <v>-</v>
      </c>
    </row>
    <row r="19595">
      <c r="B19595" t="str">
        <v>UBND Ủy ban nhân dân phường An Bình  tỉnh Đồng Nai</v>
      </c>
      <c r="C19595" t="str">
        <v>-</v>
      </c>
      <c r="D19595" t="str">
        <v>-</v>
      </c>
      <c r="E19595" t="str">
        <v>-</v>
      </c>
      <c r="F19595" t="str">
        <v>-</v>
      </c>
      <c r="G19595" t="str">
        <v>-</v>
      </c>
    </row>
    <row r="19596">
      <c r="B19596" t="str">
        <v>Công an phường Bửu Hòa  tỉnh Đồng Nai</v>
      </c>
      <c r="C19596" t="str">
        <v>-</v>
      </c>
      <c r="D19596" t="str">
        <v>-</v>
      </c>
      <c r="E19596" t="str">
        <v/>
      </c>
      <c r="F19596" t="str">
        <v>-</v>
      </c>
      <c r="G19596" t="str">
        <v>-</v>
      </c>
    </row>
    <row r="19597">
      <c r="B19597" t="str">
        <v>UBND Ủy ban nhân dân phường Bửu Hòa  tỉnh Đồng Nai</v>
      </c>
      <c r="C19597" t="str">
        <v>-</v>
      </c>
      <c r="D19597" t="str">
        <v>-</v>
      </c>
      <c r="E19597" t="str">
        <v>-</v>
      </c>
      <c r="F19597" t="str">
        <v>-</v>
      </c>
      <c r="G19597" t="str">
        <v>-</v>
      </c>
    </row>
    <row r="19598">
      <c r="B19598" t="str">
        <v>Công an phường Long Bình Tân  tỉnh Đồng Nai</v>
      </c>
      <c r="C19598" t="str">
        <v>-</v>
      </c>
      <c r="D19598" t="str">
        <v>-</v>
      </c>
      <c r="E19598" t="str">
        <v/>
      </c>
      <c r="F19598" t="str">
        <v>-</v>
      </c>
      <c r="G19598" t="str">
        <v>-</v>
      </c>
    </row>
    <row r="19599">
      <c r="B19599" t="str">
        <v>UBND Ủy ban nhân dân phường Long Bình Tân  tỉnh Đồng Nai</v>
      </c>
      <c r="C19599" t="str">
        <v>-</v>
      </c>
      <c r="D19599" t="str">
        <v>-</v>
      </c>
      <c r="E19599" t="str">
        <v>-</v>
      </c>
      <c r="F19599" t="str">
        <v>-</v>
      </c>
      <c r="G19599" t="str">
        <v>-</v>
      </c>
    </row>
    <row r="19600">
      <c r="B19600" t="str">
        <v>Công an phường Tân Vạn  tỉnh Đồng Nai</v>
      </c>
      <c r="C19600" t="str">
        <v>-</v>
      </c>
      <c r="D19600" t="str">
        <v>-</v>
      </c>
      <c r="E19600" t="str">
        <v/>
      </c>
      <c r="F19600" t="str">
        <v>-</v>
      </c>
      <c r="G19600" t="str">
        <v>-</v>
      </c>
    </row>
    <row r="19601">
      <c r="B19601" t="str">
        <v>UBND Ủy ban nhân dân phường Tân Vạn  tỉnh Đồng Nai</v>
      </c>
      <c r="C19601" t="str">
        <v>-</v>
      </c>
      <c r="D19601" t="str">
        <v>-</v>
      </c>
      <c r="E19601" t="str">
        <v>-</v>
      </c>
      <c r="F19601" t="str">
        <v>-</v>
      </c>
      <c r="G19601" t="str">
        <v>-</v>
      </c>
    </row>
    <row r="19602">
      <c r="B19602" t="str">
        <v>Công an xã Tân Hạnh  tỉnh Đồng Nai</v>
      </c>
      <c r="C19602" t="str">
        <v>-</v>
      </c>
      <c r="D19602" t="str">
        <v>-</v>
      </c>
      <c r="E19602" t="str">
        <v/>
      </c>
      <c r="F19602" t="str">
        <v>-</v>
      </c>
      <c r="G19602" t="str">
        <v>-</v>
      </c>
    </row>
    <row r="19603">
      <c r="B19603" t="str">
        <v>UBND Ủy ban nhân dân xã Tân Hạnh  tỉnh Đồng Nai</v>
      </c>
      <c r="C19603" t="str">
        <v>-</v>
      </c>
      <c r="D19603" t="str">
        <v>-</v>
      </c>
      <c r="E19603" t="str">
        <v>-</v>
      </c>
      <c r="F19603" t="str">
        <v>-</v>
      </c>
      <c r="G19603" t="str">
        <v>-</v>
      </c>
    </row>
    <row r="19604">
      <c r="B19604" t="str">
        <v>Công an xã Hiệp Hòa  tỉnh Đồng Nai</v>
      </c>
      <c r="C19604" t="str">
        <v>-</v>
      </c>
      <c r="D19604" t="str">
        <v>-</v>
      </c>
      <c r="E19604" t="str">
        <v/>
      </c>
      <c r="F19604" t="str">
        <v>-</v>
      </c>
      <c r="G19604" t="str">
        <v>-</v>
      </c>
    </row>
    <row r="19605">
      <c r="B19605" t="str">
        <v>UBND Ủy ban nhân dân xã Hiệp Hòa  tỉnh Đồng Nai</v>
      </c>
      <c r="C19605" t="str">
        <v>-</v>
      </c>
      <c r="D19605" t="str">
        <v>-</v>
      </c>
      <c r="E19605" t="str">
        <v>-</v>
      </c>
      <c r="F19605" t="str">
        <v>-</v>
      </c>
      <c r="G19605" t="str">
        <v>-</v>
      </c>
    </row>
    <row r="19606">
      <c r="B19606" t="str">
        <v>Công an xã Hóa An  tỉnh Đồng Nai</v>
      </c>
      <c r="C19606" t="str">
        <v>-</v>
      </c>
      <c r="D19606" t="str">
        <v>-</v>
      </c>
      <c r="E19606" t="str">
        <v/>
      </c>
      <c r="F19606" t="str">
        <v>-</v>
      </c>
      <c r="G19606" t="str">
        <v>-</v>
      </c>
    </row>
    <row r="19607">
      <c r="B19607" t="str">
        <v>UBND Ủy ban nhân dân xã Hóa An  tỉnh Đồng Nai</v>
      </c>
      <c r="C19607" t="str">
        <v>-</v>
      </c>
      <c r="D19607" t="str">
        <v>-</v>
      </c>
      <c r="E19607" t="str">
        <v>-</v>
      </c>
      <c r="F19607" t="str">
        <v>-</v>
      </c>
      <c r="G19607" t="str">
        <v>-</v>
      </c>
    </row>
    <row r="19608">
      <c r="B19608" t="str">
        <v>Công an xã An Hoà  tỉnh Đồng Nai</v>
      </c>
      <c r="C19608" t="str">
        <v>-</v>
      </c>
      <c r="D19608" t="str">
        <v>-</v>
      </c>
      <c r="E19608" t="str">
        <v/>
      </c>
      <c r="F19608" t="str">
        <v>-</v>
      </c>
      <c r="G19608" t="str">
        <v>-</v>
      </c>
    </row>
    <row r="19609">
      <c r="B19609" t="str">
        <v>UBND Ủy ban nhân dân xã An Hoà  tỉnh Đồng Nai</v>
      </c>
      <c r="C19609" t="str">
        <v>-</v>
      </c>
      <c r="D19609" t="str">
        <v>-</v>
      </c>
      <c r="E19609" t="str">
        <v>-</v>
      </c>
      <c r="F19609" t="str">
        <v>-</v>
      </c>
      <c r="G19609" t="str">
        <v>-</v>
      </c>
    </row>
    <row r="19610">
      <c r="B19610" t="str">
        <v>Công an xã Tam Phước  tỉnh Đồng Nai</v>
      </c>
      <c r="C19610" t="str">
        <v>-</v>
      </c>
      <c r="D19610" t="str">
        <v>-</v>
      </c>
      <c r="E19610" t="str">
        <v/>
      </c>
      <c r="F19610" t="str">
        <v>-</v>
      </c>
      <c r="G19610" t="str">
        <v>-</v>
      </c>
    </row>
    <row r="19611">
      <c r="B19611" t="str">
        <v>UBND Ủy ban nhân dân xã Tam Phước  tỉnh Đồng Nai</v>
      </c>
      <c r="C19611" t="str">
        <v>-</v>
      </c>
      <c r="D19611" t="str">
        <v>-</v>
      </c>
      <c r="E19611" t="str">
        <v>-</v>
      </c>
      <c r="F19611" t="str">
        <v>-</v>
      </c>
      <c r="G19611" t="str">
        <v>-</v>
      </c>
    </row>
    <row r="19612">
      <c r="B19612" t="str">
        <v>Công an xã Phước Tân  tỉnh Đồng Nai</v>
      </c>
      <c r="C19612" t="str">
        <v>-</v>
      </c>
      <c r="D19612" t="str">
        <v>-</v>
      </c>
      <c r="E19612" t="str">
        <v/>
      </c>
      <c r="F19612" t="str">
        <v>-</v>
      </c>
      <c r="G19612" t="str">
        <v>-</v>
      </c>
    </row>
    <row r="19613">
      <c r="B19613" t="str">
        <v>UBND Ủy ban nhân dân xã Phước Tân  tỉnh Đồng Nai</v>
      </c>
      <c r="C19613" t="str">
        <v>-</v>
      </c>
      <c r="D19613" t="str">
        <v>-</v>
      </c>
      <c r="E19613" t="str">
        <v>-</v>
      </c>
      <c r="F19613" t="str">
        <v>-</v>
      </c>
      <c r="G19613" t="str">
        <v>-</v>
      </c>
    </row>
    <row r="19614">
      <c r="B19614" t="str">
        <v>Công an xã Long Hưng  tỉnh Đồng Nai</v>
      </c>
      <c r="C19614" t="str">
        <v>-</v>
      </c>
      <c r="D19614" t="str">
        <v>-</v>
      </c>
      <c r="E19614" t="str">
        <v/>
      </c>
      <c r="F19614" t="str">
        <v>-</v>
      </c>
      <c r="G19614" t="str">
        <v>-</v>
      </c>
    </row>
    <row r="19615">
      <c r="B19615" t="str">
        <v>UBND Ủy ban nhân dân xã Long Hưng  tỉnh Đồng Nai</v>
      </c>
      <c r="C19615" t="str">
        <v>-</v>
      </c>
      <c r="D19615" t="str">
        <v>-</v>
      </c>
      <c r="E19615" t="str">
        <v>-</v>
      </c>
      <c r="F19615" t="str">
        <v>-</v>
      </c>
      <c r="G19615" t="str">
        <v>-</v>
      </c>
    </row>
    <row r="19616">
      <c r="B19616" t="str">
        <v>Công an phường Xuân Trung  tỉnh Đồng Nai</v>
      </c>
      <c r="C19616" t="str">
        <v>-</v>
      </c>
      <c r="D19616" t="str">
        <v>-</v>
      </c>
      <c r="E19616" t="str">
        <v/>
      </c>
      <c r="F19616" t="str">
        <v>-</v>
      </c>
      <c r="G19616" t="str">
        <v>-</v>
      </c>
    </row>
    <row r="19617">
      <c r="B19617" t="str">
        <v>UBND Ủy ban nhân dân phường Xuân Trung  tỉnh Đồng Nai</v>
      </c>
      <c r="C19617" t="str">
        <v>-</v>
      </c>
      <c r="D19617" t="str">
        <v>-</v>
      </c>
      <c r="E19617" t="str">
        <v>-</v>
      </c>
      <c r="F19617" t="str">
        <v>-</v>
      </c>
      <c r="G19617" t="str">
        <v>-</v>
      </c>
    </row>
    <row r="19618">
      <c r="B19618" t="str">
        <v>Công an phường Xuân Thanh  tỉnh Đồng Nai</v>
      </c>
      <c r="C19618" t="str">
        <v>-</v>
      </c>
      <c r="D19618" t="str">
        <v>-</v>
      </c>
      <c r="E19618" t="str">
        <v/>
      </c>
      <c r="F19618" t="str">
        <v>-</v>
      </c>
      <c r="G19618" t="str">
        <v>-</v>
      </c>
    </row>
    <row r="19619">
      <c r="B19619" t="str">
        <v>UBND Ủy ban nhân dân phường Xuân Thanh  tỉnh Đồng Nai</v>
      </c>
      <c r="C19619" t="str">
        <v>-</v>
      </c>
      <c r="D19619" t="str">
        <v>-</v>
      </c>
      <c r="E19619" t="str">
        <v>-</v>
      </c>
      <c r="F19619" t="str">
        <v>-</v>
      </c>
      <c r="G19619" t="str">
        <v>-</v>
      </c>
    </row>
    <row r="19620">
      <c r="B19620" t="str">
        <v>Công an phường Xuân Bình  tỉnh Đồng Nai</v>
      </c>
      <c r="C19620" t="str">
        <v>-</v>
      </c>
      <c r="D19620" t="str">
        <v>-</v>
      </c>
      <c r="E19620" t="str">
        <v/>
      </c>
      <c r="F19620" t="str">
        <v>-</v>
      </c>
      <c r="G19620" t="str">
        <v>-</v>
      </c>
    </row>
    <row r="19621">
      <c r="B19621" t="str">
        <v>UBND Ủy ban nhân dân phường Xuân Bình  tỉnh Đồng Nai</v>
      </c>
      <c r="C19621" t="str">
        <v>-</v>
      </c>
      <c r="D19621" t="str">
        <v>-</v>
      </c>
      <c r="E19621" t="str">
        <v>-</v>
      </c>
      <c r="F19621" t="str">
        <v>-</v>
      </c>
      <c r="G19621" t="str">
        <v>-</v>
      </c>
    </row>
    <row r="19622">
      <c r="B19622" t="str">
        <v>Công an phường Xuân An  tỉnh Đồng Nai</v>
      </c>
      <c r="C19622" t="str">
        <v>-</v>
      </c>
      <c r="D19622" t="str">
        <v>-</v>
      </c>
      <c r="E19622" t="str">
        <v/>
      </c>
      <c r="F19622" t="str">
        <v>-</v>
      </c>
      <c r="G19622" t="str">
        <v>-</v>
      </c>
    </row>
    <row r="19623">
      <c r="B19623" t="str">
        <v>UBND Ủy ban nhân dân phường Xuân An  tỉnh Đồng Nai</v>
      </c>
      <c r="C19623" t="str">
        <v>-</v>
      </c>
      <c r="D19623" t="str">
        <v>-</v>
      </c>
      <c r="E19623" t="str">
        <v>-</v>
      </c>
      <c r="F19623" t="str">
        <v>-</v>
      </c>
      <c r="G19623" t="str">
        <v>-</v>
      </c>
    </row>
    <row r="19624">
      <c r="B19624" t="str">
        <v>Công an phường Xuân Hoà  tỉnh Đồng Nai</v>
      </c>
      <c r="C19624" t="str">
        <v>-</v>
      </c>
      <c r="D19624" t="str">
        <v>-</v>
      </c>
      <c r="E19624" t="str">
        <v/>
      </c>
      <c r="F19624" t="str">
        <v>-</v>
      </c>
      <c r="G19624" t="str">
        <v>-</v>
      </c>
    </row>
    <row r="19625">
      <c r="B19625" t="str">
        <v>UBND Ủy ban nhân dân phường Xuân Hoà  tỉnh Đồng Nai</v>
      </c>
      <c r="C19625" t="str">
        <v>-</v>
      </c>
      <c r="D19625" t="str">
        <v>-</v>
      </c>
      <c r="E19625" t="str">
        <v>-</v>
      </c>
      <c r="F19625" t="str">
        <v>-</v>
      </c>
      <c r="G19625" t="str">
        <v>-</v>
      </c>
    </row>
    <row r="19626">
      <c r="B19626" t="str">
        <v>Công an phường Phú Bình  tỉnh Đồng Nai</v>
      </c>
      <c r="C19626" t="str">
        <v>-</v>
      </c>
      <c r="D19626" t="str">
        <v>-</v>
      </c>
      <c r="E19626" t="str">
        <v/>
      </c>
      <c r="F19626" t="str">
        <v>-</v>
      </c>
      <c r="G19626" t="str">
        <v>-</v>
      </c>
    </row>
    <row r="19627">
      <c r="B19627" t="str">
        <v>UBND Ủy ban nhân dân phường Phú Bình  tỉnh Đồng Nai</v>
      </c>
      <c r="C19627" t="str">
        <v>-</v>
      </c>
      <c r="D19627" t="str">
        <v>-</v>
      </c>
      <c r="E19627" t="str">
        <v>-</v>
      </c>
      <c r="F19627" t="str">
        <v>-</v>
      </c>
      <c r="G19627" t="str">
        <v>-</v>
      </c>
    </row>
    <row r="19628">
      <c r="B19628" t="str">
        <v>Công an xã Bình Lộc  tỉnh Đồng Nai</v>
      </c>
      <c r="C19628" t="str">
        <v>-</v>
      </c>
      <c r="D19628" t="str">
        <v>-</v>
      </c>
      <c r="E19628" t="str">
        <v/>
      </c>
      <c r="F19628" t="str">
        <v>-</v>
      </c>
      <c r="G19628" t="str">
        <v>-</v>
      </c>
    </row>
    <row r="19629">
      <c r="B19629" t="str">
        <v>UBND Ủy ban nhân dân xã Bình Lộc  tỉnh Đồng Nai</v>
      </c>
      <c r="C19629" t="str">
        <v>-</v>
      </c>
      <c r="D19629" t="str">
        <v>-</v>
      </c>
      <c r="E19629" t="str">
        <v>-</v>
      </c>
      <c r="F19629" t="str">
        <v>-</v>
      </c>
      <c r="G19629" t="str">
        <v>-</v>
      </c>
    </row>
    <row r="19630">
      <c r="B19630" t="str">
        <v>Công an xã Bảo Quang  tỉnh Đồng Nai</v>
      </c>
      <c r="C19630" t="str">
        <v>-</v>
      </c>
      <c r="D19630" t="str">
        <v>-</v>
      </c>
      <c r="E19630" t="str">
        <v/>
      </c>
      <c r="F19630" t="str">
        <v>-</v>
      </c>
      <c r="G19630" t="str">
        <v>-</v>
      </c>
    </row>
    <row r="19631">
      <c r="B19631" t="str">
        <v>UBND Ủy ban nhân dân xã Bảo Quang  tỉnh Đồng Nai</v>
      </c>
      <c r="C19631" t="str">
        <v>-</v>
      </c>
      <c r="D19631" t="str">
        <v>-</v>
      </c>
      <c r="E19631" t="str">
        <v>-</v>
      </c>
      <c r="F19631" t="str">
        <v>-</v>
      </c>
      <c r="G19631" t="str">
        <v>-</v>
      </c>
    </row>
    <row r="19632">
      <c r="B19632" t="str">
        <v>Công an xã Suối Tre  tỉnh Đồng Nai</v>
      </c>
      <c r="C19632" t="str">
        <v>-</v>
      </c>
      <c r="D19632" t="str">
        <v>-</v>
      </c>
      <c r="E19632" t="str">
        <v/>
      </c>
      <c r="F19632" t="str">
        <v>-</v>
      </c>
      <c r="G19632" t="str">
        <v>-</v>
      </c>
    </row>
    <row r="19633">
      <c r="B19633" t="str">
        <v>UBND Ủy ban nhân dân xã Suối Tre  tỉnh Đồng Nai</v>
      </c>
      <c r="C19633" t="str">
        <v>-</v>
      </c>
      <c r="D19633" t="str">
        <v>-</v>
      </c>
      <c r="E19633" t="str">
        <v>-</v>
      </c>
      <c r="F19633" t="str">
        <v>-</v>
      </c>
      <c r="G19633" t="str">
        <v>-</v>
      </c>
    </row>
    <row r="19634">
      <c r="B19634" t="str">
        <v>Công an xã Bảo Vinh  tỉnh Đồng Nai</v>
      </c>
      <c r="C19634" t="str">
        <v>-</v>
      </c>
      <c r="D19634" t="str">
        <v>-</v>
      </c>
      <c r="E19634" t="str">
        <v/>
      </c>
      <c r="F19634" t="str">
        <v>-</v>
      </c>
      <c r="G19634" t="str">
        <v>-</v>
      </c>
    </row>
    <row r="19635">
      <c r="B19635" t="str">
        <v>UBND Ủy ban nhân dân xã Bảo Vinh  tỉnh Đồng Nai</v>
      </c>
      <c r="C19635" t="str">
        <v>-</v>
      </c>
      <c r="D19635" t="str">
        <v>-</v>
      </c>
      <c r="E19635" t="str">
        <v>-</v>
      </c>
      <c r="F19635" t="str">
        <v>-</v>
      </c>
      <c r="G19635" t="str">
        <v>-</v>
      </c>
    </row>
    <row r="19636">
      <c r="B19636" t="str">
        <v>Công an xã Xuân Lập  tỉnh Đồng Nai</v>
      </c>
      <c r="C19636" t="str">
        <v>-</v>
      </c>
      <c r="D19636" t="str">
        <v>-</v>
      </c>
      <c r="E19636" t="str">
        <v/>
      </c>
      <c r="F19636" t="str">
        <v>-</v>
      </c>
      <c r="G19636" t="str">
        <v>-</v>
      </c>
    </row>
    <row r="19637">
      <c r="B19637" t="str">
        <v>UBND Ủy ban nhân dân xã Xuân Lập  tỉnh Đồng Nai</v>
      </c>
      <c r="C19637" t="str">
        <v>-</v>
      </c>
      <c r="D19637" t="str">
        <v>-</v>
      </c>
      <c r="E19637" t="str">
        <v>-</v>
      </c>
      <c r="F19637" t="str">
        <v>-</v>
      </c>
      <c r="G19637" t="str">
        <v>-</v>
      </c>
    </row>
    <row r="19638">
      <c r="B19638" t="str">
        <v>Công an xã Bàu Sen  tỉnh Đồng Nai</v>
      </c>
      <c r="C19638" t="str">
        <v>-</v>
      </c>
      <c r="D19638" t="str">
        <v>-</v>
      </c>
      <c r="E19638" t="str">
        <v/>
      </c>
      <c r="F19638" t="str">
        <v>-</v>
      </c>
      <c r="G19638" t="str">
        <v>-</v>
      </c>
    </row>
    <row r="19639">
      <c r="B19639" t="str">
        <v>UBND Ủy ban nhân dân xã Bàu Sen  tỉnh Đồng Nai</v>
      </c>
      <c r="C19639" t="str">
        <v>-</v>
      </c>
      <c r="D19639" t="str">
        <v>-</v>
      </c>
      <c r="E19639" t="str">
        <v>-</v>
      </c>
      <c r="F19639" t="str">
        <v>-</v>
      </c>
      <c r="G19639" t="str">
        <v>-</v>
      </c>
    </row>
    <row r="19640">
      <c r="B19640" t="str">
        <v>Công an xã Bàu Trâm  tỉnh Đồng Nai</v>
      </c>
      <c r="C19640" t="str">
        <v>-</v>
      </c>
      <c r="D19640" t="str">
        <v>-</v>
      </c>
      <c r="E19640" t="str">
        <v/>
      </c>
      <c r="F19640" t="str">
        <v>-</v>
      </c>
      <c r="G19640" t="str">
        <v>-</v>
      </c>
    </row>
    <row r="19641">
      <c r="B19641" t="str">
        <v>UBND Ủy ban nhân dân xã Bàu Trâm  tỉnh Đồng Nai</v>
      </c>
      <c r="C19641" t="str">
        <v>-</v>
      </c>
      <c r="D19641" t="str">
        <v>-</v>
      </c>
      <c r="E19641" t="str">
        <v>-</v>
      </c>
      <c r="F19641" t="str">
        <v>-</v>
      </c>
      <c r="G19641" t="str">
        <v>-</v>
      </c>
    </row>
    <row r="19642">
      <c r="B19642" t="str">
        <v>Công an xã Xuân Tân  tỉnh Đồng Nai</v>
      </c>
      <c r="C19642" t="str">
        <v>-</v>
      </c>
      <c r="D19642" t="str">
        <v>-</v>
      </c>
      <c r="E19642" t="str">
        <v/>
      </c>
      <c r="F19642" t="str">
        <v>-</v>
      </c>
      <c r="G19642" t="str">
        <v>-</v>
      </c>
    </row>
    <row r="19643">
      <c r="B19643" t="str">
        <v>UBND Ủy ban nhân dân xã Xuân Tân  tỉnh Đồng Nai</v>
      </c>
      <c r="C19643" t="str">
        <v>-</v>
      </c>
      <c r="D19643" t="str">
        <v>-</v>
      </c>
      <c r="E19643" t="str">
        <v>-</v>
      </c>
      <c r="F19643" t="str">
        <v>-</v>
      </c>
      <c r="G19643" t="str">
        <v>-</v>
      </c>
    </row>
    <row r="19644">
      <c r="B19644" t="str">
        <v>Công an xã Hàng Gòn  tỉnh Đồng Nai</v>
      </c>
      <c r="C19644" t="str">
        <v>-</v>
      </c>
      <c r="D19644" t="str">
        <v>-</v>
      </c>
      <c r="E19644" t="str">
        <v/>
      </c>
      <c r="F19644" t="str">
        <v>-</v>
      </c>
      <c r="G19644" t="str">
        <v>-</v>
      </c>
    </row>
    <row r="19645">
      <c r="B19645" t="str">
        <v>UBND Ủy ban nhân dân xã Hàng Gòn  tỉnh Đồng Nai</v>
      </c>
      <c r="C19645" t="str">
        <v>-</v>
      </c>
      <c r="D19645" t="str">
        <v>-</v>
      </c>
      <c r="E19645" t="str">
        <v>-</v>
      </c>
      <c r="F19645" t="str">
        <v>-</v>
      </c>
      <c r="G19645" t="str">
        <v>-</v>
      </c>
    </row>
    <row r="19646">
      <c r="B19646" t="str">
        <v>Công an xã Dak Lua  tỉnh Đồng Nai</v>
      </c>
      <c r="C19646" t="str">
        <v>-</v>
      </c>
      <c r="D19646" t="str">
        <v>-</v>
      </c>
      <c r="E19646" t="str">
        <v/>
      </c>
      <c r="F19646" t="str">
        <v>-</v>
      </c>
      <c r="G19646" t="str">
        <v>-</v>
      </c>
    </row>
    <row r="19647">
      <c r="B19647" t="str">
        <v>UBND Ủy ban nhân dân xã Dak Lua  tỉnh Đồng Nai</v>
      </c>
      <c r="C19647" t="str">
        <v>-</v>
      </c>
      <c r="D19647" t="str">
        <v>-</v>
      </c>
      <c r="E19647" t="str">
        <v>-</v>
      </c>
      <c r="F19647" t="str">
        <v>-</v>
      </c>
      <c r="G19647" t="str">
        <v>-</v>
      </c>
    </row>
    <row r="19648">
      <c r="B19648" t="str">
        <v>Công an xã Nam Cát Tiên  tỉnh Đồng Nai</v>
      </c>
      <c r="C19648" t="str">
        <v>-</v>
      </c>
      <c r="D19648" t="str">
        <v>-</v>
      </c>
      <c r="E19648" t="str">
        <v/>
      </c>
      <c r="F19648" t="str">
        <v>-</v>
      </c>
      <c r="G19648" t="str">
        <v>-</v>
      </c>
    </row>
    <row r="19649">
      <c r="B19649" t="str">
        <v>UBND Ủy ban nhân dân xã Nam Cát Tiên  tỉnh Đồng Nai</v>
      </c>
      <c r="C19649" t="str">
        <v>-</v>
      </c>
      <c r="D19649" t="str">
        <v>-</v>
      </c>
      <c r="E19649" t="str">
        <v>-</v>
      </c>
      <c r="F19649" t="str">
        <v>-</v>
      </c>
      <c r="G19649" t="str">
        <v>-</v>
      </c>
    </row>
    <row r="19650">
      <c r="B19650" t="str">
        <v>Công an xã Phú An  tỉnh Đồng Nai</v>
      </c>
      <c r="C19650" t="str">
        <v>-</v>
      </c>
      <c r="D19650" t="str">
        <v>-</v>
      </c>
      <c r="E19650" t="str">
        <v/>
      </c>
      <c r="F19650" t="str">
        <v>-</v>
      </c>
      <c r="G19650" t="str">
        <v>-</v>
      </c>
    </row>
    <row r="19651">
      <c r="B19651" t="str">
        <v>UBND Ủy ban nhân dân xã Phú An  tỉnh Đồng Nai</v>
      </c>
      <c r="C19651" t="str">
        <v>-</v>
      </c>
      <c r="D19651" t="str">
        <v>-</v>
      </c>
      <c r="E19651" t="str">
        <v>-</v>
      </c>
      <c r="F19651" t="str">
        <v>-</v>
      </c>
      <c r="G19651" t="str">
        <v>-</v>
      </c>
    </row>
    <row r="19652">
      <c r="B19652" t="str">
        <v>Công an xã Núi Tượng  tỉnh Đồng Nai</v>
      </c>
      <c r="C19652" t="str">
        <v>-</v>
      </c>
      <c r="D19652" t="str">
        <v>-</v>
      </c>
      <c r="E19652" t="str">
        <v/>
      </c>
      <c r="F19652" t="str">
        <v>-</v>
      </c>
      <c r="G19652" t="str">
        <v>-</v>
      </c>
    </row>
    <row r="19653">
      <c r="B19653" t="str">
        <v>UBND Ủy ban nhân dân xã Núi Tượng  tỉnh Đồng Nai</v>
      </c>
      <c r="C19653" t="str">
        <v>-</v>
      </c>
      <c r="D19653" t="str">
        <v>-</v>
      </c>
      <c r="E19653" t="str">
        <v>-</v>
      </c>
      <c r="F19653" t="str">
        <v>-</v>
      </c>
      <c r="G19653" t="str">
        <v>-</v>
      </c>
    </row>
    <row r="19654">
      <c r="B19654" t="str">
        <v>Công an xã Tà Lài  tỉnh Đồng Nai</v>
      </c>
      <c r="C19654" t="str">
        <v>-</v>
      </c>
      <c r="D19654" t="str">
        <v>-</v>
      </c>
      <c r="E19654" t="str">
        <v/>
      </c>
      <c r="F19654" t="str">
        <v>-</v>
      </c>
      <c r="G19654" t="str">
        <v>-</v>
      </c>
    </row>
    <row r="19655">
      <c r="B19655" t="str">
        <v>UBND Ủy ban nhân dân xã Tà Lài  tỉnh Đồng Nai</v>
      </c>
      <c r="C19655" t="str">
        <v>-</v>
      </c>
      <c r="D19655" t="str">
        <v>-</v>
      </c>
      <c r="E19655" t="str">
        <v>-</v>
      </c>
      <c r="F19655" t="str">
        <v>-</v>
      </c>
      <c r="G19655" t="str">
        <v>-</v>
      </c>
    </row>
    <row r="19656">
      <c r="B19656" t="str">
        <v>Công an xã Phú Lập  tỉnh Đồng Nai</v>
      </c>
      <c r="C19656" t="str">
        <v>-</v>
      </c>
      <c r="D19656" t="str">
        <v>-</v>
      </c>
      <c r="E19656" t="str">
        <v/>
      </c>
      <c r="F19656" t="str">
        <v>-</v>
      </c>
      <c r="G19656" t="str">
        <v>-</v>
      </c>
    </row>
    <row r="19657">
      <c r="B19657" t="str">
        <v>UBND Ủy ban nhân dân xã Phú Lập  tỉnh Đồng Nai</v>
      </c>
      <c r="C19657" t="str">
        <v>-</v>
      </c>
      <c r="D19657" t="str">
        <v>-</v>
      </c>
      <c r="E19657" t="str">
        <v>-</v>
      </c>
      <c r="F19657" t="str">
        <v>-</v>
      </c>
      <c r="G19657" t="str">
        <v>-</v>
      </c>
    </row>
    <row r="19658">
      <c r="B19658" t="str">
        <v>Công an xã Phú Sơn  tỉnh Đồng Nai</v>
      </c>
      <c r="C19658" t="str">
        <v>-</v>
      </c>
      <c r="D19658" t="str">
        <v>-</v>
      </c>
      <c r="E19658" t="str">
        <v/>
      </c>
      <c r="F19658" t="str">
        <v>-</v>
      </c>
      <c r="G19658" t="str">
        <v>-</v>
      </c>
    </row>
    <row r="19659">
      <c r="B19659" t="str">
        <v>UBND Ủy ban nhân dân xã Phú Sơn  tỉnh Đồng Nai</v>
      </c>
      <c r="C19659" t="str">
        <v>-</v>
      </c>
      <c r="D19659" t="str">
        <v>-</v>
      </c>
      <c r="E19659" t="str">
        <v>-</v>
      </c>
      <c r="F19659" t="str">
        <v>-</v>
      </c>
      <c r="G19659" t="str">
        <v>-</v>
      </c>
    </row>
    <row r="19660">
      <c r="B19660" t="str">
        <v>Công an xã Phú Thịnh  tỉnh Đồng Nai</v>
      </c>
      <c r="C19660" t="str">
        <v>-</v>
      </c>
      <c r="D19660" t="str">
        <v>-</v>
      </c>
      <c r="E19660" t="str">
        <v/>
      </c>
      <c r="F19660" t="str">
        <v>-</v>
      </c>
      <c r="G19660" t="str">
        <v>-</v>
      </c>
    </row>
    <row r="19661">
      <c r="B19661" t="str">
        <v>UBND Ủy ban nhân dân xã Phú Thịnh  tỉnh Đồng Nai</v>
      </c>
      <c r="C19661" t="str">
        <v>-</v>
      </c>
      <c r="D19661" t="str">
        <v>-</v>
      </c>
      <c r="E19661" t="str">
        <v>-</v>
      </c>
      <c r="F19661" t="str">
        <v>-</v>
      </c>
      <c r="G19661" t="str">
        <v>-</v>
      </c>
    </row>
    <row r="19662">
      <c r="B19662" t="str">
        <v>Công an xã Thanh Sơn  tỉnh Đồng Nai</v>
      </c>
      <c r="C19662" t="str">
        <v>-</v>
      </c>
      <c r="D19662" t="str">
        <v>-</v>
      </c>
      <c r="E19662" t="str">
        <v/>
      </c>
      <c r="F19662" t="str">
        <v>-</v>
      </c>
      <c r="G19662" t="str">
        <v>-</v>
      </c>
    </row>
    <row r="19663">
      <c r="B19663" t="str">
        <v>UBND Ủy ban nhân dân xã Thanh Sơn  tỉnh Đồng Nai</v>
      </c>
      <c r="C19663" t="str">
        <v>-</v>
      </c>
      <c r="D19663" t="str">
        <v>-</v>
      </c>
      <c r="E19663" t="str">
        <v>-</v>
      </c>
      <c r="F19663" t="str">
        <v>-</v>
      </c>
      <c r="G19663" t="str">
        <v>-</v>
      </c>
    </row>
    <row r="19664">
      <c r="B19664" t="str">
        <v>Công an xã Phú Trung  tỉnh Đồng Nai</v>
      </c>
      <c r="C19664" t="str">
        <v>-</v>
      </c>
      <c r="D19664" t="str">
        <v>-</v>
      </c>
      <c r="E19664" t="str">
        <v/>
      </c>
      <c r="F19664" t="str">
        <v>-</v>
      </c>
      <c r="G19664" t="str">
        <v>-</v>
      </c>
    </row>
    <row r="19665">
      <c r="B19665" t="str">
        <v>UBND Ủy ban nhân dân xã Phú Trung  tỉnh Đồng Nai</v>
      </c>
      <c r="C19665" t="str">
        <v>-</v>
      </c>
      <c r="D19665" t="str">
        <v>-</v>
      </c>
      <c r="E19665" t="str">
        <v>-</v>
      </c>
      <c r="F19665" t="str">
        <v>-</v>
      </c>
      <c r="G19665" t="str">
        <v>-</v>
      </c>
    </row>
    <row r="19666">
      <c r="B19666" t="str">
        <v>Công an xã Phú Xuân  tỉnh Đồng Nai</v>
      </c>
      <c r="C19666" t="str">
        <v>-</v>
      </c>
      <c r="D19666" t="str">
        <v>-</v>
      </c>
      <c r="E19666" t="str">
        <v/>
      </c>
      <c r="F19666" t="str">
        <v>-</v>
      </c>
      <c r="G19666" t="str">
        <v>-</v>
      </c>
    </row>
    <row r="19667">
      <c r="B19667" t="str">
        <v>UBND Ủy ban nhân dân xã Phú Xuân  tỉnh Đồng Nai</v>
      </c>
      <c r="C19667" t="str">
        <v>-</v>
      </c>
      <c r="D19667" t="str">
        <v>-</v>
      </c>
      <c r="E19667" t="str">
        <v>-</v>
      </c>
      <c r="F19667" t="str">
        <v>-</v>
      </c>
      <c r="G19667" t="str">
        <v>-</v>
      </c>
    </row>
    <row r="19668">
      <c r="B19668" t="str">
        <v>Công an xã Phú Lộc  tỉnh Đồng Nai</v>
      </c>
      <c r="C19668" t="str">
        <v>-</v>
      </c>
      <c r="D19668" t="str">
        <v>-</v>
      </c>
      <c r="E19668" t="str">
        <v/>
      </c>
      <c r="F19668" t="str">
        <v>-</v>
      </c>
      <c r="G19668" t="str">
        <v>-</v>
      </c>
    </row>
    <row r="19669">
      <c r="B19669" t="str">
        <v>UBND Ủy ban nhân dân xã Phú Lộc  tỉnh Đồng Nai</v>
      </c>
      <c r="C19669" t="str">
        <v>-</v>
      </c>
      <c r="D19669" t="str">
        <v>-</v>
      </c>
      <c r="E19669" t="str">
        <v>-</v>
      </c>
      <c r="F19669" t="str">
        <v>-</v>
      </c>
      <c r="G19669" t="str">
        <v>-</v>
      </c>
    </row>
    <row r="19670">
      <c r="B19670" t="str">
        <v>Công an xã Phú Lâm  tỉnh Đồng Nai</v>
      </c>
      <c r="C19670" t="str">
        <v>-</v>
      </c>
      <c r="D19670" t="str">
        <v>-</v>
      </c>
      <c r="E19670" t="str">
        <v/>
      </c>
      <c r="F19670" t="str">
        <v>-</v>
      </c>
      <c r="G19670" t="str">
        <v>-</v>
      </c>
    </row>
    <row r="19671">
      <c r="B19671" t="str">
        <v>UBND Ủy ban nhân dân xã Phú Lâm  tỉnh Đồng Nai</v>
      </c>
      <c r="C19671" t="str">
        <v>-</v>
      </c>
      <c r="D19671" t="str">
        <v>-</v>
      </c>
      <c r="E19671" t="str">
        <v>-</v>
      </c>
      <c r="F19671" t="str">
        <v>-</v>
      </c>
      <c r="G19671" t="str">
        <v>-</v>
      </c>
    </row>
    <row r="19672">
      <c r="B19672" t="str">
        <v>Công an xã Phú Bình  tỉnh Đồng Nai</v>
      </c>
      <c r="C19672" t="str">
        <v>-</v>
      </c>
      <c r="D19672" t="str">
        <v>-</v>
      </c>
      <c r="E19672" t="str">
        <v/>
      </c>
      <c r="F19672" t="str">
        <v>-</v>
      </c>
      <c r="G19672" t="str">
        <v>-</v>
      </c>
    </row>
    <row r="19673">
      <c r="B19673" t="str">
        <v>UBND Ủy ban nhân dân xã Phú Bình  tỉnh Đồng Nai</v>
      </c>
      <c r="C19673" t="str">
        <v>-</v>
      </c>
      <c r="D19673" t="str">
        <v>-</v>
      </c>
      <c r="E19673" t="str">
        <v>-</v>
      </c>
      <c r="F19673" t="str">
        <v>-</v>
      </c>
      <c r="G19673" t="str">
        <v>-</v>
      </c>
    </row>
    <row r="19674">
      <c r="B19674" t="str">
        <v>Công an xã Phú Thanh  tỉnh Đồng Nai</v>
      </c>
      <c r="C19674" t="str">
        <v>-</v>
      </c>
      <c r="D19674" t="str">
        <v>-</v>
      </c>
      <c r="E19674" t="str">
        <v/>
      </c>
      <c r="F19674" t="str">
        <v>-</v>
      </c>
      <c r="G19674" t="str">
        <v>-</v>
      </c>
    </row>
    <row r="19675">
      <c r="B19675" t="str">
        <v>UBND Ủy ban nhân dân xã Phú Thanh  tỉnh Đồng Nai</v>
      </c>
      <c r="C19675" t="str">
        <v>-</v>
      </c>
      <c r="D19675" t="str">
        <v>-</v>
      </c>
      <c r="E19675" t="str">
        <v>-</v>
      </c>
      <c r="F19675" t="str">
        <v>-</v>
      </c>
      <c r="G19675" t="str">
        <v>-</v>
      </c>
    </row>
    <row r="19676">
      <c r="B19676" t="str">
        <v>Công an xã Trà Cổ  tỉnh Đồng Nai</v>
      </c>
      <c r="C19676" t="str">
        <v>-</v>
      </c>
      <c r="D19676" t="str">
        <v>-</v>
      </c>
      <c r="E19676" t="str">
        <v/>
      </c>
      <c r="F19676" t="str">
        <v>-</v>
      </c>
      <c r="G19676" t="str">
        <v>-</v>
      </c>
    </row>
    <row r="19677">
      <c r="B19677" t="str">
        <v>UBND Ủy ban nhân dân xã Trà Cổ  tỉnh Đồng Nai</v>
      </c>
      <c r="C19677" t="str">
        <v>-</v>
      </c>
      <c r="D19677" t="str">
        <v>-</v>
      </c>
      <c r="E19677" t="str">
        <v>-</v>
      </c>
      <c r="F19677" t="str">
        <v>-</v>
      </c>
      <c r="G19677" t="str">
        <v>-</v>
      </c>
    </row>
    <row r="19678">
      <c r="B19678" t="str">
        <v>Công an xã Phú Điền  tỉnh Đồng Nai</v>
      </c>
      <c r="C19678" t="str">
        <v>-</v>
      </c>
      <c r="D19678" t="str">
        <v>-</v>
      </c>
      <c r="E19678" t="str">
        <v/>
      </c>
      <c r="F19678" t="str">
        <v>-</v>
      </c>
      <c r="G19678" t="str">
        <v>-</v>
      </c>
    </row>
    <row r="19679">
      <c r="B19679" t="str">
        <v>UBND Ủy ban nhân dân xã Phú Điền  tỉnh Đồng Nai</v>
      </c>
      <c r="C19679" t="str">
        <v>-</v>
      </c>
      <c r="D19679" t="str">
        <v>-</v>
      </c>
      <c r="E19679" t="str">
        <v>-</v>
      </c>
      <c r="F19679" t="str">
        <v>-</v>
      </c>
      <c r="G19679" t="str">
        <v>-</v>
      </c>
    </row>
    <row r="19680">
      <c r="B19680" t="str">
        <v>Công an xã Phú Lý  tỉnh Đồng Nai</v>
      </c>
      <c r="C19680" t="str">
        <v>-</v>
      </c>
      <c r="D19680" t="str">
        <v>-</v>
      </c>
      <c r="E19680" t="str">
        <v/>
      </c>
      <c r="F19680" t="str">
        <v>-</v>
      </c>
      <c r="G19680" t="str">
        <v>-</v>
      </c>
    </row>
    <row r="19681">
      <c r="B19681" t="str">
        <v>UBND Ủy ban nhân dân xã Phú Lý  tỉnh Đồng Nai</v>
      </c>
      <c r="C19681" t="str">
        <v>-</v>
      </c>
      <c r="D19681" t="str">
        <v>-</v>
      </c>
      <c r="E19681" t="str">
        <v>-</v>
      </c>
      <c r="F19681" t="str">
        <v>-</v>
      </c>
      <c r="G19681" t="str">
        <v>-</v>
      </c>
    </row>
    <row r="19682">
      <c r="B19682" t="str">
        <v>Công an xã Trị An  tỉnh Đồng Nai</v>
      </c>
      <c r="C19682" t="str">
        <v>-</v>
      </c>
      <c r="D19682" t="str">
        <v>-</v>
      </c>
      <c r="E19682" t="str">
        <v/>
      </c>
      <c r="F19682" t="str">
        <v>-</v>
      </c>
      <c r="G19682" t="str">
        <v>-</v>
      </c>
    </row>
    <row r="19683">
      <c r="B19683" t="str">
        <v>UBND Ủy ban nhân dân xã Trị An  tỉnh Đồng Nai</v>
      </c>
      <c r="C19683" t="str">
        <v>-</v>
      </c>
      <c r="D19683" t="str">
        <v>-</v>
      </c>
      <c r="E19683" t="str">
        <v>-</v>
      </c>
      <c r="F19683" t="str">
        <v>-</v>
      </c>
      <c r="G19683" t="str">
        <v>-</v>
      </c>
    </row>
    <row r="19684">
      <c r="B19684" t="str">
        <v>Công an xã Tân An  tỉnh Đồng Nai</v>
      </c>
      <c r="C19684" t="str">
        <v>-</v>
      </c>
      <c r="D19684" t="str">
        <v>-</v>
      </c>
      <c r="E19684" t="str">
        <v/>
      </c>
      <c r="F19684" t="str">
        <v>-</v>
      </c>
      <c r="G19684" t="str">
        <v>-</v>
      </c>
    </row>
    <row r="19685">
      <c r="B19685" t="str">
        <v>UBND Ủy ban nhân dân xã Tân An  tỉnh Đồng Nai</v>
      </c>
      <c r="C19685" t="str">
        <v>-</v>
      </c>
      <c r="D19685" t="str">
        <v>-</v>
      </c>
      <c r="E19685" t="str">
        <v>-</v>
      </c>
      <c r="F19685" t="str">
        <v>-</v>
      </c>
      <c r="G19685" t="str">
        <v>-</v>
      </c>
    </row>
    <row r="19686">
      <c r="B19686" t="str">
        <v>Công an xã Vĩnh Tân  tỉnh Đồng Nai</v>
      </c>
      <c r="C19686" t="str">
        <v>-</v>
      </c>
      <c r="D19686" t="str">
        <v>-</v>
      </c>
      <c r="E19686" t="str">
        <v/>
      </c>
      <c r="F19686" t="str">
        <v>-</v>
      </c>
      <c r="G19686" t="str">
        <v>-</v>
      </c>
    </row>
    <row r="19687">
      <c r="B19687" t="str">
        <v>UBND Ủy ban nhân dân xã Vĩnh Tân  tỉnh Đồng Nai</v>
      </c>
      <c r="C19687" t="str">
        <v>-</v>
      </c>
      <c r="D19687" t="str">
        <v>-</v>
      </c>
      <c r="E19687" t="str">
        <v>-</v>
      </c>
      <c r="F19687" t="str">
        <v>-</v>
      </c>
      <c r="G19687" t="str">
        <v>-</v>
      </c>
    </row>
    <row r="19688">
      <c r="B19688" t="str">
        <v>Công an xã Bình Lợi  tỉnh Đồng Nai</v>
      </c>
      <c r="C19688" t="str">
        <v>-</v>
      </c>
      <c r="D19688" t="str">
        <v>-</v>
      </c>
      <c r="E19688" t="str">
        <v/>
      </c>
      <c r="F19688" t="str">
        <v>-</v>
      </c>
      <c r="G19688" t="str">
        <v>-</v>
      </c>
    </row>
    <row r="19689">
      <c r="B19689" t="str">
        <v>UBND Ủy ban nhân dân xã Bình Lợi  tỉnh Đồng Nai</v>
      </c>
      <c r="C19689" t="str">
        <v>-</v>
      </c>
      <c r="D19689" t="str">
        <v>-</v>
      </c>
      <c r="E19689" t="str">
        <v>-</v>
      </c>
      <c r="F19689" t="str">
        <v>-</v>
      </c>
      <c r="G19689" t="str">
        <v>-</v>
      </c>
    </row>
    <row r="19690">
      <c r="B19690" t="str">
        <v>Công an xã Thạnh Phú  tỉnh Đồng Nai</v>
      </c>
      <c r="C19690" t="str">
        <v>-</v>
      </c>
      <c r="D19690" t="str">
        <v>-</v>
      </c>
      <c r="E19690" t="str">
        <v/>
      </c>
      <c r="F19690" t="str">
        <v>-</v>
      </c>
      <c r="G19690" t="str">
        <v>-</v>
      </c>
    </row>
    <row r="19691">
      <c r="B19691" t="str">
        <v>UBND Ủy ban nhân dân xã Thạnh Phú  tỉnh Đồng Nai</v>
      </c>
      <c r="C19691" t="str">
        <v>-</v>
      </c>
      <c r="D19691" t="str">
        <v>-</v>
      </c>
      <c r="E19691" t="str">
        <v>-</v>
      </c>
      <c r="F19691" t="str">
        <v>-</v>
      </c>
      <c r="G19691" t="str">
        <v>-</v>
      </c>
    </row>
    <row r="19692">
      <c r="B19692" t="str">
        <v>Công an xã Thiện Tân  tỉnh Đồng Nai</v>
      </c>
      <c r="C19692" t="str">
        <v>-</v>
      </c>
      <c r="D19692" t="str">
        <v>-</v>
      </c>
      <c r="E19692" t="str">
        <v/>
      </c>
      <c r="F19692" t="str">
        <v>-</v>
      </c>
      <c r="G19692" t="str">
        <v>-</v>
      </c>
    </row>
    <row r="19693">
      <c r="B19693" t="str">
        <v>UBND Ủy ban nhân dân xã Thiện Tân  tỉnh Đồng Nai</v>
      </c>
      <c r="C19693" t="str">
        <v>-</v>
      </c>
      <c r="D19693" t="str">
        <v>-</v>
      </c>
      <c r="E19693" t="str">
        <v>-</v>
      </c>
      <c r="F19693" t="str">
        <v>-</v>
      </c>
      <c r="G19693" t="str">
        <v>-</v>
      </c>
    </row>
    <row r="19694">
      <c r="B19694" t="str">
        <v>Công an xã Tân Bình  tỉnh Đồng Nai</v>
      </c>
      <c r="C19694" t="str">
        <v>-</v>
      </c>
      <c r="D19694" t="str">
        <v>-</v>
      </c>
      <c r="E19694" t="str">
        <v/>
      </c>
      <c r="F19694" t="str">
        <v>-</v>
      </c>
      <c r="G19694" t="str">
        <v>-</v>
      </c>
    </row>
    <row r="19695">
      <c r="B19695" t="str">
        <v>UBND Ủy ban nhân dân xã Tân Bình  tỉnh Đồng Nai</v>
      </c>
      <c r="C19695" t="str">
        <v>-</v>
      </c>
      <c r="D19695" t="str">
        <v>-</v>
      </c>
      <c r="E19695" t="str">
        <v>-</v>
      </c>
      <c r="F19695" t="str">
        <v>-</v>
      </c>
      <c r="G19695" t="str">
        <v>-</v>
      </c>
    </row>
    <row r="19696">
      <c r="B19696" t="str">
        <v>Công an xã Bình Hòa  tỉnh Đồng Nai</v>
      </c>
      <c r="C19696" t="str">
        <v>-</v>
      </c>
      <c r="D19696" t="str">
        <v>-</v>
      </c>
      <c r="E19696" t="str">
        <v/>
      </c>
      <c r="F19696" t="str">
        <v>-</v>
      </c>
      <c r="G19696" t="str">
        <v>-</v>
      </c>
    </row>
    <row r="19697">
      <c r="B19697" t="str">
        <v>UBND Ủy ban nhân dân xã Bình Hòa  tỉnh Đồng Nai</v>
      </c>
      <c r="C19697" t="str">
        <v>-</v>
      </c>
      <c r="D19697" t="str">
        <v>-</v>
      </c>
      <c r="E19697" t="str">
        <v>-</v>
      </c>
      <c r="F19697" t="str">
        <v>-</v>
      </c>
      <c r="G19697" t="str">
        <v>-</v>
      </c>
    </row>
    <row r="19698">
      <c r="B19698" t="str">
        <v>Công an xã Mã Đà  tỉnh Đồng Nai</v>
      </c>
      <c r="C19698" t="str">
        <v>-</v>
      </c>
      <c r="D19698" t="str">
        <v>-</v>
      </c>
      <c r="E19698" t="str">
        <v/>
      </c>
      <c r="F19698" t="str">
        <v>-</v>
      </c>
      <c r="G19698" t="str">
        <v>-</v>
      </c>
    </row>
    <row r="19699">
      <c r="B19699" t="str">
        <v>UBND Ủy ban nhân dân xã Mã Đà  tỉnh Đồng Nai</v>
      </c>
      <c r="C19699" t="str">
        <v>-</v>
      </c>
      <c r="D19699" t="str">
        <v>-</v>
      </c>
      <c r="E19699" t="str">
        <v>-</v>
      </c>
      <c r="F19699" t="str">
        <v>-</v>
      </c>
      <c r="G19699" t="str">
        <v>-</v>
      </c>
    </row>
    <row r="19700">
      <c r="B19700" t="str">
        <v>Công an xã Hiếu Liêm  tỉnh Đồng Nai</v>
      </c>
      <c r="C19700" t="str">
        <v>-</v>
      </c>
      <c r="D19700" t="str">
        <v>-</v>
      </c>
      <c r="E19700" t="str">
        <v/>
      </c>
      <c r="F19700" t="str">
        <v>-</v>
      </c>
      <c r="G19700" t="str">
        <v>-</v>
      </c>
    </row>
    <row r="19701">
      <c r="B19701" t="str">
        <v>UBND Ủy ban nhân dân xã Hiếu Liêm  tỉnh Đồng Nai</v>
      </c>
      <c r="C19701" t="str">
        <v>-</v>
      </c>
      <c r="D19701" t="str">
        <v>-</v>
      </c>
      <c r="E19701" t="str">
        <v>-</v>
      </c>
      <c r="F19701" t="str">
        <v>-</v>
      </c>
      <c r="G19701" t="str">
        <v>-</v>
      </c>
    </row>
    <row r="19702">
      <c r="B19702" t="str">
        <v>Công an xã Thanh Sơn  tỉnh Đồng Nai</v>
      </c>
      <c r="C19702" t="str">
        <v>-</v>
      </c>
      <c r="D19702" t="str">
        <v>-</v>
      </c>
      <c r="E19702" t="str">
        <v/>
      </c>
      <c r="F19702" t="str">
        <v>-</v>
      </c>
      <c r="G19702" t="str">
        <v>-</v>
      </c>
    </row>
    <row r="19703">
      <c r="B19703" t="str">
        <v>UBND Ủy ban nhân dân xã Thanh Sơn  tỉnh Đồng Nai</v>
      </c>
      <c r="C19703" t="str">
        <v>-</v>
      </c>
      <c r="D19703" t="str">
        <v>-</v>
      </c>
      <c r="E19703" t="str">
        <v>-</v>
      </c>
      <c r="F19703" t="str">
        <v>-</v>
      </c>
      <c r="G19703" t="str">
        <v>-</v>
      </c>
    </row>
    <row r="19704">
      <c r="B19704" t="str">
        <v>Công an xã Phú Tân  tỉnh Đồng Nai</v>
      </c>
      <c r="C19704" t="str">
        <v>-</v>
      </c>
      <c r="D19704" t="str">
        <v>-</v>
      </c>
      <c r="E19704" t="str">
        <v/>
      </c>
      <c r="F19704" t="str">
        <v>-</v>
      </c>
      <c r="G19704" t="str">
        <v>-</v>
      </c>
    </row>
    <row r="19705">
      <c r="B19705" t="str">
        <v>UBND Ủy ban nhân dân xã Phú Tân  tỉnh Đồng Nai</v>
      </c>
      <c r="C19705" t="str">
        <v>-</v>
      </c>
      <c r="D19705" t="str">
        <v>-</v>
      </c>
      <c r="E19705" t="str">
        <v>-</v>
      </c>
      <c r="F19705" t="str">
        <v>-</v>
      </c>
      <c r="G19705" t="str">
        <v>-</v>
      </c>
    </row>
    <row r="19706">
      <c r="B19706" t="str">
        <v>Công an xã Phú Vinh  tỉnh Đồng Nai</v>
      </c>
      <c r="C19706" t="str">
        <v>-</v>
      </c>
      <c r="D19706" t="str">
        <v>-</v>
      </c>
      <c r="E19706" t="str">
        <v/>
      </c>
      <c r="F19706" t="str">
        <v>-</v>
      </c>
      <c r="G19706" t="str">
        <v>-</v>
      </c>
    </row>
    <row r="19707">
      <c r="B19707" t="str">
        <v>UBND Ủy ban nhân dân xã Phú Vinh  tỉnh Đồng Nai</v>
      </c>
      <c r="C19707" t="str">
        <v>-</v>
      </c>
      <c r="D19707" t="str">
        <v>-</v>
      </c>
      <c r="E19707" t="str">
        <v>-</v>
      </c>
      <c r="F19707" t="str">
        <v>-</v>
      </c>
      <c r="G19707" t="str">
        <v>-</v>
      </c>
    </row>
    <row r="19708">
      <c r="B19708" t="str">
        <v>Công an xã Phú Lợi  tỉnh Đồng Nai</v>
      </c>
      <c r="C19708" t="str">
        <v>-</v>
      </c>
      <c r="D19708" t="str">
        <v>-</v>
      </c>
      <c r="E19708" t="str">
        <v/>
      </c>
      <c r="F19708" t="str">
        <v>-</v>
      </c>
      <c r="G19708" t="str">
        <v>-</v>
      </c>
    </row>
    <row r="19709">
      <c r="B19709" t="str">
        <v>UBND Ủy ban nhân dân xã Phú Lợi  tỉnh Đồng Nai</v>
      </c>
      <c r="C19709" t="str">
        <v>-</v>
      </c>
      <c r="D19709" t="str">
        <v>-</v>
      </c>
      <c r="E19709" t="str">
        <v>-</v>
      </c>
      <c r="F19709" t="str">
        <v>-</v>
      </c>
      <c r="G19709" t="str">
        <v>-</v>
      </c>
    </row>
    <row r="19710">
      <c r="B19710" t="str">
        <v>Công an xã Phú Hòa  tỉnh Đồng Nai</v>
      </c>
      <c r="C19710" t="str">
        <v>-</v>
      </c>
      <c r="D19710" t="str">
        <v>-</v>
      </c>
      <c r="E19710" t="str">
        <v/>
      </c>
      <c r="F19710" t="str">
        <v>-</v>
      </c>
      <c r="G19710" t="str">
        <v>-</v>
      </c>
    </row>
    <row r="19711">
      <c r="B19711" t="str">
        <v>UBND Ủy ban nhân dân xã Phú Hòa  tỉnh Đồng Nai</v>
      </c>
      <c r="C19711" t="str">
        <v>-</v>
      </c>
      <c r="D19711" t="str">
        <v>-</v>
      </c>
      <c r="E19711" t="str">
        <v>-</v>
      </c>
      <c r="F19711" t="str">
        <v>-</v>
      </c>
      <c r="G19711" t="str">
        <v>-</v>
      </c>
    </row>
    <row r="19712">
      <c r="B19712" t="str">
        <v>Công an xã Ngọc Định  tỉnh Đồng Nai</v>
      </c>
      <c r="C19712" t="str">
        <v>-</v>
      </c>
      <c r="D19712" t="str">
        <v>-</v>
      </c>
      <c r="E19712" t="str">
        <v/>
      </c>
      <c r="F19712" t="str">
        <v>-</v>
      </c>
      <c r="G19712" t="str">
        <v>-</v>
      </c>
    </row>
    <row r="19713">
      <c r="B19713" t="str">
        <v>UBND Ủy ban nhân dân xã Ngọc Định  tỉnh Đồng Nai</v>
      </c>
      <c r="C19713" t="str">
        <v>-</v>
      </c>
      <c r="D19713" t="str">
        <v>-</v>
      </c>
      <c r="E19713" t="str">
        <v>-</v>
      </c>
      <c r="F19713" t="str">
        <v>-</v>
      </c>
      <c r="G19713" t="str">
        <v>-</v>
      </c>
    </row>
    <row r="19714">
      <c r="B19714" t="str">
        <v>Công an xã La Ngà  tỉnh Đồng Nai</v>
      </c>
      <c r="C19714" t="str">
        <v>-</v>
      </c>
      <c r="D19714" t="str">
        <v>-</v>
      </c>
      <c r="E19714" t="str">
        <v/>
      </c>
      <c r="F19714" t="str">
        <v>-</v>
      </c>
      <c r="G19714" t="str">
        <v>-</v>
      </c>
    </row>
    <row r="19715">
      <c r="B19715" t="str">
        <v>UBND Ủy ban nhân dân xã La Ngà  tỉnh Đồng Nai</v>
      </c>
      <c r="C19715" t="str">
        <v>-</v>
      </c>
      <c r="D19715" t="str">
        <v>-</v>
      </c>
      <c r="E19715" t="str">
        <v>-</v>
      </c>
      <c r="F19715" t="str">
        <v>-</v>
      </c>
      <c r="G19715" t="str">
        <v>-</v>
      </c>
    </row>
    <row r="19716">
      <c r="B19716" t="str">
        <v>Công an xã Gia Canh  tỉnh Đồng Nai</v>
      </c>
      <c r="C19716" t="str">
        <v>-</v>
      </c>
      <c r="D19716" t="str">
        <v>-</v>
      </c>
      <c r="E19716" t="str">
        <v/>
      </c>
      <c r="F19716" t="str">
        <v>-</v>
      </c>
      <c r="G19716" t="str">
        <v>-</v>
      </c>
    </row>
    <row r="19717">
      <c r="B19717" t="str">
        <v>UBND Ủy ban nhân dân xã Gia Canh  tỉnh Đồng Nai</v>
      </c>
      <c r="C19717" t="str">
        <v>-</v>
      </c>
      <c r="D19717" t="str">
        <v>-</v>
      </c>
      <c r="E19717" t="str">
        <v>-</v>
      </c>
      <c r="F19717" t="str">
        <v>-</v>
      </c>
      <c r="G19717" t="str">
        <v>-</v>
      </c>
    </row>
    <row r="19718">
      <c r="B19718" t="str">
        <v>Công an xã Phú Ngọc  tỉnh Đồng Nai</v>
      </c>
      <c r="C19718" t="str">
        <v>-</v>
      </c>
      <c r="D19718" t="str">
        <v>-</v>
      </c>
      <c r="E19718" t="str">
        <v/>
      </c>
      <c r="F19718" t="str">
        <v>-</v>
      </c>
      <c r="G19718" t="str">
        <v>-</v>
      </c>
    </row>
    <row r="19719">
      <c r="B19719" t="str">
        <v>UBND Ủy ban nhân dân xã Phú Ngọc  tỉnh Đồng Nai</v>
      </c>
      <c r="C19719" t="str">
        <v>-</v>
      </c>
      <c r="D19719" t="str">
        <v>-</v>
      </c>
      <c r="E19719" t="str">
        <v>-</v>
      </c>
      <c r="F19719" t="str">
        <v>-</v>
      </c>
      <c r="G19719" t="str">
        <v>-</v>
      </c>
    </row>
    <row r="19720">
      <c r="B19720" t="str">
        <v>Công an xã Phú Cường  tỉnh Đồng Nai</v>
      </c>
      <c r="C19720" t="str">
        <v>-</v>
      </c>
      <c r="D19720" t="str">
        <v>-</v>
      </c>
      <c r="E19720" t="str">
        <v/>
      </c>
      <c r="F19720" t="str">
        <v>-</v>
      </c>
      <c r="G19720" t="str">
        <v>-</v>
      </c>
    </row>
    <row r="19721">
      <c r="B19721" t="str">
        <v>UBND Ủy ban nhân dân xã Phú Cường  tỉnh Đồng Nai</v>
      </c>
      <c r="C19721" t="str">
        <v>-</v>
      </c>
      <c r="D19721" t="str">
        <v>-</v>
      </c>
      <c r="E19721" t="str">
        <v>-</v>
      </c>
      <c r="F19721" t="str">
        <v>-</v>
      </c>
      <c r="G19721" t="str">
        <v>-</v>
      </c>
    </row>
    <row r="19722">
      <c r="B19722" t="str">
        <v>Công an xã Túc Trưng  tỉnh Đồng Nai</v>
      </c>
      <c r="C19722" t="str">
        <v>-</v>
      </c>
      <c r="D19722" t="str">
        <v>-</v>
      </c>
      <c r="E19722" t="str">
        <v/>
      </c>
      <c r="F19722" t="str">
        <v>-</v>
      </c>
      <c r="G19722" t="str">
        <v>-</v>
      </c>
    </row>
    <row r="19723">
      <c r="B19723" t="str">
        <v>UBND Ủy ban nhân dân xã Túc Trưng  tỉnh Đồng Nai</v>
      </c>
      <c r="C19723" t="str">
        <v>-</v>
      </c>
      <c r="D19723" t="str">
        <v>-</v>
      </c>
      <c r="E19723" t="str">
        <v>-</v>
      </c>
      <c r="F19723" t="str">
        <v>-</v>
      </c>
      <c r="G19723" t="str">
        <v>-</v>
      </c>
    </row>
    <row r="19724">
      <c r="B19724" t="str">
        <v>Công an xã Phú Túc  tỉnh Đồng Nai</v>
      </c>
      <c r="C19724" t="str">
        <v>-</v>
      </c>
      <c r="D19724" t="str">
        <v>-</v>
      </c>
      <c r="E19724" t="str">
        <v/>
      </c>
      <c r="F19724" t="str">
        <v>-</v>
      </c>
      <c r="G19724" t="str">
        <v>-</v>
      </c>
    </row>
    <row r="19725">
      <c r="B19725" t="str">
        <v>UBND Ủy ban nhân dân xã Phú Túc  tỉnh Đồng Nai</v>
      </c>
      <c r="C19725" t="str">
        <v>-</v>
      </c>
      <c r="D19725" t="str">
        <v>-</v>
      </c>
      <c r="E19725" t="str">
        <v>-</v>
      </c>
      <c r="F19725" t="str">
        <v>-</v>
      </c>
      <c r="G19725" t="str">
        <v>-</v>
      </c>
    </row>
    <row r="19726">
      <c r="B19726" t="str">
        <v>Công an xã Suối Nho  tỉnh Đồng Nai</v>
      </c>
      <c r="C19726" t="str">
        <v>-</v>
      </c>
      <c r="D19726" t="str">
        <v>-</v>
      </c>
      <c r="E19726" t="str">
        <v/>
      </c>
      <c r="F19726" t="str">
        <v>-</v>
      </c>
      <c r="G19726" t="str">
        <v>-</v>
      </c>
    </row>
    <row r="19727">
      <c r="B19727" t="str">
        <v>UBND Ủy ban nhân dân xã Suối Nho  tỉnh Đồng Nai</v>
      </c>
      <c r="C19727" t="str">
        <v>-</v>
      </c>
      <c r="D19727" t="str">
        <v>-</v>
      </c>
      <c r="E19727" t="str">
        <v>-</v>
      </c>
      <c r="F19727" t="str">
        <v>-</v>
      </c>
      <c r="G19727" t="str">
        <v>-</v>
      </c>
    </row>
    <row r="19728">
      <c r="B19728" t="str">
        <v>Công an xã Thanh Bình  tỉnh Đồng Nai</v>
      </c>
      <c r="C19728" t="str">
        <v>-</v>
      </c>
      <c r="D19728" t="str">
        <v>-</v>
      </c>
      <c r="E19728" t="str">
        <v/>
      </c>
      <c r="F19728" t="str">
        <v>-</v>
      </c>
      <c r="G19728" t="str">
        <v>-</v>
      </c>
    </row>
    <row r="19729">
      <c r="B19729" t="str">
        <v>UBND Ủy ban nhân dân xã Thanh Bình  tỉnh Đồng Nai</v>
      </c>
      <c r="C19729" t="str">
        <v>-</v>
      </c>
      <c r="D19729" t="str">
        <v>-</v>
      </c>
      <c r="E19729" t="str">
        <v>-</v>
      </c>
      <c r="F19729" t="str">
        <v>-</v>
      </c>
      <c r="G19729" t="str">
        <v>-</v>
      </c>
    </row>
    <row r="19730">
      <c r="B19730" t="str">
        <v>Công an xã Cây Gáo  tỉnh Đồng Nai</v>
      </c>
      <c r="C19730" t="str">
        <v>-</v>
      </c>
      <c r="D19730" t="str">
        <v>-</v>
      </c>
      <c r="E19730" t="str">
        <v/>
      </c>
      <c r="F19730" t="str">
        <v>-</v>
      </c>
      <c r="G19730" t="str">
        <v>-</v>
      </c>
    </row>
    <row r="19731">
      <c r="B19731" t="str">
        <v>UBND Ủy ban nhân dân xã Cây Gáo  tỉnh Đồng Nai</v>
      </c>
      <c r="C19731" t="str">
        <v>-</v>
      </c>
      <c r="D19731" t="str">
        <v>-</v>
      </c>
      <c r="E19731" t="str">
        <v>-</v>
      </c>
      <c r="F19731" t="str">
        <v>-</v>
      </c>
      <c r="G19731" t="str">
        <v>-</v>
      </c>
    </row>
    <row r="19732">
      <c r="B19732" t="str">
        <v>Công an xã Bàu Hàm  tỉnh Đồng Nai</v>
      </c>
      <c r="C19732" t="str">
        <v>-</v>
      </c>
      <c r="D19732" t="str">
        <v>-</v>
      </c>
      <c r="E19732" t="str">
        <v/>
      </c>
      <c r="F19732" t="str">
        <v>-</v>
      </c>
      <c r="G19732" t="str">
        <v>-</v>
      </c>
    </row>
    <row r="19733">
      <c r="B19733" t="str">
        <v>UBND Ủy ban nhân dân xã Bàu Hàm  tỉnh Đồng Nai</v>
      </c>
      <c r="C19733" t="str">
        <v>-</v>
      </c>
      <c r="D19733" t="str">
        <v>-</v>
      </c>
      <c r="E19733" t="str">
        <v>-</v>
      </c>
      <c r="F19733" t="str">
        <v>-</v>
      </c>
      <c r="G19733" t="str">
        <v>-</v>
      </c>
    </row>
    <row r="19734">
      <c r="B19734" t="str">
        <v>Công an xã Sông Thao  tỉnh Đồng Nai</v>
      </c>
      <c r="C19734" t="str">
        <v>-</v>
      </c>
      <c r="D19734" t="str">
        <v>-</v>
      </c>
      <c r="E19734" t="str">
        <v/>
      </c>
      <c r="F19734" t="str">
        <v>-</v>
      </c>
      <c r="G19734" t="str">
        <v>-</v>
      </c>
    </row>
    <row r="19735">
      <c r="B19735" t="str">
        <v>UBND Ủy ban nhân dân xã Sông Thao  tỉnh Đồng Nai</v>
      </c>
      <c r="C19735" t="str">
        <v>-</v>
      </c>
      <c r="D19735" t="str">
        <v>-</v>
      </c>
      <c r="E19735" t="str">
        <v>-</v>
      </c>
      <c r="F19735" t="str">
        <v>-</v>
      </c>
      <c r="G19735" t="str">
        <v>-</v>
      </c>
    </row>
    <row r="19736">
      <c r="B19736" t="str">
        <v>Công an xã Sông Trầu  tỉnh Đồng Nai</v>
      </c>
      <c r="C19736" t="str">
        <v>-</v>
      </c>
      <c r="D19736" t="str">
        <v>-</v>
      </c>
      <c r="E19736" t="str">
        <v/>
      </c>
      <c r="F19736" t="str">
        <v>-</v>
      </c>
      <c r="G19736" t="str">
        <v>-</v>
      </c>
    </row>
    <row r="19737">
      <c r="B19737" t="str">
        <v>UBND Ủy ban nhân dân xã Sông Trầu  tỉnh Đồng Nai</v>
      </c>
      <c r="C19737" t="str">
        <v>-</v>
      </c>
      <c r="D19737" t="str">
        <v>-</v>
      </c>
      <c r="E19737" t="str">
        <v>-</v>
      </c>
      <c r="F19737" t="str">
        <v>-</v>
      </c>
      <c r="G19737" t="str">
        <v>-</v>
      </c>
    </row>
    <row r="19738">
      <c r="B19738" t="str">
        <v>Công an xã Đông Hoà  tỉnh Đồng Nai</v>
      </c>
      <c r="C19738" t="str">
        <v>-</v>
      </c>
      <c r="D19738" t="str">
        <v>-</v>
      </c>
      <c r="E19738" t="str">
        <v/>
      </c>
      <c r="F19738" t="str">
        <v>-</v>
      </c>
      <c r="G19738" t="str">
        <v>-</v>
      </c>
    </row>
    <row r="19739">
      <c r="B19739" t="str">
        <v>UBND Ủy ban nhân dân xã Đông Hoà  tỉnh Đồng Nai</v>
      </c>
      <c r="C19739" t="str">
        <v>-</v>
      </c>
      <c r="D19739" t="str">
        <v>-</v>
      </c>
      <c r="E19739" t="str">
        <v>-</v>
      </c>
      <c r="F19739" t="str">
        <v>-</v>
      </c>
      <c r="G19739" t="str">
        <v>-</v>
      </c>
    </row>
    <row r="19740">
      <c r="B19740" t="str">
        <v>Công an xã Bắc Sơn  tỉnh Đồng Nai</v>
      </c>
      <c r="C19740" t="str">
        <v>-</v>
      </c>
      <c r="D19740" t="str">
        <v>-</v>
      </c>
      <c r="E19740" t="str">
        <v/>
      </c>
      <c r="F19740" t="str">
        <v>-</v>
      </c>
      <c r="G19740" t="str">
        <v>-</v>
      </c>
    </row>
    <row r="19741">
      <c r="B19741" t="str">
        <v>UBND Ủy ban nhân dân xã Bắc Sơn  tỉnh Đồng Nai</v>
      </c>
      <c r="C19741" t="str">
        <v>-</v>
      </c>
      <c r="D19741" t="str">
        <v>-</v>
      </c>
      <c r="E19741" t="str">
        <v>-</v>
      </c>
      <c r="F19741" t="str">
        <v>-</v>
      </c>
      <c r="G19741" t="str">
        <v>-</v>
      </c>
    </row>
    <row r="19742">
      <c r="B19742" t="str">
        <v>Công an xã Hố Nai 3  tỉnh Đồng Nai</v>
      </c>
      <c r="C19742" t="str">
        <v>-</v>
      </c>
      <c r="D19742" t="str">
        <v>-</v>
      </c>
      <c r="E19742" t="str">
        <v/>
      </c>
      <c r="F19742" t="str">
        <v>-</v>
      </c>
      <c r="G19742" t="str">
        <v>-</v>
      </c>
    </row>
    <row r="19743">
      <c r="B19743" t="str">
        <v>UBND Ủy ban nhân dân xã Hố Nai 3  tỉnh Đồng Nai</v>
      </c>
      <c r="C19743" t="str">
        <v>-</v>
      </c>
      <c r="D19743" t="str">
        <v>-</v>
      </c>
      <c r="E19743" t="str">
        <v>-</v>
      </c>
      <c r="F19743" t="str">
        <v>-</v>
      </c>
      <c r="G19743" t="str">
        <v>-</v>
      </c>
    </row>
    <row r="19744">
      <c r="B19744" t="str">
        <v>Công an xã Tây Hoà  tỉnh Đồng Nai</v>
      </c>
      <c r="C19744" t="str">
        <v>-</v>
      </c>
      <c r="D19744" t="str">
        <v>-</v>
      </c>
      <c r="E19744" t="str">
        <v/>
      </c>
      <c r="F19744" t="str">
        <v>-</v>
      </c>
      <c r="G19744" t="str">
        <v>-</v>
      </c>
    </row>
    <row r="19745">
      <c r="B19745" t="str">
        <v>UBND Ủy ban nhân dân xã Tây Hoà  tỉnh Đồng Nai</v>
      </c>
      <c r="C19745" t="str">
        <v>-</v>
      </c>
      <c r="D19745" t="str">
        <v>-</v>
      </c>
      <c r="E19745" t="str">
        <v>-</v>
      </c>
      <c r="F19745" t="str">
        <v>-</v>
      </c>
      <c r="G19745" t="str">
        <v>-</v>
      </c>
    </row>
    <row r="19746">
      <c r="B19746" t="str">
        <v>Công an xã Bình Minh  tỉnh Đồng Nai</v>
      </c>
      <c r="C19746" t="str">
        <v>-</v>
      </c>
      <c r="D19746" t="str">
        <v>-</v>
      </c>
      <c r="E19746" t="str">
        <v/>
      </c>
      <c r="F19746" t="str">
        <v>-</v>
      </c>
      <c r="G19746" t="str">
        <v>-</v>
      </c>
    </row>
    <row r="19747">
      <c r="B19747" t="str">
        <v>UBND Ủy ban nhân dân xã Bình Minh  tỉnh Đồng Nai</v>
      </c>
      <c r="C19747" t="str">
        <v>-</v>
      </c>
      <c r="D19747" t="str">
        <v>-</v>
      </c>
      <c r="E19747" t="str">
        <v>-</v>
      </c>
      <c r="F19747" t="str">
        <v>-</v>
      </c>
      <c r="G19747" t="str">
        <v>-</v>
      </c>
    </row>
    <row r="19748">
      <c r="B19748" t="str">
        <v>Công an xã Trung Hoà  tỉnh Đồng Nai</v>
      </c>
      <c r="C19748" t="str">
        <v>-</v>
      </c>
      <c r="D19748" t="str">
        <v>-</v>
      </c>
      <c r="E19748" t="str">
        <v/>
      </c>
      <c r="F19748" t="str">
        <v>-</v>
      </c>
      <c r="G19748" t="str">
        <v>-</v>
      </c>
    </row>
    <row r="19749">
      <c r="B19749" t="str">
        <v>UBND Ủy ban nhân dân xã Trung Hoà  tỉnh Đồng Nai</v>
      </c>
      <c r="C19749" t="str">
        <v>-</v>
      </c>
      <c r="D19749" t="str">
        <v>-</v>
      </c>
      <c r="E19749" t="str">
        <v>-</v>
      </c>
      <c r="F19749" t="str">
        <v>-</v>
      </c>
      <c r="G19749" t="str">
        <v>-</v>
      </c>
    </row>
    <row r="19750">
      <c r="B19750" t="str">
        <v>Công an xã Đồi 61  tỉnh Đồng Nai</v>
      </c>
      <c r="C19750" t="str">
        <v>-</v>
      </c>
      <c r="D19750" t="str">
        <v>-</v>
      </c>
      <c r="E19750" t="str">
        <v/>
      </c>
      <c r="F19750" t="str">
        <v>-</v>
      </c>
      <c r="G19750" t="str">
        <v>-</v>
      </c>
    </row>
    <row r="19751">
      <c r="B19751" t="str">
        <v>UBND Ủy ban nhân dân xã Đồi 61  tỉnh Đồng Nai</v>
      </c>
      <c r="C19751" t="str">
        <v>-</v>
      </c>
      <c r="D19751" t="str">
        <v>-</v>
      </c>
      <c r="E19751" t="str">
        <v>-</v>
      </c>
      <c r="F19751" t="str">
        <v>-</v>
      </c>
      <c r="G19751" t="str">
        <v>-</v>
      </c>
    </row>
    <row r="19752">
      <c r="B19752" t="str">
        <v>Công an xã Hưng Thịnh  tỉnh Đồng Nai</v>
      </c>
      <c r="C19752" t="str">
        <v>-</v>
      </c>
      <c r="D19752" t="str">
        <v>-</v>
      </c>
      <c r="E19752" t="str">
        <v/>
      </c>
      <c r="F19752" t="str">
        <v>-</v>
      </c>
      <c r="G19752" t="str">
        <v>-</v>
      </c>
    </row>
    <row r="19753">
      <c r="B19753" t="str">
        <v>UBND Ủy ban nhân dân xã Hưng Thịnh  tỉnh Đồng Nai</v>
      </c>
      <c r="C19753" t="str">
        <v>-</v>
      </c>
      <c r="D19753" t="str">
        <v>-</v>
      </c>
      <c r="E19753" t="str">
        <v>-</v>
      </c>
      <c r="F19753" t="str">
        <v>-</v>
      </c>
      <c r="G19753" t="str">
        <v>-</v>
      </c>
    </row>
    <row r="19754">
      <c r="B19754" t="str">
        <v>Công an xã Quảng Tiến  tỉnh Đồng Nai</v>
      </c>
      <c r="C19754" t="str">
        <v>-</v>
      </c>
      <c r="D19754" t="str">
        <v>-</v>
      </c>
      <c r="E19754" t="str">
        <v/>
      </c>
      <c r="F19754" t="str">
        <v>-</v>
      </c>
      <c r="G19754" t="str">
        <v>-</v>
      </c>
    </row>
    <row r="19755">
      <c r="B19755" t="str">
        <v>UBND Ủy ban nhân dân xã Quảng Tiến  tỉnh Đồng Nai</v>
      </c>
      <c r="C19755" t="str">
        <v>-</v>
      </c>
      <c r="D19755" t="str">
        <v>-</v>
      </c>
      <c r="E19755" t="str">
        <v>-</v>
      </c>
      <c r="F19755" t="str">
        <v>-</v>
      </c>
      <c r="G19755" t="str">
        <v>-</v>
      </c>
    </row>
    <row r="19756">
      <c r="B19756" t="str">
        <v>Công an xã Giang Điền  tỉnh Đồng Nai</v>
      </c>
      <c r="C19756" t="str">
        <v>-</v>
      </c>
      <c r="D19756" t="str">
        <v>-</v>
      </c>
      <c r="E19756" t="str">
        <v/>
      </c>
      <c r="F19756" t="str">
        <v>-</v>
      </c>
      <c r="G19756" t="str">
        <v>-</v>
      </c>
    </row>
    <row r="19757">
      <c r="B19757" t="str">
        <v>UBND Ủy ban nhân dân xã Giang Điền  tỉnh Đồng Nai</v>
      </c>
      <c r="C19757" t="str">
        <v>-</v>
      </c>
      <c r="D19757" t="str">
        <v>-</v>
      </c>
      <c r="E19757" t="str">
        <v>-</v>
      </c>
      <c r="F19757" t="str">
        <v>-</v>
      </c>
      <c r="G19757" t="str">
        <v>-</v>
      </c>
    </row>
    <row r="19758">
      <c r="B19758" t="str">
        <v>Công an xã An Viễn  tỉnh Đồng Nai</v>
      </c>
      <c r="C19758" t="str">
        <v>-</v>
      </c>
      <c r="D19758" t="str">
        <v>-</v>
      </c>
      <c r="E19758" t="str">
        <v/>
      </c>
      <c r="F19758" t="str">
        <v>-</v>
      </c>
      <c r="G19758" t="str">
        <v>-</v>
      </c>
    </row>
    <row r="19759">
      <c r="B19759" t="str">
        <v>UBND Ủy ban nhân dân xã An Viễn  tỉnh Đồng Nai</v>
      </c>
      <c r="C19759" t="str">
        <v>-</v>
      </c>
      <c r="D19759" t="str">
        <v>-</v>
      </c>
      <c r="E19759" t="str">
        <v>-</v>
      </c>
      <c r="F19759" t="str">
        <v>-</v>
      </c>
      <c r="G19759" t="str">
        <v>-</v>
      </c>
    </row>
    <row r="19760">
      <c r="B19760" t="str">
        <v>Công an xã Gia Tân 1  tỉnh Đồng Nai</v>
      </c>
      <c r="C19760" t="str">
        <v>-</v>
      </c>
      <c r="D19760" t="str">
        <v>-</v>
      </c>
      <c r="E19760" t="str">
        <v/>
      </c>
      <c r="F19760" t="str">
        <v>-</v>
      </c>
      <c r="G19760" t="str">
        <v>-</v>
      </c>
    </row>
    <row r="19761">
      <c r="B19761" t="str">
        <v>UBND Ủy ban nhân dân xã Gia Tân 1  tỉnh Đồng Nai</v>
      </c>
      <c r="C19761" t="str">
        <v>-</v>
      </c>
      <c r="D19761" t="str">
        <v>-</v>
      </c>
      <c r="E19761" t="str">
        <v>-</v>
      </c>
      <c r="F19761" t="str">
        <v>-</v>
      </c>
      <c r="G19761" t="str">
        <v>-</v>
      </c>
    </row>
    <row r="19762">
      <c r="B19762" t="str">
        <v>Công an xã Gia Tân 2  tỉnh Đồng Nai</v>
      </c>
      <c r="C19762" t="str">
        <v>-</v>
      </c>
      <c r="D19762" t="str">
        <v>-</v>
      </c>
      <c r="E19762" t="str">
        <v/>
      </c>
      <c r="F19762" t="str">
        <v>-</v>
      </c>
      <c r="G19762" t="str">
        <v>-</v>
      </c>
    </row>
    <row r="19763">
      <c r="B19763" t="str">
        <v>UBND Ủy ban nhân dân xã Gia Tân 2  tỉnh Đồng Nai</v>
      </c>
      <c r="C19763" t="str">
        <v>-</v>
      </c>
      <c r="D19763" t="str">
        <v>-</v>
      </c>
      <c r="E19763" t="str">
        <v>-</v>
      </c>
      <c r="F19763" t="str">
        <v>-</v>
      </c>
      <c r="G19763" t="str">
        <v>-</v>
      </c>
    </row>
    <row r="19764">
      <c r="B19764" t="str">
        <v>Công an xã Gia Tân 3  tỉnh Đồng Nai</v>
      </c>
      <c r="C19764" t="str">
        <v>-</v>
      </c>
      <c r="D19764" t="str">
        <v>-</v>
      </c>
      <c r="E19764" t="str">
        <v/>
      </c>
      <c r="F19764" t="str">
        <v>-</v>
      </c>
      <c r="G19764" t="str">
        <v>-</v>
      </c>
    </row>
    <row r="19765">
      <c r="B19765" t="str">
        <v>UBND Ủy ban nhân dân xã Gia Tân 3  tỉnh Đồng Nai</v>
      </c>
      <c r="C19765" t="str">
        <v>-</v>
      </c>
      <c r="D19765" t="str">
        <v>-</v>
      </c>
      <c r="E19765" t="str">
        <v>-</v>
      </c>
      <c r="F19765" t="str">
        <v>-</v>
      </c>
      <c r="G19765" t="str">
        <v>-</v>
      </c>
    </row>
    <row r="19766">
      <c r="B19766" t="str">
        <v>Công an xã Gia Kiệm  tỉnh Đồng Nai</v>
      </c>
      <c r="C19766" t="str">
        <v>-</v>
      </c>
      <c r="D19766" t="str">
        <v>-</v>
      </c>
      <c r="E19766" t="str">
        <v/>
      </c>
      <c r="F19766" t="str">
        <v>-</v>
      </c>
      <c r="G19766" t="str">
        <v>-</v>
      </c>
    </row>
    <row r="19767">
      <c r="B19767" t="str">
        <v>UBND Ủy ban nhân dân xã Gia Kiệm  tỉnh Đồng Nai</v>
      </c>
      <c r="C19767" t="str">
        <v>-</v>
      </c>
      <c r="D19767" t="str">
        <v>-</v>
      </c>
      <c r="E19767" t="str">
        <v>-</v>
      </c>
      <c r="F19767" t="str">
        <v>-</v>
      </c>
      <c r="G19767" t="str">
        <v>-</v>
      </c>
    </row>
    <row r="19768">
      <c r="B19768" t="str">
        <v>Công an xã Quang Trung  tỉnh Đồng Nai</v>
      </c>
      <c r="C19768" t="str">
        <v>-</v>
      </c>
      <c r="D19768" t="str">
        <v>-</v>
      </c>
      <c r="E19768" t="str">
        <v/>
      </c>
      <c r="F19768" t="str">
        <v>-</v>
      </c>
      <c r="G19768" t="str">
        <v>-</v>
      </c>
    </row>
    <row r="19769">
      <c r="B19769" t="str">
        <v>UBND Ủy ban nhân dân xã Quang Trung  tỉnh Đồng Nai</v>
      </c>
      <c r="C19769" t="str">
        <v>-</v>
      </c>
      <c r="D19769" t="str">
        <v>-</v>
      </c>
      <c r="E19769" t="str">
        <v>-</v>
      </c>
      <c r="F19769" t="str">
        <v>-</v>
      </c>
      <c r="G19769" t="str">
        <v>-</v>
      </c>
    </row>
    <row r="19770">
      <c r="B19770" t="str">
        <v>Công an xã Bàu Hàm 2  tỉnh Đồng Nai</v>
      </c>
      <c r="C19770" t="str">
        <v>-</v>
      </c>
      <c r="D19770" t="str">
        <v>-</v>
      </c>
      <c r="E19770" t="str">
        <v/>
      </c>
      <c r="F19770" t="str">
        <v>-</v>
      </c>
      <c r="G19770" t="str">
        <v>-</v>
      </c>
    </row>
    <row r="19771">
      <c r="B19771" t="str">
        <v>UBND Ủy ban nhân dân xã Bàu Hàm 2  tỉnh Đồng Nai</v>
      </c>
      <c r="C19771" t="str">
        <v>-</v>
      </c>
      <c r="D19771" t="str">
        <v>-</v>
      </c>
      <c r="E19771" t="str">
        <v>-</v>
      </c>
      <c r="F19771" t="str">
        <v>-</v>
      </c>
      <c r="G19771" t="str">
        <v>-</v>
      </c>
    </row>
    <row r="19772">
      <c r="B19772" t="str">
        <v>Công an xã Hưng Lộc  tỉnh Đồng Nai</v>
      </c>
      <c r="C19772" t="str">
        <v>-</v>
      </c>
      <c r="D19772" t="str">
        <v>-</v>
      </c>
      <c r="E19772" t="str">
        <v/>
      </c>
      <c r="F19772" t="str">
        <v>-</v>
      </c>
      <c r="G19772" t="str">
        <v>-</v>
      </c>
    </row>
    <row r="19773">
      <c r="B19773" t="str">
        <v>UBND Ủy ban nhân dân xã Hưng Lộc  tỉnh Đồng Nai</v>
      </c>
      <c r="C19773" t="str">
        <v>-</v>
      </c>
      <c r="D19773" t="str">
        <v>-</v>
      </c>
      <c r="E19773" t="str">
        <v>-</v>
      </c>
      <c r="F19773" t="str">
        <v>-</v>
      </c>
      <c r="G19773" t="str">
        <v>-</v>
      </c>
    </row>
    <row r="19774">
      <c r="B19774" t="str">
        <v>Công an xã Lộ 25  tỉnh Đồng Nai</v>
      </c>
      <c r="C19774" t="str">
        <v>-</v>
      </c>
      <c r="D19774" t="str">
        <v>-</v>
      </c>
      <c r="E19774" t="str">
        <v/>
      </c>
      <c r="F19774" t="str">
        <v>-</v>
      </c>
      <c r="G19774" t="str">
        <v>-</v>
      </c>
    </row>
    <row r="19775">
      <c r="B19775" t="str">
        <v>UBND Ủy ban nhân dân xã Lộ 25  tỉnh Đồng Nai</v>
      </c>
      <c r="C19775" t="str">
        <v>-</v>
      </c>
      <c r="D19775" t="str">
        <v>-</v>
      </c>
      <c r="E19775" t="str">
        <v>-</v>
      </c>
      <c r="F19775" t="str">
        <v>-</v>
      </c>
      <c r="G19775" t="str">
        <v>-</v>
      </c>
    </row>
    <row r="19776">
      <c r="B19776" t="str">
        <v>Công an xã Xuân Thiện  tỉnh Đồng Nai</v>
      </c>
      <c r="C19776" t="str">
        <v>-</v>
      </c>
      <c r="D19776" t="str">
        <v>-</v>
      </c>
      <c r="E19776" t="str">
        <v/>
      </c>
      <c r="F19776" t="str">
        <v>-</v>
      </c>
      <c r="G19776" t="str">
        <v>-</v>
      </c>
    </row>
    <row r="19777">
      <c r="B19777" t="str">
        <v>UBND Ủy ban nhân dân xã Xuân Thiện  tỉnh Đồng Nai</v>
      </c>
      <c r="C19777" t="str">
        <v>-</v>
      </c>
      <c r="D19777" t="str">
        <v>-</v>
      </c>
      <c r="E19777" t="str">
        <v>-</v>
      </c>
      <c r="F19777" t="str">
        <v>-</v>
      </c>
      <c r="G19777" t="str">
        <v>-</v>
      </c>
    </row>
    <row r="19778">
      <c r="B19778" t="str">
        <v>Công an xã Xuân Thạnh  tỉnh Đồng Nai</v>
      </c>
      <c r="C19778" t="str">
        <v>-</v>
      </c>
      <c r="D19778" t="str">
        <v>-</v>
      </c>
      <c r="E19778" t="str">
        <v/>
      </c>
      <c r="F19778" t="str">
        <v>-</v>
      </c>
      <c r="G19778" t="str">
        <v>-</v>
      </c>
    </row>
    <row r="19779">
      <c r="B19779" t="str">
        <v>UBND Ủy ban nhân dân xã Xuân Thạnh  tỉnh Đồng Nai</v>
      </c>
      <c r="C19779" t="str">
        <v>-</v>
      </c>
      <c r="D19779" t="str">
        <v>-</v>
      </c>
      <c r="E19779" t="str">
        <v>-</v>
      </c>
      <c r="F19779" t="str">
        <v>-</v>
      </c>
      <c r="G19779" t="str">
        <v>-</v>
      </c>
    </row>
    <row r="19780">
      <c r="B19780" t="str">
        <v>Công an xã Sông Nhạn  tỉnh Đồng Nai</v>
      </c>
      <c r="C19780" t="str">
        <v>-</v>
      </c>
      <c r="D19780" t="str">
        <v>-</v>
      </c>
      <c r="E19780" t="str">
        <v/>
      </c>
      <c r="F19780" t="str">
        <v>-</v>
      </c>
      <c r="G19780" t="str">
        <v>-</v>
      </c>
    </row>
    <row r="19781">
      <c r="B19781" t="str">
        <v>UBND Ủy ban nhân dân xã Sông Nhạn  tỉnh Đồng Nai</v>
      </c>
      <c r="C19781" t="str">
        <v>-</v>
      </c>
      <c r="D19781" t="str">
        <v>-</v>
      </c>
      <c r="E19781" t="str">
        <v>-</v>
      </c>
      <c r="F19781" t="str">
        <v>-</v>
      </c>
      <c r="G19781" t="str">
        <v>-</v>
      </c>
    </row>
    <row r="19782">
      <c r="B19782" t="str">
        <v>Công an xã Xuân Quế  tỉnh Đồng Nai</v>
      </c>
      <c r="C19782" t="str">
        <v>-</v>
      </c>
      <c r="D19782" t="str">
        <v>-</v>
      </c>
      <c r="E19782" t="str">
        <v/>
      </c>
      <c r="F19782" t="str">
        <v>-</v>
      </c>
      <c r="G19782" t="str">
        <v>-</v>
      </c>
    </row>
    <row r="19783">
      <c r="B19783" t="str">
        <v>UBND Ủy ban nhân dân xã Xuân Quế  tỉnh Đồng Nai</v>
      </c>
      <c r="C19783" t="str">
        <v>-</v>
      </c>
      <c r="D19783" t="str">
        <v>-</v>
      </c>
      <c r="E19783" t="str">
        <v>-</v>
      </c>
      <c r="F19783" t="str">
        <v>-</v>
      </c>
      <c r="G19783" t="str">
        <v>-</v>
      </c>
    </row>
    <row r="19784">
      <c r="B19784" t="str">
        <v>Công an xã Nhân Nghĩa  tỉnh Đồng Nai</v>
      </c>
      <c r="C19784" t="str">
        <v>-</v>
      </c>
      <c r="D19784" t="str">
        <v>-</v>
      </c>
      <c r="E19784" t="str">
        <v/>
      </c>
      <c r="F19784" t="str">
        <v>-</v>
      </c>
      <c r="G19784" t="str">
        <v>-</v>
      </c>
    </row>
    <row r="19785">
      <c r="B19785" t="str">
        <v>UBND Ủy ban nhân dân xã Nhân Nghĩa  tỉnh Đồng Nai</v>
      </c>
      <c r="C19785" t="str">
        <v>-</v>
      </c>
      <c r="D19785" t="str">
        <v>-</v>
      </c>
      <c r="E19785" t="str">
        <v>-</v>
      </c>
      <c r="F19785" t="str">
        <v>-</v>
      </c>
      <c r="G19785" t="str">
        <v>-</v>
      </c>
    </row>
    <row r="19786">
      <c r="B19786" t="str">
        <v>Công an xã Xuân Đường  tỉnh Đồng Nai</v>
      </c>
      <c r="C19786" t="str">
        <v>-</v>
      </c>
      <c r="D19786" t="str">
        <v>-</v>
      </c>
      <c r="E19786" t="str">
        <v/>
      </c>
      <c r="F19786" t="str">
        <v>-</v>
      </c>
      <c r="G19786" t="str">
        <v>-</v>
      </c>
    </row>
    <row r="19787">
      <c r="B19787" t="str">
        <v>UBND Ủy ban nhân dân xã Xuân Đường  tỉnh Đồng Nai</v>
      </c>
      <c r="C19787" t="str">
        <v>-</v>
      </c>
      <c r="D19787" t="str">
        <v>-</v>
      </c>
      <c r="E19787" t="str">
        <v>-</v>
      </c>
      <c r="F19787" t="str">
        <v>-</v>
      </c>
      <c r="G19787" t="str">
        <v>-</v>
      </c>
    </row>
    <row r="19788">
      <c r="B19788" t="str">
        <v>Công an xã Long Giao  tỉnh Đồng Nai</v>
      </c>
      <c r="C19788" t="str">
        <v>-</v>
      </c>
      <c r="D19788" t="str">
        <v>-</v>
      </c>
      <c r="E19788" t="str">
        <v/>
      </c>
      <c r="F19788" t="str">
        <v>-</v>
      </c>
      <c r="G19788" t="str">
        <v>-</v>
      </c>
    </row>
    <row r="19789">
      <c r="B19789" t="str">
        <v>UBND Ủy ban nhân dân xã Long Giao  tỉnh Đồng Nai</v>
      </c>
      <c r="C19789" t="str">
        <v>-</v>
      </c>
      <c r="D19789" t="str">
        <v>-</v>
      </c>
      <c r="E19789" t="str">
        <v>-</v>
      </c>
      <c r="F19789" t="str">
        <v>-</v>
      </c>
      <c r="G19789" t="str">
        <v>-</v>
      </c>
    </row>
    <row r="19790">
      <c r="B19790" t="str">
        <v>Công an xã Xuân Mỹ  tỉnh Đồng Nai</v>
      </c>
      <c r="C19790" t="str">
        <v>-</v>
      </c>
      <c r="D19790" t="str">
        <v>-</v>
      </c>
      <c r="E19790" t="str">
        <v/>
      </c>
      <c r="F19790" t="str">
        <v>-</v>
      </c>
      <c r="G19790" t="str">
        <v>-</v>
      </c>
    </row>
    <row r="19791">
      <c r="B19791" t="str">
        <v>UBND Ủy ban nhân dân xã Xuân Mỹ  tỉnh Đồng Nai</v>
      </c>
      <c r="C19791" t="str">
        <v>-</v>
      </c>
      <c r="D19791" t="str">
        <v>-</v>
      </c>
      <c r="E19791" t="str">
        <v>-</v>
      </c>
      <c r="F19791" t="str">
        <v>-</v>
      </c>
      <c r="G19791" t="str">
        <v>-</v>
      </c>
    </row>
    <row r="19792">
      <c r="B19792" t="str">
        <v>Công an xã Thừa Đức  tỉnh Đồng Nai</v>
      </c>
      <c r="C19792" t="str">
        <v>-</v>
      </c>
      <c r="D19792" t="str">
        <v>-</v>
      </c>
      <c r="E19792" t="str">
        <v/>
      </c>
      <c r="F19792" t="str">
        <v>-</v>
      </c>
      <c r="G19792" t="str">
        <v>-</v>
      </c>
    </row>
    <row r="19793">
      <c r="B19793" t="str">
        <v>UBND Ủy ban nhân dân xã Thừa Đức  tỉnh Đồng Nai</v>
      </c>
      <c r="C19793" t="str">
        <v>-</v>
      </c>
      <c r="D19793" t="str">
        <v>-</v>
      </c>
      <c r="E19793" t="str">
        <v>-</v>
      </c>
      <c r="F19793" t="str">
        <v>-</v>
      </c>
      <c r="G19793" t="str">
        <v>-</v>
      </c>
    </row>
    <row r="19794">
      <c r="B19794" t="str">
        <v>Công an xã Bảo Bình  tỉnh Đồng Nai</v>
      </c>
      <c r="C19794" t="str">
        <v>-</v>
      </c>
      <c r="D19794" t="str">
        <v>-</v>
      </c>
      <c r="E19794" t="str">
        <v/>
      </c>
      <c r="F19794" t="str">
        <v>-</v>
      </c>
      <c r="G19794" t="str">
        <v>-</v>
      </c>
    </row>
    <row r="19795">
      <c r="B19795" t="str">
        <v>UBND Ủy ban nhân dân xã Bảo Bình  tỉnh Đồng Nai</v>
      </c>
      <c r="C19795" t="str">
        <v>-</v>
      </c>
      <c r="D19795" t="str">
        <v>-</v>
      </c>
      <c r="E19795" t="str">
        <v>-</v>
      </c>
      <c r="F19795" t="str">
        <v>-</v>
      </c>
      <c r="G19795" t="str">
        <v>-</v>
      </c>
    </row>
    <row r="19796">
      <c r="B19796" t="str">
        <v>Công an xã Xuân Bảo  tỉnh Đồng Nai</v>
      </c>
      <c r="C19796" t="str">
        <v>-</v>
      </c>
      <c r="D19796" t="str">
        <v>-</v>
      </c>
      <c r="E19796" t="str">
        <v/>
      </c>
      <c r="F19796" t="str">
        <v>-</v>
      </c>
      <c r="G19796" t="str">
        <v>-</v>
      </c>
    </row>
    <row r="19797">
      <c r="B19797" t="str">
        <v>UBND Ủy ban nhân dân xã Xuân Bảo  tỉnh Đồng Nai</v>
      </c>
      <c r="C19797" t="str">
        <v>-</v>
      </c>
      <c r="D19797" t="str">
        <v>-</v>
      </c>
      <c r="E19797" t="str">
        <v>-</v>
      </c>
      <c r="F19797" t="str">
        <v>-</v>
      </c>
      <c r="G19797" t="str">
        <v>-</v>
      </c>
    </row>
    <row r="19798">
      <c r="B19798" t="str">
        <v>Công an xã Xuân Tây  tỉnh Đồng Nai</v>
      </c>
      <c r="C19798" t="str">
        <v>-</v>
      </c>
      <c r="D19798" t="str">
        <v>-</v>
      </c>
      <c r="E19798" t="str">
        <v/>
      </c>
      <c r="F19798" t="str">
        <v>-</v>
      </c>
      <c r="G19798" t="str">
        <v>-</v>
      </c>
    </row>
    <row r="19799">
      <c r="B19799" t="str">
        <v>UBND Ủy ban nhân dân xã Xuân Tây  tỉnh Đồng Nai</v>
      </c>
      <c r="C19799" t="str">
        <v>-</v>
      </c>
      <c r="D19799" t="str">
        <v>-</v>
      </c>
      <c r="E19799" t="str">
        <v>-</v>
      </c>
      <c r="F19799" t="str">
        <v>-</v>
      </c>
      <c r="G19799" t="str">
        <v>-</v>
      </c>
    </row>
    <row r="19800">
      <c r="B19800" t="str">
        <v>Công an xã Xuân Đông  tỉnh Đồng Nai</v>
      </c>
      <c r="C19800" t="str">
        <v>-</v>
      </c>
      <c r="D19800" t="str">
        <v>-</v>
      </c>
      <c r="E19800" t="str">
        <v/>
      </c>
      <c r="F19800" t="str">
        <v>-</v>
      </c>
      <c r="G19800" t="str">
        <v>-</v>
      </c>
    </row>
    <row r="19801">
      <c r="B19801" t="str">
        <v>UBND Ủy ban nhân dân xã Xuân Đông  tỉnh Đồng Nai</v>
      </c>
      <c r="C19801" t="str">
        <v>-</v>
      </c>
      <c r="D19801" t="str">
        <v>-</v>
      </c>
      <c r="E19801" t="str">
        <v>-</v>
      </c>
      <c r="F19801" t="str">
        <v>-</v>
      </c>
      <c r="G19801" t="str">
        <v>-</v>
      </c>
    </row>
    <row r="19802">
      <c r="B19802" t="str">
        <v>Công an xã Sông Ray  tỉnh Đồng Nai</v>
      </c>
      <c r="C19802" t="str">
        <v>-</v>
      </c>
      <c r="D19802" t="str">
        <v>-</v>
      </c>
      <c r="E19802" t="str">
        <v/>
      </c>
      <c r="F19802" t="str">
        <v>-</v>
      </c>
      <c r="G19802" t="str">
        <v>-</v>
      </c>
    </row>
    <row r="19803">
      <c r="B19803" t="str">
        <v>UBND Ủy ban nhân dân xã Sông Ray  tỉnh Đồng Nai</v>
      </c>
      <c r="C19803" t="str">
        <v>-</v>
      </c>
      <c r="D19803" t="str">
        <v>-</v>
      </c>
      <c r="E19803" t="str">
        <v>-</v>
      </c>
      <c r="F19803" t="str">
        <v>-</v>
      </c>
      <c r="G19803" t="str">
        <v>-</v>
      </c>
    </row>
    <row r="19804">
      <c r="B19804" t="str">
        <v>Công an xã Lâm San  tỉnh Đồng Nai</v>
      </c>
      <c r="C19804" t="str">
        <v>-</v>
      </c>
      <c r="D19804" t="str">
        <v>-</v>
      </c>
      <c r="E19804" t="str">
        <v/>
      </c>
      <c r="F19804" t="str">
        <v>-</v>
      </c>
      <c r="G19804" t="str">
        <v>-</v>
      </c>
    </row>
    <row r="19805">
      <c r="B19805" t="str">
        <v>UBND Ủy ban nhân dân xã Lâm San  tỉnh Đồng Nai</v>
      </c>
      <c r="C19805" t="str">
        <v>-</v>
      </c>
      <c r="D19805" t="str">
        <v>-</v>
      </c>
      <c r="E19805" t="str">
        <v>-</v>
      </c>
      <c r="F19805" t="str">
        <v>-</v>
      </c>
      <c r="G19805" t="str">
        <v>-</v>
      </c>
    </row>
    <row r="19806">
      <c r="B19806" t="str">
        <v>Công an xã An Phước  tỉnh Đồng Nai</v>
      </c>
      <c r="C19806" t="str">
        <v>-</v>
      </c>
      <c r="D19806" t="str">
        <v>-</v>
      </c>
      <c r="E19806" t="str">
        <v/>
      </c>
      <c r="F19806" t="str">
        <v>-</v>
      </c>
      <c r="G19806" t="str">
        <v>-</v>
      </c>
    </row>
    <row r="19807">
      <c r="B19807" t="str">
        <v>UBND Ủy ban nhân dân xã An Phước  tỉnh Đồng Nai</v>
      </c>
      <c r="C19807" t="str">
        <v>-</v>
      </c>
      <c r="D19807" t="str">
        <v>-</v>
      </c>
      <c r="E19807" t="str">
        <v>-</v>
      </c>
      <c r="F19807" t="str">
        <v>-</v>
      </c>
      <c r="G19807" t="str">
        <v>-</v>
      </c>
    </row>
    <row r="19808">
      <c r="B19808" t="str">
        <v>Công an xã Bình An  tỉnh Đồng Nai</v>
      </c>
      <c r="C19808" t="str">
        <v>-</v>
      </c>
      <c r="D19808" t="str">
        <v>-</v>
      </c>
      <c r="E19808" t="str">
        <v/>
      </c>
      <c r="F19808" t="str">
        <v>-</v>
      </c>
      <c r="G19808" t="str">
        <v>-</v>
      </c>
    </row>
    <row r="19809">
      <c r="B19809" t="str">
        <v>UBND Ủy ban nhân dân xã Bình An  tỉnh Đồng Nai</v>
      </c>
      <c r="C19809" t="str">
        <v>-</v>
      </c>
      <c r="D19809" t="str">
        <v>-</v>
      </c>
      <c r="E19809" t="str">
        <v>-</v>
      </c>
      <c r="F19809" t="str">
        <v>-</v>
      </c>
      <c r="G19809" t="str">
        <v>-</v>
      </c>
    </row>
    <row r="19810">
      <c r="B19810" t="str">
        <v>Công an xã Long Đức  tỉnh Đồng Nai</v>
      </c>
      <c r="C19810" t="str">
        <v>-</v>
      </c>
      <c r="D19810" t="str">
        <v>-</v>
      </c>
      <c r="E19810" t="str">
        <v/>
      </c>
      <c r="F19810" t="str">
        <v>-</v>
      </c>
      <c r="G19810" t="str">
        <v>-</v>
      </c>
    </row>
    <row r="19811">
      <c r="B19811" t="str">
        <v>UBND Ủy ban nhân dân xã Long Đức  tỉnh Đồng Nai</v>
      </c>
      <c r="C19811" t="str">
        <v>-</v>
      </c>
      <c r="D19811" t="str">
        <v>-</v>
      </c>
      <c r="E19811" t="str">
        <v>-</v>
      </c>
      <c r="F19811" t="str">
        <v>-</v>
      </c>
      <c r="G19811" t="str">
        <v>-</v>
      </c>
    </row>
    <row r="19812">
      <c r="B19812" t="str">
        <v>Công an xã Lộc An  tỉnh Đồng Nai</v>
      </c>
      <c r="C19812" t="str">
        <v>-</v>
      </c>
      <c r="D19812" t="str">
        <v>-</v>
      </c>
      <c r="E19812" t="str">
        <v/>
      </c>
      <c r="F19812" t="str">
        <v>-</v>
      </c>
      <c r="G19812" t="str">
        <v>-</v>
      </c>
    </row>
    <row r="19813">
      <c r="B19813" t="str">
        <v>UBND Ủy ban nhân dân xã Lộc An  tỉnh Đồng Nai</v>
      </c>
      <c r="C19813" t="str">
        <v>-</v>
      </c>
      <c r="D19813" t="str">
        <v>-</v>
      </c>
      <c r="E19813" t="str">
        <v>-</v>
      </c>
      <c r="F19813" t="str">
        <v>-</v>
      </c>
      <c r="G19813" t="str">
        <v>-</v>
      </c>
    </row>
    <row r="19814">
      <c r="B19814" t="str">
        <v>Công an xã Bình Sơn  tỉnh Đồng Nai</v>
      </c>
      <c r="C19814" t="str">
        <v>-</v>
      </c>
      <c r="D19814" t="str">
        <v>-</v>
      </c>
      <c r="E19814" t="str">
        <v/>
      </c>
      <c r="F19814" t="str">
        <v>-</v>
      </c>
      <c r="G19814" t="str">
        <v>-</v>
      </c>
    </row>
    <row r="19815">
      <c r="B19815" t="str">
        <v>UBND Ủy ban nhân dân xã Bình Sơn  tỉnh Đồng Nai</v>
      </c>
      <c r="C19815" t="str">
        <v>-</v>
      </c>
      <c r="D19815" t="str">
        <v>-</v>
      </c>
      <c r="E19815" t="str">
        <v>-</v>
      </c>
      <c r="F19815" t="str">
        <v>-</v>
      </c>
      <c r="G19815" t="str">
        <v>-</v>
      </c>
    </row>
    <row r="19816">
      <c r="B19816" t="str">
        <v>Công an xã Tam An  tỉnh Đồng Nai</v>
      </c>
      <c r="C19816" t="str">
        <v>-</v>
      </c>
      <c r="D19816" t="str">
        <v>-</v>
      </c>
      <c r="E19816" t="str">
        <v/>
      </c>
      <c r="F19816" t="str">
        <v>-</v>
      </c>
      <c r="G19816" t="str">
        <v>-</v>
      </c>
    </row>
    <row r="19817">
      <c r="B19817" t="str">
        <v>UBND Ủy ban nhân dân xã Tam An  tỉnh Đồng Nai</v>
      </c>
      <c r="C19817" t="str">
        <v>-</v>
      </c>
      <c r="D19817" t="str">
        <v>-</v>
      </c>
      <c r="E19817" t="str">
        <v>-</v>
      </c>
      <c r="F19817" t="str">
        <v>-</v>
      </c>
      <c r="G19817" t="str">
        <v>-</v>
      </c>
    </row>
    <row r="19818">
      <c r="B19818" t="str">
        <v>Công an xã Cẩm Đường  tỉnh Đồng Nai</v>
      </c>
      <c r="C19818" t="str">
        <v>-</v>
      </c>
      <c r="D19818" t="str">
        <v>-</v>
      </c>
      <c r="E19818" t="str">
        <v/>
      </c>
      <c r="F19818" t="str">
        <v>-</v>
      </c>
      <c r="G19818" t="str">
        <v>-</v>
      </c>
    </row>
    <row r="19819">
      <c r="B19819" t="str">
        <v>UBND Ủy ban nhân dân xã Cẩm Đường  tỉnh Đồng Nai</v>
      </c>
      <c r="C19819" t="str">
        <v>-</v>
      </c>
      <c r="D19819" t="str">
        <v>-</v>
      </c>
      <c r="E19819" t="str">
        <v>-</v>
      </c>
      <c r="F19819" t="str">
        <v>-</v>
      </c>
      <c r="G19819" t="str">
        <v>-</v>
      </c>
    </row>
    <row r="19820">
      <c r="B19820" t="str">
        <v>Công an xã Long An  tỉnh Đồng Nai</v>
      </c>
      <c r="C19820" t="str">
        <v>-</v>
      </c>
      <c r="D19820" t="str">
        <v>-</v>
      </c>
      <c r="E19820" t="str">
        <v/>
      </c>
      <c r="F19820" t="str">
        <v>-</v>
      </c>
      <c r="G19820" t="str">
        <v>-</v>
      </c>
    </row>
    <row r="19821">
      <c r="B19821" t="str">
        <v>UBND Ủy ban nhân dân xã Long An  tỉnh Đồng Nai</v>
      </c>
      <c r="C19821" t="str">
        <v>-</v>
      </c>
      <c r="D19821" t="str">
        <v>-</v>
      </c>
      <c r="E19821" t="str">
        <v>-</v>
      </c>
      <c r="F19821" t="str">
        <v>-</v>
      </c>
      <c r="G19821" t="str">
        <v>-</v>
      </c>
    </row>
    <row r="19822">
      <c r="B19822" t="str">
        <v>Công an xã Suối Trầu  tỉnh Đồng Nai</v>
      </c>
      <c r="C19822" t="str">
        <v>-</v>
      </c>
      <c r="D19822" t="str">
        <v>-</v>
      </c>
      <c r="E19822" t="str">
        <v/>
      </c>
      <c r="F19822" t="str">
        <v>-</v>
      </c>
      <c r="G19822" t="str">
        <v>-</v>
      </c>
    </row>
    <row r="19823">
      <c r="B19823" t="str">
        <v>UBND Ủy ban nhân dân xã Suối Trầu  tỉnh Đồng Nai</v>
      </c>
      <c r="C19823" t="str">
        <v>-</v>
      </c>
      <c r="D19823" t="str">
        <v>-</v>
      </c>
      <c r="E19823" t="str">
        <v>-</v>
      </c>
      <c r="F19823" t="str">
        <v>-</v>
      </c>
      <c r="G19823" t="str">
        <v>-</v>
      </c>
    </row>
    <row r="19824">
      <c r="B19824" t="str">
        <v>Công an xã Bàu Cạn  tỉnh Đồng Nai</v>
      </c>
      <c r="C19824" t="str">
        <v>-</v>
      </c>
      <c r="D19824" t="str">
        <v>-</v>
      </c>
      <c r="E19824" t="str">
        <v/>
      </c>
      <c r="F19824" t="str">
        <v>-</v>
      </c>
      <c r="G19824" t="str">
        <v>-</v>
      </c>
    </row>
    <row r="19825">
      <c r="B19825" t="str">
        <v>UBND Ủy ban nhân dân xã Bàu Cạn  tỉnh Đồng Nai</v>
      </c>
      <c r="C19825" t="str">
        <v>-</v>
      </c>
      <c r="D19825" t="str">
        <v>-</v>
      </c>
      <c r="E19825" t="str">
        <v>-</v>
      </c>
      <c r="F19825" t="str">
        <v>-</v>
      </c>
      <c r="G19825" t="str">
        <v>-</v>
      </c>
    </row>
    <row r="19826">
      <c r="B19826" t="str">
        <v>Công an xã Long Phước  tỉnh Đồng Nai</v>
      </c>
      <c r="C19826" t="str">
        <v>-</v>
      </c>
      <c r="D19826" t="str">
        <v>-</v>
      </c>
      <c r="E19826" t="str">
        <v/>
      </c>
      <c r="F19826" t="str">
        <v>-</v>
      </c>
      <c r="G19826" t="str">
        <v>-</v>
      </c>
    </row>
    <row r="19827">
      <c r="B19827" t="str">
        <v>UBND Ủy ban nhân dân xã Long Phước  tỉnh Đồng Nai</v>
      </c>
      <c r="C19827" t="str">
        <v>-</v>
      </c>
      <c r="D19827" t="str">
        <v>-</v>
      </c>
      <c r="E19827" t="str">
        <v>-</v>
      </c>
      <c r="F19827" t="str">
        <v>-</v>
      </c>
      <c r="G19827" t="str">
        <v>-</v>
      </c>
    </row>
    <row r="19828">
      <c r="B19828" t="str">
        <v>Công an xã Phước Bình  tỉnh Đồng Nai</v>
      </c>
      <c r="C19828" t="str">
        <v>-</v>
      </c>
      <c r="D19828" t="str">
        <v>-</v>
      </c>
      <c r="E19828" t="str">
        <v/>
      </c>
      <c r="F19828" t="str">
        <v>-</v>
      </c>
      <c r="G19828" t="str">
        <v>-</v>
      </c>
    </row>
    <row r="19829">
      <c r="B19829" t="str">
        <v>UBND Ủy ban nhân dân xã Phước Bình  tỉnh Đồng Nai</v>
      </c>
      <c r="C19829" t="str">
        <v>-</v>
      </c>
      <c r="D19829" t="str">
        <v>-</v>
      </c>
      <c r="E19829" t="str">
        <v>-</v>
      </c>
      <c r="F19829" t="str">
        <v>-</v>
      </c>
      <c r="G19829" t="str">
        <v>-</v>
      </c>
    </row>
    <row r="19830">
      <c r="B19830" t="str">
        <v>Công an xã Tân Hiệp  tỉnh Đồng Nai</v>
      </c>
      <c r="C19830" t="str">
        <v>-</v>
      </c>
      <c r="D19830" t="str">
        <v>-</v>
      </c>
      <c r="E19830" t="str">
        <v/>
      </c>
      <c r="F19830" t="str">
        <v>-</v>
      </c>
      <c r="G19830" t="str">
        <v>-</v>
      </c>
    </row>
    <row r="19831">
      <c r="B19831" t="str">
        <v>UBND Ủy ban nhân dân xã Tân Hiệp  tỉnh Đồng Nai</v>
      </c>
      <c r="C19831" t="str">
        <v>-</v>
      </c>
      <c r="D19831" t="str">
        <v>-</v>
      </c>
      <c r="E19831" t="str">
        <v>-</v>
      </c>
      <c r="F19831" t="str">
        <v>-</v>
      </c>
      <c r="G19831" t="str">
        <v>-</v>
      </c>
    </row>
    <row r="19832">
      <c r="B19832" t="str">
        <v>Công an xã Phước Thái  tỉnh Đồng Nai</v>
      </c>
      <c r="C19832" t="str">
        <v>-</v>
      </c>
      <c r="D19832" t="str">
        <v>-</v>
      </c>
      <c r="E19832" t="str">
        <v/>
      </c>
      <c r="F19832" t="str">
        <v>-</v>
      </c>
      <c r="G19832" t="str">
        <v>-</v>
      </c>
    </row>
    <row r="19833">
      <c r="B19833" t="str">
        <v>UBND Ủy ban nhân dân xã Phước Thái  tỉnh Đồng Nai</v>
      </c>
      <c r="C19833" t="str">
        <v>-</v>
      </c>
      <c r="D19833" t="str">
        <v>-</v>
      </c>
      <c r="E19833" t="str">
        <v>-</v>
      </c>
      <c r="F19833" t="str">
        <v>-</v>
      </c>
      <c r="G19833" t="str">
        <v>-</v>
      </c>
    </row>
    <row r="19834">
      <c r="B19834" t="str">
        <v>Công an xã Xuân Bắc  tỉnh Đồng Nai</v>
      </c>
      <c r="C19834" t="str">
        <v>-</v>
      </c>
      <c r="D19834" t="str">
        <v>-</v>
      </c>
      <c r="E19834" t="str">
        <v/>
      </c>
      <c r="F19834" t="str">
        <v>-</v>
      </c>
      <c r="G19834" t="str">
        <v>-</v>
      </c>
    </row>
    <row r="19835">
      <c r="B19835" t="str">
        <v>UBND Ủy ban nhân dân xã Xuân Bắc  tỉnh Đồng Nai</v>
      </c>
      <c r="C19835" t="str">
        <v>-</v>
      </c>
      <c r="D19835" t="str">
        <v>-</v>
      </c>
      <c r="E19835" t="str">
        <v>-</v>
      </c>
      <c r="F19835" t="str">
        <v>-</v>
      </c>
      <c r="G19835" t="str">
        <v>-</v>
      </c>
    </row>
    <row r="19836">
      <c r="B19836" t="str">
        <v>Công an xã Suối Cao  tỉnh Đồng Nai</v>
      </c>
      <c r="C19836" t="str">
        <v>-</v>
      </c>
      <c r="D19836" t="str">
        <v>-</v>
      </c>
      <c r="E19836" t="str">
        <v/>
      </c>
      <c r="F19836" t="str">
        <v>-</v>
      </c>
      <c r="G19836" t="str">
        <v>-</v>
      </c>
    </row>
    <row r="19837">
      <c r="B19837" t="str">
        <v>UBND Ủy ban nhân dân xã Suối Cao  tỉnh Đồng Nai</v>
      </c>
      <c r="C19837" t="str">
        <v>-</v>
      </c>
      <c r="D19837" t="str">
        <v>-</v>
      </c>
      <c r="E19837" t="str">
        <v>-</v>
      </c>
      <c r="F19837" t="str">
        <v>-</v>
      </c>
      <c r="G19837" t="str">
        <v>-</v>
      </c>
    </row>
    <row r="19838">
      <c r="B19838" t="str">
        <v>Công an xã Xuân Thành  tỉnh Đồng Nai</v>
      </c>
      <c r="C19838" t="str">
        <v>-</v>
      </c>
      <c r="D19838" t="str">
        <v>-</v>
      </c>
      <c r="E19838" t="str">
        <v/>
      </c>
      <c r="F19838" t="str">
        <v>-</v>
      </c>
      <c r="G19838" t="str">
        <v>-</v>
      </c>
    </row>
    <row r="19839">
      <c r="B19839" t="str">
        <v>UBND Ủy ban nhân dân xã Xuân Thành  tỉnh Đồng Nai</v>
      </c>
      <c r="C19839" t="str">
        <v>-</v>
      </c>
      <c r="D19839" t="str">
        <v>-</v>
      </c>
      <c r="E19839" t="str">
        <v>-</v>
      </c>
      <c r="F19839" t="str">
        <v>-</v>
      </c>
      <c r="G19839" t="str">
        <v>-</v>
      </c>
    </row>
    <row r="19840">
      <c r="B19840" t="str">
        <v>Công an xã Xuân Thọ  tỉnh Đồng Nai</v>
      </c>
      <c r="C19840" t="str">
        <v>-</v>
      </c>
      <c r="D19840" t="str">
        <v>-</v>
      </c>
      <c r="E19840" t="str">
        <v/>
      </c>
      <c r="F19840" t="str">
        <v>-</v>
      </c>
      <c r="G19840" t="str">
        <v>-</v>
      </c>
    </row>
    <row r="19841">
      <c r="B19841" t="str">
        <v>UBND Ủy ban nhân dân xã Xuân Thọ  tỉnh Đồng Nai</v>
      </c>
      <c r="C19841" t="str">
        <v>-</v>
      </c>
      <c r="D19841" t="str">
        <v>-</v>
      </c>
      <c r="E19841" t="str">
        <v>-</v>
      </c>
      <c r="F19841" t="str">
        <v>-</v>
      </c>
      <c r="G19841" t="str">
        <v>-</v>
      </c>
    </row>
    <row r="19842">
      <c r="B19842" t="str">
        <v>Công an xã Xuân Trường  tỉnh Đồng Nai</v>
      </c>
      <c r="C19842" t="str">
        <v>-</v>
      </c>
      <c r="D19842" t="str">
        <v>-</v>
      </c>
      <c r="E19842" t="str">
        <v/>
      </c>
      <c r="F19842" t="str">
        <v>-</v>
      </c>
      <c r="G19842" t="str">
        <v>-</v>
      </c>
    </row>
    <row r="19843">
      <c r="B19843" t="str">
        <v>UBND Ủy ban nhân dân xã Xuân Trường  tỉnh Đồng Nai</v>
      </c>
      <c r="C19843" t="str">
        <v>-</v>
      </c>
      <c r="D19843" t="str">
        <v>-</v>
      </c>
      <c r="E19843" t="str">
        <v>-</v>
      </c>
      <c r="F19843" t="str">
        <v>-</v>
      </c>
      <c r="G19843" t="str">
        <v>-</v>
      </c>
    </row>
    <row r="19844">
      <c r="B19844" t="str">
        <v>Công an xã Xuân Hòa  tỉnh Đồng Nai</v>
      </c>
      <c r="C19844" t="str">
        <v>-</v>
      </c>
      <c r="D19844" t="str">
        <v>-</v>
      </c>
      <c r="E19844" t="str">
        <v/>
      </c>
      <c r="F19844" t="str">
        <v>-</v>
      </c>
      <c r="G19844" t="str">
        <v>-</v>
      </c>
    </row>
    <row r="19845">
      <c r="B19845" t="str">
        <v>UBND Ủy ban nhân dân xã Xuân Hòa  tỉnh Đồng Nai</v>
      </c>
      <c r="C19845" t="str">
        <v>-</v>
      </c>
      <c r="D19845" t="str">
        <v>-</v>
      </c>
      <c r="E19845" t="str">
        <v>-</v>
      </c>
      <c r="F19845" t="str">
        <v>-</v>
      </c>
      <c r="G19845" t="str">
        <v>-</v>
      </c>
    </row>
    <row r="19846">
      <c r="B19846" t="str">
        <v>Công an xã Xuân Hưng  tỉnh Đồng Nai</v>
      </c>
      <c r="C19846" t="str">
        <v>-</v>
      </c>
      <c r="D19846" t="str">
        <v>-</v>
      </c>
      <c r="E19846" t="str">
        <v/>
      </c>
      <c r="F19846" t="str">
        <v>-</v>
      </c>
      <c r="G19846" t="str">
        <v>-</v>
      </c>
    </row>
    <row r="19847">
      <c r="B19847" t="str">
        <v>UBND Ủy ban nhân dân xã Xuân Hưng  tỉnh Đồng Nai</v>
      </c>
      <c r="C19847" t="str">
        <v>-</v>
      </c>
      <c r="D19847" t="str">
        <v>-</v>
      </c>
      <c r="E19847" t="str">
        <v>-</v>
      </c>
      <c r="F19847" t="str">
        <v>-</v>
      </c>
      <c r="G19847" t="str">
        <v>-</v>
      </c>
    </row>
    <row r="19848">
      <c r="B19848" t="str">
        <v>Công an xã Xuân Tâm  tỉnh Đồng Nai</v>
      </c>
      <c r="C19848" t="str">
        <v>-</v>
      </c>
      <c r="D19848" t="str">
        <v>-</v>
      </c>
      <c r="E19848" t="str">
        <v/>
      </c>
      <c r="F19848" t="str">
        <v>-</v>
      </c>
      <c r="G19848" t="str">
        <v>-</v>
      </c>
    </row>
    <row r="19849">
      <c r="B19849" t="str">
        <v>UBND Ủy ban nhân dân xã Xuân Tâm  tỉnh Đồng Nai</v>
      </c>
      <c r="C19849" t="str">
        <v>-</v>
      </c>
      <c r="D19849" t="str">
        <v>-</v>
      </c>
      <c r="E19849" t="str">
        <v>-</v>
      </c>
      <c r="F19849" t="str">
        <v>-</v>
      </c>
      <c r="G19849" t="str">
        <v>-</v>
      </c>
    </row>
    <row r="19850">
      <c r="B19850" t="str">
        <v>Công an xã Suối Cát  tỉnh Đồng Nai</v>
      </c>
      <c r="C19850" t="str">
        <v>-</v>
      </c>
      <c r="D19850" t="str">
        <v>-</v>
      </c>
      <c r="E19850" t="str">
        <v/>
      </c>
      <c r="F19850" t="str">
        <v>-</v>
      </c>
      <c r="G19850" t="str">
        <v>-</v>
      </c>
    </row>
    <row r="19851">
      <c r="B19851" t="str">
        <v>UBND Ủy ban nhân dân xã Suối Cát  tỉnh Đồng Nai</v>
      </c>
      <c r="C19851" t="str">
        <v>-</v>
      </c>
      <c r="D19851" t="str">
        <v>-</v>
      </c>
      <c r="E19851" t="str">
        <v>-</v>
      </c>
      <c r="F19851" t="str">
        <v>-</v>
      </c>
      <c r="G19851" t="str">
        <v>-</v>
      </c>
    </row>
    <row r="19852">
      <c r="B19852" t="str">
        <v>Công an xã Xuân Hiệp  tỉnh Đồng Nai</v>
      </c>
      <c r="C19852" t="str">
        <v>-</v>
      </c>
      <c r="D19852" t="str">
        <v>-</v>
      </c>
      <c r="E19852" t="str">
        <v/>
      </c>
      <c r="F19852" t="str">
        <v>-</v>
      </c>
      <c r="G19852" t="str">
        <v>-</v>
      </c>
    </row>
    <row r="19853">
      <c r="B19853" t="str">
        <v>UBND Ủy ban nhân dân xã Xuân Hiệp  tỉnh Đồng Nai</v>
      </c>
      <c r="C19853" t="str">
        <v>-</v>
      </c>
      <c r="D19853" t="str">
        <v>-</v>
      </c>
      <c r="E19853" t="str">
        <v>-</v>
      </c>
      <c r="F19853" t="str">
        <v>-</v>
      </c>
      <c r="G19853" t="str">
        <v>-</v>
      </c>
    </row>
    <row r="19854">
      <c r="B19854" t="str">
        <v>Công an xã Xuân Phú  tỉnh Đồng Nai</v>
      </c>
      <c r="C19854" t="str">
        <v>-</v>
      </c>
      <c r="D19854" t="str">
        <v>-</v>
      </c>
      <c r="E19854" t="str">
        <v/>
      </c>
      <c r="F19854" t="str">
        <v>-</v>
      </c>
      <c r="G19854" t="str">
        <v>-</v>
      </c>
    </row>
    <row r="19855">
      <c r="B19855" t="str">
        <v>UBND Ủy ban nhân dân xã Xuân Phú  tỉnh Đồng Nai</v>
      </c>
      <c r="C19855" t="str">
        <v>-</v>
      </c>
      <c r="D19855" t="str">
        <v>-</v>
      </c>
      <c r="E19855" t="str">
        <v>-</v>
      </c>
      <c r="F19855" t="str">
        <v>-</v>
      </c>
      <c r="G19855" t="str">
        <v>-</v>
      </c>
    </row>
    <row r="19856">
      <c r="B19856" t="str">
        <v>Công an xã Xuân Định  tỉnh Đồng Nai</v>
      </c>
      <c r="C19856" t="str">
        <v>-</v>
      </c>
      <c r="D19856" t="str">
        <v>-</v>
      </c>
      <c r="E19856" t="str">
        <v/>
      </c>
      <c r="F19856" t="str">
        <v>-</v>
      </c>
      <c r="G19856" t="str">
        <v>-</v>
      </c>
    </row>
    <row r="19857">
      <c r="B19857" t="str">
        <v>UBND Ủy ban nhân dân xã Xuân Định  tỉnh Đồng Nai</v>
      </c>
      <c r="C19857" t="str">
        <v>-</v>
      </c>
      <c r="D19857" t="str">
        <v>-</v>
      </c>
      <c r="E19857" t="str">
        <v>-</v>
      </c>
      <c r="F19857" t="str">
        <v>-</v>
      </c>
      <c r="G19857" t="str">
        <v>-</v>
      </c>
    </row>
    <row r="19858">
      <c r="B19858" t="str">
        <v>Công an xã Bảo Hoà  tỉnh Đồng Nai</v>
      </c>
      <c r="C19858" t="str">
        <v>-</v>
      </c>
      <c r="D19858" t="str">
        <v>-</v>
      </c>
      <c r="E19858" t="str">
        <v/>
      </c>
      <c r="F19858" t="str">
        <v>-</v>
      </c>
      <c r="G19858" t="str">
        <v>-</v>
      </c>
    </row>
    <row r="19859">
      <c r="B19859" t="str">
        <v>UBND Ủy ban nhân dân xã Bảo Hoà  tỉnh Đồng Nai</v>
      </c>
      <c r="C19859" t="str">
        <v>-</v>
      </c>
      <c r="D19859" t="str">
        <v>-</v>
      </c>
      <c r="E19859" t="str">
        <v>-</v>
      </c>
      <c r="F19859" t="str">
        <v>-</v>
      </c>
      <c r="G19859" t="str">
        <v>-</v>
      </c>
    </row>
    <row r="19860">
      <c r="B19860" t="str">
        <v>Công an xã Lang Minh  tỉnh Đồng Nai</v>
      </c>
      <c r="C19860" t="str">
        <v>-</v>
      </c>
      <c r="D19860" t="str">
        <v>-</v>
      </c>
      <c r="E19860" t="str">
        <v/>
      </c>
      <c r="F19860" t="str">
        <v>-</v>
      </c>
      <c r="G19860" t="str">
        <v>-</v>
      </c>
    </row>
    <row r="19861">
      <c r="B19861" t="str">
        <v>UBND Ủy ban nhân dân xã Lang Minh  tỉnh Đồng Nai</v>
      </c>
      <c r="C19861" t="str">
        <v>-</v>
      </c>
      <c r="D19861" t="str">
        <v>-</v>
      </c>
      <c r="E19861" t="str">
        <v>-</v>
      </c>
      <c r="F19861" t="str">
        <v>-</v>
      </c>
      <c r="G19861" t="str">
        <v>-</v>
      </c>
    </row>
    <row r="19862">
      <c r="B19862" t="str">
        <v>Công an xã Phước Thiền  tỉnh Đồng Nai</v>
      </c>
      <c r="C19862" t="str">
        <v>-</v>
      </c>
      <c r="D19862" t="str">
        <v>-</v>
      </c>
      <c r="E19862" t="str">
        <v/>
      </c>
      <c r="F19862" t="str">
        <v>-</v>
      </c>
      <c r="G19862" t="str">
        <v>-</v>
      </c>
    </row>
    <row r="19863">
      <c r="B19863" t="str">
        <v>UBND Ủy ban nhân dân xã Phước Thiền  tỉnh Đồng Nai</v>
      </c>
      <c r="C19863" t="str">
        <v>-</v>
      </c>
      <c r="D19863" t="str">
        <v>-</v>
      </c>
      <c r="E19863" t="str">
        <v>-</v>
      </c>
      <c r="F19863" t="str">
        <v>-</v>
      </c>
      <c r="G19863" t="str">
        <v>-</v>
      </c>
    </row>
    <row r="19864">
      <c r="B19864" t="str">
        <v>Công an xã Long Tân  tỉnh Đồng Nai</v>
      </c>
      <c r="C19864" t="str">
        <v>-</v>
      </c>
      <c r="D19864" t="str">
        <v>-</v>
      </c>
      <c r="E19864" t="str">
        <v/>
      </c>
      <c r="F19864" t="str">
        <v>-</v>
      </c>
      <c r="G19864" t="str">
        <v>-</v>
      </c>
    </row>
    <row r="19865">
      <c r="B19865" t="str">
        <v>UBND Ủy ban nhân dân xã Long Tân  tỉnh Đồng Nai</v>
      </c>
      <c r="C19865" t="str">
        <v>-</v>
      </c>
      <c r="D19865" t="str">
        <v>-</v>
      </c>
      <c r="E19865" t="str">
        <v>-</v>
      </c>
      <c r="F19865" t="str">
        <v>-</v>
      </c>
      <c r="G19865" t="str">
        <v>-</v>
      </c>
    </row>
    <row r="19866">
      <c r="B19866" t="str">
        <v>Công an xã Đại Phước  tỉnh Đồng Nai</v>
      </c>
      <c r="C19866" t="str">
        <v>-</v>
      </c>
      <c r="D19866" t="str">
        <v>-</v>
      </c>
      <c r="E19866" t="str">
        <v/>
      </c>
      <c r="F19866" t="str">
        <v>-</v>
      </c>
      <c r="G19866" t="str">
        <v>-</v>
      </c>
    </row>
    <row r="19867">
      <c r="B19867" t="str">
        <v>UBND Ủy ban nhân dân xã Đại Phước  tỉnh Đồng Nai</v>
      </c>
      <c r="C19867" t="str">
        <v>-</v>
      </c>
      <c r="D19867" t="str">
        <v>-</v>
      </c>
      <c r="E19867" t="str">
        <v>-</v>
      </c>
      <c r="F19867" t="str">
        <v>-</v>
      </c>
      <c r="G19867" t="str">
        <v>-</v>
      </c>
    </row>
    <row r="19868">
      <c r="B19868" t="str">
        <v>Công an xã Hiệp Phước  tỉnh Đồng Nai</v>
      </c>
      <c r="C19868" t="str">
        <v>-</v>
      </c>
      <c r="D19868" t="str">
        <v>-</v>
      </c>
      <c r="E19868" t="str">
        <v/>
      </c>
      <c r="F19868" t="str">
        <v>-</v>
      </c>
      <c r="G19868" t="str">
        <v>-</v>
      </c>
    </row>
    <row r="19869">
      <c r="B19869" t="str">
        <v>UBND Ủy ban nhân dân xã Hiệp Phước  tỉnh Đồng Nai</v>
      </c>
      <c r="C19869" t="str">
        <v>-</v>
      </c>
      <c r="D19869" t="str">
        <v>-</v>
      </c>
      <c r="E19869" t="str">
        <v>-</v>
      </c>
      <c r="F19869" t="str">
        <v>-</v>
      </c>
      <c r="G19869" t="str">
        <v>-</v>
      </c>
    </row>
    <row r="19870">
      <c r="B19870" t="str">
        <v>Công an xã Phú Hữu  tỉnh Đồng Nai</v>
      </c>
      <c r="C19870" t="str">
        <v>-</v>
      </c>
      <c r="D19870" t="str">
        <v>-</v>
      </c>
      <c r="E19870" t="str">
        <v/>
      </c>
      <c r="F19870" t="str">
        <v>-</v>
      </c>
      <c r="G19870" t="str">
        <v>-</v>
      </c>
    </row>
    <row r="19871">
      <c r="B19871" t="str">
        <v>UBND Ủy ban nhân dân xã Phú Hữu  tỉnh Đồng Nai</v>
      </c>
      <c r="C19871" t="str">
        <v>-</v>
      </c>
      <c r="D19871" t="str">
        <v>-</v>
      </c>
      <c r="E19871" t="str">
        <v>-</v>
      </c>
      <c r="F19871" t="str">
        <v>-</v>
      </c>
      <c r="G19871" t="str">
        <v>-</v>
      </c>
    </row>
    <row r="19872">
      <c r="B19872" t="str">
        <v>Công an xã Phú Hội  tỉnh Đồng Nai</v>
      </c>
      <c r="C19872" t="str">
        <v>-</v>
      </c>
      <c r="D19872" t="str">
        <v>-</v>
      </c>
      <c r="E19872" t="str">
        <v/>
      </c>
      <c r="F19872" t="str">
        <v>-</v>
      </c>
      <c r="G19872" t="str">
        <v>-</v>
      </c>
    </row>
    <row r="19873">
      <c r="B19873" t="str">
        <v>UBND Ủy ban nhân dân xã Phú Hội  tỉnh Đồng Nai</v>
      </c>
      <c r="C19873" t="str">
        <v>-</v>
      </c>
      <c r="D19873" t="str">
        <v>-</v>
      </c>
      <c r="E19873" t="str">
        <v>-</v>
      </c>
      <c r="F19873" t="str">
        <v>-</v>
      </c>
      <c r="G19873" t="str">
        <v>-</v>
      </c>
    </row>
    <row r="19874">
      <c r="B19874" t="str">
        <v>Công an xã Phú Thạnh  tỉnh Đồng Nai</v>
      </c>
      <c r="C19874" t="str">
        <v>-</v>
      </c>
      <c r="D19874" t="str">
        <v>-</v>
      </c>
      <c r="E19874" t="str">
        <v/>
      </c>
      <c r="F19874" t="str">
        <v>-</v>
      </c>
      <c r="G19874" t="str">
        <v>-</v>
      </c>
    </row>
    <row r="19875">
      <c r="B19875" t="str">
        <v>UBND Ủy ban nhân dân xã Phú Thạnh  tỉnh Đồng Nai</v>
      </c>
      <c r="C19875" t="str">
        <v>-</v>
      </c>
      <c r="D19875" t="str">
        <v>-</v>
      </c>
      <c r="E19875" t="str">
        <v>-</v>
      </c>
      <c r="F19875" t="str">
        <v>-</v>
      </c>
      <c r="G19875" t="str">
        <v>-</v>
      </c>
    </row>
    <row r="19876">
      <c r="B19876" t="str">
        <v>Công an xã Phú Đông  tỉnh Đồng Nai</v>
      </c>
      <c r="C19876" t="str">
        <v>-</v>
      </c>
      <c r="D19876" t="str">
        <v>-</v>
      </c>
      <c r="E19876" t="str">
        <v/>
      </c>
      <c r="F19876" t="str">
        <v>-</v>
      </c>
      <c r="G19876" t="str">
        <v>-</v>
      </c>
    </row>
    <row r="19877">
      <c r="B19877" t="str">
        <v>UBND Ủy ban nhân dân xã Phú Đông  tỉnh Đồng Nai</v>
      </c>
      <c r="C19877" t="str">
        <v>-</v>
      </c>
      <c r="D19877" t="str">
        <v>-</v>
      </c>
      <c r="E19877" t="str">
        <v>-</v>
      </c>
      <c r="F19877" t="str">
        <v>-</v>
      </c>
      <c r="G19877" t="str">
        <v>-</v>
      </c>
    </row>
    <row r="19878">
      <c r="B19878" t="str">
        <v>Công an xã Long Thọ  tỉnh Đồng Nai</v>
      </c>
      <c r="C19878" t="str">
        <v>-</v>
      </c>
      <c r="D19878" t="str">
        <v>-</v>
      </c>
      <c r="E19878" t="str">
        <v/>
      </c>
      <c r="F19878" t="str">
        <v>-</v>
      </c>
      <c r="G19878" t="str">
        <v>-</v>
      </c>
    </row>
    <row r="19879">
      <c r="B19879" t="str">
        <v>UBND Ủy ban nhân dân xã Long Thọ  tỉnh Đồng Nai</v>
      </c>
      <c r="C19879" t="str">
        <v>-</v>
      </c>
      <c r="D19879" t="str">
        <v>-</v>
      </c>
      <c r="E19879" t="str">
        <v>-</v>
      </c>
      <c r="F19879" t="str">
        <v>-</v>
      </c>
      <c r="G19879" t="str">
        <v>-</v>
      </c>
    </row>
    <row r="19880">
      <c r="B19880" t="str">
        <v>Công an xã Vĩnh Thanh  tỉnh Đồng Nai</v>
      </c>
      <c r="C19880" t="str">
        <v>-</v>
      </c>
      <c r="D19880" t="str">
        <v>-</v>
      </c>
      <c r="E19880" t="str">
        <v/>
      </c>
      <c r="F19880" t="str">
        <v>-</v>
      </c>
      <c r="G19880" t="str">
        <v>-</v>
      </c>
    </row>
    <row r="19881">
      <c r="B19881" t="str">
        <v>UBND Ủy ban nhân dân xã Vĩnh Thanh  tỉnh Đồng Nai</v>
      </c>
      <c r="C19881" t="str">
        <v>-</v>
      </c>
      <c r="D19881" t="str">
        <v>-</v>
      </c>
      <c r="E19881" t="str">
        <v>-</v>
      </c>
      <c r="F19881" t="str">
        <v>-</v>
      </c>
      <c r="G19881" t="str">
        <v>-</v>
      </c>
    </row>
    <row r="19882">
      <c r="B19882" t="str">
        <v>Công an xã Phước Khánh  tỉnh Đồng Nai</v>
      </c>
      <c r="C19882" t="str">
        <v>-</v>
      </c>
      <c r="D19882" t="str">
        <v>-</v>
      </c>
      <c r="E19882" t="str">
        <v/>
      </c>
      <c r="F19882" t="str">
        <v>-</v>
      </c>
      <c r="G19882" t="str">
        <v>-</v>
      </c>
    </row>
    <row r="19883">
      <c r="B19883" t="str">
        <v>UBND Ủy ban nhân dân xã Phước Khánh  tỉnh Đồng Nai</v>
      </c>
      <c r="C19883" t="str">
        <v>-</v>
      </c>
      <c r="D19883" t="str">
        <v>-</v>
      </c>
      <c r="E19883" t="str">
        <v>-</v>
      </c>
      <c r="F19883" t="str">
        <v>-</v>
      </c>
      <c r="G19883" t="str">
        <v>-</v>
      </c>
    </row>
    <row r="19884">
      <c r="B19884" t="str">
        <v>Công an xã Phước An  tỉnh Đồng Nai</v>
      </c>
      <c r="C19884" t="str">
        <v>-</v>
      </c>
      <c r="D19884" t="str">
        <v>-</v>
      </c>
      <c r="E19884" t="str">
        <v/>
      </c>
      <c r="F19884" t="str">
        <v>-</v>
      </c>
      <c r="G19884" t="str">
        <v>-</v>
      </c>
    </row>
    <row r="19885">
      <c r="B19885" t="str">
        <v>UBND Ủy ban nhân dân xã Phước An  tỉnh Đồng Nai</v>
      </c>
      <c r="C19885" t="str">
        <v>-</v>
      </c>
      <c r="D19885" t="str">
        <v>-</v>
      </c>
      <c r="E19885" t="str">
        <v>-</v>
      </c>
      <c r="F19885" t="str">
        <v>-</v>
      </c>
      <c r="G19885" t="str">
        <v>-</v>
      </c>
    </row>
    <row r="19886">
      <c r="B19886" t="str">
        <v>Công an phường 1  tỉnh Bà Rịa - Vũng Tàu</v>
      </c>
      <c r="C19886" t="str">
        <v>-</v>
      </c>
      <c r="D19886" t="str">
        <v>-</v>
      </c>
      <c r="E19886" t="str">
        <v/>
      </c>
      <c r="F19886" t="str">
        <v>-</v>
      </c>
      <c r="G19886" t="str">
        <v>-</v>
      </c>
    </row>
    <row r="19887">
      <c r="B19887" t="str">
        <v>UBND Ủy ban nhân dân phường 1  tỉnh Bà Rịa - Vũng Tàu</v>
      </c>
      <c r="C19887" t="str">
        <v>-</v>
      </c>
      <c r="D19887" t="str">
        <v>-</v>
      </c>
      <c r="E19887" t="str">
        <v>-</v>
      </c>
      <c r="F19887" t="str">
        <v>-</v>
      </c>
      <c r="G19887" t="str">
        <v>-</v>
      </c>
    </row>
    <row r="19888">
      <c r="B19888" t="str">
        <v>Công an phường Thắng Tam  tỉnh Bà Rịa - Vũng Tàu</v>
      </c>
      <c r="C19888" t="str">
        <v>-</v>
      </c>
      <c r="D19888" t="str">
        <v>-</v>
      </c>
      <c r="E19888" t="str">
        <v/>
      </c>
      <c r="F19888" t="str">
        <v>-</v>
      </c>
      <c r="G19888" t="str">
        <v>-</v>
      </c>
    </row>
    <row r="19889">
      <c r="B19889" t="str">
        <v>UBND Ủy ban nhân dân phường Thắng Tam  tỉnh Bà Rịa - Vũng Tàu</v>
      </c>
      <c r="C19889" t="str">
        <v>-</v>
      </c>
      <c r="D19889" t="str">
        <v>-</v>
      </c>
      <c r="E19889" t="str">
        <v>-</v>
      </c>
      <c r="F19889" t="str">
        <v>-</v>
      </c>
      <c r="G19889" t="str">
        <v>-</v>
      </c>
    </row>
    <row r="19890">
      <c r="B19890" t="str">
        <v>Công an phường 2  tỉnh Bà Rịa - Vũng Tàu</v>
      </c>
      <c r="C19890" t="str">
        <v>-</v>
      </c>
      <c r="D19890" t="str">
        <v>-</v>
      </c>
      <c r="E19890" t="str">
        <v/>
      </c>
      <c r="F19890" t="str">
        <v>-</v>
      </c>
      <c r="G19890" t="str">
        <v>-</v>
      </c>
    </row>
    <row r="19891">
      <c r="B19891" t="str">
        <v>UBND Ủy ban nhân dân phường 2  tỉnh Bà Rịa - Vũng Tàu</v>
      </c>
      <c r="C19891" t="str">
        <v>-</v>
      </c>
      <c r="D19891" t="str">
        <v>-</v>
      </c>
      <c r="E19891" t="str">
        <v>-</v>
      </c>
      <c r="F19891" t="str">
        <v>-</v>
      </c>
      <c r="G19891" t="str">
        <v>-</v>
      </c>
    </row>
    <row r="19892">
      <c r="B19892" t="str">
        <v>Công an phường 3  tỉnh Bà Rịa - Vũng Tàu</v>
      </c>
      <c r="C19892" t="str">
        <v>-</v>
      </c>
      <c r="D19892" t="str">
        <v>-</v>
      </c>
      <c r="E19892" t="str">
        <v/>
      </c>
      <c r="F19892" t="str">
        <v>-</v>
      </c>
      <c r="G19892" t="str">
        <v>-</v>
      </c>
    </row>
    <row r="19893">
      <c r="B19893" t="str">
        <v>UBND Ủy ban nhân dân phường 3  tỉnh Bà Rịa - Vũng Tàu</v>
      </c>
      <c r="C19893" t="str">
        <v>-</v>
      </c>
      <c r="D19893" t="str">
        <v>-</v>
      </c>
      <c r="E19893" t="str">
        <v>-</v>
      </c>
      <c r="F19893" t="str">
        <v>-</v>
      </c>
      <c r="G19893" t="str">
        <v>-</v>
      </c>
    </row>
    <row r="19894">
      <c r="B19894" t="str">
        <v>Công an phường 4  tỉnh Bà Rịa - Vũng Tàu</v>
      </c>
      <c r="C19894" t="str">
        <v>-</v>
      </c>
      <c r="D19894" t="str">
        <v>-</v>
      </c>
      <c r="E19894" t="str">
        <v/>
      </c>
      <c r="F19894" t="str">
        <v>-</v>
      </c>
      <c r="G19894" t="str">
        <v>-</v>
      </c>
    </row>
    <row r="19895">
      <c r="B19895" t="str">
        <v>UBND Ủy ban nhân dân phường 4  tỉnh Bà Rịa - Vũng Tàu</v>
      </c>
      <c r="C19895" t="str">
        <v>-</v>
      </c>
      <c r="D19895" t="str">
        <v>-</v>
      </c>
      <c r="E19895" t="str">
        <v>-</v>
      </c>
      <c r="F19895" t="str">
        <v>-</v>
      </c>
      <c r="G19895" t="str">
        <v>-</v>
      </c>
    </row>
    <row r="19896">
      <c r="B19896" t="str">
        <v>Công an phường 5  tỉnh Bà Rịa - Vũng Tàu</v>
      </c>
      <c r="C19896" t="str">
        <v>-</v>
      </c>
      <c r="D19896" t="str">
        <v>-</v>
      </c>
      <c r="E19896" t="str">
        <v/>
      </c>
      <c r="F19896" t="str">
        <v>-</v>
      </c>
      <c r="G19896" t="str">
        <v>-</v>
      </c>
    </row>
    <row r="19897">
      <c r="B19897" t="str">
        <v>UBND Ủy ban nhân dân phường 5  tỉnh Bà Rịa - Vũng Tàu</v>
      </c>
      <c r="C19897" t="str">
        <v>-</v>
      </c>
      <c r="D19897" t="str">
        <v>-</v>
      </c>
      <c r="E19897" t="str">
        <v>-</v>
      </c>
      <c r="F19897" t="str">
        <v>-</v>
      </c>
      <c r="G19897" t="str">
        <v>-</v>
      </c>
    </row>
    <row r="19898">
      <c r="B19898" t="str">
        <v>Công an phường Thắng Nhì  tỉnh Bà Rịa - Vũng Tàu</v>
      </c>
      <c r="C19898" t="str">
        <v>-</v>
      </c>
      <c r="D19898" t="str">
        <v>-</v>
      </c>
      <c r="E19898" t="str">
        <v/>
      </c>
      <c r="F19898" t="str">
        <v>-</v>
      </c>
      <c r="G19898" t="str">
        <v>-</v>
      </c>
    </row>
    <row r="19899">
      <c r="B19899" t="str">
        <v>UBND Ủy ban nhân dân phường Thắng Nhì  tỉnh Bà Rịa - Vũng Tàu</v>
      </c>
      <c r="C19899" t="str">
        <v>-</v>
      </c>
      <c r="D19899" t="str">
        <v>-</v>
      </c>
      <c r="E19899" t="str">
        <v>-</v>
      </c>
      <c r="F19899" t="str">
        <v>-</v>
      </c>
      <c r="G19899" t="str">
        <v>-</v>
      </c>
    </row>
    <row r="19900">
      <c r="B19900" t="str">
        <v>Công an phường 7  tỉnh Bà Rịa - Vũng Tàu</v>
      </c>
      <c r="C19900" t="str">
        <v>-</v>
      </c>
      <c r="D19900" t="str">
        <v>-</v>
      </c>
      <c r="E19900" t="str">
        <v/>
      </c>
      <c r="F19900" t="str">
        <v>-</v>
      </c>
      <c r="G19900" t="str">
        <v>-</v>
      </c>
    </row>
    <row r="19901">
      <c r="B19901" t="str">
        <v>UBND Ủy ban nhân dân phường 7  tỉnh Bà Rịa - Vũng Tàu</v>
      </c>
      <c r="C19901" t="str">
        <v>-</v>
      </c>
      <c r="D19901" t="str">
        <v>-</v>
      </c>
      <c r="E19901" t="str">
        <v>-</v>
      </c>
      <c r="F19901" t="str">
        <v>-</v>
      </c>
      <c r="G19901" t="str">
        <v>-</v>
      </c>
    </row>
    <row r="19902">
      <c r="B19902" t="str">
        <v>Công an phường Nguyễn An Ninh  tỉnh Bà Rịa - Vũng Tàu</v>
      </c>
      <c r="C19902" t="str">
        <v>-</v>
      </c>
      <c r="D19902" t="str">
        <v>-</v>
      </c>
      <c r="E19902" t="str">
        <v/>
      </c>
      <c r="F19902" t="str">
        <v>-</v>
      </c>
      <c r="G19902" t="str">
        <v>-</v>
      </c>
    </row>
    <row r="19903">
      <c r="B19903" t="str">
        <v>UBND Ủy ban nhân dân phường Nguyễn An Ninh  tỉnh Bà Rịa - Vũng Tàu</v>
      </c>
      <c r="C19903" t="str">
        <v>-</v>
      </c>
      <c r="D19903" t="str">
        <v>-</v>
      </c>
      <c r="E19903" t="str">
        <v>-</v>
      </c>
      <c r="F19903" t="str">
        <v>-</v>
      </c>
      <c r="G19903" t="str">
        <v>-</v>
      </c>
    </row>
    <row r="19904">
      <c r="B19904" t="str">
        <v>Công an phường 8  tỉnh Bà Rịa - Vũng Tàu</v>
      </c>
      <c r="C19904" t="str">
        <v>-</v>
      </c>
      <c r="D19904" t="str">
        <v>-</v>
      </c>
      <c r="E19904" t="str">
        <v/>
      </c>
      <c r="F19904" t="str">
        <v>-</v>
      </c>
      <c r="G19904" t="str">
        <v>-</v>
      </c>
    </row>
    <row r="19905">
      <c r="B19905" t="str">
        <v>UBND Ủy ban nhân dân phường 8  tỉnh Bà Rịa - Vũng Tàu</v>
      </c>
      <c r="C19905" t="str">
        <v>-</v>
      </c>
      <c r="D19905" t="str">
        <v>-</v>
      </c>
      <c r="E19905" t="str">
        <v>-</v>
      </c>
      <c r="F19905" t="str">
        <v>-</v>
      </c>
      <c r="G19905" t="str">
        <v>-</v>
      </c>
    </row>
    <row r="19906">
      <c r="B19906" t="str">
        <v>Công an phường 9  tỉnh Bà Rịa - Vũng Tàu</v>
      </c>
      <c r="C19906" t="str">
        <v>-</v>
      </c>
      <c r="D19906" t="str">
        <v>-</v>
      </c>
      <c r="E19906" t="str">
        <v/>
      </c>
      <c r="F19906" t="str">
        <v>-</v>
      </c>
      <c r="G19906" t="str">
        <v>-</v>
      </c>
    </row>
    <row r="19907">
      <c r="B19907" t="str">
        <v>UBND Ủy ban nhân dân phường 9  tỉnh Bà Rịa - Vũng Tàu</v>
      </c>
      <c r="C19907" t="str">
        <v>-</v>
      </c>
      <c r="D19907" t="str">
        <v>-</v>
      </c>
      <c r="E19907" t="str">
        <v>-</v>
      </c>
      <c r="F19907" t="str">
        <v>-</v>
      </c>
      <c r="G19907" t="str">
        <v>-</v>
      </c>
    </row>
    <row r="19908">
      <c r="B19908" t="str">
        <v>Công an phường Thắng Nhất  tỉnh Bà Rịa - Vũng Tàu</v>
      </c>
      <c r="C19908" t="str">
        <v>-</v>
      </c>
      <c r="D19908" t="str">
        <v>-</v>
      </c>
      <c r="E19908" t="str">
        <v/>
      </c>
      <c r="F19908" t="str">
        <v>-</v>
      </c>
      <c r="G19908" t="str">
        <v>-</v>
      </c>
    </row>
    <row r="19909">
      <c r="B19909" t="str">
        <v>UBND Ủy ban nhân dân phường Thắng Nhất  tỉnh Bà Rịa - Vũng Tàu</v>
      </c>
      <c r="C19909" t="str">
        <v>-</v>
      </c>
      <c r="D19909" t="str">
        <v>-</v>
      </c>
      <c r="E19909" t="str">
        <v>-</v>
      </c>
      <c r="F19909" t="str">
        <v>-</v>
      </c>
      <c r="G19909" t="str">
        <v>-</v>
      </c>
    </row>
    <row r="19910">
      <c r="B19910" t="str">
        <v>Công an phường Rạch Dừa  tỉnh Bà Rịa - Vũng Tàu</v>
      </c>
      <c r="C19910" t="str">
        <v>-</v>
      </c>
      <c r="D19910" t="str">
        <v>-</v>
      </c>
      <c r="E19910" t="str">
        <v/>
      </c>
      <c r="F19910" t="str">
        <v>-</v>
      </c>
      <c r="G19910" t="str">
        <v>-</v>
      </c>
    </row>
    <row r="19911">
      <c r="B19911" t="str">
        <v>UBND Ủy ban nhân dân phường Rạch Dừa  tỉnh Bà Rịa - Vũng Tàu</v>
      </c>
      <c r="C19911" t="str">
        <v>-</v>
      </c>
      <c r="D19911" t="str">
        <v>-</v>
      </c>
      <c r="E19911" t="str">
        <v>-</v>
      </c>
      <c r="F19911" t="str">
        <v>-</v>
      </c>
      <c r="G19911" t="str">
        <v>-</v>
      </c>
    </row>
    <row r="19912">
      <c r="B19912" t="str">
        <v>Công an phường 10  tỉnh Bà Rịa - Vũng Tàu</v>
      </c>
      <c r="C19912" t="str">
        <v>-</v>
      </c>
      <c r="D19912" t="str">
        <v>-</v>
      </c>
      <c r="E19912" t="str">
        <v/>
      </c>
      <c r="F19912" t="str">
        <v>-</v>
      </c>
      <c r="G19912" t="str">
        <v>-</v>
      </c>
    </row>
    <row r="19913">
      <c r="B19913" t="str">
        <v>UBND Ủy ban nhân dân phường 10  tỉnh Bà Rịa - Vũng Tàu</v>
      </c>
      <c r="C19913" t="str">
        <v>-</v>
      </c>
      <c r="D19913" t="str">
        <v>-</v>
      </c>
      <c r="E19913" t="str">
        <v>-</v>
      </c>
      <c r="F19913" t="str">
        <v>-</v>
      </c>
      <c r="G19913" t="str">
        <v>-</v>
      </c>
    </row>
    <row r="19914">
      <c r="B19914" t="str">
        <v>Công an phường 11  tỉnh Bà Rịa - Vũng Tàu</v>
      </c>
      <c r="C19914" t="str">
        <v>-</v>
      </c>
      <c r="D19914" t="str">
        <v>-</v>
      </c>
      <c r="E19914" t="str">
        <v/>
      </c>
      <c r="F19914" t="str">
        <v>-</v>
      </c>
      <c r="G19914" t="str">
        <v>-</v>
      </c>
    </row>
    <row r="19915">
      <c r="B19915" t="str">
        <v>UBND Ủy ban nhân dân phường 11  tỉnh Bà Rịa - Vũng Tàu</v>
      </c>
      <c r="C19915" t="str">
        <v>-</v>
      </c>
      <c r="D19915" t="str">
        <v>-</v>
      </c>
      <c r="E19915" t="str">
        <v>-</v>
      </c>
      <c r="F19915" t="str">
        <v>-</v>
      </c>
      <c r="G19915" t="str">
        <v>-</v>
      </c>
    </row>
    <row r="19916">
      <c r="B19916" t="str">
        <v>Công an phường 12  tỉnh Bà Rịa - Vũng Tàu</v>
      </c>
      <c r="C19916" t="str">
        <v>-</v>
      </c>
      <c r="D19916" t="str">
        <v>-</v>
      </c>
      <c r="E19916" t="str">
        <v/>
      </c>
      <c r="F19916" t="str">
        <v>-</v>
      </c>
      <c r="G19916" t="str">
        <v>-</v>
      </c>
    </row>
    <row r="19917">
      <c r="B19917" t="str">
        <v>UBND Ủy ban nhân dân phường 12  tỉnh Bà Rịa - Vũng Tàu</v>
      </c>
      <c r="C19917" t="str">
        <v>-</v>
      </c>
      <c r="D19917" t="str">
        <v>-</v>
      </c>
      <c r="E19917" t="str">
        <v>-</v>
      </c>
      <c r="F19917" t="str">
        <v>-</v>
      </c>
      <c r="G19917" t="str">
        <v>-</v>
      </c>
    </row>
    <row r="19918">
      <c r="B19918" t="str">
        <v>Công an xã Long Sơn  tỉnh Bà Rịa - Vũng Tàu</v>
      </c>
      <c r="C19918" t="str">
        <v>-</v>
      </c>
      <c r="D19918" t="str">
        <v>-</v>
      </c>
      <c r="E19918" t="str">
        <v/>
      </c>
      <c r="F19918" t="str">
        <v>-</v>
      </c>
      <c r="G19918" t="str">
        <v>-</v>
      </c>
    </row>
    <row r="19919">
      <c r="B19919" t="str">
        <v>UBND Ủy ban nhân dân xã Long Sơn  tỉnh Bà Rịa - Vũng Tàu</v>
      </c>
      <c r="C19919" t="str">
        <v>-</v>
      </c>
      <c r="D19919" t="str">
        <v>-</v>
      </c>
      <c r="E19919" t="str">
        <v>-</v>
      </c>
      <c r="F19919" t="str">
        <v>-</v>
      </c>
      <c r="G19919" t="str">
        <v>-</v>
      </c>
    </row>
    <row r="19920">
      <c r="B19920" t="str">
        <v>Công an phường Phước Hưng  tỉnh Bà Rịa - Vũng Tàu</v>
      </c>
      <c r="C19920" t="str">
        <v>-</v>
      </c>
      <c r="D19920" t="str">
        <v>-</v>
      </c>
      <c r="E19920" t="str">
        <v/>
      </c>
      <c r="F19920" t="str">
        <v>-</v>
      </c>
      <c r="G19920" t="str">
        <v>-</v>
      </c>
    </row>
    <row r="19921">
      <c r="B19921" t="str">
        <v>UBND Ủy ban nhân dân phường Phước Hưng  tỉnh Bà Rịa - Vũng Tàu</v>
      </c>
      <c r="C19921" t="str">
        <v>-</v>
      </c>
      <c r="D19921" t="str">
        <v>-</v>
      </c>
      <c r="E19921" t="str">
        <v>-</v>
      </c>
      <c r="F19921" t="str">
        <v>-</v>
      </c>
      <c r="G19921" t="str">
        <v>-</v>
      </c>
    </row>
    <row r="19922">
      <c r="B19922" t="str">
        <v>Công an phường Phước Hiệp  tỉnh Bà Rịa - Vũng Tàu</v>
      </c>
      <c r="C19922" t="str">
        <v>-</v>
      </c>
      <c r="D19922" t="str">
        <v>-</v>
      </c>
      <c r="E19922" t="str">
        <v/>
      </c>
      <c r="F19922" t="str">
        <v>-</v>
      </c>
      <c r="G19922" t="str">
        <v>-</v>
      </c>
    </row>
    <row r="19923">
      <c r="B19923" t="str">
        <v>UBND Ủy ban nhân dân phường Phước Hiệp  tỉnh Bà Rịa - Vũng Tàu</v>
      </c>
      <c r="C19923" t="str">
        <v>-</v>
      </c>
      <c r="D19923" t="str">
        <v>-</v>
      </c>
      <c r="E19923" t="str">
        <v>-</v>
      </c>
      <c r="F19923" t="str">
        <v>-</v>
      </c>
      <c r="G19923" t="str">
        <v>-</v>
      </c>
    </row>
    <row r="19924">
      <c r="B19924" t="str">
        <v>Công an phường Phước Nguyên  tỉnh Bà Rịa - Vũng Tàu</v>
      </c>
      <c r="C19924" t="str">
        <v>-</v>
      </c>
      <c r="D19924" t="str">
        <v>-</v>
      </c>
      <c r="E19924" t="str">
        <v/>
      </c>
      <c r="F19924" t="str">
        <v>-</v>
      </c>
      <c r="G19924" t="str">
        <v>-</v>
      </c>
    </row>
    <row r="19925">
      <c r="B19925" t="str">
        <v>UBND Ủy ban nhân dân phường Phước Nguyên  tỉnh Bà Rịa - Vũng Tàu</v>
      </c>
      <c r="C19925" t="str">
        <v>-</v>
      </c>
      <c r="D19925" t="str">
        <v>-</v>
      </c>
      <c r="E19925" t="str">
        <v>-</v>
      </c>
      <c r="F19925" t="str">
        <v>-</v>
      </c>
      <c r="G19925" t="str">
        <v>-</v>
      </c>
    </row>
    <row r="19926">
      <c r="B19926" t="str">
        <v>Công an phường Long Toàn  tỉnh Bà Rịa - Vũng Tàu</v>
      </c>
      <c r="C19926" t="str">
        <v>-</v>
      </c>
      <c r="D19926" t="str">
        <v>-</v>
      </c>
      <c r="E19926" t="str">
        <v/>
      </c>
      <c r="F19926" t="str">
        <v>-</v>
      </c>
      <c r="G19926" t="str">
        <v>-</v>
      </c>
    </row>
    <row r="19927">
      <c r="B19927" t="str">
        <v>UBND Ủy ban nhân dân phường Long Toàn  tỉnh Bà Rịa - Vũng Tàu</v>
      </c>
      <c r="C19927" t="str">
        <v>-</v>
      </c>
      <c r="D19927" t="str">
        <v>-</v>
      </c>
      <c r="E19927" t="str">
        <v>-</v>
      </c>
      <c r="F19927" t="str">
        <v>-</v>
      </c>
      <c r="G19927" t="str">
        <v>-</v>
      </c>
    </row>
    <row r="19928">
      <c r="B19928" t="str">
        <v>Công an phường Long Tâm  tỉnh Bà Rịa - Vũng Tàu</v>
      </c>
      <c r="C19928" t="str">
        <v>-</v>
      </c>
      <c r="D19928" t="str">
        <v>-</v>
      </c>
      <c r="E19928" t="str">
        <v/>
      </c>
      <c r="F19928" t="str">
        <v>-</v>
      </c>
      <c r="G19928" t="str">
        <v>-</v>
      </c>
    </row>
    <row r="19929">
      <c r="B19929" t="str">
        <v>UBND Ủy ban nhân dân phường Long Tâm  tỉnh Bà Rịa - Vũng Tàu</v>
      </c>
      <c r="C19929" t="str">
        <v>-</v>
      </c>
      <c r="D19929" t="str">
        <v>-</v>
      </c>
      <c r="E19929" t="str">
        <v>-</v>
      </c>
      <c r="F19929" t="str">
        <v>-</v>
      </c>
      <c r="G19929" t="str">
        <v>-</v>
      </c>
    </row>
    <row r="19930">
      <c r="B19930" t="str">
        <v>Công an phường Phước Trung  tỉnh Bà Rịa - Vũng Tàu</v>
      </c>
      <c r="C19930" t="str">
        <v>-</v>
      </c>
      <c r="D19930" t="str">
        <v>-</v>
      </c>
      <c r="E19930" t="str">
        <v/>
      </c>
      <c r="F19930" t="str">
        <v>-</v>
      </c>
      <c r="G19930" t="str">
        <v>-</v>
      </c>
    </row>
    <row r="19931">
      <c r="B19931" t="str">
        <v>UBND Ủy ban nhân dân phường Phước Trung  tỉnh Bà Rịa - Vũng Tàu</v>
      </c>
      <c r="C19931" t="str">
        <v>-</v>
      </c>
      <c r="D19931" t="str">
        <v>-</v>
      </c>
      <c r="E19931" t="str">
        <v>-</v>
      </c>
      <c r="F19931" t="str">
        <v>-</v>
      </c>
      <c r="G19931" t="str">
        <v>-</v>
      </c>
    </row>
    <row r="19932">
      <c r="B19932" t="str">
        <v>Công an phường Long Hương  tỉnh Bà Rịa - Vũng Tàu</v>
      </c>
      <c r="C19932" t="str">
        <v>-</v>
      </c>
      <c r="D19932" t="str">
        <v>-</v>
      </c>
      <c r="E19932" t="str">
        <v/>
      </c>
      <c r="F19932" t="str">
        <v>-</v>
      </c>
      <c r="G19932" t="str">
        <v>-</v>
      </c>
    </row>
    <row r="19933">
      <c r="B19933" t="str">
        <v>UBND Ủy ban nhân dân phường Long Hương  tỉnh Bà Rịa - Vũng Tàu</v>
      </c>
      <c r="C19933" t="str">
        <v>-</v>
      </c>
      <c r="D19933" t="str">
        <v>-</v>
      </c>
      <c r="E19933" t="str">
        <v>-</v>
      </c>
      <c r="F19933" t="str">
        <v>-</v>
      </c>
      <c r="G19933" t="str">
        <v>-</v>
      </c>
    </row>
    <row r="19934">
      <c r="B19934" t="str">
        <v>Công an phường Kim Dinh  tỉnh Bà Rịa - Vũng Tàu</v>
      </c>
      <c r="C19934" t="str">
        <v>-</v>
      </c>
      <c r="D19934" t="str">
        <v>-</v>
      </c>
      <c r="E19934" t="str">
        <v/>
      </c>
      <c r="F19934" t="str">
        <v>-</v>
      </c>
      <c r="G19934" t="str">
        <v>-</v>
      </c>
    </row>
    <row r="19935">
      <c r="B19935" t="str">
        <v>UBND Ủy ban nhân dân phường Kim Dinh  tỉnh Bà Rịa - Vũng Tàu</v>
      </c>
      <c r="C19935" t="str">
        <v>-</v>
      </c>
      <c r="D19935" t="str">
        <v>-</v>
      </c>
      <c r="E19935" t="str">
        <v>-</v>
      </c>
      <c r="F19935" t="str">
        <v>-</v>
      </c>
      <c r="G19935" t="str">
        <v>-</v>
      </c>
    </row>
    <row r="19936">
      <c r="B19936" t="str">
        <v>Công an xã Tân Hưng  tỉnh Bà Rịa - Vũng Tàu</v>
      </c>
      <c r="C19936" t="str">
        <v>-</v>
      </c>
      <c r="D19936" t="str">
        <v>-</v>
      </c>
      <c r="E19936" t="str">
        <v/>
      </c>
      <c r="F19936" t="str">
        <v>-</v>
      </c>
      <c r="G19936" t="str">
        <v>-</v>
      </c>
    </row>
    <row r="19937">
      <c r="B19937" t="str">
        <v>UBND Ủy ban nhân dân xã Tân Hưng  tỉnh Bà Rịa - Vũng Tàu</v>
      </c>
      <c r="C19937" t="str">
        <v>-</v>
      </c>
      <c r="D19937" t="str">
        <v>-</v>
      </c>
      <c r="E19937" t="str">
        <v>-</v>
      </c>
      <c r="F19937" t="str">
        <v>-</v>
      </c>
      <c r="G19937" t="str">
        <v>-</v>
      </c>
    </row>
    <row r="19938">
      <c r="B19938" t="str">
        <v>Công an xã Long Phước  tỉnh Bà Rịa - Vũng Tàu</v>
      </c>
      <c r="C19938" t="str">
        <v>-</v>
      </c>
      <c r="D19938" t="str">
        <v>-</v>
      </c>
      <c r="E19938" t="str">
        <v/>
      </c>
      <c r="F19938" t="str">
        <v>-</v>
      </c>
      <c r="G19938" t="str">
        <v>-</v>
      </c>
    </row>
    <row r="19939">
      <c r="B19939" t="str">
        <v>UBND Ủy ban nhân dân xã Long Phước  tỉnh Bà Rịa - Vũng Tàu</v>
      </c>
      <c r="C19939" t="str">
        <v>-</v>
      </c>
      <c r="D19939" t="str">
        <v>-</v>
      </c>
      <c r="E19939" t="str">
        <v>-</v>
      </c>
      <c r="F19939" t="str">
        <v>-</v>
      </c>
      <c r="G19939" t="str">
        <v>-</v>
      </c>
    </row>
    <row r="19940">
      <c r="B19940" t="str">
        <v>Công an xã Hoà Long  tỉnh Bà Rịa - Vũng Tàu</v>
      </c>
      <c r="C19940" t="str">
        <v>-</v>
      </c>
      <c r="D19940" t="str">
        <v>-</v>
      </c>
      <c r="E19940" t="str">
        <v/>
      </c>
      <c r="F19940" t="str">
        <v>-</v>
      </c>
      <c r="G19940" t="str">
        <v>-</v>
      </c>
    </row>
    <row r="19941">
      <c r="B19941" t="str">
        <v>UBND Ủy ban nhân dân xã Hoà Long  tỉnh Bà Rịa - Vũng Tàu</v>
      </c>
      <c r="C19941" t="str">
        <v>-</v>
      </c>
      <c r="D19941" t="str">
        <v>-</v>
      </c>
      <c r="E19941" t="str">
        <v>-</v>
      </c>
      <c r="F19941" t="str">
        <v>-</v>
      </c>
      <c r="G19941" t="str">
        <v>-</v>
      </c>
    </row>
    <row r="19942">
      <c r="B19942" t="str">
        <v>Công an xã Bàu Chinh  tỉnh Bà Rịa - Vũng Tàu</v>
      </c>
      <c r="C19942" t="str">
        <v>-</v>
      </c>
      <c r="D19942" t="str">
        <v>-</v>
      </c>
      <c r="E19942" t="str">
        <v/>
      </c>
      <c r="F19942" t="str">
        <v>-</v>
      </c>
      <c r="G19942" t="str">
        <v>-</v>
      </c>
    </row>
    <row r="19943">
      <c r="B19943" t="str">
        <v>UBND Ủy ban nhân dân xã Bàu Chinh  tỉnh Bà Rịa - Vũng Tàu</v>
      </c>
      <c r="C19943" t="str">
        <v>-</v>
      </c>
      <c r="D19943" t="str">
        <v>-</v>
      </c>
      <c r="E19943" t="str">
        <v>-</v>
      </c>
      <c r="F19943" t="str">
        <v>-</v>
      </c>
      <c r="G19943" t="str">
        <v>-</v>
      </c>
    </row>
    <row r="19944">
      <c r="B19944" t="str">
        <v>Công an xã Bình Ba  tỉnh Bà Rịa - Vũng Tàu</v>
      </c>
      <c r="C19944" t="str">
        <v>-</v>
      </c>
      <c r="D19944" t="str">
        <v>-</v>
      </c>
      <c r="E19944" t="str">
        <v/>
      </c>
      <c r="F19944" t="str">
        <v>-</v>
      </c>
      <c r="G19944" t="str">
        <v>-</v>
      </c>
    </row>
    <row r="19945">
      <c r="B19945" t="str">
        <v>UBND Ủy ban nhân dân xã Bình Ba  tỉnh Bà Rịa - Vũng Tàu</v>
      </c>
      <c r="C19945" t="str">
        <v>-</v>
      </c>
      <c r="D19945" t="str">
        <v>-</v>
      </c>
      <c r="E19945" t="str">
        <v>-</v>
      </c>
      <c r="F19945" t="str">
        <v>-</v>
      </c>
      <c r="G19945" t="str">
        <v>-</v>
      </c>
    </row>
    <row r="19946">
      <c r="B19946" t="str">
        <v>Công an xã Suối Nghệ  tỉnh Bà Rịa - Vũng Tàu</v>
      </c>
      <c r="C19946" t="str">
        <v>-</v>
      </c>
      <c r="D19946" t="str">
        <v>-</v>
      </c>
      <c r="E19946" t="str">
        <v/>
      </c>
      <c r="F19946" t="str">
        <v>-</v>
      </c>
      <c r="G19946" t="str">
        <v>-</v>
      </c>
    </row>
    <row r="19947">
      <c r="B19947" t="str">
        <v>UBND Ủy ban nhân dân xã Suối Nghệ  tỉnh Bà Rịa - Vũng Tàu</v>
      </c>
      <c r="C19947" t="str">
        <v>-</v>
      </c>
      <c r="D19947" t="str">
        <v>-</v>
      </c>
      <c r="E19947" t="str">
        <v>-</v>
      </c>
      <c r="F19947" t="str">
        <v>-</v>
      </c>
      <c r="G19947" t="str">
        <v>-</v>
      </c>
    </row>
    <row r="19948">
      <c r="B19948" t="str">
        <v>Công an xã Xuân Sơn  tỉnh Bà Rịa - Vũng Tàu</v>
      </c>
      <c r="C19948" t="str">
        <v>-</v>
      </c>
      <c r="D19948" t="str">
        <v>-</v>
      </c>
      <c r="E19948" t="str">
        <v/>
      </c>
      <c r="F19948" t="str">
        <v>-</v>
      </c>
      <c r="G19948" t="str">
        <v>-</v>
      </c>
    </row>
    <row r="19949">
      <c r="B19949" t="str">
        <v>UBND Ủy ban nhân dân xã Xuân Sơn  tỉnh Bà Rịa - Vũng Tàu</v>
      </c>
      <c r="C19949" t="str">
        <v>-</v>
      </c>
      <c r="D19949" t="str">
        <v>-</v>
      </c>
      <c r="E19949" t="str">
        <v>-</v>
      </c>
      <c r="F19949" t="str">
        <v>-</v>
      </c>
      <c r="G19949" t="str">
        <v>-</v>
      </c>
    </row>
    <row r="19950">
      <c r="B19950" t="str">
        <v>Công an xã Sơn Bình  tỉnh Bà Rịa - Vũng Tàu</v>
      </c>
      <c r="C19950" t="str">
        <v>-</v>
      </c>
      <c r="D19950" t="str">
        <v>-</v>
      </c>
      <c r="E19950" t="str">
        <v/>
      </c>
      <c r="F19950" t="str">
        <v>-</v>
      </c>
      <c r="G19950" t="str">
        <v>-</v>
      </c>
    </row>
    <row r="19951">
      <c r="B19951" t="str">
        <v>UBND Ủy ban nhân dân xã Sơn Bình  tỉnh Bà Rịa - Vũng Tàu</v>
      </c>
      <c r="C19951" t="str">
        <v>-</v>
      </c>
      <c r="D19951" t="str">
        <v>-</v>
      </c>
      <c r="E19951" t="str">
        <v>-</v>
      </c>
      <c r="F19951" t="str">
        <v>-</v>
      </c>
      <c r="G19951" t="str">
        <v>-</v>
      </c>
    </row>
    <row r="19952">
      <c r="B19952" t="str">
        <v>Công an xã Bình Giã  tỉnh Bà Rịa - Vũng Tàu</v>
      </c>
      <c r="C19952" t="str">
        <v>-</v>
      </c>
      <c r="D19952" t="str">
        <v>-</v>
      </c>
      <c r="E19952" t="str">
        <v/>
      </c>
      <c r="F19952" t="str">
        <v>-</v>
      </c>
      <c r="G19952" t="str">
        <v>-</v>
      </c>
    </row>
    <row r="19953">
      <c r="B19953" t="str">
        <v>UBND Ủy ban nhân dân xã Bình Giã  tỉnh Bà Rịa - Vũng Tàu</v>
      </c>
      <c r="C19953" t="str">
        <v>-</v>
      </c>
      <c r="D19953" t="str">
        <v>-</v>
      </c>
      <c r="E19953" t="str">
        <v>-</v>
      </c>
      <c r="F19953" t="str">
        <v>-</v>
      </c>
      <c r="G19953" t="str">
        <v>-</v>
      </c>
    </row>
    <row r="19954">
      <c r="B19954" t="str">
        <v>Công an xã Bình Trung  tỉnh Bà Rịa - Vũng Tàu</v>
      </c>
      <c r="C19954" t="str">
        <v>-</v>
      </c>
      <c r="D19954" t="str">
        <v>-</v>
      </c>
      <c r="E19954" t="str">
        <v/>
      </c>
      <c r="F19954" t="str">
        <v>-</v>
      </c>
      <c r="G19954" t="str">
        <v>-</v>
      </c>
    </row>
    <row r="19955">
      <c r="B19955" t="str">
        <v>UBND Ủy ban nhân dân xã Bình Trung  tỉnh Bà Rịa - Vũng Tàu</v>
      </c>
      <c r="C19955" t="str">
        <v>-</v>
      </c>
      <c r="D19955" t="str">
        <v>-</v>
      </c>
      <c r="E19955" t="str">
        <v>-</v>
      </c>
      <c r="F19955" t="str">
        <v>-</v>
      </c>
      <c r="G19955" t="str">
        <v>-</v>
      </c>
    </row>
    <row r="19956">
      <c r="B19956" t="str">
        <v>Công an xã Xà Bang  tỉnh Bà Rịa - Vũng Tàu</v>
      </c>
      <c r="C19956" t="str">
        <v>-</v>
      </c>
      <c r="D19956" t="str">
        <v>-</v>
      </c>
      <c r="E19956" t="str">
        <v/>
      </c>
      <c r="F19956" t="str">
        <v>-</v>
      </c>
      <c r="G19956" t="str">
        <v>-</v>
      </c>
    </row>
    <row r="19957">
      <c r="B19957" t="str">
        <v>UBND Ủy ban nhân dân xã Xà Bang  tỉnh Bà Rịa - Vũng Tàu</v>
      </c>
      <c r="C19957" t="str">
        <v>-</v>
      </c>
      <c r="D19957" t="str">
        <v>-</v>
      </c>
      <c r="E19957" t="str">
        <v>-</v>
      </c>
      <c r="F19957" t="str">
        <v>-</v>
      </c>
      <c r="G19957" t="str">
        <v>-</v>
      </c>
    </row>
    <row r="19958">
      <c r="B19958" t="str">
        <v>Công an xã Cù Bị  tỉnh Bà Rịa - Vũng Tàu</v>
      </c>
      <c r="C19958" t="str">
        <v>-</v>
      </c>
      <c r="D19958" t="str">
        <v>-</v>
      </c>
      <c r="E19958" t="str">
        <v/>
      </c>
      <c r="F19958" t="str">
        <v>-</v>
      </c>
      <c r="G19958" t="str">
        <v>-</v>
      </c>
    </row>
    <row r="19959">
      <c r="B19959" t="str">
        <v>UBND Ủy ban nhân dân xã Cù Bị  tỉnh Bà Rịa - Vũng Tàu</v>
      </c>
      <c r="C19959" t="str">
        <v>-</v>
      </c>
      <c r="D19959" t="str">
        <v>-</v>
      </c>
      <c r="E19959" t="str">
        <v>-</v>
      </c>
      <c r="F19959" t="str">
        <v>-</v>
      </c>
      <c r="G19959" t="str">
        <v>-</v>
      </c>
    </row>
    <row r="19960">
      <c r="B19960" t="str">
        <v>Công an xã Láng Lớn  tỉnh Bà Rịa - Vũng Tàu</v>
      </c>
      <c r="C19960" t="str">
        <v>-</v>
      </c>
      <c r="D19960" t="str">
        <v>-</v>
      </c>
      <c r="E19960" t="str">
        <v/>
      </c>
      <c r="F19960" t="str">
        <v>-</v>
      </c>
      <c r="G19960" t="str">
        <v>-</v>
      </c>
    </row>
    <row r="19961">
      <c r="B19961" t="str">
        <v>UBND Ủy ban nhân dân xã Láng Lớn  tỉnh Bà Rịa - Vũng Tàu</v>
      </c>
      <c r="C19961" t="str">
        <v>-</v>
      </c>
      <c r="D19961" t="str">
        <v>-</v>
      </c>
      <c r="E19961" t="str">
        <v>-</v>
      </c>
      <c r="F19961" t="str">
        <v>-</v>
      </c>
      <c r="G19961" t="str">
        <v>-</v>
      </c>
    </row>
    <row r="19962">
      <c r="B19962" t="str">
        <v>Công an xã Quảng Thành  tỉnh Bà Rịa - Vũng Tàu</v>
      </c>
      <c r="C19962" t="str">
        <v>-</v>
      </c>
      <c r="D19962" t="str">
        <v>-</v>
      </c>
      <c r="E19962" t="str">
        <v/>
      </c>
      <c r="F19962" t="str">
        <v>-</v>
      </c>
      <c r="G19962" t="str">
        <v>-</v>
      </c>
    </row>
    <row r="19963">
      <c r="B19963" t="str">
        <v>UBND Ủy ban nhân dân xã Quảng Thành  tỉnh Bà Rịa - Vũng Tàu</v>
      </c>
      <c r="C19963" t="str">
        <v>-</v>
      </c>
      <c r="D19963" t="str">
        <v>-</v>
      </c>
      <c r="E19963" t="str">
        <v>-</v>
      </c>
      <c r="F19963" t="str">
        <v>-</v>
      </c>
      <c r="G19963" t="str">
        <v>-</v>
      </c>
    </row>
    <row r="19964">
      <c r="B19964" t="str">
        <v>Công an xã Kim Long  tỉnh Bà Rịa - Vũng Tàu</v>
      </c>
      <c r="C19964" t="str">
        <v>-</v>
      </c>
      <c r="D19964" t="str">
        <v>-</v>
      </c>
      <c r="E19964" t="str">
        <v/>
      </c>
      <c r="F19964" t="str">
        <v>-</v>
      </c>
      <c r="G19964" t="str">
        <v>-</v>
      </c>
    </row>
    <row r="19965">
      <c r="B19965" t="str">
        <v>UBND Ủy ban nhân dân xã Kim Long  tỉnh Bà Rịa - Vũng Tàu</v>
      </c>
      <c r="C19965" t="str">
        <v>-</v>
      </c>
      <c r="D19965" t="str">
        <v>-</v>
      </c>
      <c r="E19965" t="str">
        <v>-</v>
      </c>
      <c r="F19965" t="str">
        <v>-</v>
      </c>
      <c r="G19965" t="str">
        <v>-</v>
      </c>
    </row>
    <row r="19966">
      <c r="B19966" t="str">
        <v>Công an xã Suối Rao  tỉnh Bà Rịa - Vũng Tàu</v>
      </c>
      <c r="C19966" t="str">
        <v>-</v>
      </c>
      <c r="D19966" t="str">
        <v>-</v>
      </c>
      <c r="E19966" t="str">
        <v/>
      </c>
      <c r="F19966" t="str">
        <v>-</v>
      </c>
      <c r="G19966" t="str">
        <v>-</v>
      </c>
    </row>
    <row r="19967">
      <c r="B19967" t="str">
        <v>UBND Ủy ban nhân dân xã Suối Rao  tỉnh Bà Rịa - Vũng Tàu</v>
      </c>
      <c r="C19967" t="str">
        <v>-</v>
      </c>
      <c r="D19967" t="str">
        <v>-</v>
      </c>
      <c r="E19967" t="str">
        <v>-</v>
      </c>
      <c r="F19967" t="str">
        <v>-</v>
      </c>
      <c r="G19967" t="str">
        <v>-</v>
      </c>
    </row>
    <row r="19968">
      <c r="B19968" t="str">
        <v>Công an xã Đá Bạc  tỉnh Bà Rịa - Vũng Tàu</v>
      </c>
      <c r="C19968" t="str">
        <v>-</v>
      </c>
      <c r="D19968" t="str">
        <v>-</v>
      </c>
      <c r="E19968" t="str">
        <v/>
      </c>
      <c r="F19968" t="str">
        <v>-</v>
      </c>
      <c r="G19968" t="str">
        <v>-</v>
      </c>
    </row>
    <row r="19969">
      <c r="B19969" t="str">
        <v>UBND Ủy ban nhân dân xã Đá Bạc  tỉnh Bà Rịa - Vũng Tàu</v>
      </c>
      <c r="C19969" t="str">
        <v>-</v>
      </c>
      <c r="D19969" t="str">
        <v>-</v>
      </c>
      <c r="E19969" t="str">
        <v>-</v>
      </c>
      <c r="F19969" t="str">
        <v>-</v>
      </c>
      <c r="G19969" t="str">
        <v>-</v>
      </c>
    </row>
    <row r="19970">
      <c r="B19970" t="str">
        <v>Công an xã Nghĩa Thành  tỉnh Bà Rịa - Vũng Tàu</v>
      </c>
      <c r="C19970" t="str">
        <v>-</v>
      </c>
      <c r="D19970" t="str">
        <v>-</v>
      </c>
      <c r="E19970" t="str">
        <v/>
      </c>
      <c r="F19970" t="str">
        <v>-</v>
      </c>
      <c r="G19970" t="str">
        <v>-</v>
      </c>
    </row>
    <row r="19971">
      <c r="B19971" t="str">
        <v>UBND Ủy ban nhân dân xã Nghĩa Thành  tỉnh Bà Rịa - Vũng Tàu</v>
      </c>
      <c r="C19971" t="str">
        <v>-</v>
      </c>
      <c r="D19971" t="str">
        <v>-</v>
      </c>
      <c r="E19971" t="str">
        <v>-</v>
      </c>
      <c r="F19971" t="str">
        <v>-</v>
      </c>
      <c r="G19971" t="str">
        <v>-</v>
      </c>
    </row>
    <row r="19972">
      <c r="B19972" t="str">
        <v>Công an xã Phước Thuận  tỉnh Bà Rịa - Vũng Tàu</v>
      </c>
      <c r="C19972" t="str">
        <v>-</v>
      </c>
      <c r="D19972" t="str">
        <v>-</v>
      </c>
      <c r="E19972" t="str">
        <v/>
      </c>
      <c r="F19972" t="str">
        <v>-</v>
      </c>
      <c r="G19972" t="str">
        <v>-</v>
      </c>
    </row>
    <row r="19973">
      <c r="B19973" t="str">
        <v>UBND Ủy ban nhân dân xã Phước Thuận  tỉnh Bà Rịa - Vũng Tàu</v>
      </c>
      <c r="C19973" t="str">
        <v>-</v>
      </c>
      <c r="D19973" t="str">
        <v>-</v>
      </c>
      <c r="E19973" t="str">
        <v>-</v>
      </c>
      <c r="F19973" t="str">
        <v>-</v>
      </c>
      <c r="G19973" t="str">
        <v>-</v>
      </c>
    </row>
    <row r="19974">
      <c r="B19974" t="str">
        <v>Công an xã Phước Tân  tỉnh Bà Rịa - Vũng Tàu</v>
      </c>
      <c r="C19974" t="str">
        <v>-</v>
      </c>
      <c r="D19974" t="str">
        <v>-</v>
      </c>
      <c r="E19974" t="str">
        <v/>
      </c>
      <c r="F19974" t="str">
        <v>-</v>
      </c>
      <c r="G19974" t="str">
        <v>-</v>
      </c>
    </row>
    <row r="19975">
      <c r="B19975" t="str">
        <v>UBND Ủy ban nhân dân xã Phước Tân  tỉnh Bà Rịa - Vũng Tàu</v>
      </c>
      <c r="C19975" t="str">
        <v>-</v>
      </c>
      <c r="D19975" t="str">
        <v>-</v>
      </c>
      <c r="E19975" t="str">
        <v>-</v>
      </c>
      <c r="F19975" t="str">
        <v>-</v>
      </c>
      <c r="G19975" t="str">
        <v>-</v>
      </c>
    </row>
    <row r="19976">
      <c r="B19976" t="str">
        <v>Công an xã Xuyên Mộc  tỉnh Bà Rịa - Vũng Tàu</v>
      </c>
      <c r="C19976" t="str">
        <v>-</v>
      </c>
      <c r="D19976" t="str">
        <v>-</v>
      </c>
      <c r="E19976" t="str">
        <v/>
      </c>
      <c r="F19976" t="str">
        <v>-</v>
      </c>
      <c r="G19976" t="str">
        <v>-</v>
      </c>
    </row>
    <row r="19977">
      <c r="B19977" t="str">
        <v>UBND Ủy ban nhân dân xã Xuyên Mộc  tỉnh Bà Rịa - Vũng Tàu</v>
      </c>
      <c r="C19977" t="str">
        <v>-</v>
      </c>
      <c r="D19977" t="str">
        <v>-</v>
      </c>
      <c r="E19977" t="str">
        <v>-</v>
      </c>
      <c r="F19977" t="str">
        <v>-</v>
      </c>
      <c r="G19977" t="str">
        <v>-</v>
      </c>
    </row>
    <row r="19978">
      <c r="B19978" t="str">
        <v>Công an xã Bông Trang  tỉnh Bà Rịa - Vũng Tàu</v>
      </c>
      <c r="C19978" t="str">
        <v>-</v>
      </c>
      <c r="D19978" t="str">
        <v>-</v>
      </c>
      <c r="E19978" t="str">
        <v/>
      </c>
      <c r="F19978" t="str">
        <v>-</v>
      </c>
      <c r="G19978" t="str">
        <v>-</v>
      </c>
    </row>
    <row r="19979">
      <c r="B19979" t="str">
        <v>UBND Ủy ban nhân dân xã Bông Trang  tỉnh Bà Rịa - Vũng Tàu</v>
      </c>
      <c r="C19979" t="str">
        <v>-</v>
      </c>
      <c r="D19979" t="str">
        <v>-</v>
      </c>
      <c r="E19979" t="str">
        <v>-</v>
      </c>
      <c r="F19979" t="str">
        <v>-</v>
      </c>
      <c r="G19979" t="str">
        <v>-</v>
      </c>
    </row>
    <row r="19980">
      <c r="B19980" t="str">
        <v>Công an xã Tân Lâm  tỉnh Bà Rịa - Vũng Tàu</v>
      </c>
      <c r="C19980" t="str">
        <v>-</v>
      </c>
      <c r="D19980" t="str">
        <v>-</v>
      </c>
      <c r="E19980" t="str">
        <v/>
      </c>
      <c r="F19980" t="str">
        <v>-</v>
      </c>
      <c r="G19980" t="str">
        <v>-</v>
      </c>
    </row>
    <row r="19981">
      <c r="B19981" t="str">
        <v>UBND Ủy ban nhân dân xã Tân Lâm  tỉnh Bà Rịa - Vũng Tàu</v>
      </c>
      <c r="C19981" t="str">
        <v>-</v>
      </c>
      <c r="D19981" t="str">
        <v>-</v>
      </c>
      <c r="E19981" t="str">
        <v>-</v>
      </c>
      <c r="F19981" t="str">
        <v>-</v>
      </c>
      <c r="G19981" t="str">
        <v>-</v>
      </c>
    </row>
    <row r="19982">
      <c r="B19982" t="str">
        <v>Công an xã Bàu Lâm  tỉnh Bà Rịa - Vũng Tàu</v>
      </c>
      <c r="C19982" t="str">
        <v>-</v>
      </c>
      <c r="D19982" t="str">
        <v>-</v>
      </c>
      <c r="E19982" t="str">
        <v/>
      </c>
      <c r="F19982" t="str">
        <v>-</v>
      </c>
      <c r="G19982" t="str">
        <v>-</v>
      </c>
    </row>
    <row r="19983">
      <c r="B19983" t="str">
        <v>UBND Ủy ban nhân dân xã Bàu Lâm  tỉnh Bà Rịa - Vũng Tàu</v>
      </c>
      <c r="C19983" t="str">
        <v>-</v>
      </c>
      <c r="D19983" t="str">
        <v>-</v>
      </c>
      <c r="E19983" t="str">
        <v>-</v>
      </c>
      <c r="F19983" t="str">
        <v>-</v>
      </c>
      <c r="G19983" t="str">
        <v>-</v>
      </c>
    </row>
    <row r="19984">
      <c r="B19984" t="str">
        <v>Công an xã Hòa Bình  tỉnh Bà Rịa - Vũng Tàu</v>
      </c>
      <c r="C19984" t="str">
        <v>-</v>
      </c>
      <c r="D19984" t="str">
        <v>-</v>
      </c>
      <c r="E19984" t="str">
        <v/>
      </c>
      <c r="F19984" t="str">
        <v>-</v>
      </c>
      <c r="G19984" t="str">
        <v>-</v>
      </c>
    </row>
    <row r="19985">
      <c r="B19985" t="str">
        <v>UBND Ủy ban nhân dân xã Hòa Bình  tỉnh Bà Rịa - Vũng Tàu</v>
      </c>
      <c r="C19985" t="str">
        <v>-</v>
      </c>
      <c r="D19985" t="str">
        <v>-</v>
      </c>
      <c r="E19985" t="str">
        <v>-</v>
      </c>
      <c r="F19985" t="str">
        <v>-</v>
      </c>
      <c r="G19985" t="str">
        <v>-</v>
      </c>
    </row>
    <row r="19986">
      <c r="B19986" t="str">
        <v>Công an xã Hòa Hưng  tỉnh Bà Rịa - Vũng Tàu</v>
      </c>
      <c r="C19986" t="str">
        <v>-</v>
      </c>
      <c r="D19986" t="str">
        <v>-</v>
      </c>
      <c r="E19986" t="str">
        <v/>
      </c>
      <c r="F19986" t="str">
        <v>-</v>
      </c>
      <c r="G19986" t="str">
        <v>-</v>
      </c>
    </row>
    <row r="19987">
      <c r="B19987" t="str">
        <v>UBND Ủy ban nhân dân xã Hòa Hưng  tỉnh Bà Rịa - Vũng Tàu</v>
      </c>
      <c r="C19987" t="str">
        <v>-</v>
      </c>
      <c r="D19987" t="str">
        <v>-</v>
      </c>
      <c r="E19987" t="str">
        <v>-</v>
      </c>
      <c r="F19987" t="str">
        <v>-</v>
      </c>
      <c r="G19987" t="str">
        <v>-</v>
      </c>
    </row>
    <row r="19988">
      <c r="B19988" t="str">
        <v>Công an xã Hòa Hiệp  tỉnh Bà Rịa - Vũng Tàu</v>
      </c>
      <c r="C19988" t="str">
        <v>-</v>
      </c>
      <c r="D19988" t="str">
        <v>-</v>
      </c>
      <c r="E19988" t="str">
        <v/>
      </c>
      <c r="F19988" t="str">
        <v>-</v>
      </c>
      <c r="G19988" t="str">
        <v>-</v>
      </c>
    </row>
    <row r="19989">
      <c r="B19989" t="str">
        <v>UBND Ủy ban nhân dân xã Hòa Hiệp  tỉnh Bà Rịa - Vũng Tàu</v>
      </c>
      <c r="C19989" t="str">
        <v>-</v>
      </c>
      <c r="D19989" t="str">
        <v>-</v>
      </c>
      <c r="E19989" t="str">
        <v>-</v>
      </c>
      <c r="F19989" t="str">
        <v>-</v>
      </c>
      <c r="G19989" t="str">
        <v>-</v>
      </c>
    </row>
    <row r="19990">
      <c r="B19990" t="str">
        <v>Công an xã Hòa Hội  tỉnh Bà Rịa - Vũng Tàu</v>
      </c>
      <c r="C19990" t="str">
        <v>-</v>
      </c>
      <c r="D19990" t="str">
        <v>-</v>
      </c>
      <c r="E19990" t="str">
        <v/>
      </c>
      <c r="F19990" t="str">
        <v>-</v>
      </c>
      <c r="G19990" t="str">
        <v>-</v>
      </c>
    </row>
    <row r="19991">
      <c r="B19991" t="str">
        <v>UBND Ủy ban nhân dân xã Hòa Hội  tỉnh Bà Rịa - Vũng Tàu</v>
      </c>
      <c r="C19991" t="str">
        <v>-</v>
      </c>
      <c r="D19991" t="str">
        <v>-</v>
      </c>
      <c r="E19991" t="str">
        <v>-</v>
      </c>
      <c r="F19991" t="str">
        <v>-</v>
      </c>
      <c r="G19991" t="str">
        <v>-</v>
      </c>
    </row>
    <row r="19992">
      <c r="B19992" t="str">
        <v>Công an xã Bưng Riềng  tỉnh Bà Rịa - Vũng Tàu</v>
      </c>
      <c r="C19992" t="str">
        <v>-</v>
      </c>
      <c r="D19992" t="str">
        <v>-</v>
      </c>
      <c r="E19992" t="str">
        <v/>
      </c>
      <c r="F19992" t="str">
        <v>-</v>
      </c>
      <c r="G19992" t="str">
        <v>-</v>
      </c>
    </row>
    <row r="19993">
      <c r="B19993" t="str">
        <v>UBND Ủy ban nhân dân xã Bưng Riềng  tỉnh Bà Rịa - Vũng Tàu</v>
      </c>
      <c r="C19993" t="str">
        <v>-</v>
      </c>
      <c r="D19993" t="str">
        <v>-</v>
      </c>
      <c r="E19993" t="str">
        <v>-</v>
      </c>
      <c r="F19993" t="str">
        <v>-</v>
      </c>
      <c r="G19993" t="str">
        <v>-</v>
      </c>
    </row>
    <row r="19994">
      <c r="B19994" t="str">
        <v>Công an xã Bình Châu  tỉnh Bà Rịa - Vũng Tàu</v>
      </c>
      <c r="C19994" t="str">
        <v>-</v>
      </c>
      <c r="D19994" t="str">
        <v>-</v>
      </c>
      <c r="E19994" t="str">
        <v/>
      </c>
      <c r="F19994" t="str">
        <v>-</v>
      </c>
      <c r="G19994" t="str">
        <v>-</v>
      </c>
    </row>
    <row r="19995">
      <c r="B19995" t="str">
        <v>UBND Ủy ban nhân dân xã Bình Châu  tỉnh Bà Rịa - Vũng Tàu</v>
      </c>
      <c r="C19995" t="str">
        <v>-</v>
      </c>
      <c r="D19995" t="str">
        <v>-</v>
      </c>
      <c r="E19995" t="str">
        <v>-</v>
      </c>
      <c r="F19995" t="str">
        <v>-</v>
      </c>
      <c r="G19995" t="str">
        <v>-</v>
      </c>
    </row>
    <row r="19996">
      <c r="B19996" t="str">
        <v>Công an xã An Ngãi  tỉnh Bà Rịa - Vũng Tàu</v>
      </c>
      <c r="C19996" t="str">
        <v>-</v>
      </c>
      <c r="D19996" t="str">
        <v>-</v>
      </c>
      <c r="E19996" t="str">
        <v/>
      </c>
      <c r="F19996" t="str">
        <v>-</v>
      </c>
      <c r="G19996" t="str">
        <v>-</v>
      </c>
    </row>
    <row r="19997">
      <c r="B19997" t="str">
        <v>UBND Ủy ban nhân dân xã An Ngãi  tỉnh Bà Rịa - Vũng Tàu</v>
      </c>
      <c r="C19997" t="str">
        <v>-</v>
      </c>
      <c r="D19997" t="str">
        <v>-</v>
      </c>
      <c r="E19997" t="str">
        <v>-</v>
      </c>
      <c r="F19997" t="str">
        <v>-</v>
      </c>
      <c r="G19997" t="str">
        <v>-</v>
      </c>
    </row>
    <row r="19998">
      <c r="B19998" t="str">
        <v>Công an xã Tam Phước  tỉnh Bà Rịa - Vũng Tàu</v>
      </c>
      <c r="C19998" t="str">
        <v>-</v>
      </c>
      <c r="D19998" t="str">
        <v>-</v>
      </c>
      <c r="E19998" t="str">
        <v/>
      </c>
      <c r="F19998" t="str">
        <v>-</v>
      </c>
      <c r="G19998" t="str">
        <v>-</v>
      </c>
    </row>
    <row r="19999">
      <c r="B19999" t="str">
        <v>UBND Ủy ban nhân dân xã Tam Phước  tỉnh Bà Rịa - Vũng Tàu</v>
      </c>
      <c r="C19999" t="str">
        <v>-</v>
      </c>
      <c r="D19999" t="str">
        <v>-</v>
      </c>
      <c r="E19999" t="str">
        <v>-</v>
      </c>
      <c r="F19999" t="str">
        <v>-</v>
      </c>
      <c r="G19999" t="str">
        <v>-</v>
      </c>
    </row>
    <row r="20000">
      <c r="B20000" t="str">
        <v>Công an xã An Nhứt  tỉnh Bà Rịa - Vũng Tàu</v>
      </c>
      <c r="C20000" t="str">
        <v>-</v>
      </c>
      <c r="D20000" t="str">
        <v>-</v>
      </c>
      <c r="E20000" t="str">
        <v/>
      </c>
      <c r="F20000" t="str">
        <v>-</v>
      </c>
      <c r="G20000" t="str">
        <v>-</v>
      </c>
    </row>
    <row r="20001">
      <c r="B20001" t="str">
        <v>UBND Ủy ban nhân dân xã An Nhứt  tỉnh Bà Rịa - Vũng Tàu</v>
      </c>
      <c r="C20001" t="str">
        <v>-</v>
      </c>
      <c r="D20001" t="str">
        <v>-</v>
      </c>
      <c r="E20001" t="str">
        <v>-</v>
      </c>
      <c r="F20001" t="str">
        <v>-</v>
      </c>
      <c r="G20001" t="str">
        <v>-</v>
      </c>
    </row>
    <row r="20002">
      <c r="B20002" t="str">
        <v>Công an xã Phước  tỉnh Bà Rịa - Vũng Tàu</v>
      </c>
      <c r="C20002" t="str">
        <v>-</v>
      </c>
      <c r="D20002" t="str">
        <v>-</v>
      </c>
      <c r="E20002" t="str">
        <v/>
      </c>
      <c r="F20002" t="str">
        <v>-</v>
      </c>
      <c r="G20002" t="str">
        <v>-</v>
      </c>
    </row>
    <row r="20003">
      <c r="B20003" t="str">
        <v>UBND Ủy ban nhân dân xã Phước  tỉnh Bà Rịa - Vũng Tàu</v>
      </c>
      <c r="C20003" t="str">
        <v>-</v>
      </c>
      <c r="D20003" t="str">
        <v>-</v>
      </c>
      <c r="E20003" t="str">
        <v>-</v>
      </c>
      <c r="F20003" t="str">
        <v>-</v>
      </c>
      <c r="G20003" t="str">
        <v>-</v>
      </c>
    </row>
    <row r="20004">
      <c r="B20004" t="str">
        <v>Công an xã Phước Hưng  tỉnh Bà Rịa - Vũng Tàu</v>
      </c>
      <c r="C20004" t="str">
        <v>-</v>
      </c>
      <c r="D20004" t="str">
        <v>-</v>
      </c>
      <c r="E20004" t="str">
        <v/>
      </c>
      <c r="F20004" t="str">
        <v>-</v>
      </c>
      <c r="G20004" t="str">
        <v>-</v>
      </c>
    </row>
    <row r="20005">
      <c r="B20005" t="str">
        <v>UBND Ủy ban nhân dân xã Phước Hưng  tỉnh Bà Rịa - Vũng Tàu</v>
      </c>
      <c r="C20005" t="str">
        <v>-</v>
      </c>
      <c r="D20005" t="str">
        <v>-</v>
      </c>
      <c r="E20005" t="str">
        <v>-</v>
      </c>
      <c r="F20005" t="str">
        <v>-</v>
      </c>
      <c r="G20005" t="str">
        <v>-</v>
      </c>
    </row>
    <row r="20006">
      <c r="B20006" t="str">
        <v>Công an xã Phước Long Thọ  tỉnh Bà Rịa - Vũng Tàu</v>
      </c>
      <c r="C20006" t="str">
        <v>-</v>
      </c>
      <c r="D20006" t="str">
        <v>-</v>
      </c>
      <c r="E20006" t="str">
        <v/>
      </c>
      <c r="F20006" t="str">
        <v>-</v>
      </c>
      <c r="G20006" t="str">
        <v>-</v>
      </c>
    </row>
    <row r="20007">
      <c r="B20007" t="str">
        <v>UBND Ủy ban nhân dân xã Phước Long Thọ  tỉnh Bà Rịa - Vũng Tàu</v>
      </c>
      <c r="C20007" t="str">
        <v>-</v>
      </c>
      <c r="D20007" t="str">
        <v>-</v>
      </c>
      <c r="E20007" t="str">
        <v>-</v>
      </c>
      <c r="F20007" t="str">
        <v>-</v>
      </c>
      <c r="G20007" t="str">
        <v>-</v>
      </c>
    </row>
    <row r="20008">
      <c r="B20008" t="str">
        <v>Công an xã Phước Hội  tỉnh Bà Rịa - Vũng Tàu</v>
      </c>
      <c r="C20008" t="str">
        <v>-</v>
      </c>
      <c r="D20008" t="str">
        <v>-</v>
      </c>
      <c r="E20008" t="str">
        <v/>
      </c>
      <c r="F20008" t="str">
        <v>-</v>
      </c>
      <c r="G20008" t="str">
        <v>-</v>
      </c>
    </row>
    <row r="20009">
      <c r="B20009" t="str">
        <v>UBND Ủy ban nhân dân xã Phước Hội  tỉnh Bà Rịa - Vũng Tàu</v>
      </c>
      <c r="C20009" t="str">
        <v>-</v>
      </c>
      <c r="D20009" t="str">
        <v>-</v>
      </c>
      <c r="E20009" t="str">
        <v>-</v>
      </c>
      <c r="F20009" t="str">
        <v>-</v>
      </c>
      <c r="G20009" t="str">
        <v>-</v>
      </c>
    </row>
    <row r="20010">
      <c r="B20010" t="str">
        <v>Công an xã Long Mỹ  tỉnh Bà Rịa - Vũng Tàu</v>
      </c>
      <c r="C20010" t="str">
        <v>-</v>
      </c>
      <c r="D20010" t="str">
        <v>-</v>
      </c>
      <c r="E20010" t="str">
        <v/>
      </c>
      <c r="F20010" t="str">
        <v>-</v>
      </c>
      <c r="G20010" t="str">
        <v>-</v>
      </c>
    </row>
    <row r="20011">
      <c r="B20011" t="str">
        <v>UBND Ủy ban nhân dân xã Long Mỹ  tỉnh Bà Rịa - Vũng Tàu</v>
      </c>
      <c r="C20011" t="str">
        <v>-</v>
      </c>
      <c r="D20011" t="str">
        <v>-</v>
      </c>
      <c r="E20011" t="str">
        <v>-</v>
      </c>
      <c r="F20011" t="str">
        <v>-</v>
      </c>
      <c r="G20011" t="str">
        <v>-</v>
      </c>
    </row>
    <row r="20012">
      <c r="B20012" t="str">
        <v>Công an xã Long Tân  tỉnh Bà Rịa - Vũng Tàu</v>
      </c>
      <c r="C20012" t="str">
        <v>-</v>
      </c>
      <c r="D20012" t="str">
        <v>-</v>
      </c>
      <c r="E20012" t="str">
        <v/>
      </c>
      <c r="F20012" t="str">
        <v>-</v>
      </c>
      <c r="G20012" t="str">
        <v>-</v>
      </c>
    </row>
    <row r="20013">
      <c r="B20013" t="str">
        <v>UBND Ủy ban nhân dân xã Long Tân  tỉnh Bà Rịa - Vũng Tàu</v>
      </c>
      <c r="C20013" t="str">
        <v>-</v>
      </c>
      <c r="D20013" t="str">
        <v>-</v>
      </c>
      <c r="E20013" t="str">
        <v>-</v>
      </c>
      <c r="F20013" t="str">
        <v>-</v>
      </c>
      <c r="G20013" t="str">
        <v>-</v>
      </c>
    </row>
    <row r="20014">
      <c r="B20014" t="str">
        <v>Công an xã Láng Dài  tỉnh Bà Rịa - Vũng Tàu</v>
      </c>
      <c r="C20014" t="str">
        <v>-</v>
      </c>
      <c r="D20014" t="str">
        <v>-</v>
      </c>
      <c r="E20014" t="str">
        <v/>
      </c>
      <c r="F20014" t="str">
        <v>-</v>
      </c>
      <c r="G20014" t="str">
        <v>-</v>
      </c>
    </row>
    <row r="20015">
      <c r="B20015" t="str">
        <v>UBND Ủy ban nhân dân xã Láng Dài  tỉnh Bà Rịa - Vũng Tàu</v>
      </c>
      <c r="C20015" t="str">
        <v>-</v>
      </c>
      <c r="D20015" t="str">
        <v>-</v>
      </c>
      <c r="E20015" t="str">
        <v>-</v>
      </c>
      <c r="F20015" t="str">
        <v>-</v>
      </c>
      <c r="G20015" t="str">
        <v>-</v>
      </c>
    </row>
    <row r="20016">
      <c r="B20016" t="str">
        <v>Công an xã Lộc An  tỉnh Bà Rịa - Vũng Tàu</v>
      </c>
      <c r="C20016" t="str">
        <v>-</v>
      </c>
      <c r="D20016" t="str">
        <v>-</v>
      </c>
      <c r="E20016" t="str">
        <v/>
      </c>
      <c r="F20016" t="str">
        <v>-</v>
      </c>
      <c r="G20016" t="str">
        <v>-</v>
      </c>
    </row>
    <row r="20017">
      <c r="B20017" t="str">
        <v>UBND Ủy ban nhân dân xã Lộc An  tỉnh Bà Rịa - Vũng Tàu</v>
      </c>
      <c r="C20017" t="str">
        <v>-</v>
      </c>
      <c r="D20017" t="str">
        <v>-</v>
      </c>
      <c r="E20017" t="str">
        <v>-</v>
      </c>
      <c r="F20017" t="str">
        <v>-</v>
      </c>
      <c r="G20017" t="str">
        <v>-</v>
      </c>
    </row>
    <row r="20018">
      <c r="B20018" t="str">
        <v>Công an xã Tân Hoà  tỉnh Bà Rịa - Vũng Tàu</v>
      </c>
      <c r="C20018" t="str">
        <v>-</v>
      </c>
      <c r="D20018" t="str">
        <v>-</v>
      </c>
      <c r="E20018" t="str">
        <v/>
      </c>
      <c r="F20018" t="str">
        <v>-</v>
      </c>
      <c r="G20018" t="str">
        <v>-</v>
      </c>
    </row>
    <row r="20019">
      <c r="B20019" t="str">
        <v>UBND Ủy ban nhân dân xã Tân Hoà  tỉnh Bà Rịa - Vũng Tàu</v>
      </c>
      <c r="C20019" t="str">
        <v>-</v>
      </c>
      <c r="D20019" t="str">
        <v>-</v>
      </c>
      <c r="E20019" t="str">
        <v>-</v>
      </c>
      <c r="F20019" t="str">
        <v>-</v>
      </c>
      <c r="G20019" t="str">
        <v>-</v>
      </c>
    </row>
    <row r="20020">
      <c r="B20020" t="str">
        <v>Công an xã Tân Hải  tỉnh Bà Rịa - Vũng Tàu</v>
      </c>
      <c r="C20020" t="str">
        <v>-</v>
      </c>
      <c r="D20020" t="str">
        <v>-</v>
      </c>
      <c r="E20020" t="str">
        <v/>
      </c>
      <c r="F20020" t="str">
        <v>-</v>
      </c>
      <c r="G20020" t="str">
        <v>-</v>
      </c>
    </row>
    <row r="20021">
      <c r="B20021" t="str">
        <v>UBND Ủy ban nhân dân xã Tân Hải  tỉnh Bà Rịa - Vũng Tàu</v>
      </c>
      <c r="C20021" t="str">
        <v>-</v>
      </c>
      <c r="D20021" t="str">
        <v>-</v>
      </c>
      <c r="E20021" t="str">
        <v>-</v>
      </c>
      <c r="F20021" t="str">
        <v>-</v>
      </c>
      <c r="G20021" t="str">
        <v>-</v>
      </c>
    </row>
    <row r="20022">
      <c r="B20022" t="str">
        <v>Công an xã Phước Hoà  tỉnh Bà Rịa - Vũng Tàu</v>
      </c>
      <c r="C20022" t="str">
        <v>-</v>
      </c>
      <c r="D20022" t="str">
        <v>-</v>
      </c>
      <c r="E20022" t="str">
        <v/>
      </c>
      <c r="F20022" t="str">
        <v>-</v>
      </c>
      <c r="G20022" t="str">
        <v>-</v>
      </c>
    </row>
    <row r="20023">
      <c r="B20023" t="str">
        <v>UBND Ủy ban nhân dân xã Phước Hoà  tỉnh Bà Rịa - Vũng Tàu</v>
      </c>
      <c r="C20023" t="str">
        <v>-</v>
      </c>
      <c r="D20023" t="str">
        <v>-</v>
      </c>
      <c r="E20023" t="str">
        <v>-</v>
      </c>
      <c r="F20023" t="str">
        <v>-</v>
      </c>
      <c r="G20023" t="str">
        <v>-</v>
      </c>
    </row>
    <row r="20024">
      <c r="B20024" t="str">
        <v>Công an xã Tân Phước  tỉnh Bà Rịa - Vũng Tàu</v>
      </c>
      <c r="C20024" t="str">
        <v>-</v>
      </c>
      <c r="D20024" t="str">
        <v>-</v>
      </c>
      <c r="E20024" t="str">
        <v/>
      </c>
      <c r="F20024" t="str">
        <v>-</v>
      </c>
      <c r="G20024" t="str">
        <v>-</v>
      </c>
    </row>
    <row r="20025">
      <c r="B20025" t="str">
        <v>UBND Ủy ban nhân dân xã Tân Phước  tỉnh Bà Rịa - Vũng Tàu</v>
      </c>
      <c r="C20025" t="str">
        <v>-</v>
      </c>
      <c r="D20025" t="str">
        <v>-</v>
      </c>
      <c r="E20025" t="str">
        <v>-</v>
      </c>
      <c r="F20025" t="str">
        <v>-</v>
      </c>
      <c r="G20025" t="str">
        <v>-</v>
      </c>
    </row>
    <row r="20026">
      <c r="B20026" t="str">
        <v>Công an xã Mỹ Xuân  tỉnh Bà Rịa - Vũng Tàu</v>
      </c>
      <c r="C20026" t="str">
        <v>-</v>
      </c>
      <c r="D20026" t="str">
        <v>-</v>
      </c>
      <c r="E20026" t="str">
        <v/>
      </c>
      <c r="F20026" t="str">
        <v>-</v>
      </c>
      <c r="G20026" t="str">
        <v>-</v>
      </c>
    </row>
    <row r="20027">
      <c r="B20027" t="str">
        <v>UBND Ủy ban nhân dân xã Mỹ Xuân  tỉnh Bà Rịa - Vũng Tàu</v>
      </c>
      <c r="C20027" t="str">
        <v>-</v>
      </c>
      <c r="D20027" t="str">
        <v>-</v>
      </c>
      <c r="E20027" t="str">
        <v>-</v>
      </c>
      <c r="F20027" t="str">
        <v>-</v>
      </c>
      <c r="G20027" t="str">
        <v>-</v>
      </c>
    </row>
    <row r="20028">
      <c r="B20028" t="str">
        <v>Công an xã Sông Xoài  tỉnh Bà Rịa - Vũng Tàu</v>
      </c>
      <c r="C20028" t="str">
        <v>-</v>
      </c>
      <c r="D20028" t="str">
        <v>-</v>
      </c>
      <c r="E20028" t="str">
        <v/>
      </c>
      <c r="F20028" t="str">
        <v>-</v>
      </c>
      <c r="G20028" t="str">
        <v>-</v>
      </c>
    </row>
    <row r="20029">
      <c r="B20029" t="str">
        <v>UBND Ủy ban nhân dân xã Sông Xoài  tỉnh Bà Rịa - Vũng Tàu</v>
      </c>
      <c r="C20029" t="str">
        <v>-</v>
      </c>
      <c r="D20029" t="str">
        <v>-</v>
      </c>
      <c r="E20029" t="str">
        <v>-</v>
      </c>
      <c r="F20029" t="str">
        <v>-</v>
      </c>
      <c r="G20029" t="str">
        <v>-</v>
      </c>
    </row>
    <row r="20030">
      <c r="B20030" t="str">
        <v>Công an xã Hắc Dịch  tỉnh Bà Rịa - Vũng Tàu</v>
      </c>
      <c r="C20030" t="str">
        <v>-</v>
      </c>
      <c r="D20030" t="str">
        <v>-</v>
      </c>
      <c r="E20030" t="str">
        <v/>
      </c>
      <c r="F20030" t="str">
        <v>-</v>
      </c>
      <c r="G20030" t="str">
        <v>-</v>
      </c>
    </row>
    <row r="20031">
      <c r="B20031" t="str">
        <v>UBND Ủy ban nhân dân xã Hắc Dịch  tỉnh Bà Rịa - Vũng Tàu</v>
      </c>
      <c r="C20031" t="str">
        <v>-</v>
      </c>
      <c r="D20031" t="str">
        <v>-</v>
      </c>
      <c r="E20031" t="str">
        <v>-</v>
      </c>
      <c r="F20031" t="str">
        <v>-</v>
      </c>
      <c r="G20031" t="str">
        <v>-</v>
      </c>
    </row>
    <row r="20032">
      <c r="B20032" t="str">
        <v>Công an xã Tóc Tiên  tỉnh Bà Rịa - Vũng Tàu</v>
      </c>
      <c r="C20032" t="str">
        <v>-</v>
      </c>
      <c r="D20032" t="str">
        <v>-</v>
      </c>
      <c r="E20032" t="str">
        <v/>
      </c>
      <c r="F20032" t="str">
        <v>-</v>
      </c>
      <c r="G20032" t="str">
        <v>-</v>
      </c>
    </row>
    <row r="20033">
      <c r="B20033" t="str">
        <v>UBND Ủy ban nhân dân xã Tóc Tiên  tỉnh Bà Rịa - Vũng Tàu</v>
      </c>
      <c r="C20033" t="str">
        <v>-</v>
      </c>
      <c r="D20033" t="str">
        <v>-</v>
      </c>
      <c r="E20033" t="str">
        <v>-</v>
      </c>
      <c r="F20033" t="str">
        <v>-</v>
      </c>
      <c r="G20033" t="str">
        <v>-</v>
      </c>
    </row>
    <row r="20034">
      <c r="B20034" t="str">
        <v>Công an phường Tân Định  thành phố Hồ Chí Minh</v>
      </c>
      <c r="C20034" t="str">
        <v>-</v>
      </c>
      <c r="D20034" t="str">
        <v>-</v>
      </c>
      <c r="E20034" t="str">
        <v/>
      </c>
      <c r="F20034" t="str">
        <v>-</v>
      </c>
      <c r="G20034" t="str">
        <v>-</v>
      </c>
    </row>
    <row r="20035">
      <c r="B20035" t="str">
        <v>UBND Ủy ban nhân dân phường Tân Định  thành phố Hồ Chí Minh</v>
      </c>
      <c r="C20035" t="str">
        <v>-</v>
      </c>
      <c r="D20035" t="str">
        <v>-</v>
      </c>
      <c r="E20035" t="str">
        <v>-</v>
      </c>
      <c r="F20035" t="str">
        <v>-</v>
      </c>
      <c r="G20035" t="str">
        <v>-</v>
      </c>
    </row>
    <row r="20036">
      <c r="B20036" t="str">
        <v>Công an phường Đa Kao  thành phố Hồ Chí Minh</v>
      </c>
      <c r="C20036" t="str">
        <v>-</v>
      </c>
      <c r="D20036" t="str">
        <v>-</v>
      </c>
      <c r="E20036" t="str">
        <v/>
      </c>
      <c r="F20036" t="str">
        <v>-</v>
      </c>
      <c r="G20036" t="str">
        <v>-</v>
      </c>
    </row>
    <row r="20037">
      <c r="B20037" t="str">
        <v>UBND Ủy ban nhân dân phường Đa Kao  thành phố Hồ Chí Minh</v>
      </c>
      <c r="C20037" t="str">
        <v>-</v>
      </c>
      <c r="D20037" t="str">
        <v>-</v>
      </c>
      <c r="E20037" t="str">
        <v>-</v>
      </c>
      <c r="F20037" t="str">
        <v>-</v>
      </c>
      <c r="G20037" t="str">
        <v>-</v>
      </c>
    </row>
    <row r="20038">
      <c r="B20038" t="str">
        <v>Công an phường Bến Nghé  thành phố Hồ Chí Minh</v>
      </c>
      <c r="C20038" t="str">
        <v>-</v>
      </c>
      <c r="D20038" t="str">
        <v>-</v>
      </c>
      <c r="E20038" t="str">
        <v/>
      </c>
      <c r="F20038" t="str">
        <v>-</v>
      </c>
      <c r="G20038" t="str">
        <v>-</v>
      </c>
    </row>
    <row r="20039">
      <c r="B20039" t="str">
        <v>UBND Ủy ban nhân dân phường Bến Nghé  thành phố Hồ Chí Minh</v>
      </c>
      <c r="C20039" t="str">
        <v>-</v>
      </c>
      <c r="D20039" t="str">
        <v>-</v>
      </c>
      <c r="E20039" t="str">
        <v>-</v>
      </c>
      <c r="F20039" t="str">
        <v>-</v>
      </c>
      <c r="G20039" t="str">
        <v>-</v>
      </c>
    </row>
    <row r="20040">
      <c r="B20040" t="str">
        <v>Công an phường Bến Thành  thành phố Hồ Chí Minh</v>
      </c>
      <c r="C20040" t="str">
        <v>-</v>
      </c>
      <c r="D20040" t="str">
        <v>-</v>
      </c>
      <c r="E20040" t="str">
        <v/>
      </c>
      <c r="F20040" t="str">
        <v>-</v>
      </c>
      <c r="G20040" t="str">
        <v>-</v>
      </c>
    </row>
    <row r="20041">
      <c r="B20041" t="str">
        <v>UBND Ủy ban nhân dân phường Bến Thành  thành phố Hồ Chí Minh</v>
      </c>
      <c r="C20041" t="str">
        <v>-</v>
      </c>
      <c r="D20041" t="str">
        <v>-</v>
      </c>
      <c r="E20041" t="str">
        <v>-</v>
      </c>
      <c r="F20041" t="str">
        <v>-</v>
      </c>
      <c r="G20041" t="str">
        <v>-</v>
      </c>
    </row>
    <row r="20042">
      <c r="B20042" t="str">
        <v>Công an phường Nguyễn Thái Bình  thành phố Hồ Chí Minh</v>
      </c>
      <c r="C20042" t="str">
        <v>-</v>
      </c>
      <c r="D20042" t="str">
        <v>-</v>
      </c>
      <c r="E20042" t="str">
        <v/>
      </c>
      <c r="F20042" t="str">
        <v>-</v>
      </c>
      <c r="G20042" t="str">
        <v>-</v>
      </c>
    </row>
    <row r="20043">
      <c r="B20043" t="str">
        <v>UBND Ủy ban nhân dân phường Nguyễn Thái Bình  thành phố Hồ Chí Minh</v>
      </c>
      <c r="C20043" t="str">
        <v>-</v>
      </c>
      <c r="D20043" t="str">
        <v>-</v>
      </c>
      <c r="E20043" t="str">
        <v>-</v>
      </c>
      <c r="F20043" t="str">
        <v>-</v>
      </c>
      <c r="G20043" t="str">
        <v>-</v>
      </c>
    </row>
    <row r="20044">
      <c r="B20044" t="str">
        <v>Công an phường Phạm Ngũ Lão  thành phố Hồ Chí Minh</v>
      </c>
      <c r="C20044" t="str">
        <v>-</v>
      </c>
      <c r="D20044" t="str">
        <v>-</v>
      </c>
      <c r="E20044" t="str">
        <v/>
      </c>
      <c r="F20044" t="str">
        <v>-</v>
      </c>
      <c r="G20044" t="str">
        <v>-</v>
      </c>
    </row>
    <row r="20045">
      <c r="B20045" t="str">
        <v>UBND Ủy ban nhân dân phường Phạm Ngũ Lão  thành phố Hồ Chí Minh</v>
      </c>
      <c r="C20045" t="str">
        <v>-</v>
      </c>
      <c r="D20045" t="str">
        <v>-</v>
      </c>
      <c r="E20045" t="str">
        <v>-</v>
      </c>
      <c r="F20045" t="str">
        <v>-</v>
      </c>
      <c r="G20045" t="str">
        <v>-</v>
      </c>
    </row>
    <row r="20046">
      <c r="B20046" t="str">
        <v>Công an phường Cầu Ông Lãnh  thành phố Hồ Chí Minh</v>
      </c>
      <c r="C20046" t="str">
        <v>-</v>
      </c>
      <c r="D20046" t="str">
        <v>-</v>
      </c>
      <c r="E20046" t="str">
        <v/>
      </c>
      <c r="F20046" t="str">
        <v>-</v>
      </c>
      <c r="G20046" t="str">
        <v>-</v>
      </c>
    </row>
    <row r="20047">
      <c r="B20047" t="str">
        <v>UBND Ủy ban nhân dân phường Cầu Ông Lãnh  thành phố Hồ Chí Minh</v>
      </c>
      <c r="C20047" t="str">
        <v>-</v>
      </c>
      <c r="D20047" t="str">
        <v>-</v>
      </c>
      <c r="E20047" t="str">
        <v>-</v>
      </c>
      <c r="F20047" t="str">
        <v>-</v>
      </c>
      <c r="G20047" t="str">
        <v>-</v>
      </c>
    </row>
    <row r="20048">
      <c r="B20048" t="str">
        <v>Công an phường Cô Giang  thành phố Hồ Chí Minh</v>
      </c>
      <c r="C20048" t="str">
        <v>-</v>
      </c>
      <c r="D20048" t="str">
        <v>-</v>
      </c>
      <c r="E20048" t="str">
        <v/>
      </c>
      <c r="F20048" t="str">
        <v>-</v>
      </c>
      <c r="G20048" t="str">
        <v>-</v>
      </c>
    </row>
    <row r="20049">
      <c r="B20049" t="str">
        <v>UBND Ủy ban nhân dân phường Cô Giang  thành phố Hồ Chí Minh</v>
      </c>
      <c r="C20049" t="str">
        <v>-</v>
      </c>
      <c r="D20049" t="str">
        <v>-</v>
      </c>
      <c r="E20049" t="str">
        <v>-</v>
      </c>
      <c r="F20049" t="str">
        <v>-</v>
      </c>
      <c r="G20049" t="str">
        <v>-</v>
      </c>
    </row>
    <row r="20050">
      <c r="B20050" t="str">
        <v>Công an phường Nguyễn Cư Trinh  thành phố Hồ Chí Minh</v>
      </c>
      <c r="C20050" t="str">
        <v>-</v>
      </c>
      <c r="D20050" t="str">
        <v>-</v>
      </c>
      <c r="E20050" t="str">
        <v/>
      </c>
      <c r="F20050" t="str">
        <v>-</v>
      </c>
      <c r="G20050" t="str">
        <v>-</v>
      </c>
    </row>
    <row r="20051">
      <c r="B20051" t="str">
        <v>UBND Ủy ban nhân dân phường Nguyễn Cư Trinh  thành phố Hồ Chí Minh</v>
      </c>
      <c r="C20051" t="str">
        <v>-</v>
      </c>
      <c r="D20051" t="str">
        <v>-</v>
      </c>
      <c r="E20051" t="str">
        <v>-</v>
      </c>
      <c r="F20051" t="str">
        <v>-</v>
      </c>
      <c r="G20051" t="str">
        <v>-</v>
      </c>
    </row>
    <row r="20052">
      <c r="B20052" t="str">
        <v>Công an phường Cầu Kho  thành phố Hồ Chí Minh</v>
      </c>
      <c r="C20052" t="str">
        <v>-</v>
      </c>
      <c r="D20052" t="str">
        <v>-</v>
      </c>
      <c r="E20052" t="str">
        <v/>
      </c>
      <c r="F20052" t="str">
        <v>-</v>
      </c>
      <c r="G20052" t="str">
        <v>-</v>
      </c>
    </row>
    <row r="20053">
      <c r="B20053" t="str">
        <v>UBND Ủy ban nhân dân phường Cầu Kho  thành phố Hồ Chí Minh</v>
      </c>
      <c r="C20053" t="str">
        <v>-</v>
      </c>
      <c r="D20053" t="str">
        <v>-</v>
      </c>
      <c r="E20053" t="str">
        <v>-</v>
      </c>
      <c r="F20053" t="str">
        <v>-</v>
      </c>
      <c r="G20053" t="str">
        <v>-</v>
      </c>
    </row>
    <row r="20054">
      <c r="B20054" t="str">
        <v>Công an phường Thạnh Xuân  thành phố Hồ Chí Minh</v>
      </c>
      <c r="C20054" t="str">
        <v>-</v>
      </c>
      <c r="D20054" t="str">
        <v>-</v>
      </c>
      <c r="E20054" t="str">
        <v/>
      </c>
      <c r="F20054" t="str">
        <v>-</v>
      </c>
      <c r="G20054" t="str">
        <v>-</v>
      </c>
    </row>
    <row r="20055">
      <c r="B20055" t="str">
        <v>UBND Ủy ban nhân dân phường Thạnh Xuân  thành phố Hồ Chí Minh</v>
      </c>
      <c r="C20055" t="str">
        <v>-</v>
      </c>
      <c r="D20055" t="str">
        <v>-</v>
      </c>
      <c r="E20055" t="str">
        <v>-</v>
      </c>
      <c r="F20055" t="str">
        <v>-</v>
      </c>
      <c r="G20055" t="str">
        <v>-</v>
      </c>
    </row>
    <row r="20056">
      <c r="B20056" t="str">
        <v>Công an phường Thạnh Lộc  thành phố Hồ Chí Minh</v>
      </c>
      <c r="C20056" t="str">
        <v>-</v>
      </c>
      <c r="D20056" t="str">
        <v>-</v>
      </c>
      <c r="E20056" t="str">
        <v/>
      </c>
      <c r="F20056" t="str">
        <v>-</v>
      </c>
      <c r="G20056" t="str">
        <v>-</v>
      </c>
    </row>
    <row r="20057">
      <c r="B20057" t="str">
        <v>UBND Ủy ban nhân dân phường Thạnh Lộc  thành phố Hồ Chí Minh</v>
      </c>
      <c r="C20057" t="str">
        <v>-</v>
      </c>
      <c r="D20057" t="str">
        <v>-</v>
      </c>
      <c r="E20057" t="str">
        <v>-</v>
      </c>
      <c r="F20057" t="str">
        <v>-</v>
      </c>
      <c r="G20057" t="str">
        <v>-</v>
      </c>
    </row>
    <row r="20058">
      <c r="B20058" t="str">
        <v>Công an phường Hiệp Thành  thành phố Hồ Chí Minh</v>
      </c>
      <c r="C20058" t="str">
        <v>-</v>
      </c>
      <c r="D20058" t="str">
        <v>-</v>
      </c>
      <c r="E20058" t="str">
        <v/>
      </c>
      <c r="F20058" t="str">
        <v>-</v>
      </c>
      <c r="G20058" t="str">
        <v>-</v>
      </c>
    </row>
    <row r="20059">
      <c r="B20059" t="str">
        <v>UBND Ủy ban nhân dân phường Hiệp Thành  thành phố Hồ Chí Minh</v>
      </c>
      <c r="C20059" t="str">
        <v>-</v>
      </c>
      <c r="D20059" t="str">
        <v>-</v>
      </c>
      <c r="E20059" t="str">
        <v>-</v>
      </c>
      <c r="F20059" t="str">
        <v>-</v>
      </c>
      <c r="G20059" t="str">
        <v>-</v>
      </c>
    </row>
    <row r="20060">
      <c r="B20060" t="str">
        <v>Công an phường Thới An  thành phố Hồ Chí Minh</v>
      </c>
      <c r="C20060" t="str">
        <v>-</v>
      </c>
      <c r="D20060" t="str">
        <v>-</v>
      </c>
      <c r="E20060" t="str">
        <v/>
      </c>
      <c r="F20060" t="str">
        <v>-</v>
      </c>
      <c r="G20060" t="str">
        <v>-</v>
      </c>
    </row>
    <row r="20061">
      <c r="B20061" t="str">
        <v>UBND Ủy ban nhân dân phường Thới An  thành phố Hồ Chí Minh</v>
      </c>
      <c r="C20061" t="str">
        <v>-</v>
      </c>
      <c r="D20061" t="str">
        <v>-</v>
      </c>
      <c r="E20061" t="str">
        <v>-</v>
      </c>
      <c r="F20061" t="str">
        <v>-</v>
      </c>
      <c r="G20061" t="str">
        <v>-</v>
      </c>
    </row>
    <row r="20062">
      <c r="B20062" t="str">
        <v>Công an phường Tân Chánh Hiệp  thành phố Hồ Chí Minh</v>
      </c>
      <c r="C20062" t="str">
        <v>-</v>
      </c>
      <c r="D20062" t="str">
        <v>-</v>
      </c>
      <c r="E20062" t="str">
        <v/>
      </c>
      <c r="F20062" t="str">
        <v>-</v>
      </c>
      <c r="G20062" t="str">
        <v>-</v>
      </c>
    </row>
    <row r="20063">
      <c r="B20063" t="str">
        <v>UBND Ủy ban nhân dân phường Tân Chánh Hiệp  thành phố Hồ Chí Minh</v>
      </c>
      <c r="C20063" t="str">
        <v>-</v>
      </c>
      <c r="D20063" t="str">
        <v>-</v>
      </c>
      <c r="E20063" t="str">
        <v>-</v>
      </c>
      <c r="F20063" t="str">
        <v>-</v>
      </c>
      <c r="G20063" t="str">
        <v>-</v>
      </c>
    </row>
    <row r="20064">
      <c r="B20064" t="str">
        <v>Công an phường An Phú Đông  thành phố Hồ Chí Minh</v>
      </c>
      <c r="C20064" t="str">
        <v>-</v>
      </c>
      <c r="D20064" t="str">
        <v>-</v>
      </c>
      <c r="E20064" t="str">
        <v/>
      </c>
      <c r="F20064" t="str">
        <v>-</v>
      </c>
      <c r="G20064" t="str">
        <v>-</v>
      </c>
    </row>
    <row r="20065">
      <c r="B20065" t="str">
        <v>UBND Ủy ban nhân dân phường An Phú Đông  thành phố Hồ Chí Minh</v>
      </c>
      <c r="C20065" t="str">
        <v>-</v>
      </c>
      <c r="D20065" t="str">
        <v>-</v>
      </c>
      <c r="E20065" t="str">
        <v>-</v>
      </c>
      <c r="F20065" t="str">
        <v>-</v>
      </c>
      <c r="G20065" t="str">
        <v>-</v>
      </c>
    </row>
    <row r="20066">
      <c r="B20066" t="str">
        <v>Công an phường Tân Thới Hiệp  thành phố Hồ Chí Minh</v>
      </c>
      <c r="C20066" t="str">
        <v>-</v>
      </c>
      <c r="D20066" t="str">
        <v>-</v>
      </c>
      <c r="E20066" t="str">
        <v/>
      </c>
      <c r="F20066" t="str">
        <v>-</v>
      </c>
      <c r="G20066" t="str">
        <v>-</v>
      </c>
    </row>
    <row r="20067">
      <c r="B20067" t="str">
        <v>UBND Ủy ban nhân dân phường Tân Thới Hiệp  thành phố Hồ Chí Minh</v>
      </c>
      <c r="C20067" t="str">
        <v>-</v>
      </c>
      <c r="D20067" t="str">
        <v>-</v>
      </c>
      <c r="E20067" t="str">
        <v>-</v>
      </c>
      <c r="F20067" t="str">
        <v>-</v>
      </c>
      <c r="G20067" t="str">
        <v>-</v>
      </c>
    </row>
    <row r="20068">
      <c r="B20068" t="str">
        <v>Công an phường Trung Mỹ Tây  thành phố Hồ Chí Minh</v>
      </c>
      <c r="C20068" t="str">
        <v>-</v>
      </c>
      <c r="D20068" t="str">
        <v>-</v>
      </c>
      <c r="E20068" t="str">
        <v/>
      </c>
      <c r="F20068" t="str">
        <v>-</v>
      </c>
      <c r="G20068" t="str">
        <v>-</v>
      </c>
    </row>
    <row r="20069">
      <c r="B20069" t="str">
        <v>UBND Ủy ban nhân dân phường Trung Mỹ Tây  thành phố Hồ Chí Minh</v>
      </c>
      <c r="C20069" t="str">
        <v>-</v>
      </c>
      <c r="D20069" t="str">
        <v>-</v>
      </c>
      <c r="E20069" t="str">
        <v>-</v>
      </c>
      <c r="F20069" t="str">
        <v>-</v>
      </c>
      <c r="G20069" t="str">
        <v>-</v>
      </c>
    </row>
    <row r="20070">
      <c r="B20070" t="str">
        <v>Công an phường Tân Hưng Thuận  thành phố Hồ Chí Minh</v>
      </c>
      <c r="C20070" t="str">
        <v>-</v>
      </c>
      <c r="D20070" t="str">
        <v>-</v>
      </c>
      <c r="E20070" t="str">
        <v/>
      </c>
      <c r="F20070" t="str">
        <v>-</v>
      </c>
      <c r="G20070" t="str">
        <v>-</v>
      </c>
    </row>
    <row r="20071">
      <c r="B20071" t="str">
        <v>UBND Ủy ban nhân dân phường Tân Hưng Thuận  thành phố Hồ Chí Minh</v>
      </c>
      <c r="C20071" t="str">
        <v>-</v>
      </c>
      <c r="D20071" t="str">
        <v>-</v>
      </c>
      <c r="E20071" t="str">
        <v>-</v>
      </c>
      <c r="F20071" t="str">
        <v>-</v>
      </c>
      <c r="G20071" t="str">
        <v>-</v>
      </c>
    </row>
    <row r="20072">
      <c r="B20072" t="str">
        <v>Công an phường Đông Hưng Thuận  thành phố Hồ Chí Minh</v>
      </c>
      <c r="C20072" t="str">
        <v>-</v>
      </c>
      <c r="D20072" t="str">
        <v>-</v>
      </c>
      <c r="E20072" t="str">
        <v/>
      </c>
      <c r="F20072" t="str">
        <v>-</v>
      </c>
      <c r="G20072" t="str">
        <v>-</v>
      </c>
    </row>
    <row r="20073">
      <c r="B20073" t="str">
        <v>UBND Ủy ban nhân dân phường Đông Hưng Thuận  thành phố Hồ Chí Minh</v>
      </c>
      <c r="C20073" t="str">
        <v>-</v>
      </c>
      <c r="D20073" t="str">
        <v>-</v>
      </c>
      <c r="E20073" t="str">
        <v>-</v>
      </c>
      <c r="F20073" t="str">
        <v>-</v>
      </c>
      <c r="G20073" t="str">
        <v>-</v>
      </c>
    </row>
    <row r="20074">
      <c r="B20074" t="str">
        <v>Công an phường Tân Thới Nhất  thành phố Hồ Chí Minh</v>
      </c>
      <c r="C20074" t="str">
        <v>-</v>
      </c>
      <c r="D20074" t="str">
        <v>-</v>
      </c>
      <c r="E20074" t="str">
        <v/>
      </c>
      <c r="F20074" t="str">
        <v>-</v>
      </c>
      <c r="G20074" t="str">
        <v>-</v>
      </c>
    </row>
    <row r="20075">
      <c r="B20075" t="str">
        <v>UBND Ủy ban nhân dân phường Tân Thới Nhất  thành phố Hồ Chí Minh</v>
      </c>
      <c r="C20075" t="str">
        <v>-</v>
      </c>
      <c r="D20075" t="str">
        <v>-</v>
      </c>
      <c r="E20075" t="str">
        <v>-</v>
      </c>
      <c r="F20075" t="str">
        <v>-</v>
      </c>
      <c r="G20075" t="str">
        <v>-</v>
      </c>
    </row>
    <row r="20076">
      <c r="B20076" t="str">
        <v>Công an phường Linh Xuân  thành phố Hồ Chí Minh</v>
      </c>
      <c r="C20076" t="str">
        <v>-</v>
      </c>
      <c r="D20076" t="str">
        <v>-</v>
      </c>
      <c r="E20076" t="str">
        <v/>
      </c>
      <c r="F20076" t="str">
        <v>-</v>
      </c>
      <c r="G20076" t="str">
        <v>-</v>
      </c>
    </row>
    <row r="20077">
      <c r="B20077" t="str">
        <v>UBND Ủy ban nhân dân phường Linh Xuân  thành phố Hồ Chí Minh</v>
      </c>
      <c r="C20077" t="str">
        <v>-</v>
      </c>
      <c r="D20077" t="str">
        <v>-</v>
      </c>
      <c r="E20077" t="str">
        <v>-</v>
      </c>
      <c r="F20077" t="str">
        <v>-</v>
      </c>
      <c r="G20077" t="str">
        <v>-</v>
      </c>
    </row>
    <row r="20078">
      <c r="B20078" t="str">
        <v>Công an phường Bình Chiểu  thành phố Hồ Chí Minh</v>
      </c>
      <c r="C20078" t="str">
        <v>-</v>
      </c>
      <c r="D20078" t="str">
        <v>-</v>
      </c>
      <c r="E20078" t="str">
        <v/>
      </c>
      <c r="F20078" t="str">
        <v>-</v>
      </c>
      <c r="G20078" t="str">
        <v>-</v>
      </c>
    </row>
    <row r="20079">
      <c r="B20079" t="str">
        <v>UBND Ủy ban nhân dân phường Bình Chiểu  thành phố Hồ Chí Minh</v>
      </c>
      <c r="C20079" t="str">
        <v>-</v>
      </c>
      <c r="D20079" t="str">
        <v>-</v>
      </c>
      <c r="E20079" t="str">
        <v>-</v>
      </c>
      <c r="F20079" t="str">
        <v>-</v>
      </c>
      <c r="G20079" t="str">
        <v>-</v>
      </c>
    </row>
    <row r="20080">
      <c r="B20080" t="str">
        <v>Công an phường Linh Trung  thành phố Hồ Chí Minh</v>
      </c>
      <c r="C20080" t="str">
        <v>-</v>
      </c>
      <c r="D20080" t="str">
        <v>-</v>
      </c>
      <c r="E20080" t="str">
        <v/>
      </c>
      <c r="F20080" t="str">
        <v>-</v>
      </c>
      <c r="G20080" t="str">
        <v>-</v>
      </c>
    </row>
    <row r="20081">
      <c r="B20081" t="str">
        <v>UBND Ủy ban nhân dân phường Linh Trung  thành phố Hồ Chí Minh</v>
      </c>
      <c r="C20081" t="str">
        <v>-</v>
      </c>
      <c r="D20081" t="str">
        <v>-</v>
      </c>
      <c r="E20081" t="str">
        <v>-</v>
      </c>
      <c r="F20081" t="str">
        <v>-</v>
      </c>
      <c r="G20081" t="str">
        <v>-</v>
      </c>
    </row>
    <row r="20082">
      <c r="B20082" t="str">
        <v>Công an phường Tam Bình  thành phố Hồ Chí Minh</v>
      </c>
      <c r="C20082" t="str">
        <v>-</v>
      </c>
      <c r="D20082" t="str">
        <v>-</v>
      </c>
      <c r="E20082" t="str">
        <v/>
      </c>
      <c r="F20082" t="str">
        <v>-</v>
      </c>
      <c r="G20082" t="str">
        <v>-</v>
      </c>
    </row>
    <row r="20083">
      <c r="B20083" t="str">
        <v>UBND Ủy ban nhân dân phường Tam Bình  thành phố Hồ Chí Minh</v>
      </c>
      <c r="C20083" t="str">
        <v>-</v>
      </c>
      <c r="D20083" t="str">
        <v>-</v>
      </c>
      <c r="E20083" t="str">
        <v>-</v>
      </c>
      <c r="F20083" t="str">
        <v>-</v>
      </c>
      <c r="G20083" t="str">
        <v>-</v>
      </c>
    </row>
    <row r="20084">
      <c r="B20084" t="str">
        <v>Công an phường Tam Phú  thành phố Hồ Chí Minh</v>
      </c>
      <c r="C20084" t="str">
        <v>-</v>
      </c>
      <c r="D20084" t="str">
        <v>-</v>
      </c>
      <c r="E20084" t="str">
        <v/>
      </c>
      <c r="F20084" t="str">
        <v>-</v>
      </c>
      <c r="G20084" t="str">
        <v>-</v>
      </c>
    </row>
    <row r="20085">
      <c r="B20085" t="str">
        <v>UBND Ủy ban nhân dân phường Tam Phú  thành phố Hồ Chí Minh</v>
      </c>
      <c r="C20085" t="str">
        <v>-</v>
      </c>
      <c r="D20085" t="str">
        <v>-</v>
      </c>
      <c r="E20085" t="str">
        <v>-</v>
      </c>
      <c r="F20085" t="str">
        <v>-</v>
      </c>
      <c r="G20085" t="str">
        <v>-</v>
      </c>
    </row>
    <row r="20086">
      <c r="B20086" t="str">
        <v>Công an phường Hiệp Bình Phước  thành phố Hồ Chí Minh</v>
      </c>
      <c r="C20086" t="str">
        <v>-</v>
      </c>
      <c r="D20086" t="str">
        <v>-</v>
      </c>
      <c r="E20086" t="str">
        <v/>
      </c>
      <c r="F20086" t="str">
        <v>-</v>
      </c>
      <c r="G20086" t="str">
        <v>-</v>
      </c>
    </row>
    <row r="20087">
      <c r="B20087" t="str">
        <v>UBND Ủy ban nhân dân phường Hiệp Bình Phước  thành phố Hồ Chí Minh</v>
      </c>
      <c r="C20087" t="str">
        <v>-</v>
      </c>
      <c r="D20087" t="str">
        <v>-</v>
      </c>
      <c r="E20087" t="str">
        <v>-</v>
      </c>
      <c r="F20087" t="str">
        <v>-</v>
      </c>
      <c r="G20087" t="str">
        <v>-</v>
      </c>
    </row>
    <row r="20088">
      <c r="B20088" t="str">
        <v>Công an phường Hiệp Bình Chánh  thành phố Hồ Chí Minh</v>
      </c>
      <c r="C20088" t="str">
        <v>-</v>
      </c>
      <c r="D20088" t="str">
        <v>-</v>
      </c>
      <c r="E20088" t="str">
        <v/>
      </c>
      <c r="F20088" t="str">
        <v>-</v>
      </c>
      <c r="G20088" t="str">
        <v>-</v>
      </c>
    </row>
    <row r="20089">
      <c r="B20089" t="str">
        <v>UBND Ủy ban nhân dân phường Hiệp Bình Chánh  thành phố Hồ Chí Minh</v>
      </c>
      <c r="C20089" t="str">
        <v>-</v>
      </c>
      <c r="D20089" t="str">
        <v>-</v>
      </c>
      <c r="E20089" t="str">
        <v>-</v>
      </c>
      <c r="F20089" t="str">
        <v>-</v>
      </c>
      <c r="G20089" t="str">
        <v>-</v>
      </c>
    </row>
    <row r="20090">
      <c r="B20090" t="str">
        <v>Công an phường Linh Chiểu  thành phố Hồ Chí Minh</v>
      </c>
      <c r="C20090" t="str">
        <v>-</v>
      </c>
      <c r="D20090" t="str">
        <v>-</v>
      </c>
      <c r="E20090" t="str">
        <v/>
      </c>
      <c r="F20090" t="str">
        <v>-</v>
      </c>
      <c r="G20090" t="str">
        <v>-</v>
      </c>
    </row>
    <row r="20091">
      <c r="B20091" t="str">
        <v>UBND Ủy ban nhân dân phường Linh Chiểu  thành phố Hồ Chí Minh</v>
      </c>
      <c r="C20091" t="str">
        <v>-</v>
      </c>
      <c r="D20091" t="str">
        <v>-</v>
      </c>
      <c r="E20091" t="str">
        <v>-</v>
      </c>
      <c r="F20091" t="str">
        <v>-</v>
      </c>
      <c r="G20091" t="str">
        <v>-</v>
      </c>
    </row>
    <row r="20092">
      <c r="B20092" t="str">
        <v>Công an phường Linh Tây  thành phố Hồ Chí Minh</v>
      </c>
      <c r="C20092" t="str">
        <v>-</v>
      </c>
      <c r="D20092" t="str">
        <v>-</v>
      </c>
      <c r="E20092" t="str">
        <v/>
      </c>
      <c r="F20092" t="str">
        <v>-</v>
      </c>
      <c r="G20092" t="str">
        <v>-</v>
      </c>
    </row>
    <row r="20093">
      <c r="B20093" t="str">
        <v>UBND Ủy ban nhân dân phường Linh Tây  thành phố Hồ Chí Minh</v>
      </c>
      <c r="C20093" t="str">
        <v>-</v>
      </c>
      <c r="D20093" t="str">
        <v>-</v>
      </c>
      <c r="E20093" t="str">
        <v>-</v>
      </c>
      <c r="F20093" t="str">
        <v>-</v>
      </c>
      <c r="G20093" t="str">
        <v>-</v>
      </c>
    </row>
    <row r="20094">
      <c r="B20094" t="str">
        <v>Công an phường Linh Đông  thành phố Hồ Chí Minh</v>
      </c>
      <c r="C20094" t="str">
        <v>-</v>
      </c>
      <c r="D20094" t="str">
        <v>-</v>
      </c>
      <c r="E20094" t="str">
        <v/>
      </c>
      <c r="F20094" t="str">
        <v>-</v>
      </c>
      <c r="G20094" t="str">
        <v>-</v>
      </c>
    </row>
    <row r="20095">
      <c r="B20095" t="str">
        <v>UBND Ủy ban nhân dân phường Linh Đông  thành phố Hồ Chí Minh</v>
      </c>
      <c r="C20095" t="str">
        <v>-</v>
      </c>
      <c r="D20095" t="str">
        <v>-</v>
      </c>
      <c r="E20095" t="str">
        <v>-</v>
      </c>
      <c r="F20095" t="str">
        <v>-</v>
      </c>
      <c r="G20095" t="str">
        <v>-</v>
      </c>
    </row>
    <row r="20096">
      <c r="B20096" t="str">
        <v>Công an phường Bình Thọ  thành phố Hồ Chí Minh</v>
      </c>
      <c r="C20096" t="str">
        <v>-</v>
      </c>
      <c r="D20096" t="str">
        <v>-</v>
      </c>
      <c r="E20096" t="str">
        <v/>
      </c>
      <c r="F20096" t="str">
        <v>-</v>
      </c>
      <c r="G20096" t="str">
        <v>-</v>
      </c>
    </row>
    <row r="20097">
      <c r="B20097" t="str">
        <v>UBND Ủy ban nhân dân phường Bình Thọ  thành phố Hồ Chí Minh</v>
      </c>
      <c r="C20097" t="str">
        <v>-</v>
      </c>
      <c r="D20097" t="str">
        <v>-</v>
      </c>
      <c r="E20097" t="str">
        <v>-</v>
      </c>
      <c r="F20097" t="str">
        <v>-</v>
      </c>
      <c r="G20097" t="str">
        <v>-</v>
      </c>
    </row>
    <row r="20098">
      <c r="B20098" t="str">
        <v>Công an phường Trường Thọ  thành phố Hồ Chí Minh</v>
      </c>
      <c r="C20098" t="str">
        <v>-</v>
      </c>
      <c r="D20098" t="str">
        <v>-</v>
      </c>
      <c r="E20098" t="str">
        <v/>
      </c>
      <c r="F20098" t="str">
        <v>-</v>
      </c>
      <c r="G20098" t="str">
        <v>-</v>
      </c>
    </row>
    <row r="20099">
      <c r="B20099" t="str">
        <v>UBND Ủy ban nhân dân phường Trường Thọ  thành phố Hồ Chí Minh</v>
      </c>
      <c r="C20099" t="str">
        <v>-</v>
      </c>
      <c r="D20099" t="str">
        <v>-</v>
      </c>
      <c r="E20099" t="str">
        <v>-</v>
      </c>
      <c r="F20099" t="str">
        <v>-</v>
      </c>
      <c r="G20099" t="str">
        <v>-</v>
      </c>
    </row>
    <row r="20100">
      <c r="B20100" t="str">
        <v>Công an phường Long Bình  thành phố Hồ Chí Minh</v>
      </c>
      <c r="C20100" t="str">
        <v>-</v>
      </c>
      <c r="D20100" t="str">
        <v>-</v>
      </c>
      <c r="E20100" t="str">
        <v/>
      </c>
      <c r="F20100" t="str">
        <v>-</v>
      </c>
      <c r="G20100" t="str">
        <v>-</v>
      </c>
    </row>
    <row r="20101">
      <c r="B20101" t="str">
        <v>UBND Ủy ban nhân dân phường Long Bình  thành phố Hồ Chí Minh</v>
      </c>
      <c r="C20101" t="str">
        <v>-</v>
      </c>
      <c r="D20101" t="str">
        <v>-</v>
      </c>
      <c r="E20101" t="str">
        <v>-</v>
      </c>
      <c r="F20101" t="str">
        <v>-</v>
      </c>
      <c r="G20101" t="str">
        <v>-</v>
      </c>
    </row>
    <row r="20102">
      <c r="B20102" t="str">
        <v>Công an phường Long Thạnh Mỹ  thành phố Hồ Chí Minh</v>
      </c>
      <c r="C20102" t="str">
        <v>-</v>
      </c>
      <c r="D20102" t="str">
        <v>-</v>
      </c>
      <c r="E20102" t="str">
        <v/>
      </c>
      <c r="F20102" t="str">
        <v>-</v>
      </c>
      <c r="G20102" t="str">
        <v>-</v>
      </c>
    </row>
    <row r="20103">
      <c r="B20103" t="str">
        <v>UBND Ủy ban nhân dân phường Long Thạnh Mỹ  thành phố Hồ Chí Minh</v>
      </c>
      <c r="C20103" t="str">
        <v>-</v>
      </c>
      <c r="D20103" t="str">
        <v>-</v>
      </c>
      <c r="E20103" t="str">
        <v>-</v>
      </c>
      <c r="F20103" t="str">
        <v>-</v>
      </c>
      <c r="G20103" t="str">
        <v>-</v>
      </c>
    </row>
    <row r="20104">
      <c r="B20104" t="str">
        <v>Công an phường Tân Phú  thành phố Hồ Chí Minh</v>
      </c>
      <c r="C20104" t="str">
        <v>-</v>
      </c>
      <c r="D20104" t="str">
        <v>-</v>
      </c>
      <c r="E20104" t="str">
        <v/>
      </c>
      <c r="F20104" t="str">
        <v>-</v>
      </c>
      <c r="G20104" t="str">
        <v>-</v>
      </c>
    </row>
    <row r="20105">
      <c r="B20105" t="str">
        <v>UBND Ủy ban nhân dân phường Tân Phú  thành phố Hồ Chí Minh</v>
      </c>
      <c r="C20105" t="str">
        <v>-</v>
      </c>
      <c r="D20105" t="str">
        <v>-</v>
      </c>
      <c r="E20105" t="str">
        <v>-</v>
      </c>
      <c r="F20105" t="str">
        <v>-</v>
      </c>
      <c r="G20105" t="str">
        <v>-</v>
      </c>
    </row>
    <row r="20106">
      <c r="B20106" t="str">
        <v>Công an phường Hiệp Phú  thành phố Hồ Chí Minh</v>
      </c>
      <c r="C20106" t="str">
        <v>-</v>
      </c>
      <c r="D20106" t="str">
        <v>-</v>
      </c>
      <c r="E20106" t="str">
        <v/>
      </c>
      <c r="F20106" t="str">
        <v>-</v>
      </c>
      <c r="G20106" t="str">
        <v>-</v>
      </c>
    </row>
    <row r="20107">
      <c r="B20107" t="str">
        <v>UBND Ủy ban nhân dân phường Hiệp Phú  thành phố Hồ Chí Minh</v>
      </c>
      <c r="C20107" t="str">
        <v>-</v>
      </c>
      <c r="D20107" t="str">
        <v>-</v>
      </c>
      <c r="E20107" t="str">
        <v>-</v>
      </c>
      <c r="F20107" t="str">
        <v>-</v>
      </c>
      <c r="G20107" t="str">
        <v>-</v>
      </c>
    </row>
    <row r="20108">
      <c r="B20108" t="str">
        <v>Công an phường Tăng Nhơn Phú A  thành phố Hồ Chí Minh</v>
      </c>
      <c r="C20108" t="str">
        <v>-</v>
      </c>
      <c r="D20108" t="str">
        <v>-</v>
      </c>
      <c r="E20108" t="str">
        <v/>
      </c>
      <c r="F20108" t="str">
        <v>-</v>
      </c>
      <c r="G20108" t="str">
        <v>-</v>
      </c>
    </row>
    <row r="20109">
      <c r="B20109" t="str">
        <v>UBND Ủy ban nhân dân phường Tăng Nhơn Phú A  thành phố Hồ Chí Minh</v>
      </c>
      <c r="C20109" t="str">
        <v>-</v>
      </c>
      <c r="D20109" t="str">
        <v>-</v>
      </c>
      <c r="E20109" t="str">
        <v>-</v>
      </c>
      <c r="F20109" t="str">
        <v>-</v>
      </c>
      <c r="G20109" t="str">
        <v>-</v>
      </c>
    </row>
    <row r="20110">
      <c r="B20110" t="str">
        <v>Công an phường Tăng Nhơn Phú B  thành phố Hồ Chí Minh</v>
      </c>
      <c r="C20110" t="str">
        <v>-</v>
      </c>
      <c r="D20110" t="str">
        <v>-</v>
      </c>
      <c r="E20110" t="str">
        <v/>
      </c>
      <c r="F20110" t="str">
        <v>-</v>
      </c>
      <c r="G20110" t="str">
        <v>-</v>
      </c>
    </row>
    <row r="20111">
      <c r="B20111" t="str">
        <v>UBND Ủy ban nhân dân phường Tăng Nhơn Phú B  thành phố Hồ Chí Minh</v>
      </c>
      <c r="C20111" t="str">
        <v>-</v>
      </c>
      <c r="D20111" t="str">
        <v>-</v>
      </c>
      <c r="E20111" t="str">
        <v>-</v>
      </c>
      <c r="F20111" t="str">
        <v>-</v>
      </c>
      <c r="G20111" t="str">
        <v>-</v>
      </c>
    </row>
    <row r="20112">
      <c r="B20112" t="str">
        <v>Công an phường Phước Long B  thành phố Hồ Chí Minh</v>
      </c>
      <c r="C20112" t="str">
        <v>-</v>
      </c>
      <c r="D20112" t="str">
        <v>-</v>
      </c>
      <c r="E20112" t="str">
        <v/>
      </c>
      <c r="F20112" t="str">
        <v>-</v>
      </c>
      <c r="G20112" t="str">
        <v>-</v>
      </c>
    </row>
    <row r="20113">
      <c r="B20113" t="str">
        <v>UBND Ủy ban nhân dân phường Phước Long B  thành phố Hồ Chí Minh</v>
      </c>
      <c r="C20113" t="str">
        <v>-</v>
      </c>
      <c r="D20113" t="str">
        <v>-</v>
      </c>
      <c r="E20113" t="str">
        <v>-</v>
      </c>
      <c r="F20113" t="str">
        <v>-</v>
      </c>
      <c r="G20113" t="str">
        <v>-</v>
      </c>
    </row>
    <row r="20114">
      <c r="B20114" t="str">
        <v>Công an phường Phước Long A  thành phố Hồ Chí Minh</v>
      </c>
      <c r="C20114" t="str">
        <v>-</v>
      </c>
      <c r="D20114" t="str">
        <v>-</v>
      </c>
      <c r="E20114" t="str">
        <v/>
      </c>
      <c r="F20114" t="str">
        <v>-</v>
      </c>
      <c r="G20114" t="str">
        <v>-</v>
      </c>
    </row>
    <row r="20115">
      <c r="B20115" t="str">
        <v>UBND Ủy ban nhân dân phường Phước Long A  thành phố Hồ Chí Minh</v>
      </c>
      <c r="C20115" t="str">
        <v>-</v>
      </c>
      <c r="D20115" t="str">
        <v>-</v>
      </c>
      <c r="E20115" t="str">
        <v>-</v>
      </c>
      <c r="F20115" t="str">
        <v>-</v>
      </c>
      <c r="G20115" t="str">
        <v>-</v>
      </c>
    </row>
    <row r="20116">
      <c r="B20116" t="str">
        <v>Công an phường Trường Thạnh  thành phố Hồ Chí Minh</v>
      </c>
      <c r="C20116" t="str">
        <v>-</v>
      </c>
      <c r="D20116" t="str">
        <v>-</v>
      </c>
      <c r="E20116" t="str">
        <v/>
      </c>
      <c r="F20116" t="str">
        <v>-</v>
      </c>
      <c r="G20116" t="str">
        <v>-</v>
      </c>
    </row>
    <row r="20117">
      <c r="B20117" t="str">
        <v>UBND Ủy ban nhân dân phường Trường Thạnh  thành phố Hồ Chí Minh</v>
      </c>
      <c r="C20117" t="str">
        <v>-</v>
      </c>
      <c r="D20117" t="str">
        <v>-</v>
      </c>
      <c r="E20117" t="str">
        <v>-</v>
      </c>
      <c r="F20117" t="str">
        <v>-</v>
      </c>
      <c r="G20117" t="str">
        <v>-</v>
      </c>
    </row>
    <row r="20118">
      <c r="B20118" t="str">
        <v>Công an phường Long Phước  thành phố Hồ Chí Minh</v>
      </c>
      <c r="C20118" t="str">
        <v>-</v>
      </c>
      <c r="D20118" t="str">
        <v>-</v>
      </c>
      <c r="E20118" t="str">
        <v/>
      </c>
      <c r="F20118" t="str">
        <v>-</v>
      </c>
      <c r="G20118" t="str">
        <v>-</v>
      </c>
    </row>
    <row r="20119">
      <c r="B20119" t="str">
        <v>UBND Ủy ban nhân dân phường Long Phước  thành phố Hồ Chí Minh</v>
      </c>
      <c r="C20119" t="str">
        <v>-</v>
      </c>
      <c r="D20119" t="str">
        <v>-</v>
      </c>
      <c r="E20119" t="str">
        <v>-</v>
      </c>
      <c r="F20119" t="str">
        <v>-</v>
      </c>
      <c r="G20119" t="str">
        <v>-</v>
      </c>
    </row>
    <row r="20120">
      <c r="B20120" t="str">
        <v>Công an phường Long Trường  thành phố Hồ Chí Minh</v>
      </c>
      <c r="C20120" t="str">
        <v>-</v>
      </c>
      <c r="D20120" t="str">
        <v>-</v>
      </c>
      <c r="E20120" t="str">
        <v/>
      </c>
      <c r="F20120" t="str">
        <v>-</v>
      </c>
      <c r="G20120" t="str">
        <v>-</v>
      </c>
    </row>
    <row r="20121">
      <c r="B20121" t="str">
        <v>UBND Ủy ban nhân dân phường Long Trường  thành phố Hồ Chí Minh</v>
      </c>
      <c r="C20121" t="str">
        <v>-</v>
      </c>
      <c r="D20121" t="str">
        <v>-</v>
      </c>
      <c r="E20121" t="str">
        <v>-</v>
      </c>
      <c r="F20121" t="str">
        <v>-</v>
      </c>
      <c r="G20121" t="str">
        <v>-</v>
      </c>
    </row>
    <row r="20122">
      <c r="B20122" t="str">
        <v>Công an phường Phước Bình  thành phố Hồ Chí Minh</v>
      </c>
      <c r="C20122" t="str">
        <v>-</v>
      </c>
      <c r="D20122" t="str">
        <v>-</v>
      </c>
      <c r="E20122" t="str">
        <v/>
      </c>
      <c r="F20122" t="str">
        <v>-</v>
      </c>
      <c r="G20122" t="str">
        <v>-</v>
      </c>
    </row>
    <row r="20123">
      <c r="B20123" t="str">
        <v>UBND Ủy ban nhân dân phường Phước Bình  thành phố Hồ Chí Minh</v>
      </c>
      <c r="C20123" t="str">
        <v>-</v>
      </c>
      <c r="D20123" t="str">
        <v>-</v>
      </c>
      <c r="E20123" t="str">
        <v>-</v>
      </c>
      <c r="F20123" t="str">
        <v>-</v>
      </c>
      <c r="G20123" t="str">
        <v>-</v>
      </c>
    </row>
    <row r="20124">
      <c r="B20124" t="str">
        <v>Công an phường Phú Hữu  thành phố Hồ Chí Minh</v>
      </c>
      <c r="C20124" t="str">
        <v>-</v>
      </c>
      <c r="D20124" t="str">
        <v>-</v>
      </c>
      <c r="E20124" t="str">
        <v/>
      </c>
      <c r="F20124" t="str">
        <v>-</v>
      </c>
      <c r="G20124" t="str">
        <v>-</v>
      </c>
    </row>
    <row r="20125">
      <c r="B20125" t="str">
        <v>UBND Ủy ban nhân dân phường Phú Hữu  thành phố Hồ Chí Minh</v>
      </c>
      <c r="C20125" t="str">
        <v>-</v>
      </c>
      <c r="D20125" t="str">
        <v>-</v>
      </c>
      <c r="E20125" t="str">
        <v>-</v>
      </c>
      <c r="F20125" t="str">
        <v>-</v>
      </c>
      <c r="G20125" t="str">
        <v>-</v>
      </c>
    </row>
    <row r="20126">
      <c r="B20126" t="str">
        <v>Công an phường 15  thành phố Hồ Chí Minh</v>
      </c>
      <c r="C20126" t="str">
        <v>-</v>
      </c>
      <c r="D20126" t="str">
        <v>-</v>
      </c>
      <c r="E20126" t="str">
        <v/>
      </c>
      <c r="F20126" t="str">
        <v>-</v>
      </c>
      <c r="G20126" t="str">
        <v>-</v>
      </c>
    </row>
    <row r="20127">
      <c r="B20127" t="str">
        <v>UBND Ủy ban nhân dân phường 15  thành phố Hồ Chí Minh</v>
      </c>
      <c r="C20127" t="str">
        <v>-</v>
      </c>
      <c r="D20127" t="str">
        <v>-</v>
      </c>
      <c r="E20127" t="str">
        <v>-</v>
      </c>
      <c r="F20127" t="str">
        <v>-</v>
      </c>
      <c r="G20127" t="str">
        <v>-</v>
      </c>
    </row>
    <row r="20128">
      <c r="B20128" t="str">
        <v>Công an phường 13  thành phố Hồ Chí Minh</v>
      </c>
      <c r="C20128" t="str">
        <v>-</v>
      </c>
      <c r="D20128" t="str">
        <v>-</v>
      </c>
      <c r="E20128" t="str">
        <v/>
      </c>
      <c r="F20128" t="str">
        <v>-</v>
      </c>
      <c r="G20128" t="str">
        <v>-</v>
      </c>
    </row>
    <row r="20129">
      <c r="B20129" t="str">
        <v>UBND Ủy ban nhân dân phường 13  thành phố Hồ Chí Minh</v>
      </c>
      <c r="C20129" t="str">
        <v>-</v>
      </c>
      <c r="D20129" t="str">
        <v>-</v>
      </c>
      <c r="E20129" t="str">
        <v>-</v>
      </c>
      <c r="F20129" t="str">
        <v>-</v>
      </c>
      <c r="G20129" t="str">
        <v>-</v>
      </c>
    </row>
    <row r="20130">
      <c r="B20130" t="str">
        <v>Công an phường 17  thành phố Hồ Chí Minh</v>
      </c>
      <c r="C20130" t="str">
        <v>-</v>
      </c>
      <c r="D20130" t="str">
        <v>-</v>
      </c>
      <c r="E20130" t="str">
        <v/>
      </c>
      <c r="F20130" t="str">
        <v>-</v>
      </c>
      <c r="G20130" t="str">
        <v>-</v>
      </c>
    </row>
    <row r="20131">
      <c r="B20131" t="str">
        <v>UBND Ủy ban nhân dân phường 17  thành phố Hồ Chí Minh</v>
      </c>
      <c r="C20131" t="str">
        <v>-</v>
      </c>
      <c r="D20131" t="str">
        <v>-</v>
      </c>
      <c r="E20131" t="str">
        <v>-</v>
      </c>
      <c r="F20131" t="str">
        <v>-</v>
      </c>
      <c r="G20131" t="str">
        <v>-</v>
      </c>
    </row>
    <row r="20132">
      <c r="B20132" t="str">
        <v>Công an phường 6  thành phố Hồ Chí Minh</v>
      </c>
      <c r="C20132" t="str">
        <v>-</v>
      </c>
      <c r="D20132" t="str">
        <v>-</v>
      </c>
      <c r="E20132" t="str">
        <v/>
      </c>
      <c r="F20132" t="str">
        <v>-</v>
      </c>
      <c r="G20132" t="str">
        <v>-</v>
      </c>
    </row>
    <row r="20133">
      <c r="B20133" t="str">
        <v>UBND Ủy ban nhân dân phường 6  thành phố Hồ Chí Minh</v>
      </c>
      <c r="C20133" t="str">
        <v>-</v>
      </c>
      <c r="D20133" t="str">
        <v>-</v>
      </c>
      <c r="E20133" t="str">
        <v>-</v>
      </c>
      <c r="F20133" t="str">
        <v>-</v>
      </c>
      <c r="G20133" t="str">
        <v>-</v>
      </c>
    </row>
    <row r="20134">
      <c r="B20134" t="str">
        <v>Công an phường 16  thành phố Hồ Chí Minh</v>
      </c>
      <c r="C20134" t="str">
        <v>-</v>
      </c>
      <c r="D20134" t="str">
        <v>-</v>
      </c>
      <c r="E20134" t="str">
        <v/>
      </c>
      <c r="F20134" t="str">
        <v>-</v>
      </c>
      <c r="G20134" t="str">
        <v>-</v>
      </c>
    </row>
    <row r="20135">
      <c r="B20135" t="str">
        <v>UBND Ủy ban nhân dân phường 16  thành phố Hồ Chí Minh</v>
      </c>
      <c r="C20135" t="str">
        <v>-</v>
      </c>
      <c r="D20135" t="str">
        <v>-</v>
      </c>
      <c r="E20135" t="str">
        <v>-</v>
      </c>
      <c r="F20135" t="str">
        <v>-</v>
      </c>
      <c r="G20135" t="str">
        <v>-</v>
      </c>
    </row>
    <row r="20136">
      <c r="B20136" t="str">
        <v>Công an phường 12  thành phố Hồ Chí Minh</v>
      </c>
      <c r="C20136" t="str">
        <v>-</v>
      </c>
      <c r="D20136" t="str">
        <v>-</v>
      </c>
      <c r="E20136" t="str">
        <v/>
      </c>
      <c r="F20136" t="str">
        <v>-</v>
      </c>
      <c r="G20136" t="str">
        <v>-</v>
      </c>
    </row>
    <row r="20137">
      <c r="B20137" t="str">
        <v>UBND Ủy ban nhân dân phường 12  thành phố Hồ Chí Minh</v>
      </c>
      <c r="C20137" t="str">
        <v>-</v>
      </c>
      <c r="D20137" t="str">
        <v>-</v>
      </c>
      <c r="E20137" t="str">
        <v>-</v>
      </c>
      <c r="F20137" t="str">
        <v>-</v>
      </c>
      <c r="G20137" t="str">
        <v>-</v>
      </c>
    </row>
    <row r="20138">
      <c r="B20138" t="str">
        <v>Công an phường 14  thành phố Hồ Chí Minh</v>
      </c>
      <c r="C20138" t="str">
        <v>-</v>
      </c>
      <c r="D20138" t="str">
        <v>-</v>
      </c>
      <c r="E20138" t="str">
        <v/>
      </c>
      <c r="F20138" t="str">
        <v>-</v>
      </c>
      <c r="G20138" t="str">
        <v>-</v>
      </c>
    </row>
    <row r="20139">
      <c r="B20139" t="str">
        <v>UBND Ủy ban nhân dân phường 14  thành phố Hồ Chí Minh</v>
      </c>
      <c r="C20139" t="str">
        <v>-</v>
      </c>
      <c r="D20139" t="str">
        <v>-</v>
      </c>
      <c r="E20139" t="str">
        <v>-</v>
      </c>
      <c r="F20139" t="str">
        <v>-</v>
      </c>
      <c r="G20139" t="str">
        <v>-</v>
      </c>
    </row>
    <row r="20140">
      <c r="B20140" t="str">
        <v>Công an phường 10  thành phố Hồ Chí Minh</v>
      </c>
      <c r="C20140" t="str">
        <v>-</v>
      </c>
      <c r="D20140" t="str">
        <v>-</v>
      </c>
      <c r="E20140" t="str">
        <v/>
      </c>
      <c r="F20140" t="str">
        <v>-</v>
      </c>
      <c r="G20140" t="str">
        <v>-</v>
      </c>
    </row>
    <row r="20141">
      <c r="B20141" t="str">
        <v>UBND Ủy ban nhân dân phường 10  thành phố Hồ Chí Minh</v>
      </c>
      <c r="C20141" t="str">
        <v>-</v>
      </c>
      <c r="D20141" t="str">
        <v>-</v>
      </c>
      <c r="E20141" t="str">
        <v>-</v>
      </c>
      <c r="F20141" t="str">
        <v>-</v>
      </c>
      <c r="G20141" t="str">
        <v>-</v>
      </c>
    </row>
    <row r="20142">
      <c r="B20142" t="str">
        <v>Công an phường 05  thành phố Hồ Chí Minh</v>
      </c>
      <c r="C20142" t="str">
        <v>-</v>
      </c>
      <c r="D20142" t="str">
        <v>-</v>
      </c>
      <c r="E20142" t="str">
        <v/>
      </c>
      <c r="F20142" t="str">
        <v>-</v>
      </c>
      <c r="G20142" t="str">
        <v>-</v>
      </c>
    </row>
    <row r="20143">
      <c r="B20143" t="str">
        <v>UBND Ủy ban nhân dân phường 05  thành phố Hồ Chí Minh</v>
      </c>
      <c r="C20143" t="str">
        <v>-</v>
      </c>
      <c r="D20143" t="str">
        <v>-</v>
      </c>
      <c r="E20143" t="str">
        <v>-</v>
      </c>
      <c r="F20143" t="str">
        <v>-</v>
      </c>
      <c r="G20143" t="str">
        <v>-</v>
      </c>
    </row>
    <row r="20144">
      <c r="B20144" t="str">
        <v>Công an phường 07  thành phố Hồ Chí Minh</v>
      </c>
      <c r="C20144" t="str">
        <v>-</v>
      </c>
      <c r="D20144" t="str">
        <v>-</v>
      </c>
      <c r="E20144" t="str">
        <v/>
      </c>
      <c r="F20144" t="str">
        <v>-</v>
      </c>
      <c r="G20144" t="str">
        <v>-</v>
      </c>
    </row>
    <row r="20145">
      <c r="B20145" t="str">
        <v>UBND Ủy ban nhân dân phường 07  thành phố Hồ Chí Minh</v>
      </c>
      <c r="C20145" t="str">
        <v>-</v>
      </c>
      <c r="D20145" t="str">
        <v>-</v>
      </c>
      <c r="E20145" t="str">
        <v>-</v>
      </c>
      <c r="F20145" t="str">
        <v>-</v>
      </c>
      <c r="G20145" t="str">
        <v>-</v>
      </c>
    </row>
    <row r="20146">
      <c r="B20146" t="str">
        <v>Công an phường 04  thành phố Hồ Chí Minh</v>
      </c>
      <c r="C20146" t="str">
        <v>-</v>
      </c>
      <c r="D20146" t="str">
        <v>-</v>
      </c>
      <c r="E20146" t="str">
        <v/>
      </c>
      <c r="F20146" t="str">
        <v>-</v>
      </c>
      <c r="G20146" t="str">
        <v>-</v>
      </c>
    </row>
    <row r="20147">
      <c r="B20147" t="str">
        <v>UBND Ủy ban nhân dân phường 04  thành phố Hồ Chí Minh</v>
      </c>
      <c r="C20147" t="str">
        <v>-</v>
      </c>
      <c r="D20147" t="str">
        <v>-</v>
      </c>
      <c r="E20147" t="str">
        <v>-</v>
      </c>
      <c r="F20147" t="str">
        <v>-</v>
      </c>
      <c r="G20147" t="str">
        <v>-</v>
      </c>
    </row>
    <row r="20148">
      <c r="B20148" t="str">
        <v>Công an phường 01  thành phố Hồ Chí Minh</v>
      </c>
      <c r="C20148" t="str">
        <v>-</v>
      </c>
      <c r="D20148" t="str">
        <v>-</v>
      </c>
      <c r="E20148" t="str">
        <v/>
      </c>
      <c r="F20148" t="str">
        <v>-</v>
      </c>
      <c r="G20148" t="str">
        <v>-</v>
      </c>
    </row>
    <row r="20149">
      <c r="B20149" t="str">
        <v>UBND Ủy ban nhân dân phường 01  thành phố Hồ Chí Minh</v>
      </c>
      <c r="C20149" t="str">
        <v>-</v>
      </c>
      <c r="D20149" t="str">
        <v>-</v>
      </c>
      <c r="E20149" t="str">
        <v>-</v>
      </c>
      <c r="F20149" t="str">
        <v>-</v>
      </c>
      <c r="G20149" t="str">
        <v>-</v>
      </c>
    </row>
    <row r="20150">
      <c r="B20150" t="str">
        <v>Công an phường 9  thành phố Hồ Chí Minh</v>
      </c>
      <c r="C20150" t="str">
        <v>-</v>
      </c>
      <c r="D20150" t="str">
        <v>-</v>
      </c>
      <c r="E20150" t="str">
        <v/>
      </c>
      <c r="F20150" t="str">
        <v>-</v>
      </c>
      <c r="G20150" t="str">
        <v>-</v>
      </c>
    </row>
    <row r="20151">
      <c r="B20151" t="str">
        <v>UBND Ủy ban nhân dân phường 9  thành phố Hồ Chí Minh</v>
      </c>
      <c r="C20151" t="str">
        <v>-</v>
      </c>
      <c r="D20151" t="str">
        <v>-</v>
      </c>
      <c r="E20151" t="str">
        <v>-</v>
      </c>
      <c r="F20151" t="str">
        <v>-</v>
      </c>
      <c r="G20151" t="str">
        <v>-</v>
      </c>
    </row>
    <row r="20152">
      <c r="B20152" t="str">
        <v>Công an phường 8  thành phố Hồ Chí Minh</v>
      </c>
      <c r="C20152" t="str">
        <v>-</v>
      </c>
      <c r="D20152" t="str">
        <v>-</v>
      </c>
      <c r="E20152" t="str">
        <v/>
      </c>
      <c r="F20152" t="str">
        <v>-</v>
      </c>
      <c r="G20152" t="str">
        <v>-</v>
      </c>
    </row>
    <row r="20153">
      <c r="B20153" t="str">
        <v>UBND Ủy ban nhân dân phường 8  thành phố Hồ Chí Minh</v>
      </c>
      <c r="C20153" t="str">
        <v>-</v>
      </c>
      <c r="D20153" t="str">
        <v>-</v>
      </c>
      <c r="E20153" t="str">
        <v>-</v>
      </c>
      <c r="F20153" t="str">
        <v>-</v>
      </c>
      <c r="G20153" t="str">
        <v>-</v>
      </c>
    </row>
    <row r="20154">
      <c r="B20154" t="str">
        <v>Công an phường 11  thành phố Hồ Chí Minh</v>
      </c>
      <c r="C20154" t="str">
        <v>-</v>
      </c>
      <c r="D20154" t="str">
        <v>-</v>
      </c>
      <c r="E20154" t="str">
        <v/>
      </c>
      <c r="F20154" t="str">
        <v>-</v>
      </c>
      <c r="G20154" t="str">
        <v>-</v>
      </c>
    </row>
    <row r="20155">
      <c r="B20155" t="str">
        <v>UBND Ủy ban nhân dân phường 11  thành phố Hồ Chí Minh</v>
      </c>
      <c r="C20155" t="str">
        <v>-</v>
      </c>
      <c r="D20155" t="str">
        <v>-</v>
      </c>
      <c r="E20155" t="str">
        <v>-</v>
      </c>
      <c r="F20155" t="str">
        <v>-</v>
      </c>
      <c r="G20155" t="str">
        <v>-</v>
      </c>
    </row>
    <row r="20156">
      <c r="B20156" t="str">
        <v>Công an phường 03  thành phố Hồ Chí Minh</v>
      </c>
      <c r="C20156" t="str">
        <v>-</v>
      </c>
      <c r="D20156" t="str">
        <v>-</v>
      </c>
      <c r="E20156" t="str">
        <v/>
      </c>
      <c r="F20156" t="str">
        <v>-</v>
      </c>
      <c r="G20156" t="str">
        <v>-</v>
      </c>
    </row>
    <row r="20157">
      <c r="B20157" t="str">
        <v>UBND Ủy ban nhân dân phường 03  thành phố Hồ Chí Minh</v>
      </c>
      <c r="C20157" t="str">
        <v>-</v>
      </c>
      <c r="D20157" t="str">
        <v>-</v>
      </c>
      <c r="E20157" t="str">
        <v>-</v>
      </c>
      <c r="F20157" t="str">
        <v>-</v>
      </c>
      <c r="G20157" t="str">
        <v>-</v>
      </c>
    </row>
    <row r="20158">
      <c r="B20158" t="str">
        <v>Công an phường 13  thành phố Hồ Chí Minh</v>
      </c>
      <c r="C20158" t="str">
        <v>-</v>
      </c>
      <c r="D20158" t="str">
        <v>-</v>
      </c>
      <c r="E20158" t="str">
        <v/>
      </c>
      <c r="F20158" t="str">
        <v>-</v>
      </c>
      <c r="G20158" t="str">
        <v>-</v>
      </c>
    </row>
    <row r="20159">
      <c r="B20159" t="str">
        <v>UBND Ủy ban nhân dân phường 13  thành phố Hồ Chí Minh</v>
      </c>
      <c r="C20159" t="str">
        <v>-</v>
      </c>
      <c r="D20159" t="str">
        <v>-</v>
      </c>
      <c r="E20159" t="str">
        <v>-</v>
      </c>
      <c r="F20159" t="str">
        <v>-</v>
      </c>
      <c r="G20159" t="str">
        <v>-</v>
      </c>
    </row>
    <row r="20160">
      <c r="B20160" t="str">
        <v>Công an phường 11  thành phố Hồ Chí Minh</v>
      </c>
      <c r="C20160" t="str">
        <v>-</v>
      </c>
      <c r="D20160" t="str">
        <v>-</v>
      </c>
      <c r="E20160" t="str">
        <v/>
      </c>
      <c r="F20160" t="str">
        <v>-</v>
      </c>
      <c r="G20160" t="str">
        <v>-</v>
      </c>
    </row>
    <row r="20161">
      <c r="B20161" t="str">
        <v>UBND Ủy ban nhân dân phường 11  thành phố Hồ Chí Minh</v>
      </c>
      <c r="C20161" t="str">
        <v>-</v>
      </c>
      <c r="D20161" t="str">
        <v>-</v>
      </c>
      <c r="E20161" t="str">
        <v>-</v>
      </c>
      <c r="F20161" t="str">
        <v>-</v>
      </c>
      <c r="G20161" t="str">
        <v>-</v>
      </c>
    </row>
    <row r="20162">
      <c r="B20162" t="str">
        <v>Công an phường 27  thành phố Hồ Chí Minh</v>
      </c>
      <c r="C20162" t="str">
        <v>-</v>
      </c>
      <c r="D20162" t="str">
        <v>-</v>
      </c>
      <c r="E20162" t="str">
        <v/>
      </c>
      <c r="F20162" t="str">
        <v>-</v>
      </c>
      <c r="G20162" t="str">
        <v>-</v>
      </c>
    </row>
    <row r="20163">
      <c r="B20163" t="str">
        <v>UBND Ủy ban nhân dân phường 27  thành phố Hồ Chí Minh</v>
      </c>
      <c r="C20163" t="str">
        <v>-</v>
      </c>
      <c r="D20163" t="str">
        <v>-</v>
      </c>
      <c r="E20163" t="str">
        <v>-</v>
      </c>
      <c r="F20163" t="str">
        <v>-</v>
      </c>
      <c r="G20163" t="str">
        <v>-</v>
      </c>
    </row>
    <row r="20164">
      <c r="B20164" t="str">
        <v>Công an phường 26  thành phố Hồ Chí Minh</v>
      </c>
      <c r="C20164" t="str">
        <v>-</v>
      </c>
      <c r="D20164" t="str">
        <v>-</v>
      </c>
      <c r="E20164" t="str">
        <v/>
      </c>
      <c r="F20164" t="str">
        <v>-</v>
      </c>
      <c r="G20164" t="str">
        <v>-</v>
      </c>
    </row>
    <row r="20165">
      <c r="B20165" t="str">
        <v>UBND Ủy ban nhân dân phường 26  thành phố Hồ Chí Minh</v>
      </c>
      <c r="C20165" t="str">
        <v>-</v>
      </c>
      <c r="D20165" t="str">
        <v>-</v>
      </c>
      <c r="E20165" t="str">
        <v>-</v>
      </c>
      <c r="F20165" t="str">
        <v>-</v>
      </c>
      <c r="G20165" t="str">
        <v>-</v>
      </c>
    </row>
    <row r="20166">
      <c r="B20166" t="str">
        <v>Công an phường 12  thành phố Hồ Chí Minh</v>
      </c>
      <c r="C20166" t="str">
        <v>-</v>
      </c>
      <c r="D20166" t="str">
        <v>-</v>
      </c>
      <c r="E20166" t="str">
        <v/>
      </c>
      <c r="F20166" t="str">
        <v>-</v>
      </c>
      <c r="G20166" t="str">
        <v>-</v>
      </c>
    </row>
    <row r="20167">
      <c r="B20167" t="str">
        <v>UBND Ủy ban nhân dân phường 12  thành phố Hồ Chí Minh</v>
      </c>
      <c r="C20167" t="str">
        <v>-</v>
      </c>
      <c r="D20167" t="str">
        <v>-</v>
      </c>
      <c r="E20167" t="str">
        <v>-</v>
      </c>
      <c r="F20167" t="str">
        <v>-</v>
      </c>
      <c r="G20167" t="str">
        <v>-</v>
      </c>
    </row>
    <row r="20168">
      <c r="B20168" t="str">
        <v>Công an phường 25  thành phố Hồ Chí Minh</v>
      </c>
      <c r="C20168" t="str">
        <v>-</v>
      </c>
      <c r="D20168" t="str">
        <v>-</v>
      </c>
      <c r="E20168" t="str">
        <v/>
      </c>
      <c r="F20168" t="str">
        <v>-</v>
      </c>
      <c r="G20168" t="str">
        <v>-</v>
      </c>
    </row>
    <row r="20169">
      <c r="B20169" t="str">
        <v>UBND Ủy ban nhân dân phường 25  thành phố Hồ Chí Minh</v>
      </c>
      <c r="C20169" t="str">
        <v>-</v>
      </c>
      <c r="D20169" t="str">
        <v>-</v>
      </c>
      <c r="E20169" t="str">
        <v>-</v>
      </c>
      <c r="F20169" t="str">
        <v>-</v>
      </c>
      <c r="G20169" t="str">
        <v>-</v>
      </c>
    </row>
    <row r="20170">
      <c r="B20170" t="str">
        <v>Công an phường 05  thành phố Hồ Chí Minh</v>
      </c>
      <c r="C20170" t="str">
        <v>-</v>
      </c>
      <c r="D20170" t="str">
        <v>-</v>
      </c>
      <c r="E20170" t="str">
        <v/>
      </c>
      <c r="F20170" t="str">
        <v>-</v>
      </c>
      <c r="G20170" t="str">
        <v>-</v>
      </c>
    </row>
    <row r="20171">
      <c r="B20171" t="str">
        <v>UBND Ủy ban nhân dân phường 05  thành phố Hồ Chí Minh</v>
      </c>
      <c r="C20171" t="str">
        <v>-</v>
      </c>
      <c r="D20171" t="str">
        <v>-</v>
      </c>
      <c r="E20171" t="str">
        <v>-</v>
      </c>
      <c r="F20171" t="str">
        <v>-</v>
      </c>
      <c r="G20171" t="str">
        <v>-</v>
      </c>
    </row>
    <row r="20172">
      <c r="B20172" t="str">
        <v>Công an phường 07  thành phố Hồ Chí Minh</v>
      </c>
      <c r="C20172" t="str">
        <v>-</v>
      </c>
      <c r="D20172" t="str">
        <v>-</v>
      </c>
      <c r="E20172" t="str">
        <v/>
      </c>
      <c r="F20172" t="str">
        <v>-</v>
      </c>
      <c r="G20172" t="str">
        <v>-</v>
      </c>
    </row>
    <row r="20173">
      <c r="B20173" t="str">
        <v>UBND Ủy ban nhân dân phường 07  thành phố Hồ Chí Minh</v>
      </c>
      <c r="C20173" t="str">
        <v>-</v>
      </c>
      <c r="D20173" t="str">
        <v>-</v>
      </c>
      <c r="E20173" t="str">
        <v>-</v>
      </c>
      <c r="F20173" t="str">
        <v>-</v>
      </c>
      <c r="G20173" t="str">
        <v>-</v>
      </c>
    </row>
    <row r="20174">
      <c r="B20174" t="str">
        <v>Công an phường 24  thành phố Hồ Chí Minh</v>
      </c>
      <c r="C20174" t="str">
        <v>-</v>
      </c>
      <c r="D20174" t="str">
        <v>-</v>
      </c>
      <c r="E20174" t="str">
        <v/>
      </c>
      <c r="F20174" t="str">
        <v>-</v>
      </c>
      <c r="G20174" t="str">
        <v>-</v>
      </c>
    </row>
    <row r="20175">
      <c r="B20175" t="str">
        <v>UBND Ủy ban nhân dân phường 24  thành phố Hồ Chí Minh</v>
      </c>
      <c r="C20175" t="str">
        <v>-</v>
      </c>
      <c r="D20175" t="str">
        <v>-</v>
      </c>
      <c r="E20175" t="str">
        <v>-</v>
      </c>
      <c r="F20175" t="str">
        <v>-</v>
      </c>
      <c r="G20175" t="str">
        <v>-</v>
      </c>
    </row>
    <row r="20176">
      <c r="B20176" t="str">
        <v>Công an phường 06  thành phố Hồ Chí Minh</v>
      </c>
      <c r="C20176" t="str">
        <v>-</v>
      </c>
      <c r="D20176" t="str">
        <v>-</v>
      </c>
      <c r="E20176" t="str">
        <v/>
      </c>
      <c r="F20176" t="str">
        <v>-</v>
      </c>
      <c r="G20176" t="str">
        <v>-</v>
      </c>
    </row>
    <row r="20177">
      <c r="B20177" t="str">
        <v>UBND Ủy ban nhân dân phường 06  thành phố Hồ Chí Minh</v>
      </c>
      <c r="C20177" t="str">
        <v>-</v>
      </c>
      <c r="D20177" t="str">
        <v>-</v>
      </c>
      <c r="E20177" t="str">
        <v>-</v>
      </c>
      <c r="F20177" t="str">
        <v>-</v>
      </c>
      <c r="G20177" t="str">
        <v>-</v>
      </c>
    </row>
    <row r="20178">
      <c r="B20178" t="str">
        <v>Công an phường 14  thành phố Hồ Chí Minh</v>
      </c>
      <c r="C20178" t="str">
        <v>-</v>
      </c>
      <c r="D20178" t="str">
        <v>-</v>
      </c>
      <c r="E20178" t="str">
        <v/>
      </c>
      <c r="F20178" t="str">
        <v>-</v>
      </c>
      <c r="G20178" t="str">
        <v>-</v>
      </c>
    </row>
    <row r="20179">
      <c r="B20179" t="str">
        <v>UBND Ủy ban nhân dân phường 14  thành phố Hồ Chí Minh</v>
      </c>
      <c r="C20179" t="str">
        <v>-</v>
      </c>
      <c r="D20179" t="str">
        <v>-</v>
      </c>
      <c r="E20179" t="str">
        <v>-</v>
      </c>
      <c r="F20179" t="str">
        <v>-</v>
      </c>
      <c r="G20179" t="str">
        <v>-</v>
      </c>
    </row>
    <row r="20180">
      <c r="B20180" t="str">
        <v>Công an phường 15  thành phố Hồ Chí Minh</v>
      </c>
      <c r="C20180" t="str">
        <v>-</v>
      </c>
      <c r="D20180" t="str">
        <v>-</v>
      </c>
      <c r="E20180" t="str">
        <v/>
      </c>
      <c r="F20180" t="str">
        <v>-</v>
      </c>
      <c r="G20180" t="str">
        <v>-</v>
      </c>
    </row>
    <row r="20181">
      <c r="B20181" t="str">
        <v>UBND Ủy ban nhân dân phường 15  thành phố Hồ Chí Minh</v>
      </c>
      <c r="C20181" t="str">
        <v>-</v>
      </c>
      <c r="D20181" t="str">
        <v>-</v>
      </c>
      <c r="E20181" t="str">
        <v>-</v>
      </c>
      <c r="F20181" t="str">
        <v>-</v>
      </c>
      <c r="G20181" t="str">
        <v>-</v>
      </c>
    </row>
    <row r="20182">
      <c r="B20182" t="str">
        <v>Công an phường 02  thành phố Hồ Chí Minh</v>
      </c>
      <c r="C20182" t="str">
        <v>-</v>
      </c>
      <c r="D20182" t="str">
        <v>-</v>
      </c>
      <c r="E20182" t="str">
        <v/>
      </c>
      <c r="F20182" t="str">
        <v>-</v>
      </c>
      <c r="G20182" t="str">
        <v>-</v>
      </c>
    </row>
    <row r="20183">
      <c r="B20183" t="str">
        <v>UBND Ủy ban nhân dân phường 02  thành phố Hồ Chí Minh</v>
      </c>
      <c r="C20183" t="str">
        <v>-</v>
      </c>
      <c r="D20183" t="str">
        <v>-</v>
      </c>
      <c r="E20183" t="str">
        <v>-</v>
      </c>
      <c r="F20183" t="str">
        <v>-</v>
      </c>
      <c r="G20183" t="str">
        <v>-</v>
      </c>
    </row>
    <row r="20184">
      <c r="B20184" t="str">
        <v>Công an phường 01  thành phố Hồ Chí Minh</v>
      </c>
      <c r="C20184" t="str">
        <v>-</v>
      </c>
      <c r="D20184" t="str">
        <v>-</v>
      </c>
      <c r="E20184" t="str">
        <v/>
      </c>
      <c r="F20184" t="str">
        <v>-</v>
      </c>
      <c r="G20184" t="str">
        <v>-</v>
      </c>
    </row>
    <row r="20185">
      <c r="B20185" t="str">
        <v>UBND Ủy ban nhân dân phường 01  thành phố Hồ Chí Minh</v>
      </c>
      <c r="C20185" t="str">
        <v>-</v>
      </c>
      <c r="D20185" t="str">
        <v>-</v>
      </c>
      <c r="E20185" t="str">
        <v>-</v>
      </c>
      <c r="F20185" t="str">
        <v>-</v>
      </c>
      <c r="G20185" t="str">
        <v>-</v>
      </c>
    </row>
    <row r="20186">
      <c r="B20186" t="str">
        <v>Công an phường 03  thành phố Hồ Chí Minh</v>
      </c>
      <c r="C20186" t="str">
        <v>-</v>
      </c>
      <c r="D20186" t="str">
        <v>-</v>
      </c>
      <c r="E20186" t="str">
        <v/>
      </c>
      <c r="F20186" t="str">
        <v>-</v>
      </c>
      <c r="G20186" t="str">
        <v>-</v>
      </c>
    </row>
    <row r="20187">
      <c r="B20187" t="str">
        <v>UBND Ủy ban nhân dân phường 03  thành phố Hồ Chí Minh</v>
      </c>
      <c r="C20187" t="str">
        <v>-</v>
      </c>
      <c r="D20187" t="str">
        <v>-</v>
      </c>
      <c r="E20187" t="str">
        <v>-</v>
      </c>
      <c r="F20187" t="str">
        <v>-</v>
      </c>
      <c r="G20187" t="str">
        <v>-</v>
      </c>
    </row>
    <row r="20188">
      <c r="B20188" t="str">
        <v>Công an phường 17  thành phố Hồ Chí Minh</v>
      </c>
      <c r="C20188" t="str">
        <v>-</v>
      </c>
      <c r="D20188" t="str">
        <v>-</v>
      </c>
      <c r="E20188" t="str">
        <v/>
      </c>
      <c r="F20188" t="str">
        <v>-</v>
      </c>
      <c r="G20188" t="str">
        <v>-</v>
      </c>
    </row>
    <row r="20189">
      <c r="B20189" t="str">
        <v>UBND Ủy ban nhân dân phường 17  thành phố Hồ Chí Minh</v>
      </c>
      <c r="C20189" t="str">
        <v>-</v>
      </c>
      <c r="D20189" t="str">
        <v>-</v>
      </c>
      <c r="E20189" t="str">
        <v>-</v>
      </c>
      <c r="F20189" t="str">
        <v>-</v>
      </c>
      <c r="G20189" t="str">
        <v>-</v>
      </c>
    </row>
    <row r="20190">
      <c r="B20190" t="str">
        <v>Công an phường 21  thành phố Hồ Chí Minh</v>
      </c>
      <c r="C20190" t="str">
        <v>-</v>
      </c>
      <c r="D20190" t="str">
        <v>-</v>
      </c>
      <c r="E20190" t="str">
        <v/>
      </c>
      <c r="F20190" t="str">
        <v>-</v>
      </c>
      <c r="G20190" t="str">
        <v>-</v>
      </c>
    </row>
    <row r="20191">
      <c r="B20191" t="str">
        <v>UBND Ủy ban nhân dân phường 21  thành phố Hồ Chí Minh</v>
      </c>
      <c r="C20191" t="str">
        <v>-</v>
      </c>
      <c r="D20191" t="str">
        <v>-</v>
      </c>
      <c r="E20191" t="str">
        <v>-</v>
      </c>
      <c r="F20191" t="str">
        <v>-</v>
      </c>
      <c r="G20191" t="str">
        <v>-</v>
      </c>
    </row>
    <row r="20192">
      <c r="B20192" t="str">
        <v>Công an phường 22  thành phố Hồ Chí Minh</v>
      </c>
      <c r="C20192" t="str">
        <v>-</v>
      </c>
      <c r="D20192" t="str">
        <v>-</v>
      </c>
      <c r="E20192" t="str">
        <v/>
      </c>
      <c r="F20192" t="str">
        <v>-</v>
      </c>
      <c r="G20192" t="str">
        <v>-</v>
      </c>
    </row>
    <row r="20193">
      <c r="B20193" t="str">
        <v>UBND Ủy ban nhân dân phường 22  thành phố Hồ Chí Minh</v>
      </c>
      <c r="C20193" t="str">
        <v>-</v>
      </c>
      <c r="D20193" t="str">
        <v>-</v>
      </c>
      <c r="E20193" t="str">
        <v>-</v>
      </c>
      <c r="F20193" t="str">
        <v>-</v>
      </c>
      <c r="G20193" t="str">
        <v>-</v>
      </c>
    </row>
    <row r="20194">
      <c r="B20194" t="str">
        <v>Công an phường 19  thành phố Hồ Chí Minh</v>
      </c>
      <c r="C20194" t="str">
        <v>-</v>
      </c>
      <c r="D20194" t="str">
        <v>-</v>
      </c>
      <c r="E20194" t="str">
        <v/>
      </c>
      <c r="F20194" t="str">
        <v>-</v>
      </c>
      <c r="G20194" t="str">
        <v>-</v>
      </c>
    </row>
    <row r="20195">
      <c r="B20195" t="str">
        <v>UBND Ủy ban nhân dân phường 19  thành phố Hồ Chí Minh</v>
      </c>
      <c r="C20195" t="str">
        <v>-</v>
      </c>
      <c r="D20195" t="str">
        <v>-</v>
      </c>
      <c r="E20195" t="str">
        <v>-</v>
      </c>
      <c r="F20195" t="str">
        <v>-</v>
      </c>
      <c r="G20195" t="str">
        <v>-</v>
      </c>
    </row>
    <row r="20196">
      <c r="B20196" t="str">
        <v>Công an phường 28  thành phố Hồ Chí Minh</v>
      </c>
      <c r="C20196" t="str">
        <v>-</v>
      </c>
      <c r="D20196" t="str">
        <v>-</v>
      </c>
      <c r="E20196" t="str">
        <v/>
      </c>
      <c r="F20196" t="str">
        <v>-</v>
      </c>
      <c r="G20196" t="str">
        <v>-</v>
      </c>
    </row>
    <row r="20197">
      <c r="B20197" t="str">
        <v>UBND Ủy ban nhân dân phường 28  thành phố Hồ Chí Minh</v>
      </c>
      <c r="C20197" t="str">
        <v>-</v>
      </c>
      <c r="D20197" t="str">
        <v>-</v>
      </c>
      <c r="E20197" t="str">
        <v>-</v>
      </c>
      <c r="F20197" t="str">
        <v>-</v>
      </c>
      <c r="G20197" t="str">
        <v>-</v>
      </c>
    </row>
    <row r="20198">
      <c r="B20198" t="str">
        <v>Công an phường 02  thành phố Hồ Chí Minh</v>
      </c>
      <c r="C20198" t="str">
        <v>-</v>
      </c>
      <c r="D20198" t="str">
        <v>-</v>
      </c>
      <c r="E20198" t="str">
        <v/>
      </c>
      <c r="F20198" t="str">
        <v>-</v>
      </c>
      <c r="G20198" t="str">
        <v>-</v>
      </c>
    </row>
    <row r="20199">
      <c r="B20199" t="str">
        <v>UBND Ủy ban nhân dân phường 02  thành phố Hồ Chí Minh</v>
      </c>
      <c r="C20199" t="str">
        <v>-</v>
      </c>
      <c r="D20199" t="str">
        <v>-</v>
      </c>
      <c r="E20199" t="str">
        <v>-</v>
      </c>
      <c r="F20199" t="str">
        <v>-</v>
      </c>
      <c r="G20199" t="str">
        <v>-</v>
      </c>
    </row>
    <row r="20200">
      <c r="B20200" t="str">
        <v>Công an phường 04  thành phố Hồ Chí Minh</v>
      </c>
      <c r="C20200" t="str">
        <v>-</v>
      </c>
      <c r="D20200" t="str">
        <v>-</v>
      </c>
      <c r="E20200" t="str">
        <v/>
      </c>
      <c r="F20200" t="str">
        <v>-</v>
      </c>
      <c r="G20200" t="str">
        <v>-</v>
      </c>
    </row>
    <row r="20201">
      <c r="B20201" t="str">
        <v>UBND Ủy ban nhân dân phường 04  thành phố Hồ Chí Minh</v>
      </c>
      <c r="C20201" t="str">
        <v>-</v>
      </c>
      <c r="D20201" t="str">
        <v>-</v>
      </c>
      <c r="E20201" t="str">
        <v>-</v>
      </c>
      <c r="F20201" t="str">
        <v>-</v>
      </c>
      <c r="G20201" t="str">
        <v>-</v>
      </c>
    </row>
    <row r="20202">
      <c r="B20202" t="str">
        <v>Công an phường 12  thành phố Hồ Chí Minh</v>
      </c>
      <c r="C20202" t="str">
        <v>-</v>
      </c>
      <c r="D20202" t="str">
        <v>-</v>
      </c>
      <c r="E20202" t="str">
        <v/>
      </c>
      <c r="F20202" t="str">
        <v>-</v>
      </c>
      <c r="G20202" t="str">
        <v>-</v>
      </c>
    </row>
    <row r="20203">
      <c r="B20203" t="str">
        <v>UBND Ủy ban nhân dân phường 12  thành phố Hồ Chí Minh</v>
      </c>
      <c r="C20203" t="str">
        <v>-</v>
      </c>
      <c r="D20203" t="str">
        <v>-</v>
      </c>
      <c r="E20203" t="str">
        <v>-</v>
      </c>
      <c r="F20203" t="str">
        <v>-</v>
      </c>
      <c r="G20203" t="str">
        <v>-</v>
      </c>
    </row>
    <row r="20204">
      <c r="B20204" t="str">
        <v>Công an phường 13  thành phố Hồ Chí Minh</v>
      </c>
      <c r="C20204" t="str">
        <v>-</v>
      </c>
      <c r="D20204" t="str">
        <v>-</v>
      </c>
      <c r="E20204" t="str">
        <v/>
      </c>
      <c r="F20204" t="str">
        <v>-</v>
      </c>
      <c r="G20204" t="str">
        <v>-</v>
      </c>
    </row>
    <row r="20205">
      <c r="B20205" t="str">
        <v>UBND Ủy ban nhân dân phường 13  thành phố Hồ Chí Minh</v>
      </c>
      <c r="C20205" t="str">
        <v>-</v>
      </c>
      <c r="D20205" t="str">
        <v>-</v>
      </c>
      <c r="E20205" t="str">
        <v>-</v>
      </c>
      <c r="F20205" t="str">
        <v>-</v>
      </c>
      <c r="G20205" t="str">
        <v>-</v>
      </c>
    </row>
    <row r="20206">
      <c r="B20206" t="str">
        <v>Công an phường 01  thành phố Hồ Chí Minh</v>
      </c>
      <c r="C20206" t="str">
        <v>-</v>
      </c>
      <c r="D20206" t="str">
        <v>-</v>
      </c>
      <c r="E20206" t="str">
        <v/>
      </c>
      <c r="F20206" t="str">
        <v>-</v>
      </c>
      <c r="G20206" t="str">
        <v>-</v>
      </c>
    </row>
    <row r="20207">
      <c r="B20207" t="str">
        <v>UBND Ủy ban nhân dân phường 01  thành phố Hồ Chí Minh</v>
      </c>
      <c r="C20207" t="str">
        <v>-</v>
      </c>
      <c r="D20207" t="str">
        <v>-</v>
      </c>
      <c r="E20207" t="str">
        <v>-</v>
      </c>
      <c r="F20207" t="str">
        <v>-</v>
      </c>
      <c r="G20207" t="str">
        <v>-</v>
      </c>
    </row>
    <row r="20208">
      <c r="B20208" t="str">
        <v>Công an phường 03  thành phố Hồ Chí Minh</v>
      </c>
      <c r="C20208" t="str">
        <v>-</v>
      </c>
      <c r="D20208" t="str">
        <v>-</v>
      </c>
      <c r="E20208" t="str">
        <v/>
      </c>
      <c r="F20208" t="str">
        <v>-</v>
      </c>
      <c r="G20208" t="str">
        <v>-</v>
      </c>
    </row>
    <row r="20209">
      <c r="B20209" t="str">
        <v>UBND Ủy ban nhân dân phường 03  thành phố Hồ Chí Minh</v>
      </c>
      <c r="C20209" t="str">
        <v>-</v>
      </c>
      <c r="D20209" t="str">
        <v>-</v>
      </c>
      <c r="E20209" t="str">
        <v>-</v>
      </c>
      <c r="F20209" t="str">
        <v>-</v>
      </c>
      <c r="G20209" t="str">
        <v>-</v>
      </c>
    </row>
    <row r="20210">
      <c r="B20210" t="str">
        <v>Công an phường 11  thành phố Hồ Chí Minh</v>
      </c>
      <c r="C20210" t="str">
        <v>-</v>
      </c>
      <c r="D20210" t="str">
        <v>-</v>
      </c>
      <c r="E20210" t="str">
        <v/>
      </c>
      <c r="F20210" t="str">
        <v>-</v>
      </c>
      <c r="G20210" t="str">
        <v>-</v>
      </c>
    </row>
    <row r="20211">
      <c r="B20211" t="str">
        <v>UBND Ủy ban nhân dân phường 11  thành phố Hồ Chí Minh</v>
      </c>
      <c r="C20211" t="str">
        <v>-</v>
      </c>
      <c r="D20211" t="str">
        <v>-</v>
      </c>
      <c r="E20211" t="str">
        <v>-</v>
      </c>
      <c r="F20211" t="str">
        <v>-</v>
      </c>
      <c r="G20211" t="str">
        <v>-</v>
      </c>
    </row>
    <row r="20212">
      <c r="B20212" t="str">
        <v>Công an phường 07  thành phố Hồ Chí Minh</v>
      </c>
      <c r="C20212" t="str">
        <v>-</v>
      </c>
      <c r="D20212" t="str">
        <v>-</v>
      </c>
      <c r="E20212" t="str">
        <v/>
      </c>
      <c r="F20212" t="str">
        <v>-</v>
      </c>
      <c r="G20212" t="str">
        <v>-</v>
      </c>
    </row>
    <row r="20213">
      <c r="B20213" t="str">
        <v>UBND Ủy ban nhân dân phường 07  thành phố Hồ Chí Minh</v>
      </c>
      <c r="C20213" t="str">
        <v>-</v>
      </c>
      <c r="D20213" t="str">
        <v>-</v>
      </c>
      <c r="E20213" t="str">
        <v>-</v>
      </c>
      <c r="F20213" t="str">
        <v>-</v>
      </c>
      <c r="G20213" t="str">
        <v>-</v>
      </c>
    </row>
    <row r="20214">
      <c r="B20214" t="str">
        <v>Công an phường 05  thành phố Hồ Chí Minh</v>
      </c>
      <c r="C20214" t="str">
        <v>-</v>
      </c>
      <c r="D20214" t="str">
        <v>-</v>
      </c>
      <c r="E20214" t="str">
        <v/>
      </c>
      <c r="F20214" t="str">
        <v>-</v>
      </c>
      <c r="G20214" t="str">
        <v>-</v>
      </c>
    </row>
    <row r="20215">
      <c r="B20215" t="str">
        <v>UBND Ủy ban nhân dân phường 05  thành phố Hồ Chí Minh</v>
      </c>
      <c r="C20215" t="str">
        <v>-</v>
      </c>
      <c r="D20215" t="str">
        <v>-</v>
      </c>
      <c r="E20215" t="str">
        <v>-</v>
      </c>
      <c r="F20215" t="str">
        <v>-</v>
      </c>
      <c r="G20215" t="str">
        <v>-</v>
      </c>
    </row>
    <row r="20216">
      <c r="B20216" t="str">
        <v>Công an phường 10  thành phố Hồ Chí Minh</v>
      </c>
      <c r="C20216" t="str">
        <v>-</v>
      </c>
      <c r="D20216" t="str">
        <v>-</v>
      </c>
      <c r="E20216" t="str">
        <v/>
      </c>
      <c r="F20216" t="str">
        <v>-</v>
      </c>
      <c r="G20216" t="str">
        <v>-</v>
      </c>
    </row>
    <row r="20217">
      <c r="B20217" t="str">
        <v>UBND Ủy ban nhân dân phường 10  thành phố Hồ Chí Minh</v>
      </c>
      <c r="C20217" t="str">
        <v>-</v>
      </c>
      <c r="D20217" t="str">
        <v>-</v>
      </c>
      <c r="E20217" t="str">
        <v>-</v>
      </c>
      <c r="F20217" t="str">
        <v>-</v>
      </c>
      <c r="G20217" t="str">
        <v>-</v>
      </c>
    </row>
    <row r="20218">
      <c r="B20218" t="str">
        <v>Công an phường 06  thành phố Hồ Chí Minh</v>
      </c>
      <c r="C20218" t="str">
        <v>-</v>
      </c>
      <c r="D20218" t="str">
        <v>-</v>
      </c>
      <c r="E20218" t="str">
        <v/>
      </c>
      <c r="F20218" t="str">
        <v>-</v>
      </c>
      <c r="G20218" t="str">
        <v>-</v>
      </c>
    </row>
    <row r="20219">
      <c r="B20219" t="str">
        <v>UBND Ủy ban nhân dân phường 06  thành phố Hồ Chí Minh</v>
      </c>
      <c r="C20219" t="str">
        <v>-</v>
      </c>
      <c r="D20219" t="str">
        <v>-</v>
      </c>
      <c r="E20219" t="str">
        <v>-</v>
      </c>
      <c r="F20219" t="str">
        <v>-</v>
      </c>
      <c r="G20219" t="str">
        <v>-</v>
      </c>
    </row>
    <row r="20220">
      <c r="B20220" t="str">
        <v>Công an phường 08  thành phố Hồ Chí Minh</v>
      </c>
      <c r="C20220" t="str">
        <v>-</v>
      </c>
      <c r="D20220" t="str">
        <v>-</v>
      </c>
      <c r="E20220" t="str">
        <v/>
      </c>
      <c r="F20220" t="str">
        <v>-</v>
      </c>
      <c r="G20220" t="str">
        <v>-</v>
      </c>
    </row>
    <row r="20221">
      <c r="B20221" t="str">
        <v>UBND Ủy ban nhân dân phường 08  thành phố Hồ Chí Minh</v>
      </c>
      <c r="C20221" t="str">
        <v>-</v>
      </c>
      <c r="D20221" t="str">
        <v>-</v>
      </c>
      <c r="E20221" t="str">
        <v>-</v>
      </c>
      <c r="F20221" t="str">
        <v>-</v>
      </c>
      <c r="G20221" t="str">
        <v>-</v>
      </c>
    </row>
    <row r="20222">
      <c r="B20222" t="str">
        <v>Công an phường 09  thành phố Hồ Chí Minh</v>
      </c>
      <c r="C20222" t="str">
        <v>-</v>
      </c>
      <c r="D20222" t="str">
        <v>-</v>
      </c>
      <c r="E20222" t="str">
        <v/>
      </c>
      <c r="F20222" t="str">
        <v>-</v>
      </c>
      <c r="G20222" t="str">
        <v>-</v>
      </c>
    </row>
    <row r="20223">
      <c r="B20223" t="str">
        <v>UBND Ủy ban nhân dân phường 09  thành phố Hồ Chí Minh</v>
      </c>
      <c r="C20223" t="str">
        <v>-</v>
      </c>
      <c r="D20223" t="str">
        <v>-</v>
      </c>
      <c r="E20223" t="str">
        <v>-</v>
      </c>
      <c r="F20223" t="str">
        <v>-</v>
      </c>
      <c r="G20223" t="str">
        <v>-</v>
      </c>
    </row>
    <row r="20224">
      <c r="B20224" t="str">
        <v>Công an phường 14  thành phố Hồ Chí Minh</v>
      </c>
      <c r="C20224" t="str">
        <v>-</v>
      </c>
      <c r="D20224" t="str">
        <v>-</v>
      </c>
      <c r="E20224" t="str">
        <v/>
      </c>
      <c r="F20224" t="str">
        <v>-</v>
      </c>
      <c r="G20224" t="str">
        <v>-</v>
      </c>
    </row>
    <row r="20225">
      <c r="B20225" t="str">
        <v>UBND Ủy ban nhân dân phường 14  thành phố Hồ Chí Minh</v>
      </c>
      <c r="C20225" t="str">
        <v>-</v>
      </c>
      <c r="D20225" t="str">
        <v>-</v>
      </c>
      <c r="E20225" t="str">
        <v>-</v>
      </c>
      <c r="F20225" t="str">
        <v>-</v>
      </c>
      <c r="G20225" t="str">
        <v>-</v>
      </c>
    </row>
    <row r="20226">
      <c r="B20226" t="str">
        <v>Công an phường 15  thành phố Hồ Chí Minh</v>
      </c>
      <c r="C20226" t="str">
        <v>-</v>
      </c>
      <c r="D20226" t="str">
        <v>-</v>
      </c>
      <c r="E20226" t="str">
        <v/>
      </c>
      <c r="F20226" t="str">
        <v>-</v>
      </c>
      <c r="G20226" t="str">
        <v>-</v>
      </c>
    </row>
    <row r="20227">
      <c r="B20227" t="str">
        <v>UBND Ủy ban nhân dân phường 15  thành phố Hồ Chí Minh</v>
      </c>
      <c r="C20227" t="str">
        <v>-</v>
      </c>
      <c r="D20227" t="str">
        <v>-</v>
      </c>
      <c r="E20227" t="str">
        <v>-</v>
      </c>
      <c r="F20227" t="str">
        <v>-</v>
      </c>
      <c r="G20227" t="str">
        <v>-</v>
      </c>
    </row>
    <row r="20228">
      <c r="B20228" t="str">
        <v>Công an phường Tân Sơn Nhì  thành phố Hồ Chí Minh</v>
      </c>
      <c r="C20228" t="str">
        <v>-</v>
      </c>
      <c r="D20228" t="str">
        <v>-</v>
      </c>
      <c r="E20228" t="str">
        <v/>
      </c>
      <c r="F20228" t="str">
        <v>-</v>
      </c>
      <c r="G20228" t="str">
        <v>-</v>
      </c>
    </row>
    <row r="20229">
      <c r="B20229" t="str">
        <v>UBND Ủy ban nhân dân phường Tân Sơn Nhì  thành phố Hồ Chí Minh</v>
      </c>
      <c r="C20229" t="str">
        <v>-</v>
      </c>
      <c r="D20229" t="str">
        <v>-</v>
      </c>
      <c r="E20229" t="str">
        <v>-</v>
      </c>
      <c r="F20229" t="str">
        <v>-</v>
      </c>
      <c r="G20229" t="str">
        <v>-</v>
      </c>
    </row>
    <row r="20230">
      <c r="B20230" t="str">
        <v>Công an phường Tây Thạnh  thành phố Hồ Chí Minh</v>
      </c>
      <c r="C20230" t="str">
        <v>-</v>
      </c>
      <c r="D20230" t="str">
        <v>-</v>
      </c>
      <c r="E20230" t="str">
        <v/>
      </c>
      <c r="F20230" t="str">
        <v>-</v>
      </c>
      <c r="G20230" t="str">
        <v>-</v>
      </c>
    </row>
    <row r="20231">
      <c r="B20231" t="str">
        <v>UBND Ủy ban nhân dân phường Tây Thạnh  thành phố Hồ Chí Minh</v>
      </c>
      <c r="C20231" t="str">
        <v>-</v>
      </c>
      <c r="D20231" t="str">
        <v>-</v>
      </c>
      <c r="E20231" t="str">
        <v>-</v>
      </c>
      <c r="F20231" t="str">
        <v>-</v>
      </c>
      <c r="G20231" t="str">
        <v>-</v>
      </c>
    </row>
    <row r="20232">
      <c r="B20232" t="str">
        <v>Công an phường Sơn Kỳ  thành phố Hồ Chí Minh</v>
      </c>
      <c r="C20232" t="str">
        <v>-</v>
      </c>
      <c r="D20232" t="str">
        <v>-</v>
      </c>
      <c r="E20232" t="str">
        <v/>
      </c>
      <c r="F20232" t="str">
        <v>-</v>
      </c>
      <c r="G20232" t="str">
        <v>-</v>
      </c>
    </row>
    <row r="20233">
      <c r="B20233" t="str">
        <v>UBND Ủy ban nhân dân phường Sơn Kỳ  thành phố Hồ Chí Minh</v>
      </c>
      <c r="C20233" t="str">
        <v>-</v>
      </c>
      <c r="D20233" t="str">
        <v>-</v>
      </c>
      <c r="E20233" t="str">
        <v>-</v>
      </c>
      <c r="F20233" t="str">
        <v>-</v>
      </c>
      <c r="G20233" t="str">
        <v>-</v>
      </c>
    </row>
    <row r="20234">
      <c r="B20234" t="str">
        <v>Công an phường Tân Quý  thành phố Hồ Chí Minh</v>
      </c>
      <c r="C20234" t="str">
        <v>-</v>
      </c>
      <c r="D20234" t="str">
        <v>-</v>
      </c>
      <c r="E20234" t="str">
        <v/>
      </c>
      <c r="F20234" t="str">
        <v>-</v>
      </c>
      <c r="G20234" t="str">
        <v>-</v>
      </c>
    </row>
    <row r="20235">
      <c r="B20235" t="str">
        <v>UBND Ủy ban nhân dân phường Tân Quý  thành phố Hồ Chí Minh</v>
      </c>
      <c r="C20235" t="str">
        <v>-</v>
      </c>
      <c r="D20235" t="str">
        <v>-</v>
      </c>
      <c r="E20235" t="str">
        <v>-</v>
      </c>
      <c r="F20235" t="str">
        <v>-</v>
      </c>
      <c r="G20235" t="str">
        <v>-</v>
      </c>
    </row>
    <row r="20236">
      <c r="B20236" t="str">
        <v>Công an phường Tân Thành  thành phố Hồ Chí Minh</v>
      </c>
      <c r="C20236" t="str">
        <v>-</v>
      </c>
      <c r="D20236" t="str">
        <v>-</v>
      </c>
      <c r="E20236" t="str">
        <v/>
      </c>
      <c r="F20236" t="str">
        <v>-</v>
      </c>
      <c r="G20236" t="str">
        <v>-</v>
      </c>
    </row>
    <row r="20237">
      <c r="B20237" t="str">
        <v>UBND Ủy ban nhân dân phường Tân Thành  thành phố Hồ Chí Minh</v>
      </c>
      <c r="C20237" t="str">
        <v>-</v>
      </c>
      <c r="D20237" t="str">
        <v>-</v>
      </c>
      <c r="E20237" t="str">
        <v>-</v>
      </c>
      <c r="F20237" t="str">
        <v>-</v>
      </c>
      <c r="G20237" t="str">
        <v>-</v>
      </c>
    </row>
    <row r="20238">
      <c r="B20238" t="str">
        <v>Công an phường Phú Thọ Hòa  thành phố Hồ Chí Minh</v>
      </c>
      <c r="C20238" t="str">
        <v>-</v>
      </c>
      <c r="D20238" t="str">
        <v>-</v>
      </c>
      <c r="E20238" t="str">
        <v/>
      </c>
      <c r="F20238" t="str">
        <v>-</v>
      </c>
      <c r="G20238" t="str">
        <v>-</v>
      </c>
    </row>
    <row r="20239">
      <c r="B20239" t="str">
        <v>UBND Ủy ban nhân dân phường Phú Thọ Hòa  thành phố Hồ Chí Minh</v>
      </c>
      <c r="C20239" t="str">
        <v>-</v>
      </c>
      <c r="D20239" t="str">
        <v>-</v>
      </c>
      <c r="E20239" t="str">
        <v>-</v>
      </c>
      <c r="F20239" t="str">
        <v>-</v>
      </c>
      <c r="G20239" t="str">
        <v>-</v>
      </c>
    </row>
    <row r="20240">
      <c r="B20240" t="str">
        <v>Công an phường Phú Thạnh  thành phố Hồ Chí Minh</v>
      </c>
      <c r="C20240" t="str">
        <v>-</v>
      </c>
      <c r="D20240" t="str">
        <v>-</v>
      </c>
      <c r="E20240" t="str">
        <v/>
      </c>
      <c r="F20240" t="str">
        <v>-</v>
      </c>
      <c r="G20240" t="str">
        <v>-</v>
      </c>
    </row>
    <row r="20241">
      <c r="B20241" t="str">
        <v>UBND Ủy ban nhân dân phường Phú Thạnh  thành phố Hồ Chí Minh</v>
      </c>
      <c r="C20241" t="str">
        <v>-</v>
      </c>
      <c r="D20241" t="str">
        <v>-</v>
      </c>
      <c r="E20241" t="str">
        <v>-</v>
      </c>
      <c r="F20241" t="str">
        <v>-</v>
      </c>
      <c r="G20241" t="str">
        <v>-</v>
      </c>
    </row>
    <row r="20242">
      <c r="B20242" t="str">
        <v>Công an phường Phú Trung  thành phố Hồ Chí Minh</v>
      </c>
      <c r="C20242" t="str">
        <v>-</v>
      </c>
      <c r="D20242" t="str">
        <v>-</v>
      </c>
      <c r="E20242" t="str">
        <v/>
      </c>
      <c r="F20242" t="str">
        <v>-</v>
      </c>
      <c r="G20242" t="str">
        <v>-</v>
      </c>
    </row>
    <row r="20243">
      <c r="B20243" t="str">
        <v>UBND Ủy ban nhân dân phường Phú Trung  thành phố Hồ Chí Minh</v>
      </c>
      <c r="C20243" t="str">
        <v>-</v>
      </c>
      <c r="D20243" t="str">
        <v>-</v>
      </c>
      <c r="E20243" t="str">
        <v>-</v>
      </c>
      <c r="F20243" t="str">
        <v>-</v>
      </c>
      <c r="G20243" t="str">
        <v>-</v>
      </c>
    </row>
    <row r="20244">
      <c r="B20244" t="str">
        <v>Công an phường Hòa Thạnh  thành phố Hồ Chí Minh</v>
      </c>
      <c r="C20244" t="str">
        <v>-</v>
      </c>
      <c r="D20244" t="str">
        <v>-</v>
      </c>
      <c r="E20244" t="str">
        <v/>
      </c>
      <c r="F20244" t="str">
        <v>-</v>
      </c>
      <c r="G20244" t="str">
        <v>-</v>
      </c>
    </row>
    <row r="20245">
      <c r="B20245" t="str">
        <v>UBND Ủy ban nhân dân phường Hòa Thạnh  thành phố Hồ Chí Minh</v>
      </c>
      <c r="C20245" t="str">
        <v>-</v>
      </c>
      <c r="D20245" t="str">
        <v>-</v>
      </c>
      <c r="E20245" t="str">
        <v>-</v>
      </c>
      <c r="F20245" t="str">
        <v>-</v>
      </c>
      <c r="G20245" t="str">
        <v>-</v>
      </c>
    </row>
    <row r="20246">
      <c r="B20246" t="str">
        <v>Công an phường Hiệp Tân  thành phố Hồ Chí Minh</v>
      </c>
      <c r="C20246" t="str">
        <v>-</v>
      </c>
      <c r="D20246" t="str">
        <v>-</v>
      </c>
      <c r="E20246" t="str">
        <v/>
      </c>
      <c r="F20246" t="str">
        <v>-</v>
      </c>
      <c r="G20246" t="str">
        <v>-</v>
      </c>
    </row>
    <row r="20247">
      <c r="B20247" t="str">
        <v>UBND Ủy ban nhân dân phường Hiệp Tân  thành phố Hồ Chí Minh</v>
      </c>
      <c r="C20247" t="str">
        <v>-</v>
      </c>
      <c r="D20247" t="str">
        <v>-</v>
      </c>
      <c r="E20247" t="str">
        <v>-</v>
      </c>
      <c r="F20247" t="str">
        <v>-</v>
      </c>
      <c r="G20247" t="str">
        <v>-</v>
      </c>
    </row>
    <row r="20248">
      <c r="B20248" t="str">
        <v>Công an phường Tân Thới Hòa  thành phố Hồ Chí Minh</v>
      </c>
      <c r="C20248" t="str">
        <v>-</v>
      </c>
      <c r="D20248" t="str">
        <v>-</v>
      </c>
      <c r="E20248" t="str">
        <v/>
      </c>
      <c r="F20248" t="str">
        <v>-</v>
      </c>
      <c r="G20248" t="str">
        <v>-</v>
      </c>
    </row>
    <row r="20249">
      <c r="B20249" t="str">
        <v>UBND Ủy ban nhân dân phường Tân Thới Hòa  thành phố Hồ Chí Minh</v>
      </c>
      <c r="C20249" t="str">
        <v>-</v>
      </c>
      <c r="D20249" t="str">
        <v>-</v>
      </c>
      <c r="E20249" t="str">
        <v>-</v>
      </c>
      <c r="F20249" t="str">
        <v>-</v>
      </c>
      <c r="G20249" t="str">
        <v>-</v>
      </c>
    </row>
    <row r="20250">
      <c r="B20250" t="str">
        <v>Công an phường 04  thành phố Hồ Chí Minh</v>
      </c>
      <c r="C20250" t="str">
        <v>-</v>
      </c>
      <c r="D20250" t="str">
        <v>-</v>
      </c>
      <c r="E20250" t="str">
        <v/>
      </c>
      <c r="F20250" t="str">
        <v>-</v>
      </c>
      <c r="G20250" t="str">
        <v>-</v>
      </c>
    </row>
    <row r="20251">
      <c r="B20251" t="str">
        <v>UBND Ủy ban nhân dân phường 04  thành phố Hồ Chí Minh</v>
      </c>
      <c r="C20251" t="str">
        <v>-</v>
      </c>
      <c r="D20251" t="str">
        <v>-</v>
      </c>
      <c r="E20251" t="str">
        <v>-</v>
      </c>
      <c r="F20251" t="str">
        <v>-</v>
      </c>
      <c r="G20251" t="str">
        <v>-</v>
      </c>
    </row>
    <row r="20252">
      <c r="B20252" t="str">
        <v>Công an phường 05  thành phố Hồ Chí Minh</v>
      </c>
      <c r="C20252" t="str">
        <v>-</v>
      </c>
      <c r="D20252" t="str">
        <v>-</v>
      </c>
      <c r="E20252" t="str">
        <v/>
      </c>
      <c r="F20252" t="str">
        <v>-</v>
      </c>
      <c r="G20252" t="str">
        <v>-</v>
      </c>
    </row>
    <row r="20253">
      <c r="B20253" t="str">
        <v>UBND Ủy ban nhân dân phường 05  thành phố Hồ Chí Minh</v>
      </c>
      <c r="C20253" t="str">
        <v>-</v>
      </c>
      <c r="D20253" t="str">
        <v>-</v>
      </c>
      <c r="E20253" t="str">
        <v>-</v>
      </c>
      <c r="F20253" t="str">
        <v>-</v>
      </c>
      <c r="G20253" t="str">
        <v>-</v>
      </c>
    </row>
    <row r="20254">
      <c r="B20254" t="str">
        <v>Công an phường 09  thành phố Hồ Chí Minh</v>
      </c>
      <c r="C20254" t="str">
        <v>-</v>
      </c>
      <c r="D20254" t="str">
        <v>-</v>
      </c>
      <c r="E20254" t="str">
        <v/>
      </c>
      <c r="F20254" t="str">
        <v>-</v>
      </c>
      <c r="G20254" t="str">
        <v>-</v>
      </c>
    </row>
    <row r="20255">
      <c r="B20255" t="str">
        <v>UBND Ủy ban nhân dân phường 09  thành phố Hồ Chí Minh</v>
      </c>
      <c r="C20255" t="str">
        <v>-</v>
      </c>
      <c r="D20255" t="str">
        <v>-</v>
      </c>
      <c r="E20255" t="str">
        <v>-</v>
      </c>
      <c r="F20255" t="str">
        <v>-</v>
      </c>
      <c r="G20255" t="str">
        <v>-</v>
      </c>
    </row>
    <row r="20256">
      <c r="B20256" t="str">
        <v>Công an phường 07  thành phố Hồ Chí Minh</v>
      </c>
      <c r="C20256" t="str">
        <v>-</v>
      </c>
      <c r="D20256" t="str">
        <v>-</v>
      </c>
      <c r="E20256" t="str">
        <v/>
      </c>
      <c r="F20256" t="str">
        <v>-</v>
      </c>
      <c r="G20256" t="str">
        <v>-</v>
      </c>
    </row>
    <row r="20257">
      <c r="B20257" t="str">
        <v>UBND Ủy ban nhân dân phường 07  thành phố Hồ Chí Minh</v>
      </c>
      <c r="C20257" t="str">
        <v>-</v>
      </c>
      <c r="D20257" t="str">
        <v>-</v>
      </c>
      <c r="E20257" t="str">
        <v>-</v>
      </c>
      <c r="F20257" t="str">
        <v>-</v>
      </c>
      <c r="G20257" t="str">
        <v>-</v>
      </c>
    </row>
    <row r="20258">
      <c r="B20258" t="str">
        <v>Công an phường 03  thành phố Hồ Chí Minh</v>
      </c>
      <c r="C20258" t="str">
        <v>-</v>
      </c>
      <c r="D20258" t="str">
        <v>-</v>
      </c>
      <c r="E20258" t="str">
        <v/>
      </c>
      <c r="F20258" t="str">
        <v>-</v>
      </c>
      <c r="G20258" t="str">
        <v>-</v>
      </c>
    </row>
    <row r="20259">
      <c r="B20259" t="str">
        <v>UBND Ủy ban nhân dân phường 03  thành phố Hồ Chí Minh</v>
      </c>
      <c r="C20259" t="str">
        <v>-</v>
      </c>
      <c r="D20259" t="str">
        <v>-</v>
      </c>
      <c r="E20259" t="str">
        <v>-</v>
      </c>
      <c r="F20259" t="str">
        <v>-</v>
      </c>
      <c r="G20259" t="str">
        <v>-</v>
      </c>
    </row>
    <row r="20260">
      <c r="B20260" t="str">
        <v>Công an phường 01  thành phố Hồ Chí Minh</v>
      </c>
      <c r="C20260" t="str">
        <v>-</v>
      </c>
      <c r="D20260" t="str">
        <v>-</v>
      </c>
      <c r="E20260" t="str">
        <v/>
      </c>
      <c r="F20260" t="str">
        <v>-</v>
      </c>
      <c r="G20260" t="str">
        <v>-</v>
      </c>
    </row>
    <row r="20261">
      <c r="B20261" t="str">
        <v>UBND Ủy ban nhân dân phường 01  thành phố Hồ Chí Minh</v>
      </c>
      <c r="C20261" t="str">
        <v>-</v>
      </c>
      <c r="D20261" t="str">
        <v>-</v>
      </c>
      <c r="E20261" t="str">
        <v>-</v>
      </c>
      <c r="F20261" t="str">
        <v>-</v>
      </c>
      <c r="G20261" t="str">
        <v>-</v>
      </c>
    </row>
    <row r="20262">
      <c r="B20262" t="str">
        <v>Công an phường 02  thành phố Hồ Chí Minh</v>
      </c>
      <c r="C20262" t="str">
        <v>-</v>
      </c>
      <c r="D20262" t="str">
        <v>-</v>
      </c>
      <c r="E20262" t="str">
        <v/>
      </c>
      <c r="F20262" t="str">
        <v>-</v>
      </c>
      <c r="G20262" t="str">
        <v>-</v>
      </c>
    </row>
    <row r="20263">
      <c r="B20263" t="str">
        <v>UBND Ủy ban nhân dân phường 02  thành phố Hồ Chí Minh</v>
      </c>
      <c r="C20263" t="str">
        <v>-</v>
      </c>
      <c r="D20263" t="str">
        <v>-</v>
      </c>
      <c r="E20263" t="str">
        <v>-</v>
      </c>
      <c r="F20263" t="str">
        <v>-</v>
      </c>
      <c r="G20263" t="str">
        <v>-</v>
      </c>
    </row>
    <row r="20264">
      <c r="B20264" t="str">
        <v>Công an phường 08  thành phố Hồ Chí Minh</v>
      </c>
      <c r="C20264" t="str">
        <v>-</v>
      </c>
      <c r="D20264" t="str">
        <v>-</v>
      </c>
      <c r="E20264" t="str">
        <v/>
      </c>
      <c r="F20264" t="str">
        <v>-</v>
      </c>
      <c r="G20264" t="str">
        <v>-</v>
      </c>
    </row>
    <row r="20265">
      <c r="B20265" t="str">
        <v>UBND Ủy ban nhân dân phường 08  thành phố Hồ Chí Minh</v>
      </c>
      <c r="C20265" t="str">
        <v>-</v>
      </c>
      <c r="D20265" t="str">
        <v>-</v>
      </c>
      <c r="E20265" t="str">
        <v>-</v>
      </c>
      <c r="F20265" t="str">
        <v>-</v>
      </c>
      <c r="G20265" t="str">
        <v>-</v>
      </c>
    </row>
    <row r="20266">
      <c r="B20266" t="str">
        <v>Công an phường 15  thành phố Hồ Chí Minh</v>
      </c>
      <c r="C20266" t="str">
        <v>-</v>
      </c>
      <c r="D20266" t="str">
        <v>-</v>
      </c>
      <c r="E20266" t="str">
        <v/>
      </c>
      <c r="F20266" t="str">
        <v>-</v>
      </c>
      <c r="G20266" t="str">
        <v>-</v>
      </c>
    </row>
    <row r="20267">
      <c r="B20267" t="str">
        <v>UBND Ủy ban nhân dân phường 15  thành phố Hồ Chí Minh</v>
      </c>
      <c r="C20267" t="str">
        <v>-</v>
      </c>
      <c r="D20267" t="str">
        <v>-</v>
      </c>
      <c r="E20267" t="str">
        <v>-</v>
      </c>
      <c r="F20267" t="str">
        <v>-</v>
      </c>
      <c r="G20267" t="str">
        <v>-</v>
      </c>
    </row>
    <row r="20268">
      <c r="B20268" t="str">
        <v>Công an phường 10  thành phố Hồ Chí Minh</v>
      </c>
      <c r="C20268" t="str">
        <v>-</v>
      </c>
      <c r="D20268" t="str">
        <v>-</v>
      </c>
      <c r="E20268" t="str">
        <v/>
      </c>
      <c r="F20268" t="str">
        <v>-</v>
      </c>
      <c r="G20268" t="str">
        <v>-</v>
      </c>
    </row>
    <row r="20269">
      <c r="B20269" t="str">
        <v>UBND Ủy ban nhân dân phường 10  thành phố Hồ Chí Minh</v>
      </c>
      <c r="C20269" t="str">
        <v>-</v>
      </c>
      <c r="D20269" t="str">
        <v>-</v>
      </c>
      <c r="E20269" t="str">
        <v>-</v>
      </c>
      <c r="F20269" t="str">
        <v>-</v>
      </c>
      <c r="G20269" t="str">
        <v>-</v>
      </c>
    </row>
    <row r="20270">
      <c r="B20270" t="str">
        <v>Công an phường 11  thành phố Hồ Chí Minh</v>
      </c>
      <c r="C20270" t="str">
        <v>-</v>
      </c>
      <c r="D20270" t="str">
        <v>-</v>
      </c>
      <c r="E20270" t="str">
        <v/>
      </c>
      <c r="F20270" t="str">
        <v>-</v>
      </c>
      <c r="G20270" t="str">
        <v>-</v>
      </c>
    </row>
    <row r="20271">
      <c r="B20271" t="str">
        <v>UBND Ủy ban nhân dân phường 11  thành phố Hồ Chí Minh</v>
      </c>
      <c r="C20271" t="str">
        <v>-</v>
      </c>
      <c r="D20271" t="str">
        <v>-</v>
      </c>
      <c r="E20271" t="str">
        <v>-</v>
      </c>
      <c r="F20271" t="str">
        <v>-</v>
      </c>
      <c r="G20271" t="str">
        <v>-</v>
      </c>
    </row>
    <row r="20272">
      <c r="B20272" t="str">
        <v>Công an phường 17  thành phố Hồ Chí Minh</v>
      </c>
      <c r="C20272" t="str">
        <v>-</v>
      </c>
      <c r="D20272" t="str">
        <v>-</v>
      </c>
      <c r="E20272" t="str">
        <v/>
      </c>
      <c r="F20272" t="str">
        <v>-</v>
      </c>
      <c r="G20272" t="str">
        <v>-</v>
      </c>
    </row>
    <row r="20273">
      <c r="B20273" t="str">
        <v>UBND Ủy ban nhân dân phường 17  thành phố Hồ Chí Minh</v>
      </c>
      <c r="C20273" t="str">
        <v>-</v>
      </c>
      <c r="D20273" t="str">
        <v>-</v>
      </c>
      <c r="E20273" t="str">
        <v>-</v>
      </c>
      <c r="F20273" t="str">
        <v>-</v>
      </c>
      <c r="G20273" t="str">
        <v>-</v>
      </c>
    </row>
    <row r="20274">
      <c r="B20274" t="str">
        <v>Công an phường 14  thành phố Hồ Chí Minh</v>
      </c>
      <c r="C20274" t="str">
        <v>-</v>
      </c>
      <c r="D20274" t="str">
        <v>-</v>
      </c>
      <c r="E20274" t="str">
        <v/>
      </c>
      <c r="F20274" t="str">
        <v>-</v>
      </c>
      <c r="G20274" t="str">
        <v>-</v>
      </c>
    </row>
    <row r="20275">
      <c r="B20275" t="str">
        <v>UBND Ủy ban nhân dân phường 14  thành phố Hồ Chí Minh</v>
      </c>
      <c r="C20275" t="str">
        <v>-</v>
      </c>
      <c r="D20275" t="str">
        <v>-</v>
      </c>
      <c r="E20275" t="str">
        <v>-</v>
      </c>
      <c r="F20275" t="str">
        <v>-</v>
      </c>
      <c r="G20275" t="str">
        <v>-</v>
      </c>
    </row>
    <row r="20276">
      <c r="B20276" t="str">
        <v>Công an phường 12  thành phố Hồ Chí Minh</v>
      </c>
      <c r="C20276" t="str">
        <v>-</v>
      </c>
      <c r="D20276" t="str">
        <v>-</v>
      </c>
      <c r="E20276" t="str">
        <v/>
      </c>
      <c r="F20276" t="str">
        <v>-</v>
      </c>
      <c r="G20276" t="str">
        <v>-</v>
      </c>
    </row>
    <row r="20277">
      <c r="B20277" t="str">
        <v>UBND Ủy ban nhân dân phường 12  thành phố Hồ Chí Minh</v>
      </c>
      <c r="C20277" t="str">
        <v>-</v>
      </c>
      <c r="D20277" t="str">
        <v>-</v>
      </c>
      <c r="E20277" t="str">
        <v>-</v>
      </c>
      <c r="F20277" t="str">
        <v>-</v>
      </c>
      <c r="G20277" t="str">
        <v>-</v>
      </c>
    </row>
    <row r="20278">
      <c r="B20278" t="str">
        <v>Công an phường 13  thành phố Hồ Chí Minh</v>
      </c>
      <c r="C20278" t="str">
        <v>-</v>
      </c>
      <c r="D20278" t="str">
        <v>-</v>
      </c>
      <c r="E20278" t="str">
        <v/>
      </c>
      <c r="F20278" t="str">
        <v>-</v>
      </c>
      <c r="G20278" t="str">
        <v>-</v>
      </c>
    </row>
    <row r="20279">
      <c r="B20279" t="str">
        <v>UBND Ủy ban nhân dân phường 13  thành phố Hồ Chí Minh</v>
      </c>
      <c r="C20279" t="str">
        <v>-</v>
      </c>
      <c r="D20279" t="str">
        <v>-</v>
      </c>
      <c r="E20279" t="str">
        <v>-</v>
      </c>
      <c r="F20279" t="str">
        <v>-</v>
      </c>
      <c r="G20279" t="str">
        <v>-</v>
      </c>
    </row>
    <row r="20280">
      <c r="B20280" t="str">
        <v>Công an phường Thảo Điền  thành phố Hồ Chí Minh</v>
      </c>
      <c r="C20280" t="str">
        <v>-</v>
      </c>
      <c r="D20280" t="str">
        <v>-</v>
      </c>
      <c r="E20280" t="str">
        <v/>
      </c>
      <c r="F20280" t="str">
        <v>-</v>
      </c>
      <c r="G20280" t="str">
        <v>-</v>
      </c>
    </row>
    <row r="20281">
      <c r="B20281" t="str">
        <v>UBND Ủy ban nhân dân phường Thảo Điền  thành phố Hồ Chí Minh</v>
      </c>
      <c r="C20281" t="str">
        <v>-</v>
      </c>
      <c r="D20281" t="str">
        <v>-</v>
      </c>
      <c r="E20281" t="str">
        <v>-</v>
      </c>
      <c r="F20281" t="str">
        <v>-</v>
      </c>
      <c r="G20281" t="str">
        <v>-</v>
      </c>
    </row>
    <row r="20282">
      <c r="B20282" t="str">
        <v>Công an phường An Phú  thành phố Hồ Chí Minh</v>
      </c>
      <c r="C20282" t="str">
        <v>-</v>
      </c>
      <c r="D20282" t="str">
        <v>-</v>
      </c>
      <c r="E20282" t="str">
        <v/>
      </c>
      <c r="F20282" t="str">
        <v>-</v>
      </c>
      <c r="G20282" t="str">
        <v>-</v>
      </c>
    </row>
    <row r="20283">
      <c r="B20283" t="str">
        <v>UBND Ủy ban nhân dân phường An Phú  thành phố Hồ Chí Minh</v>
      </c>
      <c r="C20283" t="str">
        <v>-</v>
      </c>
      <c r="D20283" t="str">
        <v>-</v>
      </c>
      <c r="E20283" t="str">
        <v>-</v>
      </c>
      <c r="F20283" t="str">
        <v>-</v>
      </c>
      <c r="G20283" t="str">
        <v>-</v>
      </c>
    </row>
    <row r="20284">
      <c r="B20284" t="str">
        <v>Công an phường Bình An  thành phố Hồ Chí Minh</v>
      </c>
      <c r="C20284" t="str">
        <v>-</v>
      </c>
      <c r="D20284" t="str">
        <v>-</v>
      </c>
      <c r="E20284" t="str">
        <v/>
      </c>
      <c r="F20284" t="str">
        <v>-</v>
      </c>
      <c r="G20284" t="str">
        <v>-</v>
      </c>
    </row>
    <row r="20285">
      <c r="B20285" t="str">
        <v>UBND Ủy ban nhân dân phường Bình An  thành phố Hồ Chí Minh</v>
      </c>
      <c r="C20285" t="str">
        <v>-</v>
      </c>
      <c r="D20285" t="str">
        <v>-</v>
      </c>
      <c r="E20285" t="str">
        <v>-</v>
      </c>
      <c r="F20285" t="str">
        <v>-</v>
      </c>
      <c r="G20285" t="str">
        <v>-</v>
      </c>
    </row>
    <row r="20286">
      <c r="B20286" t="str">
        <v>Công an phường Bình Trưng Đông  thành phố Hồ Chí Minh</v>
      </c>
      <c r="C20286" t="str">
        <v>-</v>
      </c>
      <c r="D20286" t="str">
        <v>-</v>
      </c>
      <c r="E20286" t="str">
        <v/>
      </c>
      <c r="F20286" t="str">
        <v>-</v>
      </c>
      <c r="G20286" t="str">
        <v>-</v>
      </c>
    </row>
    <row r="20287">
      <c r="B20287" t="str">
        <v>UBND Ủy ban nhân dân phường Bình Trưng Đông  thành phố Hồ Chí Minh</v>
      </c>
      <c r="C20287" t="str">
        <v>-</v>
      </c>
      <c r="D20287" t="str">
        <v>-</v>
      </c>
      <c r="E20287" t="str">
        <v>-</v>
      </c>
      <c r="F20287" t="str">
        <v>-</v>
      </c>
      <c r="G20287" t="str">
        <v>-</v>
      </c>
    </row>
    <row r="20288">
      <c r="B20288" t="str">
        <v>Công an phường Bình Trưng Tây  thành phố Hồ Chí Minh</v>
      </c>
      <c r="C20288" t="str">
        <v>-</v>
      </c>
      <c r="D20288" t="str">
        <v>-</v>
      </c>
      <c r="E20288" t="str">
        <v/>
      </c>
      <c r="F20288" t="str">
        <v>-</v>
      </c>
      <c r="G20288" t="str">
        <v>-</v>
      </c>
    </row>
    <row r="20289">
      <c r="B20289" t="str">
        <v>UBND Ủy ban nhân dân phường Bình Trưng Tây  thành phố Hồ Chí Minh</v>
      </c>
      <c r="C20289" t="str">
        <v>-</v>
      </c>
      <c r="D20289" t="str">
        <v>-</v>
      </c>
      <c r="E20289" t="str">
        <v>-</v>
      </c>
      <c r="F20289" t="str">
        <v>-</v>
      </c>
      <c r="G20289" t="str">
        <v>-</v>
      </c>
    </row>
    <row r="20290">
      <c r="B20290" t="str">
        <v>Công an phường Bình Khánh  thành phố Hồ Chí Minh</v>
      </c>
      <c r="C20290" t="str">
        <v>-</v>
      </c>
      <c r="D20290" t="str">
        <v>-</v>
      </c>
      <c r="E20290" t="str">
        <v/>
      </c>
      <c r="F20290" t="str">
        <v>-</v>
      </c>
      <c r="G20290" t="str">
        <v>-</v>
      </c>
    </row>
    <row r="20291">
      <c r="B20291" t="str">
        <v>UBND Ủy ban nhân dân phường Bình Khánh  thành phố Hồ Chí Minh</v>
      </c>
      <c r="C20291" t="str">
        <v>-</v>
      </c>
      <c r="D20291" t="str">
        <v>-</v>
      </c>
      <c r="E20291" t="str">
        <v>-</v>
      </c>
      <c r="F20291" t="str">
        <v>-</v>
      </c>
      <c r="G20291" t="str">
        <v>-</v>
      </c>
    </row>
    <row r="20292">
      <c r="B20292" t="str">
        <v>Công an phường An Khánh  thành phố Hồ Chí Minh</v>
      </c>
      <c r="C20292" t="str">
        <v>-</v>
      </c>
      <c r="D20292" t="str">
        <v>-</v>
      </c>
      <c r="E20292" t="str">
        <v/>
      </c>
      <c r="F20292" t="str">
        <v>-</v>
      </c>
      <c r="G20292" t="str">
        <v>-</v>
      </c>
    </row>
    <row r="20293">
      <c r="B20293" t="str">
        <v>UBND Ủy ban nhân dân phường An Khánh  thành phố Hồ Chí Minh</v>
      </c>
      <c r="C20293" t="str">
        <v>-</v>
      </c>
      <c r="D20293" t="str">
        <v>-</v>
      </c>
      <c r="E20293" t="str">
        <v>-</v>
      </c>
      <c r="F20293" t="str">
        <v>-</v>
      </c>
      <c r="G20293" t="str">
        <v>-</v>
      </c>
    </row>
    <row r="20294">
      <c r="B20294" t="str">
        <v>Công an phường Cát Lái  thành phố Hồ Chí Minh</v>
      </c>
      <c r="C20294" t="str">
        <v>-</v>
      </c>
      <c r="D20294" t="str">
        <v>-</v>
      </c>
      <c r="E20294" t="str">
        <v/>
      </c>
      <c r="F20294" t="str">
        <v>-</v>
      </c>
      <c r="G20294" t="str">
        <v>-</v>
      </c>
    </row>
    <row r="20295">
      <c r="B20295" t="str">
        <v>UBND Ủy ban nhân dân phường Cát Lái  thành phố Hồ Chí Minh</v>
      </c>
      <c r="C20295" t="str">
        <v>-</v>
      </c>
      <c r="D20295" t="str">
        <v>-</v>
      </c>
      <c r="E20295" t="str">
        <v>-</v>
      </c>
      <c r="F20295" t="str">
        <v>-</v>
      </c>
      <c r="G20295" t="str">
        <v>-</v>
      </c>
    </row>
    <row r="20296">
      <c r="B20296" t="str">
        <v>Công an phường Thạnh Mỹ Lợi  thành phố Hồ Chí Minh</v>
      </c>
      <c r="C20296" t="str">
        <v>-</v>
      </c>
      <c r="D20296" t="str">
        <v>-</v>
      </c>
      <c r="E20296" t="str">
        <v/>
      </c>
      <c r="F20296" t="str">
        <v>-</v>
      </c>
      <c r="G20296" t="str">
        <v>-</v>
      </c>
    </row>
    <row r="20297">
      <c r="B20297" t="str">
        <v>UBND Ủy ban nhân dân phường Thạnh Mỹ Lợi  thành phố Hồ Chí Minh</v>
      </c>
      <c r="C20297" t="str">
        <v>-</v>
      </c>
      <c r="D20297" t="str">
        <v>-</v>
      </c>
      <c r="E20297" t="str">
        <v>-</v>
      </c>
      <c r="F20297" t="str">
        <v>-</v>
      </c>
      <c r="G20297" t="str">
        <v>-</v>
      </c>
    </row>
    <row r="20298">
      <c r="B20298" t="str">
        <v>Công an phường An Lợi Đông  thành phố Hồ Chí Minh</v>
      </c>
      <c r="C20298" t="str">
        <v>-</v>
      </c>
      <c r="D20298" t="str">
        <v>-</v>
      </c>
      <c r="E20298" t="str">
        <v/>
      </c>
      <c r="F20298" t="str">
        <v>-</v>
      </c>
      <c r="G20298" t="str">
        <v>-</v>
      </c>
    </row>
    <row r="20299">
      <c r="B20299" t="str">
        <v>UBND Ủy ban nhân dân phường An Lợi Đông  thành phố Hồ Chí Minh</v>
      </c>
      <c r="C20299" t="str">
        <v>-</v>
      </c>
      <c r="D20299" t="str">
        <v>-</v>
      </c>
      <c r="E20299" t="str">
        <v>-</v>
      </c>
      <c r="F20299" t="str">
        <v>-</v>
      </c>
      <c r="G20299" t="str">
        <v>-</v>
      </c>
    </row>
    <row r="20300">
      <c r="B20300" t="str">
        <v>Công an phường Thủ Thiêm  thành phố Hồ Chí Minh</v>
      </c>
      <c r="C20300" t="str">
        <v>-</v>
      </c>
      <c r="D20300" t="str">
        <v>-</v>
      </c>
      <c r="E20300" t="str">
        <v/>
      </c>
      <c r="F20300" t="str">
        <v>-</v>
      </c>
      <c r="G20300" t="str">
        <v>-</v>
      </c>
    </row>
    <row r="20301">
      <c r="B20301" t="str">
        <v>UBND Ủy ban nhân dân phường Thủ Thiêm  thành phố Hồ Chí Minh</v>
      </c>
      <c r="C20301" t="str">
        <v>-</v>
      </c>
      <c r="D20301" t="str">
        <v>-</v>
      </c>
      <c r="E20301" t="str">
        <v>-</v>
      </c>
      <c r="F20301" t="str">
        <v>-</v>
      </c>
      <c r="G20301" t="str">
        <v>-</v>
      </c>
    </row>
    <row r="20302">
      <c r="B20302" t="str">
        <v>Công an phường 08  thành phố Hồ Chí Minh</v>
      </c>
      <c r="C20302" t="str">
        <v>-</v>
      </c>
      <c r="D20302" t="str">
        <v>-</v>
      </c>
      <c r="E20302" t="str">
        <v/>
      </c>
      <c r="F20302" t="str">
        <v>-</v>
      </c>
      <c r="G20302" t="str">
        <v>-</v>
      </c>
    </row>
    <row r="20303">
      <c r="B20303" t="str">
        <v>UBND Ủy ban nhân dân phường 08  thành phố Hồ Chí Minh</v>
      </c>
      <c r="C20303" t="str">
        <v>-</v>
      </c>
      <c r="D20303" t="str">
        <v>-</v>
      </c>
      <c r="E20303" t="str">
        <v>-</v>
      </c>
      <c r="F20303" t="str">
        <v>-</v>
      </c>
      <c r="G20303" t="str">
        <v>-</v>
      </c>
    </row>
    <row r="20304">
      <c r="B20304" t="str">
        <v>Công an phường 07  thành phố Hồ Chí Minh</v>
      </c>
      <c r="C20304" t="str">
        <v>-</v>
      </c>
      <c r="D20304" t="str">
        <v>-</v>
      </c>
      <c r="E20304" t="str">
        <v/>
      </c>
      <c r="F20304" t="str">
        <v>-</v>
      </c>
      <c r="G20304" t="str">
        <v>-</v>
      </c>
    </row>
    <row r="20305">
      <c r="B20305" t="str">
        <v>UBND Ủy ban nhân dân phường 07  thành phố Hồ Chí Minh</v>
      </c>
      <c r="C20305" t="str">
        <v>-</v>
      </c>
      <c r="D20305" t="str">
        <v>-</v>
      </c>
      <c r="E20305" t="str">
        <v>-</v>
      </c>
      <c r="F20305" t="str">
        <v>-</v>
      </c>
      <c r="G20305" t="str">
        <v>-</v>
      </c>
    </row>
    <row r="20306">
      <c r="B20306" t="str">
        <v>Công an phường 14  thành phố Hồ Chí Minh</v>
      </c>
      <c r="C20306" t="str">
        <v>-</v>
      </c>
      <c r="D20306" t="str">
        <v>-</v>
      </c>
      <c r="E20306" t="str">
        <v/>
      </c>
      <c r="F20306" t="str">
        <v>-</v>
      </c>
      <c r="G20306" t="str">
        <v>-</v>
      </c>
    </row>
    <row r="20307">
      <c r="B20307" t="str">
        <v>UBND Ủy ban nhân dân phường 14  thành phố Hồ Chí Minh</v>
      </c>
      <c r="C20307" t="str">
        <v>-</v>
      </c>
      <c r="D20307" t="str">
        <v>-</v>
      </c>
      <c r="E20307" t="str">
        <v>-</v>
      </c>
      <c r="F20307" t="str">
        <v>-</v>
      </c>
      <c r="G20307" t="str">
        <v>-</v>
      </c>
    </row>
    <row r="20308">
      <c r="B20308" t="str">
        <v>Công an phường 12  thành phố Hồ Chí Minh</v>
      </c>
      <c r="C20308" t="str">
        <v>-</v>
      </c>
      <c r="D20308" t="str">
        <v>-</v>
      </c>
      <c r="E20308" t="str">
        <v/>
      </c>
      <c r="F20308" t="str">
        <v>-</v>
      </c>
      <c r="G20308" t="str">
        <v>-</v>
      </c>
    </row>
    <row r="20309">
      <c r="B20309" t="str">
        <v>UBND Ủy ban nhân dân phường 12  thành phố Hồ Chí Minh</v>
      </c>
      <c r="C20309" t="str">
        <v>-</v>
      </c>
      <c r="D20309" t="str">
        <v>-</v>
      </c>
      <c r="E20309" t="str">
        <v>-</v>
      </c>
      <c r="F20309" t="str">
        <v>-</v>
      </c>
      <c r="G20309" t="str">
        <v>-</v>
      </c>
    </row>
    <row r="20310">
      <c r="B20310" t="str">
        <v>Công an phường 11  thành phố Hồ Chí Minh</v>
      </c>
      <c r="C20310" t="str">
        <v>-</v>
      </c>
      <c r="D20310" t="str">
        <v>-</v>
      </c>
      <c r="E20310" t="str">
        <v/>
      </c>
      <c r="F20310" t="str">
        <v>-</v>
      </c>
      <c r="G20310" t="str">
        <v>-</v>
      </c>
    </row>
    <row r="20311">
      <c r="B20311" t="str">
        <v>UBND Ủy ban nhân dân phường 11  thành phố Hồ Chí Minh</v>
      </c>
      <c r="C20311" t="str">
        <v>-</v>
      </c>
      <c r="D20311" t="str">
        <v>-</v>
      </c>
      <c r="E20311" t="str">
        <v>-</v>
      </c>
      <c r="F20311" t="str">
        <v>-</v>
      </c>
      <c r="G20311" t="str">
        <v>-</v>
      </c>
    </row>
    <row r="20312">
      <c r="B20312" t="str">
        <v>Công an phường 13  thành phố Hồ Chí Minh</v>
      </c>
      <c r="C20312" t="str">
        <v>-</v>
      </c>
      <c r="D20312" t="str">
        <v>-</v>
      </c>
      <c r="E20312" t="str">
        <v/>
      </c>
      <c r="F20312" t="str">
        <v>-</v>
      </c>
      <c r="G20312" t="str">
        <v>-</v>
      </c>
    </row>
    <row r="20313">
      <c r="B20313" t="str">
        <v>UBND Ủy ban nhân dân phường 13  thành phố Hồ Chí Minh</v>
      </c>
      <c r="C20313" t="str">
        <v>-</v>
      </c>
      <c r="D20313" t="str">
        <v>-</v>
      </c>
      <c r="E20313" t="str">
        <v>-</v>
      </c>
      <c r="F20313" t="str">
        <v>-</v>
      </c>
      <c r="G20313" t="str">
        <v>-</v>
      </c>
    </row>
    <row r="20314">
      <c r="B20314" t="str">
        <v>Công an phường 06  thành phố Hồ Chí Minh</v>
      </c>
      <c r="C20314" t="str">
        <v>-</v>
      </c>
      <c r="D20314" t="str">
        <v>-</v>
      </c>
      <c r="E20314" t="str">
        <v/>
      </c>
      <c r="F20314" t="str">
        <v>-</v>
      </c>
      <c r="G20314" t="str">
        <v>-</v>
      </c>
    </row>
    <row r="20315">
      <c r="B20315" t="str">
        <v>UBND Ủy ban nhân dân phường 06  thành phố Hồ Chí Minh</v>
      </c>
      <c r="C20315" t="str">
        <v>-</v>
      </c>
      <c r="D20315" t="str">
        <v>-</v>
      </c>
      <c r="E20315" t="str">
        <v>-</v>
      </c>
      <c r="F20315" t="str">
        <v>-</v>
      </c>
      <c r="G20315" t="str">
        <v>-</v>
      </c>
    </row>
    <row r="20316">
      <c r="B20316" t="str">
        <v>Công an phường 09  thành phố Hồ Chí Minh</v>
      </c>
      <c r="C20316" t="str">
        <v>-</v>
      </c>
      <c r="D20316" t="str">
        <v>-</v>
      </c>
      <c r="E20316" t="str">
        <v/>
      </c>
      <c r="F20316" t="str">
        <v>-</v>
      </c>
      <c r="G20316" t="str">
        <v>-</v>
      </c>
    </row>
    <row r="20317">
      <c r="B20317" t="str">
        <v>UBND Ủy ban nhân dân phường 09  thành phố Hồ Chí Minh</v>
      </c>
      <c r="C20317" t="str">
        <v>-</v>
      </c>
      <c r="D20317" t="str">
        <v>-</v>
      </c>
      <c r="E20317" t="str">
        <v>-</v>
      </c>
      <c r="F20317" t="str">
        <v>-</v>
      </c>
      <c r="G20317" t="str">
        <v>-</v>
      </c>
    </row>
    <row r="20318">
      <c r="B20318" t="str">
        <v>Công an phường 10  thành phố Hồ Chí Minh</v>
      </c>
      <c r="C20318" t="str">
        <v>-</v>
      </c>
      <c r="D20318" t="str">
        <v>-</v>
      </c>
      <c r="E20318" t="str">
        <v/>
      </c>
      <c r="F20318" t="str">
        <v>-</v>
      </c>
      <c r="G20318" t="str">
        <v>-</v>
      </c>
    </row>
    <row r="20319">
      <c r="B20319" t="str">
        <v>UBND Ủy ban nhân dân phường 10  thành phố Hồ Chí Minh</v>
      </c>
      <c r="C20319" t="str">
        <v>-</v>
      </c>
      <c r="D20319" t="str">
        <v>-</v>
      </c>
      <c r="E20319" t="str">
        <v>-</v>
      </c>
      <c r="F20319" t="str">
        <v>-</v>
      </c>
      <c r="G20319" t="str">
        <v>-</v>
      </c>
    </row>
    <row r="20320">
      <c r="B20320" t="str">
        <v>Công an phường 04  thành phố Hồ Chí Minh</v>
      </c>
      <c r="C20320" t="str">
        <v>-</v>
      </c>
      <c r="D20320" t="str">
        <v>-</v>
      </c>
      <c r="E20320" t="str">
        <v/>
      </c>
      <c r="F20320" t="str">
        <v>-</v>
      </c>
      <c r="G20320" t="str">
        <v>-</v>
      </c>
    </row>
    <row r="20321">
      <c r="B20321" t="str">
        <v>UBND Ủy ban nhân dân phường 04  thành phố Hồ Chí Minh</v>
      </c>
      <c r="C20321" t="str">
        <v>-</v>
      </c>
      <c r="D20321" t="str">
        <v>-</v>
      </c>
      <c r="E20321" t="str">
        <v>-</v>
      </c>
      <c r="F20321" t="str">
        <v>-</v>
      </c>
      <c r="G20321" t="str">
        <v>-</v>
      </c>
    </row>
    <row r="20322">
      <c r="B20322" t="str">
        <v>Công an phường 05  thành phố Hồ Chí Minh</v>
      </c>
      <c r="C20322" t="str">
        <v>-</v>
      </c>
      <c r="D20322" t="str">
        <v>-</v>
      </c>
      <c r="E20322" t="str">
        <v/>
      </c>
      <c r="F20322" t="str">
        <v>-</v>
      </c>
      <c r="G20322" t="str">
        <v>-</v>
      </c>
    </row>
    <row r="20323">
      <c r="B20323" t="str">
        <v>UBND Ủy ban nhân dân phường 05  thành phố Hồ Chí Minh</v>
      </c>
      <c r="C20323" t="str">
        <v>-</v>
      </c>
      <c r="D20323" t="str">
        <v>-</v>
      </c>
      <c r="E20323" t="str">
        <v>-</v>
      </c>
      <c r="F20323" t="str">
        <v>-</v>
      </c>
      <c r="G20323" t="str">
        <v>-</v>
      </c>
    </row>
    <row r="20324">
      <c r="B20324" t="str">
        <v>Công an phường 03  thành phố Hồ Chí Minh</v>
      </c>
      <c r="C20324" t="str">
        <v>-</v>
      </c>
      <c r="D20324" t="str">
        <v>-</v>
      </c>
      <c r="E20324" t="str">
        <v/>
      </c>
      <c r="F20324" t="str">
        <v>-</v>
      </c>
      <c r="G20324" t="str">
        <v>-</v>
      </c>
    </row>
    <row r="20325">
      <c r="B20325" t="str">
        <v>UBND Ủy ban nhân dân phường 03  thành phố Hồ Chí Minh</v>
      </c>
      <c r="C20325" t="str">
        <v>-</v>
      </c>
      <c r="D20325" t="str">
        <v>-</v>
      </c>
      <c r="E20325" t="str">
        <v>-</v>
      </c>
      <c r="F20325" t="str">
        <v>-</v>
      </c>
      <c r="G20325" t="str">
        <v>-</v>
      </c>
    </row>
    <row r="20326">
      <c r="B20326" t="str">
        <v>Công an phường 02  thành phố Hồ Chí Minh</v>
      </c>
      <c r="C20326" t="str">
        <v>-</v>
      </c>
      <c r="D20326" t="str">
        <v>-</v>
      </c>
      <c r="E20326" t="str">
        <v/>
      </c>
      <c r="F20326" t="str">
        <v>-</v>
      </c>
      <c r="G20326" t="str">
        <v>-</v>
      </c>
    </row>
    <row r="20327">
      <c r="B20327" t="str">
        <v>UBND Ủy ban nhân dân phường 02  thành phố Hồ Chí Minh</v>
      </c>
      <c r="C20327" t="str">
        <v>-</v>
      </c>
      <c r="D20327" t="str">
        <v>-</v>
      </c>
      <c r="E20327" t="str">
        <v>-</v>
      </c>
      <c r="F20327" t="str">
        <v>-</v>
      </c>
      <c r="G20327" t="str">
        <v>-</v>
      </c>
    </row>
    <row r="20328">
      <c r="B20328" t="str">
        <v>Công an phường 01  thành phố Hồ Chí Minh</v>
      </c>
      <c r="C20328" t="str">
        <v>-</v>
      </c>
      <c r="D20328" t="str">
        <v>-</v>
      </c>
      <c r="E20328" t="str">
        <v/>
      </c>
      <c r="F20328" t="str">
        <v>-</v>
      </c>
      <c r="G20328" t="str">
        <v>-</v>
      </c>
    </row>
    <row r="20329">
      <c r="B20329" t="str">
        <v>UBND Ủy ban nhân dân phường 01  thành phố Hồ Chí Minh</v>
      </c>
      <c r="C20329" t="str">
        <v>-</v>
      </c>
      <c r="D20329" t="str">
        <v>-</v>
      </c>
      <c r="E20329" t="str">
        <v>-</v>
      </c>
      <c r="F20329" t="str">
        <v>-</v>
      </c>
      <c r="G20329" t="str">
        <v>-</v>
      </c>
    </row>
    <row r="20330">
      <c r="B20330" t="str">
        <v>Công an phường 15  thành phố Hồ Chí Minh</v>
      </c>
      <c r="C20330" t="str">
        <v>-</v>
      </c>
      <c r="D20330" t="str">
        <v>-</v>
      </c>
      <c r="E20330" t="str">
        <v/>
      </c>
      <c r="F20330" t="str">
        <v>-</v>
      </c>
      <c r="G20330" t="str">
        <v>-</v>
      </c>
    </row>
    <row r="20331">
      <c r="B20331" t="str">
        <v>UBND Ủy ban nhân dân phường 15  thành phố Hồ Chí Minh</v>
      </c>
      <c r="C20331" t="str">
        <v>-</v>
      </c>
      <c r="D20331" t="str">
        <v>-</v>
      </c>
      <c r="E20331" t="str">
        <v>-</v>
      </c>
      <c r="F20331" t="str">
        <v>-</v>
      </c>
      <c r="G20331" t="str">
        <v>-</v>
      </c>
    </row>
    <row r="20332">
      <c r="B20332" t="str">
        <v>Công an phường 13  thành phố Hồ Chí Minh</v>
      </c>
      <c r="C20332" t="str">
        <v>-</v>
      </c>
      <c r="D20332" t="str">
        <v>-</v>
      </c>
      <c r="E20332" t="str">
        <v/>
      </c>
      <c r="F20332" t="str">
        <v>-</v>
      </c>
      <c r="G20332" t="str">
        <v>-</v>
      </c>
    </row>
    <row r="20333">
      <c r="B20333" t="str">
        <v>UBND Ủy ban nhân dân phường 13  thành phố Hồ Chí Minh</v>
      </c>
      <c r="C20333" t="str">
        <v>-</v>
      </c>
      <c r="D20333" t="str">
        <v>-</v>
      </c>
      <c r="E20333" t="str">
        <v>-</v>
      </c>
      <c r="F20333" t="str">
        <v>-</v>
      </c>
      <c r="G20333" t="str">
        <v>-</v>
      </c>
    </row>
    <row r="20334">
      <c r="B20334" t="str">
        <v>Công an phường 14  thành phố Hồ Chí Minh</v>
      </c>
      <c r="C20334" t="str">
        <v>-</v>
      </c>
      <c r="D20334" t="str">
        <v>-</v>
      </c>
      <c r="E20334" t="str">
        <v/>
      </c>
      <c r="F20334" t="str">
        <v>-</v>
      </c>
      <c r="G20334" t="str">
        <v>-</v>
      </c>
    </row>
    <row r="20335">
      <c r="B20335" t="str">
        <v>UBND Ủy ban nhân dân phường 14  thành phố Hồ Chí Minh</v>
      </c>
      <c r="C20335" t="str">
        <v>-</v>
      </c>
      <c r="D20335" t="str">
        <v>-</v>
      </c>
      <c r="E20335" t="str">
        <v>-</v>
      </c>
      <c r="F20335" t="str">
        <v>-</v>
      </c>
      <c r="G20335" t="str">
        <v>-</v>
      </c>
    </row>
    <row r="20336">
      <c r="B20336" t="str">
        <v>Công an phường 12  thành phố Hồ Chí Minh</v>
      </c>
      <c r="C20336" t="str">
        <v>-</v>
      </c>
      <c r="D20336" t="str">
        <v>-</v>
      </c>
      <c r="E20336" t="str">
        <v/>
      </c>
      <c r="F20336" t="str">
        <v>-</v>
      </c>
      <c r="G20336" t="str">
        <v>-</v>
      </c>
    </row>
    <row r="20337">
      <c r="B20337" t="str">
        <v>UBND Ủy ban nhân dân phường 12  thành phố Hồ Chí Minh</v>
      </c>
      <c r="C20337" t="str">
        <v>-</v>
      </c>
      <c r="D20337" t="str">
        <v>-</v>
      </c>
      <c r="E20337" t="str">
        <v>-</v>
      </c>
      <c r="F20337" t="str">
        <v>-</v>
      </c>
      <c r="G20337" t="str">
        <v>-</v>
      </c>
    </row>
    <row r="20338">
      <c r="B20338" t="str">
        <v>Công an phường 11  thành phố Hồ Chí Minh</v>
      </c>
      <c r="C20338" t="str">
        <v>-</v>
      </c>
      <c r="D20338" t="str">
        <v>-</v>
      </c>
      <c r="E20338" t="str">
        <v/>
      </c>
      <c r="F20338" t="str">
        <v>-</v>
      </c>
      <c r="G20338" t="str">
        <v>-</v>
      </c>
    </row>
    <row r="20339">
      <c r="B20339" t="str">
        <v>UBND Ủy ban nhân dân phường 11  thành phố Hồ Chí Minh</v>
      </c>
      <c r="C20339" t="str">
        <v>-</v>
      </c>
      <c r="D20339" t="str">
        <v>-</v>
      </c>
      <c r="E20339" t="str">
        <v>-</v>
      </c>
      <c r="F20339" t="str">
        <v>-</v>
      </c>
      <c r="G20339" t="str">
        <v>-</v>
      </c>
    </row>
    <row r="20340">
      <c r="B20340" t="str">
        <v>Công an phường 10  thành phố Hồ Chí Minh</v>
      </c>
      <c r="C20340" t="str">
        <v>-</v>
      </c>
      <c r="D20340" t="str">
        <v>-</v>
      </c>
      <c r="E20340" t="str">
        <v/>
      </c>
      <c r="F20340" t="str">
        <v>-</v>
      </c>
      <c r="G20340" t="str">
        <v>-</v>
      </c>
    </row>
    <row r="20341">
      <c r="B20341" t="str">
        <v>UBND Ủy ban nhân dân phường 10  thành phố Hồ Chí Minh</v>
      </c>
      <c r="C20341" t="str">
        <v>-</v>
      </c>
      <c r="D20341" t="str">
        <v>-</v>
      </c>
      <c r="E20341" t="str">
        <v>-</v>
      </c>
      <c r="F20341" t="str">
        <v>-</v>
      </c>
      <c r="G20341" t="str">
        <v>-</v>
      </c>
    </row>
    <row r="20342">
      <c r="B20342" t="str">
        <v>Công an phường 09  thành phố Hồ Chí Minh</v>
      </c>
      <c r="C20342" t="str">
        <v>-</v>
      </c>
      <c r="D20342" t="str">
        <v>-</v>
      </c>
      <c r="E20342" t="str">
        <v/>
      </c>
      <c r="F20342" t="str">
        <v>-</v>
      </c>
      <c r="G20342" t="str">
        <v>-</v>
      </c>
    </row>
    <row r="20343">
      <c r="B20343" t="str">
        <v>UBND Ủy ban nhân dân phường 09  thành phố Hồ Chí Minh</v>
      </c>
      <c r="C20343" t="str">
        <v>-</v>
      </c>
      <c r="D20343" t="str">
        <v>-</v>
      </c>
      <c r="E20343" t="str">
        <v>-</v>
      </c>
      <c r="F20343" t="str">
        <v>-</v>
      </c>
      <c r="G20343" t="str">
        <v>-</v>
      </c>
    </row>
    <row r="20344">
      <c r="B20344" t="str">
        <v>Công an phường 01  thành phố Hồ Chí Minh</v>
      </c>
      <c r="C20344" t="str">
        <v>-</v>
      </c>
      <c r="D20344" t="str">
        <v>-</v>
      </c>
      <c r="E20344" t="str">
        <v/>
      </c>
      <c r="F20344" t="str">
        <v>-</v>
      </c>
      <c r="G20344" t="str">
        <v>-</v>
      </c>
    </row>
    <row r="20345">
      <c r="B20345" t="str">
        <v>UBND Ủy ban nhân dân phường 01  thành phố Hồ Chí Minh</v>
      </c>
      <c r="C20345" t="str">
        <v>-</v>
      </c>
      <c r="D20345" t="str">
        <v>-</v>
      </c>
      <c r="E20345" t="str">
        <v>-</v>
      </c>
      <c r="F20345" t="str">
        <v>-</v>
      </c>
      <c r="G20345" t="str">
        <v>-</v>
      </c>
    </row>
    <row r="20346">
      <c r="B20346" t="str">
        <v>Công an phường 08  thành phố Hồ Chí Minh</v>
      </c>
      <c r="C20346" t="str">
        <v>-</v>
      </c>
      <c r="D20346" t="str">
        <v>-</v>
      </c>
      <c r="E20346" t="str">
        <v/>
      </c>
      <c r="F20346" t="str">
        <v>-</v>
      </c>
      <c r="G20346" t="str">
        <v>-</v>
      </c>
    </row>
    <row r="20347">
      <c r="B20347" t="str">
        <v>UBND Ủy ban nhân dân phường 08  thành phố Hồ Chí Minh</v>
      </c>
      <c r="C20347" t="str">
        <v>-</v>
      </c>
      <c r="D20347" t="str">
        <v>-</v>
      </c>
      <c r="E20347" t="str">
        <v>-</v>
      </c>
      <c r="F20347" t="str">
        <v>-</v>
      </c>
      <c r="G20347" t="str">
        <v>-</v>
      </c>
    </row>
    <row r="20348">
      <c r="B20348" t="str">
        <v>Công an phường 02  thành phố Hồ Chí Minh</v>
      </c>
      <c r="C20348" t="str">
        <v>-</v>
      </c>
      <c r="D20348" t="str">
        <v>-</v>
      </c>
      <c r="E20348" t="str">
        <v/>
      </c>
      <c r="F20348" t="str">
        <v>-</v>
      </c>
      <c r="G20348" t="str">
        <v>-</v>
      </c>
    </row>
    <row r="20349">
      <c r="B20349" t="str">
        <v>UBND Ủy ban nhân dân phường 02  thành phố Hồ Chí Minh</v>
      </c>
      <c r="C20349" t="str">
        <v>-</v>
      </c>
      <c r="D20349" t="str">
        <v>-</v>
      </c>
      <c r="E20349" t="str">
        <v>-</v>
      </c>
      <c r="F20349" t="str">
        <v>-</v>
      </c>
      <c r="G20349" t="str">
        <v>-</v>
      </c>
    </row>
    <row r="20350">
      <c r="B20350" t="str">
        <v>Công an phường 04  thành phố Hồ Chí Minh</v>
      </c>
      <c r="C20350" t="str">
        <v>-</v>
      </c>
      <c r="D20350" t="str">
        <v>-</v>
      </c>
      <c r="E20350" t="str">
        <v/>
      </c>
      <c r="F20350" t="str">
        <v>-</v>
      </c>
      <c r="G20350" t="str">
        <v>-</v>
      </c>
    </row>
    <row r="20351">
      <c r="B20351" t="str">
        <v>UBND Ủy ban nhân dân phường 04  thành phố Hồ Chí Minh</v>
      </c>
      <c r="C20351" t="str">
        <v>-</v>
      </c>
      <c r="D20351" t="str">
        <v>-</v>
      </c>
      <c r="E20351" t="str">
        <v>-</v>
      </c>
      <c r="F20351" t="str">
        <v>-</v>
      </c>
      <c r="G20351" t="str">
        <v>-</v>
      </c>
    </row>
    <row r="20352">
      <c r="B20352" t="str">
        <v>Công an phường 07  thành phố Hồ Chí Minh</v>
      </c>
      <c r="C20352" t="str">
        <v>-</v>
      </c>
      <c r="D20352" t="str">
        <v>-</v>
      </c>
      <c r="E20352" t="str">
        <v/>
      </c>
      <c r="F20352" t="str">
        <v>-</v>
      </c>
      <c r="G20352" t="str">
        <v>-</v>
      </c>
    </row>
    <row r="20353">
      <c r="B20353" t="str">
        <v>UBND Ủy ban nhân dân phường 07  thành phố Hồ Chí Minh</v>
      </c>
      <c r="C20353" t="str">
        <v>-</v>
      </c>
      <c r="D20353" t="str">
        <v>-</v>
      </c>
      <c r="E20353" t="str">
        <v>-</v>
      </c>
      <c r="F20353" t="str">
        <v>-</v>
      </c>
      <c r="G20353" t="str">
        <v>-</v>
      </c>
    </row>
    <row r="20354">
      <c r="B20354" t="str">
        <v>Công an phường 05  thành phố Hồ Chí Minh</v>
      </c>
      <c r="C20354" t="str">
        <v>-</v>
      </c>
      <c r="D20354" t="str">
        <v>-</v>
      </c>
      <c r="E20354" t="str">
        <v/>
      </c>
      <c r="F20354" t="str">
        <v>-</v>
      </c>
      <c r="G20354" t="str">
        <v>-</v>
      </c>
    </row>
    <row r="20355">
      <c r="B20355" t="str">
        <v>UBND Ủy ban nhân dân phường 05  thành phố Hồ Chí Minh</v>
      </c>
      <c r="C20355" t="str">
        <v>-</v>
      </c>
      <c r="D20355" t="str">
        <v>-</v>
      </c>
      <c r="E20355" t="str">
        <v>-</v>
      </c>
      <c r="F20355" t="str">
        <v>-</v>
      </c>
      <c r="G20355" t="str">
        <v>-</v>
      </c>
    </row>
    <row r="20356">
      <c r="B20356" t="str">
        <v>Công an phường 06  thành phố Hồ Chí Minh</v>
      </c>
      <c r="C20356" t="str">
        <v>-</v>
      </c>
      <c r="D20356" t="str">
        <v>-</v>
      </c>
      <c r="E20356" t="str">
        <v/>
      </c>
      <c r="F20356" t="str">
        <v>-</v>
      </c>
      <c r="G20356" t="str">
        <v>-</v>
      </c>
    </row>
    <row r="20357">
      <c r="B20357" t="str">
        <v>UBND Ủy ban nhân dân phường 06  thành phố Hồ Chí Minh</v>
      </c>
      <c r="C20357" t="str">
        <v>-</v>
      </c>
      <c r="D20357" t="str">
        <v>-</v>
      </c>
      <c r="E20357" t="str">
        <v>-</v>
      </c>
      <c r="F20357" t="str">
        <v>-</v>
      </c>
      <c r="G20357" t="str">
        <v>-</v>
      </c>
    </row>
    <row r="20358">
      <c r="B20358" t="str">
        <v>Công an phường 03  thành phố Hồ Chí Minh</v>
      </c>
      <c r="C20358" t="str">
        <v>-</v>
      </c>
      <c r="D20358" t="str">
        <v>-</v>
      </c>
      <c r="E20358" t="str">
        <v/>
      </c>
      <c r="F20358" t="str">
        <v>-</v>
      </c>
      <c r="G20358" t="str">
        <v>-</v>
      </c>
    </row>
    <row r="20359">
      <c r="B20359" t="str">
        <v>UBND Ủy ban nhân dân phường 03  thành phố Hồ Chí Minh</v>
      </c>
      <c r="C20359" t="str">
        <v>-</v>
      </c>
      <c r="D20359" t="str">
        <v>-</v>
      </c>
      <c r="E20359" t="str">
        <v>-</v>
      </c>
      <c r="F20359" t="str">
        <v>-</v>
      </c>
      <c r="G20359" t="str">
        <v>-</v>
      </c>
    </row>
    <row r="20360">
      <c r="B20360" t="str">
        <v>Công an phường 15  thành phố Hồ Chí Minh</v>
      </c>
      <c r="C20360" t="str">
        <v>-</v>
      </c>
      <c r="D20360" t="str">
        <v>-</v>
      </c>
      <c r="E20360" t="str">
        <v/>
      </c>
      <c r="F20360" t="str">
        <v>-</v>
      </c>
      <c r="G20360" t="str">
        <v>-</v>
      </c>
    </row>
    <row r="20361">
      <c r="B20361" t="str">
        <v>UBND Ủy ban nhân dân phường 15  thành phố Hồ Chí Minh</v>
      </c>
      <c r="C20361" t="str">
        <v>-</v>
      </c>
      <c r="D20361" t="str">
        <v>-</v>
      </c>
      <c r="E20361" t="str">
        <v>-</v>
      </c>
      <c r="F20361" t="str">
        <v>-</v>
      </c>
      <c r="G20361" t="str">
        <v>-</v>
      </c>
    </row>
    <row r="20362">
      <c r="B20362" t="str">
        <v>Công an phường 05  thành phố Hồ Chí Minh</v>
      </c>
      <c r="C20362" t="str">
        <v>-</v>
      </c>
      <c r="D20362" t="str">
        <v>-</v>
      </c>
      <c r="E20362" t="str">
        <v/>
      </c>
      <c r="F20362" t="str">
        <v>-</v>
      </c>
      <c r="G20362" t="str">
        <v>-</v>
      </c>
    </row>
    <row r="20363">
      <c r="B20363" t="str">
        <v>UBND Ủy ban nhân dân phường 05  thành phố Hồ Chí Minh</v>
      </c>
      <c r="C20363" t="str">
        <v>-</v>
      </c>
      <c r="D20363" t="str">
        <v>-</v>
      </c>
      <c r="E20363" t="str">
        <v>-</v>
      </c>
      <c r="F20363" t="str">
        <v>-</v>
      </c>
      <c r="G20363" t="str">
        <v>-</v>
      </c>
    </row>
    <row r="20364">
      <c r="B20364" t="str">
        <v>Công an phường 14  thành phố Hồ Chí Minh</v>
      </c>
      <c r="C20364" t="str">
        <v>-</v>
      </c>
      <c r="D20364" t="str">
        <v>-</v>
      </c>
      <c r="E20364" t="str">
        <v/>
      </c>
      <c r="F20364" t="str">
        <v>-</v>
      </c>
      <c r="G20364" t="str">
        <v>-</v>
      </c>
    </row>
    <row r="20365">
      <c r="B20365" t="str">
        <v>UBND Ủy ban nhân dân phường 14  thành phố Hồ Chí Minh</v>
      </c>
      <c r="C20365" t="str">
        <v>-</v>
      </c>
      <c r="D20365" t="str">
        <v>-</v>
      </c>
      <c r="E20365" t="str">
        <v>-</v>
      </c>
      <c r="F20365" t="str">
        <v>-</v>
      </c>
      <c r="G20365" t="str">
        <v>-</v>
      </c>
    </row>
    <row r="20366">
      <c r="B20366" t="str">
        <v>Công an phường 11  thành phố Hồ Chí Minh</v>
      </c>
      <c r="C20366" t="str">
        <v>-</v>
      </c>
      <c r="D20366" t="str">
        <v>-</v>
      </c>
      <c r="E20366" t="str">
        <v/>
      </c>
      <c r="F20366" t="str">
        <v>-</v>
      </c>
      <c r="G20366" t="str">
        <v>-</v>
      </c>
    </row>
    <row r="20367">
      <c r="B20367" t="str">
        <v>UBND Ủy ban nhân dân phường 11  thành phố Hồ Chí Minh</v>
      </c>
      <c r="C20367" t="str">
        <v>-</v>
      </c>
      <c r="D20367" t="str">
        <v>-</v>
      </c>
      <c r="E20367" t="str">
        <v>-</v>
      </c>
      <c r="F20367" t="str">
        <v>-</v>
      </c>
      <c r="G20367" t="str">
        <v>-</v>
      </c>
    </row>
    <row r="20368">
      <c r="B20368" t="str">
        <v>Công an phường 03  thành phố Hồ Chí Minh</v>
      </c>
      <c r="C20368" t="str">
        <v>-</v>
      </c>
      <c r="D20368" t="str">
        <v>-</v>
      </c>
      <c r="E20368" t="str">
        <v/>
      </c>
      <c r="F20368" t="str">
        <v>-</v>
      </c>
      <c r="G20368" t="str">
        <v>-</v>
      </c>
    </row>
    <row r="20369">
      <c r="B20369" t="str">
        <v>UBND Ủy ban nhân dân phường 03  thành phố Hồ Chí Minh</v>
      </c>
      <c r="C20369" t="str">
        <v>-</v>
      </c>
      <c r="D20369" t="str">
        <v>-</v>
      </c>
      <c r="E20369" t="str">
        <v>-</v>
      </c>
      <c r="F20369" t="str">
        <v>-</v>
      </c>
      <c r="G20369" t="str">
        <v>-</v>
      </c>
    </row>
    <row r="20370">
      <c r="B20370" t="str">
        <v>Công an phường 10  thành phố Hồ Chí Minh</v>
      </c>
      <c r="C20370" t="str">
        <v>-</v>
      </c>
      <c r="D20370" t="str">
        <v>-</v>
      </c>
      <c r="E20370" t="str">
        <v/>
      </c>
      <c r="F20370" t="str">
        <v>-</v>
      </c>
      <c r="G20370" t="str">
        <v>-</v>
      </c>
    </row>
    <row r="20371">
      <c r="B20371" t="str">
        <v>UBND Ủy ban nhân dân phường 10  thành phố Hồ Chí Minh</v>
      </c>
      <c r="C20371" t="str">
        <v>-</v>
      </c>
      <c r="D20371" t="str">
        <v>-</v>
      </c>
      <c r="E20371" t="str">
        <v>-</v>
      </c>
      <c r="F20371" t="str">
        <v>-</v>
      </c>
      <c r="G20371" t="str">
        <v>-</v>
      </c>
    </row>
    <row r="20372">
      <c r="B20372" t="str">
        <v>Công an phường 13  thành phố Hồ Chí Minh</v>
      </c>
      <c r="C20372" t="str">
        <v>-</v>
      </c>
      <c r="D20372" t="str">
        <v>-</v>
      </c>
      <c r="E20372" t="str">
        <v/>
      </c>
      <c r="F20372" t="str">
        <v>-</v>
      </c>
      <c r="G20372" t="str">
        <v>-</v>
      </c>
    </row>
    <row r="20373">
      <c r="B20373" t="str">
        <v>UBND Ủy ban nhân dân phường 13  thành phố Hồ Chí Minh</v>
      </c>
      <c r="C20373" t="str">
        <v>-</v>
      </c>
      <c r="D20373" t="str">
        <v>-</v>
      </c>
      <c r="E20373" t="str">
        <v>-</v>
      </c>
      <c r="F20373" t="str">
        <v>-</v>
      </c>
      <c r="G20373" t="str">
        <v>-</v>
      </c>
    </row>
    <row r="20374">
      <c r="B20374" t="str">
        <v>Công an phường 08  thành phố Hồ Chí Minh</v>
      </c>
      <c r="C20374" t="str">
        <v>-</v>
      </c>
      <c r="D20374" t="str">
        <v>-</v>
      </c>
      <c r="E20374" t="str">
        <v/>
      </c>
      <c r="F20374" t="str">
        <v>-</v>
      </c>
      <c r="G20374" t="str">
        <v>-</v>
      </c>
    </row>
    <row r="20375">
      <c r="B20375" t="str">
        <v>UBND Ủy ban nhân dân phường 08  thành phố Hồ Chí Minh</v>
      </c>
      <c r="C20375" t="str">
        <v>-</v>
      </c>
      <c r="D20375" t="str">
        <v>-</v>
      </c>
      <c r="E20375" t="str">
        <v>-</v>
      </c>
      <c r="F20375" t="str">
        <v>-</v>
      </c>
      <c r="G20375" t="str">
        <v>-</v>
      </c>
    </row>
    <row r="20376">
      <c r="B20376" t="str">
        <v>Công an phường 09  thành phố Hồ Chí Minh</v>
      </c>
      <c r="C20376" t="str">
        <v>-</v>
      </c>
      <c r="D20376" t="str">
        <v>-</v>
      </c>
      <c r="E20376" t="str">
        <v/>
      </c>
      <c r="F20376" t="str">
        <v>-</v>
      </c>
      <c r="G20376" t="str">
        <v>-</v>
      </c>
    </row>
    <row r="20377">
      <c r="B20377" t="str">
        <v>UBND Ủy ban nhân dân phường 09  thành phố Hồ Chí Minh</v>
      </c>
      <c r="C20377" t="str">
        <v>-</v>
      </c>
      <c r="D20377" t="str">
        <v>-</v>
      </c>
      <c r="E20377" t="str">
        <v>-</v>
      </c>
      <c r="F20377" t="str">
        <v>-</v>
      </c>
      <c r="G20377" t="str">
        <v>-</v>
      </c>
    </row>
    <row r="20378">
      <c r="B20378" t="str">
        <v>Công an phường 12  thành phố Hồ Chí Minh</v>
      </c>
      <c r="C20378" t="str">
        <v>-</v>
      </c>
      <c r="D20378" t="str">
        <v>-</v>
      </c>
      <c r="E20378" t="str">
        <v/>
      </c>
      <c r="F20378" t="str">
        <v>-</v>
      </c>
      <c r="G20378" t="str">
        <v>-</v>
      </c>
    </row>
    <row r="20379">
      <c r="B20379" t="str">
        <v>UBND Ủy ban nhân dân phường 12  thành phố Hồ Chí Minh</v>
      </c>
      <c r="C20379" t="str">
        <v>-</v>
      </c>
      <c r="D20379" t="str">
        <v>-</v>
      </c>
      <c r="E20379" t="str">
        <v>-</v>
      </c>
      <c r="F20379" t="str">
        <v>-</v>
      </c>
      <c r="G20379" t="str">
        <v>-</v>
      </c>
    </row>
    <row r="20380">
      <c r="B20380" t="str">
        <v>Công an phường 07  thành phố Hồ Chí Minh</v>
      </c>
      <c r="C20380" t="str">
        <v>-</v>
      </c>
      <c r="D20380" t="str">
        <v>-</v>
      </c>
      <c r="E20380" t="str">
        <v/>
      </c>
      <c r="F20380" t="str">
        <v>-</v>
      </c>
      <c r="G20380" t="str">
        <v>-</v>
      </c>
    </row>
    <row r="20381">
      <c r="B20381" t="str">
        <v>UBND Ủy ban nhân dân phường 07  thành phố Hồ Chí Minh</v>
      </c>
      <c r="C20381" t="str">
        <v>-</v>
      </c>
      <c r="D20381" t="str">
        <v>-</v>
      </c>
      <c r="E20381" t="str">
        <v>-</v>
      </c>
      <c r="F20381" t="str">
        <v>-</v>
      </c>
      <c r="G20381" t="str">
        <v>-</v>
      </c>
    </row>
    <row r="20382">
      <c r="B20382" t="str">
        <v>Công an phường 06  thành phố Hồ Chí Minh</v>
      </c>
      <c r="C20382" t="str">
        <v>-</v>
      </c>
      <c r="D20382" t="str">
        <v>-</v>
      </c>
      <c r="E20382" t="str">
        <v/>
      </c>
      <c r="F20382" t="str">
        <v>-</v>
      </c>
      <c r="G20382" t="str">
        <v>-</v>
      </c>
    </row>
    <row r="20383">
      <c r="B20383" t="str">
        <v>UBND Ủy ban nhân dân phường 06  thành phố Hồ Chí Minh</v>
      </c>
      <c r="C20383" t="str">
        <v>-</v>
      </c>
      <c r="D20383" t="str">
        <v>-</v>
      </c>
      <c r="E20383" t="str">
        <v>-</v>
      </c>
      <c r="F20383" t="str">
        <v>-</v>
      </c>
      <c r="G20383" t="str">
        <v>-</v>
      </c>
    </row>
    <row r="20384">
      <c r="B20384" t="str">
        <v>Công an phường 04  thành phố Hồ Chí Minh</v>
      </c>
      <c r="C20384" t="str">
        <v>-</v>
      </c>
      <c r="D20384" t="str">
        <v>-</v>
      </c>
      <c r="E20384" t="str">
        <v/>
      </c>
      <c r="F20384" t="str">
        <v>-</v>
      </c>
      <c r="G20384" t="str">
        <v>-</v>
      </c>
    </row>
    <row r="20385">
      <c r="B20385" t="str">
        <v>UBND Ủy ban nhân dân phường 04  thành phố Hồ Chí Minh</v>
      </c>
      <c r="C20385" t="str">
        <v>-</v>
      </c>
      <c r="D20385" t="str">
        <v>-</v>
      </c>
      <c r="E20385" t="str">
        <v>-</v>
      </c>
      <c r="F20385" t="str">
        <v>-</v>
      </c>
      <c r="G20385" t="str">
        <v>-</v>
      </c>
    </row>
    <row r="20386">
      <c r="B20386" t="str">
        <v>Công an phường 01  thành phố Hồ Chí Minh</v>
      </c>
      <c r="C20386" t="str">
        <v>-</v>
      </c>
      <c r="D20386" t="str">
        <v>-</v>
      </c>
      <c r="E20386" t="str">
        <v/>
      </c>
      <c r="F20386" t="str">
        <v>-</v>
      </c>
      <c r="G20386" t="str">
        <v>-</v>
      </c>
    </row>
    <row r="20387">
      <c r="B20387" t="str">
        <v>UBND Ủy ban nhân dân phường 01  thành phố Hồ Chí Minh</v>
      </c>
      <c r="C20387" t="str">
        <v>-</v>
      </c>
      <c r="D20387" t="str">
        <v>-</v>
      </c>
      <c r="E20387" t="str">
        <v>-</v>
      </c>
      <c r="F20387" t="str">
        <v>-</v>
      </c>
      <c r="G20387" t="str">
        <v>-</v>
      </c>
    </row>
    <row r="20388">
      <c r="B20388" t="str">
        <v>Công an phường 02  thành phố Hồ Chí Minh</v>
      </c>
      <c r="C20388" t="str">
        <v>-</v>
      </c>
      <c r="D20388" t="str">
        <v>-</v>
      </c>
      <c r="E20388" t="str">
        <v/>
      </c>
      <c r="F20388" t="str">
        <v>-</v>
      </c>
      <c r="G20388" t="str">
        <v>-</v>
      </c>
    </row>
    <row r="20389">
      <c r="B20389" t="str">
        <v>UBND Ủy ban nhân dân phường 02  thành phố Hồ Chí Minh</v>
      </c>
      <c r="C20389" t="str">
        <v>-</v>
      </c>
      <c r="D20389" t="str">
        <v>-</v>
      </c>
      <c r="E20389" t="str">
        <v>-</v>
      </c>
      <c r="F20389" t="str">
        <v>-</v>
      </c>
      <c r="G20389" t="str">
        <v>-</v>
      </c>
    </row>
    <row r="20390">
      <c r="B20390" t="str">
        <v>Công an phường 16  thành phố Hồ Chí Minh</v>
      </c>
      <c r="C20390" t="str">
        <v>-</v>
      </c>
      <c r="D20390" t="str">
        <v>-</v>
      </c>
      <c r="E20390" t="str">
        <v/>
      </c>
      <c r="F20390" t="str">
        <v>-</v>
      </c>
      <c r="G20390" t="str">
        <v>-</v>
      </c>
    </row>
    <row r="20391">
      <c r="B20391" t="str">
        <v>UBND Ủy ban nhân dân phường 16  thành phố Hồ Chí Minh</v>
      </c>
      <c r="C20391" t="str">
        <v>-</v>
      </c>
      <c r="D20391" t="str">
        <v>-</v>
      </c>
      <c r="E20391" t="str">
        <v>-</v>
      </c>
      <c r="F20391" t="str">
        <v>-</v>
      </c>
      <c r="G20391" t="str">
        <v>-</v>
      </c>
    </row>
    <row r="20392">
      <c r="B20392" t="str">
        <v>Công an phường 12  thành phố Hồ Chí Minh</v>
      </c>
      <c r="C20392" t="str">
        <v>-</v>
      </c>
      <c r="D20392" t="str">
        <v>-</v>
      </c>
      <c r="E20392" t="str">
        <v/>
      </c>
      <c r="F20392" t="str">
        <v>-</v>
      </c>
      <c r="G20392" t="str">
        <v>-</v>
      </c>
    </row>
    <row r="20393">
      <c r="B20393" t="str">
        <v>UBND Ủy ban nhân dân phường 12  thành phố Hồ Chí Minh</v>
      </c>
      <c r="C20393" t="str">
        <v>-</v>
      </c>
      <c r="D20393" t="str">
        <v>-</v>
      </c>
      <c r="E20393" t="str">
        <v>-</v>
      </c>
      <c r="F20393" t="str">
        <v>-</v>
      </c>
      <c r="G20393" t="str">
        <v>-</v>
      </c>
    </row>
    <row r="20394">
      <c r="B20394" t="str">
        <v>Công an phường 13  thành phố Hồ Chí Minh</v>
      </c>
      <c r="C20394" t="str">
        <v>-</v>
      </c>
      <c r="D20394" t="str">
        <v>-</v>
      </c>
      <c r="E20394" t="str">
        <v/>
      </c>
      <c r="F20394" t="str">
        <v>-</v>
      </c>
      <c r="G20394" t="str">
        <v>-</v>
      </c>
    </row>
    <row r="20395">
      <c r="B20395" t="str">
        <v>UBND Ủy ban nhân dân phường 13  thành phố Hồ Chí Minh</v>
      </c>
      <c r="C20395" t="str">
        <v>-</v>
      </c>
      <c r="D20395" t="str">
        <v>-</v>
      </c>
      <c r="E20395" t="str">
        <v>-</v>
      </c>
      <c r="F20395" t="str">
        <v>-</v>
      </c>
      <c r="G20395" t="str">
        <v>-</v>
      </c>
    </row>
    <row r="20396">
      <c r="B20396" t="str">
        <v>Công an phường 09  thành phố Hồ Chí Minh</v>
      </c>
      <c r="C20396" t="str">
        <v>-</v>
      </c>
      <c r="D20396" t="str">
        <v>-</v>
      </c>
      <c r="E20396" t="str">
        <v/>
      </c>
      <c r="F20396" t="str">
        <v>-</v>
      </c>
      <c r="G20396" t="str">
        <v>-</v>
      </c>
    </row>
    <row r="20397">
      <c r="B20397" t="str">
        <v>UBND Ủy ban nhân dân phường 09  thành phố Hồ Chí Minh</v>
      </c>
      <c r="C20397" t="str">
        <v>-</v>
      </c>
      <c r="D20397" t="str">
        <v>-</v>
      </c>
      <c r="E20397" t="str">
        <v>-</v>
      </c>
      <c r="F20397" t="str">
        <v>-</v>
      </c>
      <c r="G20397" t="str">
        <v>-</v>
      </c>
    </row>
    <row r="20398">
      <c r="B20398" t="str">
        <v>Công an phường 06  thành phố Hồ Chí Minh</v>
      </c>
      <c r="C20398" t="str">
        <v>-</v>
      </c>
      <c r="D20398" t="str">
        <v>-</v>
      </c>
      <c r="E20398" t="str">
        <v/>
      </c>
      <c r="F20398" t="str">
        <v>-</v>
      </c>
      <c r="G20398" t="str">
        <v>-</v>
      </c>
    </row>
    <row r="20399">
      <c r="B20399" t="str">
        <v>UBND Ủy ban nhân dân phường 06  thành phố Hồ Chí Minh</v>
      </c>
      <c r="C20399" t="str">
        <v>-</v>
      </c>
      <c r="D20399" t="str">
        <v>-</v>
      </c>
      <c r="E20399" t="str">
        <v>-</v>
      </c>
      <c r="F20399" t="str">
        <v>-</v>
      </c>
      <c r="G20399" t="str">
        <v>-</v>
      </c>
    </row>
    <row r="20400">
      <c r="B20400" t="str">
        <v>Công an phường 08  thành phố Hồ Chí Minh</v>
      </c>
      <c r="C20400" t="str">
        <v>-</v>
      </c>
      <c r="D20400" t="str">
        <v>-</v>
      </c>
      <c r="E20400" t="str">
        <v/>
      </c>
      <c r="F20400" t="str">
        <v>-</v>
      </c>
      <c r="G20400" t="str">
        <v>-</v>
      </c>
    </row>
    <row r="20401">
      <c r="B20401" t="str">
        <v>UBND Ủy ban nhân dân phường 08  thành phố Hồ Chí Minh</v>
      </c>
      <c r="C20401" t="str">
        <v>-</v>
      </c>
      <c r="D20401" t="str">
        <v>-</v>
      </c>
      <c r="E20401" t="str">
        <v>-</v>
      </c>
      <c r="F20401" t="str">
        <v>-</v>
      </c>
      <c r="G20401" t="str">
        <v>-</v>
      </c>
    </row>
    <row r="20402">
      <c r="B20402" t="str">
        <v>Công an phường 10  thành phố Hồ Chí Minh</v>
      </c>
      <c r="C20402" t="str">
        <v>-</v>
      </c>
      <c r="D20402" t="str">
        <v>-</v>
      </c>
      <c r="E20402" t="str">
        <v/>
      </c>
      <c r="F20402" t="str">
        <v>-</v>
      </c>
      <c r="G20402" t="str">
        <v>-</v>
      </c>
    </row>
    <row r="20403">
      <c r="B20403" t="str">
        <v>UBND Ủy ban nhân dân phường 10  thành phố Hồ Chí Minh</v>
      </c>
      <c r="C20403" t="str">
        <v>-</v>
      </c>
      <c r="D20403" t="str">
        <v>-</v>
      </c>
      <c r="E20403" t="str">
        <v>-</v>
      </c>
      <c r="F20403" t="str">
        <v>-</v>
      </c>
      <c r="G20403" t="str">
        <v>-</v>
      </c>
    </row>
    <row r="20404">
      <c r="B20404" t="str">
        <v>Công an phường 05  thành phố Hồ Chí Minh</v>
      </c>
      <c r="C20404" t="str">
        <v>-</v>
      </c>
      <c r="D20404" t="str">
        <v>-</v>
      </c>
      <c r="E20404" t="str">
        <v/>
      </c>
      <c r="F20404" t="str">
        <v>-</v>
      </c>
      <c r="G20404" t="str">
        <v>-</v>
      </c>
    </row>
    <row r="20405">
      <c r="B20405" t="str">
        <v>UBND Ủy ban nhân dân phường 05  thành phố Hồ Chí Minh</v>
      </c>
      <c r="C20405" t="str">
        <v>-</v>
      </c>
      <c r="D20405" t="str">
        <v>-</v>
      </c>
      <c r="E20405" t="str">
        <v>-</v>
      </c>
      <c r="F20405" t="str">
        <v>-</v>
      </c>
      <c r="G20405" t="str">
        <v>-</v>
      </c>
    </row>
    <row r="20406">
      <c r="B20406" t="str">
        <v>Công an phường 18  thành phố Hồ Chí Minh</v>
      </c>
      <c r="C20406" t="str">
        <v>-</v>
      </c>
      <c r="D20406" t="str">
        <v>-</v>
      </c>
      <c r="E20406" t="str">
        <v/>
      </c>
      <c r="F20406" t="str">
        <v>-</v>
      </c>
      <c r="G20406" t="str">
        <v>-</v>
      </c>
    </row>
    <row r="20407">
      <c r="B20407" t="str">
        <v>UBND Ủy ban nhân dân phường 18  thành phố Hồ Chí Minh</v>
      </c>
      <c r="C20407" t="str">
        <v>-</v>
      </c>
      <c r="D20407" t="str">
        <v>-</v>
      </c>
      <c r="E20407" t="str">
        <v>-</v>
      </c>
      <c r="F20407" t="str">
        <v>-</v>
      </c>
      <c r="G20407" t="str">
        <v>-</v>
      </c>
    </row>
    <row r="20408">
      <c r="B20408" t="str">
        <v>Công an phường 14  thành phố Hồ Chí Minh</v>
      </c>
      <c r="C20408" t="str">
        <v>-</v>
      </c>
      <c r="D20408" t="str">
        <v>-</v>
      </c>
      <c r="E20408" t="str">
        <v/>
      </c>
      <c r="F20408" t="str">
        <v>-</v>
      </c>
      <c r="G20408" t="str">
        <v>-</v>
      </c>
    </row>
    <row r="20409">
      <c r="B20409" t="str">
        <v>UBND Ủy ban nhân dân phường 14  thành phố Hồ Chí Minh</v>
      </c>
      <c r="C20409" t="str">
        <v>-</v>
      </c>
      <c r="D20409" t="str">
        <v>-</v>
      </c>
      <c r="E20409" t="str">
        <v>-</v>
      </c>
      <c r="F20409" t="str">
        <v>-</v>
      </c>
      <c r="G20409" t="str">
        <v>-</v>
      </c>
    </row>
    <row r="20410">
      <c r="B20410" t="str">
        <v>Công an phường 04  thành phố Hồ Chí Minh</v>
      </c>
      <c r="C20410" t="str">
        <v>-</v>
      </c>
      <c r="D20410" t="str">
        <v>-</v>
      </c>
      <c r="E20410" t="str">
        <v/>
      </c>
      <c r="F20410" t="str">
        <v>-</v>
      </c>
      <c r="G20410" t="str">
        <v>-</v>
      </c>
    </row>
    <row r="20411">
      <c r="B20411" t="str">
        <v>UBND Ủy ban nhân dân phường 04  thành phố Hồ Chí Minh</v>
      </c>
      <c r="C20411" t="str">
        <v>-</v>
      </c>
      <c r="D20411" t="str">
        <v>-</v>
      </c>
      <c r="E20411" t="str">
        <v>-</v>
      </c>
      <c r="F20411" t="str">
        <v>-</v>
      </c>
      <c r="G20411" t="str">
        <v>-</v>
      </c>
    </row>
    <row r="20412">
      <c r="B20412" t="str">
        <v>Công an phường 03  thành phố Hồ Chí Minh</v>
      </c>
      <c r="C20412" t="str">
        <v>-</v>
      </c>
      <c r="D20412" t="str">
        <v>-</v>
      </c>
      <c r="E20412" t="str">
        <v/>
      </c>
      <c r="F20412" t="str">
        <v>-</v>
      </c>
      <c r="G20412" t="str">
        <v>-</v>
      </c>
    </row>
    <row r="20413">
      <c r="B20413" t="str">
        <v>UBND Ủy ban nhân dân phường 03  thành phố Hồ Chí Minh</v>
      </c>
      <c r="C20413" t="str">
        <v>-</v>
      </c>
      <c r="D20413" t="str">
        <v>-</v>
      </c>
      <c r="E20413" t="str">
        <v>-</v>
      </c>
      <c r="F20413" t="str">
        <v>-</v>
      </c>
      <c r="G20413" t="str">
        <v>-</v>
      </c>
    </row>
    <row r="20414">
      <c r="B20414" t="str">
        <v>Công an phường 16  thành phố Hồ Chí Minh</v>
      </c>
      <c r="C20414" t="str">
        <v>-</v>
      </c>
      <c r="D20414" t="str">
        <v>-</v>
      </c>
      <c r="E20414" t="str">
        <v/>
      </c>
      <c r="F20414" t="str">
        <v>-</v>
      </c>
      <c r="G20414" t="str">
        <v>-</v>
      </c>
    </row>
    <row r="20415">
      <c r="B20415" t="str">
        <v>UBND Ủy ban nhân dân phường 16  thành phố Hồ Chí Minh</v>
      </c>
      <c r="C20415" t="str">
        <v>-</v>
      </c>
      <c r="D20415" t="str">
        <v>-</v>
      </c>
      <c r="E20415" t="str">
        <v>-</v>
      </c>
      <c r="F20415" t="str">
        <v>-</v>
      </c>
      <c r="G20415" t="str">
        <v>-</v>
      </c>
    </row>
    <row r="20416">
      <c r="B20416" t="str">
        <v>Công an phường 02  thành phố Hồ Chí Minh</v>
      </c>
      <c r="C20416" t="str">
        <v>-</v>
      </c>
      <c r="D20416" t="str">
        <v>-</v>
      </c>
      <c r="E20416" t="str">
        <v/>
      </c>
      <c r="F20416" t="str">
        <v>-</v>
      </c>
      <c r="G20416" t="str">
        <v>-</v>
      </c>
    </row>
    <row r="20417">
      <c r="B20417" t="str">
        <v>UBND Ủy ban nhân dân phường 02  thành phố Hồ Chí Minh</v>
      </c>
      <c r="C20417" t="str">
        <v>-</v>
      </c>
      <c r="D20417" t="str">
        <v>-</v>
      </c>
      <c r="E20417" t="str">
        <v>-</v>
      </c>
      <c r="F20417" t="str">
        <v>-</v>
      </c>
      <c r="G20417" t="str">
        <v>-</v>
      </c>
    </row>
    <row r="20418">
      <c r="B20418" t="str">
        <v>Công an phường 15  thành phố Hồ Chí Minh</v>
      </c>
      <c r="C20418" t="str">
        <v>-</v>
      </c>
      <c r="D20418" t="str">
        <v>-</v>
      </c>
      <c r="E20418" t="str">
        <v/>
      </c>
      <c r="F20418" t="str">
        <v>-</v>
      </c>
      <c r="G20418" t="str">
        <v>-</v>
      </c>
    </row>
    <row r="20419">
      <c r="B20419" t="str">
        <v>UBND Ủy ban nhân dân phường 15  thành phố Hồ Chí Minh</v>
      </c>
      <c r="C20419" t="str">
        <v>-</v>
      </c>
      <c r="D20419" t="str">
        <v>-</v>
      </c>
      <c r="E20419" t="str">
        <v>-</v>
      </c>
      <c r="F20419" t="str">
        <v>-</v>
      </c>
      <c r="G20419" t="str">
        <v>-</v>
      </c>
    </row>
    <row r="20420">
      <c r="B20420" t="str">
        <v>Công an phường 01  thành phố Hồ Chí Minh</v>
      </c>
      <c r="C20420" t="str">
        <v>-</v>
      </c>
      <c r="D20420" t="str">
        <v>-</v>
      </c>
      <c r="E20420" t="str">
        <v/>
      </c>
      <c r="F20420" t="str">
        <v>-</v>
      </c>
      <c r="G20420" t="str">
        <v>-</v>
      </c>
    </row>
    <row r="20421">
      <c r="B20421" t="str">
        <v>UBND Ủy ban nhân dân phường 01  thành phố Hồ Chí Minh</v>
      </c>
      <c r="C20421" t="str">
        <v>-</v>
      </c>
      <c r="D20421" t="str">
        <v>-</v>
      </c>
      <c r="E20421" t="str">
        <v>-</v>
      </c>
      <c r="F20421" t="str">
        <v>-</v>
      </c>
      <c r="G20421" t="str">
        <v>-</v>
      </c>
    </row>
    <row r="20422">
      <c r="B20422" t="str">
        <v>Công an phường 04  thành phố Hồ Chí Minh</v>
      </c>
      <c r="C20422" t="str">
        <v>-</v>
      </c>
      <c r="D20422" t="str">
        <v>-</v>
      </c>
      <c r="E20422" t="str">
        <v/>
      </c>
      <c r="F20422" t="str">
        <v>-</v>
      </c>
      <c r="G20422" t="str">
        <v>-</v>
      </c>
    </row>
    <row r="20423">
      <c r="B20423" t="str">
        <v>UBND Ủy ban nhân dân phường 04  thành phố Hồ Chí Minh</v>
      </c>
      <c r="C20423" t="str">
        <v>-</v>
      </c>
      <c r="D20423" t="str">
        <v>-</v>
      </c>
      <c r="E20423" t="str">
        <v>-</v>
      </c>
      <c r="F20423" t="str">
        <v>-</v>
      </c>
      <c r="G20423" t="str">
        <v>-</v>
      </c>
    </row>
    <row r="20424">
      <c r="B20424" t="str">
        <v>Công an phường 09  thành phố Hồ Chí Minh</v>
      </c>
      <c r="C20424" t="str">
        <v>-</v>
      </c>
      <c r="D20424" t="str">
        <v>-</v>
      </c>
      <c r="E20424" t="str">
        <v/>
      </c>
      <c r="F20424" t="str">
        <v>-</v>
      </c>
      <c r="G20424" t="str">
        <v>-</v>
      </c>
    </row>
    <row r="20425">
      <c r="B20425" t="str">
        <v>UBND Ủy ban nhân dân phường 09  thành phố Hồ Chí Minh</v>
      </c>
      <c r="C20425" t="str">
        <v>-</v>
      </c>
      <c r="D20425" t="str">
        <v>-</v>
      </c>
      <c r="E20425" t="str">
        <v>-</v>
      </c>
      <c r="F20425" t="str">
        <v>-</v>
      </c>
      <c r="G20425" t="str">
        <v>-</v>
      </c>
    </row>
    <row r="20426">
      <c r="B20426" t="str">
        <v>Công an phường 03  thành phố Hồ Chí Minh</v>
      </c>
      <c r="C20426" t="str">
        <v>-</v>
      </c>
      <c r="D20426" t="str">
        <v>-</v>
      </c>
      <c r="E20426" t="str">
        <v/>
      </c>
      <c r="F20426" t="str">
        <v>-</v>
      </c>
      <c r="G20426" t="str">
        <v>-</v>
      </c>
    </row>
    <row r="20427">
      <c r="B20427" t="str">
        <v>UBND Ủy ban nhân dân phường 03  thành phố Hồ Chí Minh</v>
      </c>
      <c r="C20427" t="str">
        <v>-</v>
      </c>
      <c r="D20427" t="str">
        <v>-</v>
      </c>
      <c r="E20427" t="str">
        <v>-</v>
      </c>
      <c r="F20427" t="str">
        <v>-</v>
      </c>
      <c r="G20427" t="str">
        <v>-</v>
      </c>
    </row>
    <row r="20428">
      <c r="B20428" t="str">
        <v>Công an phường 12  thành phố Hồ Chí Minh</v>
      </c>
      <c r="C20428" t="str">
        <v>-</v>
      </c>
      <c r="D20428" t="str">
        <v>-</v>
      </c>
      <c r="E20428" t="str">
        <v/>
      </c>
      <c r="F20428" t="str">
        <v>-</v>
      </c>
      <c r="G20428" t="str">
        <v>-</v>
      </c>
    </row>
    <row r="20429">
      <c r="B20429" t="str">
        <v>UBND Ủy ban nhân dân phường 12  thành phố Hồ Chí Minh</v>
      </c>
      <c r="C20429" t="str">
        <v>-</v>
      </c>
      <c r="D20429" t="str">
        <v>-</v>
      </c>
      <c r="E20429" t="str">
        <v>-</v>
      </c>
      <c r="F20429" t="str">
        <v>-</v>
      </c>
      <c r="G20429" t="str">
        <v>-</v>
      </c>
    </row>
    <row r="20430">
      <c r="B20430" t="str">
        <v>Công an phường 02  thành phố Hồ Chí Minh</v>
      </c>
      <c r="C20430" t="str">
        <v>-</v>
      </c>
      <c r="D20430" t="str">
        <v>-</v>
      </c>
      <c r="E20430" t="str">
        <v/>
      </c>
      <c r="F20430" t="str">
        <v>-</v>
      </c>
      <c r="G20430" t="str">
        <v>-</v>
      </c>
    </row>
    <row r="20431">
      <c r="B20431" t="str">
        <v>UBND Ủy ban nhân dân phường 02  thành phố Hồ Chí Minh</v>
      </c>
      <c r="C20431" t="str">
        <v>-</v>
      </c>
      <c r="D20431" t="str">
        <v>-</v>
      </c>
      <c r="E20431" t="str">
        <v>-</v>
      </c>
      <c r="F20431" t="str">
        <v>-</v>
      </c>
      <c r="G20431" t="str">
        <v>-</v>
      </c>
    </row>
    <row r="20432">
      <c r="B20432" t="str">
        <v>Công an phường 08  thành phố Hồ Chí Minh</v>
      </c>
      <c r="C20432" t="str">
        <v>-</v>
      </c>
      <c r="D20432" t="str">
        <v>-</v>
      </c>
      <c r="E20432" t="str">
        <v/>
      </c>
      <c r="F20432" t="str">
        <v>-</v>
      </c>
      <c r="G20432" t="str">
        <v>-</v>
      </c>
    </row>
    <row r="20433">
      <c r="B20433" t="str">
        <v>UBND Ủy ban nhân dân phường 08  thành phố Hồ Chí Minh</v>
      </c>
      <c r="C20433" t="str">
        <v>-</v>
      </c>
      <c r="D20433" t="str">
        <v>-</v>
      </c>
      <c r="E20433" t="str">
        <v>-</v>
      </c>
      <c r="F20433" t="str">
        <v>-</v>
      </c>
      <c r="G20433" t="str">
        <v>-</v>
      </c>
    </row>
    <row r="20434">
      <c r="B20434" t="str">
        <v>Công an phường 15  thành phố Hồ Chí Minh</v>
      </c>
      <c r="C20434" t="str">
        <v>-</v>
      </c>
      <c r="D20434" t="str">
        <v>-</v>
      </c>
      <c r="E20434" t="str">
        <v/>
      </c>
      <c r="F20434" t="str">
        <v>-</v>
      </c>
      <c r="G20434" t="str">
        <v>-</v>
      </c>
    </row>
    <row r="20435">
      <c r="B20435" t="str">
        <v>UBND Ủy ban nhân dân phường 15  thành phố Hồ Chí Minh</v>
      </c>
      <c r="C20435" t="str">
        <v>-</v>
      </c>
      <c r="D20435" t="str">
        <v>-</v>
      </c>
      <c r="E20435" t="str">
        <v>-</v>
      </c>
      <c r="F20435" t="str">
        <v>-</v>
      </c>
      <c r="G20435" t="str">
        <v>-</v>
      </c>
    </row>
    <row r="20436">
      <c r="B20436" t="str">
        <v>Công an phường 07  thành phố Hồ Chí Minh</v>
      </c>
      <c r="C20436" t="str">
        <v>-</v>
      </c>
      <c r="D20436" t="str">
        <v>-</v>
      </c>
      <c r="E20436" t="str">
        <v/>
      </c>
      <c r="F20436" t="str">
        <v>-</v>
      </c>
      <c r="G20436" t="str">
        <v>-</v>
      </c>
    </row>
    <row r="20437">
      <c r="B20437" t="str">
        <v>UBND Ủy ban nhân dân phường 07  thành phố Hồ Chí Minh</v>
      </c>
      <c r="C20437" t="str">
        <v>-</v>
      </c>
      <c r="D20437" t="str">
        <v>-</v>
      </c>
      <c r="E20437" t="str">
        <v>-</v>
      </c>
      <c r="F20437" t="str">
        <v>-</v>
      </c>
      <c r="G20437" t="str">
        <v>-</v>
      </c>
    </row>
    <row r="20438">
      <c r="B20438" t="str">
        <v>Công an phường 01  thành phố Hồ Chí Minh</v>
      </c>
      <c r="C20438" t="str">
        <v>-</v>
      </c>
      <c r="D20438" t="str">
        <v>-</v>
      </c>
      <c r="E20438" t="str">
        <v/>
      </c>
      <c r="F20438" t="str">
        <v>-</v>
      </c>
      <c r="G20438" t="str">
        <v>-</v>
      </c>
    </row>
    <row r="20439">
      <c r="B20439" t="str">
        <v>UBND Ủy ban nhân dân phường 01  thành phố Hồ Chí Minh</v>
      </c>
      <c r="C20439" t="str">
        <v>-</v>
      </c>
      <c r="D20439" t="str">
        <v>-</v>
      </c>
      <c r="E20439" t="str">
        <v>-</v>
      </c>
      <c r="F20439" t="str">
        <v>-</v>
      </c>
      <c r="G20439" t="str">
        <v>-</v>
      </c>
    </row>
    <row r="20440">
      <c r="B20440" t="str">
        <v>Công an phường 11  thành phố Hồ Chí Minh</v>
      </c>
      <c r="C20440" t="str">
        <v>-</v>
      </c>
      <c r="D20440" t="str">
        <v>-</v>
      </c>
      <c r="E20440" t="str">
        <v/>
      </c>
      <c r="F20440" t="str">
        <v>-</v>
      </c>
      <c r="G20440" t="str">
        <v>-</v>
      </c>
    </row>
    <row r="20441">
      <c r="B20441" t="str">
        <v>UBND Ủy ban nhân dân phường 11  thành phố Hồ Chí Minh</v>
      </c>
      <c r="C20441" t="str">
        <v>-</v>
      </c>
      <c r="D20441" t="str">
        <v>-</v>
      </c>
      <c r="E20441" t="str">
        <v>-</v>
      </c>
      <c r="F20441" t="str">
        <v>-</v>
      </c>
      <c r="G20441" t="str">
        <v>-</v>
      </c>
    </row>
    <row r="20442">
      <c r="B20442" t="str">
        <v>Công an phường 14  thành phố Hồ Chí Minh</v>
      </c>
      <c r="C20442" t="str">
        <v>-</v>
      </c>
      <c r="D20442" t="str">
        <v>-</v>
      </c>
      <c r="E20442" t="str">
        <v/>
      </c>
      <c r="F20442" t="str">
        <v>-</v>
      </c>
      <c r="G20442" t="str">
        <v>-</v>
      </c>
    </row>
    <row r="20443">
      <c r="B20443" t="str">
        <v>UBND Ủy ban nhân dân phường 14  thành phố Hồ Chí Minh</v>
      </c>
      <c r="C20443" t="str">
        <v>-</v>
      </c>
      <c r="D20443" t="str">
        <v>-</v>
      </c>
      <c r="E20443" t="str">
        <v>-</v>
      </c>
      <c r="F20443" t="str">
        <v>-</v>
      </c>
      <c r="G20443" t="str">
        <v>-</v>
      </c>
    </row>
    <row r="20444">
      <c r="B20444" t="str">
        <v>Công an phường 05  thành phố Hồ Chí Minh</v>
      </c>
      <c r="C20444" t="str">
        <v>-</v>
      </c>
      <c r="D20444" t="str">
        <v>-</v>
      </c>
      <c r="E20444" t="str">
        <v/>
      </c>
      <c r="F20444" t="str">
        <v>-</v>
      </c>
      <c r="G20444" t="str">
        <v>-</v>
      </c>
    </row>
    <row r="20445">
      <c r="B20445" t="str">
        <v>UBND Ủy ban nhân dân phường 05  thành phố Hồ Chí Minh</v>
      </c>
      <c r="C20445" t="str">
        <v>-</v>
      </c>
      <c r="D20445" t="str">
        <v>-</v>
      </c>
      <c r="E20445" t="str">
        <v>-</v>
      </c>
      <c r="F20445" t="str">
        <v>-</v>
      </c>
      <c r="G20445" t="str">
        <v>-</v>
      </c>
    </row>
    <row r="20446">
      <c r="B20446" t="str">
        <v>Công an phường 06  thành phố Hồ Chí Minh</v>
      </c>
      <c r="C20446" t="str">
        <v>-</v>
      </c>
      <c r="D20446" t="str">
        <v>-</v>
      </c>
      <c r="E20446" t="str">
        <v/>
      </c>
      <c r="F20446" t="str">
        <v>-</v>
      </c>
      <c r="G20446" t="str">
        <v>-</v>
      </c>
    </row>
    <row r="20447">
      <c r="B20447" t="str">
        <v>UBND Ủy ban nhân dân phường 06  thành phố Hồ Chí Minh</v>
      </c>
      <c r="C20447" t="str">
        <v>-</v>
      </c>
      <c r="D20447" t="str">
        <v>-</v>
      </c>
      <c r="E20447" t="str">
        <v>-</v>
      </c>
      <c r="F20447" t="str">
        <v>-</v>
      </c>
      <c r="G20447" t="str">
        <v>-</v>
      </c>
    </row>
    <row r="20448">
      <c r="B20448" t="str">
        <v>Công an phường 10  thành phố Hồ Chí Minh</v>
      </c>
      <c r="C20448" t="str">
        <v>-</v>
      </c>
      <c r="D20448" t="str">
        <v>-</v>
      </c>
      <c r="E20448" t="str">
        <v/>
      </c>
      <c r="F20448" t="str">
        <v>-</v>
      </c>
      <c r="G20448" t="str">
        <v>-</v>
      </c>
    </row>
    <row r="20449">
      <c r="B20449" t="str">
        <v>UBND Ủy ban nhân dân phường 10  thành phố Hồ Chí Minh</v>
      </c>
      <c r="C20449" t="str">
        <v>-</v>
      </c>
      <c r="D20449" t="str">
        <v>-</v>
      </c>
      <c r="E20449" t="str">
        <v>-</v>
      </c>
      <c r="F20449" t="str">
        <v>-</v>
      </c>
      <c r="G20449" t="str">
        <v>-</v>
      </c>
    </row>
    <row r="20450">
      <c r="B20450" t="str">
        <v>Công an phường 13  thành phố Hồ Chí Minh</v>
      </c>
      <c r="C20450" t="str">
        <v>-</v>
      </c>
      <c r="D20450" t="str">
        <v>-</v>
      </c>
      <c r="E20450" t="str">
        <v/>
      </c>
      <c r="F20450" t="str">
        <v>-</v>
      </c>
      <c r="G20450" t="str">
        <v>-</v>
      </c>
    </row>
    <row r="20451">
      <c r="B20451" t="str">
        <v>UBND Ủy ban nhân dân phường 13  thành phố Hồ Chí Minh</v>
      </c>
      <c r="C20451" t="str">
        <v>-</v>
      </c>
      <c r="D20451" t="str">
        <v>-</v>
      </c>
      <c r="E20451" t="str">
        <v>-</v>
      </c>
      <c r="F20451" t="str">
        <v>-</v>
      </c>
      <c r="G20451" t="str">
        <v>-</v>
      </c>
    </row>
    <row r="20452">
      <c r="B20452" t="str">
        <v>Công an phường 14  thành phố Hồ Chí Minh</v>
      </c>
      <c r="C20452" t="str">
        <v>-</v>
      </c>
      <c r="D20452" t="str">
        <v>-</v>
      </c>
      <c r="E20452" t="str">
        <v/>
      </c>
      <c r="F20452" t="str">
        <v>-</v>
      </c>
      <c r="G20452" t="str">
        <v>-</v>
      </c>
    </row>
    <row r="20453">
      <c r="B20453" t="str">
        <v>UBND Ủy ban nhân dân phường 14  thành phố Hồ Chí Minh</v>
      </c>
      <c r="C20453" t="str">
        <v>-</v>
      </c>
      <c r="D20453" t="str">
        <v>-</v>
      </c>
      <c r="E20453" t="str">
        <v>-</v>
      </c>
      <c r="F20453" t="str">
        <v>-</v>
      </c>
      <c r="G20453" t="str">
        <v>-</v>
      </c>
    </row>
    <row r="20454">
      <c r="B20454" t="str">
        <v>Công an phường 13  thành phố Hồ Chí Minh</v>
      </c>
      <c r="C20454" t="str">
        <v>-</v>
      </c>
      <c r="D20454" t="str">
        <v>-</v>
      </c>
      <c r="E20454" t="str">
        <v/>
      </c>
      <c r="F20454" t="str">
        <v>-</v>
      </c>
      <c r="G20454" t="str">
        <v>-</v>
      </c>
    </row>
    <row r="20455">
      <c r="B20455" t="str">
        <v>UBND Ủy ban nhân dân phường 13  thành phố Hồ Chí Minh</v>
      </c>
      <c r="C20455" t="str">
        <v>-</v>
      </c>
      <c r="D20455" t="str">
        <v>-</v>
      </c>
      <c r="E20455" t="str">
        <v>-</v>
      </c>
      <c r="F20455" t="str">
        <v>-</v>
      </c>
      <c r="G20455" t="str">
        <v>-</v>
      </c>
    </row>
    <row r="20456">
      <c r="B20456" t="str">
        <v>Công an phường 09  thành phố Hồ Chí Minh</v>
      </c>
      <c r="C20456" t="str">
        <v>-</v>
      </c>
      <c r="D20456" t="str">
        <v>-</v>
      </c>
      <c r="E20456" t="str">
        <v/>
      </c>
      <c r="F20456" t="str">
        <v>-</v>
      </c>
      <c r="G20456" t="str">
        <v>-</v>
      </c>
    </row>
    <row r="20457">
      <c r="B20457" t="str">
        <v>UBND Ủy ban nhân dân phường 09  thành phố Hồ Chí Minh</v>
      </c>
      <c r="C20457" t="str">
        <v>-</v>
      </c>
      <c r="D20457" t="str">
        <v>-</v>
      </c>
      <c r="E20457" t="str">
        <v>-</v>
      </c>
      <c r="F20457" t="str">
        <v>-</v>
      </c>
      <c r="G20457" t="str">
        <v>-</v>
      </c>
    </row>
    <row r="20458">
      <c r="B20458" t="str">
        <v>Công an phường 06  thành phố Hồ Chí Minh</v>
      </c>
      <c r="C20458" t="str">
        <v>-</v>
      </c>
      <c r="D20458" t="str">
        <v>-</v>
      </c>
      <c r="E20458" t="str">
        <v/>
      </c>
      <c r="F20458" t="str">
        <v>-</v>
      </c>
      <c r="G20458" t="str">
        <v>-</v>
      </c>
    </row>
    <row r="20459">
      <c r="B20459" t="str">
        <v>UBND Ủy ban nhân dân phường 06  thành phố Hồ Chí Minh</v>
      </c>
      <c r="C20459" t="str">
        <v>-</v>
      </c>
      <c r="D20459" t="str">
        <v>-</v>
      </c>
      <c r="E20459" t="str">
        <v>-</v>
      </c>
      <c r="F20459" t="str">
        <v>-</v>
      </c>
      <c r="G20459" t="str">
        <v>-</v>
      </c>
    </row>
    <row r="20460">
      <c r="B20460" t="str">
        <v>Công an phường 12  thành phố Hồ Chí Minh</v>
      </c>
      <c r="C20460" t="str">
        <v>-</v>
      </c>
      <c r="D20460" t="str">
        <v>-</v>
      </c>
      <c r="E20460" t="str">
        <v/>
      </c>
      <c r="F20460" t="str">
        <v>-</v>
      </c>
      <c r="G20460" t="str">
        <v>-</v>
      </c>
    </row>
    <row r="20461">
      <c r="B20461" t="str">
        <v>UBND Ủy ban nhân dân phường 12  thành phố Hồ Chí Minh</v>
      </c>
      <c r="C20461" t="str">
        <v>-</v>
      </c>
      <c r="D20461" t="str">
        <v>-</v>
      </c>
      <c r="E20461" t="str">
        <v>-</v>
      </c>
      <c r="F20461" t="str">
        <v>-</v>
      </c>
      <c r="G20461" t="str">
        <v>-</v>
      </c>
    </row>
    <row r="20462">
      <c r="B20462" t="str">
        <v>Công an phường 05  thành phố Hồ Chí Minh</v>
      </c>
      <c r="C20462" t="str">
        <v>-</v>
      </c>
      <c r="D20462" t="str">
        <v>-</v>
      </c>
      <c r="E20462" t="str">
        <v/>
      </c>
      <c r="F20462" t="str">
        <v>-</v>
      </c>
      <c r="G20462" t="str">
        <v>-</v>
      </c>
    </row>
    <row r="20463">
      <c r="B20463" t="str">
        <v>UBND Ủy ban nhân dân phường 05  thành phố Hồ Chí Minh</v>
      </c>
      <c r="C20463" t="str">
        <v>-</v>
      </c>
      <c r="D20463" t="str">
        <v>-</v>
      </c>
      <c r="E20463" t="str">
        <v>-</v>
      </c>
      <c r="F20463" t="str">
        <v>-</v>
      </c>
      <c r="G20463" t="str">
        <v>-</v>
      </c>
    </row>
    <row r="20464">
      <c r="B20464" t="str">
        <v>Công an phường 11  thành phố Hồ Chí Minh</v>
      </c>
      <c r="C20464" t="str">
        <v>-</v>
      </c>
      <c r="D20464" t="str">
        <v>-</v>
      </c>
      <c r="E20464" t="str">
        <v/>
      </c>
      <c r="F20464" t="str">
        <v>-</v>
      </c>
      <c r="G20464" t="str">
        <v>-</v>
      </c>
    </row>
    <row r="20465">
      <c r="B20465" t="str">
        <v>UBND Ủy ban nhân dân phường 11  thành phố Hồ Chí Minh</v>
      </c>
      <c r="C20465" t="str">
        <v>-</v>
      </c>
      <c r="D20465" t="str">
        <v>-</v>
      </c>
      <c r="E20465" t="str">
        <v>-</v>
      </c>
      <c r="F20465" t="str">
        <v>-</v>
      </c>
      <c r="G20465" t="str">
        <v>-</v>
      </c>
    </row>
    <row r="20466">
      <c r="B20466" t="str">
        <v>Công an phường 02  thành phố Hồ Chí Minh</v>
      </c>
      <c r="C20466" t="str">
        <v>-</v>
      </c>
      <c r="D20466" t="str">
        <v>-</v>
      </c>
      <c r="E20466" t="str">
        <v/>
      </c>
      <c r="F20466" t="str">
        <v>-</v>
      </c>
      <c r="G20466" t="str">
        <v>-</v>
      </c>
    </row>
    <row r="20467">
      <c r="B20467" t="str">
        <v>UBND Ủy ban nhân dân phường 02  thành phố Hồ Chí Minh</v>
      </c>
      <c r="C20467" t="str">
        <v>-</v>
      </c>
      <c r="D20467" t="str">
        <v>-</v>
      </c>
      <c r="E20467" t="str">
        <v>-</v>
      </c>
      <c r="F20467" t="str">
        <v>-</v>
      </c>
      <c r="G20467" t="str">
        <v>-</v>
      </c>
    </row>
    <row r="20468">
      <c r="B20468" t="str">
        <v>Công an phường 01  thành phố Hồ Chí Minh</v>
      </c>
      <c r="C20468" t="str">
        <v>-</v>
      </c>
      <c r="D20468" t="str">
        <v>-</v>
      </c>
      <c r="E20468" t="str">
        <v/>
      </c>
      <c r="F20468" t="str">
        <v>-</v>
      </c>
      <c r="G20468" t="str">
        <v>-</v>
      </c>
    </row>
    <row r="20469">
      <c r="B20469" t="str">
        <v>UBND Ủy ban nhân dân phường 01  thành phố Hồ Chí Minh</v>
      </c>
      <c r="C20469" t="str">
        <v>-</v>
      </c>
      <c r="D20469" t="str">
        <v>-</v>
      </c>
      <c r="E20469" t="str">
        <v>-</v>
      </c>
      <c r="F20469" t="str">
        <v>-</v>
      </c>
      <c r="G20469" t="str">
        <v>-</v>
      </c>
    </row>
    <row r="20470">
      <c r="B20470" t="str">
        <v>Công an phường 04  thành phố Hồ Chí Minh</v>
      </c>
      <c r="C20470" t="str">
        <v>-</v>
      </c>
      <c r="D20470" t="str">
        <v>-</v>
      </c>
      <c r="E20470" t="str">
        <v/>
      </c>
      <c r="F20470" t="str">
        <v>-</v>
      </c>
      <c r="G20470" t="str">
        <v>-</v>
      </c>
    </row>
    <row r="20471">
      <c r="B20471" t="str">
        <v>UBND Ủy ban nhân dân phường 04  thành phố Hồ Chí Minh</v>
      </c>
      <c r="C20471" t="str">
        <v>-</v>
      </c>
      <c r="D20471" t="str">
        <v>-</v>
      </c>
      <c r="E20471" t="str">
        <v>-</v>
      </c>
      <c r="F20471" t="str">
        <v>-</v>
      </c>
      <c r="G20471" t="str">
        <v>-</v>
      </c>
    </row>
    <row r="20472">
      <c r="B20472" t="str">
        <v>Công an phường 08  thành phố Hồ Chí Minh</v>
      </c>
      <c r="C20472" t="str">
        <v>-</v>
      </c>
      <c r="D20472" t="str">
        <v>-</v>
      </c>
      <c r="E20472" t="str">
        <v/>
      </c>
      <c r="F20472" t="str">
        <v>-</v>
      </c>
      <c r="G20472" t="str">
        <v>-</v>
      </c>
    </row>
    <row r="20473">
      <c r="B20473" t="str">
        <v>UBND Ủy ban nhân dân phường 08  thành phố Hồ Chí Minh</v>
      </c>
      <c r="C20473" t="str">
        <v>-</v>
      </c>
      <c r="D20473" t="str">
        <v>-</v>
      </c>
      <c r="E20473" t="str">
        <v>-</v>
      </c>
      <c r="F20473" t="str">
        <v>-</v>
      </c>
      <c r="G20473" t="str">
        <v>-</v>
      </c>
    </row>
    <row r="20474">
      <c r="B20474" t="str">
        <v>Công an phường 03  thành phố Hồ Chí Minh</v>
      </c>
      <c r="C20474" t="str">
        <v>-</v>
      </c>
      <c r="D20474" t="str">
        <v>-</v>
      </c>
      <c r="E20474" t="str">
        <v/>
      </c>
      <c r="F20474" t="str">
        <v>-</v>
      </c>
      <c r="G20474" t="str">
        <v>-</v>
      </c>
    </row>
    <row r="20475">
      <c r="B20475" t="str">
        <v>UBND Ủy ban nhân dân phường 03  thành phố Hồ Chí Minh</v>
      </c>
      <c r="C20475" t="str">
        <v>-</v>
      </c>
      <c r="D20475" t="str">
        <v>-</v>
      </c>
      <c r="E20475" t="str">
        <v>-</v>
      </c>
      <c r="F20475" t="str">
        <v>-</v>
      </c>
      <c r="G20475" t="str">
        <v>-</v>
      </c>
    </row>
    <row r="20476">
      <c r="B20476" t="str">
        <v>Công an phường 07  thành phố Hồ Chí Minh</v>
      </c>
      <c r="C20476" t="str">
        <v>-</v>
      </c>
      <c r="D20476" t="str">
        <v>-</v>
      </c>
      <c r="E20476" t="str">
        <v/>
      </c>
      <c r="F20476" t="str">
        <v>-</v>
      </c>
      <c r="G20476" t="str">
        <v>-</v>
      </c>
    </row>
    <row r="20477">
      <c r="B20477" t="str">
        <v>UBND Ủy ban nhân dân phường 07  thành phố Hồ Chí Minh</v>
      </c>
      <c r="C20477" t="str">
        <v>-</v>
      </c>
      <c r="D20477" t="str">
        <v>-</v>
      </c>
      <c r="E20477" t="str">
        <v>-</v>
      </c>
      <c r="F20477" t="str">
        <v>-</v>
      </c>
      <c r="G20477" t="str">
        <v>-</v>
      </c>
    </row>
    <row r="20478">
      <c r="B20478" t="str">
        <v>Công an phường 10  thành phố Hồ Chí Minh</v>
      </c>
      <c r="C20478" t="str">
        <v>-</v>
      </c>
      <c r="D20478" t="str">
        <v>-</v>
      </c>
      <c r="E20478" t="str">
        <v/>
      </c>
      <c r="F20478" t="str">
        <v>-</v>
      </c>
      <c r="G20478" t="str">
        <v>-</v>
      </c>
    </row>
    <row r="20479">
      <c r="B20479" t="str">
        <v>UBND Ủy ban nhân dân phường 10  thành phố Hồ Chí Minh</v>
      </c>
      <c r="C20479" t="str">
        <v>-</v>
      </c>
      <c r="D20479" t="str">
        <v>-</v>
      </c>
      <c r="E20479" t="str">
        <v>-</v>
      </c>
      <c r="F20479" t="str">
        <v>-</v>
      </c>
      <c r="G20479" t="str">
        <v>-</v>
      </c>
    </row>
    <row r="20480">
      <c r="B20480" t="str">
        <v>Công an phường 08  thành phố Hồ Chí Minh</v>
      </c>
      <c r="C20480" t="str">
        <v>-</v>
      </c>
      <c r="D20480" t="str">
        <v>-</v>
      </c>
      <c r="E20480" t="str">
        <v/>
      </c>
      <c r="F20480" t="str">
        <v>-</v>
      </c>
      <c r="G20480" t="str">
        <v>-</v>
      </c>
    </row>
    <row r="20481">
      <c r="B20481" t="str">
        <v>UBND Ủy ban nhân dân phường 08  thành phố Hồ Chí Minh</v>
      </c>
      <c r="C20481" t="str">
        <v>-</v>
      </c>
      <c r="D20481" t="str">
        <v>-</v>
      </c>
      <c r="E20481" t="str">
        <v>-</v>
      </c>
      <c r="F20481" t="str">
        <v>-</v>
      </c>
      <c r="G20481" t="str">
        <v>-</v>
      </c>
    </row>
    <row r="20482">
      <c r="B20482" t="str">
        <v>Công an phường 02  thành phố Hồ Chí Minh</v>
      </c>
      <c r="C20482" t="str">
        <v>-</v>
      </c>
      <c r="D20482" t="str">
        <v>-</v>
      </c>
      <c r="E20482" t="str">
        <v/>
      </c>
      <c r="F20482" t="str">
        <v>-</v>
      </c>
      <c r="G20482" t="str">
        <v>-</v>
      </c>
    </row>
    <row r="20483">
      <c r="B20483" t="str">
        <v>UBND Ủy ban nhân dân phường 02  thành phố Hồ Chí Minh</v>
      </c>
      <c r="C20483" t="str">
        <v>-</v>
      </c>
      <c r="D20483" t="str">
        <v>-</v>
      </c>
      <c r="E20483" t="str">
        <v>-</v>
      </c>
      <c r="F20483" t="str">
        <v>-</v>
      </c>
      <c r="G20483" t="str">
        <v>-</v>
      </c>
    </row>
    <row r="20484">
      <c r="B20484" t="str">
        <v>Công an phường 01  thành phố Hồ Chí Minh</v>
      </c>
      <c r="C20484" t="str">
        <v>-</v>
      </c>
      <c r="D20484" t="str">
        <v>-</v>
      </c>
      <c r="E20484" t="str">
        <v/>
      </c>
      <c r="F20484" t="str">
        <v>-</v>
      </c>
      <c r="G20484" t="str">
        <v>-</v>
      </c>
    </row>
    <row r="20485">
      <c r="B20485" t="str">
        <v>UBND Ủy ban nhân dân phường 01  thành phố Hồ Chí Minh</v>
      </c>
      <c r="C20485" t="str">
        <v>-</v>
      </c>
      <c r="D20485" t="str">
        <v>-</v>
      </c>
      <c r="E20485" t="str">
        <v>-</v>
      </c>
      <c r="F20485" t="str">
        <v>-</v>
      </c>
      <c r="G20485" t="str">
        <v>-</v>
      </c>
    </row>
    <row r="20486">
      <c r="B20486" t="str">
        <v>Công an phường 03  thành phố Hồ Chí Minh</v>
      </c>
      <c r="C20486" t="str">
        <v>-</v>
      </c>
      <c r="D20486" t="str">
        <v>-</v>
      </c>
      <c r="E20486" t="str">
        <v/>
      </c>
      <c r="F20486" t="str">
        <v>-</v>
      </c>
      <c r="G20486" t="str">
        <v>-</v>
      </c>
    </row>
    <row r="20487">
      <c r="B20487" t="str">
        <v>UBND Ủy ban nhân dân phường 03  thành phố Hồ Chí Minh</v>
      </c>
      <c r="C20487" t="str">
        <v>-</v>
      </c>
      <c r="D20487" t="str">
        <v>-</v>
      </c>
      <c r="E20487" t="str">
        <v>-</v>
      </c>
      <c r="F20487" t="str">
        <v>-</v>
      </c>
      <c r="G20487" t="str">
        <v>-</v>
      </c>
    </row>
    <row r="20488">
      <c r="B20488" t="str">
        <v>Công an phường 11  thành phố Hồ Chí Minh</v>
      </c>
      <c r="C20488" t="str">
        <v>-</v>
      </c>
      <c r="D20488" t="str">
        <v>-</v>
      </c>
      <c r="E20488" t="str">
        <v/>
      </c>
      <c r="F20488" t="str">
        <v>-</v>
      </c>
      <c r="G20488" t="str">
        <v>-</v>
      </c>
    </row>
    <row r="20489">
      <c r="B20489" t="str">
        <v>UBND Ủy ban nhân dân phường 11  thành phố Hồ Chí Minh</v>
      </c>
      <c r="C20489" t="str">
        <v>-</v>
      </c>
      <c r="D20489" t="str">
        <v>-</v>
      </c>
      <c r="E20489" t="str">
        <v>-</v>
      </c>
      <c r="F20489" t="str">
        <v>-</v>
      </c>
      <c r="G20489" t="str">
        <v>-</v>
      </c>
    </row>
    <row r="20490">
      <c r="B20490" t="str">
        <v>Công an phường 09  thành phố Hồ Chí Minh</v>
      </c>
      <c r="C20490" t="str">
        <v>-</v>
      </c>
      <c r="D20490" t="str">
        <v>-</v>
      </c>
      <c r="E20490" t="str">
        <v/>
      </c>
      <c r="F20490" t="str">
        <v>-</v>
      </c>
      <c r="G20490" t="str">
        <v>-</v>
      </c>
    </row>
    <row r="20491">
      <c r="B20491" t="str">
        <v>UBND Ủy ban nhân dân phường 09  thành phố Hồ Chí Minh</v>
      </c>
      <c r="C20491" t="str">
        <v>-</v>
      </c>
      <c r="D20491" t="str">
        <v>-</v>
      </c>
      <c r="E20491" t="str">
        <v>-</v>
      </c>
      <c r="F20491" t="str">
        <v>-</v>
      </c>
      <c r="G20491" t="str">
        <v>-</v>
      </c>
    </row>
    <row r="20492">
      <c r="B20492" t="str">
        <v>Công an phường 10  thành phố Hồ Chí Minh</v>
      </c>
      <c r="C20492" t="str">
        <v>-</v>
      </c>
      <c r="D20492" t="str">
        <v>-</v>
      </c>
      <c r="E20492" t="str">
        <v/>
      </c>
      <c r="F20492" t="str">
        <v>-</v>
      </c>
      <c r="G20492" t="str">
        <v>-</v>
      </c>
    </row>
    <row r="20493">
      <c r="B20493" t="str">
        <v>UBND Ủy ban nhân dân phường 10  thành phố Hồ Chí Minh</v>
      </c>
      <c r="C20493" t="str">
        <v>-</v>
      </c>
      <c r="D20493" t="str">
        <v>-</v>
      </c>
      <c r="E20493" t="str">
        <v>-</v>
      </c>
      <c r="F20493" t="str">
        <v>-</v>
      </c>
      <c r="G20493" t="str">
        <v>-</v>
      </c>
    </row>
    <row r="20494">
      <c r="B20494" t="str">
        <v>Công an phường 04  thành phố Hồ Chí Minh</v>
      </c>
      <c r="C20494" t="str">
        <v>-</v>
      </c>
      <c r="D20494" t="str">
        <v>-</v>
      </c>
      <c r="E20494" t="str">
        <v/>
      </c>
      <c r="F20494" t="str">
        <v>-</v>
      </c>
      <c r="G20494" t="str">
        <v>-</v>
      </c>
    </row>
    <row r="20495">
      <c r="B20495" t="str">
        <v>UBND Ủy ban nhân dân phường 04  thành phố Hồ Chí Minh</v>
      </c>
      <c r="C20495" t="str">
        <v>-</v>
      </c>
      <c r="D20495" t="str">
        <v>-</v>
      </c>
      <c r="E20495" t="str">
        <v>-</v>
      </c>
      <c r="F20495" t="str">
        <v>-</v>
      </c>
      <c r="G20495" t="str">
        <v>-</v>
      </c>
    </row>
    <row r="20496">
      <c r="B20496" t="str">
        <v>Công an phường 13  thành phố Hồ Chí Minh</v>
      </c>
      <c r="C20496" t="str">
        <v>-</v>
      </c>
      <c r="D20496" t="str">
        <v>-</v>
      </c>
      <c r="E20496" t="str">
        <v/>
      </c>
      <c r="F20496" t="str">
        <v>-</v>
      </c>
      <c r="G20496" t="str">
        <v>-</v>
      </c>
    </row>
    <row r="20497">
      <c r="B20497" t="str">
        <v>UBND Ủy ban nhân dân phường 13  thành phố Hồ Chí Minh</v>
      </c>
      <c r="C20497" t="str">
        <v>-</v>
      </c>
      <c r="D20497" t="str">
        <v>-</v>
      </c>
      <c r="E20497" t="str">
        <v>-</v>
      </c>
      <c r="F20497" t="str">
        <v>-</v>
      </c>
      <c r="G20497" t="str">
        <v>-</v>
      </c>
    </row>
    <row r="20498">
      <c r="B20498" t="str">
        <v>Công an phường 12  thành phố Hồ Chí Minh</v>
      </c>
      <c r="C20498" t="str">
        <v>-</v>
      </c>
      <c r="D20498" t="str">
        <v>-</v>
      </c>
      <c r="E20498" t="str">
        <v/>
      </c>
      <c r="F20498" t="str">
        <v>-</v>
      </c>
      <c r="G20498" t="str">
        <v>-</v>
      </c>
    </row>
    <row r="20499">
      <c r="B20499" t="str">
        <v>UBND Ủy ban nhân dân phường 12  thành phố Hồ Chí Minh</v>
      </c>
      <c r="C20499" t="str">
        <v>-</v>
      </c>
      <c r="D20499" t="str">
        <v>-</v>
      </c>
      <c r="E20499" t="str">
        <v>-</v>
      </c>
      <c r="F20499" t="str">
        <v>-</v>
      </c>
      <c r="G20499" t="str">
        <v>-</v>
      </c>
    </row>
    <row r="20500">
      <c r="B20500" t="str">
        <v>Công an phường 05  thành phố Hồ Chí Minh</v>
      </c>
      <c r="C20500" t="str">
        <v>-</v>
      </c>
      <c r="D20500" t="str">
        <v>-</v>
      </c>
      <c r="E20500" t="str">
        <v/>
      </c>
      <c r="F20500" t="str">
        <v>-</v>
      </c>
      <c r="G20500" t="str">
        <v>-</v>
      </c>
    </row>
    <row r="20501">
      <c r="B20501" t="str">
        <v>UBND Ủy ban nhân dân phường 05  thành phố Hồ Chí Minh</v>
      </c>
      <c r="C20501" t="str">
        <v>-</v>
      </c>
      <c r="D20501" t="str">
        <v>-</v>
      </c>
      <c r="E20501" t="str">
        <v>-</v>
      </c>
      <c r="F20501" t="str">
        <v>-</v>
      </c>
      <c r="G20501" t="str">
        <v>-</v>
      </c>
    </row>
    <row r="20502">
      <c r="B20502" t="str">
        <v>Công an phường 14  thành phố Hồ Chí Minh</v>
      </c>
      <c r="C20502" t="str">
        <v>-</v>
      </c>
      <c r="D20502" t="str">
        <v>-</v>
      </c>
      <c r="E20502" t="str">
        <v/>
      </c>
      <c r="F20502" t="str">
        <v>-</v>
      </c>
      <c r="G20502" t="str">
        <v>-</v>
      </c>
    </row>
    <row r="20503">
      <c r="B20503" t="str">
        <v>UBND Ủy ban nhân dân phường 14  thành phố Hồ Chí Minh</v>
      </c>
      <c r="C20503" t="str">
        <v>-</v>
      </c>
      <c r="D20503" t="str">
        <v>-</v>
      </c>
      <c r="E20503" t="str">
        <v>-</v>
      </c>
      <c r="F20503" t="str">
        <v>-</v>
      </c>
      <c r="G20503" t="str">
        <v>-</v>
      </c>
    </row>
    <row r="20504">
      <c r="B20504" t="str">
        <v>Công an phường 06  thành phố Hồ Chí Minh</v>
      </c>
      <c r="C20504" t="str">
        <v>-</v>
      </c>
      <c r="D20504" t="str">
        <v>-</v>
      </c>
      <c r="E20504" t="str">
        <v/>
      </c>
      <c r="F20504" t="str">
        <v>-</v>
      </c>
      <c r="G20504" t="str">
        <v>-</v>
      </c>
    </row>
    <row r="20505">
      <c r="B20505" t="str">
        <v>UBND Ủy ban nhân dân phường 06  thành phố Hồ Chí Minh</v>
      </c>
      <c r="C20505" t="str">
        <v>-</v>
      </c>
      <c r="D20505" t="str">
        <v>-</v>
      </c>
      <c r="E20505" t="str">
        <v>-</v>
      </c>
      <c r="F20505" t="str">
        <v>-</v>
      </c>
      <c r="G20505" t="str">
        <v>-</v>
      </c>
    </row>
    <row r="20506">
      <c r="B20506" t="str">
        <v>Công an phường 15  thành phố Hồ Chí Minh</v>
      </c>
      <c r="C20506" t="str">
        <v>-</v>
      </c>
      <c r="D20506" t="str">
        <v>-</v>
      </c>
      <c r="E20506" t="str">
        <v/>
      </c>
      <c r="F20506" t="str">
        <v>-</v>
      </c>
      <c r="G20506" t="str">
        <v>-</v>
      </c>
    </row>
    <row r="20507">
      <c r="B20507" t="str">
        <v>UBND Ủy ban nhân dân phường 15  thành phố Hồ Chí Minh</v>
      </c>
      <c r="C20507" t="str">
        <v>-</v>
      </c>
      <c r="D20507" t="str">
        <v>-</v>
      </c>
      <c r="E20507" t="str">
        <v>-</v>
      </c>
      <c r="F20507" t="str">
        <v>-</v>
      </c>
      <c r="G20507" t="str">
        <v>-</v>
      </c>
    </row>
    <row r="20508">
      <c r="B20508" t="str">
        <v>Công an phường 16  thành phố Hồ Chí Minh</v>
      </c>
      <c r="C20508" t="str">
        <v>-</v>
      </c>
      <c r="D20508" t="str">
        <v>-</v>
      </c>
      <c r="E20508" t="str">
        <v/>
      </c>
      <c r="F20508" t="str">
        <v>-</v>
      </c>
      <c r="G20508" t="str">
        <v>-</v>
      </c>
    </row>
    <row r="20509">
      <c r="B20509" t="str">
        <v>UBND Ủy ban nhân dân phường 16  thành phố Hồ Chí Minh</v>
      </c>
      <c r="C20509" t="str">
        <v>-</v>
      </c>
      <c r="D20509" t="str">
        <v>-</v>
      </c>
      <c r="E20509" t="str">
        <v>-</v>
      </c>
      <c r="F20509" t="str">
        <v>-</v>
      </c>
      <c r="G20509" t="str">
        <v>-</v>
      </c>
    </row>
    <row r="20510">
      <c r="B20510" t="str">
        <v>Công an phường 07  thành phố Hồ Chí Minh</v>
      </c>
      <c r="C20510" t="str">
        <v>-</v>
      </c>
      <c r="D20510" t="str">
        <v>-</v>
      </c>
      <c r="E20510" t="str">
        <v/>
      </c>
      <c r="F20510" t="str">
        <v>-</v>
      </c>
      <c r="G20510" t="str">
        <v>-</v>
      </c>
    </row>
    <row r="20511">
      <c r="B20511" t="str">
        <v>UBND Ủy ban nhân dân phường 07  thành phố Hồ Chí Minh</v>
      </c>
      <c r="C20511" t="str">
        <v>-</v>
      </c>
      <c r="D20511" t="str">
        <v>-</v>
      </c>
      <c r="E20511" t="str">
        <v>-</v>
      </c>
      <c r="F20511" t="str">
        <v>-</v>
      </c>
      <c r="G20511" t="str">
        <v>-</v>
      </c>
    </row>
    <row r="20512">
      <c r="B20512" t="str">
        <v>Công an phường Bình Hưng Hòa  thành phố Hồ Chí Minh</v>
      </c>
      <c r="C20512" t="str">
        <v>-</v>
      </c>
      <c r="D20512" t="str">
        <v>-</v>
      </c>
      <c r="E20512" t="str">
        <v/>
      </c>
      <c r="F20512" t="str">
        <v>-</v>
      </c>
      <c r="G20512" t="str">
        <v>-</v>
      </c>
    </row>
    <row r="20513">
      <c r="B20513" t="str">
        <v>UBND Ủy ban nhân dân phường Bình Hưng Hòa  thành phố Hồ Chí Minh</v>
      </c>
      <c r="C20513" t="str">
        <v>-</v>
      </c>
      <c r="D20513" t="str">
        <v>-</v>
      </c>
      <c r="E20513" t="str">
        <v>-</v>
      </c>
      <c r="F20513" t="str">
        <v>-</v>
      </c>
      <c r="G20513" t="str">
        <v>-</v>
      </c>
    </row>
    <row r="20514">
      <c r="B20514" t="str">
        <v>Công an phường Bình Hưng Hoà A  thành phố Hồ Chí Minh</v>
      </c>
      <c r="C20514" t="str">
        <v>-</v>
      </c>
      <c r="D20514" t="str">
        <v>-</v>
      </c>
      <c r="E20514" t="str">
        <v/>
      </c>
      <c r="F20514" t="str">
        <v>-</v>
      </c>
      <c r="G20514" t="str">
        <v>-</v>
      </c>
    </row>
    <row r="20515">
      <c r="B20515" t="str">
        <v>UBND Ủy ban nhân dân phường Bình Hưng Hoà A  thành phố Hồ Chí Minh</v>
      </c>
      <c r="C20515" t="str">
        <v>-</v>
      </c>
      <c r="D20515" t="str">
        <v>-</v>
      </c>
      <c r="E20515" t="str">
        <v>-</v>
      </c>
      <c r="F20515" t="str">
        <v>-</v>
      </c>
      <c r="G20515" t="str">
        <v>-</v>
      </c>
    </row>
    <row r="20516">
      <c r="B20516" t="str">
        <v>Công an phường Bình Hưng Hoà B  thành phố Hồ Chí Minh</v>
      </c>
      <c r="C20516" t="str">
        <v>-</v>
      </c>
      <c r="D20516" t="str">
        <v>-</v>
      </c>
      <c r="E20516" t="str">
        <v/>
      </c>
      <c r="F20516" t="str">
        <v>-</v>
      </c>
      <c r="G20516" t="str">
        <v>-</v>
      </c>
    </row>
    <row r="20517">
      <c r="B20517" t="str">
        <v>UBND Ủy ban nhân dân phường Bình Hưng Hoà B  thành phố Hồ Chí Minh</v>
      </c>
      <c r="C20517" t="str">
        <v>-</v>
      </c>
      <c r="D20517" t="str">
        <v>-</v>
      </c>
      <c r="E20517" t="str">
        <v>-</v>
      </c>
      <c r="F20517" t="str">
        <v>-</v>
      </c>
      <c r="G20517" t="str">
        <v>-</v>
      </c>
    </row>
    <row r="20518">
      <c r="B20518" t="str">
        <v>Công an phường Bình Trị Đông  thành phố Hồ Chí Minh</v>
      </c>
      <c r="C20518" t="str">
        <v>-</v>
      </c>
      <c r="D20518" t="str">
        <v>-</v>
      </c>
      <c r="E20518" t="str">
        <v/>
      </c>
      <c r="F20518" t="str">
        <v>-</v>
      </c>
      <c r="G20518" t="str">
        <v>-</v>
      </c>
    </row>
    <row r="20519">
      <c r="B20519" t="str">
        <v>UBND Ủy ban nhân dân phường Bình Trị Đông  thành phố Hồ Chí Minh</v>
      </c>
      <c r="C20519" t="str">
        <v>-</v>
      </c>
      <c r="D20519" t="str">
        <v>-</v>
      </c>
      <c r="E20519" t="str">
        <v>-</v>
      </c>
      <c r="F20519" t="str">
        <v>-</v>
      </c>
      <c r="G20519" t="str">
        <v>-</v>
      </c>
    </row>
    <row r="20520">
      <c r="B20520" t="str">
        <v>Công an phường Bình Trị Đông A  thành phố Hồ Chí Minh</v>
      </c>
      <c r="C20520" t="str">
        <v>-</v>
      </c>
      <c r="D20520" t="str">
        <v>-</v>
      </c>
      <c r="E20520" t="str">
        <v/>
      </c>
      <c r="F20520" t="str">
        <v>-</v>
      </c>
      <c r="G20520" t="str">
        <v>-</v>
      </c>
    </row>
    <row r="20521">
      <c r="B20521" t="str">
        <v>UBND Ủy ban nhân dân phường Bình Trị Đông A  thành phố Hồ Chí Minh</v>
      </c>
      <c r="C20521" t="str">
        <v>-</v>
      </c>
      <c r="D20521" t="str">
        <v>-</v>
      </c>
      <c r="E20521" t="str">
        <v>-</v>
      </c>
      <c r="F20521" t="str">
        <v>-</v>
      </c>
      <c r="G20521" t="str">
        <v>-</v>
      </c>
    </row>
    <row r="20522">
      <c r="B20522" t="str">
        <v>Công an phường Bình Trị Đông B  thành phố Hồ Chí Minh</v>
      </c>
      <c r="C20522" t="str">
        <v>-</v>
      </c>
      <c r="D20522" t="str">
        <v>-</v>
      </c>
      <c r="E20522" t="str">
        <v/>
      </c>
      <c r="F20522" t="str">
        <v>-</v>
      </c>
      <c r="G20522" t="str">
        <v>-</v>
      </c>
    </row>
    <row r="20523">
      <c r="B20523" t="str">
        <v>UBND Ủy ban nhân dân phường Bình Trị Đông B  thành phố Hồ Chí Minh</v>
      </c>
      <c r="C20523" t="str">
        <v>-</v>
      </c>
      <c r="D20523" t="str">
        <v>-</v>
      </c>
      <c r="E20523" t="str">
        <v>-</v>
      </c>
      <c r="F20523" t="str">
        <v>-</v>
      </c>
      <c r="G20523" t="str">
        <v>-</v>
      </c>
    </row>
    <row r="20524">
      <c r="B20524" t="str">
        <v>Công an phường Tân Tạo  thành phố Hồ Chí Minh</v>
      </c>
      <c r="C20524" t="str">
        <v>-</v>
      </c>
      <c r="D20524" t="str">
        <v>-</v>
      </c>
      <c r="E20524" t="str">
        <v/>
      </c>
      <c r="F20524" t="str">
        <v>-</v>
      </c>
      <c r="G20524" t="str">
        <v>-</v>
      </c>
    </row>
    <row r="20525">
      <c r="B20525" t="str">
        <v>UBND Ủy ban nhân dân phường Tân Tạo  thành phố Hồ Chí Minh</v>
      </c>
      <c r="C20525" t="str">
        <v>-</v>
      </c>
      <c r="D20525" t="str">
        <v>-</v>
      </c>
      <c r="E20525" t="str">
        <v>-</v>
      </c>
      <c r="F20525" t="str">
        <v>-</v>
      </c>
      <c r="G20525" t="str">
        <v>-</v>
      </c>
    </row>
    <row r="20526">
      <c r="B20526" t="str">
        <v>Công an phường Tân Tạo A  thành phố Hồ Chí Minh</v>
      </c>
      <c r="C20526" t="str">
        <v>-</v>
      </c>
      <c r="D20526" t="str">
        <v>-</v>
      </c>
      <c r="E20526" t="str">
        <v/>
      </c>
      <c r="F20526" t="str">
        <v>-</v>
      </c>
      <c r="G20526" t="str">
        <v>-</v>
      </c>
    </row>
    <row r="20527">
      <c r="B20527" t="str">
        <v>UBND Ủy ban nhân dân phường Tân Tạo A  thành phố Hồ Chí Minh</v>
      </c>
      <c r="C20527" t="str">
        <v>-</v>
      </c>
      <c r="D20527" t="str">
        <v>-</v>
      </c>
      <c r="E20527" t="str">
        <v>-</v>
      </c>
      <c r="F20527" t="str">
        <v>-</v>
      </c>
      <c r="G20527" t="str">
        <v>-</v>
      </c>
    </row>
    <row r="20528">
      <c r="B20528" t="str">
        <v>Công an phường  An Lạc  thành phố Hồ Chí Minh</v>
      </c>
      <c r="C20528" t="str">
        <v>-</v>
      </c>
      <c r="D20528" t="str">
        <v>-</v>
      </c>
      <c r="E20528" t="str">
        <v/>
      </c>
      <c r="F20528" t="str">
        <v>-</v>
      </c>
      <c r="G20528" t="str">
        <v>-</v>
      </c>
    </row>
    <row r="20529">
      <c r="B20529" t="str">
        <v>UBND Ủy ban nhân dân phường  An Lạc  thành phố Hồ Chí Minh</v>
      </c>
      <c r="C20529" t="str">
        <v>-</v>
      </c>
      <c r="D20529" t="str">
        <v>-</v>
      </c>
      <c r="E20529" t="str">
        <v>-</v>
      </c>
      <c r="F20529" t="str">
        <v>-</v>
      </c>
      <c r="G20529" t="str">
        <v>-</v>
      </c>
    </row>
    <row r="20530">
      <c r="B20530" t="str">
        <v>Công an phường An Lạc A  thành phố Hồ Chí Minh</v>
      </c>
      <c r="C20530" t="str">
        <v>-</v>
      </c>
      <c r="D20530" t="str">
        <v>-</v>
      </c>
      <c r="E20530" t="str">
        <v/>
      </c>
      <c r="F20530" t="str">
        <v>-</v>
      </c>
      <c r="G20530" t="str">
        <v>-</v>
      </c>
    </row>
    <row r="20531">
      <c r="B20531" t="str">
        <v>UBND Ủy ban nhân dân phường An Lạc A  thành phố Hồ Chí Minh</v>
      </c>
      <c r="C20531" t="str">
        <v>-</v>
      </c>
      <c r="D20531" t="str">
        <v>-</v>
      </c>
      <c r="E20531" t="str">
        <v>-</v>
      </c>
      <c r="F20531" t="str">
        <v>-</v>
      </c>
      <c r="G20531" t="str">
        <v>-</v>
      </c>
    </row>
    <row r="20532">
      <c r="B20532" t="str">
        <v>Công an phường Tân Thuận Đông  thành phố Hồ Chí Minh</v>
      </c>
      <c r="C20532" t="str">
        <v>-</v>
      </c>
      <c r="D20532" t="str">
        <v>-</v>
      </c>
      <c r="E20532" t="str">
        <v/>
      </c>
      <c r="F20532" t="str">
        <v>-</v>
      </c>
      <c r="G20532" t="str">
        <v>-</v>
      </c>
    </row>
    <row r="20533">
      <c r="B20533" t="str">
        <v>UBND Ủy ban nhân dân phường Tân Thuận Đông  thành phố Hồ Chí Minh</v>
      </c>
      <c r="C20533" t="str">
        <v>-</v>
      </c>
      <c r="D20533" t="str">
        <v>-</v>
      </c>
      <c r="E20533" t="str">
        <v>-</v>
      </c>
      <c r="F20533" t="str">
        <v>-</v>
      </c>
      <c r="G20533" t="str">
        <v>-</v>
      </c>
    </row>
    <row r="20534">
      <c r="B20534" t="str">
        <v>Công an phường Tân Thuận Tây  thành phố Hồ Chí Minh</v>
      </c>
      <c r="C20534" t="str">
        <v>-</v>
      </c>
      <c r="D20534" t="str">
        <v>-</v>
      </c>
      <c r="E20534" t="str">
        <v/>
      </c>
      <c r="F20534" t="str">
        <v>-</v>
      </c>
      <c r="G20534" t="str">
        <v>-</v>
      </c>
    </row>
    <row r="20535">
      <c r="B20535" t="str">
        <v>UBND Ủy ban nhân dân phường Tân Thuận Tây  thành phố Hồ Chí Minh</v>
      </c>
      <c r="C20535" t="str">
        <v>-</v>
      </c>
      <c r="D20535" t="str">
        <v>-</v>
      </c>
      <c r="E20535" t="str">
        <v>-</v>
      </c>
      <c r="F20535" t="str">
        <v>-</v>
      </c>
      <c r="G20535" t="str">
        <v>-</v>
      </c>
    </row>
    <row r="20536">
      <c r="B20536" t="str">
        <v>Công an phường Tân Kiểng  thành phố Hồ Chí Minh</v>
      </c>
      <c r="C20536" t="str">
        <v>-</v>
      </c>
      <c r="D20536" t="str">
        <v>-</v>
      </c>
      <c r="E20536" t="str">
        <v/>
      </c>
      <c r="F20536" t="str">
        <v>-</v>
      </c>
      <c r="G20536" t="str">
        <v>-</v>
      </c>
    </row>
    <row r="20537">
      <c r="B20537" t="str">
        <v>UBND Ủy ban nhân dân phường Tân Kiểng  thành phố Hồ Chí Minh</v>
      </c>
      <c r="C20537" t="str">
        <v>-</v>
      </c>
      <c r="D20537" t="str">
        <v>-</v>
      </c>
      <c r="E20537" t="str">
        <v>-</v>
      </c>
      <c r="F20537" t="str">
        <v>-</v>
      </c>
      <c r="G20537" t="str">
        <v>-</v>
      </c>
    </row>
    <row r="20538">
      <c r="B20538" t="str">
        <v>Công an phường Tân Hưng  thành phố Hồ Chí Minh</v>
      </c>
      <c r="C20538" t="str">
        <v>-</v>
      </c>
      <c r="D20538" t="str">
        <v>-</v>
      </c>
      <c r="E20538" t="str">
        <v/>
      </c>
      <c r="F20538" t="str">
        <v>-</v>
      </c>
      <c r="G20538" t="str">
        <v>-</v>
      </c>
    </row>
    <row r="20539">
      <c r="B20539" t="str">
        <v>UBND Ủy ban nhân dân phường Tân Hưng  thành phố Hồ Chí Minh</v>
      </c>
      <c r="C20539" t="str">
        <v>-</v>
      </c>
      <c r="D20539" t="str">
        <v>-</v>
      </c>
      <c r="E20539" t="str">
        <v>-</v>
      </c>
      <c r="F20539" t="str">
        <v>-</v>
      </c>
      <c r="G20539" t="str">
        <v>-</v>
      </c>
    </row>
    <row r="20540">
      <c r="B20540" t="str">
        <v>Công an phường Bình Thuận  thành phố Hồ Chí Minh</v>
      </c>
      <c r="C20540" t="str">
        <v>-</v>
      </c>
      <c r="D20540" t="str">
        <v>-</v>
      </c>
      <c r="E20540" t="str">
        <v/>
      </c>
      <c r="F20540" t="str">
        <v>-</v>
      </c>
      <c r="G20540" t="str">
        <v>-</v>
      </c>
    </row>
    <row r="20541">
      <c r="B20541" t="str">
        <v>UBND Ủy ban nhân dân phường Bình Thuận  thành phố Hồ Chí Minh</v>
      </c>
      <c r="C20541" t="str">
        <v>-</v>
      </c>
      <c r="D20541" t="str">
        <v>-</v>
      </c>
      <c r="E20541" t="str">
        <v>-</v>
      </c>
      <c r="F20541" t="str">
        <v>-</v>
      </c>
      <c r="G20541" t="str">
        <v>-</v>
      </c>
    </row>
    <row r="20542">
      <c r="B20542" t="str">
        <v>Công an phường Tân Quy  thành phố Hồ Chí Minh</v>
      </c>
      <c r="C20542" t="str">
        <v>-</v>
      </c>
      <c r="D20542" t="str">
        <v>-</v>
      </c>
      <c r="E20542" t="str">
        <v/>
      </c>
      <c r="F20542" t="str">
        <v>-</v>
      </c>
      <c r="G20542" t="str">
        <v>-</v>
      </c>
    </row>
    <row r="20543">
      <c r="B20543" t="str">
        <v>UBND Ủy ban nhân dân phường Tân Quy  thành phố Hồ Chí Minh</v>
      </c>
      <c r="C20543" t="str">
        <v>-</v>
      </c>
      <c r="D20543" t="str">
        <v>-</v>
      </c>
      <c r="E20543" t="str">
        <v>-</v>
      </c>
      <c r="F20543" t="str">
        <v>-</v>
      </c>
      <c r="G20543" t="str">
        <v>-</v>
      </c>
    </row>
    <row r="20544">
      <c r="B20544" t="str">
        <v>Công an phường Phú Thuận  thành phố Hồ Chí Minh</v>
      </c>
      <c r="C20544" t="str">
        <v>-</v>
      </c>
      <c r="D20544" t="str">
        <v>-</v>
      </c>
      <c r="E20544" t="str">
        <v/>
      </c>
      <c r="F20544" t="str">
        <v>-</v>
      </c>
      <c r="G20544" t="str">
        <v>-</v>
      </c>
    </row>
    <row r="20545">
      <c r="B20545" t="str">
        <v>UBND Ủy ban nhân dân phường Phú Thuận  thành phố Hồ Chí Minh</v>
      </c>
      <c r="C20545" t="str">
        <v>-</v>
      </c>
      <c r="D20545" t="str">
        <v>-</v>
      </c>
      <c r="E20545" t="str">
        <v>-</v>
      </c>
      <c r="F20545" t="str">
        <v>-</v>
      </c>
      <c r="G20545" t="str">
        <v>-</v>
      </c>
    </row>
    <row r="20546">
      <c r="B20546" t="str">
        <v>Công an phường Tân Phú  thành phố Hồ Chí Minh</v>
      </c>
      <c r="C20546" t="str">
        <v>-</v>
      </c>
      <c r="D20546" t="str">
        <v>-</v>
      </c>
      <c r="E20546" t="str">
        <v/>
      </c>
      <c r="F20546" t="str">
        <v>-</v>
      </c>
      <c r="G20546" t="str">
        <v>-</v>
      </c>
    </row>
    <row r="20547">
      <c r="B20547" t="str">
        <v>UBND Ủy ban nhân dân phường Tân Phú  thành phố Hồ Chí Minh</v>
      </c>
      <c r="C20547" t="str">
        <v>-</v>
      </c>
      <c r="D20547" t="str">
        <v>-</v>
      </c>
      <c r="E20547" t="str">
        <v>-</v>
      </c>
      <c r="F20547" t="str">
        <v>-</v>
      </c>
      <c r="G20547" t="str">
        <v>-</v>
      </c>
    </row>
    <row r="20548">
      <c r="B20548" t="str">
        <v>Công an phường Tân Phong  thành phố Hồ Chí Minh</v>
      </c>
      <c r="C20548" t="str">
        <v>-</v>
      </c>
      <c r="D20548" t="str">
        <v>-</v>
      </c>
      <c r="E20548" t="str">
        <v/>
      </c>
      <c r="F20548" t="str">
        <v>-</v>
      </c>
      <c r="G20548" t="str">
        <v>-</v>
      </c>
    </row>
    <row r="20549">
      <c r="B20549" t="str">
        <v>UBND Ủy ban nhân dân phường Tân Phong  thành phố Hồ Chí Minh</v>
      </c>
      <c r="C20549" t="str">
        <v>-</v>
      </c>
      <c r="D20549" t="str">
        <v>-</v>
      </c>
      <c r="E20549" t="str">
        <v>-</v>
      </c>
      <c r="F20549" t="str">
        <v>-</v>
      </c>
      <c r="G20549" t="str">
        <v>-</v>
      </c>
    </row>
    <row r="20550">
      <c r="B20550" t="str">
        <v>Công an phường Phú Mỹ  thành phố Hồ Chí Minh</v>
      </c>
      <c r="C20550" t="str">
        <v>-</v>
      </c>
      <c r="D20550" t="str">
        <v>-</v>
      </c>
      <c r="E20550" t="str">
        <v/>
      </c>
      <c r="F20550" t="str">
        <v>-</v>
      </c>
      <c r="G20550" t="str">
        <v>-</v>
      </c>
    </row>
    <row r="20551">
      <c r="B20551" t="str">
        <v>UBND Ủy ban nhân dân phường Phú Mỹ  thành phố Hồ Chí Minh</v>
      </c>
      <c r="C20551" t="str">
        <v>-</v>
      </c>
      <c r="D20551" t="str">
        <v>-</v>
      </c>
      <c r="E20551" t="str">
        <v>-</v>
      </c>
      <c r="F20551" t="str">
        <v>-</v>
      </c>
      <c r="G20551" t="str">
        <v>-</v>
      </c>
    </row>
    <row r="20552">
      <c r="B20552" t="str">
        <v>Công an xã Phú Mỹ Hưng  thành phố Hồ Chí Minh</v>
      </c>
      <c r="C20552" t="str">
        <v>-</v>
      </c>
      <c r="D20552" t="str">
        <v>-</v>
      </c>
      <c r="E20552" t="str">
        <v/>
      </c>
      <c r="F20552" t="str">
        <v>-</v>
      </c>
      <c r="G20552" t="str">
        <v>-</v>
      </c>
    </row>
    <row r="20553">
      <c r="B20553" t="str">
        <v>UBND Ủy ban nhân dân xã Phú Mỹ Hưng  thành phố Hồ Chí Minh</v>
      </c>
      <c r="C20553" t="str">
        <v>-</v>
      </c>
      <c r="D20553" t="str">
        <v>-</v>
      </c>
      <c r="E20553" t="str">
        <v>-</v>
      </c>
      <c r="F20553" t="str">
        <v>-</v>
      </c>
      <c r="G20553" t="str">
        <v>-</v>
      </c>
    </row>
    <row r="20554">
      <c r="B20554" t="str">
        <v>Công an xã An Phú  thành phố Hồ Chí Minh</v>
      </c>
      <c r="C20554" t="str">
        <v>-</v>
      </c>
      <c r="D20554" t="str">
        <v>-</v>
      </c>
      <c r="E20554" t="str">
        <v/>
      </c>
      <c r="F20554" t="str">
        <v>-</v>
      </c>
      <c r="G20554" t="str">
        <v>-</v>
      </c>
    </row>
    <row r="20555">
      <c r="B20555" t="str">
        <v>UBND Ủy ban nhân dân xã An Phú  thành phố Hồ Chí Minh</v>
      </c>
      <c r="C20555" t="str">
        <v>-</v>
      </c>
      <c r="D20555" t="str">
        <v>-</v>
      </c>
      <c r="E20555" t="str">
        <v>-</v>
      </c>
      <c r="F20555" t="str">
        <v>-</v>
      </c>
      <c r="G20555" t="str">
        <v>-</v>
      </c>
    </row>
    <row r="20556">
      <c r="B20556" t="str">
        <v>Công an xã Trung Lập Thượng  thành phố Hồ Chí Minh</v>
      </c>
      <c r="C20556" t="str">
        <v>-</v>
      </c>
      <c r="D20556" t="str">
        <v>-</v>
      </c>
      <c r="E20556" t="str">
        <v/>
      </c>
      <c r="F20556" t="str">
        <v>-</v>
      </c>
      <c r="G20556" t="str">
        <v>-</v>
      </c>
    </row>
    <row r="20557">
      <c r="B20557" t="str">
        <v>UBND Ủy ban nhân dân xã Trung Lập Thượng  thành phố Hồ Chí Minh</v>
      </c>
      <c r="C20557" t="str">
        <v>-</v>
      </c>
      <c r="D20557" t="str">
        <v>-</v>
      </c>
      <c r="E20557" t="str">
        <v>-</v>
      </c>
      <c r="F20557" t="str">
        <v>-</v>
      </c>
      <c r="G20557" t="str">
        <v>-</v>
      </c>
    </row>
    <row r="20558">
      <c r="B20558" t="str">
        <v>Công an xã An Nhơn Tây  thành phố Hồ Chí Minh</v>
      </c>
      <c r="C20558" t="str">
        <v>-</v>
      </c>
      <c r="D20558" t="str">
        <v>-</v>
      </c>
      <c r="E20558" t="str">
        <v/>
      </c>
      <c r="F20558" t="str">
        <v>-</v>
      </c>
      <c r="G20558" t="str">
        <v>-</v>
      </c>
    </row>
    <row r="20559">
      <c r="B20559" t="str">
        <v>UBND Ủy ban nhân dân xã An Nhơn Tây  thành phố Hồ Chí Minh</v>
      </c>
      <c r="C20559" t="str">
        <v>-</v>
      </c>
      <c r="D20559" t="str">
        <v>-</v>
      </c>
      <c r="E20559" t="str">
        <v>-</v>
      </c>
      <c r="F20559" t="str">
        <v>-</v>
      </c>
      <c r="G20559" t="str">
        <v>-</v>
      </c>
    </row>
    <row r="20560">
      <c r="B20560" t="str">
        <v>Công an xã Nhuận Đức  thành phố Hồ Chí Minh</v>
      </c>
      <c r="C20560" t="str">
        <v>-</v>
      </c>
      <c r="D20560" t="str">
        <v>-</v>
      </c>
      <c r="E20560" t="str">
        <v/>
      </c>
      <c r="F20560" t="str">
        <v>-</v>
      </c>
      <c r="G20560" t="str">
        <v>-</v>
      </c>
    </row>
    <row r="20561">
      <c r="B20561" t="str">
        <v>UBND Ủy ban nhân dân xã Nhuận Đức  thành phố Hồ Chí Minh</v>
      </c>
      <c r="C20561" t="str">
        <v>-</v>
      </c>
      <c r="D20561" t="str">
        <v>-</v>
      </c>
      <c r="E20561" t="str">
        <v>-</v>
      </c>
      <c r="F20561" t="str">
        <v>-</v>
      </c>
      <c r="G20561" t="str">
        <v>-</v>
      </c>
    </row>
    <row r="20562">
      <c r="B20562" t="str">
        <v>Công an xã Phạm Văn Cội  thành phố Hồ Chí Minh</v>
      </c>
      <c r="C20562" t="str">
        <v>-</v>
      </c>
      <c r="D20562" t="str">
        <v>-</v>
      </c>
      <c r="E20562" t="str">
        <v/>
      </c>
      <c r="F20562" t="str">
        <v>-</v>
      </c>
      <c r="G20562" t="str">
        <v>-</v>
      </c>
    </row>
    <row r="20563">
      <c r="B20563" t="str">
        <v>UBND Ủy ban nhân dân xã Phạm Văn Cội  thành phố Hồ Chí Minh</v>
      </c>
      <c r="C20563" t="str">
        <v>-</v>
      </c>
      <c r="D20563" t="str">
        <v>-</v>
      </c>
      <c r="E20563" t="str">
        <v>-</v>
      </c>
      <c r="F20563" t="str">
        <v>-</v>
      </c>
      <c r="G20563" t="str">
        <v>-</v>
      </c>
    </row>
    <row r="20564">
      <c r="B20564" t="str">
        <v>Công an xã Phú Hòa Đông  thành phố Hồ Chí Minh</v>
      </c>
      <c r="C20564" t="str">
        <v>-</v>
      </c>
      <c r="D20564" t="str">
        <v>-</v>
      </c>
      <c r="E20564" t="str">
        <v/>
      </c>
      <c r="F20564" t="str">
        <v>-</v>
      </c>
      <c r="G20564" t="str">
        <v>-</v>
      </c>
    </row>
    <row r="20565">
      <c r="B20565" t="str">
        <v>UBND Ủy ban nhân dân xã Phú Hòa Đông  thành phố Hồ Chí Minh</v>
      </c>
      <c r="C20565" t="str">
        <v>-</v>
      </c>
      <c r="D20565" t="str">
        <v>-</v>
      </c>
      <c r="E20565" t="str">
        <v>-</v>
      </c>
      <c r="F20565" t="str">
        <v>-</v>
      </c>
      <c r="G20565" t="str">
        <v>-</v>
      </c>
    </row>
    <row r="20566">
      <c r="B20566" t="str">
        <v>Công an xã Trung Lập Hạ  thành phố Hồ Chí Minh</v>
      </c>
      <c r="C20566" t="str">
        <v>-</v>
      </c>
      <c r="D20566" t="str">
        <v>-</v>
      </c>
      <c r="E20566" t="str">
        <v/>
      </c>
      <c r="F20566" t="str">
        <v>-</v>
      </c>
      <c r="G20566" t="str">
        <v>-</v>
      </c>
    </row>
    <row r="20567">
      <c r="B20567" t="str">
        <v>UBND Ủy ban nhân dân xã Trung Lập Hạ  thành phố Hồ Chí Minh</v>
      </c>
      <c r="C20567" t="str">
        <v>-</v>
      </c>
      <c r="D20567" t="str">
        <v>-</v>
      </c>
      <c r="E20567" t="str">
        <v>-</v>
      </c>
      <c r="F20567" t="str">
        <v>-</v>
      </c>
      <c r="G20567" t="str">
        <v>-</v>
      </c>
    </row>
    <row r="20568">
      <c r="B20568" t="str">
        <v>Công an xã Trung An  thành phố Hồ Chí Minh</v>
      </c>
      <c r="C20568" t="str">
        <v>-</v>
      </c>
      <c r="D20568" t="str">
        <v>-</v>
      </c>
      <c r="E20568" t="str">
        <v/>
      </c>
      <c r="F20568" t="str">
        <v>-</v>
      </c>
      <c r="G20568" t="str">
        <v>-</v>
      </c>
    </row>
    <row r="20569">
      <c r="B20569" t="str">
        <v>UBND Ủy ban nhân dân xã Trung An  thành phố Hồ Chí Minh</v>
      </c>
      <c r="C20569" t="str">
        <v>-</v>
      </c>
      <c r="D20569" t="str">
        <v>-</v>
      </c>
      <c r="E20569" t="str">
        <v>-</v>
      </c>
      <c r="F20569" t="str">
        <v>-</v>
      </c>
      <c r="G20569" t="str">
        <v>-</v>
      </c>
    </row>
    <row r="20570">
      <c r="B20570" t="str">
        <v>Công an xã Phước Thạnh  thành phố Hồ Chí Minh</v>
      </c>
      <c r="C20570" t="str">
        <v>-</v>
      </c>
      <c r="D20570" t="str">
        <v>-</v>
      </c>
      <c r="E20570" t="str">
        <v/>
      </c>
      <c r="F20570" t="str">
        <v>-</v>
      </c>
      <c r="G20570" t="str">
        <v>-</v>
      </c>
    </row>
    <row r="20571">
      <c r="B20571" t="str">
        <v>UBND Ủy ban nhân dân xã Phước Thạnh  thành phố Hồ Chí Minh</v>
      </c>
      <c r="C20571" t="str">
        <v>-</v>
      </c>
      <c r="D20571" t="str">
        <v>-</v>
      </c>
      <c r="E20571" t="str">
        <v>-</v>
      </c>
      <c r="F20571" t="str">
        <v>-</v>
      </c>
      <c r="G20571" t="str">
        <v>-</v>
      </c>
    </row>
    <row r="20572">
      <c r="B20572" t="str">
        <v>Công an xã Phước Hiệp  thành phố Hồ Chí Minh</v>
      </c>
      <c r="C20572" t="str">
        <v>-</v>
      </c>
      <c r="D20572" t="str">
        <v>-</v>
      </c>
      <c r="E20572" t="str">
        <v/>
      </c>
      <c r="F20572" t="str">
        <v>-</v>
      </c>
      <c r="G20572" t="str">
        <v>-</v>
      </c>
    </row>
    <row r="20573">
      <c r="B20573" t="str">
        <v>UBND Ủy ban nhân dân xã Phước Hiệp  thành phố Hồ Chí Minh</v>
      </c>
      <c r="C20573" t="str">
        <v>-</v>
      </c>
      <c r="D20573" t="str">
        <v>-</v>
      </c>
      <c r="E20573" t="str">
        <v>-</v>
      </c>
      <c r="F20573" t="str">
        <v>-</v>
      </c>
      <c r="G20573" t="str">
        <v>-</v>
      </c>
    </row>
    <row r="20574">
      <c r="B20574" t="str">
        <v>Công an xã Tân An Hội  thành phố Hồ Chí Minh</v>
      </c>
      <c r="C20574" t="str">
        <v>-</v>
      </c>
      <c r="D20574" t="str">
        <v>-</v>
      </c>
      <c r="E20574" t="str">
        <v/>
      </c>
      <c r="F20574" t="str">
        <v>-</v>
      </c>
      <c r="G20574" t="str">
        <v>-</v>
      </c>
    </row>
    <row r="20575">
      <c r="B20575" t="str">
        <v>UBND Ủy ban nhân dân xã Tân An Hội  thành phố Hồ Chí Minh</v>
      </c>
      <c r="C20575" t="str">
        <v>-</v>
      </c>
      <c r="D20575" t="str">
        <v>-</v>
      </c>
      <c r="E20575" t="str">
        <v>-</v>
      </c>
      <c r="F20575" t="str">
        <v>-</v>
      </c>
      <c r="G20575" t="str">
        <v>-</v>
      </c>
    </row>
    <row r="20576">
      <c r="B20576" t="str">
        <v>Công an xã Phước Vĩnh An  thành phố Hồ Chí Minh</v>
      </c>
      <c r="C20576" t="str">
        <v>-</v>
      </c>
      <c r="D20576" t="str">
        <v>-</v>
      </c>
      <c r="E20576" t="str">
        <v/>
      </c>
      <c r="F20576" t="str">
        <v>-</v>
      </c>
      <c r="G20576" t="str">
        <v>-</v>
      </c>
    </row>
    <row r="20577">
      <c r="B20577" t="str">
        <v>UBND Ủy ban nhân dân xã Phước Vĩnh An  thành phố Hồ Chí Minh</v>
      </c>
      <c r="C20577" t="str">
        <v>-</v>
      </c>
      <c r="D20577" t="str">
        <v>-</v>
      </c>
      <c r="E20577" t="str">
        <v>-</v>
      </c>
      <c r="F20577" t="str">
        <v>-</v>
      </c>
      <c r="G20577" t="str">
        <v>-</v>
      </c>
    </row>
    <row r="20578">
      <c r="B20578" t="str">
        <v>Công an xã Thái Mỹ  thành phố Hồ Chí Minh</v>
      </c>
      <c r="C20578" t="str">
        <v>-</v>
      </c>
      <c r="D20578" t="str">
        <v>-</v>
      </c>
      <c r="E20578" t="str">
        <v/>
      </c>
      <c r="F20578" t="str">
        <v>-</v>
      </c>
      <c r="G20578" t="str">
        <v>-</v>
      </c>
    </row>
    <row r="20579">
      <c r="B20579" t="str">
        <v>UBND Ủy ban nhân dân xã Thái Mỹ  thành phố Hồ Chí Minh</v>
      </c>
      <c r="C20579" t="str">
        <v>-</v>
      </c>
      <c r="D20579" t="str">
        <v>-</v>
      </c>
      <c r="E20579" t="str">
        <v>-</v>
      </c>
      <c r="F20579" t="str">
        <v>-</v>
      </c>
      <c r="G20579" t="str">
        <v>-</v>
      </c>
    </row>
    <row r="20580">
      <c r="B20580" t="str">
        <v>Công an xã Tân Thạnh Tây  thành phố Hồ Chí Minh</v>
      </c>
      <c r="C20580" t="str">
        <v>-</v>
      </c>
      <c r="D20580" t="str">
        <v>-</v>
      </c>
      <c r="E20580" t="str">
        <v/>
      </c>
      <c r="F20580" t="str">
        <v>-</v>
      </c>
      <c r="G20580" t="str">
        <v>-</v>
      </c>
    </row>
    <row r="20581">
      <c r="B20581" t="str">
        <v>UBND Ủy ban nhân dân xã Tân Thạnh Tây  thành phố Hồ Chí Minh</v>
      </c>
      <c r="C20581" t="str">
        <v>-</v>
      </c>
      <c r="D20581" t="str">
        <v>-</v>
      </c>
      <c r="E20581" t="str">
        <v>-</v>
      </c>
      <c r="F20581" t="str">
        <v>-</v>
      </c>
      <c r="G20581" t="str">
        <v>-</v>
      </c>
    </row>
    <row r="20582">
      <c r="B20582" t="str">
        <v>Công an xã Hòa Phú  thành phố Hồ Chí Minh</v>
      </c>
      <c r="C20582" t="str">
        <v>-</v>
      </c>
      <c r="D20582" t="str">
        <v>-</v>
      </c>
      <c r="E20582" t="str">
        <v/>
      </c>
      <c r="F20582" t="str">
        <v>-</v>
      </c>
      <c r="G20582" t="str">
        <v>-</v>
      </c>
    </row>
    <row r="20583">
      <c r="B20583" t="str">
        <v>UBND Ủy ban nhân dân xã Hòa Phú  thành phố Hồ Chí Minh</v>
      </c>
      <c r="C20583" t="str">
        <v>-</v>
      </c>
      <c r="D20583" t="str">
        <v>-</v>
      </c>
      <c r="E20583" t="str">
        <v>-</v>
      </c>
      <c r="F20583" t="str">
        <v>-</v>
      </c>
      <c r="G20583" t="str">
        <v>-</v>
      </c>
    </row>
    <row r="20584">
      <c r="B20584" t="str">
        <v>Công an xã Tân Thạnh Đông  thành phố Hồ Chí Minh</v>
      </c>
      <c r="C20584" t="str">
        <v>-</v>
      </c>
      <c r="D20584" t="str">
        <v>-</v>
      </c>
      <c r="E20584" t="str">
        <v/>
      </c>
      <c r="F20584" t="str">
        <v>-</v>
      </c>
      <c r="G20584" t="str">
        <v>-</v>
      </c>
    </row>
    <row r="20585">
      <c r="B20585" t="str">
        <v>UBND Ủy ban nhân dân xã Tân Thạnh Đông  thành phố Hồ Chí Minh</v>
      </c>
      <c r="C20585" t="str">
        <v>-</v>
      </c>
      <c r="D20585" t="str">
        <v>-</v>
      </c>
      <c r="E20585" t="str">
        <v>-</v>
      </c>
      <c r="F20585" t="str">
        <v>-</v>
      </c>
      <c r="G20585" t="str">
        <v>-</v>
      </c>
    </row>
    <row r="20586">
      <c r="B20586" t="str">
        <v>Công an xã Bình Mỹ  thành phố Hồ Chí Minh</v>
      </c>
      <c r="C20586" t="str">
        <v>-</v>
      </c>
      <c r="D20586" t="str">
        <v>-</v>
      </c>
      <c r="E20586" t="str">
        <v/>
      </c>
      <c r="F20586" t="str">
        <v>-</v>
      </c>
      <c r="G20586" t="str">
        <v>-</v>
      </c>
    </row>
    <row r="20587">
      <c r="B20587" t="str">
        <v>UBND Ủy ban nhân dân xã Bình Mỹ  thành phố Hồ Chí Minh</v>
      </c>
      <c r="C20587" t="str">
        <v>-</v>
      </c>
      <c r="D20587" t="str">
        <v>-</v>
      </c>
      <c r="E20587" t="str">
        <v>-</v>
      </c>
      <c r="F20587" t="str">
        <v>-</v>
      </c>
      <c r="G20587" t="str">
        <v>-</v>
      </c>
    </row>
    <row r="20588">
      <c r="B20588" t="str">
        <v>Công an xã Tân Phú Trung  thành phố Hồ Chí Minh</v>
      </c>
      <c r="C20588" t="str">
        <v>-</v>
      </c>
      <c r="D20588" t="str">
        <v>-</v>
      </c>
      <c r="E20588" t="str">
        <v/>
      </c>
      <c r="F20588" t="str">
        <v>-</v>
      </c>
      <c r="G20588" t="str">
        <v>-</v>
      </c>
    </row>
    <row r="20589">
      <c r="B20589" t="str">
        <v>UBND Ủy ban nhân dân xã Tân Phú Trung  thành phố Hồ Chí Minh</v>
      </c>
      <c r="C20589" t="str">
        <v>-</v>
      </c>
      <c r="D20589" t="str">
        <v>-</v>
      </c>
      <c r="E20589" t="str">
        <v>-</v>
      </c>
      <c r="F20589" t="str">
        <v>-</v>
      </c>
      <c r="G20589" t="str">
        <v>-</v>
      </c>
    </row>
    <row r="20590">
      <c r="B20590" t="str">
        <v>Công an xã Tân Thông Hội  thành phố Hồ Chí Minh</v>
      </c>
      <c r="C20590" t="str">
        <v>-</v>
      </c>
      <c r="D20590" t="str">
        <v>-</v>
      </c>
      <c r="E20590" t="str">
        <v/>
      </c>
      <c r="F20590" t="str">
        <v>-</v>
      </c>
      <c r="G20590" t="str">
        <v>-</v>
      </c>
    </row>
    <row r="20591">
      <c r="B20591" t="str">
        <v>UBND Ủy ban nhân dân xã Tân Thông Hội  thành phố Hồ Chí Minh</v>
      </c>
      <c r="C20591" t="str">
        <v>-</v>
      </c>
      <c r="D20591" t="str">
        <v>-</v>
      </c>
      <c r="E20591" t="str">
        <v>-</v>
      </c>
      <c r="F20591" t="str">
        <v>-</v>
      </c>
      <c r="G20591" t="str">
        <v>-</v>
      </c>
    </row>
    <row r="20592">
      <c r="B20592" t="str">
        <v>Công an xã Tân Hiệp  thành phố Hồ Chí Minh</v>
      </c>
      <c r="C20592" t="str">
        <v>-</v>
      </c>
      <c r="D20592" t="str">
        <v>-</v>
      </c>
      <c r="E20592" t="str">
        <v/>
      </c>
      <c r="F20592" t="str">
        <v>-</v>
      </c>
      <c r="G20592" t="str">
        <v>-</v>
      </c>
    </row>
    <row r="20593">
      <c r="B20593" t="str">
        <v>UBND Ủy ban nhân dân xã Tân Hiệp  thành phố Hồ Chí Minh</v>
      </c>
      <c r="C20593" t="str">
        <v>-</v>
      </c>
      <c r="D20593" t="str">
        <v>-</v>
      </c>
      <c r="E20593" t="str">
        <v>-</v>
      </c>
      <c r="F20593" t="str">
        <v>-</v>
      </c>
      <c r="G20593" t="str">
        <v>-</v>
      </c>
    </row>
    <row r="20594">
      <c r="B20594" t="str">
        <v>Công an xã Nhị Bình  thành phố Hồ Chí Minh</v>
      </c>
      <c r="C20594" t="str">
        <v>-</v>
      </c>
      <c r="D20594" t="str">
        <v>-</v>
      </c>
      <c r="E20594" t="str">
        <v/>
      </c>
      <c r="F20594" t="str">
        <v>-</v>
      </c>
      <c r="G20594" t="str">
        <v>-</v>
      </c>
    </row>
    <row r="20595">
      <c r="B20595" t="str">
        <v>UBND Ủy ban nhân dân xã Nhị Bình  thành phố Hồ Chí Minh</v>
      </c>
      <c r="C20595" t="str">
        <v>-</v>
      </c>
      <c r="D20595" t="str">
        <v>-</v>
      </c>
      <c r="E20595" t="str">
        <v>-</v>
      </c>
      <c r="F20595" t="str">
        <v>-</v>
      </c>
      <c r="G20595" t="str">
        <v>-</v>
      </c>
    </row>
    <row r="20596">
      <c r="B20596" t="str">
        <v>Công an xã Đông Thạnh  thành phố Hồ Chí Minh</v>
      </c>
      <c r="C20596" t="str">
        <v>-</v>
      </c>
      <c r="D20596" t="str">
        <v>-</v>
      </c>
      <c r="E20596" t="str">
        <v/>
      </c>
      <c r="F20596" t="str">
        <v>-</v>
      </c>
      <c r="G20596" t="str">
        <v>-</v>
      </c>
    </row>
    <row r="20597">
      <c r="B20597" t="str">
        <v>UBND Ủy ban nhân dân xã Đông Thạnh  thành phố Hồ Chí Minh</v>
      </c>
      <c r="C20597" t="str">
        <v>-</v>
      </c>
      <c r="D20597" t="str">
        <v>-</v>
      </c>
      <c r="E20597" t="str">
        <v>-</v>
      </c>
      <c r="F20597" t="str">
        <v>-</v>
      </c>
      <c r="G20597" t="str">
        <v>-</v>
      </c>
    </row>
    <row r="20598">
      <c r="B20598" t="str">
        <v>Công an xã Tân Thới Nhì  thành phố Hồ Chí Minh</v>
      </c>
      <c r="C20598" t="str">
        <v>-</v>
      </c>
      <c r="D20598" t="str">
        <v>-</v>
      </c>
      <c r="E20598" t="str">
        <v/>
      </c>
      <c r="F20598" t="str">
        <v>-</v>
      </c>
      <c r="G20598" t="str">
        <v>-</v>
      </c>
    </row>
    <row r="20599">
      <c r="B20599" t="str">
        <v>UBND Ủy ban nhân dân xã Tân Thới Nhì  thành phố Hồ Chí Minh</v>
      </c>
      <c r="C20599" t="str">
        <v>-</v>
      </c>
      <c r="D20599" t="str">
        <v>-</v>
      </c>
      <c r="E20599" t="str">
        <v>-</v>
      </c>
      <c r="F20599" t="str">
        <v>-</v>
      </c>
      <c r="G20599" t="str">
        <v>-</v>
      </c>
    </row>
    <row r="20600">
      <c r="B20600" t="str">
        <v>Công an xã Thới Tam Thôn  thành phố Hồ Chí Minh</v>
      </c>
      <c r="C20600" t="str">
        <v>-</v>
      </c>
      <c r="D20600" t="str">
        <v>-</v>
      </c>
      <c r="E20600" t="str">
        <v/>
      </c>
      <c r="F20600" t="str">
        <v>-</v>
      </c>
      <c r="G20600" t="str">
        <v>-</v>
      </c>
    </row>
    <row r="20601">
      <c r="B20601" t="str">
        <v>UBND Ủy ban nhân dân xã Thới Tam Thôn  thành phố Hồ Chí Minh</v>
      </c>
      <c r="C20601" t="str">
        <v>-</v>
      </c>
      <c r="D20601" t="str">
        <v>-</v>
      </c>
      <c r="E20601" t="str">
        <v>-</v>
      </c>
      <c r="F20601" t="str">
        <v>-</v>
      </c>
      <c r="G20601" t="str">
        <v>-</v>
      </c>
    </row>
    <row r="20602">
      <c r="B20602" t="str">
        <v>Công an xã Xuân Thới Sơn  thành phố Hồ Chí Minh</v>
      </c>
      <c r="C20602" t="str">
        <v>-</v>
      </c>
      <c r="D20602" t="str">
        <v>-</v>
      </c>
      <c r="E20602" t="str">
        <v/>
      </c>
      <c r="F20602" t="str">
        <v>-</v>
      </c>
      <c r="G20602" t="str">
        <v>-</v>
      </c>
    </row>
    <row r="20603">
      <c r="B20603" t="str">
        <v>UBND Ủy ban nhân dân xã Xuân Thới Sơn  thành phố Hồ Chí Minh</v>
      </c>
      <c r="C20603" t="str">
        <v>-</v>
      </c>
      <c r="D20603" t="str">
        <v>-</v>
      </c>
      <c r="E20603" t="str">
        <v>-</v>
      </c>
      <c r="F20603" t="str">
        <v>-</v>
      </c>
      <c r="G20603" t="str">
        <v>-</v>
      </c>
    </row>
    <row r="20604">
      <c r="B20604" t="str">
        <v>Công an xã Tân Xuân  thành phố Hồ Chí Minh</v>
      </c>
      <c r="C20604" t="str">
        <v>-</v>
      </c>
      <c r="D20604" t="str">
        <v>-</v>
      </c>
      <c r="E20604" t="str">
        <v/>
      </c>
      <c r="F20604" t="str">
        <v>-</v>
      </c>
      <c r="G20604" t="str">
        <v>-</v>
      </c>
    </row>
    <row r="20605">
      <c r="B20605" t="str">
        <v>UBND Ủy ban nhân dân xã Tân Xuân  thành phố Hồ Chí Minh</v>
      </c>
      <c r="C20605" t="str">
        <v>-</v>
      </c>
      <c r="D20605" t="str">
        <v>-</v>
      </c>
      <c r="E20605" t="str">
        <v>-</v>
      </c>
      <c r="F20605" t="str">
        <v>-</v>
      </c>
      <c r="G20605" t="str">
        <v>-</v>
      </c>
    </row>
    <row r="20606">
      <c r="B20606" t="str">
        <v>Công an xã Xuân Thới Đông  thành phố Hồ Chí Minh</v>
      </c>
      <c r="C20606" t="str">
        <v>-</v>
      </c>
      <c r="D20606" t="str">
        <v>-</v>
      </c>
      <c r="E20606" t="str">
        <v/>
      </c>
      <c r="F20606" t="str">
        <v>-</v>
      </c>
      <c r="G20606" t="str">
        <v>-</v>
      </c>
    </row>
    <row r="20607">
      <c r="B20607" t="str">
        <v>UBND Ủy ban nhân dân xã Xuân Thới Đông  thành phố Hồ Chí Minh</v>
      </c>
      <c r="C20607" t="str">
        <v>-</v>
      </c>
      <c r="D20607" t="str">
        <v>-</v>
      </c>
      <c r="E20607" t="str">
        <v>-</v>
      </c>
      <c r="F20607" t="str">
        <v>-</v>
      </c>
      <c r="G20607" t="str">
        <v>-</v>
      </c>
    </row>
    <row r="20608">
      <c r="B20608" t="str">
        <v>Công an xã Trung Chánh  thành phố Hồ Chí Minh</v>
      </c>
      <c r="C20608" t="str">
        <v>-</v>
      </c>
      <c r="D20608" t="str">
        <v>-</v>
      </c>
      <c r="E20608" t="str">
        <v/>
      </c>
      <c r="F20608" t="str">
        <v>-</v>
      </c>
      <c r="G20608" t="str">
        <v>-</v>
      </c>
    </row>
    <row r="20609">
      <c r="B20609" t="str">
        <v>UBND Ủy ban nhân dân xã Trung Chánh  thành phố Hồ Chí Minh</v>
      </c>
      <c r="C20609" t="str">
        <v>-</v>
      </c>
      <c r="D20609" t="str">
        <v>-</v>
      </c>
      <c r="E20609" t="str">
        <v>-</v>
      </c>
      <c r="F20609" t="str">
        <v>-</v>
      </c>
      <c r="G20609" t="str">
        <v>-</v>
      </c>
    </row>
    <row r="20610">
      <c r="B20610" t="str">
        <v>Công an xã Xuân Thới Thượng  thành phố Hồ Chí Minh</v>
      </c>
      <c r="C20610" t="str">
        <v>-</v>
      </c>
      <c r="D20610" t="str">
        <v>-</v>
      </c>
      <c r="E20610" t="str">
        <v/>
      </c>
      <c r="F20610" t="str">
        <v>-</v>
      </c>
      <c r="G20610" t="str">
        <v>-</v>
      </c>
    </row>
    <row r="20611">
      <c r="B20611" t="str">
        <v>UBND Ủy ban nhân dân xã Xuân Thới Thượng  thành phố Hồ Chí Minh</v>
      </c>
      <c r="C20611" t="str">
        <v>-</v>
      </c>
      <c r="D20611" t="str">
        <v>-</v>
      </c>
      <c r="E20611" t="str">
        <v>-</v>
      </c>
      <c r="F20611" t="str">
        <v>-</v>
      </c>
      <c r="G20611" t="str">
        <v>-</v>
      </c>
    </row>
    <row r="20612">
      <c r="B20612" t="str">
        <v>Công an xã Bà Điểm  thành phố Hồ Chí Minh</v>
      </c>
      <c r="C20612" t="str">
        <v>-</v>
      </c>
      <c r="D20612" t="str">
        <v>-</v>
      </c>
      <c r="E20612" t="str">
        <v/>
      </c>
      <c r="F20612" t="str">
        <v>-</v>
      </c>
      <c r="G20612" t="str">
        <v>-</v>
      </c>
    </row>
    <row r="20613">
      <c r="B20613" t="str">
        <v>UBND Ủy ban nhân dân xã Bà Điểm  thành phố Hồ Chí Minh</v>
      </c>
      <c r="C20613" t="str">
        <v>-</v>
      </c>
      <c r="D20613" t="str">
        <v>-</v>
      </c>
      <c r="E20613" t="str">
        <v>-</v>
      </c>
      <c r="F20613" t="str">
        <v>-</v>
      </c>
      <c r="G20613" t="str">
        <v>-</v>
      </c>
    </row>
    <row r="20614">
      <c r="B20614" t="str">
        <v>Công an xã Phạm Văn Hai  thành phố Hồ Chí Minh</v>
      </c>
      <c r="C20614" t="str">
        <v>-</v>
      </c>
      <c r="D20614" t="str">
        <v>-</v>
      </c>
      <c r="E20614" t="str">
        <v/>
      </c>
      <c r="F20614" t="str">
        <v>-</v>
      </c>
      <c r="G20614" t="str">
        <v>-</v>
      </c>
    </row>
    <row r="20615">
      <c r="B20615" t="str">
        <v>UBND Ủy ban nhân dân xã Phạm Văn Hai  thành phố Hồ Chí Minh</v>
      </c>
      <c r="C20615" t="str">
        <v>-</v>
      </c>
      <c r="D20615" t="str">
        <v>-</v>
      </c>
      <c r="E20615" t="str">
        <v>-</v>
      </c>
      <c r="F20615" t="str">
        <v>-</v>
      </c>
      <c r="G20615" t="str">
        <v>-</v>
      </c>
    </row>
    <row r="20616">
      <c r="B20616" t="str">
        <v>Công an xã Vĩnh Lộc A  thành phố Hồ Chí Minh</v>
      </c>
      <c r="C20616" t="str">
        <v>-</v>
      </c>
      <c r="D20616" t="str">
        <v>-</v>
      </c>
      <c r="E20616" t="str">
        <v/>
      </c>
      <c r="F20616" t="str">
        <v>-</v>
      </c>
      <c r="G20616" t="str">
        <v>-</v>
      </c>
    </row>
    <row r="20617">
      <c r="B20617" t="str">
        <v>UBND Ủy ban nhân dân xã Vĩnh Lộc A  thành phố Hồ Chí Minh</v>
      </c>
      <c r="C20617" t="str">
        <v>-</v>
      </c>
      <c r="D20617" t="str">
        <v>-</v>
      </c>
      <c r="E20617" t="str">
        <v>-</v>
      </c>
      <c r="F20617" t="str">
        <v>-</v>
      </c>
      <c r="G20617" t="str">
        <v>-</v>
      </c>
    </row>
    <row r="20618">
      <c r="B20618" t="str">
        <v>Công an xã Vĩnh Lộc B  thành phố Hồ Chí Minh</v>
      </c>
      <c r="C20618" t="str">
        <v>-</v>
      </c>
      <c r="D20618" t="str">
        <v>-</v>
      </c>
      <c r="E20618" t="str">
        <v/>
      </c>
      <c r="F20618" t="str">
        <v>-</v>
      </c>
      <c r="G20618" t="str">
        <v>-</v>
      </c>
    </row>
    <row r="20619">
      <c r="B20619" t="str">
        <v>UBND Ủy ban nhân dân xã Vĩnh Lộc B  thành phố Hồ Chí Minh</v>
      </c>
      <c r="C20619" t="str">
        <v>-</v>
      </c>
      <c r="D20619" t="str">
        <v>-</v>
      </c>
      <c r="E20619" t="str">
        <v>-</v>
      </c>
      <c r="F20619" t="str">
        <v>-</v>
      </c>
      <c r="G20619" t="str">
        <v>-</v>
      </c>
    </row>
    <row r="20620">
      <c r="B20620" t="str">
        <v>Công an xã Bình Lợi  thành phố Hồ Chí Minh</v>
      </c>
      <c r="C20620" t="str">
        <v>-</v>
      </c>
      <c r="D20620" t="str">
        <v>-</v>
      </c>
      <c r="E20620" t="str">
        <v/>
      </c>
      <c r="F20620" t="str">
        <v>-</v>
      </c>
      <c r="G20620" t="str">
        <v>-</v>
      </c>
    </row>
    <row r="20621">
      <c r="B20621" t="str">
        <v>UBND Ủy ban nhân dân xã Bình Lợi  thành phố Hồ Chí Minh</v>
      </c>
      <c r="C20621" t="str">
        <v>-</v>
      </c>
      <c r="D20621" t="str">
        <v>-</v>
      </c>
      <c r="E20621" t="str">
        <v>-</v>
      </c>
      <c r="F20621" t="str">
        <v>-</v>
      </c>
      <c r="G20621" t="str">
        <v>-</v>
      </c>
    </row>
    <row r="20622">
      <c r="B20622" t="str">
        <v>Công an xã Lê Minh Xuân  thành phố Hồ Chí Minh</v>
      </c>
      <c r="C20622" t="str">
        <v>-</v>
      </c>
      <c r="D20622" t="str">
        <v>-</v>
      </c>
      <c r="E20622" t="str">
        <v/>
      </c>
      <c r="F20622" t="str">
        <v>-</v>
      </c>
      <c r="G20622" t="str">
        <v>-</v>
      </c>
    </row>
    <row r="20623">
      <c r="B20623" t="str">
        <v>UBND Ủy ban nhân dân xã Lê Minh Xuân  thành phố Hồ Chí Minh</v>
      </c>
      <c r="C20623" t="str">
        <v>-</v>
      </c>
      <c r="D20623" t="str">
        <v>-</v>
      </c>
      <c r="E20623" t="str">
        <v>-</v>
      </c>
      <c r="F20623" t="str">
        <v>-</v>
      </c>
      <c r="G20623" t="str">
        <v>-</v>
      </c>
    </row>
    <row r="20624">
      <c r="B20624" t="str">
        <v>Công an xã Tân Nhựt  thành phố Hồ Chí Minh</v>
      </c>
      <c r="C20624" t="str">
        <v>-</v>
      </c>
      <c r="D20624" t="str">
        <v>-</v>
      </c>
      <c r="E20624" t="str">
        <v/>
      </c>
      <c r="F20624" t="str">
        <v>-</v>
      </c>
      <c r="G20624" t="str">
        <v>-</v>
      </c>
    </row>
    <row r="20625">
      <c r="B20625" t="str">
        <v>UBND Ủy ban nhân dân xã Tân Nhựt  thành phố Hồ Chí Minh</v>
      </c>
      <c r="C20625" t="str">
        <v>-</v>
      </c>
      <c r="D20625" t="str">
        <v>-</v>
      </c>
      <c r="E20625" t="str">
        <v>-</v>
      </c>
      <c r="F20625" t="str">
        <v>-</v>
      </c>
      <c r="G20625" t="str">
        <v>-</v>
      </c>
    </row>
    <row r="20626">
      <c r="B20626" t="str">
        <v>Công an xã Tân Kiên  thành phố Hồ Chí Minh</v>
      </c>
      <c r="C20626" t="str">
        <v>-</v>
      </c>
      <c r="D20626" t="str">
        <v>-</v>
      </c>
      <c r="E20626" t="str">
        <v/>
      </c>
      <c r="F20626" t="str">
        <v>-</v>
      </c>
      <c r="G20626" t="str">
        <v>-</v>
      </c>
    </row>
    <row r="20627">
      <c r="B20627" t="str">
        <v>UBND Ủy ban nhân dân xã Tân Kiên  thành phố Hồ Chí Minh</v>
      </c>
      <c r="C20627" t="str">
        <v>-</v>
      </c>
      <c r="D20627" t="str">
        <v>-</v>
      </c>
      <c r="E20627" t="str">
        <v>-</v>
      </c>
      <c r="F20627" t="str">
        <v>-</v>
      </c>
      <c r="G20627" t="str">
        <v>-</v>
      </c>
    </row>
    <row r="20628">
      <c r="B20628" t="str">
        <v>Công an xã Bình Hưng  thành phố Hồ Chí Minh</v>
      </c>
      <c r="C20628" t="str">
        <v>-</v>
      </c>
      <c r="D20628" t="str">
        <v>-</v>
      </c>
      <c r="E20628" t="str">
        <v/>
      </c>
      <c r="F20628" t="str">
        <v>-</v>
      </c>
      <c r="G20628" t="str">
        <v>-</v>
      </c>
    </row>
    <row r="20629">
      <c r="B20629" t="str">
        <v>UBND Ủy ban nhân dân xã Bình Hưng  thành phố Hồ Chí Minh</v>
      </c>
      <c r="C20629" t="str">
        <v>-</v>
      </c>
      <c r="D20629" t="str">
        <v>-</v>
      </c>
      <c r="E20629" t="str">
        <v>-</v>
      </c>
      <c r="F20629" t="str">
        <v>-</v>
      </c>
      <c r="G20629" t="str">
        <v>-</v>
      </c>
    </row>
    <row r="20630">
      <c r="B20630" t="str">
        <v>Công an xã Phong Phú  thành phố Hồ Chí Minh</v>
      </c>
      <c r="C20630" t="str">
        <v>-</v>
      </c>
      <c r="D20630" t="str">
        <v>-</v>
      </c>
      <c r="E20630" t="str">
        <v/>
      </c>
      <c r="F20630" t="str">
        <v>-</v>
      </c>
      <c r="G20630" t="str">
        <v>-</v>
      </c>
    </row>
    <row r="20631">
      <c r="B20631" t="str">
        <v>UBND Ủy ban nhân dân xã Phong Phú  thành phố Hồ Chí Minh</v>
      </c>
      <c r="C20631" t="str">
        <v>-</v>
      </c>
      <c r="D20631" t="str">
        <v>-</v>
      </c>
      <c r="E20631" t="str">
        <v>-</v>
      </c>
      <c r="F20631" t="str">
        <v>-</v>
      </c>
      <c r="G20631" t="str">
        <v>-</v>
      </c>
    </row>
    <row r="20632">
      <c r="B20632" t="str">
        <v>Công an xã An Phú Tây  thành phố Hồ Chí Minh</v>
      </c>
      <c r="C20632" t="str">
        <v>-</v>
      </c>
      <c r="D20632" t="str">
        <v>-</v>
      </c>
      <c r="E20632" t="str">
        <v/>
      </c>
      <c r="F20632" t="str">
        <v>-</v>
      </c>
      <c r="G20632" t="str">
        <v>-</v>
      </c>
    </row>
    <row r="20633">
      <c r="B20633" t="str">
        <v>UBND Ủy ban nhân dân xã An Phú Tây  thành phố Hồ Chí Minh</v>
      </c>
      <c r="C20633" t="str">
        <v>-</v>
      </c>
      <c r="D20633" t="str">
        <v>-</v>
      </c>
      <c r="E20633" t="str">
        <v>-</v>
      </c>
      <c r="F20633" t="str">
        <v>-</v>
      </c>
      <c r="G20633" t="str">
        <v>-</v>
      </c>
    </row>
    <row r="20634">
      <c r="B20634" t="str">
        <v>Công an xã Hưng Long  thành phố Hồ Chí Minh</v>
      </c>
      <c r="C20634" t="str">
        <v>-</v>
      </c>
      <c r="D20634" t="str">
        <v>-</v>
      </c>
      <c r="E20634" t="str">
        <v/>
      </c>
      <c r="F20634" t="str">
        <v>-</v>
      </c>
      <c r="G20634" t="str">
        <v>-</v>
      </c>
    </row>
    <row r="20635">
      <c r="B20635" t="str">
        <v>UBND Ủy ban nhân dân xã Hưng Long  thành phố Hồ Chí Minh</v>
      </c>
      <c r="C20635" t="str">
        <v>-</v>
      </c>
      <c r="D20635" t="str">
        <v>-</v>
      </c>
      <c r="E20635" t="str">
        <v>-</v>
      </c>
      <c r="F20635" t="str">
        <v>-</v>
      </c>
      <c r="G20635" t="str">
        <v>-</v>
      </c>
    </row>
    <row r="20636">
      <c r="B20636" t="str">
        <v>Công an xã Đa Phước  thành phố Hồ Chí Minh</v>
      </c>
      <c r="C20636" t="str">
        <v>-</v>
      </c>
      <c r="D20636" t="str">
        <v>-</v>
      </c>
      <c r="E20636" t="str">
        <v/>
      </c>
      <c r="F20636" t="str">
        <v>-</v>
      </c>
      <c r="G20636" t="str">
        <v>-</v>
      </c>
    </row>
    <row r="20637">
      <c r="B20637" t="str">
        <v>UBND Ủy ban nhân dân xã Đa Phước  thành phố Hồ Chí Minh</v>
      </c>
      <c r="C20637" t="str">
        <v>-</v>
      </c>
      <c r="D20637" t="str">
        <v>-</v>
      </c>
      <c r="E20637" t="str">
        <v>-</v>
      </c>
      <c r="F20637" t="str">
        <v>-</v>
      </c>
      <c r="G20637" t="str">
        <v>-</v>
      </c>
    </row>
    <row r="20638">
      <c r="B20638" t="str">
        <v>Công an xã Tân Quý Tây  thành phố Hồ Chí Minh</v>
      </c>
      <c r="C20638" t="str">
        <v>-</v>
      </c>
      <c r="D20638" t="str">
        <v>-</v>
      </c>
      <c r="E20638" t="str">
        <v/>
      </c>
      <c r="F20638" t="str">
        <v>-</v>
      </c>
      <c r="G20638" t="str">
        <v>-</v>
      </c>
    </row>
    <row r="20639">
      <c r="B20639" t="str">
        <v>UBND Ủy ban nhân dân xã Tân Quý Tây  thành phố Hồ Chí Minh</v>
      </c>
      <c r="C20639" t="str">
        <v>-</v>
      </c>
      <c r="D20639" t="str">
        <v>-</v>
      </c>
      <c r="E20639" t="str">
        <v>-</v>
      </c>
      <c r="F20639" t="str">
        <v>-</v>
      </c>
      <c r="G20639" t="str">
        <v>-</v>
      </c>
    </row>
    <row r="20640">
      <c r="B20640" t="str">
        <v>Công an xã Bình Chánh  thành phố Hồ Chí Minh</v>
      </c>
      <c r="C20640" t="str">
        <v>-</v>
      </c>
      <c r="D20640" t="str">
        <v>-</v>
      </c>
      <c r="E20640" t="str">
        <v/>
      </c>
      <c r="F20640" t="str">
        <v>-</v>
      </c>
      <c r="G20640" t="str">
        <v>-</v>
      </c>
    </row>
    <row r="20641">
      <c r="B20641" t="str">
        <v>UBND Ủy ban nhân dân xã Bình Chánh  thành phố Hồ Chí Minh</v>
      </c>
      <c r="C20641" t="str">
        <v>-</v>
      </c>
      <c r="D20641" t="str">
        <v>-</v>
      </c>
      <c r="E20641" t="str">
        <v>-</v>
      </c>
      <c r="F20641" t="str">
        <v>-</v>
      </c>
      <c r="G20641" t="str">
        <v>-</v>
      </c>
    </row>
    <row r="20642">
      <c r="B20642" t="str">
        <v>Công an xã Quy Đức  thành phố Hồ Chí Minh</v>
      </c>
      <c r="C20642" t="str">
        <v>-</v>
      </c>
      <c r="D20642" t="str">
        <v>-</v>
      </c>
      <c r="E20642" t="str">
        <v/>
      </c>
      <c r="F20642" t="str">
        <v>-</v>
      </c>
      <c r="G20642" t="str">
        <v>-</v>
      </c>
    </row>
    <row r="20643">
      <c r="B20643" t="str">
        <v>UBND Ủy ban nhân dân xã Quy Đức  thành phố Hồ Chí Minh</v>
      </c>
      <c r="C20643" t="str">
        <v>-</v>
      </c>
      <c r="D20643" t="str">
        <v>-</v>
      </c>
      <c r="E20643" t="str">
        <v>-</v>
      </c>
      <c r="F20643" t="str">
        <v>-</v>
      </c>
      <c r="G20643" t="str">
        <v>-</v>
      </c>
    </row>
    <row r="20644">
      <c r="B20644" t="str">
        <v>Công an xã Phước Kiển  thành phố Hồ Chí Minh</v>
      </c>
      <c r="C20644" t="str">
        <v>-</v>
      </c>
      <c r="D20644" t="str">
        <v>-</v>
      </c>
      <c r="E20644" t="str">
        <v/>
      </c>
      <c r="F20644" t="str">
        <v>-</v>
      </c>
      <c r="G20644" t="str">
        <v>-</v>
      </c>
    </row>
    <row r="20645">
      <c r="B20645" t="str">
        <v>UBND Ủy ban nhân dân xã Phước Kiển  thành phố Hồ Chí Minh</v>
      </c>
      <c r="C20645" t="str">
        <v>-</v>
      </c>
      <c r="D20645" t="str">
        <v>-</v>
      </c>
      <c r="E20645" t="str">
        <v>-</v>
      </c>
      <c r="F20645" t="str">
        <v>-</v>
      </c>
      <c r="G20645" t="str">
        <v>-</v>
      </c>
    </row>
    <row r="20646">
      <c r="B20646" t="str">
        <v>Công an xã Phước Lộc  thành phố Hồ Chí Minh</v>
      </c>
      <c r="C20646" t="str">
        <v>-</v>
      </c>
      <c r="D20646" t="str">
        <v>-</v>
      </c>
      <c r="E20646" t="str">
        <v/>
      </c>
      <c r="F20646" t="str">
        <v>-</v>
      </c>
      <c r="G20646" t="str">
        <v>-</v>
      </c>
    </row>
    <row r="20647">
      <c r="B20647" t="str">
        <v>UBND Ủy ban nhân dân xã Phước Lộc  thành phố Hồ Chí Minh</v>
      </c>
      <c r="C20647" t="str">
        <v>-</v>
      </c>
      <c r="D20647" t="str">
        <v>-</v>
      </c>
      <c r="E20647" t="str">
        <v>-</v>
      </c>
      <c r="F20647" t="str">
        <v>-</v>
      </c>
      <c r="G20647" t="str">
        <v>-</v>
      </c>
    </row>
    <row r="20648">
      <c r="B20648" t="str">
        <v>Công an xã Nhơn Đức  thành phố Hồ Chí Minh</v>
      </c>
      <c r="C20648" t="str">
        <v>-</v>
      </c>
      <c r="D20648" t="str">
        <v>-</v>
      </c>
      <c r="E20648" t="str">
        <v/>
      </c>
      <c r="F20648" t="str">
        <v>-</v>
      </c>
      <c r="G20648" t="str">
        <v>-</v>
      </c>
    </row>
    <row r="20649">
      <c r="B20649" t="str">
        <v>UBND Ủy ban nhân dân xã Nhơn Đức  thành phố Hồ Chí Minh</v>
      </c>
      <c r="C20649" t="str">
        <v>-</v>
      </c>
      <c r="D20649" t="str">
        <v>-</v>
      </c>
      <c r="E20649" t="str">
        <v>-</v>
      </c>
      <c r="F20649" t="str">
        <v>-</v>
      </c>
      <c r="G20649" t="str">
        <v>-</v>
      </c>
    </row>
    <row r="20650">
      <c r="B20650" t="str">
        <v>Công an xã Phú Xuân  thành phố Hồ Chí Minh</v>
      </c>
      <c r="C20650" t="str">
        <v>-</v>
      </c>
      <c r="D20650" t="str">
        <v>-</v>
      </c>
      <c r="E20650" t="str">
        <v/>
      </c>
      <c r="F20650" t="str">
        <v>-</v>
      </c>
      <c r="G20650" t="str">
        <v>-</v>
      </c>
    </row>
    <row r="20651">
      <c r="B20651" t="str">
        <v>UBND Ủy ban nhân dân xã Phú Xuân  thành phố Hồ Chí Minh</v>
      </c>
      <c r="C20651" t="str">
        <v>-</v>
      </c>
      <c r="D20651" t="str">
        <v>-</v>
      </c>
      <c r="E20651" t="str">
        <v>-</v>
      </c>
      <c r="F20651" t="str">
        <v>-</v>
      </c>
      <c r="G20651" t="str">
        <v>-</v>
      </c>
    </row>
    <row r="20652">
      <c r="B20652" t="str">
        <v>Công an xã Long Thới  thành phố Hồ Chí Minh</v>
      </c>
      <c r="C20652" t="str">
        <v>-</v>
      </c>
      <c r="D20652" t="str">
        <v>-</v>
      </c>
      <c r="E20652" t="str">
        <v/>
      </c>
      <c r="F20652" t="str">
        <v>-</v>
      </c>
      <c r="G20652" t="str">
        <v>-</v>
      </c>
    </row>
    <row r="20653">
      <c r="B20653" t="str">
        <v>UBND Ủy ban nhân dân xã Long Thới  thành phố Hồ Chí Minh</v>
      </c>
      <c r="C20653" t="str">
        <v>-</v>
      </c>
      <c r="D20653" t="str">
        <v>-</v>
      </c>
      <c r="E20653" t="str">
        <v>-</v>
      </c>
      <c r="F20653" t="str">
        <v>-</v>
      </c>
      <c r="G20653" t="str">
        <v>-</v>
      </c>
    </row>
    <row r="20654">
      <c r="B20654" t="str">
        <v>Công an xã Hiệp Phước  thành phố Hồ Chí Minh</v>
      </c>
      <c r="C20654" t="str">
        <v>-</v>
      </c>
      <c r="D20654" t="str">
        <v>-</v>
      </c>
      <c r="E20654" t="str">
        <v/>
      </c>
      <c r="F20654" t="str">
        <v>-</v>
      </c>
      <c r="G20654" t="str">
        <v>-</v>
      </c>
    </row>
    <row r="20655">
      <c r="B20655" t="str">
        <v>UBND Ủy ban nhân dân xã Hiệp Phước  thành phố Hồ Chí Minh</v>
      </c>
      <c r="C20655" t="str">
        <v>-</v>
      </c>
      <c r="D20655" t="str">
        <v>-</v>
      </c>
      <c r="E20655" t="str">
        <v>-</v>
      </c>
      <c r="F20655" t="str">
        <v>-</v>
      </c>
      <c r="G20655" t="str">
        <v>-</v>
      </c>
    </row>
    <row r="20656">
      <c r="B20656" t="str">
        <v>Công an xã Bình Khánh  thành phố Hồ Chí Minh</v>
      </c>
      <c r="C20656" t="str">
        <v>-</v>
      </c>
      <c r="D20656" t="str">
        <v>-</v>
      </c>
      <c r="E20656" t="str">
        <v/>
      </c>
      <c r="F20656" t="str">
        <v>-</v>
      </c>
      <c r="G20656" t="str">
        <v>-</v>
      </c>
    </row>
    <row r="20657">
      <c r="B20657" t="str">
        <v>UBND Ủy ban nhân dân xã Bình Khánh  thành phố Hồ Chí Minh</v>
      </c>
      <c r="C20657" t="str">
        <v>-</v>
      </c>
      <c r="D20657" t="str">
        <v>-</v>
      </c>
      <c r="E20657" t="str">
        <v>-</v>
      </c>
      <c r="F20657" t="str">
        <v>-</v>
      </c>
      <c r="G20657" t="str">
        <v>-</v>
      </c>
    </row>
    <row r="20658">
      <c r="B20658" t="str">
        <v>Công an xã Tam Thôn Hiệp  thành phố Hồ Chí Minh</v>
      </c>
      <c r="C20658" t="str">
        <v>-</v>
      </c>
      <c r="D20658" t="str">
        <v>-</v>
      </c>
      <c r="E20658" t="str">
        <v/>
      </c>
      <c r="F20658" t="str">
        <v>-</v>
      </c>
      <c r="G20658" t="str">
        <v>-</v>
      </c>
    </row>
    <row r="20659">
      <c r="B20659" t="str">
        <v>UBND Ủy ban nhân dân xã Tam Thôn Hiệp  thành phố Hồ Chí Minh</v>
      </c>
      <c r="C20659" t="str">
        <v>-</v>
      </c>
      <c r="D20659" t="str">
        <v>-</v>
      </c>
      <c r="E20659" t="str">
        <v>-</v>
      </c>
      <c r="F20659" t="str">
        <v>-</v>
      </c>
      <c r="G20659" t="str">
        <v>-</v>
      </c>
    </row>
    <row r="20660">
      <c r="B20660" t="str">
        <v>Công an xã An Thới Đông  thành phố Hồ Chí Minh</v>
      </c>
      <c r="C20660" t="str">
        <v>-</v>
      </c>
      <c r="D20660" t="str">
        <v>-</v>
      </c>
      <c r="E20660" t="str">
        <v/>
      </c>
      <c r="F20660" t="str">
        <v>-</v>
      </c>
      <c r="G20660" t="str">
        <v>-</v>
      </c>
    </row>
    <row r="20661">
      <c r="B20661" t="str">
        <v>UBND Ủy ban nhân dân xã An Thới Đông  thành phố Hồ Chí Minh</v>
      </c>
      <c r="C20661" t="str">
        <v>-</v>
      </c>
      <c r="D20661" t="str">
        <v>-</v>
      </c>
      <c r="E20661" t="str">
        <v>-</v>
      </c>
      <c r="F20661" t="str">
        <v>-</v>
      </c>
      <c r="G20661" t="str">
        <v>-</v>
      </c>
    </row>
    <row r="20662">
      <c r="B20662" t="str">
        <v>Công an xã Thạnh An  thành phố Hồ Chí Minh</v>
      </c>
      <c r="C20662" t="str">
        <v>-</v>
      </c>
      <c r="D20662" t="str">
        <v>-</v>
      </c>
      <c r="E20662" t="str">
        <v/>
      </c>
      <c r="F20662" t="str">
        <v>-</v>
      </c>
      <c r="G20662" t="str">
        <v>-</v>
      </c>
    </row>
    <row r="20663">
      <c r="B20663" t="str">
        <v>UBND Ủy ban nhân dân xã Thạnh An  thành phố Hồ Chí Minh</v>
      </c>
      <c r="C20663" t="str">
        <v>-</v>
      </c>
      <c r="D20663" t="str">
        <v>-</v>
      </c>
      <c r="E20663" t="str">
        <v>-</v>
      </c>
      <c r="F20663" t="str">
        <v>-</v>
      </c>
      <c r="G20663" t="str">
        <v>-</v>
      </c>
    </row>
    <row r="20664">
      <c r="B20664" t="str">
        <v>Công an xã Long Hòa  thành phố Hồ Chí Minh</v>
      </c>
      <c r="C20664" t="str">
        <v>-</v>
      </c>
      <c r="D20664" t="str">
        <v>-</v>
      </c>
      <c r="E20664" t="str">
        <v/>
      </c>
      <c r="F20664" t="str">
        <v>-</v>
      </c>
      <c r="G20664" t="str">
        <v>-</v>
      </c>
    </row>
    <row r="20665">
      <c r="B20665" t="str">
        <v>UBND Ủy ban nhân dân xã Long Hòa  thành phố Hồ Chí Minh</v>
      </c>
      <c r="C20665" t="str">
        <v>-</v>
      </c>
      <c r="D20665" t="str">
        <v>-</v>
      </c>
      <c r="E20665" t="str">
        <v>-</v>
      </c>
      <c r="F20665" t="str">
        <v>-</v>
      </c>
      <c r="G20665" t="str">
        <v>-</v>
      </c>
    </row>
    <row r="20666">
      <c r="B20666" t="str">
        <v>Công an xã Lý Nhơn  thành phố Hồ Chí Minh</v>
      </c>
      <c r="C20666" t="str">
        <v>-</v>
      </c>
      <c r="D20666" t="str">
        <v>-</v>
      </c>
      <c r="E20666" t="str">
        <v/>
      </c>
      <c r="F20666" t="str">
        <v>-</v>
      </c>
      <c r="G20666" t="str">
        <v>-</v>
      </c>
    </row>
    <row r="20667">
      <c r="B20667" t="str">
        <v>UBND Ủy ban nhân dân xã Lý Nhơn  thành phố Hồ Chí Minh</v>
      </c>
      <c r="C20667" t="str">
        <v>-</v>
      </c>
      <c r="D20667" t="str">
        <v>-</v>
      </c>
      <c r="E20667" t="str">
        <v>-</v>
      </c>
      <c r="F20667" t="str">
        <v>-</v>
      </c>
      <c r="G20667" t="str">
        <v>-</v>
      </c>
    </row>
    <row r="20668">
      <c r="B20668" t="str">
        <v>Công an phường 5  tỉnh Long An</v>
      </c>
      <c r="C20668" t="str">
        <v>-</v>
      </c>
      <c r="D20668" t="str">
        <v>-</v>
      </c>
      <c r="E20668" t="str">
        <v/>
      </c>
      <c r="F20668" t="str">
        <v>-</v>
      </c>
      <c r="G20668" t="str">
        <v>-</v>
      </c>
    </row>
    <row r="20669">
      <c r="B20669" t="str">
        <v>UBND Ủy ban nhân dân phường 5  tỉnh Long An</v>
      </c>
      <c r="C20669" t="str">
        <v>-</v>
      </c>
      <c r="D20669" t="str">
        <v>-</v>
      </c>
      <c r="E20669" t="str">
        <v>-</v>
      </c>
      <c r="F20669" t="str">
        <v>-</v>
      </c>
      <c r="G20669" t="str">
        <v>-</v>
      </c>
    </row>
    <row r="20670">
      <c r="B20670" t="str">
        <v>Công an phường 2  tỉnh Long An</v>
      </c>
      <c r="C20670" t="str">
        <v>-</v>
      </c>
      <c r="D20670" t="str">
        <v>-</v>
      </c>
      <c r="E20670" t="str">
        <v/>
      </c>
      <c r="F20670" t="str">
        <v>-</v>
      </c>
      <c r="G20670" t="str">
        <v>-</v>
      </c>
    </row>
    <row r="20671">
      <c r="B20671" t="str">
        <v>UBND Ủy ban nhân dân phường 2  tỉnh Long An</v>
      </c>
      <c r="C20671" t="str">
        <v>-</v>
      </c>
      <c r="D20671" t="str">
        <v>-</v>
      </c>
      <c r="E20671" t="str">
        <v>-</v>
      </c>
      <c r="F20671" t="str">
        <v>-</v>
      </c>
      <c r="G20671" t="str">
        <v>-</v>
      </c>
    </row>
    <row r="20672">
      <c r="B20672" t="str">
        <v>Công an phường 4  tỉnh Long An</v>
      </c>
      <c r="C20672" t="str">
        <v>-</v>
      </c>
      <c r="D20672" t="str">
        <v>-</v>
      </c>
      <c r="E20672" t="str">
        <v/>
      </c>
      <c r="F20672" t="str">
        <v>-</v>
      </c>
      <c r="G20672" t="str">
        <v>-</v>
      </c>
    </row>
    <row r="20673">
      <c r="B20673" t="str">
        <v>UBND Ủy ban nhân dân phường 4  tỉnh Long An</v>
      </c>
      <c r="C20673" t="str">
        <v>-</v>
      </c>
      <c r="D20673" t="str">
        <v>-</v>
      </c>
      <c r="E20673" t="str">
        <v>-</v>
      </c>
      <c r="F20673" t="str">
        <v>-</v>
      </c>
      <c r="G20673" t="str">
        <v>-</v>
      </c>
    </row>
    <row r="20674">
      <c r="B20674" t="str">
        <v>Công an phường Tân Khánh  tỉnh Long An</v>
      </c>
      <c r="C20674" t="str">
        <v>-</v>
      </c>
      <c r="D20674" t="str">
        <v>-</v>
      </c>
      <c r="E20674" t="str">
        <v/>
      </c>
      <c r="F20674" t="str">
        <v>-</v>
      </c>
      <c r="G20674" t="str">
        <v>-</v>
      </c>
    </row>
    <row r="20675">
      <c r="B20675" t="str">
        <v>UBND Ủy ban nhân dân phường Tân Khánh  tỉnh Long An</v>
      </c>
      <c r="C20675" t="str">
        <v>-</v>
      </c>
      <c r="D20675" t="str">
        <v>-</v>
      </c>
      <c r="E20675" t="str">
        <v>-</v>
      </c>
      <c r="F20675" t="str">
        <v>-</v>
      </c>
      <c r="G20675" t="str">
        <v>-</v>
      </c>
    </row>
    <row r="20676">
      <c r="B20676" t="str">
        <v>Công an phường 1  tỉnh Long An</v>
      </c>
      <c r="C20676" t="str">
        <v>-</v>
      </c>
      <c r="D20676" t="str">
        <v>-</v>
      </c>
      <c r="E20676" t="str">
        <v/>
      </c>
      <c r="F20676" t="str">
        <v>-</v>
      </c>
      <c r="G20676" t="str">
        <v>-</v>
      </c>
    </row>
    <row r="20677">
      <c r="B20677" t="str">
        <v>UBND Ủy ban nhân dân phường 1  tỉnh Long An</v>
      </c>
      <c r="C20677" t="str">
        <v>-</v>
      </c>
      <c r="D20677" t="str">
        <v>-</v>
      </c>
      <c r="E20677" t="str">
        <v>-</v>
      </c>
      <c r="F20677" t="str">
        <v>-</v>
      </c>
      <c r="G20677" t="str">
        <v>-</v>
      </c>
    </row>
    <row r="20678">
      <c r="B20678" t="str">
        <v>Công an phường 3  tỉnh Long An</v>
      </c>
      <c r="C20678" t="str">
        <v>-</v>
      </c>
      <c r="D20678" t="str">
        <v>-</v>
      </c>
      <c r="E20678" t="str">
        <v/>
      </c>
      <c r="F20678" t="str">
        <v>-</v>
      </c>
      <c r="G20678" t="str">
        <v>-</v>
      </c>
    </row>
    <row r="20679">
      <c r="B20679" t="str">
        <v>UBND Ủy ban nhân dân phường 3  tỉnh Long An</v>
      </c>
      <c r="C20679" t="str">
        <v>-</v>
      </c>
      <c r="D20679" t="str">
        <v>-</v>
      </c>
      <c r="E20679" t="str">
        <v>-</v>
      </c>
      <c r="F20679" t="str">
        <v>-</v>
      </c>
      <c r="G20679" t="str">
        <v>-</v>
      </c>
    </row>
    <row r="20680">
      <c r="B20680" t="str">
        <v>Công an phường 7  tỉnh Long An</v>
      </c>
      <c r="C20680" t="str">
        <v>-</v>
      </c>
      <c r="D20680" t="str">
        <v>-</v>
      </c>
      <c r="E20680" t="str">
        <v/>
      </c>
      <c r="F20680" t="str">
        <v>-</v>
      </c>
      <c r="G20680" t="str">
        <v>-</v>
      </c>
    </row>
    <row r="20681">
      <c r="B20681" t="str">
        <v>UBND Ủy ban nhân dân phường 7  tỉnh Long An</v>
      </c>
      <c r="C20681" t="str">
        <v>-</v>
      </c>
      <c r="D20681" t="str">
        <v>-</v>
      </c>
      <c r="E20681" t="str">
        <v>-</v>
      </c>
      <c r="F20681" t="str">
        <v>-</v>
      </c>
      <c r="G20681" t="str">
        <v>-</v>
      </c>
    </row>
    <row r="20682">
      <c r="B20682" t="str">
        <v>Công an phường 6  tỉnh Long An</v>
      </c>
      <c r="C20682" t="str">
        <v>-</v>
      </c>
      <c r="D20682" t="str">
        <v>-</v>
      </c>
      <c r="E20682" t="str">
        <v/>
      </c>
      <c r="F20682" t="str">
        <v>-</v>
      </c>
      <c r="G20682" t="str">
        <v>-</v>
      </c>
    </row>
    <row r="20683">
      <c r="B20683" t="str">
        <v>UBND Ủy ban nhân dân phường 6  tỉnh Long An</v>
      </c>
      <c r="C20683" t="str">
        <v>-</v>
      </c>
      <c r="D20683" t="str">
        <v>-</v>
      </c>
      <c r="E20683" t="str">
        <v>-</v>
      </c>
      <c r="F20683" t="str">
        <v>-</v>
      </c>
      <c r="G20683" t="str">
        <v>-</v>
      </c>
    </row>
    <row r="20684">
      <c r="B20684" t="str">
        <v>Công an xã Hướng Thọ Phú  tỉnh Long An</v>
      </c>
      <c r="C20684" t="str">
        <v>-</v>
      </c>
      <c r="D20684" t="str">
        <v>-</v>
      </c>
      <c r="E20684" t="str">
        <v/>
      </c>
      <c r="F20684" t="str">
        <v>-</v>
      </c>
      <c r="G20684" t="str">
        <v>-</v>
      </c>
    </row>
    <row r="20685">
      <c r="B20685" t="str">
        <v>UBND Ủy ban nhân dân xã Hướng Thọ Phú  tỉnh Long An</v>
      </c>
      <c r="C20685" t="str">
        <v>-</v>
      </c>
      <c r="D20685" t="str">
        <v>-</v>
      </c>
      <c r="E20685" t="str">
        <v>-</v>
      </c>
      <c r="F20685" t="str">
        <v>-</v>
      </c>
      <c r="G20685" t="str">
        <v>-</v>
      </c>
    </row>
    <row r="20686">
      <c r="B20686" t="str">
        <v>Công an xã Nhơn Thạnh Trung  tỉnh Long An</v>
      </c>
      <c r="C20686" t="str">
        <v>-</v>
      </c>
      <c r="D20686" t="str">
        <v>-</v>
      </c>
      <c r="E20686" t="str">
        <v/>
      </c>
      <c r="F20686" t="str">
        <v>-</v>
      </c>
      <c r="G20686" t="str">
        <v>-</v>
      </c>
    </row>
    <row r="20687">
      <c r="B20687" t="str">
        <v>UBND Ủy ban nhân dân xã Nhơn Thạnh Trung  tỉnh Long An</v>
      </c>
      <c r="C20687" t="str">
        <v>-</v>
      </c>
      <c r="D20687" t="str">
        <v>-</v>
      </c>
      <c r="E20687" t="str">
        <v>-</v>
      </c>
      <c r="F20687" t="str">
        <v>-</v>
      </c>
      <c r="G20687" t="str">
        <v>-</v>
      </c>
    </row>
    <row r="20688">
      <c r="B20688" t="str">
        <v>Công an xã Lợi Bình Nhơn  tỉnh Long An</v>
      </c>
      <c r="C20688" t="str">
        <v>-</v>
      </c>
      <c r="D20688" t="str">
        <v>-</v>
      </c>
      <c r="E20688" t="str">
        <v/>
      </c>
      <c r="F20688" t="str">
        <v>-</v>
      </c>
      <c r="G20688" t="str">
        <v>-</v>
      </c>
    </row>
    <row r="20689">
      <c r="B20689" t="str">
        <v>UBND Ủy ban nhân dân xã Lợi Bình Nhơn  tỉnh Long An</v>
      </c>
      <c r="C20689" t="str">
        <v>-</v>
      </c>
      <c r="D20689" t="str">
        <v>-</v>
      </c>
      <c r="E20689" t="str">
        <v>-</v>
      </c>
      <c r="F20689" t="str">
        <v>-</v>
      </c>
      <c r="G20689" t="str">
        <v>-</v>
      </c>
    </row>
    <row r="20690">
      <c r="B20690" t="str">
        <v>Công an xã Bình Tâm  tỉnh Long An</v>
      </c>
      <c r="C20690" t="str">
        <v>-</v>
      </c>
      <c r="D20690" t="str">
        <v>-</v>
      </c>
      <c r="E20690" t="str">
        <v/>
      </c>
      <c r="F20690" t="str">
        <v>-</v>
      </c>
      <c r="G20690" t="str">
        <v>-</v>
      </c>
    </row>
    <row r="20691">
      <c r="B20691" t="str">
        <v>UBND Ủy ban nhân dân xã Bình Tâm  tỉnh Long An</v>
      </c>
      <c r="C20691" t="str">
        <v>-</v>
      </c>
      <c r="D20691" t="str">
        <v>-</v>
      </c>
      <c r="E20691" t="str">
        <v>-</v>
      </c>
      <c r="F20691" t="str">
        <v>-</v>
      </c>
      <c r="G20691" t="str">
        <v>-</v>
      </c>
    </row>
    <row r="20692">
      <c r="B20692" t="str">
        <v>Công an phường Khánh Hậu  tỉnh Long An</v>
      </c>
      <c r="C20692" t="str">
        <v>-</v>
      </c>
      <c r="D20692" t="str">
        <v>-</v>
      </c>
      <c r="E20692" t="str">
        <v/>
      </c>
      <c r="F20692" t="str">
        <v>-</v>
      </c>
      <c r="G20692" t="str">
        <v>-</v>
      </c>
    </row>
    <row r="20693">
      <c r="B20693" t="str">
        <v>UBND Ủy ban nhân dân phường Khánh Hậu  tỉnh Long An</v>
      </c>
      <c r="C20693" t="str">
        <v>-</v>
      </c>
      <c r="D20693" t="str">
        <v>-</v>
      </c>
      <c r="E20693" t="str">
        <v>-</v>
      </c>
      <c r="F20693" t="str">
        <v>-</v>
      </c>
      <c r="G20693" t="str">
        <v>-</v>
      </c>
    </row>
    <row r="20694">
      <c r="B20694" t="str">
        <v>Công an xã An Vĩnh Ngãi  tỉnh Long An</v>
      </c>
      <c r="C20694" t="str">
        <v>-</v>
      </c>
      <c r="D20694" t="str">
        <v>-</v>
      </c>
      <c r="E20694" t="str">
        <v/>
      </c>
      <c r="F20694" t="str">
        <v>-</v>
      </c>
      <c r="G20694" t="str">
        <v>-</v>
      </c>
    </row>
    <row r="20695">
      <c r="B20695" t="str">
        <v>UBND Ủy ban nhân dân xã An Vĩnh Ngãi  tỉnh Long An</v>
      </c>
      <c r="C20695" t="str">
        <v>-</v>
      </c>
      <c r="D20695" t="str">
        <v>-</v>
      </c>
      <c r="E20695" t="str">
        <v>-</v>
      </c>
      <c r="F20695" t="str">
        <v>-</v>
      </c>
      <c r="G20695" t="str">
        <v>-</v>
      </c>
    </row>
    <row r="20696">
      <c r="B20696" t="str">
        <v>Công an phường 1  tỉnh Long An</v>
      </c>
      <c r="C20696" t="str">
        <v>-</v>
      </c>
      <c r="D20696" t="str">
        <v>-</v>
      </c>
      <c r="E20696" t="str">
        <v/>
      </c>
      <c r="F20696" t="str">
        <v>-</v>
      </c>
      <c r="G20696" t="str">
        <v>-</v>
      </c>
    </row>
    <row r="20697">
      <c r="B20697" t="str">
        <v>UBND Ủy ban nhân dân phường 1  tỉnh Long An</v>
      </c>
      <c r="C20697" t="str">
        <v>-</v>
      </c>
      <c r="D20697" t="str">
        <v>-</v>
      </c>
      <c r="E20697" t="str">
        <v>-</v>
      </c>
      <c r="F20697" t="str">
        <v>-</v>
      </c>
      <c r="G20697" t="str">
        <v>-</v>
      </c>
    </row>
    <row r="20698">
      <c r="B20698" t="str">
        <v>Công an phường 2  tỉnh Long An</v>
      </c>
      <c r="C20698" t="str">
        <v>-</v>
      </c>
      <c r="D20698" t="str">
        <v>-</v>
      </c>
      <c r="E20698" t="str">
        <v/>
      </c>
      <c r="F20698" t="str">
        <v>-</v>
      </c>
      <c r="G20698" t="str">
        <v>-</v>
      </c>
    </row>
    <row r="20699">
      <c r="B20699" t="str">
        <v>UBND Ủy ban nhân dân phường 2  tỉnh Long An</v>
      </c>
      <c r="C20699" t="str">
        <v>-</v>
      </c>
      <c r="D20699" t="str">
        <v>-</v>
      </c>
      <c r="E20699" t="str">
        <v>-</v>
      </c>
      <c r="F20699" t="str">
        <v>-</v>
      </c>
      <c r="G20699" t="str">
        <v>-</v>
      </c>
    </row>
    <row r="20700">
      <c r="B20700" t="str">
        <v>Công an xã Thạnh Trị  tỉnh Long An</v>
      </c>
      <c r="C20700" t="str">
        <v>-</v>
      </c>
      <c r="D20700" t="str">
        <v>-</v>
      </c>
      <c r="E20700" t="str">
        <v/>
      </c>
      <c r="F20700" t="str">
        <v>-</v>
      </c>
      <c r="G20700" t="str">
        <v>-</v>
      </c>
    </row>
    <row r="20701">
      <c r="B20701" t="str">
        <v>UBND Ủy ban nhân dân xã Thạnh Trị  tỉnh Long An</v>
      </c>
      <c r="C20701" t="str">
        <v>-</v>
      </c>
      <c r="D20701" t="str">
        <v>-</v>
      </c>
      <c r="E20701" t="str">
        <v>-</v>
      </c>
      <c r="F20701" t="str">
        <v>-</v>
      </c>
      <c r="G20701" t="str">
        <v>-</v>
      </c>
    </row>
    <row r="20702">
      <c r="B20702" t="str">
        <v>Công an xã Bình Hiệp  tỉnh Long An</v>
      </c>
      <c r="C20702" t="str">
        <v>-</v>
      </c>
      <c r="D20702" t="str">
        <v>-</v>
      </c>
      <c r="E20702" t="str">
        <v/>
      </c>
      <c r="F20702" t="str">
        <v>-</v>
      </c>
      <c r="G20702" t="str">
        <v>-</v>
      </c>
    </row>
    <row r="20703">
      <c r="B20703" t="str">
        <v>UBND Ủy ban nhân dân xã Bình Hiệp  tỉnh Long An</v>
      </c>
      <c r="C20703" t="str">
        <v>-</v>
      </c>
      <c r="D20703" t="str">
        <v>-</v>
      </c>
      <c r="E20703" t="str">
        <v>-</v>
      </c>
      <c r="F20703" t="str">
        <v>-</v>
      </c>
      <c r="G20703" t="str">
        <v>-</v>
      </c>
    </row>
    <row r="20704">
      <c r="B20704" t="str">
        <v>Công an xã Bình Tân  tỉnh Long An</v>
      </c>
      <c r="C20704" t="str">
        <v>-</v>
      </c>
      <c r="D20704" t="str">
        <v>-</v>
      </c>
      <c r="E20704" t="str">
        <v/>
      </c>
      <c r="F20704" t="str">
        <v>-</v>
      </c>
      <c r="G20704" t="str">
        <v>-</v>
      </c>
    </row>
    <row r="20705">
      <c r="B20705" t="str">
        <v>UBND Ủy ban nhân dân xã Bình Tân  tỉnh Long An</v>
      </c>
      <c r="C20705" t="str">
        <v>-</v>
      </c>
      <c r="D20705" t="str">
        <v>-</v>
      </c>
      <c r="E20705" t="str">
        <v>-</v>
      </c>
      <c r="F20705" t="str">
        <v>-</v>
      </c>
      <c r="G20705" t="str">
        <v>-</v>
      </c>
    </row>
    <row r="20706">
      <c r="B20706" t="str">
        <v>Công an xã Tuyên Thạnh  tỉnh Long An</v>
      </c>
      <c r="C20706" t="str">
        <v>-</v>
      </c>
      <c r="D20706" t="str">
        <v>-</v>
      </c>
      <c r="E20706" t="str">
        <v/>
      </c>
      <c r="F20706" t="str">
        <v>-</v>
      </c>
      <c r="G20706" t="str">
        <v>-</v>
      </c>
    </row>
    <row r="20707">
      <c r="B20707" t="str">
        <v>UBND Ủy ban nhân dân xã Tuyên Thạnh  tỉnh Long An</v>
      </c>
      <c r="C20707" t="str">
        <v>-</v>
      </c>
      <c r="D20707" t="str">
        <v>-</v>
      </c>
      <c r="E20707" t="str">
        <v>-</v>
      </c>
      <c r="F20707" t="str">
        <v>-</v>
      </c>
      <c r="G20707" t="str">
        <v>-</v>
      </c>
    </row>
    <row r="20708">
      <c r="B20708" t="str">
        <v>Công an phường 3  tỉnh Long An</v>
      </c>
      <c r="C20708" t="str">
        <v>-</v>
      </c>
      <c r="D20708" t="str">
        <v>-</v>
      </c>
      <c r="E20708" t="str">
        <v/>
      </c>
      <c r="F20708" t="str">
        <v>-</v>
      </c>
      <c r="G20708" t="str">
        <v>-</v>
      </c>
    </row>
    <row r="20709">
      <c r="B20709" t="str">
        <v>UBND Ủy ban nhân dân phường 3  tỉnh Long An</v>
      </c>
      <c r="C20709" t="str">
        <v>-</v>
      </c>
      <c r="D20709" t="str">
        <v>-</v>
      </c>
      <c r="E20709" t="str">
        <v>-</v>
      </c>
      <c r="F20709" t="str">
        <v>-</v>
      </c>
      <c r="G20709" t="str">
        <v>-</v>
      </c>
    </row>
    <row r="20710">
      <c r="B20710" t="str">
        <v>Công an xã Thạnh Hưng  tỉnh Long An</v>
      </c>
      <c r="C20710" t="str">
        <v>-</v>
      </c>
      <c r="D20710" t="str">
        <v>-</v>
      </c>
      <c r="E20710" t="str">
        <v/>
      </c>
      <c r="F20710" t="str">
        <v>-</v>
      </c>
      <c r="G20710" t="str">
        <v>-</v>
      </c>
    </row>
    <row r="20711">
      <c r="B20711" t="str">
        <v>UBND Ủy ban nhân dân xã Thạnh Hưng  tỉnh Long An</v>
      </c>
      <c r="C20711" t="str">
        <v>-</v>
      </c>
      <c r="D20711" t="str">
        <v>-</v>
      </c>
      <c r="E20711" t="str">
        <v>-</v>
      </c>
      <c r="F20711" t="str">
        <v>-</v>
      </c>
      <c r="G20711" t="str">
        <v>-</v>
      </c>
    </row>
    <row r="20712">
      <c r="B20712" t="str">
        <v>Công an xã Hưng Hà  tỉnh Long An</v>
      </c>
      <c r="C20712" t="str">
        <v>-</v>
      </c>
      <c r="D20712" t="str">
        <v>-</v>
      </c>
      <c r="E20712" t="str">
        <v/>
      </c>
      <c r="F20712" t="str">
        <v>-</v>
      </c>
      <c r="G20712" t="str">
        <v>-</v>
      </c>
    </row>
    <row r="20713">
      <c r="B20713" t="str">
        <v>UBND Ủy ban nhân dân xã Hưng Hà  tỉnh Long An</v>
      </c>
      <c r="C20713" t="str">
        <v>-</v>
      </c>
      <c r="D20713" t="str">
        <v>-</v>
      </c>
      <c r="E20713" t="str">
        <v>-</v>
      </c>
      <c r="F20713" t="str">
        <v>-</v>
      </c>
      <c r="G20713" t="str">
        <v>-</v>
      </c>
    </row>
    <row r="20714">
      <c r="B20714" t="str">
        <v>Công an xã Hưng Điền B  tỉnh Long An</v>
      </c>
      <c r="C20714" t="str">
        <v>-</v>
      </c>
      <c r="D20714" t="str">
        <v>-</v>
      </c>
      <c r="E20714" t="str">
        <v/>
      </c>
      <c r="F20714" t="str">
        <v>-</v>
      </c>
      <c r="G20714" t="str">
        <v>-</v>
      </c>
    </row>
    <row r="20715">
      <c r="B20715" t="str">
        <v>UBND Ủy ban nhân dân xã Hưng Điền B  tỉnh Long An</v>
      </c>
      <c r="C20715" t="str">
        <v>-</v>
      </c>
      <c r="D20715" t="str">
        <v>-</v>
      </c>
      <c r="E20715" t="str">
        <v>-</v>
      </c>
      <c r="F20715" t="str">
        <v>-</v>
      </c>
      <c r="G20715" t="str">
        <v>-</v>
      </c>
    </row>
    <row r="20716">
      <c r="B20716" t="str">
        <v>Công an xã Hưng Điền  tỉnh Long An</v>
      </c>
      <c r="C20716" t="str">
        <v>-</v>
      </c>
      <c r="D20716" t="str">
        <v>-</v>
      </c>
      <c r="E20716" t="str">
        <v/>
      </c>
      <c r="F20716" t="str">
        <v>-</v>
      </c>
      <c r="G20716" t="str">
        <v>-</v>
      </c>
    </row>
    <row r="20717">
      <c r="B20717" t="str">
        <v>UBND Ủy ban nhân dân xã Hưng Điền  tỉnh Long An</v>
      </c>
      <c r="C20717" t="str">
        <v>-</v>
      </c>
      <c r="D20717" t="str">
        <v>-</v>
      </c>
      <c r="E20717" t="str">
        <v>-</v>
      </c>
      <c r="F20717" t="str">
        <v>-</v>
      </c>
      <c r="G20717" t="str">
        <v>-</v>
      </c>
    </row>
    <row r="20718">
      <c r="B20718" t="str">
        <v>Công an xã Thạnh Hưng  tỉnh Long An</v>
      </c>
      <c r="C20718" t="str">
        <v>-</v>
      </c>
      <c r="D20718" t="str">
        <v>-</v>
      </c>
      <c r="E20718" t="str">
        <v/>
      </c>
      <c r="F20718" t="str">
        <v>-</v>
      </c>
      <c r="G20718" t="str">
        <v>-</v>
      </c>
    </row>
    <row r="20719">
      <c r="B20719" t="str">
        <v>UBND Ủy ban nhân dân xã Thạnh Hưng  tỉnh Long An</v>
      </c>
      <c r="C20719" t="str">
        <v>-</v>
      </c>
      <c r="D20719" t="str">
        <v>-</v>
      </c>
      <c r="E20719" t="str">
        <v>-</v>
      </c>
      <c r="F20719" t="str">
        <v>-</v>
      </c>
      <c r="G20719" t="str">
        <v>-</v>
      </c>
    </row>
    <row r="20720">
      <c r="B20720" t="str">
        <v>Công an xã Hưng Thạnh  tỉnh Long An</v>
      </c>
      <c r="C20720" t="str">
        <v>-</v>
      </c>
      <c r="D20720" t="str">
        <v>-</v>
      </c>
      <c r="E20720" t="str">
        <v/>
      </c>
      <c r="F20720" t="str">
        <v>-</v>
      </c>
      <c r="G20720" t="str">
        <v>-</v>
      </c>
    </row>
    <row r="20721">
      <c r="B20721" t="str">
        <v>UBND Ủy ban nhân dân xã Hưng Thạnh  tỉnh Long An</v>
      </c>
      <c r="C20721" t="str">
        <v>-</v>
      </c>
      <c r="D20721" t="str">
        <v>-</v>
      </c>
      <c r="E20721" t="str">
        <v>-</v>
      </c>
      <c r="F20721" t="str">
        <v>-</v>
      </c>
      <c r="G20721" t="str">
        <v>-</v>
      </c>
    </row>
    <row r="20722">
      <c r="B20722" t="str">
        <v>Công an xã Vĩnh Thạnh  tỉnh Long An</v>
      </c>
      <c r="C20722" t="str">
        <v>-</v>
      </c>
      <c r="D20722" t="str">
        <v>-</v>
      </c>
      <c r="E20722" t="str">
        <v/>
      </c>
      <c r="F20722" t="str">
        <v>-</v>
      </c>
      <c r="G20722" t="str">
        <v>-</v>
      </c>
    </row>
    <row r="20723">
      <c r="B20723" t="str">
        <v>UBND Ủy ban nhân dân xã Vĩnh Thạnh  tỉnh Long An</v>
      </c>
      <c r="C20723" t="str">
        <v>-</v>
      </c>
      <c r="D20723" t="str">
        <v>-</v>
      </c>
      <c r="E20723" t="str">
        <v>-</v>
      </c>
      <c r="F20723" t="str">
        <v>-</v>
      </c>
      <c r="G20723" t="str">
        <v>-</v>
      </c>
    </row>
    <row r="20724">
      <c r="B20724" t="str">
        <v>Công an xã Vĩnh Châu B  tỉnh Long An</v>
      </c>
      <c r="C20724" t="str">
        <v>-</v>
      </c>
      <c r="D20724" t="str">
        <v>-</v>
      </c>
      <c r="E20724" t="str">
        <v/>
      </c>
      <c r="F20724" t="str">
        <v>-</v>
      </c>
      <c r="G20724" t="str">
        <v>-</v>
      </c>
    </row>
    <row r="20725">
      <c r="B20725" t="str">
        <v>UBND Ủy ban nhân dân xã Vĩnh Châu B  tỉnh Long An</v>
      </c>
      <c r="C20725" t="str">
        <v>-</v>
      </c>
      <c r="D20725" t="str">
        <v>-</v>
      </c>
      <c r="E20725" t="str">
        <v>-</v>
      </c>
      <c r="F20725" t="str">
        <v>-</v>
      </c>
      <c r="G20725" t="str">
        <v>-</v>
      </c>
    </row>
    <row r="20726">
      <c r="B20726" t="str">
        <v>Công an xã Vĩnh Lợi  tỉnh Long An</v>
      </c>
      <c r="C20726" t="str">
        <v>-</v>
      </c>
      <c r="D20726" t="str">
        <v>-</v>
      </c>
      <c r="E20726" t="str">
        <v/>
      </c>
      <c r="F20726" t="str">
        <v>-</v>
      </c>
      <c r="G20726" t="str">
        <v>-</v>
      </c>
    </row>
    <row r="20727">
      <c r="B20727" t="str">
        <v>UBND Ủy ban nhân dân xã Vĩnh Lợi  tỉnh Long An</v>
      </c>
      <c r="C20727" t="str">
        <v>-</v>
      </c>
      <c r="D20727" t="str">
        <v>-</v>
      </c>
      <c r="E20727" t="str">
        <v>-</v>
      </c>
      <c r="F20727" t="str">
        <v>-</v>
      </c>
      <c r="G20727" t="str">
        <v>-</v>
      </c>
    </row>
    <row r="20728">
      <c r="B20728" t="str">
        <v>Công an xã Vĩnh Đại  tỉnh Long An</v>
      </c>
      <c r="C20728" t="str">
        <v>-</v>
      </c>
      <c r="D20728" t="str">
        <v>-</v>
      </c>
      <c r="E20728" t="str">
        <v/>
      </c>
      <c r="F20728" t="str">
        <v>-</v>
      </c>
      <c r="G20728" t="str">
        <v>-</v>
      </c>
    </row>
    <row r="20729">
      <c r="B20729" t="str">
        <v>UBND Ủy ban nhân dân xã Vĩnh Đại  tỉnh Long An</v>
      </c>
      <c r="C20729" t="str">
        <v>-</v>
      </c>
      <c r="D20729" t="str">
        <v>-</v>
      </c>
      <c r="E20729" t="str">
        <v>-</v>
      </c>
      <c r="F20729" t="str">
        <v>-</v>
      </c>
      <c r="G20729" t="str">
        <v>-</v>
      </c>
    </row>
    <row r="20730">
      <c r="B20730" t="str">
        <v>Công an xã Vĩnh Châu A  tỉnh Long An</v>
      </c>
      <c r="C20730" t="str">
        <v>-</v>
      </c>
      <c r="D20730" t="str">
        <v>-</v>
      </c>
      <c r="E20730" t="str">
        <v/>
      </c>
      <c r="F20730" t="str">
        <v>-</v>
      </c>
      <c r="G20730" t="str">
        <v>-</v>
      </c>
    </row>
    <row r="20731">
      <c r="B20731" t="str">
        <v>UBND Ủy ban nhân dân xã Vĩnh Châu A  tỉnh Long An</v>
      </c>
      <c r="C20731" t="str">
        <v>-</v>
      </c>
      <c r="D20731" t="str">
        <v>-</v>
      </c>
      <c r="E20731" t="str">
        <v>-</v>
      </c>
      <c r="F20731" t="str">
        <v>-</v>
      </c>
      <c r="G20731" t="str">
        <v>-</v>
      </c>
    </row>
    <row r="20732">
      <c r="B20732" t="str">
        <v>Công an xã Vĩnh Bửu  tỉnh Long An</v>
      </c>
      <c r="C20732" t="str">
        <v>-</v>
      </c>
      <c r="D20732" t="str">
        <v>-</v>
      </c>
      <c r="E20732" t="str">
        <v/>
      </c>
      <c r="F20732" t="str">
        <v>-</v>
      </c>
      <c r="G20732" t="str">
        <v>-</v>
      </c>
    </row>
    <row r="20733">
      <c r="B20733" t="str">
        <v>UBND Ủy ban nhân dân xã Vĩnh Bửu  tỉnh Long An</v>
      </c>
      <c r="C20733" t="str">
        <v>-</v>
      </c>
      <c r="D20733" t="str">
        <v>-</v>
      </c>
      <c r="E20733" t="str">
        <v>-</v>
      </c>
      <c r="F20733" t="str">
        <v>-</v>
      </c>
      <c r="G20733" t="str">
        <v>-</v>
      </c>
    </row>
    <row r="20734">
      <c r="B20734" t="str">
        <v>Công an xã Hưng Điền A  tỉnh Long An</v>
      </c>
      <c r="C20734" t="str">
        <v>-</v>
      </c>
      <c r="D20734" t="str">
        <v>-</v>
      </c>
      <c r="E20734" t="str">
        <v/>
      </c>
      <c r="F20734" t="str">
        <v>-</v>
      </c>
      <c r="G20734" t="str">
        <v>-</v>
      </c>
    </row>
    <row r="20735">
      <c r="B20735" t="str">
        <v>UBND Ủy ban nhân dân xã Hưng Điền A  tỉnh Long An</v>
      </c>
      <c r="C20735" t="str">
        <v>-</v>
      </c>
      <c r="D20735" t="str">
        <v>-</v>
      </c>
      <c r="E20735" t="str">
        <v>-</v>
      </c>
      <c r="F20735" t="str">
        <v>-</v>
      </c>
      <c r="G20735" t="str">
        <v>-</v>
      </c>
    </row>
    <row r="20736">
      <c r="B20736" t="str">
        <v>Công an xã Khánh Hưng  tỉnh Long An</v>
      </c>
      <c r="C20736" t="str">
        <v>-</v>
      </c>
      <c r="D20736" t="str">
        <v>-</v>
      </c>
      <c r="E20736" t="str">
        <v/>
      </c>
      <c r="F20736" t="str">
        <v>-</v>
      </c>
      <c r="G20736" t="str">
        <v>-</v>
      </c>
    </row>
    <row r="20737">
      <c r="B20737" t="str">
        <v>UBND Ủy ban nhân dân xã Khánh Hưng  tỉnh Long An</v>
      </c>
      <c r="C20737" t="str">
        <v>-</v>
      </c>
      <c r="D20737" t="str">
        <v>-</v>
      </c>
      <c r="E20737" t="str">
        <v>-</v>
      </c>
      <c r="F20737" t="str">
        <v>-</v>
      </c>
      <c r="G20737" t="str">
        <v>-</v>
      </c>
    </row>
    <row r="20738">
      <c r="B20738" t="str">
        <v>Công an xã Thái Trị  tỉnh Long An</v>
      </c>
      <c r="C20738" t="str">
        <v>-</v>
      </c>
      <c r="D20738" t="str">
        <v>-</v>
      </c>
      <c r="E20738" t="str">
        <v/>
      </c>
      <c r="F20738" t="str">
        <v>-</v>
      </c>
      <c r="G20738" t="str">
        <v>-</v>
      </c>
    </row>
    <row r="20739">
      <c r="B20739" t="str">
        <v>UBND Ủy ban nhân dân xã Thái Trị  tỉnh Long An</v>
      </c>
      <c r="C20739" t="str">
        <v>-</v>
      </c>
      <c r="D20739" t="str">
        <v>-</v>
      </c>
      <c r="E20739" t="str">
        <v>-</v>
      </c>
      <c r="F20739" t="str">
        <v>-</v>
      </c>
      <c r="G20739" t="str">
        <v>-</v>
      </c>
    </row>
    <row r="20740">
      <c r="B20740" t="str">
        <v>Công an xã Vĩnh Trị  tỉnh Long An</v>
      </c>
      <c r="C20740" t="str">
        <v>-</v>
      </c>
      <c r="D20740" t="str">
        <v>-</v>
      </c>
      <c r="E20740" t="str">
        <v/>
      </c>
      <c r="F20740" t="str">
        <v>-</v>
      </c>
      <c r="G20740" t="str">
        <v>-</v>
      </c>
    </row>
    <row r="20741">
      <c r="B20741" t="str">
        <v>UBND Ủy ban nhân dân xã Vĩnh Trị  tỉnh Long An</v>
      </c>
      <c r="C20741" t="str">
        <v>-</v>
      </c>
      <c r="D20741" t="str">
        <v>-</v>
      </c>
      <c r="E20741" t="str">
        <v>-</v>
      </c>
      <c r="F20741" t="str">
        <v>-</v>
      </c>
      <c r="G20741" t="str">
        <v>-</v>
      </c>
    </row>
    <row r="20742">
      <c r="B20742" t="str">
        <v>Công an xã Thái Bình Trung  tỉnh Long An</v>
      </c>
      <c r="C20742" t="str">
        <v>-</v>
      </c>
      <c r="D20742" t="str">
        <v>-</v>
      </c>
      <c r="E20742" t="str">
        <v/>
      </c>
      <c r="F20742" t="str">
        <v>-</v>
      </c>
      <c r="G20742" t="str">
        <v>-</v>
      </c>
    </row>
    <row r="20743">
      <c r="B20743" t="str">
        <v>UBND Ủy ban nhân dân xã Thái Bình Trung  tỉnh Long An</v>
      </c>
      <c r="C20743" t="str">
        <v>-</v>
      </c>
      <c r="D20743" t="str">
        <v>-</v>
      </c>
      <c r="E20743" t="str">
        <v>-</v>
      </c>
      <c r="F20743" t="str">
        <v>-</v>
      </c>
      <c r="G20743" t="str">
        <v>-</v>
      </c>
    </row>
    <row r="20744">
      <c r="B20744" t="str">
        <v>Công an xã Vĩnh Bình  tỉnh Long An</v>
      </c>
      <c r="C20744" t="str">
        <v>-</v>
      </c>
      <c r="D20744" t="str">
        <v>-</v>
      </c>
      <c r="E20744" t="str">
        <v/>
      </c>
      <c r="F20744" t="str">
        <v>-</v>
      </c>
      <c r="G20744" t="str">
        <v>-</v>
      </c>
    </row>
    <row r="20745">
      <c r="B20745" t="str">
        <v>UBND Ủy ban nhân dân xã Vĩnh Bình  tỉnh Long An</v>
      </c>
      <c r="C20745" t="str">
        <v>-</v>
      </c>
      <c r="D20745" t="str">
        <v>-</v>
      </c>
      <c r="E20745" t="str">
        <v>-</v>
      </c>
      <c r="F20745" t="str">
        <v>-</v>
      </c>
      <c r="G20745" t="str">
        <v>-</v>
      </c>
    </row>
    <row r="20746">
      <c r="B20746" t="str">
        <v>Công an xã Vĩnh Thuận  tỉnh Long An</v>
      </c>
      <c r="C20746" t="str">
        <v>-</v>
      </c>
      <c r="D20746" t="str">
        <v>-</v>
      </c>
      <c r="E20746" t="str">
        <v/>
      </c>
      <c r="F20746" t="str">
        <v>-</v>
      </c>
      <c r="G20746" t="str">
        <v>-</v>
      </c>
    </row>
    <row r="20747">
      <c r="B20747" t="str">
        <v>UBND Ủy ban nhân dân xã Vĩnh Thuận  tỉnh Long An</v>
      </c>
      <c r="C20747" t="str">
        <v>-</v>
      </c>
      <c r="D20747" t="str">
        <v>-</v>
      </c>
      <c r="E20747" t="str">
        <v>-</v>
      </c>
      <c r="F20747" t="str">
        <v>-</v>
      </c>
      <c r="G20747" t="str">
        <v>-</v>
      </c>
    </row>
    <row r="20748">
      <c r="B20748" t="str">
        <v>Công an xã Tuyên Bình  tỉnh Long An</v>
      </c>
      <c r="C20748" t="str">
        <v>-</v>
      </c>
      <c r="D20748" t="str">
        <v>-</v>
      </c>
      <c r="E20748" t="str">
        <v/>
      </c>
      <c r="F20748" t="str">
        <v>-</v>
      </c>
      <c r="G20748" t="str">
        <v>-</v>
      </c>
    </row>
    <row r="20749">
      <c r="B20749" t="str">
        <v>UBND Ủy ban nhân dân xã Tuyên Bình  tỉnh Long An</v>
      </c>
      <c r="C20749" t="str">
        <v>-</v>
      </c>
      <c r="D20749" t="str">
        <v>-</v>
      </c>
      <c r="E20749" t="str">
        <v>-</v>
      </c>
      <c r="F20749" t="str">
        <v>-</v>
      </c>
      <c r="G20749" t="str">
        <v>-</v>
      </c>
    </row>
    <row r="20750">
      <c r="B20750" t="str">
        <v>Công an xã Tuyên Bình Tây  tỉnh Long An</v>
      </c>
      <c r="C20750" t="str">
        <v>-</v>
      </c>
      <c r="D20750" t="str">
        <v>-</v>
      </c>
      <c r="E20750" t="str">
        <v/>
      </c>
      <c r="F20750" t="str">
        <v>-</v>
      </c>
      <c r="G20750" t="str">
        <v>-</v>
      </c>
    </row>
    <row r="20751">
      <c r="B20751" t="str">
        <v>UBND Ủy ban nhân dân xã Tuyên Bình Tây  tỉnh Long An</v>
      </c>
      <c r="C20751" t="str">
        <v>-</v>
      </c>
      <c r="D20751" t="str">
        <v>-</v>
      </c>
      <c r="E20751" t="str">
        <v>-</v>
      </c>
      <c r="F20751" t="str">
        <v>-</v>
      </c>
      <c r="G20751" t="str">
        <v>-</v>
      </c>
    </row>
    <row r="20752">
      <c r="B20752" t="str">
        <v>Công an xã Bình Hòa Tây  tỉnh Long An</v>
      </c>
      <c r="C20752" t="str">
        <v>-</v>
      </c>
      <c r="D20752" t="str">
        <v>-</v>
      </c>
      <c r="E20752" t="str">
        <v/>
      </c>
      <c r="F20752" t="str">
        <v>-</v>
      </c>
      <c r="G20752" t="str">
        <v>-</v>
      </c>
    </row>
    <row r="20753">
      <c r="B20753" t="str">
        <v>UBND Ủy ban nhân dân xã Bình Hòa Tây  tỉnh Long An</v>
      </c>
      <c r="C20753" t="str">
        <v>-</v>
      </c>
      <c r="D20753" t="str">
        <v>-</v>
      </c>
      <c r="E20753" t="str">
        <v>-</v>
      </c>
      <c r="F20753" t="str">
        <v>-</v>
      </c>
      <c r="G20753" t="str">
        <v>-</v>
      </c>
    </row>
    <row r="20754">
      <c r="B20754" t="str">
        <v>Công an xã Bình Thạnh  tỉnh Long An</v>
      </c>
      <c r="C20754" t="str">
        <v>-</v>
      </c>
      <c r="D20754" t="str">
        <v>-</v>
      </c>
      <c r="E20754" t="str">
        <v/>
      </c>
      <c r="F20754" t="str">
        <v>-</v>
      </c>
      <c r="G20754" t="str">
        <v>-</v>
      </c>
    </row>
    <row r="20755">
      <c r="B20755" t="str">
        <v>UBND Ủy ban nhân dân xã Bình Thạnh  tỉnh Long An</v>
      </c>
      <c r="C20755" t="str">
        <v>-</v>
      </c>
      <c r="D20755" t="str">
        <v>-</v>
      </c>
      <c r="E20755" t="str">
        <v>-</v>
      </c>
      <c r="F20755" t="str">
        <v>-</v>
      </c>
      <c r="G20755" t="str">
        <v>-</v>
      </c>
    </row>
    <row r="20756">
      <c r="B20756" t="str">
        <v>Công an xã Bình Hòa Trung  tỉnh Long An</v>
      </c>
      <c r="C20756" t="str">
        <v>-</v>
      </c>
      <c r="D20756" t="str">
        <v>-</v>
      </c>
      <c r="E20756" t="str">
        <v/>
      </c>
      <c r="F20756" t="str">
        <v>-</v>
      </c>
      <c r="G20756" t="str">
        <v>-</v>
      </c>
    </row>
    <row r="20757">
      <c r="B20757" t="str">
        <v>UBND Ủy ban nhân dân xã Bình Hòa Trung  tỉnh Long An</v>
      </c>
      <c r="C20757" t="str">
        <v>-</v>
      </c>
      <c r="D20757" t="str">
        <v>-</v>
      </c>
      <c r="E20757" t="str">
        <v>-</v>
      </c>
      <c r="F20757" t="str">
        <v>-</v>
      </c>
      <c r="G20757" t="str">
        <v>-</v>
      </c>
    </row>
    <row r="20758">
      <c r="B20758" t="str">
        <v>Công an xã Bình Hòa Đông  tỉnh Long An</v>
      </c>
      <c r="C20758" t="str">
        <v>-</v>
      </c>
      <c r="D20758" t="str">
        <v>-</v>
      </c>
      <c r="E20758" t="str">
        <v/>
      </c>
      <c r="F20758" t="str">
        <v>-</v>
      </c>
      <c r="G20758" t="str">
        <v>-</v>
      </c>
    </row>
    <row r="20759">
      <c r="B20759" t="str">
        <v>UBND Ủy ban nhân dân xã Bình Hòa Đông  tỉnh Long An</v>
      </c>
      <c r="C20759" t="str">
        <v>-</v>
      </c>
      <c r="D20759" t="str">
        <v>-</v>
      </c>
      <c r="E20759" t="str">
        <v>-</v>
      </c>
      <c r="F20759" t="str">
        <v>-</v>
      </c>
      <c r="G20759" t="str">
        <v>-</v>
      </c>
    </row>
    <row r="20760">
      <c r="B20760" t="str">
        <v>Công an xã Bình Phong Thạnh  tỉnh Long An</v>
      </c>
      <c r="C20760" t="str">
        <v>-</v>
      </c>
      <c r="D20760" t="str">
        <v>-</v>
      </c>
      <c r="E20760" t="str">
        <v/>
      </c>
      <c r="F20760" t="str">
        <v>-</v>
      </c>
      <c r="G20760" t="str">
        <v>-</v>
      </c>
    </row>
    <row r="20761">
      <c r="B20761" t="str">
        <v>UBND Ủy ban nhân dân xã Bình Phong Thạnh  tỉnh Long An</v>
      </c>
      <c r="C20761" t="str">
        <v>-</v>
      </c>
      <c r="D20761" t="str">
        <v>-</v>
      </c>
      <c r="E20761" t="str">
        <v>-</v>
      </c>
      <c r="F20761" t="str">
        <v>-</v>
      </c>
      <c r="G20761" t="str">
        <v>-</v>
      </c>
    </row>
    <row r="20762">
      <c r="B20762" t="str">
        <v>Công an xã Tân Lập  tỉnh Long An</v>
      </c>
      <c r="C20762" t="str">
        <v>-</v>
      </c>
      <c r="D20762" t="str">
        <v>-</v>
      </c>
      <c r="E20762" t="str">
        <v/>
      </c>
      <c r="F20762" t="str">
        <v>-</v>
      </c>
      <c r="G20762" t="str">
        <v>-</v>
      </c>
    </row>
    <row r="20763">
      <c r="B20763" t="str">
        <v>UBND Ủy ban nhân dân xã Tân Lập  tỉnh Long An</v>
      </c>
      <c r="C20763" t="str">
        <v>-</v>
      </c>
      <c r="D20763" t="str">
        <v>-</v>
      </c>
      <c r="E20763" t="str">
        <v>-</v>
      </c>
      <c r="F20763" t="str">
        <v>-</v>
      </c>
      <c r="G20763" t="str">
        <v>-</v>
      </c>
    </row>
    <row r="20764">
      <c r="B20764" t="str">
        <v>Công an xã Tân Thành  tỉnh Long An</v>
      </c>
      <c r="C20764" t="str">
        <v>-</v>
      </c>
      <c r="D20764" t="str">
        <v>-</v>
      </c>
      <c r="E20764" t="str">
        <v/>
      </c>
      <c r="F20764" t="str">
        <v>-</v>
      </c>
      <c r="G20764" t="str">
        <v>-</v>
      </c>
    </row>
    <row r="20765">
      <c r="B20765" t="str">
        <v>UBND Ủy ban nhân dân xã Tân Thành  tỉnh Long An</v>
      </c>
      <c r="C20765" t="str">
        <v>-</v>
      </c>
      <c r="D20765" t="str">
        <v>-</v>
      </c>
      <c r="E20765" t="str">
        <v>-</v>
      </c>
      <c r="F20765" t="str">
        <v>-</v>
      </c>
      <c r="G20765" t="str">
        <v>-</v>
      </c>
    </row>
    <row r="20766">
      <c r="B20766" t="str">
        <v>Công an xã Bắc Hòa  tỉnh Long An</v>
      </c>
      <c r="C20766" t="str">
        <v>-</v>
      </c>
      <c r="D20766" t="str">
        <v>-</v>
      </c>
      <c r="E20766" t="str">
        <v/>
      </c>
      <c r="F20766" t="str">
        <v>-</v>
      </c>
      <c r="G20766" t="str">
        <v>-</v>
      </c>
    </row>
    <row r="20767">
      <c r="B20767" t="str">
        <v>UBND Ủy ban nhân dân xã Bắc Hòa  tỉnh Long An</v>
      </c>
      <c r="C20767" t="str">
        <v>-</v>
      </c>
      <c r="D20767" t="str">
        <v>-</v>
      </c>
      <c r="E20767" t="str">
        <v>-</v>
      </c>
      <c r="F20767" t="str">
        <v>-</v>
      </c>
      <c r="G20767" t="str">
        <v>-</v>
      </c>
    </row>
    <row r="20768">
      <c r="B20768" t="str">
        <v>Công an xã Hậu Thạnh Tây  tỉnh Long An</v>
      </c>
      <c r="C20768" t="str">
        <v>-</v>
      </c>
      <c r="D20768" t="str">
        <v>-</v>
      </c>
      <c r="E20768" t="str">
        <v/>
      </c>
      <c r="F20768" t="str">
        <v>-</v>
      </c>
      <c r="G20768" t="str">
        <v>-</v>
      </c>
    </row>
    <row r="20769">
      <c r="B20769" t="str">
        <v>UBND Ủy ban nhân dân xã Hậu Thạnh Tây  tỉnh Long An</v>
      </c>
      <c r="C20769" t="str">
        <v>-</v>
      </c>
      <c r="D20769" t="str">
        <v>-</v>
      </c>
      <c r="E20769" t="str">
        <v>-</v>
      </c>
      <c r="F20769" t="str">
        <v>-</v>
      </c>
      <c r="G20769" t="str">
        <v>-</v>
      </c>
    </row>
    <row r="20770">
      <c r="B20770" t="str">
        <v>Công an xã Nhơn Hòa Lập  tỉnh Long An</v>
      </c>
      <c r="C20770" t="str">
        <v>-</v>
      </c>
      <c r="D20770" t="str">
        <v>-</v>
      </c>
      <c r="E20770" t="str">
        <v/>
      </c>
      <c r="F20770" t="str">
        <v>-</v>
      </c>
      <c r="G20770" t="str">
        <v>-</v>
      </c>
    </row>
    <row r="20771">
      <c r="B20771" t="str">
        <v>UBND Ủy ban nhân dân xã Nhơn Hòa Lập  tỉnh Long An</v>
      </c>
      <c r="C20771" t="str">
        <v>-</v>
      </c>
      <c r="D20771" t="str">
        <v>-</v>
      </c>
      <c r="E20771" t="str">
        <v>-</v>
      </c>
      <c r="F20771" t="str">
        <v>-</v>
      </c>
      <c r="G20771" t="str">
        <v>-</v>
      </c>
    </row>
    <row r="20772">
      <c r="B20772" t="str">
        <v>Công an xã Tân Lập  tỉnh Long An</v>
      </c>
      <c r="C20772" t="str">
        <v>-</v>
      </c>
      <c r="D20772" t="str">
        <v>-</v>
      </c>
      <c r="E20772" t="str">
        <v/>
      </c>
      <c r="F20772" t="str">
        <v>-</v>
      </c>
      <c r="G20772" t="str">
        <v>-</v>
      </c>
    </row>
    <row r="20773">
      <c r="B20773" t="str">
        <v>UBND Ủy ban nhân dân xã Tân Lập  tỉnh Long An</v>
      </c>
      <c r="C20773" t="str">
        <v>-</v>
      </c>
      <c r="D20773" t="str">
        <v>-</v>
      </c>
      <c r="E20773" t="str">
        <v>-</v>
      </c>
      <c r="F20773" t="str">
        <v>-</v>
      </c>
      <c r="G20773" t="str">
        <v>-</v>
      </c>
    </row>
    <row r="20774">
      <c r="B20774" t="str">
        <v>Công an xã Hậu Thạnh Đông  tỉnh Long An</v>
      </c>
      <c r="C20774" t="str">
        <v>-</v>
      </c>
      <c r="D20774" t="str">
        <v>-</v>
      </c>
      <c r="E20774" t="str">
        <v/>
      </c>
      <c r="F20774" t="str">
        <v>-</v>
      </c>
      <c r="G20774" t="str">
        <v>-</v>
      </c>
    </row>
    <row r="20775">
      <c r="B20775" t="str">
        <v>UBND Ủy ban nhân dân xã Hậu Thạnh Đông  tỉnh Long An</v>
      </c>
      <c r="C20775" t="str">
        <v>-</v>
      </c>
      <c r="D20775" t="str">
        <v>-</v>
      </c>
      <c r="E20775" t="str">
        <v>-</v>
      </c>
      <c r="F20775" t="str">
        <v>-</v>
      </c>
      <c r="G20775" t="str">
        <v>-</v>
      </c>
    </row>
    <row r="20776">
      <c r="B20776" t="str">
        <v>Công an xã Nhơn Hoà  tỉnh Long An</v>
      </c>
      <c r="C20776" t="str">
        <v>-</v>
      </c>
      <c r="D20776" t="str">
        <v>-</v>
      </c>
      <c r="E20776" t="str">
        <v/>
      </c>
      <c r="F20776" t="str">
        <v>-</v>
      </c>
      <c r="G20776" t="str">
        <v>-</v>
      </c>
    </row>
    <row r="20777">
      <c r="B20777" t="str">
        <v>UBND Ủy ban nhân dân xã Nhơn Hoà  tỉnh Long An</v>
      </c>
      <c r="C20777" t="str">
        <v>-</v>
      </c>
      <c r="D20777" t="str">
        <v>-</v>
      </c>
      <c r="E20777" t="str">
        <v>-</v>
      </c>
      <c r="F20777" t="str">
        <v>-</v>
      </c>
      <c r="G20777" t="str">
        <v>-</v>
      </c>
    </row>
    <row r="20778">
      <c r="B20778" t="str">
        <v>Công an xã Kiến Bình  tỉnh Long An</v>
      </c>
      <c r="C20778" t="str">
        <v>-</v>
      </c>
      <c r="D20778" t="str">
        <v>-</v>
      </c>
      <c r="E20778" t="str">
        <v/>
      </c>
      <c r="F20778" t="str">
        <v>-</v>
      </c>
      <c r="G20778" t="str">
        <v>-</v>
      </c>
    </row>
    <row r="20779">
      <c r="B20779" t="str">
        <v>UBND Ủy ban nhân dân xã Kiến Bình  tỉnh Long An</v>
      </c>
      <c r="C20779" t="str">
        <v>-</v>
      </c>
      <c r="D20779" t="str">
        <v>-</v>
      </c>
      <c r="E20779" t="str">
        <v>-</v>
      </c>
      <c r="F20779" t="str">
        <v>-</v>
      </c>
      <c r="G20779" t="str">
        <v>-</v>
      </c>
    </row>
    <row r="20780">
      <c r="B20780" t="str">
        <v>Công an xã Tân Thành  tỉnh Long An</v>
      </c>
      <c r="C20780" t="str">
        <v>-</v>
      </c>
      <c r="D20780" t="str">
        <v>-</v>
      </c>
      <c r="E20780" t="str">
        <v/>
      </c>
      <c r="F20780" t="str">
        <v>-</v>
      </c>
      <c r="G20780" t="str">
        <v>-</v>
      </c>
    </row>
    <row r="20781">
      <c r="B20781" t="str">
        <v>UBND Ủy ban nhân dân xã Tân Thành  tỉnh Long An</v>
      </c>
      <c r="C20781" t="str">
        <v>-</v>
      </c>
      <c r="D20781" t="str">
        <v>-</v>
      </c>
      <c r="E20781" t="str">
        <v>-</v>
      </c>
      <c r="F20781" t="str">
        <v>-</v>
      </c>
      <c r="G20781" t="str">
        <v>-</v>
      </c>
    </row>
    <row r="20782">
      <c r="B20782" t="str">
        <v>Công an xã Tân Bình  tỉnh Long An</v>
      </c>
      <c r="C20782" t="str">
        <v>-</v>
      </c>
      <c r="D20782" t="str">
        <v>-</v>
      </c>
      <c r="E20782" t="str">
        <v/>
      </c>
      <c r="F20782" t="str">
        <v>-</v>
      </c>
      <c r="G20782" t="str">
        <v>-</v>
      </c>
    </row>
    <row r="20783">
      <c r="B20783" t="str">
        <v>UBND Ủy ban nhân dân xã Tân Bình  tỉnh Long An</v>
      </c>
      <c r="C20783" t="str">
        <v>-</v>
      </c>
      <c r="D20783" t="str">
        <v>-</v>
      </c>
      <c r="E20783" t="str">
        <v>-</v>
      </c>
      <c r="F20783" t="str">
        <v>-</v>
      </c>
      <c r="G20783" t="str">
        <v>-</v>
      </c>
    </row>
    <row r="20784">
      <c r="B20784" t="str">
        <v>Công an xã Tân Ninh  tỉnh Long An</v>
      </c>
      <c r="C20784" t="str">
        <v>-</v>
      </c>
      <c r="D20784" t="str">
        <v>-</v>
      </c>
      <c r="E20784" t="str">
        <v/>
      </c>
      <c r="F20784" t="str">
        <v>-</v>
      </c>
      <c r="G20784" t="str">
        <v>-</v>
      </c>
    </row>
    <row r="20785">
      <c r="B20785" t="str">
        <v>UBND Ủy ban nhân dân xã Tân Ninh  tỉnh Long An</v>
      </c>
      <c r="C20785" t="str">
        <v>-</v>
      </c>
      <c r="D20785" t="str">
        <v>-</v>
      </c>
      <c r="E20785" t="str">
        <v>-</v>
      </c>
      <c r="F20785" t="str">
        <v>-</v>
      </c>
      <c r="G20785" t="str">
        <v>-</v>
      </c>
    </row>
    <row r="20786">
      <c r="B20786" t="str">
        <v>Công an xã Nhơn Ninh  tỉnh Long An</v>
      </c>
      <c r="C20786" t="str">
        <v>-</v>
      </c>
      <c r="D20786" t="str">
        <v>-</v>
      </c>
      <c r="E20786" t="str">
        <v/>
      </c>
      <c r="F20786" t="str">
        <v>-</v>
      </c>
      <c r="G20786" t="str">
        <v>-</v>
      </c>
    </row>
    <row r="20787">
      <c r="B20787" t="str">
        <v>UBND Ủy ban nhân dân xã Nhơn Ninh  tỉnh Long An</v>
      </c>
      <c r="C20787" t="str">
        <v>-</v>
      </c>
      <c r="D20787" t="str">
        <v>-</v>
      </c>
      <c r="E20787" t="str">
        <v>-</v>
      </c>
      <c r="F20787" t="str">
        <v>-</v>
      </c>
      <c r="G20787" t="str">
        <v>-</v>
      </c>
    </row>
    <row r="20788">
      <c r="B20788" t="str">
        <v>Công an xã Tân Hòa  tỉnh Long An</v>
      </c>
      <c r="C20788" t="str">
        <v>-</v>
      </c>
      <c r="D20788" t="str">
        <v>-</v>
      </c>
      <c r="E20788" t="str">
        <v/>
      </c>
      <c r="F20788" t="str">
        <v>-</v>
      </c>
      <c r="G20788" t="str">
        <v>-</v>
      </c>
    </row>
    <row r="20789">
      <c r="B20789" t="str">
        <v>UBND Ủy ban nhân dân xã Tân Hòa  tỉnh Long An</v>
      </c>
      <c r="C20789" t="str">
        <v>-</v>
      </c>
      <c r="D20789" t="str">
        <v>-</v>
      </c>
      <c r="E20789" t="str">
        <v>-</v>
      </c>
      <c r="F20789" t="str">
        <v>-</v>
      </c>
      <c r="G20789" t="str">
        <v>-</v>
      </c>
    </row>
    <row r="20790">
      <c r="B20790" t="str">
        <v>Công an xã Tân Hiệp  tỉnh Long An</v>
      </c>
      <c r="C20790" t="str">
        <v>-</v>
      </c>
      <c r="D20790" t="str">
        <v>-</v>
      </c>
      <c r="E20790" t="str">
        <v/>
      </c>
      <c r="F20790" t="str">
        <v>-</v>
      </c>
      <c r="G20790" t="str">
        <v>-</v>
      </c>
    </row>
    <row r="20791">
      <c r="B20791" t="str">
        <v>UBND Ủy ban nhân dân xã Tân Hiệp  tỉnh Long An</v>
      </c>
      <c r="C20791" t="str">
        <v>-</v>
      </c>
      <c r="D20791" t="str">
        <v>-</v>
      </c>
      <c r="E20791" t="str">
        <v>-</v>
      </c>
      <c r="F20791" t="str">
        <v>-</v>
      </c>
      <c r="G20791" t="str">
        <v>-</v>
      </c>
    </row>
    <row r="20792">
      <c r="B20792" t="str">
        <v>Công an xã Thuận Bình  tỉnh Long An</v>
      </c>
      <c r="C20792" t="str">
        <v>-</v>
      </c>
      <c r="D20792" t="str">
        <v>-</v>
      </c>
      <c r="E20792" t="str">
        <v/>
      </c>
      <c r="F20792" t="str">
        <v>-</v>
      </c>
      <c r="G20792" t="str">
        <v>-</v>
      </c>
    </row>
    <row r="20793">
      <c r="B20793" t="str">
        <v>UBND Ủy ban nhân dân xã Thuận Bình  tỉnh Long An</v>
      </c>
      <c r="C20793" t="str">
        <v>-</v>
      </c>
      <c r="D20793" t="str">
        <v>-</v>
      </c>
      <c r="E20793" t="str">
        <v>-</v>
      </c>
      <c r="F20793" t="str">
        <v>-</v>
      </c>
      <c r="G20793" t="str">
        <v>-</v>
      </c>
    </row>
    <row r="20794">
      <c r="B20794" t="str">
        <v>Công an xã Thạnh Phước  tỉnh Long An</v>
      </c>
      <c r="C20794" t="str">
        <v>-</v>
      </c>
      <c r="D20794" t="str">
        <v>-</v>
      </c>
      <c r="E20794" t="str">
        <v/>
      </c>
      <c r="F20794" t="str">
        <v>-</v>
      </c>
      <c r="G20794" t="str">
        <v>-</v>
      </c>
    </row>
    <row r="20795">
      <c r="B20795" t="str">
        <v>UBND Ủy ban nhân dân xã Thạnh Phước  tỉnh Long An</v>
      </c>
      <c r="C20795" t="str">
        <v>-</v>
      </c>
      <c r="D20795" t="str">
        <v>-</v>
      </c>
      <c r="E20795" t="str">
        <v>-</v>
      </c>
      <c r="F20795" t="str">
        <v>-</v>
      </c>
      <c r="G20795" t="str">
        <v>-</v>
      </c>
    </row>
    <row r="20796">
      <c r="B20796" t="str">
        <v>Công an xã Thạnh Phú  tỉnh Long An</v>
      </c>
      <c r="C20796" t="str">
        <v>-</v>
      </c>
      <c r="D20796" t="str">
        <v>-</v>
      </c>
      <c r="E20796" t="str">
        <v/>
      </c>
      <c r="F20796" t="str">
        <v>-</v>
      </c>
      <c r="G20796" t="str">
        <v>-</v>
      </c>
    </row>
    <row r="20797">
      <c r="B20797" t="str">
        <v>UBND Ủy ban nhân dân xã Thạnh Phú  tỉnh Long An</v>
      </c>
      <c r="C20797" t="str">
        <v>-</v>
      </c>
      <c r="D20797" t="str">
        <v>-</v>
      </c>
      <c r="E20797" t="str">
        <v>-</v>
      </c>
      <c r="F20797" t="str">
        <v>-</v>
      </c>
      <c r="G20797" t="str">
        <v>-</v>
      </c>
    </row>
    <row r="20798">
      <c r="B20798" t="str">
        <v>Công an xã Thuận Nghĩa Hòa  tỉnh Long An</v>
      </c>
      <c r="C20798" t="str">
        <v>-</v>
      </c>
      <c r="D20798" t="str">
        <v>-</v>
      </c>
      <c r="E20798" t="str">
        <v/>
      </c>
      <c r="F20798" t="str">
        <v>-</v>
      </c>
      <c r="G20798" t="str">
        <v>-</v>
      </c>
    </row>
    <row r="20799">
      <c r="B20799" t="str">
        <v>UBND Ủy ban nhân dân xã Thuận Nghĩa Hòa  tỉnh Long An</v>
      </c>
      <c r="C20799" t="str">
        <v>-</v>
      </c>
      <c r="D20799" t="str">
        <v>-</v>
      </c>
      <c r="E20799" t="str">
        <v>-</v>
      </c>
      <c r="F20799" t="str">
        <v>-</v>
      </c>
      <c r="G20799" t="str">
        <v>-</v>
      </c>
    </row>
    <row r="20800">
      <c r="B20800" t="str">
        <v>Công an xã Thủy Đông  tỉnh Long An</v>
      </c>
      <c r="C20800" t="str">
        <v>-</v>
      </c>
      <c r="D20800" t="str">
        <v>-</v>
      </c>
      <c r="E20800" t="str">
        <v/>
      </c>
      <c r="F20800" t="str">
        <v>-</v>
      </c>
      <c r="G20800" t="str">
        <v>-</v>
      </c>
    </row>
    <row r="20801">
      <c r="B20801" t="str">
        <v>UBND Ủy ban nhân dân xã Thủy Đông  tỉnh Long An</v>
      </c>
      <c r="C20801" t="str">
        <v>-</v>
      </c>
      <c r="D20801" t="str">
        <v>-</v>
      </c>
      <c r="E20801" t="str">
        <v>-</v>
      </c>
      <c r="F20801" t="str">
        <v>-</v>
      </c>
      <c r="G20801" t="str">
        <v>-</v>
      </c>
    </row>
    <row r="20802">
      <c r="B20802" t="str">
        <v>Công an xã Thủy Tây  tỉnh Long An</v>
      </c>
      <c r="C20802" t="str">
        <v>-</v>
      </c>
      <c r="D20802" t="str">
        <v>-</v>
      </c>
      <c r="E20802" t="str">
        <v/>
      </c>
      <c r="F20802" t="str">
        <v>-</v>
      </c>
      <c r="G20802" t="str">
        <v>-</v>
      </c>
    </row>
    <row r="20803">
      <c r="B20803" t="str">
        <v>UBND Ủy ban nhân dân xã Thủy Tây  tỉnh Long An</v>
      </c>
      <c r="C20803" t="str">
        <v>-</v>
      </c>
      <c r="D20803" t="str">
        <v>-</v>
      </c>
      <c r="E20803" t="str">
        <v>-</v>
      </c>
      <c r="F20803" t="str">
        <v>-</v>
      </c>
      <c r="G20803" t="str">
        <v>-</v>
      </c>
    </row>
    <row r="20804">
      <c r="B20804" t="str">
        <v>Công an xã Tân Tây  tỉnh Long An</v>
      </c>
      <c r="C20804" t="str">
        <v>-</v>
      </c>
      <c r="D20804" t="str">
        <v>-</v>
      </c>
      <c r="E20804" t="str">
        <v/>
      </c>
      <c r="F20804" t="str">
        <v>-</v>
      </c>
      <c r="G20804" t="str">
        <v>-</v>
      </c>
    </row>
    <row r="20805">
      <c r="B20805" t="str">
        <v>UBND Ủy ban nhân dân xã Tân Tây  tỉnh Long An</v>
      </c>
      <c r="C20805" t="str">
        <v>-</v>
      </c>
      <c r="D20805" t="str">
        <v>-</v>
      </c>
      <c r="E20805" t="str">
        <v>-</v>
      </c>
      <c r="F20805" t="str">
        <v>-</v>
      </c>
      <c r="G20805" t="str">
        <v>-</v>
      </c>
    </row>
    <row r="20806">
      <c r="B20806" t="str">
        <v>Công an xã Tân Đông  tỉnh Long An</v>
      </c>
      <c r="C20806" t="str">
        <v>-</v>
      </c>
      <c r="D20806" t="str">
        <v>-</v>
      </c>
      <c r="E20806" t="str">
        <v/>
      </c>
      <c r="F20806" t="str">
        <v>-</v>
      </c>
      <c r="G20806" t="str">
        <v>-</v>
      </c>
    </row>
    <row r="20807">
      <c r="B20807" t="str">
        <v>UBND Ủy ban nhân dân xã Tân Đông  tỉnh Long An</v>
      </c>
      <c r="C20807" t="str">
        <v>-</v>
      </c>
      <c r="D20807" t="str">
        <v>-</v>
      </c>
      <c r="E20807" t="str">
        <v>-</v>
      </c>
      <c r="F20807" t="str">
        <v>-</v>
      </c>
      <c r="G20807" t="str">
        <v>-</v>
      </c>
    </row>
    <row r="20808">
      <c r="B20808" t="str">
        <v>Công an xã Thạnh An  tỉnh Long An</v>
      </c>
      <c r="C20808" t="str">
        <v>-</v>
      </c>
      <c r="D20808" t="str">
        <v>-</v>
      </c>
      <c r="E20808" t="str">
        <v/>
      </c>
      <c r="F20808" t="str">
        <v>-</v>
      </c>
      <c r="G20808" t="str">
        <v>-</v>
      </c>
    </row>
    <row r="20809">
      <c r="B20809" t="str">
        <v>UBND Ủy ban nhân dân xã Thạnh An  tỉnh Long An</v>
      </c>
      <c r="C20809" t="str">
        <v>-</v>
      </c>
      <c r="D20809" t="str">
        <v>-</v>
      </c>
      <c r="E20809" t="str">
        <v>-</v>
      </c>
      <c r="F20809" t="str">
        <v>-</v>
      </c>
      <c r="G20809" t="str">
        <v>-</v>
      </c>
    </row>
    <row r="20810">
      <c r="B20810" t="str">
        <v>Công an xã Mỹ Quý Đông  tỉnh Long An</v>
      </c>
      <c r="C20810" t="str">
        <v>-</v>
      </c>
      <c r="D20810" t="str">
        <v>-</v>
      </c>
      <c r="E20810" t="str">
        <v/>
      </c>
      <c r="F20810" t="str">
        <v>-</v>
      </c>
      <c r="G20810" t="str">
        <v>-</v>
      </c>
    </row>
    <row r="20811">
      <c r="B20811" t="str">
        <v>UBND Ủy ban nhân dân xã Mỹ Quý Đông  tỉnh Long An</v>
      </c>
      <c r="C20811" t="str">
        <v>-</v>
      </c>
      <c r="D20811" t="str">
        <v>-</v>
      </c>
      <c r="E20811" t="str">
        <v>-</v>
      </c>
      <c r="F20811" t="str">
        <v>-</v>
      </c>
      <c r="G20811" t="str">
        <v>-</v>
      </c>
    </row>
    <row r="20812">
      <c r="B20812" t="str">
        <v>Công an xã Mỹ Thạnh Bắc  tỉnh Long An</v>
      </c>
      <c r="C20812" t="str">
        <v>-</v>
      </c>
      <c r="D20812" t="str">
        <v>-</v>
      </c>
      <c r="E20812" t="str">
        <v/>
      </c>
      <c r="F20812" t="str">
        <v>-</v>
      </c>
      <c r="G20812" t="str">
        <v>-</v>
      </c>
    </row>
    <row r="20813">
      <c r="B20813" t="str">
        <v>UBND Ủy ban nhân dân xã Mỹ Thạnh Bắc  tỉnh Long An</v>
      </c>
      <c r="C20813" t="str">
        <v>-</v>
      </c>
      <c r="D20813" t="str">
        <v>-</v>
      </c>
      <c r="E20813" t="str">
        <v>-</v>
      </c>
      <c r="F20813" t="str">
        <v>-</v>
      </c>
      <c r="G20813" t="str">
        <v>-</v>
      </c>
    </row>
    <row r="20814">
      <c r="B20814" t="str">
        <v>Công an xã Mỹ Quý Tây  tỉnh Long An</v>
      </c>
      <c r="C20814" t="str">
        <v>-</v>
      </c>
      <c r="D20814" t="str">
        <v>-</v>
      </c>
      <c r="E20814" t="str">
        <v/>
      </c>
      <c r="F20814" t="str">
        <v>-</v>
      </c>
      <c r="G20814" t="str">
        <v>-</v>
      </c>
    </row>
    <row r="20815">
      <c r="B20815" t="str">
        <v>UBND Ủy ban nhân dân xã Mỹ Quý Tây  tỉnh Long An</v>
      </c>
      <c r="C20815" t="str">
        <v>-</v>
      </c>
      <c r="D20815" t="str">
        <v>-</v>
      </c>
      <c r="E20815" t="str">
        <v>-</v>
      </c>
      <c r="F20815" t="str">
        <v>-</v>
      </c>
      <c r="G20815" t="str">
        <v>-</v>
      </c>
    </row>
    <row r="20816">
      <c r="B20816" t="str">
        <v>Công an xã Mỹ Thạnh Tây  tỉnh Long An</v>
      </c>
      <c r="C20816" t="str">
        <v>-</v>
      </c>
      <c r="D20816" t="str">
        <v>-</v>
      </c>
      <c r="E20816" t="str">
        <v/>
      </c>
      <c r="F20816" t="str">
        <v>-</v>
      </c>
      <c r="G20816" t="str">
        <v>-</v>
      </c>
    </row>
    <row r="20817">
      <c r="B20817" t="str">
        <v>UBND Ủy ban nhân dân xã Mỹ Thạnh Tây  tỉnh Long An</v>
      </c>
      <c r="C20817" t="str">
        <v>-</v>
      </c>
      <c r="D20817" t="str">
        <v>-</v>
      </c>
      <c r="E20817" t="str">
        <v>-</v>
      </c>
      <c r="F20817" t="str">
        <v>-</v>
      </c>
      <c r="G20817" t="str">
        <v>-</v>
      </c>
    </row>
    <row r="20818">
      <c r="B20818" t="str">
        <v>Công an xã Mỹ Thạnh Đông  tỉnh Long An</v>
      </c>
      <c r="C20818" t="str">
        <v>-</v>
      </c>
      <c r="D20818" t="str">
        <v>-</v>
      </c>
      <c r="E20818" t="str">
        <v/>
      </c>
      <c r="F20818" t="str">
        <v>-</v>
      </c>
      <c r="G20818" t="str">
        <v>-</v>
      </c>
    </row>
    <row r="20819">
      <c r="B20819" t="str">
        <v>UBND Ủy ban nhân dân xã Mỹ Thạnh Đông  tỉnh Long An</v>
      </c>
      <c r="C20819" t="str">
        <v>-</v>
      </c>
      <c r="D20819" t="str">
        <v>-</v>
      </c>
      <c r="E20819" t="str">
        <v>-</v>
      </c>
      <c r="F20819" t="str">
        <v>-</v>
      </c>
      <c r="G20819" t="str">
        <v>-</v>
      </c>
    </row>
    <row r="20820">
      <c r="B20820" t="str">
        <v>Công an xã Bình Thành  tỉnh Long An</v>
      </c>
      <c r="C20820" t="str">
        <v>-</v>
      </c>
      <c r="D20820" t="str">
        <v>-</v>
      </c>
      <c r="E20820" t="str">
        <v/>
      </c>
      <c r="F20820" t="str">
        <v>-</v>
      </c>
      <c r="G20820" t="str">
        <v>-</v>
      </c>
    </row>
    <row r="20821">
      <c r="B20821" t="str">
        <v>UBND Ủy ban nhân dân xã Bình Thành  tỉnh Long An</v>
      </c>
      <c r="C20821" t="str">
        <v>-</v>
      </c>
      <c r="D20821" t="str">
        <v>-</v>
      </c>
      <c r="E20821" t="str">
        <v>-</v>
      </c>
      <c r="F20821" t="str">
        <v>-</v>
      </c>
      <c r="G20821" t="str">
        <v>-</v>
      </c>
    </row>
    <row r="20822">
      <c r="B20822" t="str">
        <v>Công an xã Bình Hòa Bắc  tỉnh Long An</v>
      </c>
      <c r="C20822" t="str">
        <v>-</v>
      </c>
      <c r="D20822" t="str">
        <v>-</v>
      </c>
      <c r="E20822" t="str">
        <v/>
      </c>
      <c r="F20822" t="str">
        <v>-</v>
      </c>
      <c r="G20822" t="str">
        <v>-</v>
      </c>
    </row>
    <row r="20823">
      <c r="B20823" t="str">
        <v>UBND Ủy ban nhân dân xã Bình Hòa Bắc  tỉnh Long An</v>
      </c>
      <c r="C20823" t="str">
        <v>-</v>
      </c>
      <c r="D20823" t="str">
        <v>-</v>
      </c>
      <c r="E20823" t="str">
        <v>-</v>
      </c>
      <c r="F20823" t="str">
        <v>-</v>
      </c>
      <c r="G20823" t="str">
        <v>-</v>
      </c>
    </row>
    <row r="20824">
      <c r="B20824" t="str">
        <v>Công an xã Bình Hòa Hưng  tỉnh Long An</v>
      </c>
      <c r="C20824" t="str">
        <v>-</v>
      </c>
      <c r="D20824" t="str">
        <v>-</v>
      </c>
      <c r="E20824" t="str">
        <v/>
      </c>
      <c r="F20824" t="str">
        <v>-</v>
      </c>
      <c r="G20824" t="str">
        <v>-</v>
      </c>
    </row>
    <row r="20825">
      <c r="B20825" t="str">
        <v>UBND Ủy ban nhân dân xã Bình Hòa Hưng  tỉnh Long An</v>
      </c>
      <c r="C20825" t="str">
        <v>-</v>
      </c>
      <c r="D20825" t="str">
        <v>-</v>
      </c>
      <c r="E20825" t="str">
        <v>-</v>
      </c>
      <c r="F20825" t="str">
        <v>-</v>
      </c>
      <c r="G20825" t="str">
        <v>-</v>
      </c>
    </row>
    <row r="20826">
      <c r="B20826" t="str">
        <v>Công an xã Bình Hòa Nam  tỉnh Long An</v>
      </c>
      <c r="C20826" t="str">
        <v>-</v>
      </c>
      <c r="D20826" t="str">
        <v>-</v>
      </c>
      <c r="E20826" t="str">
        <v/>
      </c>
      <c r="F20826" t="str">
        <v>-</v>
      </c>
      <c r="G20826" t="str">
        <v>-</v>
      </c>
    </row>
    <row r="20827">
      <c r="B20827" t="str">
        <v>UBND Ủy ban nhân dân xã Bình Hòa Nam  tỉnh Long An</v>
      </c>
      <c r="C20827" t="str">
        <v>-</v>
      </c>
      <c r="D20827" t="str">
        <v>-</v>
      </c>
      <c r="E20827" t="str">
        <v>-</v>
      </c>
      <c r="F20827" t="str">
        <v>-</v>
      </c>
      <c r="G20827" t="str">
        <v>-</v>
      </c>
    </row>
    <row r="20828">
      <c r="B20828" t="str">
        <v>Công an xã Mỹ Bình  tỉnh Long An</v>
      </c>
      <c r="C20828" t="str">
        <v>-</v>
      </c>
      <c r="D20828" t="str">
        <v>-</v>
      </c>
      <c r="E20828" t="str">
        <v/>
      </c>
      <c r="F20828" t="str">
        <v>-</v>
      </c>
      <c r="G20828" t="str">
        <v>-</v>
      </c>
    </row>
    <row r="20829">
      <c r="B20829" t="str">
        <v>UBND Ủy ban nhân dân xã Mỹ Bình  tỉnh Long An</v>
      </c>
      <c r="C20829" t="str">
        <v>-</v>
      </c>
      <c r="D20829" t="str">
        <v>-</v>
      </c>
      <c r="E20829" t="str">
        <v>-</v>
      </c>
      <c r="F20829" t="str">
        <v>-</v>
      </c>
      <c r="G20829" t="str">
        <v>-</v>
      </c>
    </row>
    <row r="20830">
      <c r="B20830" t="str">
        <v>Công an xã Lộc Giang  tỉnh Long An</v>
      </c>
      <c r="C20830" t="str">
        <v>-</v>
      </c>
      <c r="D20830" t="str">
        <v>-</v>
      </c>
      <c r="E20830" t="str">
        <v/>
      </c>
      <c r="F20830" t="str">
        <v>-</v>
      </c>
      <c r="G20830" t="str">
        <v>-</v>
      </c>
    </row>
    <row r="20831">
      <c r="B20831" t="str">
        <v>UBND Ủy ban nhân dân xã Lộc Giang  tỉnh Long An</v>
      </c>
      <c r="C20831" t="str">
        <v>-</v>
      </c>
      <c r="D20831" t="str">
        <v>-</v>
      </c>
      <c r="E20831" t="str">
        <v>-</v>
      </c>
      <c r="F20831" t="str">
        <v>-</v>
      </c>
      <c r="G20831" t="str">
        <v>-</v>
      </c>
    </row>
    <row r="20832">
      <c r="B20832" t="str">
        <v>Công an xã An Ninh Đông  tỉnh Long An</v>
      </c>
      <c r="C20832" t="str">
        <v>-</v>
      </c>
      <c r="D20832" t="str">
        <v>-</v>
      </c>
      <c r="E20832" t="str">
        <v/>
      </c>
      <c r="F20832" t="str">
        <v>-</v>
      </c>
      <c r="G20832" t="str">
        <v>-</v>
      </c>
    </row>
    <row r="20833">
      <c r="B20833" t="str">
        <v>UBND Ủy ban nhân dân xã An Ninh Đông  tỉnh Long An</v>
      </c>
      <c r="C20833" t="str">
        <v>-</v>
      </c>
      <c r="D20833" t="str">
        <v>-</v>
      </c>
      <c r="E20833" t="str">
        <v>-</v>
      </c>
      <c r="F20833" t="str">
        <v>-</v>
      </c>
      <c r="G20833" t="str">
        <v>-</v>
      </c>
    </row>
    <row r="20834">
      <c r="B20834" t="str">
        <v>Công an xã An Ninh Tây  tỉnh Long An</v>
      </c>
      <c r="C20834" t="str">
        <v>-</v>
      </c>
      <c r="D20834" t="str">
        <v>-</v>
      </c>
      <c r="E20834" t="str">
        <v/>
      </c>
      <c r="F20834" t="str">
        <v>-</v>
      </c>
      <c r="G20834" t="str">
        <v>-</v>
      </c>
    </row>
    <row r="20835">
      <c r="B20835" t="str">
        <v>UBND Ủy ban nhân dân xã An Ninh Tây  tỉnh Long An</v>
      </c>
      <c r="C20835" t="str">
        <v>-</v>
      </c>
      <c r="D20835" t="str">
        <v>-</v>
      </c>
      <c r="E20835" t="str">
        <v>-</v>
      </c>
      <c r="F20835" t="str">
        <v>-</v>
      </c>
      <c r="G20835" t="str">
        <v>-</v>
      </c>
    </row>
    <row r="20836">
      <c r="B20836" t="str">
        <v>Công an xã Tân Mỹ  tỉnh Long An</v>
      </c>
      <c r="C20836" t="str">
        <v>-</v>
      </c>
      <c r="D20836" t="str">
        <v>-</v>
      </c>
      <c r="E20836" t="str">
        <v/>
      </c>
      <c r="F20836" t="str">
        <v>-</v>
      </c>
      <c r="G20836" t="str">
        <v>-</v>
      </c>
    </row>
    <row r="20837">
      <c r="B20837" t="str">
        <v>UBND Ủy ban nhân dân xã Tân Mỹ  tỉnh Long An</v>
      </c>
      <c r="C20837" t="str">
        <v>-</v>
      </c>
      <c r="D20837" t="str">
        <v>-</v>
      </c>
      <c r="E20837" t="str">
        <v>-</v>
      </c>
      <c r="F20837" t="str">
        <v>-</v>
      </c>
      <c r="G20837" t="str">
        <v>-</v>
      </c>
    </row>
    <row r="20838">
      <c r="B20838" t="str">
        <v>Công an xã Hiệp Hòa  tỉnh Long An</v>
      </c>
      <c r="C20838" t="str">
        <v>-</v>
      </c>
      <c r="D20838" t="str">
        <v>-</v>
      </c>
      <c r="E20838" t="str">
        <v/>
      </c>
      <c r="F20838" t="str">
        <v>-</v>
      </c>
      <c r="G20838" t="str">
        <v>-</v>
      </c>
    </row>
    <row r="20839">
      <c r="B20839" t="str">
        <v>UBND Ủy ban nhân dân xã Hiệp Hòa  tỉnh Long An</v>
      </c>
      <c r="C20839" t="str">
        <v>-</v>
      </c>
      <c r="D20839" t="str">
        <v>-</v>
      </c>
      <c r="E20839" t="str">
        <v>-</v>
      </c>
      <c r="F20839" t="str">
        <v>-</v>
      </c>
      <c r="G20839" t="str">
        <v>-</v>
      </c>
    </row>
    <row r="20840">
      <c r="B20840" t="str">
        <v>Công an xã Đức Lập Thượng  tỉnh Long An</v>
      </c>
      <c r="C20840" t="str">
        <v>-</v>
      </c>
      <c r="D20840" t="str">
        <v>-</v>
      </c>
      <c r="E20840" t="str">
        <v/>
      </c>
      <c r="F20840" t="str">
        <v>-</v>
      </c>
      <c r="G20840" t="str">
        <v>-</v>
      </c>
    </row>
    <row r="20841">
      <c r="B20841" t="str">
        <v>UBND Ủy ban nhân dân xã Đức Lập Thượng  tỉnh Long An</v>
      </c>
      <c r="C20841" t="str">
        <v>-</v>
      </c>
      <c r="D20841" t="str">
        <v>-</v>
      </c>
      <c r="E20841" t="str">
        <v>-</v>
      </c>
      <c r="F20841" t="str">
        <v>-</v>
      </c>
      <c r="G20841" t="str">
        <v>-</v>
      </c>
    </row>
    <row r="20842">
      <c r="B20842" t="str">
        <v>Công an xã Đức Lập Hạ  tỉnh Long An</v>
      </c>
      <c r="C20842" t="str">
        <v>-</v>
      </c>
      <c r="D20842" t="str">
        <v>-</v>
      </c>
      <c r="E20842" t="str">
        <v/>
      </c>
      <c r="F20842" t="str">
        <v>-</v>
      </c>
      <c r="G20842" t="str">
        <v>-</v>
      </c>
    </row>
    <row r="20843">
      <c r="B20843" t="str">
        <v>UBND Ủy ban nhân dân xã Đức Lập Hạ  tỉnh Long An</v>
      </c>
      <c r="C20843" t="str">
        <v>-</v>
      </c>
      <c r="D20843" t="str">
        <v>-</v>
      </c>
      <c r="E20843" t="str">
        <v>-</v>
      </c>
      <c r="F20843" t="str">
        <v>-</v>
      </c>
      <c r="G20843" t="str">
        <v>-</v>
      </c>
    </row>
    <row r="20844">
      <c r="B20844" t="str">
        <v>Công an xã Tân Phú  tỉnh Long An</v>
      </c>
      <c r="C20844" t="str">
        <v>-</v>
      </c>
      <c r="D20844" t="str">
        <v>-</v>
      </c>
      <c r="E20844" t="str">
        <v/>
      </c>
      <c r="F20844" t="str">
        <v>-</v>
      </c>
      <c r="G20844" t="str">
        <v>-</v>
      </c>
    </row>
    <row r="20845">
      <c r="B20845" t="str">
        <v>UBND Ủy ban nhân dân xã Tân Phú  tỉnh Long An</v>
      </c>
      <c r="C20845" t="str">
        <v>-</v>
      </c>
      <c r="D20845" t="str">
        <v>-</v>
      </c>
      <c r="E20845" t="str">
        <v>-</v>
      </c>
      <c r="F20845" t="str">
        <v>-</v>
      </c>
      <c r="G20845" t="str">
        <v>-</v>
      </c>
    </row>
    <row r="20846">
      <c r="B20846" t="str">
        <v>Công an xã Mỹ Hạnh Bắc  tỉnh Long An</v>
      </c>
      <c r="C20846" t="str">
        <v>-</v>
      </c>
      <c r="D20846" t="str">
        <v>-</v>
      </c>
      <c r="E20846" t="str">
        <v/>
      </c>
      <c r="F20846" t="str">
        <v>-</v>
      </c>
      <c r="G20846" t="str">
        <v>-</v>
      </c>
    </row>
    <row r="20847">
      <c r="B20847" t="str">
        <v>UBND Ủy ban nhân dân xã Mỹ Hạnh Bắc  tỉnh Long An</v>
      </c>
      <c r="C20847" t="str">
        <v>-</v>
      </c>
      <c r="D20847" t="str">
        <v>-</v>
      </c>
      <c r="E20847" t="str">
        <v>-</v>
      </c>
      <c r="F20847" t="str">
        <v>-</v>
      </c>
      <c r="G20847" t="str">
        <v>-</v>
      </c>
    </row>
    <row r="20848">
      <c r="B20848" t="str">
        <v>Công an xã Đức Hòa Thượng  tỉnh Long An</v>
      </c>
      <c r="C20848" t="str">
        <v>-</v>
      </c>
      <c r="D20848" t="str">
        <v>-</v>
      </c>
      <c r="E20848" t="str">
        <v/>
      </c>
      <c r="F20848" t="str">
        <v>-</v>
      </c>
      <c r="G20848" t="str">
        <v>-</v>
      </c>
    </row>
    <row r="20849">
      <c r="B20849" t="str">
        <v>UBND Ủy ban nhân dân xã Đức Hòa Thượng  tỉnh Long An</v>
      </c>
      <c r="C20849" t="str">
        <v>-</v>
      </c>
      <c r="D20849" t="str">
        <v>-</v>
      </c>
      <c r="E20849" t="str">
        <v>-</v>
      </c>
      <c r="F20849" t="str">
        <v>-</v>
      </c>
      <c r="G20849" t="str">
        <v>-</v>
      </c>
    </row>
    <row r="20850">
      <c r="B20850" t="str">
        <v>Công an xã Hòa Khánh Tây  tỉnh Long An</v>
      </c>
      <c r="C20850" t="str">
        <v>-</v>
      </c>
      <c r="D20850" t="str">
        <v>-</v>
      </c>
      <c r="E20850" t="str">
        <v/>
      </c>
      <c r="F20850" t="str">
        <v>-</v>
      </c>
      <c r="G20850" t="str">
        <v>-</v>
      </c>
    </row>
    <row r="20851">
      <c r="B20851" t="str">
        <v>UBND Ủy ban nhân dân xã Hòa Khánh Tây  tỉnh Long An</v>
      </c>
      <c r="C20851" t="str">
        <v>-</v>
      </c>
      <c r="D20851" t="str">
        <v>-</v>
      </c>
      <c r="E20851" t="str">
        <v>-</v>
      </c>
      <c r="F20851" t="str">
        <v>-</v>
      </c>
      <c r="G20851" t="str">
        <v>-</v>
      </c>
    </row>
    <row r="20852">
      <c r="B20852" t="str">
        <v>Công an xã Hòa Khánh Đông  tỉnh Long An</v>
      </c>
      <c r="C20852" t="str">
        <v>-</v>
      </c>
      <c r="D20852" t="str">
        <v>-</v>
      </c>
      <c r="E20852" t="str">
        <v/>
      </c>
      <c r="F20852" t="str">
        <v>-</v>
      </c>
      <c r="G20852" t="str">
        <v>-</v>
      </c>
    </row>
    <row r="20853">
      <c r="B20853" t="str">
        <v>UBND Ủy ban nhân dân xã Hòa Khánh Đông  tỉnh Long An</v>
      </c>
      <c r="C20853" t="str">
        <v>-</v>
      </c>
      <c r="D20853" t="str">
        <v>-</v>
      </c>
      <c r="E20853" t="str">
        <v>-</v>
      </c>
      <c r="F20853" t="str">
        <v>-</v>
      </c>
      <c r="G20853" t="str">
        <v>-</v>
      </c>
    </row>
    <row r="20854">
      <c r="B20854" t="str">
        <v>Công an xã Mỹ Hạnh Nam  tỉnh Long An</v>
      </c>
      <c r="C20854" t="str">
        <v>-</v>
      </c>
      <c r="D20854" t="str">
        <v>-</v>
      </c>
      <c r="E20854" t="str">
        <v/>
      </c>
      <c r="F20854" t="str">
        <v>-</v>
      </c>
      <c r="G20854" t="str">
        <v>-</v>
      </c>
    </row>
    <row r="20855">
      <c r="B20855" t="str">
        <v>UBND Ủy ban nhân dân xã Mỹ Hạnh Nam  tỉnh Long An</v>
      </c>
      <c r="C20855" t="str">
        <v>-</v>
      </c>
      <c r="D20855" t="str">
        <v>-</v>
      </c>
      <c r="E20855" t="str">
        <v>-</v>
      </c>
      <c r="F20855" t="str">
        <v>-</v>
      </c>
      <c r="G20855" t="str">
        <v>-</v>
      </c>
    </row>
    <row r="20856">
      <c r="B20856" t="str">
        <v>Công an xã Hòa Khánh Nam  tỉnh Long An</v>
      </c>
      <c r="C20856" t="str">
        <v>-</v>
      </c>
      <c r="D20856" t="str">
        <v>-</v>
      </c>
      <c r="E20856" t="str">
        <v/>
      </c>
      <c r="F20856" t="str">
        <v>-</v>
      </c>
      <c r="G20856" t="str">
        <v>-</v>
      </c>
    </row>
    <row r="20857">
      <c r="B20857" t="str">
        <v>UBND Ủy ban nhân dân xã Hòa Khánh Nam  tỉnh Long An</v>
      </c>
      <c r="C20857" t="str">
        <v>-</v>
      </c>
      <c r="D20857" t="str">
        <v>-</v>
      </c>
      <c r="E20857" t="str">
        <v>-</v>
      </c>
      <c r="F20857" t="str">
        <v>-</v>
      </c>
      <c r="G20857" t="str">
        <v>-</v>
      </c>
    </row>
    <row r="20858">
      <c r="B20858" t="str">
        <v>Công an xã Đức Hòa Đông  tỉnh Long An</v>
      </c>
      <c r="C20858" t="str">
        <v>-</v>
      </c>
      <c r="D20858" t="str">
        <v>-</v>
      </c>
      <c r="E20858" t="str">
        <v/>
      </c>
      <c r="F20858" t="str">
        <v>-</v>
      </c>
      <c r="G20858" t="str">
        <v>-</v>
      </c>
    </row>
    <row r="20859">
      <c r="B20859" t="str">
        <v>UBND Ủy ban nhân dân xã Đức Hòa Đông  tỉnh Long An</v>
      </c>
      <c r="C20859" t="str">
        <v>-</v>
      </c>
      <c r="D20859" t="str">
        <v>-</v>
      </c>
      <c r="E20859" t="str">
        <v>-</v>
      </c>
      <c r="F20859" t="str">
        <v>-</v>
      </c>
      <c r="G20859" t="str">
        <v>-</v>
      </c>
    </row>
    <row r="20860">
      <c r="B20860" t="str">
        <v>Công an xã Đức Hòa Hạ  tỉnh Long An</v>
      </c>
      <c r="C20860" t="str">
        <v>-</v>
      </c>
      <c r="D20860" t="str">
        <v>-</v>
      </c>
      <c r="E20860" t="str">
        <v/>
      </c>
      <c r="F20860" t="str">
        <v>-</v>
      </c>
      <c r="G20860" t="str">
        <v>-</v>
      </c>
    </row>
    <row r="20861">
      <c r="B20861" t="str">
        <v>UBND Ủy ban nhân dân xã Đức Hòa Hạ  tỉnh Long An</v>
      </c>
      <c r="C20861" t="str">
        <v>-</v>
      </c>
      <c r="D20861" t="str">
        <v>-</v>
      </c>
      <c r="E20861" t="str">
        <v>-</v>
      </c>
      <c r="F20861" t="str">
        <v>-</v>
      </c>
      <c r="G20861" t="str">
        <v>-</v>
      </c>
    </row>
    <row r="20862">
      <c r="B20862" t="str">
        <v>Công an xã Hựu Thạnh  tỉnh Long An</v>
      </c>
      <c r="C20862" t="str">
        <v>-</v>
      </c>
      <c r="D20862" t="str">
        <v>-</v>
      </c>
      <c r="E20862" t="str">
        <v/>
      </c>
      <c r="F20862" t="str">
        <v>-</v>
      </c>
      <c r="G20862" t="str">
        <v>-</v>
      </c>
    </row>
    <row r="20863">
      <c r="B20863" t="str">
        <v>UBND Ủy ban nhân dân xã Hựu Thạnh  tỉnh Long An</v>
      </c>
      <c r="C20863" t="str">
        <v>-</v>
      </c>
      <c r="D20863" t="str">
        <v>-</v>
      </c>
      <c r="E20863" t="str">
        <v>-</v>
      </c>
      <c r="F20863" t="str">
        <v>-</v>
      </c>
      <c r="G20863" t="str">
        <v>-</v>
      </c>
    </row>
    <row r="20864">
      <c r="B20864" t="str">
        <v>Công an xã Thạnh Lợi  tỉnh Long An</v>
      </c>
      <c r="C20864" t="str">
        <v>-</v>
      </c>
      <c r="D20864" t="str">
        <v>-</v>
      </c>
      <c r="E20864" t="str">
        <v/>
      </c>
      <c r="F20864" t="str">
        <v>-</v>
      </c>
      <c r="G20864" t="str">
        <v>-</v>
      </c>
    </row>
    <row r="20865">
      <c r="B20865" t="str">
        <v>UBND Ủy ban nhân dân xã Thạnh Lợi  tỉnh Long An</v>
      </c>
      <c r="C20865" t="str">
        <v>-</v>
      </c>
      <c r="D20865" t="str">
        <v>-</v>
      </c>
      <c r="E20865" t="str">
        <v>-</v>
      </c>
      <c r="F20865" t="str">
        <v>-</v>
      </c>
      <c r="G20865" t="str">
        <v>-</v>
      </c>
    </row>
    <row r="20866">
      <c r="B20866" t="str">
        <v>Công an xã Lương Bình  tỉnh Long An</v>
      </c>
      <c r="C20866" t="str">
        <v>-</v>
      </c>
      <c r="D20866" t="str">
        <v>-</v>
      </c>
      <c r="E20866" t="str">
        <v/>
      </c>
      <c r="F20866" t="str">
        <v>-</v>
      </c>
      <c r="G20866" t="str">
        <v>-</v>
      </c>
    </row>
    <row r="20867">
      <c r="B20867" t="str">
        <v>UBND Ủy ban nhân dân xã Lương Bình  tỉnh Long An</v>
      </c>
      <c r="C20867" t="str">
        <v>-</v>
      </c>
      <c r="D20867" t="str">
        <v>-</v>
      </c>
      <c r="E20867" t="str">
        <v>-</v>
      </c>
      <c r="F20867" t="str">
        <v>-</v>
      </c>
      <c r="G20867" t="str">
        <v>-</v>
      </c>
    </row>
    <row r="20868">
      <c r="B20868" t="str">
        <v>Công an xã Thạnh Hòa  tỉnh Long An</v>
      </c>
      <c r="C20868" t="str">
        <v>-</v>
      </c>
      <c r="D20868" t="str">
        <v>-</v>
      </c>
      <c r="E20868" t="str">
        <v/>
      </c>
      <c r="F20868" t="str">
        <v>-</v>
      </c>
      <c r="G20868" t="str">
        <v>-</v>
      </c>
    </row>
    <row r="20869">
      <c r="B20869" t="str">
        <v>UBND Ủy ban nhân dân xã Thạnh Hòa  tỉnh Long An</v>
      </c>
      <c r="C20869" t="str">
        <v>-</v>
      </c>
      <c r="D20869" t="str">
        <v>-</v>
      </c>
      <c r="E20869" t="str">
        <v>-</v>
      </c>
      <c r="F20869" t="str">
        <v>-</v>
      </c>
      <c r="G20869" t="str">
        <v>-</v>
      </c>
    </row>
    <row r="20870">
      <c r="B20870" t="str">
        <v>Công an xã Lương Hòa  tỉnh Long An</v>
      </c>
      <c r="C20870" t="str">
        <v>-</v>
      </c>
      <c r="D20870" t="str">
        <v>-</v>
      </c>
      <c r="E20870" t="str">
        <v/>
      </c>
      <c r="F20870" t="str">
        <v>-</v>
      </c>
      <c r="G20870" t="str">
        <v>-</v>
      </c>
    </row>
    <row r="20871">
      <c r="B20871" t="str">
        <v>UBND Ủy ban nhân dân xã Lương Hòa  tỉnh Long An</v>
      </c>
      <c r="C20871" t="str">
        <v>-</v>
      </c>
      <c r="D20871" t="str">
        <v>-</v>
      </c>
      <c r="E20871" t="str">
        <v>-</v>
      </c>
      <c r="F20871" t="str">
        <v>-</v>
      </c>
      <c r="G20871" t="str">
        <v>-</v>
      </c>
    </row>
    <row r="20872">
      <c r="B20872" t="str">
        <v>Công an xã Tân Hòa  tỉnh Long An</v>
      </c>
      <c r="C20872" t="str">
        <v>-</v>
      </c>
      <c r="D20872" t="str">
        <v>-</v>
      </c>
      <c r="E20872" t="str">
        <v/>
      </c>
      <c r="F20872" t="str">
        <v>-</v>
      </c>
      <c r="G20872" t="str">
        <v>-</v>
      </c>
    </row>
    <row r="20873">
      <c r="B20873" t="str">
        <v>UBND Ủy ban nhân dân xã Tân Hòa  tỉnh Long An</v>
      </c>
      <c r="C20873" t="str">
        <v>-</v>
      </c>
      <c r="D20873" t="str">
        <v>-</v>
      </c>
      <c r="E20873" t="str">
        <v>-</v>
      </c>
      <c r="F20873" t="str">
        <v>-</v>
      </c>
      <c r="G20873" t="str">
        <v>-</v>
      </c>
    </row>
    <row r="20874">
      <c r="B20874" t="str">
        <v>Công an xã Tân Bửu  tỉnh Long An</v>
      </c>
      <c r="C20874" t="str">
        <v>-</v>
      </c>
      <c r="D20874" t="str">
        <v>-</v>
      </c>
      <c r="E20874" t="str">
        <v/>
      </c>
      <c r="F20874" t="str">
        <v>-</v>
      </c>
      <c r="G20874" t="str">
        <v>-</v>
      </c>
    </row>
    <row r="20875">
      <c r="B20875" t="str">
        <v>UBND Ủy ban nhân dân xã Tân Bửu  tỉnh Long An</v>
      </c>
      <c r="C20875" t="str">
        <v>-</v>
      </c>
      <c r="D20875" t="str">
        <v>-</v>
      </c>
      <c r="E20875" t="str">
        <v>-</v>
      </c>
      <c r="F20875" t="str">
        <v>-</v>
      </c>
      <c r="G20875" t="str">
        <v>-</v>
      </c>
    </row>
    <row r="20876">
      <c r="B20876" t="str">
        <v>Công an xã An Thạnh  tỉnh Long An</v>
      </c>
      <c r="C20876" t="str">
        <v>-</v>
      </c>
      <c r="D20876" t="str">
        <v>-</v>
      </c>
      <c r="E20876" t="str">
        <v/>
      </c>
      <c r="F20876" t="str">
        <v>-</v>
      </c>
      <c r="G20876" t="str">
        <v>-</v>
      </c>
    </row>
    <row r="20877">
      <c r="B20877" t="str">
        <v>UBND Ủy ban nhân dân xã An Thạnh  tỉnh Long An</v>
      </c>
      <c r="C20877" t="str">
        <v>-</v>
      </c>
      <c r="D20877" t="str">
        <v>-</v>
      </c>
      <c r="E20877" t="str">
        <v>-</v>
      </c>
      <c r="F20877" t="str">
        <v>-</v>
      </c>
      <c r="G20877" t="str">
        <v>-</v>
      </c>
    </row>
    <row r="20878">
      <c r="B20878" t="str">
        <v>Công an xã Bình Đức  tỉnh Long An</v>
      </c>
      <c r="C20878" t="str">
        <v>-</v>
      </c>
      <c r="D20878" t="str">
        <v>-</v>
      </c>
      <c r="E20878" t="str">
        <v/>
      </c>
      <c r="F20878" t="str">
        <v>-</v>
      </c>
      <c r="G20878" t="str">
        <v>-</v>
      </c>
    </row>
    <row r="20879">
      <c r="B20879" t="str">
        <v>UBND Ủy ban nhân dân xã Bình Đức  tỉnh Long An</v>
      </c>
      <c r="C20879" t="str">
        <v>-</v>
      </c>
      <c r="D20879" t="str">
        <v>-</v>
      </c>
      <c r="E20879" t="str">
        <v>-</v>
      </c>
      <c r="F20879" t="str">
        <v>-</v>
      </c>
      <c r="G20879" t="str">
        <v>-</v>
      </c>
    </row>
    <row r="20880">
      <c r="B20880" t="str">
        <v>Công an xã Mỹ Yên  tỉnh Long An</v>
      </c>
      <c r="C20880" t="str">
        <v>-</v>
      </c>
      <c r="D20880" t="str">
        <v>-</v>
      </c>
      <c r="E20880" t="str">
        <v/>
      </c>
      <c r="F20880" t="str">
        <v>-</v>
      </c>
      <c r="G20880" t="str">
        <v>-</v>
      </c>
    </row>
    <row r="20881">
      <c r="B20881" t="str">
        <v>UBND Ủy ban nhân dân xã Mỹ Yên  tỉnh Long An</v>
      </c>
      <c r="C20881" t="str">
        <v>-</v>
      </c>
      <c r="D20881" t="str">
        <v>-</v>
      </c>
      <c r="E20881" t="str">
        <v>-</v>
      </c>
      <c r="F20881" t="str">
        <v>-</v>
      </c>
      <c r="G20881" t="str">
        <v>-</v>
      </c>
    </row>
    <row r="20882">
      <c r="B20882" t="str">
        <v>Công an xã Thanh Phú  tỉnh Long An</v>
      </c>
      <c r="C20882" t="str">
        <v>-</v>
      </c>
      <c r="D20882" t="str">
        <v>-</v>
      </c>
      <c r="E20882" t="str">
        <v/>
      </c>
      <c r="F20882" t="str">
        <v>-</v>
      </c>
      <c r="G20882" t="str">
        <v>-</v>
      </c>
    </row>
    <row r="20883">
      <c r="B20883" t="str">
        <v>UBND Ủy ban nhân dân xã Thanh Phú  tỉnh Long An</v>
      </c>
      <c r="C20883" t="str">
        <v>-</v>
      </c>
      <c r="D20883" t="str">
        <v>-</v>
      </c>
      <c r="E20883" t="str">
        <v>-</v>
      </c>
      <c r="F20883" t="str">
        <v>-</v>
      </c>
      <c r="G20883" t="str">
        <v>-</v>
      </c>
    </row>
    <row r="20884">
      <c r="B20884" t="str">
        <v>Công an xã Long Hiệp  tỉnh Long An</v>
      </c>
      <c r="C20884" t="str">
        <v>-</v>
      </c>
      <c r="D20884" t="str">
        <v>-</v>
      </c>
      <c r="E20884" t="str">
        <v/>
      </c>
      <c r="F20884" t="str">
        <v>-</v>
      </c>
      <c r="G20884" t="str">
        <v>-</v>
      </c>
    </row>
    <row r="20885">
      <c r="B20885" t="str">
        <v>UBND Ủy ban nhân dân xã Long Hiệp  tỉnh Long An</v>
      </c>
      <c r="C20885" t="str">
        <v>-</v>
      </c>
      <c r="D20885" t="str">
        <v>-</v>
      </c>
      <c r="E20885" t="str">
        <v>-</v>
      </c>
      <c r="F20885" t="str">
        <v>-</v>
      </c>
      <c r="G20885" t="str">
        <v>-</v>
      </c>
    </row>
    <row r="20886">
      <c r="B20886" t="str">
        <v>Công an xã Thạnh Đức  tỉnh Long An</v>
      </c>
      <c r="C20886" t="str">
        <v>-</v>
      </c>
      <c r="D20886" t="str">
        <v>-</v>
      </c>
      <c r="E20886" t="str">
        <v/>
      </c>
      <c r="F20886" t="str">
        <v>-</v>
      </c>
      <c r="G20886" t="str">
        <v>-</v>
      </c>
    </row>
    <row r="20887">
      <c r="B20887" t="str">
        <v>UBND Ủy ban nhân dân xã Thạnh Đức  tỉnh Long An</v>
      </c>
      <c r="C20887" t="str">
        <v>-</v>
      </c>
      <c r="D20887" t="str">
        <v>-</v>
      </c>
      <c r="E20887" t="str">
        <v>-</v>
      </c>
      <c r="F20887" t="str">
        <v>-</v>
      </c>
      <c r="G20887" t="str">
        <v>-</v>
      </c>
    </row>
    <row r="20888">
      <c r="B20888" t="str">
        <v>Công an xã Phước Lợi  tỉnh Long An</v>
      </c>
      <c r="C20888" t="str">
        <v>-</v>
      </c>
      <c r="D20888" t="str">
        <v>-</v>
      </c>
      <c r="E20888" t="str">
        <v/>
      </c>
      <c r="F20888" t="str">
        <v>-</v>
      </c>
      <c r="G20888" t="str">
        <v>-</v>
      </c>
    </row>
    <row r="20889">
      <c r="B20889" t="str">
        <v>UBND Ủy ban nhân dân xã Phước Lợi  tỉnh Long An</v>
      </c>
      <c r="C20889" t="str">
        <v>-</v>
      </c>
      <c r="D20889" t="str">
        <v>-</v>
      </c>
      <c r="E20889" t="str">
        <v>-</v>
      </c>
      <c r="F20889" t="str">
        <v>-</v>
      </c>
      <c r="G20889" t="str">
        <v>-</v>
      </c>
    </row>
    <row r="20890">
      <c r="B20890" t="str">
        <v>Công an xã Nhựt Chánh  tỉnh Long An</v>
      </c>
      <c r="C20890" t="str">
        <v>-</v>
      </c>
      <c r="D20890" t="str">
        <v>-</v>
      </c>
      <c r="E20890" t="str">
        <v/>
      </c>
      <c r="F20890" t="str">
        <v>-</v>
      </c>
      <c r="G20890" t="str">
        <v>-</v>
      </c>
    </row>
    <row r="20891">
      <c r="B20891" t="str">
        <v>UBND Ủy ban nhân dân xã Nhựt Chánh  tỉnh Long An</v>
      </c>
      <c r="C20891" t="str">
        <v>-</v>
      </c>
      <c r="D20891" t="str">
        <v>-</v>
      </c>
      <c r="E20891" t="str">
        <v>-</v>
      </c>
      <c r="F20891" t="str">
        <v>-</v>
      </c>
      <c r="G20891" t="str">
        <v>-</v>
      </c>
    </row>
    <row r="20892">
      <c r="B20892" t="str">
        <v>Công an xã Long Thạnh  tỉnh Long An</v>
      </c>
      <c r="C20892" t="str">
        <v>-</v>
      </c>
      <c r="D20892" t="str">
        <v>-</v>
      </c>
      <c r="E20892" t="str">
        <v/>
      </c>
      <c r="F20892" t="str">
        <v>-</v>
      </c>
      <c r="G20892" t="str">
        <v>-</v>
      </c>
    </row>
    <row r="20893">
      <c r="B20893" t="str">
        <v>UBND Ủy ban nhân dân xã Long Thạnh  tỉnh Long An</v>
      </c>
      <c r="C20893" t="str">
        <v>-</v>
      </c>
      <c r="D20893" t="str">
        <v>-</v>
      </c>
      <c r="E20893" t="str">
        <v>-</v>
      </c>
      <c r="F20893" t="str">
        <v>-</v>
      </c>
      <c r="G20893" t="str">
        <v>-</v>
      </c>
    </row>
    <row r="20894">
      <c r="B20894" t="str">
        <v>Công an xã Tân Thành  tỉnh Long An</v>
      </c>
      <c r="C20894" t="str">
        <v>-</v>
      </c>
      <c r="D20894" t="str">
        <v>-</v>
      </c>
      <c r="E20894" t="str">
        <v/>
      </c>
      <c r="F20894" t="str">
        <v>-</v>
      </c>
      <c r="G20894" t="str">
        <v>-</v>
      </c>
    </row>
    <row r="20895">
      <c r="B20895" t="str">
        <v>UBND Ủy ban nhân dân xã Tân Thành  tỉnh Long An</v>
      </c>
      <c r="C20895" t="str">
        <v>-</v>
      </c>
      <c r="D20895" t="str">
        <v>-</v>
      </c>
      <c r="E20895" t="str">
        <v>-</v>
      </c>
      <c r="F20895" t="str">
        <v>-</v>
      </c>
      <c r="G20895" t="str">
        <v>-</v>
      </c>
    </row>
    <row r="20896">
      <c r="B20896" t="str">
        <v>Công an xã Long Thuận  tỉnh Long An</v>
      </c>
      <c r="C20896" t="str">
        <v>-</v>
      </c>
      <c r="D20896" t="str">
        <v>-</v>
      </c>
      <c r="E20896" t="str">
        <v/>
      </c>
      <c r="F20896" t="str">
        <v>-</v>
      </c>
      <c r="G20896" t="str">
        <v>-</v>
      </c>
    </row>
    <row r="20897">
      <c r="B20897" t="str">
        <v>UBND Ủy ban nhân dân xã Long Thuận  tỉnh Long An</v>
      </c>
      <c r="C20897" t="str">
        <v>-</v>
      </c>
      <c r="D20897" t="str">
        <v>-</v>
      </c>
      <c r="E20897" t="str">
        <v>-</v>
      </c>
      <c r="F20897" t="str">
        <v>-</v>
      </c>
      <c r="G20897" t="str">
        <v>-</v>
      </c>
    </row>
    <row r="20898">
      <c r="B20898" t="str">
        <v>Công an xã Mỹ Lạc  tỉnh Long An</v>
      </c>
      <c r="C20898" t="str">
        <v>-</v>
      </c>
      <c r="D20898" t="str">
        <v>-</v>
      </c>
      <c r="E20898" t="str">
        <v/>
      </c>
      <c r="F20898" t="str">
        <v>-</v>
      </c>
      <c r="G20898" t="str">
        <v>-</v>
      </c>
    </row>
    <row r="20899">
      <c r="B20899" t="str">
        <v>UBND Ủy ban nhân dân xã Mỹ Lạc  tỉnh Long An</v>
      </c>
      <c r="C20899" t="str">
        <v>-</v>
      </c>
      <c r="D20899" t="str">
        <v>-</v>
      </c>
      <c r="E20899" t="str">
        <v>-</v>
      </c>
      <c r="F20899" t="str">
        <v>-</v>
      </c>
      <c r="G20899" t="str">
        <v>-</v>
      </c>
    </row>
    <row r="20900">
      <c r="B20900" t="str">
        <v>Công an xã Mỹ Thạnh  tỉnh Long An</v>
      </c>
      <c r="C20900" t="str">
        <v>-</v>
      </c>
      <c r="D20900" t="str">
        <v>-</v>
      </c>
      <c r="E20900" t="str">
        <v/>
      </c>
      <c r="F20900" t="str">
        <v>-</v>
      </c>
      <c r="G20900" t="str">
        <v>-</v>
      </c>
    </row>
    <row r="20901">
      <c r="B20901" t="str">
        <v>UBND Ủy ban nhân dân xã Mỹ Thạnh  tỉnh Long An</v>
      </c>
      <c r="C20901" t="str">
        <v>-</v>
      </c>
      <c r="D20901" t="str">
        <v>-</v>
      </c>
      <c r="E20901" t="str">
        <v>-</v>
      </c>
      <c r="F20901" t="str">
        <v>-</v>
      </c>
      <c r="G20901" t="str">
        <v>-</v>
      </c>
    </row>
    <row r="20902">
      <c r="B20902" t="str">
        <v>Công an xã Bình An  tỉnh Long An</v>
      </c>
      <c r="C20902" t="str">
        <v>-</v>
      </c>
      <c r="D20902" t="str">
        <v>-</v>
      </c>
      <c r="E20902" t="str">
        <v/>
      </c>
      <c r="F20902" t="str">
        <v>-</v>
      </c>
      <c r="G20902" t="str">
        <v>-</v>
      </c>
    </row>
    <row r="20903">
      <c r="B20903" t="str">
        <v>UBND Ủy ban nhân dân xã Bình An  tỉnh Long An</v>
      </c>
      <c r="C20903" t="str">
        <v>-</v>
      </c>
      <c r="D20903" t="str">
        <v>-</v>
      </c>
      <c r="E20903" t="str">
        <v>-</v>
      </c>
      <c r="F20903" t="str">
        <v>-</v>
      </c>
      <c r="G20903" t="str">
        <v>-</v>
      </c>
    </row>
    <row r="20904">
      <c r="B20904" t="str">
        <v>Công an xã Nhị Thành  tỉnh Long An</v>
      </c>
      <c r="C20904" t="str">
        <v>-</v>
      </c>
      <c r="D20904" t="str">
        <v>-</v>
      </c>
      <c r="E20904" t="str">
        <v/>
      </c>
      <c r="F20904" t="str">
        <v>-</v>
      </c>
      <c r="G20904" t="str">
        <v>-</v>
      </c>
    </row>
    <row r="20905">
      <c r="B20905" t="str">
        <v>UBND Ủy ban nhân dân xã Nhị Thành  tỉnh Long An</v>
      </c>
      <c r="C20905" t="str">
        <v>-</v>
      </c>
      <c r="D20905" t="str">
        <v>-</v>
      </c>
      <c r="E20905" t="str">
        <v>-</v>
      </c>
      <c r="F20905" t="str">
        <v>-</v>
      </c>
      <c r="G20905" t="str">
        <v>-</v>
      </c>
    </row>
    <row r="20906">
      <c r="B20906" t="str">
        <v>Công an xã Mỹ An  tỉnh Long An</v>
      </c>
      <c r="C20906" t="str">
        <v>-</v>
      </c>
      <c r="D20906" t="str">
        <v>-</v>
      </c>
      <c r="E20906" t="str">
        <v/>
      </c>
      <c r="F20906" t="str">
        <v>-</v>
      </c>
      <c r="G20906" t="str">
        <v>-</v>
      </c>
    </row>
    <row r="20907">
      <c r="B20907" t="str">
        <v>UBND Ủy ban nhân dân xã Mỹ An  tỉnh Long An</v>
      </c>
      <c r="C20907" t="str">
        <v>-</v>
      </c>
      <c r="D20907" t="str">
        <v>-</v>
      </c>
      <c r="E20907" t="str">
        <v>-</v>
      </c>
      <c r="F20907" t="str">
        <v>-</v>
      </c>
      <c r="G20907" t="str">
        <v>-</v>
      </c>
    </row>
    <row r="20908">
      <c r="B20908" t="str">
        <v>Công an xã Bình Thạnh  tỉnh Long An</v>
      </c>
      <c r="C20908" t="str">
        <v>-</v>
      </c>
      <c r="D20908" t="str">
        <v>-</v>
      </c>
      <c r="E20908" t="str">
        <v/>
      </c>
      <c r="F20908" t="str">
        <v>-</v>
      </c>
      <c r="G20908" t="str">
        <v>-</v>
      </c>
    </row>
    <row r="20909">
      <c r="B20909" t="str">
        <v>UBND Ủy ban nhân dân xã Bình Thạnh  tỉnh Long An</v>
      </c>
      <c r="C20909" t="str">
        <v>-</v>
      </c>
      <c r="D20909" t="str">
        <v>-</v>
      </c>
      <c r="E20909" t="str">
        <v>-</v>
      </c>
      <c r="F20909" t="str">
        <v>-</v>
      </c>
      <c r="G20909" t="str">
        <v>-</v>
      </c>
    </row>
    <row r="20910">
      <c r="B20910" t="str">
        <v>Công an xã Mỹ Phú  tỉnh Long An</v>
      </c>
      <c r="C20910" t="str">
        <v>-</v>
      </c>
      <c r="D20910" t="str">
        <v>-</v>
      </c>
      <c r="E20910" t="str">
        <v/>
      </c>
      <c r="F20910" t="str">
        <v>-</v>
      </c>
      <c r="G20910" t="str">
        <v>-</v>
      </c>
    </row>
    <row r="20911">
      <c r="B20911" t="str">
        <v>UBND Ủy ban nhân dân xã Mỹ Phú  tỉnh Long An</v>
      </c>
      <c r="C20911" t="str">
        <v>-</v>
      </c>
      <c r="D20911" t="str">
        <v>-</v>
      </c>
      <c r="E20911" t="str">
        <v>-</v>
      </c>
      <c r="F20911" t="str">
        <v>-</v>
      </c>
      <c r="G20911" t="str">
        <v>-</v>
      </c>
    </row>
    <row r="20912">
      <c r="B20912" t="str">
        <v>Công an xã Long Thành  tỉnh Long An</v>
      </c>
      <c r="C20912" t="str">
        <v>-</v>
      </c>
      <c r="D20912" t="str">
        <v>-</v>
      </c>
      <c r="E20912" t="str">
        <v/>
      </c>
      <c r="F20912" t="str">
        <v>-</v>
      </c>
      <c r="G20912" t="str">
        <v>-</v>
      </c>
    </row>
    <row r="20913">
      <c r="B20913" t="str">
        <v>UBND Ủy ban nhân dân xã Long Thành  tỉnh Long An</v>
      </c>
      <c r="C20913" t="str">
        <v>-</v>
      </c>
      <c r="D20913" t="str">
        <v>-</v>
      </c>
      <c r="E20913" t="str">
        <v>-</v>
      </c>
      <c r="F20913" t="str">
        <v>-</v>
      </c>
      <c r="G20913" t="str">
        <v>-</v>
      </c>
    </row>
    <row r="20914">
      <c r="B20914" t="str">
        <v>Công an xã Tân Lập  tỉnh Long An</v>
      </c>
      <c r="C20914" t="str">
        <v>-</v>
      </c>
      <c r="D20914" t="str">
        <v>-</v>
      </c>
      <c r="E20914" t="str">
        <v/>
      </c>
      <c r="F20914" t="str">
        <v>-</v>
      </c>
      <c r="G20914" t="str">
        <v>-</v>
      </c>
    </row>
    <row r="20915">
      <c r="B20915" t="str">
        <v>UBND Ủy ban nhân dân xã Tân Lập  tỉnh Long An</v>
      </c>
      <c r="C20915" t="str">
        <v>-</v>
      </c>
      <c r="D20915" t="str">
        <v>-</v>
      </c>
      <c r="E20915" t="str">
        <v>-</v>
      </c>
      <c r="F20915" t="str">
        <v>-</v>
      </c>
      <c r="G20915" t="str">
        <v>-</v>
      </c>
    </row>
    <row r="20916">
      <c r="B20916" t="str">
        <v>Công an xã Mỹ Bình  tỉnh Long An</v>
      </c>
      <c r="C20916" t="str">
        <v>-</v>
      </c>
      <c r="D20916" t="str">
        <v>-</v>
      </c>
      <c r="E20916" t="str">
        <v/>
      </c>
      <c r="F20916" t="str">
        <v>-</v>
      </c>
      <c r="G20916" t="str">
        <v>-</v>
      </c>
    </row>
    <row r="20917">
      <c r="B20917" t="str">
        <v>UBND Ủy ban nhân dân xã Mỹ Bình  tỉnh Long An</v>
      </c>
      <c r="C20917" t="str">
        <v>-</v>
      </c>
      <c r="D20917" t="str">
        <v>-</v>
      </c>
      <c r="E20917" t="str">
        <v>-</v>
      </c>
      <c r="F20917" t="str">
        <v>-</v>
      </c>
      <c r="G20917" t="str">
        <v>-</v>
      </c>
    </row>
    <row r="20918">
      <c r="B20918" t="str">
        <v>Công an xã An Nhựt Tân  tỉnh Long An</v>
      </c>
      <c r="C20918" t="str">
        <v>-</v>
      </c>
      <c r="D20918" t="str">
        <v>-</v>
      </c>
      <c r="E20918" t="str">
        <v/>
      </c>
      <c r="F20918" t="str">
        <v>-</v>
      </c>
      <c r="G20918" t="str">
        <v>-</v>
      </c>
    </row>
    <row r="20919">
      <c r="B20919" t="str">
        <v>UBND Ủy ban nhân dân xã An Nhựt Tân  tỉnh Long An</v>
      </c>
      <c r="C20919" t="str">
        <v>-</v>
      </c>
      <c r="D20919" t="str">
        <v>-</v>
      </c>
      <c r="E20919" t="str">
        <v>-</v>
      </c>
      <c r="F20919" t="str">
        <v>-</v>
      </c>
      <c r="G20919" t="str">
        <v>-</v>
      </c>
    </row>
    <row r="20920">
      <c r="B20920" t="str">
        <v>Công an xã Quê Mỹ Thạnh  tỉnh Long An</v>
      </c>
      <c r="C20920" t="str">
        <v>-</v>
      </c>
      <c r="D20920" t="str">
        <v>-</v>
      </c>
      <c r="E20920" t="str">
        <v/>
      </c>
      <c r="F20920" t="str">
        <v>-</v>
      </c>
      <c r="G20920" t="str">
        <v>-</v>
      </c>
    </row>
    <row r="20921">
      <c r="B20921" t="str">
        <v>UBND Ủy ban nhân dân xã Quê Mỹ Thạnh  tỉnh Long An</v>
      </c>
      <c r="C20921" t="str">
        <v>-</v>
      </c>
      <c r="D20921" t="str">
        <v>-</v>
      </c>
      <c r="E20921" t="str">
        <v>-</v>
      </c>
      <c r="F20921" t="str">
        <v>-</v>
      </c>
      <c r="G20921" t="str">
        <v>-</v>
      </c>
    </row>
    <row r="20922">
      <c r="B20922" t="str">
        <v>Công an xã Lạc Tấn  tỉnh Long An</v>
      </c>
      <c r="C20922" t="str">
        <v>-</v>
      </c>
      <c r="D20922" t="str">
        <v>-</v>
      </c>
      <c r="E20922" t="str">
        <v/>
      </c>
      <c r="F20922" t="str">
        <v>-</v>
      </c>
      <c r="G20922" t="str">
        <v>-</v>
      </c>
    </row>
    <row r="20923">
      <c r="B20923" t="str">
        <v>UBND Ủy ban nhân dân xã Lạc Tấn  tỉnh Long An</v>
      </c>
      <c r="C20923" t="str">
        <v>-</v>
      </c>
      <c r="D20923" t="str">
        <v>-</v>
      </c>
      <c r="E20923" t="str">
        <v>-</v>
      </c>
      <c r="F20923" t="str">
        <v>-</v>
      </c>
      <c r="G20923" t="str">
        <v>-</v>
      </c>
    </row>
    <row r="20924">
      <c r="B20924" t="str">
        <v>Công an xã Bình Trinh Đông  tỉnh Long An</v>
      </c>
      <c r="C20924" t="str">
        <v>-</v>
      </c>
      <c r="D20924" t="str">
        <v>-</v>
      </c>
      <c r="E20924" t="str">
        <v/>
      </c>
      <c r="F20924" t="str">
        <v>-</v>
      </c>
      <c r="G20924" t="str">
        <v>-</v>
      </c>
    </row>
    <row r="20925">
      <c r="B20925" t="str">
        <v>UBND Ủy ban nhân dân xã Bình Trinh Đông  tỉnh Long An</v>
      </c>
      <c r="C20925" t="str">
        <v>-</v>
      </c>
      <c r="D20925" t="str">
        <v>-</v>
      </c>
      <c r="E20925" t="str">
        <v>-</v>
      </c>
      <c r="F20925" t="str">
        <v>-</v>
      </c>
      <c r="G20925" t="str">
        <v>-</v>
      </c>
    </row>
    <row r="20926">
      <c r="B20926" t="str">
        <v>Công an xã Tân Phước Tây  tỉnh Long An</v>
      </c>
      <c r="C20926" t="str">
        <v>-</v>
      </c>
      <c r="D20926" t="str">
        <v>-</v>
      </c>
      <c r="E20926" t="str">
        <v/>
      </c>
      <c r="F20926" t="str">
        <v>-</v>
      </c>
      <c r="G20926" t="str">
        <v>-</v>
      </c>
    </row>
    <row r="20927">
      <c r="B20927" t="str">
        <v>UBND Ủy ban nhân dân xã Tân Phước Tây  tỉnh Long An</v>
      </c>
      <c r="C20927" t="str">
        <v>-</v>
      </c>
      <c r="D20927" t="str">
        <v>-</v>
      </c>
      <c r="E20927" t="str">
        <v>-</v>
      </c>
      <c r="F20927" t="str">
        <v>-</v>
      </c>
      <c r="G20927" t="str">
        <v>-</v>
      </c>
    </row>
    <row r="20928">
      <c r="B20928" t="str">
        <v>Công an xã Bình Lãng  tỉnh Long An</v>
      </c>
      <c r="C20928" t="str">
        <v>-</v>
      </c>
      <c r="D20928" t="str">
        <v>-</v>
      </c>
      <c r="E20928" t="str">
        <v/>
      </c>
      <c r="F20928" t="str">
        <v>-</v>
      </c>
      <c r="G20928" t="str">
        <v>-</v>
      </c>
    </row>
    <row r="20929">
      <c r="B20929" t="str">
        <v>UBND Ủy ban nhân dân xã Bình Lãng  tỉnh Long An</v>
      </c>
      <c r="C20929" t="str">
        <v>-</v>
      </c>
      <c r="D20929" t="str">
        <v>-</v>
      </c>
      <c r="E20929" t="str">
        <v>-</v>
      </c>
      <c r="F20929" t="str">
        <v>-</v>
      </c>
      <c r="G20929" t="str">
        <v>-</v>
      </c>
    </row>
    <row r="20930">
      <c r="B20930" t="str">
        <v>Công an xã Bình Tịnh  tỉnh Long An</v>
      </c>
      <c r="C20930" t="str">
        <v>-</v>
      </c>
      <c r="D20930" t="str">
        <v>-</v>
      </c>
      <c r="E20930" t="str">
        <v/>
      </c>
      <c r="F20930" t="str">
        <v>-</v>
      </c>
      <c r="G20930" t="str">
        <v>-</v>
      </c>
    </row>
    <row r="20931">
      <c r="B20931" t="str">
        <v>UBND Ủy ban nhân dân xã Bình Tịnh  tỉnh Long An</v>
      </c>
      <c r="C20931" t="str">
        <v>-</v>
      </c>
      <c r="D20931" t="str">
        <v>-</v>
      </c>
      <c r="E20931" t="str">
        <v>-</v>
      </c>
      <c r="F20931" t="str">
        <v>-</v>
      </c>
      <c r="G20931" t="str">
        <v>-</v>
      </c>
    </row>
    <row r="20932">
      <c r="B20932" t="str">
        <v>Công an xã Đức Tân  tỉnh Long An</v>
      </c>
      <c r="C20932" t="str">
        <v>-</v>
      </c>
      <c r="D20932" t="str">
        <v>-</v>
      </c>
      <c r="E20932" t="str">
        <v/>
      </c>
      <c r="F20932" t="str">
        <v>-</v>
      </c>
      <c r="G20932" t="str">
        <v>-</v>
      </c>
    </row>
    <row r="20933">
      <c r="B20933" t="str">
        <v>UBND Ủy ban nhân dân xã Đức Tân  tỉnh Long An</v>
      </c>
      <c r="C20933" t="str">
        <v>-</v>
      </c>
      <c r="D20933" t="str">
        <v>-</v>
      </c>
      <c r="E20933" t="str">
        <v>-</v>
      </c>
      <c r="F20933" t="str">
        <v>-</v>
      </c>
      <c r="G20933" t="str">
        <v>-</v>
      </c>
    </row>
    <row r="20934">
      <c r="B20934" t="str">
        <v>Công an xã Nhựt Ninh  tỉnh Long An</v>
      </c>
      <c r="C20934" t="str">
        <v>-</v>
      </c>
      <c r="D20934" t="str">
        <v>-</v>
      </c>
      <c r="E20934" t="str">
        <v/>
      </c>
      <c r="F20934" t="str">
        <v>-</v>
      </c>
      <c r="G20934" t="str">
        <v>-</v>
      </c>
    </row>
    <row r="20935">
      <c r="B20935" t="str">
        <v>UBND Ủy ban nhân dân xã Nhựt Ninh  tỉnh Long An</v>
      </c>
      <c r="C20935" t="str">
        <v>-</v>
      </c>
      <c r="D20935" t="str">
        <v>-</v>
      </c>
      <c r="E20935" t="str">
        <v>-</v>
      </c>
      <c r="F20935" t="str">
        <v>-</v>
      </c>
      <c r="G20935" t="str">
        <v>-</v>
      </c>
    </row>
    <row r="20936">
      <c r="B20936" t="str">
        <v>Công an xã Long Trạch  tỉnh Long An</v>
      </c>
      <c r="C20936" t="str">
        <v>-</v>
      </c>
      <c r="D20936" t="str">
        <v>-</v>
      </c>
      <c r="E20936" t="str">
        <v/>
      </c>
      <c r="F20936" t="str">
        <v>-</v>
      </c>
      <c r="G20936" t="str">
        <v>-</v>
      </c>
    </row>
    <row r="20937">
      <c r="B20937" t="str">
        <v>UBND Ủy ban nhân dân xã Long Trạch  tỉnh Long An</v>
      </c>
      <c r="C20937" t="str">
        <v>-</v>
      </c>
      <c r="D20937" t="str">
        <v>-</v>
      </c>
      <c r="E20937" t="str">
        <v>-</v>
      </c>
      <c r="F20937" t="str">
        <v>-</v>
      </c>
      <c r="G20937" t="str">
        <v>-</v>
      </c>
    </row>
    <row r="20938">
      <c r="B20938" t="str">
        <v>Công an xã Long Khê  tỉnh Long An</v>
      </c>
      <c r="C20938" t="str">
        <v>-</v>
      </c>
      <c r="D20938" t="str">
        <v>-</v>
      </c>
      <c r="E20938" t="str">
        <v/>
      </c>
      <c r="F20938" t="str">
        <v>-</v>
      </c>
      <c r="G20938" t="str">
        <v>-</v>
      </c>
    </row>
    <row r="20939">
      <c r="B20939" t="str">
        <v>UBND Ủy ban nhân dân xã Long Khê  tỉnh Long An</v>
      </c>
      <c r="C20939" t="str">
        <v>-</v>
      </c>
      <c r="D20939" t="str">
        <v>-</v>
      </c>
      <c r="E20939" t="str">
        <v>-</v>
      </c>
      <c r="F20939" t="str">
        <v>-</v>
      </c>
      <c r="G20939" t="str">
        <v>-</v>
      </c>
    </row>
    <row r="20940">
      <c r="B20940" t="str">
        <v>Công an xã Long Định  tỉnh Long An</v>
      </c>
      <c r="C20940" t="str">
        <v>-</v>
      </c>
      <c r="D20940" t="str">
        <v>-</v>
      </c>
      <c r="E20940" t="str">
        <v/>
      </c>
      <c r="F20940" t="str">
        <v>-</v>
      </c>
      <c r="G20940" t="str">
        <v>-</v>
      </c>
    </row>
    <row r="20941">
      <c r="B20941" t="str">
        <v>UBND Ủy ban nhân dân xã Long Định  tỉnh Long An</v>
      </c>
      <c r="C20941" t="str">
        <v>-</v>
      </c>
      <c r="D20941" t="str">
        <v>-</v>
      </c>
      <c r="E20941" t="str">
        <v>-</v>
      </c>
      <c r="F20941" t="str">
        <v>-</v>
      </c>
      <c r="G20941" t="str">
        <v>-</v>
      </c>
    </row>
    <row r="20942">
      <c r="B20942" t="str">
        <v>Công an xã Phước Vân  tỉnh Long An</v>
      </c>
      <c r="C20942" t="str">
        <v>-</v>
      </c>
      <c r="D20942" t="str">
        <v>-</v>
      </c>
      <c r="E20942" t="str">
        <v/>
      </c>
      <c r="F20942" t="str">
        <v>-</v>
      </c>
      <c r="G20942" t="str">
        <v>-</v>
      </c>
    </row>
    <row r="20943">
      <c r="B20943" t="str">
        <v>UBND Ủy ban nhân dân xã Phước Vân  tỉnh Long An</v>
      </c>
      <c r="C20943" t="str">
        <v>-</v>
      </c>
      <c r="D20943" t="str">
        <v>-</v>
      </c>
      <c r="E20943" t="str">
        <v>-</v>
      </c>
      <c r="F20943" t="str">
        <v>-</v>
      </c>
      <c r="G20943" t="str">
        <v>-</v>
      </c>
    </row>
    <row r="20944">
      <c r="B20944" t="str">
        <v>Công an xã Long Hòa  tỉnh Long An</v>
      </c>
      <c r="C20944" t="str">
        <v>-</v>
      </c>
      <c r="D20944" t="str">
        <v>-</v>
      </c>
      <c r="E20944" t="str">
        <v/>
      </c>
      <c r="F20944" t="str">
        <v>-</v>
      </c>
      <c r="G20944" t="str">
        <v>-</v>
      </c>
    </row>
    <row r="20945">
      <c r="B20945" t="str">
        <v>UBND Ủy ban nhân dân xã Long Hòa  tỉnh Long An</v>
      </c>
      <c r="C20945" t="str">
        <v>-</v>
      </c>
      <c r="D20945" t="str">
        <v>-</v>
      </c>
      <c r="E20945" t="str">
        <v>-</v>
      </c>
      <c r="F20945" t="str">
        <v>-</v>
      </c>
      <c r="G20945" t="str">
        <v>-</v>
      </c>
    </row>
    <row r="20946">
      <c r="B20946" t="str">
        <v>Công an xã Long Cang  tỉnh Long An</v>
      </c>
      <c r="C20946" t="str">
        <v>-</v>
      </c>
      <c r="D20946" t="str">
        <v>-</v>
      </c>
      <c r="E20946" t="str">
        <v/>
      </c>
      <c r="F20946" t="str">
        <v>-</v>
      </c>
      <c r="G20946" t="str">
        <v>-</v>
      </c>
    </row>
    <row r="20947">
      <c r="B20947" t="str">
        <v>UBND Ủy ban nhân dân xã Long Cang  tỉnh Long An</v>
      </c>
      <c r="C20947" t="str">
        <v>-</v>
      </c>
      <c r="D20947" t="str">
        <v>-</v>
      </c>
      <c r="E20947" t="str">
        <v>-</v>
      </c>
      <c r="F20947" t="str">
        <v>-</v>
      </c>
      <c r="G20947" t="str">
        <v>-</v>
      </c>
    </row>
    <row r="20948">
      <c r="B20948" t="str">
        <v>Công an xã Long Sơn  tỉnh Long An</v>
      </c>
      <c r="C20948" t="str">
        <v>-</v>
      </c>
      <c r="D20948" t="str">
        <v>-</v>
      </c>
      <c r="E20948" t="str">
        <v/>
      </c>
      <c r="F20948" t="str">
        <v>-</v>
      </c>
      <c r="G20948" t="str">
        <v>-</v>
      </c>
    </row>
    <row r="20949">
      <c r="B20949" t="str">
        <v>UBND Ủy ban nhân dân xã Long Sơn  tỉnh Long An</v>
      </c>
      <c r="C20949" t="str">
        <v>-</v>
      </c>
      <c r="D20949" t="str">
        <v>-</v>
      </c>
      <c r="E20949" t="str">
        <v>-</v>
      </c>
      <c r="F20949" t="str">
        <v>-</v>
      </c>
      <c r="G20949" t="str">
        <v>-</v>
      </c>
    </row>
    <row r="20950">
      <c r="B20950" t="str">
        <v>Công an xã Tân Trạch  tỉnh Long An</v>
      </c>
      <c r="C20950" t="str">
        <v>-</v>
      </c>
      <c r="D20950" t="str">
        <v>-</v>
      </c>
      <c r="E20950" t="str">
        <v/>
      </c>
      <c r="F20950" t="str">
        <v>-</v>
      </c>
      <c r="G20950" t="str">
        <v>-</v>
      </c>
    </row>
    <row r="20951">
      <c r="B20951" t="str">
        <v>UBND Ủy ban nhân dân xã Tân Trạch  tỉnh Long An</v>
      </c>
      <c r="C20951" t="str">
        <v>-</v>
      </c>
      <c r="D20951" t="str">
        <v>-</v>
      </c>
      <c r="E20951" t="str">
        <v>-</v>
      </c>
      <c r="F20951" t="str">
        <v>-</v>
      </c>
      <c r="G20951" t="str">
        <v>-</v>
      </c>
    </row>
    <row r="20952">
      <c r="B20952" t="str">
        <v>Công an xã Mỹ Lệ  tỉnh Long An</v>
      </c>
      <c r="C20952" t="str">
        <v>-</v>
      </c>
      <c r="D20952" t="str">
        <v>-</v>
      </c>
      <c r="E20952" t="str">
        <v/>
      </c>
      <c r="F20952" t="str">
        <v>-</v>
      </c>
      <c r="G20952" t="str">
        <v>-</v>
      </c>
    </row>
    <row r="20953">
      <c r="B20953" t="str">
        <v>UBND Ủy ban nhân dân xã Mỹ Lệ  tỉnh Long An</v>
      </c>
      <c r="C20953" t="str">
        <v>-</v>
      </c>
      <c r="D20953" t="str">
        <v>-</v>
      </c>
      <c r="E20953" t="str">
        <v>-</v>
      </c>
      <c r="F20953" t="str">
        <v>-</v>
      </c>
      <c r="G20953" t="str">
        <v>-</v>
      </c>
    </row>
    <row r="20954">
      <c r="B20954" t="str">
        <v>Công an xã Tân Lân  tỉnh Long An</v>
      </c>
      <c r="C20954" t="str">
        <v>-</v>
      </c>
      <c r="D20954" t="str">
        <v>-</v>
      </c>
      <c r="E20954" t="str">
        <v/>
      </c>
      <c r="F20954" t="str">
        <v>-</v>
      </c>
      <c r="G20954" t="str">
        <v>-</v>
      </c>
    </row>
    <row r="20955">
      <c r="B20955" t="str">
        <v>UBND Ủy ban nhân dân xã Tân Lân  tỉnh Long An</v>
      </c>
      <c r="C20955" t="str">
        <v>-</v>
      </c>
      <c r="D20955" t="str">
        <v>-</v>
      </c>
      <c r="E20955" t="str">
        <v>-</v>
      </c>
      <c r="F20955" t="str">
        <v>-</v>
      </c>
      <c r="G20955" t="str">
        <v>-</v>
      </c>
    </row>
    <row r="20956">
      <c r="B20956" t="str">
        <v>Công an xã Phước Tuy  tỉnh Long An</v>
      </c>
      <c r="C20956" t="str">
        <v>-</v>
      </c>
      <c r="D20956" t="str">
        <v>-</v>
      </c>
      <c r="E20956" t="str">
        <v/>
      </c>
      <c r="F20956" t="str">
        <v>-</v>
      </c>
      <c r="G20956" t="str">
        <v>-</v>
      </c>
    </row>
    <row r="20957">
      <c r="B20957" t="str">
        <v>UBND Ủy ban nhân dân xã Phước Tuy  tỉnh Long An</v>
      </c>
      <c r="C20957" t="str">
        <v>-</v>
      </c>
      <c r="D20957" t="str">
        <v>-</v>
      </c>
      <c r="E20957" t="str">
        <v>-</v>
      </c>
      <c r="F20957" t="str">
        <v>-</v>
      </c>
      <c r="G20957" t="str">
        <v>-</v>
      </c>
    </row>
    <row r="20958">
      <c r="B20958" t="str">
        <v>Công an xã Long Hựu Đông  tỉnh Long An</v>
      </c>
      <c r="C20958" t="str">
        <v>-</v>
      </c>
      <c r="D20958" t="str">
        <v>-</v>
      </c>
      <c r="E20958" t="str">
        <v/>
      </c>
      <c r="F20958" t="str">
        <v>-</v>
      </c>
      <c r="G20958" t="str">
        <v>-</v>
      </c>
    </row>
    <row r="20959">
      <c r="B20959" t="str">
        <v>UBND Ủy ban nhân dân xã Long Hựu Đông  tỉnh Long An</v>
      </c>
      <c r="C20959" t="str">
        <v>-</v>
      </c>
      <c r="D20959" t="str">
        <v>-</v>
      </c>
      <c r="E20959" t="str">
        <v>-</v>
      </c>
      <c r="F20959" t="str">
        <v>-</v>
      </c>
      <c r="G20959" t="str">
        <v>-</v>
      </c>
    </row>
    <row r="20960">
      <c r="B20960" t="str">
        <v>Công an xã Tân Ân  tỉnh Long An</v>
      </c>
      <c r="C20960" t="str">
        <v>-</v>
      </c>
      <c r="D20960" t="str">
        <v>-</v>
      </c>
      <c r="E20960" t="str">
        <v/>
      </c>
      <c r="F20960" t="str">
        <v>-</v>
      </c>
      <c r="G20960" t="str">
        <v>-</v>
      </c>
    </row>
    <row r="20961">
      <c r="B20961" t="str">
        <v>UBND Ủy ban nhân dân xã Tân Ân  tỉnh Long An</v>
      </c>
      <c r="C20961" t="str">
        <v>-</v>
      </c>
      <c r="D20961" t="str">
        <v>-</v>
      </c>
      <c r="E20961" t="str">
        <v>-</v>
      </c>
      <c r="F20961" t="str">
        <v>-</v>
      </c>
      <c r="G20961" t="str">
        <v>-</v>
      </c>
    </row>
    <row r="20962">
      <c r="B20962" t="str">
        <v>Công an xã Phước Đông  tỉnh Long An</v>
      </c>
      <c r="C20962" t="str">
        <v>-</v>
      </c>
      <c r="D20962" t="str">
        <v>-</v>
      </c>
      <c r="E20962" t="str">
        <v/>
      </c>
      <c r="F20962" t="str">
        <v>-</v>
      </c>
      <c r="G20962" t="str">
        <v>-</v>
      </c>
    </row>
    <row r="20963">
      <c r="B20963" t="str">
        <v>UBND Ủy ban nhân dân xã Phước Đông  tỉnh Long An</v>
      </c>
      <c r="C20963" t="str">
        <v>-</v>
      </c>
      <c r="D20963" t="str">
        <v>-</v>
      </c>
      <c r="E20963" t="str">
        <v>-</v>
      </c>
      <c r="F20963" t="str">
        <v>-</v>
      </c>
      <c r="G20963" t="str">
        <v>-</v>
      </c>
    </row>
    <row r="20964">
      <c r="B20964" t="str">
        <v>Công an xã Long Hựu Tây  tỉnh Long An</v>
      </c>
      <c r="C20964" t="str">
        <v>-</v>
      </c>
      <c r="D20964" t="str">
        <v>-</v>
      </c>
      <c r="E20964" t="str">
        <v/>
      </c>
      <c r="F20964" t="str">
        <v>-</v>
      </c>
      <c r="G20964" t="str">
        <v>-</v>
      </c>
    </row>
    <row r="20965">
      <c r="B20965" t="str">
        <v>UBND Ủy ban nhân dân xã Long Hựu Tây  tỉnh Long An</v>
      </c>
      <c r="C20965" t="str">
        <v>-</v>
      </c>
      <c r="D20965" t="str">
        <v>-</v>
      </c>
      <c r="E20965" t="str">
        <v>-</v>
      </c>
      <c r="F20965" t="str">
        <v>-</v>
      </c>
      <c r="G20965" t="str">
        <v>-</v>
      </c>
    </row>
    <row r="20966">
      <c r="B20966" t="str">
        <v>Công an xã Tân Chánh  tỉnh Long An</v>
      </c>
      <c r="C20966" t="str">
        <v>-</v>
      </c>
      <c r="D20966" t="str">
        <v>-</v>
      </c>
      <c r="E20966" t="str">
        <v/>
      </c>
      <c r="F20966" t="str">
        <v>-</v>
      </c>
      <c r="G20966" t="str">
        <v>-</v>
      </c>
    </row>
    <row r="20967">
      <c r="B20967" t="str">
        <v>UBND Ủy ban nhân dân xã Tân Chánh  tỉnh Long An</v>
      </c>
      <c r="C20967" t="str">
        <v>-</v>
      </c>
      <c r="D20967" t="str">
        <v>-</v>
      </c>
      <c r="E20967" t="str">
        <v>-</v>
      </c>
      <c r="F20967" t="str">
        <v>-</v>
      </c>
      <c r="G20967" t="str">
        <v>-</v>
      </c>
    </row>
    <row r="20968">
      <c r="B20968" t="str">
        <v>Công an xã Phước Lý  tỉnh Long An</v>
      </c>
      <c r="C20968" t="str">
        <v>-</v>
      </c>
      <c r="D20968" t="str">
        <v>-</v>
      </c>
      <c r="E20968" t="str">
        <v/>
      </c>
      <c r="F20968" t="str">
        <v>-</v>
      </c>
      <c r="G20968" t="str">
        <v>-</v>
      </c>
    </row>
    <row r="20969">
      <c r="B20969" t="str">
        <v>UBND Ủy ban nhân dân xã Phước Lý  tỉnh Long An</v>
      </c>
      <c r="C20969" t="str">
        <v>-</v>
      </c>
      <c r="D20969" t="str">
        <v>-</v>
      </c>
      <c r="E20969" t="str">
        <v>-</v>
      </c>
      <c r="F20969" t="str">
        <v>-</v>
      </c>
      <c r="G20969" t="str">
        <v>-</v>
      </c>
    </row>
    <row r="20970">
      <c r="B20970" t="str">
        <v>Công an xã Long Thượng  tỉnh Long An</v>
      </c>
      <c r="C20970" t="str">
        <v>-</v>
      </c>
      <c r="D20970" t="str">
        <v>-</v>
      </c>
      <c r="E20970" t="str">
        <v/>
      </c>
      <c r="F20970" t="str">
        <v>-</v>
      </c>
      <c r="G20970" t="str">
        <v>-</v>
      </c>
    </row>
    <row r="20971">
      <c r="B20971" t="str">
        <v>UBND Ủy ban nhân dân xã Long Thượng  tỉnh Long An</v>
      </c>
      <c r="C20971" t="str">
        <v>-</v>
      </c>
      <c r="D20971" t="str">
        <v>-</v>
      </c>
      <c r="E20971" t="str">
        <v>-</v>
      </c>
      <c r="F20971" t="str">
        <v>-</v>
      </c>
      <c r="G20971" t="str">
        <v>-</v>
      </c>
    </row>
    <row r="20972">
      <c r="B20972" t="str">
        <v>Công an xã Long Hậu  tỉnh Long An</v>
      </c>
      <c r="C20972" t="str">
        <v>-</v>
      </c>
      <c r="D20972" t="str">
        <v>-</v>
      </c>
      <c r="E20972" t="str">
        <v/>
      </c>
      <c r="F20972" t="str">
        <v>-</v>
      </c>
      <c r="G20972" t="str">
        <v>-</v>
      </c>
    </row>
    <row r="20973">
      <c r="B20973" t="str">
        <v>UBND Ủy ban nhân dân xã Long Hậu  tỉnh Long An</v>
      </c>
      <c r="C20973" t="str">
        <v>-</v>
      </c>
      <c r="D20973" t="str">
        <v>-</v>
      </c>
      <c r="E20973" t="str">
        <v>-</v>
      </c>
      <c r="F20973" t="str">
        <v>-</v>
      </c>
      <c r="G20973" t="str">
        <v>-</v>
      </c>
    </row>
    <row r="20974">
      <c r="B20974" t="str">
        <v>Công an xã Tân Kim  tỉnh Long An</v>
      </c>
      <c r="C20974" t="str">
        <v>-</v>
      </c>
      <c r="D20974" t="str">
        <v>-</v>
      </c>
      <c r="E20974" t="str">
        <v/>
      </c>
      <c r="F20974" t="str">
        <v>-</v>
      </c>
      <c r="G20974" t="str">
        <v>-</v>
      </c>
    </row>
    <row r="20975">
      <c r="B20975" t="str">
        <v>UBND Ủy ban nhân dân xã Tân Kim  tỉnh Long An</v>
      </c>
      <c r="C20975" t="str">
        <v>-</v>
      </c>
      <c r="D20975" t="str">
        <v>-</v>
      </c>
      <c r="E20975" t="str">
        <v>-</v>
      </c>
      <c r="F20975" t="str">
        <v>-</v>
      </c>
      <c r="G20975" t="str">
        <v>-</v>
      </c>
    </row>
    <row r="20976">
      <c r="B20976" t="str">
        <v>Công an xã Phước Hậu  tỉnh Long An</v>
      </c>
      <c r="C20976" t="str">
        <v>-</v>
      </c>
      <c r="D20976" t="str">
        <v>-</v>
      </c>
      <c r="E20976" t="str">
        <v/>
      </c>
      <c r="F20976" t="str">
        <v>-</v>
      </c>
      <c r="G20976" t="str">
        <v>-</v>
      </c>
    </row>
    <row r="20977">
      <c r="B20977" t="str">
        <v>UBND Ủy ban nhân dân xã Phước Hậu  tỉnh Long An</v>
      </c>
      <c r="C20977" t="str">
        <v>-</v>
      </c>
      <c r="D20977" t="str">
        <v>-</v>
      </c>
      <c r="E20977" t="str">
        <v>-</v>
      </c>
      <c r="F20977" t="str">
        <v>-</v>
      </c>
      <c r="G20977" t="str">
        <v>-</v>
      </c>
    </row>
    <row r="20978">
      <c r="B20978" t="str">
        <v>Công an xã Mỹ Lộc  tỉnh Long An</v>
      </c>
      <c r="C20978" t="str">
        <v>-</v>
      </c>
      <c r="D20978" t="str">
        <v>-</v>
      </c>
      <c r="E20978" t="str">
        <v/>
      </c>
      <c r="F20978" t="str">
        <v>-</v>
      </c>
      <c r="G20978" t="str">
        <v>-</v>
      </c>
    </row>
    <row r="20979">
      <c r="B20979" t="str">
        <v>UBND Ủy ban nhân dân xã Mỹ Lộc  tỉnh Long An</v>
      </c>
      <c r="C20979" t="str">
        <v>-</v>
      </c>
      <c r="D20979" t="str">
        <v>-</v>
      </c>
      <c r="E20979" t="str">
        <v>-</v>
      </c>
      <c r="F20979" t="str">
        <v>-</v>
      </c>
      <c r="G20979" t="str">
        <v>-</v>
      </c>
    </row>
    <row r="20980">
      <c r="B20980" t="str">
        <v>Công an xã Phước Lại  tỉnh Long An</v>
      </c>
      <c r="C20980" t="str">
        <v>-</v>
      </c>
      <c r="D20980" t="str">
        <v>-</v>
      </c>
      <c r="E20980" t="str">
        <v/>
      </c>
      <c r="F20980" t="str">
        <v>-</v>
      </c>
      <c r="G20980" t="str">
        <v>-</v>
      </c>
    </row>
    <row r="20981">
      <c r="B20981" t="str">
        <v>UBND Ủy ban nhân dân xã Phước Lại  tỉnh Long An</v>
      </c>
      <c r="C20981" t="str">
        <v>-</v>
      </c>
      <c r="D20981" t="str">
        <v>-</v>
      </c>
      <c r="E20981" t="str">
        <v>-</v>
      </c>
      <c r="F20981" t="str">
        <v>-</v>
      </c>
      <c r="G20981" t="str">
        <v>-</v>
      </c>
    </row>
    <row r="20982">
      <c r="B20982" t="str">
        <v>Công an xã Phước Lâm  tỉnh Long An</v>
      </c>
      <c r="C20982" t="str">
        <v>-</v>
      </c>
      <c r="D20982" t="str">
        <v>-</v>
      </c>
      <c r="E20982" t="str">
        <v/>
      </c>
      <c r="F20982" t="str">
        <v>-</v>
      </c>
      <c r="G20982" t="str">
        <v>-</v>
      </c>
    </row>
    <row r="20983">
      <c r="B20983" t="str">
        <v>UBND Ủy ban nhân dân xã Phước Lâm  tỉnh Long An</v>
      </c>
      <c r="C20983" t="str">
        <v>-</v>
      </c>
      <c r="D20983" t="str">
        <v>-</v>
      </c>
      <c r="E20983" t="str">
        <v>-</v>
      </c>
      <c r="F20983" t="str">
        <v>-</v>
      </c>
      <c r="G20983" t="str">
        <v>-</v>
      </c>
    </row>
    <row r="20984">
      <c r="B20984" t="str">
        <v>Công an xã Trường Bình  tỉnh Long An</v>
      </c>
      <c r="C20984" t="str">
        <v>-</v>
      </c>
      <c r="D20984" t="str">
        <v>-</v>
      </c>
      <c r="E20984" t="str">
        <v/>
      </c>
      <c r="F20984" t="str">
        <v>-</v>
      </c>
      <c r="G20984" t="str">
        <v>-</v>
      </c>
    </row>
    <row r="20985">
      <c r="B20985" t="str">
        <v>UBND Ủy ban nhân dân xã Trường Bình  tỉnh Long An</v>
      </c>
      <c r="C20985" t="str">
        <v>-</v>
      </c>
      <c r="D20985" t="str">
        <v>-</v>
      </c>
      <c r="E20985" t="str">
        <v>-</v>
      </c>
      <c r="F20985" t="str">
        <v>-</v>
      </c>
      <c r="G20985" t="str">
        <v>-</v>
      </c>
    </row>
    <row r="20986">
      <c r="B20986" t="str">
        <v>Công an xã Thuận Thành  tỉnh Long An</v>
      </c>
      <c r="C20986" t="str">
        <v>-</v>
      </c>
      <c r="D20986" t="str">
        <v>-</v>
      </c>
      <c r="E20986" t="str">
        <v/>
      </c>
      <c r="F20986" t="str">
        <v>-</v>
      </c>
      <c r="G20986" t="str">
        <v>-</v>
      </c>
    </row>
    <row r="20987">
      <c r="B20987" t="str">
        <v>UBND Ủy ban nhân dân xã Thuận Thành  tỉnh Long An</v>
      </c>
      <c r="C20987" t="str">
        <v>-</v>
      </c>
      <c r="D20987" t="str">
        <v>-</v>
      </c>
      <c r="E20987" t="str">
        <v>-</v>
      </c>
      <c r="F20987" t="str">
        <v>-</v>
      </c>
      <c r="G20987" t="str">
        <v>-</v>
      </c>
    </row>
    <row r="20988">
      <c r="B20988" t="str">
        <v>Công an xã Phước Vĩnh Tây  tỉnh Long An</v>
      </c>
      <c r="C20988" t="str">
        <v>-</v>
      </c>
      <c r="D20988" t="str">
        <v>-</v>
      </c>
      <c r="E20988" t="str">
        <v/>
      </c>
      <c r="F20988" t="str">
        <v>-</v>
      </c>
      <c r="G20988" t="str">
        <v>-</v>
      </c>
    </row>
    <row r="20989">
      <c r="B20989" t="str">
        <v>UBND Ủy ban nhân dân xã Phước Vĩnh Tây  tỉnh Long An</v>
      </c>
      <c r="C20989" t="str">
        <v>-</v>
      </c>
      <c r="D20989" t="str">
        <v>-</v>
      </c>
      <c r="E20989" t="str">
        <v>-</v>
      </c>
      <c r="F20989" t="str">
        <v>-</v>
      </c>
      <c r="G20989" t="str">
        <v>-</v>
      </c>
    </row>
    <row r="20990">
      <c r="B20990" t="str">
        <v>Công an xã Phước Vĩnh Đông  tỉnh Long An</v>
      </c>
      <c r="C20990" t="str">
        <v>-</v>
      </c>
      <c r="D20990" t="str">
        <v>-</v>
      </c>
      <c r="E20990" t="str">
        <v/>
      </c>
      <c r="F20990" t="str">
        <v>-</v>
      </c>
      <c r="G20990" t="str">
        <v>-</v>
      </c>
    </row>
    <row r="20991">
      <c r="B20991" t="str">
        <v>UBND Ủy ban nhân dân xã Phước Vĩnh Đông  tỉnh Long An</v>
      </c>
      <c r="C20991" t="str">
        <v>-</v>
      </c>
      <c r="D20991" t="str">
        <v>-</v>
      </c>
      <c r="E20991" t="str">
        <v>-</v>
      </c>
      <c r="F20991" t="str">
        <v>-</v>
      </c>
      <c r="G20991" t="str">
        <v>-</v>
      </c>
    </row>
    <row r="20992">
      <c r="B20992" t="str">
        <v>Công an xã Long An  tỉnh Long An</v>
      </c>
      <c r="C20992" t="str">
        <v>-</v>
      </c>
      <c r="D20992" t="str">
        <v>-</v>
      </c>
      <c r="E20992" t="str">
        <v/>
      </c>
      <c r="F20992" t="str">
        <v>-</v>
      </c>
      <c r="G20992" t="str">
        <v>-</v>
      </c>
    </row>
    <row r="20993">
      <c r="B20993" t="str">
        <v>UBND Ủy ban nhân dân xã Long An  tỉnh Long An</v>
      </c>
      <c r="C20993" t="str">
        <v>-</v>
      </c>
      <c r="D20993" t="str">
        <v>-</v>
      </c>
      <c r="E20993" t="str">
        <v>-</v>
      </c>
      <c r="F20993" t="str">
        <v>-</v>
      </c>
      <c r="G20993" t="str">
        <v>-</v>
      </c>
    </row>
    <row r="20994">
      <c r="B20994" t="str">
        <v>Công an xã Long Phụng  tỉnh Long An</v>
      </c>
      <c r="C20994" t="str">
        <v>-</v>
      </c>
      <c r="D20994" t="str">
        <v>-</v>
      </c>
      <c r="E20994" t="str">
        <v/>
      </c>
      <c r="F20994" t="str">
        <v>-</v>
      </c>
      <c r="G20994" t="str">
        <v>-</v>
      </c>
    </row>
    <row r="20995">
      <c r="B20995" t="str">
        <v>UBND Ủy ban nhân dân xã Long Phụng  tỉnh Long An</v>
      </c>
      <c r="C20995" t="str">
        <v>-</v>
      </c>
      <c r="D20995" t="str">
        <v>-</v>
      </c>
      <c r="E20995" t="str">
        <v>-</v>
      </c>
      <c r="F20995" t="str">
        <v>-</v>
      </c>
      <c r="G20995" t="str">
        <v>-</v>
      </c>
    </row>
    <row r="20996">
      <c r="B20996" t="str">
        <v>Công an xã Đông Thạnh  tỉnh Long An</v>
      </c>
      <c r="C20996" t="str">
        <v>-</v>
      </c>
      <c r="D20996" t="str">
        <v>-</v>
      </c>
      <c r="E20996" t="str">
        <v/>
      </c>
      <c r="F20996" t="str">
        <v>-</v>
      </c>
      <c r="G20996" t="str">
        <v>-</v>
      </c>
    </row>
    <row r="20997">
      <c r="B20997" t="str">
        <v>UBND Ủy ban nhân dân xã Đông Thạnh  tỉnh Long An</v>
      </c>
      <c r="C20997" t="str">
        <v>-</v>
      </c>
      <c r="D20997" t="str">
        <v>-</v>
      </c>
      <c r="E20997" t="str">
        <v>-</v>
      </c>
      <c r="F20997" t="str">
        <v>-</v>
      </c>
      <c r="G20997" t="str">
        <v>-</v>
      </c>
    </row>
    <row r="20998">
      <c r="B20998" t="str">
        <v>Công an xã Tân Tập  tỉnh Long An</v>
      </c>
      <c r="C20998" t="str">
        <v>-</v>
      </c>
      <c r="D20998" t="str">
        <v>-</v>
      </c>
      <c r="E20998" t="str">
        <v/>
      </c>
      <c r="F20998" t="str">
        <v>-</v>
      </c>
      <c r="G20998" t="str">
        <v>-</v>
      </c>
    </row>
    <row r="20999">
      <c r="B20999" t="str">
        <v>UBND Ủy ban nhân dân xã Tân Tập  tỉnh Long An</v>
      </c>
      <c r="C20999" t="str">
        <v>-</v>
      </c>
      <c r="D20999" t="str">
        <v>-</v>
      </c>
      <c r="E20999" t="str">
        <v>-</v>
      </c>
      <c r="F20999" t="str">
        <v>-</v>
      </c>
      <c r="G20999" t="str">
        <v>-</v>
      </c>
    </row>
    <row r="21000">
      <c r="B21000" t="str">
        <v>Công an xã Bình Quới  tỉnh Long An</v>
      </c>
      <c r="C21000" t="str">
        <v>-</v>
      </c>
      <c r="D21000" t="str">
        <v>-</v>
      </c>
      <c r="E21000" t="str">
        <v/>
      </c>
      <c r="F21000" t="str">
        <v>-</v>
      </c>
      <c r="G21000" t="str">
        <v>-</v>
      </c>
    </row>
    <row r="21001">
      <c r="B21001" t="str">
        <v>UBND Ủy ban nhân dân xã Bình Quới  tỉnh Long An</v>
      </c>
      <c r="C21001" t="str">
        <v>-</v>
      </c>
      <c r="D21001" t="str">
        <v>-</v>
      </c>
      <c r="E21001" t="str">
        <v>-</v>
      </c>
      <c r="F21001" t="str">
        <v>-</v>
      </c>
      <c r="G21001" t="str">
        <v>-</v>
      </c>
    </row>
    <row r="21002">
      <c r="B21002" t="str">
        <v>Công an xã Hòa Phú  tỉnh Long An</v>
      </c>
      <c r="C21002" t="str">
        <v>-</v>
      </c>
      <c r="D21002" t="str">
        <v>-</v>
      </c>
      <c r="E21002" t="str">
        <v/>
      </c>
      <c r="F21002" t="str">
        <v>-</v>
      </c>
      <c r="G21002" t="str">
        <v>-</v>
      </c>
    </row>
    <row r="21003">
      <c r="B21003" t="str">
        <v>UBND Ủy ban nhân dân xã Hòa Phú  tỉnh Long An</v>
      </c>
      <c r="C21003" t="str">
        <v>-</v>
      </c>
      <c r="D21003" t="str">
        <v>-</v>
      </c>
      <c r="E21003" t="str">
        <v>-</v>
      </c>
      <c r="F21003" t="str">
        <v>-</v>
      </c>
      <c r="G21003" t="str">
        <v>-</v>
      </c>
    </row>
    <row r="21004">
      <c r="B21004" t="str">
        <v>Công an xã Phú Ngãi Trị  tỉnh Long An</v>
      </c>
      <c r="C21004" t="str">
        <v>-</v>
      </c>
      <c r="D21004" t="str">
        <v>-</v>
      </c>
      <c r="E21004" t="str">
        <v/>
      </c>
      <c r="F21004" t="str">
        <v>-</v>
      </c>
      <c r="G21004" t="str">
        <v>-</v>
      </c>
    </row>
    <row r="21005">
      <c r="B21005" t="str">
        <v>UBND Ủy ban nhân dân xã Phú Ngãi Trị  tỉnh Long An</v>
      </c>
      <c r="C21005" t="str">
        <v>-</v>
      </c>
      <c r="D21005" t="str">
        <v>-</v>
      </c>
      <c r="E21005" t="str">
        <v>-</v>
      </c>
      <c r="F21005" t="str">
        <v>-</v>
      </c>
      <c r="G21005" t="str">
        <v>-</v>
      </c>
    </row>
    <row r="21006">
      <c r="B21006" t="str">
        <v>Công an xã Vĩnh Công  tỉnh Long An</v>
      </c>
      <c r="C21006" t="str">
        <v>-</v>
      </c>
      <c r="D21006" t="str">
        <v>-</v>
      </c>
      <c r="E21006" t="str">
        <v/>
      </c>
      <c r="F21006" t="str">
        <v>-</v>
      </c>
      <c r="G21006" t="str">
        <v>-</v>
      </c>
    </row>
    <row r="21007">
      <c r="B21007" t="str">
        <v>UBND Ủy ban nhân dân xã Vĩnh Công  tỉnh Long An</v>
      </c>
      <c r="C21007" t="str">
        <v>-</v>
      </c>
      <c r="D21007" t="str">
        <v>-</v>
      </c>
      <c r="E21007" t="str">
        <v>-</v>
      </c>
      <c r="F21007" t="str">
        <v>-</v>
      </c>
      <c r="G21007" t="str">
        <v>-</v>
      </c>
    </row>
    <row r="21008">
      <c r="B21008" t="str">
        <v>Công an xã Thuận Mỹ  tỉnh Long An</v>
      </c>
      <c r="C21008" t="str">
        <v>-</v>
      </c>
      <c r="D21008" t="str">
        <v>-</v>
      </c>
      <c r="E21008" t="str">
        <v/>
      </c>
      <c r="F21008" t="str">
        <v>-</v>
      </c>
      <c r="G21008" t="str">
        <v>-</v>
      </c>
    </row>
    <row r="21009">
      <c r="B21009" t="str">
        <v>UBND Ủy ban nhân dân xã Thuận Mỹ  tỉnh Long An</v>
      </c>
      <c r="C21009" t="str">
        <v>-</v>
      </c>
      <c r="D21009" t="str">
        <v>-</v>
      </c>
      <c r="E21009" t="str">
        <v>-</v>
      </c>
      <c r="F21009" t="str">
        <v>-</v>
      </c>
      <c r="G21009" t="str">
        <v>-</v>
      </c>
    </row>
    <row r="21010">
      <c r="B21010" t="str">
        <v>Công an xã Hiệp Thạnh  tỉnh Long An</v>
      </c>
      <c r="C21010" t="str">
        <v>-</v>
      </c>
      <c r="D21010" t="str">
        <v>-</v>
      </c>
      <c r="E21010" t="str">
        <v/>
      </c>
      <c r="F21010" t="str">
        <v>-</v>
      </c>
      <c r="G21010" t="str">
        <v>-</v>
      </c>
    </row>
    <row r="21011">
      <c r="B21011" t="str">
        <v>UBND Ủy ban nhân dân xã Hiệp Thạnh  tỉnh Long An</v>
      </c>
      <c r="C21011" t="str">
        <v>-</v>
      </c>
      <c r="D21011" t="str">
        <v>-</v>
      </c>
      <c r="E21011" t="str">
        <v>-</v>
      </c>
      <c r="F21011" t="str">
        <v>-</v>
      </c>
      <c r="G21011" t="str">
        <v>-</v>
      </c>
    </row>
    <row r="21012">
      <c r="B21012" t="str">
        <v>Công an xã Phước Tân Hưng  tỉnh Long An</v>
      </c>
      <c r="C21012" t="str">
        <v>-</v>
      </c>
      <c r="D21012" t="str">
        <v>-</v>
      </c>
      <c r="E21012" t="str">
        <v/>
      </c>
      <c r="F21012" t="str">
        <v>-</v>
      </c>
      <c r="G21012" t="str">
        <v>-</v>
      </c>
    </row>
    <row r="21013">
      <c r="B21013" t="str">
        <v>UBND Ủy ban nhân dân xã Phước Tân Hưng  tỉnh Long An</v>
      </c>
      <c r="C21013" t="str">
        <v>-</v>
      </c>
      <c r="D21013" t="str">
        <v>-</v>
      </c>
      <c r="E21013" t="str">
        <v>-</v>
      </c>
      <c r="F21013" t="str">
        <v>-</v>
      </c>
      <c r="G21013" t="str">
        <v>-</v>
      </c>
    </row>
    <row r="21014">
      <c r="B21014" t="str">
        <v>Công an xã Thanh Phú Long  tỉnh Long An</v>
      </c>
      <c r="C21014" t="str">
        <v>-</v>
      </c>
      <c r="D21014" t="str">
        <v>-</v>
      </c>
      <c r="E21014" t="str">
        <v/>
      </c>
      <c r="F21014" t="str">
        <v>-</v>
      </c>
      <c r="G21014" t="str">
        <v>-</v>
      </c>
    </row>
    <row r="21015">
      <c r="B21015" t="str">
        <v>UBND Ủy ban nhân dân xã Thanh Phú Long  tỉnh Long An</v>
      </c>
      <c r="C21015" t="str">
        <v>-</v>
      </c>
      <c r="D21015" t="str">
        <v>-</v>
      </c>
      <c r="E21015" t="str">
        <v>-</v>
      </c>
      <c r="F21015" t="str">
        <v>-</v>
      </c>
      <c r="G21015" t="str">
        <v>-</v>
      </c>
    </row>
    <row r="21016">
      <c r="B21016" t="str">
        <v>Công an xã Dương Xuân Hội  tỉnh Long An</v>
      </c>
      <c r="C21016" t="str">
        <v>-</v>
      </c>
      <c r="D21016" t="str">
        <v>-</v>
      </c>
      <c r="E21016" t="str">
        <v/>
      </c>
      <c r="F21016" t="str">
        <v>-</v>
      </c>
      <c r="G21016" t="str">
        <v>-</v>
      </c>
    </row>
    <row r="21017">
      <c r="B21017" t="str">
        <v>UBND Ủy ban nhân dân xã Dương Xuân Hội  tỉnh Long An</v>
      </c>
      <c r="C21017" t="str">
        <v>-</v>
      </c>
      <c r="D21017" t="str">
        <v>-</v>
      </c>
      <c r="E21017" t="str">
        <v>-</v>
      </c>
      <c r="F21017" t="str">
        <v>-</v>
      </c>
      <c r="G21017" t="str">
        <v>-</v>
      </c>
    </row>
    <row r="21018">
      <c r="B21018" t="str">
        <v>Công an xã An Lục Long  tỉnh Long An</v>
      </c>
      <c r="C21018" t="str">
        <v>-</v>
      </c>
      <c r="D21018" t="str">
        <v>-</v>
      </c>
      <c r="E21018" t="str">
        <v/>
      </c>
      <c r="F21018" t="str">
        <v>-</v>
      </c>
      <c r="G21018" t="str">
        <v>-</v>
      </c>
    </row>
    <row r="21019">
      <c r="B21019" t="str">
        <v>UBND Ủy ban nhân dân xã An Lục Long  tỉnh Long An</v>
      </c>
      <c r="C21019" t="str">
        <v>-</v>
      </c>
      <c r="D21019" t="str">
        <v>-</v>
      </c>
      <c r="E21019" t="str">
        <v>-</v>
      </c>
      <c r="F21019" t="str">
        <v>-</v>
      </c>
      <c r="G21019" t="str">
        <v>-</v>
      </c>
    </row>
    <row r="21020">
      <c r="B21020" t="str">
        <v>Công an xã Long Trì  tỉnh Long An</v>
      </c>
      <c r="C21020" t="str">
        <v>-</v>
      </c>
      <c r="D21020" t="str">
        <v>-</v>
      </c>
      <c r="E21020" t="str">
        <v/>
      </c>
      <c r="F21020" t="str">
        <v>-</v>
      </c>
      <c r="G21020" t="str">
        <v>-</v>
      </c>
    </row>
    <row r="21021">
      <c r="B21021" t="str">
        <v>UBND Ủy ban nhân dân xã Long Trì  tỉnh Long An</v>
      </c>
      <c r="C21021" t="str">
        <v>-</v>
      </c>
      <c r="D21021" t="str">
        <v>-</v>
      </c>
      <c r="E21021" t="str">
        <v>-</v>
      </c>
      <c r="F21021" t="str">
        <v>-</v>
      </c>
      <c r="G21021" t="str">
        <v>-</v>
      </c>
    </row>
    <row r="21022">
      <c r="B21022" t="str">
        <v>Công an xã Thanh Vĩnh Đông  tỉnh Long An</v>
      </c>
      <c r="C21022" t="str">
        <v>-</v>
      </c>
      <c r="D21022" t="str">
        <v>-</v>
      </c>
      <c r="E21022" t="str">
        <v/>
      </c>
      <c r="F21022" t="str">
        <v>-</v>
      </c>
      <c r="G21022" t="str">
        <v>-</v>
      </c>
    </row>
    <row r="21023">
      <c r="B21023" t="str">
        <v>UBND Ủy ban nhân dân xã Thanh Vĩnh Đông  tỉnh Long An</v>
      </c>
      <c r="C21023" t="str">
        <v>-</v>
      </c>
      <c r="D21023" t="str">
        <v>-</v>
      </c>
      <c r="E21023" t="str">
        <v>-</v>
      </c>
      <c r="F21023" t="str">
        <v>-</v>
      </c>
      <c r="G21023" t="str">
        <v>-</v>
      </c>
    </row>
    <row r="21024">
      <c r="B21024" t="str">
        <v>Công an phường 5  tỉnh Tiền Giang</v>
      </c>
      <c r="C21024" t="str">
        <v>-</v>
      </c>
      <c r="D21024" t="str">
        <v>-</v>
      </c>
      <c r="E21024" t="str">
        <v/>
      </c>
      <c r="F21024" t="str">
        <v>-</v>
      </c>
      <c r="G21024" t="str">
        <v>-</v>
      </c>
    </row>
    <row r="21025">
      <c r="B21025" t="str">
        <v>UBND Ủy ban nhân dân phường 5  tỉnh Tiền Giang</v>
      </c>
      <c r="C21025" t="str">
        <v>-</v>
      </c>
      <c r="D21025" t="str">
        <v>-</v>
      </c>
      <c r="E21025" t="str">
        <v>-</v>
      </c>
      <c r="F21025" t="str">
        <v>-</v>
      </c>
      <c r="G21025" t="str">
        <v>-</v>
      </c>
    </row>
    <row r="21026">
      <c r="B21026" t="str">
        <v>Công an phường 4  tỉnh Tiền Giang</v>
      </c>
      <c r="C21026" t="str">
        <v>-</v>
      </c>
      <c r="D21026" t="str">
        <v>-</v>
      </c>
      <c r="E21026" t="str">
        <v/>
      </c>
      <c r="F21026" t="str">
        <v>-</v>
      </c>
      <c r="G21026" t="str">
        <v>-</v>
      </c>
    </row>
    <row r="21027">
      <c r="B21027" t="str">
        <v>UBND Ủy ban nhân dân phường 4  tỉnh Tiền Giang</v>
      </c>
      <c r="C21027" t="str">
        <v>-</v>
      </c>
      <c r="D21027" t="str">
        <v>-</v>
      </c>
      <c r="E21027" t="str">
        <v>-</v>
      </c>
      <c r="F21027" t="str">
        <v>-</v>
      </c>
      <c r="G21027" t="str">
        <v>-</v>
      </c>
    </row>
    <row r="21028">
      <c r="B21028" t="str">
        <v>Công an phường 7  tỉnh Tiền Giang</v>
      </c>
      <c r="C21028" t="str">
        <v>-</v>
      </c>
      <c r="D21028" t="str">
        <v>-</v>
      </c>
      <c r="E21028" t="str">
        <v/>
      </c>
      <c r="F21028" t="str">
        <v>-</v>
      </c>
      <c r="G21028" t="str">
        <v>-</v>
      </c>
    </row>
    <row r="21029">
      <c r="B21029" t="str">
        <v>UBND Ủy ban nhân dân phường 7  tỉnh Tiền Giang</v>
      </c>
      <c r="C21029" t="str">
        <v>-</v>
      </c>
      <c r="D21029" t="str">
        <v>-</v>
      </c>
      <c r="E21029" t="str">
        <v>-</v>
      </c>
      <c r="F21029" t="str">
        <v>-</v>
      </c>
      <c r="G21029" t="str">
        <v>-</v>
      </c>
    </row>
    <row r="21030">
      <c r="B21030" t="str">
        <v>Công an phường 3  tỉnh Tiền Giang</v>
      </c>
      <c r="C21030" t="str">
        <v>-</v>
      </c>
      <c r="D21030" t="str">
        <v>-</v>
      </c>
      <c r="E21030" t="str">
        <v/>
      </c>
      <c r="F21030" t="str">
        <v>-</v>
      </c>
      <c r="G21030" t="str">
        <v>-</v>
      </c>
    </row>
    <row r="21031">
      <c r="B21031" t="str">
        <v>UBND Ủy ban nhân dân phường 3  tỉnh Tiền Giang</v>
      </c>
      <c r="C21031" t="str">
        <v>-</v>
      </c>
      <c r="D21031" t="str">
        <v>-</v>
      </c>
      <c r="E21031" t="str">
        <v>-</v>
      </c>
      <c r="F21031" t="str">
        <v>-</v>
      </c>
      <c r="G21031" t="str">
        <v>-</v>
      </c>
    </row>
    <row r="21032">
      <c r="B21032" t="str">
        <v>Công an phường 1  tỉnh Tiền Giang</v>
      </c>
      <c r="C21032" t="str">
        <v>-</v>
      </c>
      <c r="D21032" t="str">
        <v>-</v>
      </c>
      <c r="E21032" t="str">
        <v/>
      </c>
      <c r="F21032" t="str">
        <v>-</v>
      </c>
      <c r="G21032" t="str">
        <v>-</v>
      </c>
    </row>
    <row r="21033">
      <c r="B21033" t="str">
        <v>UBND Ủy ban nhân dân phường 1  tỉnh Tiền Giang</v>
      </c>
      <c r="C21033" t="str">
        <v>-</v>
      </c>
      <c r="D21033" t="str">
        <v>-</v>
      </c>
      <c r="E21033" t="str">
        <v>-</v>
      </c>
      <c r="F21033" t="str">
        <v>-</v>
      </c>
      <c r="G21033" t="str">
        <v>-</v>
      </c>
    </row>
    <row r="21034">
      <c r="B21034" t="str">
        <v>Công an phường 2  tỉnh Tiền Giang</v>
      </c>
      <c r="C21034" t="str">
        <v>-</v>
      </c>
      <c r="D21034" t="str">
        <v>-</v>
      </c>
      <c r="E21034" t="str">
        <v/>
      </c>
      <c r="F21034" t="str">
        <v>-</v>
      </c>
      <c r="G21034" t="str">
        <v>-</v>
      </c>
    </row>
    <row r="21035">
      <c r="B21035" t="str">
        <v>UBND Ủy ban nhân dân phường 2  tỉnh Tiền Giang</v>
      </c>
      <c r="C21035" t="str">
        <v>-</v>
      </c>
      <c r="D21035" t="str">
        <v>-</v>
      </c>
      <c r="E21035" t="str">
        <v>-</v>
      </c>
      <c r="F21035" t="str">
        <v>-</v>
      </c>
      <c r="G21035" t="str">
        <v>-</v>
      </c>
    </row>
    <row r="21036">
      <c r="B21036" t="str">
        <v>Công an phường 8  tỉnh Tiền Giang</v>
      </c>
      <c r="C21036" t="str">
        <v>-</v>
      </c>
      <c r="D21036" t="str">
        <v>-</v>
      </c>
      <c r="E21036" t="str">
        <v/>
      </c>
      <c r="F21036" t="str">
        <v>-</v>
      </c>
      <c r="G21036" t="str">
        <v>-</v>
      </c>
    </row>
    <row r="21037">
      <c r="B21037" t="str">
        <v>UBND Ủy ban nhân dân phường 8  tỉnh Tiền Giang</v>
      </c>
      <c r="C21037" t="str">
        <v>-</v>
      </c>
      <c r="D21037" t="str">
        <v>-</v>
      </c>
      <c r="E21037" t="str">
        <v>-</v>
      </c>
      <c r="F21037" t="str">
        <v>-</v>
      </c>
      <c r="G21037" t="str">
        <v>-</v>
      </c>
    </row>
    <row r="21038">
      <c r="B21038" t="str">
        <v>Công an phường 6  tỉnh Tiền Giang</v>
      </c>
      <c r="C21038" t="str">
        <v>-</v>
      </c>
      <c r="D21038" t="str">
        <v>-</v>
      </c>
      <c r="E21038" t="str">
        <v/>
      </c>
      <c r="F21038" t="str">
        <v>-</v>
      </c>
      <c r="G21038" t="str">
        <v>-</v>
      </c>
    </row>
    <row r="21039">
      <c r="B21039" t="str">
        <v>UBND Ủy ban nhân dân phường 6  tỉnh Tiền Giang</v>
      </c>
      <c r="C21039" t="str">
        <v>-</v>
      </c>
      <c r="D21039" t="str">
        <v>-</v>
      </c>
      <c r="E21039" t="str">
        <v>-</v>
      </c>
      <c r="F21039" t="str">
        <v>-</v>
      </c>
      <c r="G21039" t="str">
        <v>-</v>
      </c>
    </row>
    <row r="21040">
      <c r="B21040" t="str">
        <v>Công an phường 9  tỉnh Tiền Giang</v>
      </c>
      <c r="C21040" t="str">
        <v>-</v>
      </c>
      <c r="D21040" t="str">
        <v>-</v>
      </c>
      <c r="E21040" t="str">
        <v/>
      </c>
      <c r="F21040" t="str">
        <v>-</v>
      </c>
      <c r="G21040" t="str">
        <v>-</v>
      </c>
    </row>
    <row r="21041">
      <c r="B21041" t="str">
        <v>UBND Ủy ban nhân dân phường 9  tỉnh Tiền Giang</v>
      </c>
      <c r="C21041" t="str">
        <v>-</v>
      </c>
      <c r="D21041" t="str">
        <v>-</v>
      </c>
      <c r="E21041" t="str">
        <v>-</v>
      </c>
      <c r="F21041" t="str">
        <v>-</v>
      </c>
      <c r="G21041" t="str">
        <v>-</v>
      </c>
    </row>
    <row r="21042">
      <c r="B21042" t="str">
        <v>Công an phường 10  tỉnh Tiền Giang</v>
      </c>
      <c r="C21042" t="str">
        <v>-</v>
      </c>
      <c r="D21042" t="str">
        <v>-</v>
      </c>
      <c r="E21042" t="str">
        <v/>
      </c>
      <c r="F21042" t="str">
        <v>-</v>
      </c>
      <c r="G21042" t="str">
        <v>-</v>
      </c>
    </row>
    <row r="21043">
      <c r="B21043" t="str">
        <v>UBND Ủy ban nhân dân phường 10  tỉnh Tiền Giang</v>
      </c>
      <c r="C21043" t="str">
        <v>-</v>
      </c>
      <c r="D21043" t="str">
        <v>-</v>
      </c>
      <c r="E21043" t="str">
        <v>-</v>
      </c>
      <c r="F21043" t="str">
        <v>-</v>
      </c>
      <c r="G21043" t="str">
        <v>-</v>
      </c>
    </row>
    <row r="21044">
      <c r="B21044" t="str">
        <v>Công an phường Tân Long  tỉnh Tiền Giang</v>
      </c>
      <c r="C21044" t="str">
        <v>-</v>
      </c>
      <c r="D21044" t="str">
        <v>-</v>
      </c>
      <c r="E21044" t="str">
        <v/>
      </c>
      <c r="F21044" t="str">
        <v>-</v>
      </c>
      <c r="G21044" t="str">
        <v>-</v>
      </c>
    </row>
    <row r="21045">
      <c r="B21045" t="str">
        <v>UBND Ủy ban nhân dân phường Tân Long  tỉnh Tiền Giang</v>
      </c>
      <c r="C21045" t="str">
        <v>-</v>
      </c>
      <c r="D21045" t="str">
        <v>-</v>
      </c>
      <c r="E21045" t="str">
        <v>-</v>
      </c>
      <c r="F21045" t="str">
        <v>-</v>
      </c>
      <c r="G21045" t="str">
        <v>-</v>
      </c>
    </row>
    <row r="21046">
      <c r="B21046" t="str">
        <v>Công an xã Đạo Thạnh  tỉnh Tiền Giang</v>
      </c>
      <c r="C21046" t="str">
        <v>-</v>
      </c>
      <c r="D21046" t="str">
        <v>-</v>
      </c>
      <c r="E21046" t="str">
        <v/>
      </c>
      <c r="F21046" t="str">
        <v>-</v>
      </c>
      <c r="G21046" t="str">
        <v>-</v>
      </c>
    </row>
    <row r="21047">
      <c r="B21047" t="str">
        <v>UBND Ủy ban nhân dân xã Đạo Thạnh  tỉnh Tiền Giang</v>
      </c>
      <c r="C21047" t="str">
        <v>-</v>
      </c>
      <c r="D21047" t="str">
        <v>-</v>
      </c>
      <c r="E21047" t="str">
        <v>-</v>
      </c>
      <c r="F21047" t="str">
        <v>-</v>
      </c>
      <c r="G21047" t="str">
        <v>-</v>
      </c>
    </row>
    <row r="21048">
      <c r="B21048" t="str">
        <v>Công an xã Trung An  tỉnh Tiền Giang</v>
      </c>
      <c r="C21048" t="str">
        <v>-</v>
      </c>
      <c r="D21048" t="str">
        <v>-</v>
      </c>
      <c r="E21048" t="str">
        <v/>
      </c>
      <c r="F21048" t="str">
        <v>-</v>
      </c>
      <c r="G21048" t="str">
        <v>-</v>
      </c>
    </row>
    <row r="21049">
      <c r="B21049" t="str">
        <v>UBND Ủy ban nhân dân xã Trung An  tỉnh Tiền Giang</v>
      </c>
      <c r="C21049" t="str">
        <v>-</v>
      </c>
      <c r="D21049" t="str">
        <v>-</v>
      </c>
      <c r="E21049" t="str">
        <v>-</v>
      </c>
      <c r="F21049" t="str">
        <v>-</v>
      </c>
      <c r="G21049" t="str">
        <v>-</v>
      </c>
    </row>
    <row r="21050">
      <c r="B21050" t="str">
        <v>Công an xã Mỹ Phong  tỉnh Tiền Giang</v>
      </c>
      <c r="C21050" t="str">
        <v>-</v>
      </c>
      <c r="D21050" t="str">
        <v>-</v>
      </c>
      <c r="E21050" t="str">
        <v/>
      </c>
      <c r="F21050" t="str">
        <v>-</v>
      </c>
      <c r="G21050" t="str">
        <v>-</v>
      </c>
    </row>
    <row r="21051">
      <c r="B21051" t="str">
        <v>UBND Ủy ban nhân dân xã Mỹ Phong  tỉnh Tiền Giang</v>
      </c>
      <c r="C21051" t="str">
        <v>-</v>
      </c>
      <c r="D21051" t="str">
        <v>-</v>
      </c>
      <c r="E21051" t="str">
        <v>-</v>
      </c>
      <c r="F21051" t="str">
        <v>-</v>
      </c>
      <c r="G21051" t="str">
        <v>-</v>
      </c>
    </row>
    <row r="21052">
      <c r="B21052" t="str">
        <v>Công an xã Tân Mỹ Chánh  tỉnh Tiền Giang</v>
      </c>
      <c r="C21052" t="str">
        <v>-</v>
      </c>
      <c r="D21052" t="str">
        <v>-</v>
      </c>
      <c r="E21052" t="str">
        <v/>
      </c>
      <c r="F21052" t="str">
        <v>-</v>
      </c>
      <c r="G21052" t="str">
        <v>-</v>
      </c>
    </row>
    <row r="21053">
      <c r="B21053" t="str">
        <v>UBND Ủy ban nhân dân xã Tân Mỹ Chánh  tỉnh Tiền Giang</v>
      </c>
      <c r="C21053" t="str">
        <v>-</v>
      </c>
      <c r="D21053" t="str">
        <v>-</v>
      </c>
      <c r="E21053" t="str">
        <v>-</v>
      </c>
      <c r="F21053" t="str">
        <v>-</v>
      </c>
      <c r="G21053" t="str">
        <v>-</v>
      </c>
    </row>
    <row r="21054">
      <c r="B21054" t="str">
        <v>Công an xã Phước Thạnh  tỉnh Tiền Giang</v>
      </c>
      <c r="C21054" t="str">
        <v>-</v>
      </c>
      <c r="D21054" t="str">
        <v>-</v>
      </c>
      <c r="E21054" t="str">
        <v/>
      </c>
      <c r="F21054" t="str">
        <v>-</v>
      </c>
      <c r="G21054" t="str">
        <v>-</v>
      </c>
    </row>
    <row r="21055">
      <c r="B21055" t="str">
        <v>UBND Ủy ban nhân dân xã Phước Thạnh  tỉnh Tiền Giang</v>
      </c>
      <c r="C21055" t="str">
        <v>-</v>
      </c>
      <c r="D21055" t="str">
        <v>-</v>
      </c>
      <c r="E21055" t="str">
        <v>-</v>
      </c>
      <c r="F21055" t="str">
        <v>-</v>
      </c>
      <c r="G21055" t="str">
        <v>-</v>
      </c>
    </row>
    <row r="21056">
      <c r="B21056" t="str">
        <v>Công an xã Thới Sơn  tỉnh Tiền Giang</v>
      </c>
      <c r="C21056" t="str">
        <v>-</v>
      </c>
      <c r="D21056" t="str">
        <v>-</v>
      </c>
      <c r="E21056" t="str">
        <v/>
      </c>
      <c r="F21056" t="str">
        <v>-</v>
      </c>
      <c r="G21056" t="str">
        <v>-</v>
      </c>
    </row>
    <row r="21057">
      <c r="B21057" t="str">
        <v>UBND Ủy ban nhân dân xã Thới Sơn  tỉnh Tiền Giang</v>
      </c>
      <c r="C21057" t="str">
        <v>-</v>
      </c>
      <c r="D21057" t="str">
        <v>-</v>
      </c>
      <c r="E21057" t="str">
        <v>-</v>
      </c>
      <c r="F21057" t="str">
        <v>-</v>
      </c>
      <c r="G21057" t="str">
        <v>-</v>
      </c>
    </row>
    <row r="21058">
      <c r="B21058" t="str">
        <v>Công an phường 3  tỉnh Tiền Giang</v>
      </c>
      <c r="C21058" t="str">
        <v>-</v>
      </c>
      <c r="D21058" t="str">
        <v>-</v>
      </c>
      <c r="E21058" t="str">
        <v/>
      </c>
      <c r="F21058" t="str">
        <v>-</v>
      </c>
      <c r="G21058" t="str">
        <v>-</v>
      </c>
    </row>
    <row r="21059">
      <c r="B21059" t="str">
        <v>UBND Ủy ban nhân dân phường 3  tỉnh Tiền Giang</v>
      </c>
      <c r="C21059" t="str">
        <v>-</v>
      </c>
      <c r="D21059" t="str">
        <v>-</v>
      </c>
      <c r="E21059" t="str">
        <v>-</v>
      </c>
      <c r="F21059" t="str">
        <v>-</v>
      </c>
      <c r="G21059" t="str">
        <v>-</v>
      </c>
    </row>
    <row r="21060">
      <c r="B21060" t="str">
        <v>Công an phường 2  tỉnh Tiền Giang</v>
      </c>
      <c r="C21060" t="str">
        <v>-</v>
      </c>
      <c r="D21060" t="str">
        <v>-</v>
      </c>
      <c r="E21060" t="str">
        <v/>
      </c>
      <c r="F21060" t="str">
        <v>-</v>
      </c>
      <c r="G21060" t="str">
        <v>-</v>
      </c>
    </row>
    <row r="21061">
      <c r="B21061" t="str">
        <v>UBND Ủy ban nhân dân phường 2  tỉnh Tiền Giang</v>
      </c>
      <c r="C21061" t="str">
        <v>-</v>
      </c>
      <c r="D21061" t="str">
        <v>-</v>
      </c>
      <c r="E21061" t="str">
        <v>-</v>
      </c>
      <c r="F21061" t="str">
        <v>-</v>
      </c>
      <c r="G21061" t="str">
        <v>-</v>
      </c>
    </row>
    <row r="21062">
      <c r="B21062" t="str">
        <v>Công an phường 4  tỉnh Tiền Giang</v>
      </c>
      <c r="C21062" t="str">
        <v>-</v>
      </c>
      <c r="D21062" t="str">
        <v>-</v>
      </c>
      <c r="E21062" t="str">
        <v/>
      </c>
      <c r="F21062" t="str">
        <v>-</v>
      </c>
      <c r="G21062" t="str">
        <v>-</v>
      </c>
    </row>
    <row r="21063">
      <c r="B21063" t="str">
        <v>UBND Ủy ban nhân dân phường 4  tỉnh Tiền Giang</v>
      </c>
      <c r="C21063" t="str">
        <v>-</v>
      </c>
      <c r="D21063" t="str">
        <v>-</v>
      </c>
      <c r="E21063" t="str">
        <v>-</v>
      </c>
      <c r="F21063" t="str">
        <v>-</v>
      </c>
      <c r="G21063" t="str">
        <v>-</v>
      </c>
    </row>
    <row r="21064">
      <c r="B21064" t="str">
        <v>Công an phường 1  tỉnh Tiền Giang</v>
      </c>
      <c r="C21064" t="str">
        <v>-</v>
      </c>
      <c r="D21064" t="str">
        <v>-</v>
      </c>
      <c r="E21064" t="str">
        <v/>
      </c>
      <c r="F21064" t="str">
        <v>-</v>
      </c>
      <c r="G21064" t="str">
        <v>-</v>
      </c>
    </row>
    <row r="21065">
      <c r="B21065" t="str">
        <v>UBND Ủy ban nhân dân phường 1  tỉnh Tiền Giang</v>
      </c>
      <c r="C21065" t="str">
        <v>-</v>
      </c>
      <c r="D21065" t="str">
        <v>-</v>
      </c>
      <c r="E21065" t="str">
        <v>-</v>
      </c>
      <c r="F21065" t="str">
        <v>-</v>
      </c>
      <c r="G21065" t="str">
        <v>-</v>
      </c>
    </row>
    <row r="21066">
      <c r="B21066" t="str">
        <v>Công an phường 5  tỉnh Tiền Giang</v>
      </c>
      <c r="C21066" t="str">
        <v>-</v>
      </c>
      <c r="D21066" t="str">
        <v>-</v>
      </c>
      <c r="E21066" t="str">
        <v/>
      </c>
      <c r="F21066" t="str">
        <v>-</v>
      </c>
      <c r="G21066" t="str">
        <v>-</v>
      </c>
    </row>
    <row r="21067">
      <c r="B21067" t="str">
        <v>UBND Ủy ban nhân dân phường 5  tỉnh Tiền Giang</v>
      </c>
      <c r="C21067" t="str">
        <v>-</v>
      </c>
      <c r="D21067" t="str">
        <v>-</v>
      </c>
      <c r="E21067" t="str">
        <v>-</v>
      </c>
      <c r="F21067" t="str">
        <v>-</v>
      </c>
      <c r="G21067" t="str">
        <v>-</v>
      </c>
    </row>
    <row r="21068">
      <c r="B21068" t="str">
        <v>Công an xã Long Hưng  tỉnh Tiền Giang</v>
      </c>
      <c r="C21068" t="str">
        <v>-</v>
      </c>
      <c r="D21068" t="str">
        <v>-</v>
      </c>
      <c r="E21068" t="str">
        <v/>
      </c>
      <c r="F21068" t="str">
        <v>-</v>
      </c>
      <c r="G21068" t="str">
        <v>-</v>
      </c>
    </row>
    <row r="21069">
      <c r="B21069" t="str">
        <v>UBND Ủy ban nhân dân xã Long Hưng  tỉnh Tiền Giang</v>
      </c>
      <c r="C21069" t="str">
        <v>-</v>
      </c>
      <c r="D21069" t="str">
        <v>-</v>
      </c>
      <c r="E21069" t="str">
        <v>-</v>
      </c>
      <c r="F21069" t="str">
        <v>-</v>
      </c>
      <c r="G21069" t="str">
        <v>-</v>
      </c>
    </row>
    <row r="21070">
      <c r="B21070" t="str">
        <v>Công an xã Long Thuận  tỉnh Tiền Giang</v>
      </c>
      <c r="C21070" t="str">
        <v>-</v>
      </c>
      <c r="D21070" t="str">
        <v>-</v>
      </c>
      <c r="E21070" t="str">
        <v/>
      </c>
      <c r="F21070" t="str">
        <v>-</v>
      </c>
      <c r="G21070" t="str">
        <v>-</v>
      </c>
    </row>
    <row r="21071">
      <c r="B21071" t="str">
        <v>UBND Ủy ban nhân dân xã Long Thuận  tỉnh Tiền Giang</v>
      </c>
      <c r="C21071" t="str">
        <v>-</v>
      </c>
      <c r="D21071" t="str">
        <v>-</v>
      </c>
      <c r="E21071" t="str">
        <v>-</v>
      </c>
      <c r="F21071" t="str">
        <v>-</v>
      </c>
      <c r="G21071" t="str">
        <v>-</v>
      </c>
    </row>
    <row r="21072">
      <c r="B21072" t="str">
        <v>Công an xã Long Chánh  tỉnh Tiền Giang</v>
      </c>
      <c r="C21072" t="str">
        <v>-</v>
      </c>
      <c r="D21072" t="str">
        <v>-</v>
      </c>
      <c r="E21072" t="str">
        <v/>
      </c>
      <c r="F21072" t="str">
        <v>-</v>
      </c>
      <c r="G21072" t="str">
        <v>-</v>
      </c>
    </row>
    <row r="21073">
      <c r="B21073" t="str">
        <v>UBND Ủy ban nhân dân xã Long Chánh  tỉnh Tiền Giang</v>
      </c>
      <c r="C21073" t="str">
        <v>-</v>
      </c>
      <c r="D21073" t="str">
        <v>-</v>
      </c>
      <c r="E21073" t="str">
        <v>-</v>
      </c>
      <c r="F21073" t="str">
        <v>-</v>
      </c>
      <c r="G21073" t="str">
        <v>-</v>
      </c>
    </row>
    <row r="21074">
      <c r="B21074" t="str">
        <v>Công an xã Long Hòa  tỉnh Tiền Giang</v>
      </c>
      <c r="C21074" t="str">
        <v>-</v>
      </c>
      <c r="D21074" t="str">
        <v>-</v>
      </c>
      <c r="E21074" t="str">
        <v/>
      </c>
      <c r="F21074" t="str">
        <v>-</v>
      </c>
      <c r="G21074" t="str">
        <v>-</v>
      </c>
    </row>
    <row r="21075">
      <c r="B21075" t="str">
        <v>UBND Ủy ban nhân dân xã Long Hòa  tỉnh Tiền Giang</v>
      </c>
      <c r="C21075" t="str">
        <v>-</v>
      </c>
      <c r="D21075" t="str">
        <v>-</v>
      </c>
      <c r="E21075" t="str">
        <v>-</v>
      </c>
      <c r="F21075" t="str">
        <v>-</v>
      </c>
      <c r="G21075" t="str">
        <v>-</v>
      </c>
    </row>
    <row r="21076">
      <c r="B21076" t="str">
        <v>Công an xã Bình Đông  tỉnh Tiền Giang</v>
      </c>
      <c r="C21076" t="str">
        <v>-</v>
      </c>
      <c r="D21076" t="str">
        <v>-</v>
      </c>
      <c r="E21076" t="str">
        <v/>
      </c>
      <c r="F21076" t="str">
        <v>-</v>
      </c>
      <c r="G21076" t="str">
        <v>-</v>
      </c>
    </row>
    <row r="21077">
      <c r="B21077" t="str">
        <v>UBND Ủy ban nhân dân xã Bình Đông  tỉnh Tiền Giang</v>
      </c>
      <c r="C21077" t="str">
        <v>-</v>
      </c>
      <c r="D21077" t="str">
        <v>-</v>
      </c>
      <c r="E21077" t="str">
        <v>-</v>
      </c>
      <c r="F21077" t="str">
        <v>-</v>
      </c>
      <c r="G21077" t="str">
        <v>-</v>
      </c>
    </row>
    <row r="21078">
      <c r="B21078" t="str">
        <v>Công an xã Bình Xuân  tỉnh Tiền Giang</v>
      </c>
      <c r="C21078" t="str">
        <v>-</v>
      </c>
      <c r="D21078" t="str">
        <v>-</v>
      </c>
      <c r="E21078" t="str">
        <v/>
      </c>
      <c r="F21078" t="str">
        <v>-</v>
      </c>
      <c r="G21078" t="str">
        <v>-</v>
      </c>
    </row>
    <row r="21079">
      <c r="B21079" t="str">
        <v>UBND Ủy ban nhân dân xã Bình Xuân  tỉnh Tiền Giang</v>
      </c>
      <c r="C21079" t="str">
        <v>-</v>
      </c>
      <c r="D21079" t="str">
        <v>-</v>
      </c>
      <c r="E21079" t="str">
        <v>-</v>
      </c>
      <c r="F21079" t="str">
        <v>-</v>
      </c>
      <c r="G21079" t="str">
        <v>-</v>
      </c>
    </row>
    <row r="21080">
      <c r="B21080" t="str">
        <v>Công an xã Tân Trung  tỉnh Tiền Giang</v>
      </c>
      <c r="C21080" t="str">
        <v>-</v>
      </c>
      <c r="D21080" t="str">
        <v>-</v>
      </c>
      <c r="E21080" t="str">
        <v/>
      </c>
      <c r="F21080" t="str">
        <v>-</v>
      </c>
      <c r="G21080" t="str">
        <v>-</v>
      </c>
    </row>
    <row r="21081">
      <c r="B21081" t="str">
        <v>UBND Ủy ban nhân dân xã Tân Trung  tỉnh Tiền Giang</v>
      </c>
      <c r="C21081" t="str">
        <v>-</v>
      </c>
      <c r="D21081" t="str">
        <v>-</v>
      </c>
      <c r="E21081" t="str">
        <v>-</v>
      </c>
      <c r="F21081" t="str">
        <v>-</v>
      </c>
      <c r="G21081" t="str">
        <v>-</v>
      </c>
    </row>
    <row r="21082">
      <c r="B21082" t="str">
        <v>Công an phường 1  tỉnh Tiền Giang</v>
      </c>
      <c r="C21082" t="str">
        <v>-</v>
      </c>
      <c r="D21082" t="str">
        <v>-</v>
      </c>
      <c r="E21082" t="str">
        <v/>
      </c>
      <c r="F21082" t="str">
        <v>-</v>
      </c>
      <c r="G21082" t="str">
        <v>-</v>
      </c>
    </row>
    <row r="21083">
      <c r="B21083" t="str">
        <v>UBND Ủy ban nhân dân phường 1  tỉnh Tiền Giang</v>
      </c>
      <c r="C21083" t="str">
        <v>-</v>
      </c>
      <c r="D21083" t="str">
        <v>-</v>
      </c>
      <c r="E21083" t="str">
        <v>-</v>
      </c>
      <c r="F21083" t="str">
        <v>-</v>
      </c>
      <c r="G21083" t="str">
        <v>-</v>
      </c>
    </row>
    <row r="21084">
      <c r="B21084" t="str">
        <v>Công an phường 2  tỉnh Tiền Giang</v>
      </c>
      <c r="C21084" t="str">
        <v>-</v>
      </c>
      <c r="D21084" t="str">
        <v>-</v>
      </c>
      <c r="E21084" t="str">
        <v/>
      </c>
      <c r="F21084" t="str">
        <v>-</v>
      </c>
      <c r="G21084" t="str">
        <v>-</v>
      </c>
    </row>
    <row r="21085">
      <c r="B21085" t="str">
        <v>UBND Ủy ban nhân dân phường 2  tỉnh Tiền Giang</v>
      </c>
      <c r="C21085" t="str">
        <v>-</v>
      </c>
      <c r="D21085" t="str">
        <v>-</v>
      </c>
      <c r="E21085" t="str">
        <v>-</v>
      </c>
      <c r="F21085" t="str">
        <v>-</v>
      </c>
      <c r="G21085" t="str">
        <v>-</v>
      </c>
    </row>
    <row r="21086">
      <c r="B21086" t="str">
        <v>Công an phường 3  tỉnh Tiền Giang</v>
      </c>
      <c r="C21086" t="str">
        <v>-</v>
      </c>
      <c r="D21086" t="str">
        <v>-</v>
      </c>
      <c r="E21086" t="str">
        <v/>
      </c>
      <c r="F21086" t="str">
        <v>-</v>
      </c>
      <c r="G21086" t="str">
        <v>-</v>
      </c>
    </row>
    <row r="21087">
      <c r="B21087" t="str">
        <v>UBND Ủy ban nhân dân phường 3  tỉnh Tiền Giang</v>
      </c>
      <c r="C21087" t="str">
        <v>-</v>
      </c>
      <c r="D21087" t="str">
        <v>-</v>
      </c>
      <c r="E21087" t="str">
        <v>-</v>
      </c>
      <c r="F21087" t="str">
        <v>-</v>
      </c>
      <c r="G21087" t="str">
        <v>-</v>
      </c>
    </row>
    <row r="21088">
      <c r="B21088" t="str">
        <v>Công an phường 4  tỉnh Tiền Giang</v>
      </c>
      <c r="C21088" t="str">
        <v>-</v>
      </c>
      <c r="D21088" t="str">
        <v>-</v>
      </c>
      <c r="E21088" t="str">
        <v/>
      </c>
      <c r="F21088" t="str">
        <v>-</v>
      </c>
      <c r="G21088" t="str">
        <v>-</v>
      </c>
    </row>
    <row r="21089">
      <c r="B21089" t="str">
        <v>UBND Ủy ban nhân dân phường 4  tỉnh Tiền Giang</v>
      </c>
      <c r="C21089" t="str">
        <v>-</v>
      </c>
      <c r="D21089" t="str">
        <v>-</v>
      </c>
      <c r="E21089" t="str">
        <v>-</v>
      </c>
      <c r="F21089" t="str">
        <v>-</v>
      </c>
      <c r="G21089" t="str">
        <v>-</v>
      </c>
    </row>
    <row r="21090">
      <c r="B21090" t="str">
        <v>Công an phường 5  tỉnh Tiền Giang</v>
      </c>
      <c r="C21090" t="str">
        <v>-</v>
      </c>
      <c r="D21090" t="str">
        <v>-</v>
      </c>
      <c r="E21090" t="str">
        <v/>
      </c>
      <c r="F21090" t="str">
        <v>-</v>
      </c>
      <c r="G21090" t="str">
        <v>-</v>
      </c>
    </row>
    <row r="21091">
      <c r="B21091" t="str">
        <v>UBND Ủy ban nhân dân phường 5  tỉnh Tiền Giang</v>
      </c>
      <c r="C21091" t="str">
        <v>-</v>
      </c>
      <c r="D21091" t="str">
        <v>-</v>
      </c>
      <c r="E21091" t="str">
        <v>-</v>
      </c>
      <c r="F21091" t="str">
        <v>-</v>
      </c>
      <c r="G21091" t="str">
        <v>-</v>
      </c>
    </row>
    <row r="21092">
      <c r="B21092" t="str">
        <v>Công an xã Mỹ Phước Tây  tỉnh Tiền Giang</v>
      </c>
      <c r="C21092" t="str">
        <v>-</v>
      </c>
      <c r="D21092" t="str">
        <v>-</v>
      </c>
      <c r="E21092" t="str">
        <v/>
      </c>
      <c r="F21092" t="str">
        <v>-</v>
      </c>
      <c r="G21092" t="str">
        <v>-</v>
      </c>
    </row>
    <row r="21093">
      <c r="B21093" t="str">
        <v>UBND Ủy ban nhân dân xã Mỹ Phước Tây  tỉnh Tiền Giang</v>
      </c>
      <c r="C21093" t="str">
        <v>-</v>
      </c>
      <c r="D21093" t="str">
        <v>-</v>
      </c>
      <c r="E21093" t="str">
        <v>-</v>
      </c>
      <c r="F21093" t="str">
        <v>-</v>
      </c>
      <c r="G21093" t="str">
        <v>-</v>
      </c>
    </row>
    <row r="21094">
      <c r="B21094" t="str">
        <v>Công an xã Mỹ Hạnh Đông  tỉnh Tiền Giang</v>
      </c>
      <c r="C21094" t="str">
        <v>-</v>
      </c>
      <c r="D21094" t="str">
        <v>-</v>
      </c>
      <c r="E21094" t="str">
        <v/>
      </c>
      <c r="F21094" t="str">
        <v>-</v>
      </c>
      <c r="G21094" t="str">
        <v>-</v>
      </c>
    </row>
    <row r="21095">
      <c r="B21095" t="str">
        <v>UBND Ủy ban nhân dân xã Mỹ Hạnh Đông  tỉnh Tiền Giang</v>
      </c>
      <c r="C21095" t="str">
        <v>-</v>
      </c>
      <c r="D21095" t="str">
        <v>-</v>
      </c>
      <c r="E21095" t="str">
        <v>-</v>
      </c>
      <c r="F21095" t="str">
        <v>-</v>
      </c>
      <c r="G21095" t="str">
        <v>-</v>
      </c>
    </row>
    <row r="21096">
      <c r="B21096" t="str">
        <v>Công an xã Mỹ Hạnh Trung  tỉnh Tiền Giang</v>
      </c>
      <c r="C21096" t="str">
        <v>-</v>
      </c>
      <c r="D21096" t="str">
        <v>-</v>
      </c>
      <c r="E21096" t="str">
        <v/>
      </c>
      <c r="F21096" t="str">
        <v>-</v>
      </c>
      <c r="G21096" t="str">
        <v>-</v>
      </c>
    </row>
    <row r="21097">
      <c r="B21097" t="str">
        <v>UBND Ủy ban nhân dân xã Mỹ Hạnh Trung  tỉnh Tiền Giang</v>
      </c>
      <c r="C21097" t="str">
        <v>-</v>
      </c>
      <c r="D21097" t="str">
        <v>-</v>
      </c>
      <c r="E21097" t="str">
        <v>-</v>
      </c>
      <c r="F21097" t="str">
        <v>-</v>
      </c>
      <c r="G21097" t="str">
        <v>-</v>
      </c>
    </row>
    <row r="21098">
      <c r="B21098" t="str">
        <v>Công an xã Tân Phú  tỉnh Tiền Giang</v>
      </c>
      <c r="C21098" t="str">
        <v>-</v>
      </c>
      <c r="D21098" t="str">
        <v>-</v>
      </c>
      <c r="E21098" t="str">
        <v/>
      </c>
      <c r="F21098" t="str">
        <v>-</v>
      </c>
      <c r="G21098" t="str">
        <v>-</v>
      </c>
    </row>
    <row r="21099">
      <c r="B21099" t="str">
        <v>UBND Ủy ban nhân dân xã Tân Phú  tỉnh Tiền Giang</v>
      </c>
      <c r="C21099" t="str">
        <v>-</v>
      </c>
      <c r="D21099" t="str">
        <v>-</v>
      </c>
      <c r="E21099" t="str">
        <v>-</v>
      </c>
      <c r="F21099" t="str">
        <v>-</v>
      </c>
      <c r="G21099" t="str">
        <v>-</v>
      </c>
    </row>
    <row r="21100">
      <c r="B21100" t="str">
        <v>Công an xã Tân Bình  tỉnh Tiền Giang</v>
      </c>
      <c r="C21100" t="str">
        <v>-</v>
      </c>
      <c r="D21100" t="str">
        <v>-</v>
      </c>
      <c r="E21100" t="str">
        <v/>
      </c>
      <c r="F21100" t="str">
        <v>-</v>
      </c>
      <c r="G21100" t="str">
        <v>-</v>
      </c>
    </row>
    <row r="21101">
      <c r="B21101" t="str">
        <v>UBND Ủy ban nhân dân xã Tân Bình  tỉnh Tiền Giang</v>
      </c>
      <c r="C21101" t="str">
        <v>-</v>
      </c>
      <c r="D21101" t="str">
        <v>-</v>
      </c>
      <c r="E21101" t="str">
        <v>-</v>
      </c>
      <c r="F21101" t="str">
        <v>-</v>
      </c>
      <c r="G21101" t="str">
        <v>-</v>
      </c>
    </row>
    <row r="21102">
      <c r="B21102" t="str">
        <v>Công an xã Tân Hội  tỉnh Tiền Giang</v>
      </c>
      <c r="C21102" t="str">
        <v>-</v>
      </c>
      <c r="D21102" t="str">
        <v>-</v>
      </c>
      <c r="E21102" t="str">
        <v/>
      </c>
      <c r="F21102" t="str">
        <v>-</v>
      </c>
      <c r="G21102" t="str">
        <v>-</v>
      </c>
    </row>
    <row r="21103">
      <c r="B21103" t="str">
        <v>UBND Ủy ban nhân dân xã Tân Hội  tỉnh Tiền Giang</v>
      </c>
      <c r="C21103" t="str">
        <v>-</v>
      </c>
      <c r="D21103" t="str">
        <v>-</v>
      </c>
      <c r="E21103" t="str">
        <v>-</v>
      </c>
      <c r="F21103" t="str">
        <v>-</v>
      </c>
      <c r="G21103" t="str">
        <v>-</v>
      </c>
    </row>
    <row r="21104">
      <c r="B21104" t="str">
        <v>Công an phường Nhị Mỹ  tỉnh Tiền Giang</v>
      </c>
      <c r="C21104" t="str">
        <v>-</v>
      </c>
      <c r="D21104" t="str">
        <v>-</v>
      </c>
      <c r="E21104" t="str">
        <v/>
      </c>
      <c r="F21104" t="str">
        <v>-</v>
      </c>
      <c r="G21104" t="str">
        <v>-</v>
      </c>
    </row>
    <row r="21105">
      <c r="B21105" t="str">
        <v>UBND Ủy ban nhân dân phường Nhị Mỹ  tỉnh Tiền Giang</v>
      </c>
      <c r="C21105" t="str">
        <v>-</v>
      </c>
      <c r="D21105" t="str">
        <v>-</v>
      </c>
      <c r="E21105" t="str">
        <v>-</v>
      </c>
      <c r="F21105" t="str">
        <v>-</v>
      </c>
      <c r="G21105" t="str">
        <v>-</v>
      </c>
    </row>
    <row r="21106">
      <c r="B21106" t="str">
        <v>Công an xã Nhị Quý  tỉnh Tiền Giang</v>
      </c>
      <c r="C21106" t="str">
        <v>-</v>
      </c>
      <c r="D21106" t="str">
        <v>-</v>
      </c>
      <c r="E21106" t="str">
        <v/>
      </c>
      <c r="F21106" t="str">
        <v>-</v>
      </c>
      <c r="G21106" t="str">
        <v>-</v>
      </c>
    </row>
    <row r="21107">
      <c r="B21107" t="str">
        <v>UBND Ủy ban nhân dân xã Nhị Quý  tỉnh Tiền Giang</v>
      </c>
      <c r="C21107" t="str">
        <v>-</v>
      </c>
      <c r="D21107" t="str">
        <v>-</v>
      </c>
      <c r="E21107" t="str">
        <v>-</v>
      </c>
      <c r="F21107" t="str">
        <v>-</v>
      </c>
      <c r="G21107" t="str">
        <v>-</v>
      </c>
    </row>
    <row r="21108">
      <c r="B21108" t="str">
        <v>Công an xã Thanh Hòa  tỉnh Tiền Giang</v>
      </c>
      <c r="C21108" t="str">
        <v>-</v>
      </c>
      <c r="D21108" t="str">
        <v>-</v>
      </c>
      <c r="E21108" t="str">
        <v/>
      </c>
      <c r="F21108" t="str">
        <v>-</v>
      </c>
      <c r="G21108" t="str">
        <v>-</v>
      </c>
    </row>
    <row r="21109">
      <c r="B21109" t="str">
        <v>UBND Ủy ban nhân dân xã Thanh Hòa  tỉnh Tiền Giang</v>
      </c>
      <c r="C21109" t="str">
        <v>-</v>
      </c>
      <c r="D21109" t="str">
        <v>-</v>
      </c>
      <c r="E21109" t="str">
        <v>-</v>
      </c>
      <c r="F21109" t="str">
        <v>-</v>
      </c>
      <c r="G21109" t="str">
        <v>-</v>
      </c>
    </row>
    <row r="21110">
      <c r="B21110" t="str">
        <v>Công an xã Phú Quý  tỉnh Tiền Giang</v>
      </c>
      <c r="C21110" t="str">
        <v>-</v>
      </c>
      <c r="D21110" t="str">
        <v>-</v>
      </c>
      <c r="E21110" t="str">
        <v/>
      </c>
      <c r="F21110" t="str">
        <v>-</v>
      </c>
      <c r="G21110" t="str">
        <v>-</v>
      </c>
    </row>
    <row r="21111">
      <c r="B21111" t="str">
        <v>UBND Ủy ban nhân dân xã Phú Quý  tỉnh Tiền Giang</v>
      </c>
      <c r="C21111" t="str">
        <v>-</v>
      </c>
      <c r="D21111" t="str">
        <v>-</v>
      </c>
      <c r="E21111" t="str">
        <v>-</v>
      </c>
      <c r="F21111" t="str">
        <v>-</v>
      </c>
      <c r="G21111" t="str">
        <v>-</v>
      </c>
    </row>
    <row r="21112">
      <c r="B21112" t="str">
        <v>Công an xã Long Khánh  tỉnh Tiền Giang</v>
      </c>
      <c r="C21112" t="str">
        <v>-</v>
      </c>
      <c r="D21112" t="str">
        <v>-</v>
      </c>
      <c r="E21112" t="str">
        <v/>
      </c>
      <c r="F21112" t="str">
        <v>-</v>
      </c>
      <c r="G21112" t="str">
        <v>-</v>
      </c>
    </row>
    <row r="21113">
      <c r="B21113" t="str">
        <v>UBND Ủy ban nhân dân xã Long Khánh  tỉnh Tiền Giang</v>
      </c>
      <c r="C21113" t="str">
        <v>-</v>
      </c>
      <c r="D21113" t="str">
        <v>-</v>
      </c>
      <c r="E21113" t="str">
        <v>-</v>
      </c>
      <c r="F21113" t="str">
        <v>-</v>
      </c>
      <c r="G21113" t="str">
        <v>-</v>
      </c>
    </row>
    <row r="21114">
      <c r="B21114" t="str">
        <v>Công an xã Tân Hòa Đông  tỉnh Tiền Giang</v>
      </c>
      <c r="C21114" t="str">
        <v>-</v>
      </c>
      <c r="D21114" t="str">
        <v>-</v>
      </c>
      <c r="E21114" t="str">
        <v/>
      </c>
      <c r="F21114" t="str">
        <v>-</v>
      </c>
      <c r="G21114" t="str">
        <v>-</v>
      </c>
    </row>
    <row r="21115">
      <c r="B21115" t="str">
        <v>UBND Ủy ban nhân dân xã Tân Hòa Đông  tỉnh Tiền Giang</v>
      </c>
      <c r="C21115" t="str">
        <v>-</v>
      </c>
      <c r="D21115" t="str">
        <v>-</v>
      </c>
      <c r="E21115" t="str">
        <v>-</v>
      </c>
      <c r="F21115" t="str">
        <v>-</v>
      </c>
      <c r="G21115" t="str">
        <v>-</v>
      </c>
    </row>
    <row r="21116">
      <c r="B21116" t="str">
        <v>Công an xã Thạnh Tân  tỉnh Tiền Giang</v>
      </c>
      <c r="C21116" t="str">
        <v>-</v>
      </c>
      <c r="D21116" t="str">
        <v>-</v>
      </c>
      <c r="E21116" t="str">
        <v/>
      </c>
      <c r="F21116" t="str">
        <v>-</v>
      </c>
      <c r="G21116" t="str">
        <v>-</v>
      </c>
    </row>
    <row r="21117">
      <c r="B21117" t="str">
        <v>UBND Ủy ban nhân dân xã Thạnh Tân  tỉnh Tiền Giang</v>
      </c>
      <c r="C21117" t="str">
        <v>-</v>
      </c>
      <c r="D21117" t="str">
        <v>-</v>
      </c>
      <c r="E21117" t="str">
        <v>-</v>
      </c>
      <c r="F21117" t="str">
        <v>-</v>
      </c>
      <c r="G21117" t="str">
        <v>-</v>
      </c>
    </row>
    <row r="21118">
      <c r="B21118" t="str">
        <v>Công an xã Thạnh Mỹ  tỉnh Tiền Giang</v>
      </c>
      <c r="C21118" t="str">
        <v>-</v>
      </c>
      <c r="D21118" t="str">
        <v>-</v>
      </c>
      <c r="E21118" t="str">
        <v/>
      </c>
      <c r="F21118" t="str">
        <v>-</v>
      </c>
      <c r="G21118" t="str">
        <v>-</v>
      </c>
    </row>
    <row r="21119">
      <c r="B21119" t="str">
        <v>UBND Ủy ban nhân dân xã Thạnh Mỹ  tỉnh Tiền Giang</v>
      </c>
      <c r="C21119" t="str">
        <v>-</v>
      </c>
      <c r="D21119" t="str">
        <v>-</v>
      </c>
      <c r="E21119" t="str">
        <v>-</v>
      </c>
      <c r="F21119" t="str">
        <v>-</v>
      </c>
      <c r="G21119" t="str">
        <v>-</v>
      </c>
    </row>
    <row r="21120">
      <c r="B21120" t="str">
        <v>Công an xã Thạnh Hoà  tỉnh Tiền Giang</v>
      </c>
      <c r="C21120" t="str">
        <v>-</v>
      </c>
      <c r="D21120" t="str">
        <v>-</v>
      </c>
      <c r="E21120" t="str">
        <v/>
      </c>
      <c r="F21120" t="str">
        <v>-</v>
      </c>
      <c r="G21120" t="str">
        <v>-</v>
      </c>
    </row>
    <row r="21121">
      <c r="B21121" t="str">
        <v>UBND Ủy ban nhân dân xã Thạnh Hoà  tỉnh Tiền Giang</v>
      </c>
      <c r="C21121" t="str">
        <v>-</v>
      </c>
      <c r="D21121" t="str">
        <v>-</v>
      </c>
      <c r="E21121" t="str">
        <v>-</v>
      </c>
      <c r="F21121" t="str">
        <v>-</v>
      </c>
      <c r="G21121" t="str">
        <v>-</v>
      </c>
    </row>
    <row r="21122">
      <c r="B21122" t="str">
        <v>Công an xã Phú Mỹ  tỉnh Tiền Giang</v>
      </c>
      <c r="C21122" t="str">
        <v>-</v>
      </c>
      <c r="D21122" t="str">
        <v>-</v>
      </c>
      <c r="E21122" t="str">
        <v/>
      </c>
      <c r="F21122" t="str">
        <v>-</v>
      </c>
      <c r="G21122" t="str">
        <v>-</v>
      </c>
    </row>
    <row r="21123">
      <c r="B21123" t="str">
        <v>UBND Ủy ban nhân dân xã Phú Mỹ  tỉnh Tiền Giang</v>
      </c>
      <c r="C21123" t="str">
        <v>-</v>
      </c>
      <c r="D21123" t="str">
        <v>-</v>
      </c>
      <c r="E21123" t="str">
        <v>-</v>
      </c>
      <c r="F21123" t="str">
        <v>-</v>
      </c>
      <c r="G21123" t="str">
        <v>-</v>
      </c>
    </row>
    <row r="21124">
      <c r="B21124" t="str">
        <v>Công an xã Tân Hòa Thành  tỉnh Tiền Giang</v>
      </c>
      <c r="C21124" t="str">
        <v>-</v>
      </c>
      <c r="D21124" t="str">
        <v>-</v>
      </c>
      <c r="E21124" t="str">
        <v/>
      </c>
      <c r="F21124" t="str">
        <v>-</v>
      </c>
      <c r="G21124" t="str">
        <v>-</v>
      </c>
    </row>
    <row r="21125">
      <c r="B21125" t="str">
        <v>UBND Ủy ban nhân dân xã Tân Hòa Thành  tỉnh Tiền Giang</v>
      </c>
      <c r="C21125" t="str">
        <v>-</v>
      </c>
      <c r="D21125" t="str">
        <v>-</v>
      </c>
      <c r="E21125" t="str">
        <v>-</v>
      </c>
      <c r="F21125" t="str">
        <v>-</v>
      </c>
      <c r="G21125" t="str">
        <v>-</v>
      </c>
    </row>
    <row r="21126">
      <c r="B21126" t="str">
        <v>Công an xã Hưng Thạnh  tỉnh Tiền Giang</v>
      </c>
      <c r="C21126" t="str">
        <v>-</v>
      </c>
      <c r="D21126" t="str">
        <v>-</v>
      </c>
      <c r="E21126" t="str">
        <v/>
      </c>
      <c r="F21126" t="str">
        <v>-</v>
      </c>
      <c r="G21126" t="str">
        <v>-</v>
      </c>
    </row>
    <row r="21127">
      <c r="B21127" t="str">
        <v>UBND Ủy ban nhân dân xã Hưng Thạnh  tỉnh Tiền Giang</v>
      </c>
      <c r="C21127" t="str">
        <v>-</v>
      </c>
      <c r="D21127" t="str">
        <v>-</v>
      </c>
      <c r="E21127" t="str">
        <v>-</v>
      </c>
      <c r="F21127" t="str">
        <v>-</v>
      </c>
      <c r="G21127" t="str">
        <v>-</v>
      </c>
    </row>
    <row r="21128">
      <c r="B21128" t="str">
        <v>Công an xã Tân Lập 1  tỉnh Tiền Giang</v>
      </c>
      <c r="C21128" t="str">
        <v>-</v>
      </c>
      <c r="D21128" t="str">
        <v>-</v>
      </c>
      <c r="E21128" t="str">
        <v/>
      </c>
      <c r="F21128" t="str">
        <v>-</v>
      </c>
      <c r="G21128" t="str">
        <v>-</v>
      </c>
    </row>
    <row r="21129">
      <c r="B21129" t="str">
        <v>UBND Ủy ban nhân dân xã Tân Lập 1  tỉnh Tiền Giang</v>
      </c>
      <c r="C21129" t="str">
        <v>-</v>
      </c>
      <c r="D21129" t="str">
        <v>-</v>
      </c>
      <c r="E21129" t="str">
        <v>-</v>
      </c>
      <c r="F21129" t="str">
        <v>-</v>
      </c>
      <c r="G21129" t="str">
        <v>-</v>
      </c>
    </row>
    <row r="21130">
      <c r="B21130" t="str">
        <v>Công an xã Tân Hòa Tây  tỉnh Tiền Giang</v>
      </c>
      <c r="C21130" t="str">
        <v>-</v>
      </c>
      <c r="D21130" t="str">
        <v>-</v>
      </c>
      <c r="E21130" t="str">
        <v/>
      </c>
      <c r="F21130" t="str">
        <v>-</v>
      </c>
      <c r="G21130" t="str">
        <v>-</v>
      </c>
    </row>
    <row r="21131">
      <c r="B21131" t="str">
        <v>UBND Ủy ban nhân dân xã Tân Hòa Tây  tỉnh Tiền Giang</v>
      </c>
      <c r="C21131" t="str">
        <v>-</v>
      </c>
      <c r="D21131" t="str">
        <v>-</v>
      </c>
      <c r="E21131" t="str">
        <v>-</v>
      </c>
      <c r="F21131" t="str">
        <v>-</v>
      </c>
      <c r="G21131" t="str">
        <v>-</v>
      </c>
    </row>
    <row r="21132">
      <c r="B21132" t="str">
        <v>Công an xã Mỹ Phước  tỉnh Tiền Giang</v>
      </c>
      <c r="C21132" t="str">
        <v>-</v>
      </c>
      <c r="D21132" t="str">
        <v>-</v>
      </c>
      <c r="E21132" t="str">
        <v/>
      </c>
      <c r="F21132" t="str">
        <v>-</v>
      </c>
      <c r="G21132" t="str">
        <v>-</v>
      </c>
    </row>
    <row r="21133">
      <c r="B21133" t="str">
        <v>UBND Ủy ban nhân dân xã Mỹ Phước  tỉnh Tiền Giang</v>
      </c>
      <c r="C21133" t="str">
        <v>-</v>
      </c>
      <c r="D21133" t="str">
        <v>-</v>
      </c>
      <c r="E21133" t="str">
        <v>-</v>
      </c>
      <c r="F21133" t="str">
        <v>-</v>
      </c>
      <c r="G21133" t="str">
        <v>-</v>
      </c>
    </row>
    <row r="21134">
      <c r="B21134" t="str">
        <v>Công an xã Tân Lập 2  tỉnh Tiền Giang</v>
      </c>
      <c r="C21134" t="str">
        <v>-</v>
      </c>
      <c r="D21134" t="str">
        <v>-</v>
      </c>
      <c r="E21134" t="str">
        <v/>
      </c>
      <c r="F21134" t="str">
        <v>-</v>
      </c>
      <c r="G21134" t="str">
        <v>-</v>
      </c>
    </row>
    <row r="21135">
      <c r="B21135" t="str">
        <v>UBND Ủy ban nhân dân xã Tân Lập 2  tỉnh Tiền Giang</v>
      </c>
      <c r="C21135" t="str">
        <v>-</v>
      </c>
      <c r="D21135" t="str">
        <v>-</v>
      </c>
      <c r="E21135" t="str">
        <v>-</v>
      </c>
      <c r="F21135" t="str">
        <v>-</v>
      </c>
      <c r="G21135" t="str">
        <v>-</v>
      </c>
    </row>
    <row r="21136">
      <c r="B21136" t="str">
        <v>Công an xã Phước Lập  tỉnh Tiền Giang</v>
      </c>
      <c r="C21136" t="str">
        <v>-</v>
      </c>
      <c r="D21136" t="str">
        <v>-</v>
      </c>
      <c r="E21136" t="str">
        <v/>
      </c>
      <c r="F21136" t="str">
        <v>-</v>
      </c>
      <c r="G21136" t="str">
        <v>-</v>
      </c>
    </row>
    <row r="21137">
      <c r="B21137" t="str">
        <v>UBND Ủy ban nhân dân xã Phước Lập  tỉnh Tiền Giang</v>
      </c>
      <c r="C21137" t="str">
        <v>-</v>
      </c>
      <c r="D21137" t="str">
        <v>-</v>
      </c>
      <c r="E21137" t="str">
        <v>-</v>
      </c>
      <c r="F21137" t="str">
        <v>-</v>
      </c>
      <c r="G21137" t="str">
        <v>-</v>
      </c>
    </row>
    <row r="21138">
      <c r="B21138" t="str">
        <v>Công an xã Hậu Mỹ Bắc B  tỉnh Tiền Giang</v>
      </c>
      <c r="C21138" t="str">
        <v>-</v>
      </c>
      <c r="D21138" t="str">
        <v>-</v>
      </c>
      <c r="E21138" t="str">
        <v/>
      </c>
      <c r="F21138" t="str">
        <v>-</v>
      </c>
      <c r="G21138" t="str">
        <v>-</v>
      </c>
    </row>
    <row r="21139">
      <c r="B21139" t="str">
        <v>UBND Ủy ban nhân dân xã Hậu Mỹ Bắc B  tỉnh Tiền Giang</v>
      </c>
      <c r="C21139" t="str">
        <v>-</v>
      </c>
      <c r="D21139" t="str">
        <v>-</v>
      </c>
      <c r="E21139" t="str">
        <v>-</v>
      </c>
      <c r="F21139" t="str">
        <v>-</v>
      </c>
      <c r="G21139" t="str">
        <v>-</v>
      </c>
    </row>
    <row r="21140">
      <c r="B21140" t="str">
        <v>Công an xã Hậu Mỹ Bắc A  tỉnh Tiền Giang</v>
      </c>
      <c r="C21140" t="str">
        <v>-</v>
      </c>
      <c r="D21140" t="str">
        <v>-</v>
      </c>
      <c r="E21140" t="str">
        <v/>
      </c>
      <c r="F21140" t="str">
        <v>-</v>
      </c>
      <c r="G21140" t="str">
        <v>-</v>
      </c>
    </row>
    <row r="21141">
      <c r="B21141" t="str">
        <v>UBND Ủy ban nhân dân xã Hậu Mỹ Bắc A  tỉnh Tiền Giang</v>
      </c>
      <c r="C21141" t="str">
        <v>-</v>
      </c>
      <c r="D21141" t="str">
        <v>-</v>
      </c>
      <c r="E21141" t="str">
        <v>-</v>
      </c>
      <c r="F21141" t="str">
        <v>-</v>
      </c>
      <c r="G21141" t="str">
        <v>-</v>
      </c>
    </row>
    <row r="21142">
      <c r="B21142" t="str">
        <v>Công an xã Mỹ Trung  tỉnh Tiền Giang</v>
      </c>
      <c r="C21142" t="str">
        <v>-</v>
      </c>
      <c r="D21142" t="str">
        <v>-</v>
      </c>
      <c r="E21142" t="str">
        <v/>
      </c>
      <c r="F21142" t="str">
        <v>-</v>
      </c>
      <c r="G21142" t="str">
        <v>-</v>
      </c>
    </row>
    <row r="21143">
      <c r="B21143" t="str">
        <v>UBND Ủy ban nhân dân xã Mỹ Trung  tỉnh Tiền Giang</v>
      </c>
      <c r="C21143" t="str">
        <v>-</v>
      </c>
      <c r="D21143" t="str">
        <v>-</v>
      </c>
      <c r="E21143" t="str">
        <v>-</v>
      </c>
      <c r="F21143" t="str">
        <v>-</v>
      </c>
      <c r="G21143" t="str">
        <v>-</v>
      </c>
    </row>
    <row r="21144">
      <c r="B21144" t="str">
        <v>Công an xã Hậu Mỹ Trinh  tỉnh Tiền Giang</v>
      </c>
      <c r="C21144" t="str">
        <v>-</v>
      </c>
      <c r="D21144" t="str">
        <v>-</v>
      </c>
      <c r="E21144" t="str">
        <v/>
      </c>
      <c r="F21144" t="str">
        <v>-</v>
      </c>
      <c r="G21144" t="str">
        <v>-</v>
      </c>
    </row>
    <row r="21145">
      <c r="B21145" t="str">
        <v>UBND Ủy ban nhân dân xã Hậu Mỹ Trinh  tỉnh Tiền Giang</v>
      </c>
      <c r="C21145" t="str">
        <v>-</v>
      </c>
      <c r="D21145" t="str">
        <v>-</v>
      </c>
      <c r="E21145" t="str">
        <v>-</v>
      </c>
      <c r="F21145" t="str">
        <v>-</v>
      </c>
      <c r="G21145" t="str">
        <v>-</v>
      </c>
    </row>
    <row r="21146">
      <c r="B21146" t="str">
        <v>Công an xã Hậu Mỹ Phú  tỉnh Tiền Giang</v>
      </c>
      <c r="C21146" t="str">
        <v>-</v>
      </c>
      <c r="D21146" t="str">
        <v>-</v>
      </c>
      <c r="E21146" t="str">
        <v/>
      </c>
      <c r="F21146" t="str">
        <v>-</v>
      </c>
      <c r="G21146" t="str">
        <v>-</v>
      </c>
    </row>
    <row r="21147">
      <c r="B21147" t="str">
        <v>UBND Ủy ban nhân dân xã Hậu Mỹ Phú  tỉnh Tiền Giang</v>
      </c>
      <c r="C21147" t="str">
        <v>-</v>
      </c>
      <c r="D21147" t="str">
        <v>-</v>
      </c>
      <c r="E21147" t="str">
        <v>-</v>
      </c>
      <c r="F21147" t="str">
        <v>-</v>
      </c>
      <c r="G21147" t="str">
        <v>-</v>
      </c>
    </row>
    <row r="21148">
      <c r="B21148" t="str">
        <v>Công an xã Mỹ Tân  tỉnh Tiền Giang</v>
      </c>
      <c r="C21148" t="str">
        <v>-</v>
      </c>
      <c r="D21148" t="str">
        <v>-</v>
      </c>
      <c r="E21148" t="str">
        <v/>
      </c>
      <c r="F21148" t="str">
        <v>-</v>
      </c>
      <c r="G21148" t="str">
        <v>-</v>
      </c>
    </row>
    <row r="21149">
      <c r="B21149" t="str">
        <v>UBND Ủy ban nhân dân xã Mỹ Tân  tỉnh Tiền Giang</v>
      </c>
      <c r="C21149" t="str">
        <v>-</v>
      </c>
      <c r="D21149" t="str">
        <v>-</v>
      </c>
      <c r="E21149" t="str">
        <v>-</v>
      </c>
      <c r="F21149" t="str">
        <v>-</v>
      </c>
      <c r="G21149" t="str">
        <v>-</v>
      </c>
    </row>
    <row r="21150">
      <c r="B21150" t="str">
        <v>Công an xã Mỹ Lợi B  tỉnh Tiền Giang</v>
      </c>
      <c r="C21150" t="str">
        <v>-</v>
      </c>
      <c r="D21150" t="str">
        <v>-</v>
      </c>
      <c r="E21150" t="str">
        <v/>
      </c>
      <c r="F21150" t="str">
        <v>-</v>
      </c>
      <c r="G21150" t="str">
        <v>-</v>
      </c>
    </row>
    <row r="21151">
      <c r="B21151" t="str">
        <v>UBND Ủy ban nhân dân xã Mỹ Lợi B  tỉnh Tiền Giang</v>
      </c>
      <c r="C21151" t="str">
        <v>-</v>
      </c>
      <c r="D21151" t="str">
        <v>-</v>
      </c>
      <c r="E21151" t="str">
        <v>-</v>
      </c>
      <c r="F21151" t="str">
        <v>-</v>
      </c>
      <c r="G21151" t="str">
        <v>-</v>
      </c>
    </row>
    <row r="21152">
      <c r="B21152" t="str">
        <v>Công an xã Thiện Trung  tỉnh Tiền Giang</v>
      </c>
      <c r="C21152" t="str">
        <v>-</v>
      </c>
      <c r="D21152" t="str">
        <v>-</v>
      </c>
      <c r="E21152" t="str">
        <v/>
      </c>
      <c r="F21152" t="str">
        <v>-</v>
      </c>
      <c r="G21152" t="str">
        <v>-</v>
      </c>
    </row>
    <row r="21153">
      <c r="B21153" t="str">
        <v>UBND Ủy ban nhân dân xã Thiện Trung  tỉnh Tiền Giang</v>
      </c>
      <c r="C21153" t="str">
        <v>-</v>
      </c>
      <c r="D21153" t="str">
        <v>-</v>
      </c>
      <c r="E21153" t="str">
        <v>-</v>
      </c>
      <c r="F21153" t="str">
        <v>-</v>
      </c>
      <c r="G21153" t="str">
        <v>-</v>
      </c>
    </row>
    <row r="21154">
      <c r="B21154" t="str">
        <v>Công an xã Mỹ Hội  tỉnh Tiền Giang</v>
      </c>
      <c r="C21154" t="str">
        <v>-</v>
      </c>
      <c r="D21154" t="str">
        <v>-</v>
      </c>
      <c r="E21154" t="str">
        <v/>
      </c>
      <c r="F21154" t="str">
        <v>-</v>
      </c>
      <c r="G21154" t="str">
        <v>-</v>
      </c>
    </row>
    <row r="21155">
      <c r="B21155" t="str">
        <v>UBND Ủy ban nhân dân xã Mỹ Hội  tỉnh Tiền Giang</v>
      </c>
      <c r="C21155" t="str">
        <v>-</v>
      </c>
      <c r="D21155" t="str">
        <v>-</v>
      </c>
      <c r="E21155" t="str">
        <v>-</v>
      </c>
      <c r="F21155" t="str">
        <v>-</v>
      </c>
      <c r="G21155" t="str">
        <v>-</v>
      </c>
    </row>
    <row r="21156">
      <c r="B21156" t="str">
        <v>Công an xã An Cư  tỉnh Tiền Giang</v>
      </c>
      <c r="C21156" t="str">
        <v>-</v>
      </c>
      <c r="D21156" t="str">
        <v>-</v>
      </c>
      <c r="E21156" t="str">
        <v/>
      </c>
      <c r="F21156" t="str">
        <v>-</v>
      </c>
      <c r="G21156" t="str">
        <v>-</v>
      </c>
    </row>
    <row r="21157">
      <c r="B21157" t="str">
        <v>UBND Ủy ban nhân dân xã An Cư  tỉnh Tiền Giang</v>
      </c>
      <c r="C21157" t="str">
        <v>-</v>
      </c>
      <c r="D21157" t="str">
        <v>-</v>
      </c>
      <c r="E21157" t="str">
        <v>-</v>
      </c>
      <c r="F21157" t="str">
        <v>-</v>
      </c>
      <c r="G21157" t="str">
        <v>-</v>
      </c>
    </row>
    <row r="21158">
      <c r="B21158" t="str">
        <v>Công an xã Hậu Thành  tỉnh Tiền Giang</v>
      </c>
      <c r="C21158" t="str">
        <v>-</v>
      </c>
      <c r="D21158" t="str">
        <v>-</v>
      </c>
      <c r="E21158" t="str">
        <v/>
      </c>
      <c r="F21158" t="str">
        <v>-</v>
      </c>
      <c r="G21158" t="str">
        <v>-</v>
      </c>
    </row>
    <row r="21159">
      <c r="B21159" t="str">
        <v>UBND Ủy ban nhân dân xã Hậu Thành  tỉnh Tiền Giang</v>
      </c>
      <c r="C21159" t="str">
        <v>-</v>
      </c>
      <c r="D21159" t="str">
        <v>-</v>
      </c>
      <c r="E21159" t="str">
        <v>-</v>
      </c>
      <c r="F21159" t="str">
        <v>-</v>
      </c>
      <c r="G21159" t="str">
        <v>-</v>
      </c>
    </row>
    <row r="21160">
      <c r="B21160" t="str">
        <v>Công an xã Mỹ Lợi A  tỉnh Tiền Giang</v>
      </c>
      <c r="C21160" t="str">
        <v>-</v>
      </c>
      <c r="D21160" t="str">
        <v>-</v>
      </c>
      <c r="E21160" t="str">
        <v/>
      </c>
      <c r="F21160" t="str">
        <v>-</v>
      </c>
      <c r="G21160" t="str">
        <v>-</v>
      </c>
    </row>
    <row r="21161">
      <c r="B21161" t="str">
        <v>UBND Ủy ban nhân dân xã Mỹ Lợi A  tỉnh Tiền Giang</v>
      </c>
      <c r="C21161" t="str">
        <v>-</v>
      </c>
      <c r="D21161" t="str">
        <v>-</v>
      </c>
      <c r="E21161" t="str">
        <v>-</v>
      </c>
      <c r="F21161" t="str">
        <v>-</v>
      </c>
      <c r="G21161" t="str">
        <v>-</v>
      </c>
    </row>
    <row r="21162">
      <c r="B21162" t="str">
        <v>Công an xã Hòa Khánh  tỉnh Tiền Giang</v>
      </c>
      <c r="C21162" t="str">
        <v>-</v>
      </c>
      <c r="D21162" t="str">
        <v>-</v>
      </c>
      <c r="E21162" t="str">
        <v/>
      </c>
      <c r="F21162" t="str">
        <v>-</v>
      </c>
      <c r="G21162" t="str">
        <v>-</v>
      </c>
    </row>
    <row r="21163">
      <c r="B21163" t="str">
        <v>UBND Ủy ban nhân dân xã Hòa Khánh  tỉnh Tiền Giang</v>
      </c>
      <c r="C21163" t="str">
        <v>-</v>
      </c>
      <c r="D21163" t="str">
        <v>-</v>
      </c>
      <c r="E21163" t="str">
        <v>-</v>
      </c>
      <c r="F21163" t="str">
        <v>-</v>
      </c>
      <c r="G21163" t="str">
        <v>-</v>
      </c>
    </row>
    <row r="21164">
      <c r="B21164" t="str">
        <v>Công an xã Thiện Trí  tỉnh Tiền Giang</v>
      </c>
      <c r="C21164" t="str">
        <v>-</v>
      </c>
      <c r="D21164" t="str">
        <v>-</v>
      </c>
      <c r="E21164" t="str">
        <v/>
      </c>
      <c r="F21164" t="str">
        <v>-</v>
      </c>
      <c r="G21164" t="str">
        <v>-</v>
      </c>
    </row>
    <row r="21165">
      <c r="B21165" t="str">
        <v>UBND Ủy ban nhân dân xã Thiện Trí  tỉnh Tiền Giang</v>
      </c>
      <c r="C21165" t="str">
        <v>-</v>
      </c>
      <c r="D21165" t="str">
        <v>-</v>
      </c>
      <c r="E21165" t="str">
        <v>-</v>
      </c>
      <c r="F21165" t="str">
        <v>-</v>
      </c>
      <c r="G21165" t="str">
        <v>-</v>
      </c>
    </row>
    <row r="21166">
      <c r="B21166" t="str">
        <v>Công an xã Mỹ Đức Đông  tỉnh Tiền Giang</v>
      </c>
      <c r="C21166" t="str">
        <v>-</v>
      </c>
      <c r="D21166" t="str">
        <v>-</v>
      </c>
      <c r="E21166" t="str">
        <v/>
      </c>
      <c r="F21166" t="str">
        <v>-</v>
      </c>
      <c r="G21166" t="str">
        <v>-</v>
      </c>
    </row>
    <row r="21167">
      <c r="B21167" t="str">
        <v>UBND Ủy ban nhân dân xã Mỹ Đức Đông  tỉnh Tiền Giang</v>
      </c>
      <c r="C21167" t="str">
        <v>-</v>
      </c>
      <c r="D21167" t="str">
        <v>-</v>
      </c>
      <c r="E21167" t="str">
        <v>-</v>
      </c>
      <c r="F21167" t="str">
        <v>-</v>
      </c>
      <c r="G21167" t="str">
        <v>-</v>
      </c>
    </row>
    <row r="21168">
      <c r="B21168" t="str">
        <v>Công an xã Mỹ Đức Tây  tỉnh Tiền Giang</v>
      </c>
      <c r="C21168" t="str">
        <v>-</v>
      </c>
      <c r="D21168" t="str">
        <v>-</v>
      </c>
      <c r="E21168" t="str">
        <v/>
      </c>
      <c r="F21168" t="str">
        <v>-</v>
      </c>
      <c r="G21168" t="str">
        <v>-</v>
      </c>
    </row>
    <row r="21169">
      <c r="B21169" t="str">
        <v>UBND Ủy ban nhân dân xã Mỹ Đức Tây  tỉnh Tiền Giang</v>
      </c>
      <c r="C21169" t="str">
        <v>-</v>
      </c>
      <c r="D21169" t="str">
        <v>-</v>
      </c>
      <c r="E21169" t="str">
        <v>-</v>
      </c>
      <c r="F21169" t="str">
        <v>-</v>
      </c>
      <c r="G21169" t="str">
        <v>-</v>
      </c>
    </row>
    <row r="21170">
      <c r="B21170" t="str">
        <v>Công an xã Đông Hòa Hiệp  tỉnh Tiền Giang</v>
      </c>
      <c r="C21170" t="str">
        <v>-</v>
      </c>
      <c r="D21170" t="str">
        <v>-</v>
      </c>
      <c r="E21170" t="str">
        <v/>
      </c>
      <c r="F21170" t="str">
        <v>-</v>
      </c>
      <c r="G21170" t="str">
        <v>-</v>
      </c>
    </row>
    <row r="21171">
      <c r="B21171" t="str">
        <v>UBND Ủy ban nhân dân xã Đông Hòa Hiệp  tỉnh Tiền Giang</v>
      </c>
      <c r="C21171" t="str">
        <v>-</v>
      </c>
      <c r="D21171" t="str">
        <v>-</v>
      </c>
      <c r="E21171" t="str">
        <v>-</v>
      </c>
      <c r="F21171" t="str">
        <v>-</v>
      </c>
      <c r="G21171" t="str">
        <v>-</v>
      </c>
    </row>
    <row r="21172">
      <c r="B21172" t="str">
        <v>Công an xã An Thái Đông  tỉnh Tiền Giang</v>
      </c>
      <c r="C21172" t="str">
        <v>-</v>
      </c>
      <c r="D21172" t="str">
        <v>-</v>
      </c>
      <c r="E21172" t="str">
        <v/>
      </c>
      <c r="F21172" t="str">
        <v>-</v>
      </c>
      <c r="G21172" t="str">
        <v>-</v>
      </c>
    </row>
    <row r="21173">
      <c r="B21173" t="str">
        <v>UBND Ủy ban nhân dân xã An Thái Đông  tỉnh Tiền Giang</v>
      </c>
      <c r="C21173" t="str">
        <v>-</v>
      </c>
      <c r="D21173" t="str">
        <v>-</v>
      </c>
      <c r="E21173" t="str">
        <v>-</v>
      </c>
      <c r="F21173" t="str">
        <v>-</v>
      </c>
      <c r="G21173" t="str">
        <v>-</v>
      </c>
    </row>
    <row r="21174">
      <c r="B21174" t="str">
        <v>Công an xã Tân Hưng  tỉnh Tiền Giang</v>
      </c>
      <c r="C21174" t="str">
        <v>-</v>
      </c>
      <c r="D21174" t="str">
        <v>-</v>
      </c>
      <c r="E21174" t="str">
        <v/>
      </c>
      <c r="F21174" t="str">
        <v>-</v>
      </c>
      <c r="G21174" t="str">
        <v>-</v>
      </c>
    </row>
    <row r="21175">
      <c r="B21175" t="str">
        <v>UBND Ủy ban nhân dân xã Tân Hưng  tỉnh Tiền Giang</v>
      </c>
      <c r="C21175" t="str">
        <v>-</v>
      </c>
      <c r="D21175" t="str">
        <v>-</v>
      </c>
      <c r="E21175" t="str">
        <v>-</v>
      </c>
      <c r="F21175" t="str">
        <v>-</v>
      </c>
      <c r="G21175" t="str">
        <v>-</v>
      </c>
    </row>
    <row r="21176">
      <c r="B21176" t="str">
        <v>Công an xã Mỹ Lương  tỉnh Tiền Giang</v>
      </c>
      <c r="C21176" t="str">
        <v>-</v>
      </c>
      <c r="D21176" t="str">
        <v>-</v>
      </c>
      <c r="E21176" t="str">
        <v/>
      </c>
      <c r="F21176" t="str">
        <v>-</v>
      </c>
      <c r="G21176" t="str">
        <v>-</v>
      </c>
    </row>
    <row r="21177">
      <c r="B21177" t="str">
        <v>UBND Ủy ban nhân dân xã Mỹ Lương  tỉnh Tiền Giang</v>
      </c>
      <c r="C21177" t="str">
        <v>-</v>
      </c>
      <c r="D21177" t="str">
        <v>-</v>
      </c>
      <c r="E21177" t="str">
        <v>-</v>
      </c>
      <c r="F21177" t="str">
        <v>-</v>
      </c>
      <c r="G21177" t="str">
        <v>-</v>
      </c>
    </row>
    <row r="21178">
      <c r="B21178" t="str">
        <v>Công an xã Tân Thanh  tỉnh Tiền Giang</v>
      </c>
      <c r="C21178" t="str">
        <v>-</v>
      </c>
      <c r="D21178" t="str">
        <v>-</v>
      </c>
      <c r="E21178" t="str">
        <v/>
      </c>
      <c r="F21178" t="str">
        <v>-</v>
      </c>
      <c r="G21178" t="str">
        <v>-</v>
      </c>
    </row>
    <row r="21179">
      <c r="B21179" t="str">
        <v>UBND Ủy ban nhân dân xã Tân Thanh  tỉnh Tiền Giang</v>
      </c>
      <c r="C21179" t="str">
        <v>-</v>
      </c>
      <c r="D21179" t="str">
        <v>-</v>
      </c>
      <c r="E21179" t="str">
        <v>-</v>
      </c>
      <c r="F21179" t="str">
        <v>-</v>
      </c>
      <c r="G21179" t="str">
        <v>-</v>
      </c>
    </row>
    <row r="21180">
      <c r="B21180" t="str">
        <v>Công an xã An Thái Trung  tỉnh Tiền Giang</v>
      </c>
      <c r="C21180" t="str">
        <v>-</v>
      </c>
      <c r="D21180" t="str">
        <v>-</v>
      </c>
      <c r="E21180" t="str">
        <v/>
      </c>
      <c r="F21180" t="str">
        <v>-</v>
      </c>
      <c r="G21180" t="str">
        <v>-</v>
      </c>
    </row>
    <row r="21181">
      <c r="B21181" t="str">
        <v>UBND Ủy ban nhân dân xã An Thái Trung  tỉnh Tiền Giang</v>
      </c>
      <c r="C21181" t="str">
        <v>-</v>
      </c>
      <c r="D21181" t="str">
        <v>-</v>
      </c>
      <c r="E21181" t="str">
        <v>-</v>
      </c>
      <c r="F21181" t="str">
        <v>-</v>
      </c>
      <c r="G21181" t="str">
        <v>-</v>
      </c>
    </row>
    <row r="21182">
      <c r="B21182" t="str">
        <v>Công an xã An Hữu  tỉnh Tiền Giang</v>
      </c>
      <c r="C21182" t="str">
        <v>-</v>
      </c>
      <c r="D21182" t="str">
        <v>-</v>
      </c>
      <c r="E21182" t="str">
        <v/>
      </c>
      <c r="F21182" t="str">
        <v>-</v>
      </c>
      <c r="G21182" t="str">
        <v>-</v>
      </c>
    </row>
    <row r="21183">
      <c r="B21183" t="str">
        <v>UBND Ủy ban nhân dân xã An Hữu  tỉnh Tiền Giang</v>
      </c>
      <c r="C21183" t="str">
        <v>-</v>
      </c>
      <c r="D21183" t="str">
        <v>-</v>
      </c>
      <c r="E21183" t="str">
        <v>-</v>
      </c>
      <c r="F21183" t="str">
        <v>-</v>
      </c>
      <c r="G21183" t="str">
        <v>-</v>
      </c>
    </row>
    <row r="21184">
      <c r="B21184" t="str">
        <v>Công an xã Hòa Hưng  tỉnh Tiền Giang</v>
      </c>
      <c r="C21184" t="str">
        <v>-</v>
      </c>
      <c r="D21184" t="str">
        <v>-</v>
      </c>
      <c r="E21184" t="str">
        <v/>
      </c>
      <c r="F21184" t="str">
        <v>-</v>
      </c>
      <c r="G21184" t="str">
        <v>-</v>
      </c>
    </row>
    <row r="21185">
      <c r="B21185" t="str">
        <v>UBND Ủy ban nhân dân xã Hòa Hưng  tỉnh Tiền Giang</v>
      </c>
      <c r="C21185" t="str">
        <v>-</v>
      </c>
      <c r="D21185" t="str">
        <v>-</v>
      </c>
      <c r="E21185" t="str">
        <v>-</v>
      </c>
      <c r="F21185" t="str">
        <v>-</v>
      </c>
      <c r="G21185" t="str">
        <v>-</v>
      </c>
    </row>
    <row r="21186">
      <c r="B21186" t="str">
        <v>Công an xã Thạnh Lộc  tỉnh Tiền Giang</v>
      </c>
      <c r="C21186" t="str">
        <v>-</v>
      </c>
      <c r="D21186" t="str">
        <v>-</v>
      </c>
      <c r="E21186" t="str">
        <v/>
      </c>
      <c r="F21186" t="str">
        <v>-</v>
      </c>
      <c r="G21186" t="str">
        <v>-</v>
      </c>
    </row>
    <row r="21187">
      <c r="B21187" t="str">
        <v>UBND Ủy ban nhân dân xã Thạnh Lộc  tỉnh Tiền Giang</v>
      </c>
      <c r="C21187" t="str">
        <v>-</v>
      </c>
      <c r="D21187" t="str">
        <v>-</v>
      </c>
      <c r="E21187" t="str">
        <v>-</v>
      </c>
      <c r="F21187" t="str">
        <v>-</v>
      </c>
      <c r="G21187" t="str">
        <v>-</v>
      </c>
    </row>
    <row r="21188">
      <c r="B21188" t="str">
        <v>Công an xã Mỹ Thành Bắc  tỉnh Tiền Giang</v>
      </c>
      <c r="C21188" t="str">
        <v>-</v>
      </c>
      <c r="D21188" t="str">
        <v>-</v>
      </c>
      <c r="E21188" t="str">
        <v/>
      </c>
      <c r="F21188" t="str">
        <v>-</v>
      </c>
      <c r="G21188" t="str">
        <v>-</v>
      </c>
    </row>
    <row r="21189">
      <c r="B21189" t="str">
        <v>UBND Ủy ban nhân dân xã Mỹ Thành Bắc  tỉnh Tiền Giang</v>
      </c>
      <c r="C21189" t="str">
        <v>-</v>
      </c>
      <c r="D21189" t="str">
        <v>-</v>
      </c>
      <c r="E21189" t="str">
        <v>-</v>
      </c>
      <c r="F21189" t="str">
        <v>-</v>
      </c>
      <c r="G21189" t="str">
        <v>-</v>
      </c>
    </row>
    <row r="21190">
      <c r="B21190" t="str">
        <v>Công an xã Phú Cường  tỉnh Tiền Giang</v>
      </c>
      <c r="C21190" t="str">
        <v>-</v>
      </c>
      <c r="D21190" t="str">
        <v>-</v>
      </c>
      <c r="E21190" t="str">
        <v/>
      </c>
      <c r="F21190" t="str">
        <v>-</v>
      </c>
      <c r="G21190" t="str">
        <v>-</v>
      </c>
    </row>
    <row r="21191">
      <c r="B21191" t="str">
        <v>UBND Ủy ban nhân dân xã Phú Cường  tỉnh Tiền Giang</v>
      </c>
      <c r="C21191" t="str">
        <v>-</v>
      </c>
      <c r="D21191" t="str">
        <v>-</v>
      </c>
      <c r="E21191" t="str">
        <v>-</v>
      </c>
      <c r="F21191" t="str">
        <v>-</v>
      </c>
      <c r="G21191" t="str">
        <v>-</v>
      </c>
    </row>
    <row r="21192">
      <c r="B21192" t="str">
        <v>Công an xã Mỹ Thành Nam  tỉnh Tiền Giang</v>
      </c>
      <c r="C21192" t="str">
        <v>-</v>
      </c>
      <c r="D21192" t="str">
        <v>-</v>
      </c>
      <c r="E21192" t="str">
        <v/>
      </c>
      <c r="F21192" t="str">
        <v>-</v>
      </c>
      <c r="G21192" t="str">
        <v>-</v>
      </c>
    </row>
    <row r="21193">
      <c r="B21193" t="str">
        <v>UBND Ủy ban nhân dân xã Mỹ Thành Nam  tỉnh Tiền Giang</v>
      </c>
      <c r="C21193" t="str">
        <v>-</v>
      </c>
      <c r="D21193" t="str">
        <v>-</v>
      </c>
      <c r="E21193" t="str">
        <v>-</v>
      </c>
      <c r="F21193" t="str">
        <v>-</v>
      </c>
      <c r="G21193" t="str">
        <v>-</v>
      </c>
    </row>
    <row r="21194">
      <c r="B21194" t="str">
        <v>Công an xã Phú Nhuận  tỉnh Tiền Giang</v>
      </c>
      <c r="C21194" t="str">
        <v>-</v>
      </c>
      <c r="D21194" t="str">
        <v>-</v>
      </c>
      <c r="E21194" t="str">
        <v/>
      </c>
      <c r="F21194" t="str">
        <v>-</v>
      </c>
      <c r="G21194" t="str">
        <v>-</v>
      </c>
    </row>
    <row r="21195">
      <c r="B21195" t="str">
        <v>UBND Ủy ban nhân dân xã Phú Nhuận  tỉnh Tiền Giang</v>
      </c>
      <c r="C21195" t="str">
        <v>-</v>
      </c>
      <c r="D21195" t="str">
        <v>-</v>
      </c>
      <c r="E21195" t="str">
        <v>-</v>
      </c>
      <c r="F21195" t="str">
        <v>-</v>
      </c>
      <c r="G21195" t="str">
        <v>-</v>
      </c>
    </row>
    <row r="21196">
      <c r="B21196" t="str">
        <v>Công an xã Bình Phú  tỉnh Tiền Giang</v>
      </c>
      <c r="C21196" t="str">
        <v>-</v>
      </c>
      <c r="D21196" t="str">
        <v>-</v>
      </c>
      <c r="E21196" t="str">
        <v/>
      </c>
      <c r="F21196" t="str">
        <v>-</v>
      </c>
      <c r="G21196" t="str">
        <v>-</v>
      </c>
    </row>
    <row r="21197">
      <c r="B21197" t="str">
        <v>UBND Ủy ban nhân dân xã Bình Phú  tỉnh Tiền Giang</v>
      </c>
      <c r="C21197" t="str">
        <v>-</v>
      </c>
      <c r="D21197" t="str">
        <v>-</v>
      </c>
      <c r="E21197" t="str">
        <v>-</v>
      </c>
      <c r="F21197" t="str">
        <v>-</v>
      </c>
      <c r="G21197" t="str">
        <v>-</v>
      </c>
    </row>
    <row r="21198">
      <c r="B21198" t="str">
        <v>Công an xã Cẩm Sơn  tỉnh Tiền Giang</v>
      </c>
      <c r="C21198" t="str">
        <v>-</v>
      </c>
      <c r="D21198" t="str">
        <v>-</v>
      </c>
      <c r="E21198" t="str">
        <v/>
      </c>
      <c r="F21198" t="str">
        <v>-</v>
      </c>
      <c r="G21198" t="str">
        <v>-</v>
      </c>
    </row>
    <row r="21199">
      <c r="B21199" t="str">
        <v>UBND Ủy ban nhân dân xã Cẩm Sơn  tỉnh Tiền Giang</v>
      </c>
      <c r="C21199" t="str">
        <v>-</v>
      </c>
      <c r="D21199" t="str">
        <v>-</v>
      </c>
      <c r="E21199" t="str">
        <v>-</v>
      </c>
      <c r="F21199" t="str">
        <v>-</v>
      </c>
      <c r="G21199" t="str">
        <v>-</v>
      </c>
    </row>
    <row r="21200">
      <c r="B21200" t="str">
        <v>Công an xã Phú An  tỉnh Tiền Giang</v>
      </c>
      <c r="C21200" t="str">
        <v>-</v>
      </c>
      <c r="D21200" t="str">
        <v>-</v>
      </c>
      <c r="E21200" t="str">
        <v/>
      </c>
      <c r="F21200" t="str">
        <v>-</v>
      </c>
      <c r="G21200" t="str">
        <v>-</v>
      </c>
    </row>
    <row r="21201">
      <c r="B21201" t="str">
        <v>UBND Ủy ban nhân dân xã Phú An  tỉnh Tiền Giang</v>
      </c>
      <c r="C21201" t="str">
        <v>-</v>
      </c>
      <c r="D21201" t="str">
        <v>-</v>
      </c>
      <c r="E21201" t="str">
        <v>-</v>
      </c>
      <c r="F21201" t="str">
        <v>-</v>
      </c>
      <c r="G21201" t="str">
        <v>-</v>
      </c>
    </row>
    <row r="21202">
      <c r="B21202" t="str">
        <v>Công an xã Mỹ Long  tỉnh Tiền Giang</v>
      </c>
      <c r="C21202" t="str">
        <v>-</v>
      </c>
      <c r="D21202" t="str">
        <v>-</v>
      </c>
      <c r="E21202" t="str">
        <v/>
      </c>
      <c r="F21202" t="str">
        <v>-</v>
      </c>
      <c r="G21202" t="str">
        <v>-</v>
      </c>
    </row>
    <row r="21203">
      <c r="B21203" t="str">
        <v>UBND Ủy ban nhân dân xã Mỹ Long  tỉnh Tiền Giang</v>
      </c>
      <c r="C21203" t="str">
        <v>-</v>
      </c>
      <c r="D21203" t="str">
        <v>-</v>
      </c>
      <c r="E21203" t="str">
        <v>-</v>
      </c>
      <c r="F21203" t="str">
        <v>-</v>
      </c>
      <c r="G21203" t="str">
        <v>-</v>
      </c>
    </row>
    <row r="21204">
      <c r="B21204" t="str">
        <v>Công an xã Long Tiên  tỉnh Tiền Giang</v>
      </c>
      <c r="C21204" t="str">
        <v>-</v>
      </c>
      <c r="D21204" t="str">
        <v>-</v>
      </c>
      <c r="E21204" t="str">
        <v/>
      </c>
      <c r="F21204" t="str">
        <v>-</v>
      </c>
      <c r="G21204" t="str">
        <v>-</v>
      </c>
    </row>
    <row r="21205">
      <c r="B21205" t="str">
        <v>UBND Ủy ban nhân dân xã Long Tiên  tỉnh Tiền Giang</v>
      </c>
      <c r="C21205" t="str">
        <v>-</v>
      </c>
      <c r="D21205" t="str">
        <v>-</v>
      </c>
      <c r="E21205" t="str">
        <v>-</v>
      </c>
      <c r="F21205" t="str">
        <v>-</v>
      </c>
      <c r="G21205" t="str">
        <v>-</v>
      </c>
    </row>
    <row r="21206">
      <c r="B21206" t="str">
        <v>Công an xã Hiệp Đức  tỉnh Tiền Giang</v>
      </c>
      <c r="C21206" t="str">
        <v>-</v>
      </c>
      <c r="D21206" t="str">
        <v>-</v>
      </c>
      <c r="E21206" t="str">
        <v/>
      </c>
      <c r="F21206" t="str">
        <v>-</v>
      </c>
      <c r="G21206" t="str">
        <v>-</v>
      </c>
    </row>
    <row r="21207">
      <c r="B21207" t="str">
        <v>UBND Ủy ban nhân dân xã Hiệp Đức  tỉnh Tiền Giang</v>
      </c>
      <c r="C21207" t="str">
        <v>-</v>
      </c>
      <c r="D21207" t="str">
        <v>-</v>
      </c>
      <c r="E21207" t="str">
        <v>-</v>
      </c>
      <c r="F21207" t="str">
        <v>-</v>
      </c>
      <c r="G21207" t="str">
        <v>-</v>
      </c>
    </row>
    <row r="21208">
      <c r="B21208" t="str">
        <v>Công an xã Long Trung  tỉnh Tiền Giang</v>
      </c>
      <c r="C21208" t="str">
        <v>-</v>
      </c>
      <c r="D21208" t="str">
        <v>-</v>
      </c>
      <c r="E21208" t="str">
        <v/>
      </c>
      <c r="F21208" t="str">
        <v>-</v>
      </c>
      <c r="G21208" t="str">
        <v>-</v>
      </c>
    </row>
    <row r="21209">
      <c r="B21209" t="str">
        <v>UBND Ủy ban nhân dân xã Long Trung  tỉnh Tiền Giang</v>
      </c>
      <c r="C21209" t="str">
        <v>-</v>
      </c>
      <c r="D21209" t="str">
        <v>-</v>
      </c>
      <c r="E21209" t="str">
        <v>-</v>
      </c>
      <c r="F21209" t="str">
        <v>-</v>
      </c>
      <c r="G21209" t="str">
        <v>-</v>
      </c>
    </row>
    <row r="21210">
      <c r="B21210" t="str">
        <v>Công an xã Hội Xuân  tỉnh Tiền Giang</v>
      </c>
      <c r="C21210" t="str">
        <v>-</v>
      </c>
      <c r="D21210" t="str">
        <v>-</v>
      </c>
      <c r="E21210" t="str">
        <v/>
      </c>
      <c r="F21210" t="str">
        <v>-</v>
      </c>
      <c r="G21210" t="str">
        <v>-</v>
      </c>
    </row>
    <row r="21211">
      <c r="B21211" t="str">
        <v>UBND Ủy ban nhân dân xã Hội Xuân  tỉnh Tiền Giang</v>
      </c>
      <c r="C21211" t="str">
        <v>-</v>
      </c>
      <c r="D21211" t="str">
        <v>-</v>
      </c>
      <c r="E21211" t="str">
        <v>-</v>
      </c>
      <c r="F21211" t="str">
        <v>-</v>
      </c>
      <c r="G21211" t="str">
        <v>-</v>
      </c>
    </row>
    <row r="21212">
      <c r="B21212" t="str">
        <v>Công an xã Tân Phong  tỉnh Tiền Giang</v>
      </c>
      <c r="C21212" t="str">
        <v>-</v>
      </c>
      <c r="D21212" t="str">
        <v>-</v>
      </c>
      <c r="E21212" t="str">
        <v/>
      </c>
      <c r="F21212" t="str">
        <v>-</v>
      </c>
      <c r="G21212" t="str">
        <v>-</v>
      </c>
    </row>
    <row r="21213">
      <c r="B21213" t="str">
        <v>UBND Ủy ban nhân dân xã Tân Phong  tỉnh Tiền Giang</v>
      </c>
      <c r="C21213" t="str">
        <v>-</v>
      </c>
      <c r="D21213" t="str">
        <v>-</v>
      </c>
      <c r="E21213" t="str">
        <v>-</v>
      </c>
      <c r="F21213" t="str">
        <v>-</v>
      </c>
      <c r="G21213" t="str">
        <v>-</v>
      </c>
    </row>
    <row r="21214">
      <c r="B21214" t="str">
        <v>Công an xã Tam Bình  tỉnh Tiền Giang</v>
      </c>
      <c r="C21214" t="str">
        <v>-</v>
      </c>
      <c r="D21214" t="str">
        <v>-</v>
      </c>
      <c r="E21214" t="str">
        <v/>
      </c>
      <c r="F21214" t="str">
        <v>-</v>
      </c>
      <c r="G21214" t="str">
        <v>-</v>
      </c>
    </row>
    <row r="21215">
      <c r="B21215" t="str">
        <v>UBND Ủy ban nhân dân xã Tam Bình  tỉnh Tiền Giang</v>
      </c>
      <c r="C21215" t="str">
        <v>-</v>
      </c>
      <c r="D21215" t="str">
        <v>-</v>
      </c>
      <c r="E21215" t="str">
        <v>-</v>
      </c>
      <c r="F21215" t="str">
        <v>-</v>
      </c>
      <c r="G21215" t="str">
        <v>-</v>
      </c>
    </row>
    <row r="21216">
      <c r="B21216" t="str">
        <v>Công an xã Ngũ Hiệp  tỉnh Tiền Giang</v>
      </c>
      <c r="C21216" t="str">
        <v>-</v>
      </c>
      <c r="D21216" t="str">
        <v>-</v>
      </c>
      <c r="E21216" t="str">
        <v/>
      </c>
      <c r="F21216" t="str">
        <v>-</v>
      </c>
      <c r="G21216" t="str">
        <v>-</v>
      </c>
    </row>
    <row r="21217">
      <c r="B21217" t="str">
        <v>UBND Ủy ban nhân dân xã Ngũ Hiệp  tỉnh Tiền Giang</v>
      </c>
      <c r="C21217" t="str">
        <v>-</v>
      </c>
      <c r="D21217" t="str">
        <v>-</v>
      </c>
      <c r="E21217" t="str">
        <v>-</v>
      </c>
      <c r="F21217" t="str">
        <v>-</v>
      </c>
      <c r="G21217" t="str">
        <v>-</v>
      </c>
    </row>
    <row r="21218">
      <c r="B21218" t="str">
        <v>Công an xã Tân Hội Đông  tỉnh Tiền Giang</v>
      </c>
      <c r="C21218" t="str">
        <v>-</v>
      </c>
      <c r="D21218" t="str">
        <v>-</v>
      </c>
      <c r="E21218" t="str">
        <v/>
      </c>
      <c r="F21218" t="str">
        <v>-</v>
      </c>
      <c r="G21218" t="str">
        <v>-</v>
      </c>
    </row>
    <row r="21219">
      <c r="B21219" t="str">
        <v>UBND Ủy ban nhân dân xã Tân Hội Đông  tỉnh Tiền Giang</v>
      </c>
      <c r="C21219" t="str">
        <v>-</v>
      </c>
      <c r="D21219" t="str">
        <v>-</v>
      </c>
      <c r="E21219" t="str">
        <v>-</v>
      </c>
      <c r="F21219" t="str">
        <v>-</v>
      </c>
      <c r="G21219" t="str">
        <v>-</v>
      </c>
    </row>
    <row r="21220">
      <c r="B21220" t="str">
        <v>Công an xã Tân Hương  tỉnh Tiền Giang</v>
      </c>
      <c r="C21220" t="str">
        <v>-</v>
      </c>
      <c r="D21220" t="str">
        <v>-</v>
      </c>
      <c r="E21220" t="str">
        <v/>
      </c>
      <c r="F21220" t="str">
        <v>-</v>
      </c>
      <c r="G21220" t="str">
        <v>-</v>
      </c>
    </row>
    <row r="21221">
      <c r="B21221" t="str">
        <v>UBND Ủy ban nhân dân xã Tân Hương  tỉnh Tiền Giang</v>
      </c>
      <c r="C21221" t="str">
        <v>-</v>
      </c>
      <c r="D21221" t="str">
        <v>-</v>
      </c>
      <c r="E21221" t="str">
        <v>-</v>
      </c>
      <c r="F21221" t="str">
        <v>-</v>
      </c>
      <c r="G21221" t="str">
        <v>-</v>
      </c>
    </row>
    <row r="21222">
      <c r="B21222" t="str">
        <v>Công an xã Tân Lý Đông  tỉnh Tiền Giang</v>
      </c>
      <c r="C21222" t="str">
        <v>-</v>
      </c>
      <c r="D21222" t="str">
        <v>-</v>
      </c>
      <c r="E21222" t="str">
        <v/>
      </c>
      <c r="F21222" t="str">
        <v>-</v>
      </c>
      <c r="G21222" t="str">
        <v>-</v>
      </c>
    </row>
    <row r="21223">
      <c r="B21223" t="str">
        <v>UBND Ủy ban nhân dân xã Tân Lý Đông  tỉnh Tiền Giang</v>
      </c>
      <c r="C21223" t="str">
        <v>-</v>
      </c>
      <c r="D21223" t="str">
        <v>-</v>
      </c>
      <c r="E21223" t="str">
        <v>-</v>
      </c>
      <c r="F21223" t="str">
        <v>-</v>
      </c>
      <c r="G21223" t="str">
        <v>-</v>
      </c>
    </row>
    <row r="21224">
      <c r="B21224" t="str">
        <v>Công an xã Tân Lý Tây  tỉnh Tiền Giang</v>
      </c>
      <c r="C21224" t="str">
        <v>-</v>
      </c>
      <c r="D21224" t="str">
        <v>-</v>
      </c>
      <c r="E21224" t="str">
        <v/>
      </c>
      <c r="F21224" t="str">
        <v>-</v>
      </c>
      <c r="G21224" t="str">
        <v>-</v>
      </c>
    </row>
    <row r="21225">
      <c r="B21225" t="str">
        <v>UBND Ủy ban nhân dân xã Tân Lý Tây  tỉnh Tiền Giang</v>
      </c>
      <c r="C21225" t="str">
        <v>-</v>
      </c>
      <c r="D21225" t="str">
        <v>-</v>
      </c>
      <c r="E21225" t="str">
        <v>-</v>
      </c>
      <c r="F21225" t="str">
        <v>-</v>
      </c>
      <c r="G21225" t="str">
        <v>-</v>
      </c>
    </row>
    <row r="21226">
      <c r="B21226" t="str">
        <v>Công an xã Thân Cửu Nghĩa  tỉnh Tiền Giang</v>
      </c>
      <c r="C21226" t="str">
        <v>-</v>
      </c>
      <c r="D21226" t="str">
        <v>-</v>
      </c>
      <c r="E21226" t="str">
        <v/>
      </c>
      <c r="F21226" t="str">
        <v>-</v>
      </c>
      <c r="G21226" t="str">
        <v>-</v>
      </c>
    </row>
    <row r="21227">
      <c r="B21227" t="str">
        <v>UBND Ủy ban nhân dân xã Thân Cửu Nghĩa  tỉnh Tiền Giang</v>
      </c>
      <c r="C21227" t="str">
        <v>-</v>
      </c>
      <c r="D21227" t="str">
        <v>-</v>
      </c>
      <c r="E21227" t="str">
        <v>-</v>
      </c>
      <c r="F21227" t="str">
        <v>-</v>
      </c>
      <c r="G21227" t="str">
        <v>-</v>
      </c>
    </row>
    <row r="21228">
      <c r="B21228" t="str">
        <v>Công an xã Tam Hiệp  tỉnh Tiền Giang</v>
      </c>
      <c r="C21228" t="str">
        <v>-</v>
      </c>
      <c r="D21228" t="str">
        <v>-</v>
      </c>
      <c r="E21228" t="str">
        <v/>
      </c>
      <c r="F21228" t="str">
        <v>-</v>
      </c>
      <c r="G21228" t="str">
        <v>-</v>
      </c>
    </row>
    <row r="21229">
      <c r="B21229" t="str">
        <v>UBND Ủy ban nhân dân xã Tam Hiệp  tỉnh Tiền Giang</v>
      </c>
      <c r="C21229" t="str">
        <v>-</v>
      </c>
      <c r="D21229" t="str">
        <v>-</v>
      </c>
      <c r="E21229" t="str">
        <v>-</v>
      </c>
      <c r="F21229" t="str">
        <v>-</v>
      </c>
      <c r="G21229" t="str">
        <v>-</v>
      </c>
    </row>
    <row r="21230">
      <c r="B21230" t="str">
        <v>Công an xã Điềm Hy  tỉnh Tiền Giang</v>
      </c>
      <c r="C21230" t="str">
        <v>-</v>
      </c>
      <c r="D21230" t="str">
        <v>-</v>
      </c>
      <c r="E21230" t="str">
        <v/>
      </c>
      <c r="F21230" t="str">
        <v>-</v>
      </c>
      <c r="G21230" t="str">
        <v>-</v>
      </c>
    </row>
    <row r="21231">
      <c r="B21231" t="str">
        <v>UBND Ủy ban nhân dân xã Điềm Hy  tỉnh Tiền Giang</v>
      </c>
      <c r="C21231" t="str">
        <v>-</v>
      </c>
      <c r="D21231" t="str">
        <v>-</v>
      </c>
      <c r="E21231" t="str">
        <v>-</v>
      </c>
      <c r="F21231" t="str">
        <v>-</v>
      </c>
      <c r="G21231" t="str">
        <v>-</v>
      </c>
    </row>
    <row r="21232">
      <c r="B21232" t="str">
        <v>Công an xã Nhị Bình  tỉnh Tiền Giang</v>
      </c>
      <c r="C21232" t="str">
        <v>-</v>
      </c>
      <c r="D21232" t="str">
        <v>-</v>
      </c>
      <c r="E21232" t="str">
        <v/>
      </c>
      <c r="F21232" t="str">
        <v>-</v>
      </c>
      <c r="G21232" t="str">
        <v>-</v>
      </c>
    </row>
    <row r="21233">
      <c r="B21233" t="str">
        <v>UBND Ủy ban nhân dân xã Nhị Bình  tỉnh Tiền Giang</v>
      </c>
      <c r="C21233" t="str">
        <v>-</v>
      </c>
      <c r="D21233" t="str">
        <v>-</v>
      </c>
      <c r="E21233" t="str">
        <v>-</v>
      </c>
      <c r="F21233" t="str">
        <v>-</v>
      </c>
      <c r="G21233" t="str">
        <v>-</v>
      </c>
    </row>
    <row r="21234">
      <c r="B21234" t="str">
        <v>Công an xã Dưỡng Điềm  tỉnh Tiền Giang</v>
      </c>
      <c r="C21234" t="str">
        <v>-</v>
      </c>
      <c r="D21234" t="str">
        <v>-</v>
      </c>
      <c r="E21234" t="str">
        <v/>
      </c>
      <c r="F21234" t="str">
        <v>-</v>
      </c>
      <c r="G21234" t="str">
        <v>-</v>
      </c>
    </row>
    <row r="21235">
      <c r="B21235" t="str">
        <v>UBND Ủy ban nhân dân xã Dưỡng Điềm  tỉnh Tiền Giang</v>
      </c>
      <c r="C21235" t="str">
        <v>-</v>
      </c>
      <c r="D21235" t="str">
        <v>-</v>
      </c>
      <c r="E21235" t="str">
        <v>-</v>
      </c>
      <c r="F21235" t="str">
        <v>-</v>
      </c>
      <c r="G21235" t="str">
        <v>-</v>
      </c>
    </row>
    <row r="21236">
      <c r="B21236" t="str">
        <v>Công an xã Đông Hòa  tỉnh Tiền Giang</v>
      </c>
      <c r="C21236" t="str">
        <v>-</v>
      </c>
      <c r="D21236" t="str">
        <v>-</v>
      </c>
      <c r="E21236" t="str">
        <v/>
      </c>
      <c r="F21236" t="str">
        <v>-</v>
      </c>
      <c r="G21236" t="str">
        <v>-</v>
      </c>
    </row>
    <row r="21237">
      <c r="B21237" t="str">
        <v>UBND Ủy ban nhân dân xã Đông Hòa  tỉnh Tiền Giang</v>
      </c>
      <c r="C21237" t="str">
        <v>-</v>
      </c>
      <c r="D21237" t="str">
        <v>-</v>
      </c>
      <c r="E21237" t="str">
        <v>-</v>
      </c>
      <c r="F21237" t="str">
        <v>-</v>
      </c>
      <c r="G21237" t="str">
        <v>-</v>
      </c>
    </row>
    <row r="21238">
      <c r="B21238" t="str">
        <v>Công an xã Long Định  tỉnh Tiền Giang</v>
      </c>
      <c r="C21238" t="str">
        <v>-</v>
      </c>
      <c r="D21238" t="str">
        <v>-</v>
      </c>
      <c r="E21238" t="str">
        <v/>
      </c>
      <c r="F21238" t="str">
        <v>-</v>
      </c>
      <c r="G21238" t="str">
        <v>-</v>
      </c>
    </row>
    <row r="21239">
      <c r="B21239" t="str">
        <v>UBND Ủy ban nhân dân xã Long Định  tỉnh Tiền Giang</v>
      </c>
      <c r="C21239" t="str">
        <v>-</v>
      </c>
      <c r="D21239" t="str">
        <v>-</v>
      </c>
      <c r="E21239" t="str">
        <v>-</v>
      </c>
      <c r="F21239" t="str">
        <v>-</v>
      </c>
      <c r="G21239" t="str">
        <v>-</v>
      </c>
    </row>
    <row r="21240">
      <c r="B21240" t="str">
        <v>Công an xã Hữu Đạo  tỉnh Tiền Giang</v>
      </c>
      <c r="C21240" t="str">
        <v>-</v>
      </c>
      <c r="D21240" t="str">
        <v>-</v>
      </c>
      <c r="E21240" t="str">
        <v/>
      </c>
      <c r="F21240" t="str">
        <v>-</v>
      </c>
      <c r="G21240" t="str">
        <v>-</v>
      </c>
    </row>
    <row r="21241">
      <c r="B21241" t="str">
        <v>UBND Ủy ban nhân dân xã Hữu Đạo  tỉnh Tiền Giang</v>
      </c>
      <c r="C21241" t="str">
        <v>-</v>
      </c>
      <c r="D21241" t="str">
        <v>-</v>
      </c>
      <c r="E21241" t="str">
        <v>-</v>
      </c>
      <c r="F21241" t="str">
        <v>-</v>
      </c>
      <c r="G21241" t="str">
        <v>-</v>
      </c>
    </row>
    <row r="21242">
      <c r="B21242" t="str">
        <v>Công an xã Long An  tỉnh Tiền Giang</v>
      </c>
      <c r="C21242" t="str">
        <v>-</v>
      </c>
      <c r="D21242" t="str">
        <v>-</v>
      </c>
      <c r="E21242" t="str">
        <v/>
      </c>
      <c r="F21242" t="str">
        <v>-</v>
      </c>
      <c r="G21242" t="str">
        <v>-</v>
      </c>
    </row>
    <row r="21243">
      <c r="B21243" t="str">
        <v>UBND Ủy ban nhân dân xã Long An  tỉnh Tiền Giang</v>
      </c>
      <c r="C21243" t="str">
        <v>-</v>
      </c>
      <c r="D21243" t="str">
        <v>-</v>
      </c>
      <c r="E21243" t="str">
        <v>-</v>
      </c>
      <c r="F21243" t="str">
        <v>-</v>
      </c>
      <c r="G21243" t="str">
        <v>-</v>
      </c>
    </row>
    <row r="21244">
      <c r="B21244" t="str">
        <v>Công an xã Long Hưng  tỉnh Tiền Giang</v>
      </c>
      <c r="C21244" t="str">
        <v>-</v>
      </c>
      <c r="D21244" t="str">
        <v>-</v>
      </c>
      <c r="E21244" t="str">
        <v/>
      </c>
      <c r="F21244" t="str">
        <v>-</v>
      </c>
      <c r="G21244" t="str">
        <v>-</v>
      </c>
    </row>
    <row r="21245">
      <c r="B21245" t="str">
        <v>UBND Ủy ban nhân dân xã Long Hưng  tỉnh Tiền Giang</v>
      </c>
      <c r="C21245" t="str">
        <v>-</v>
      </c>
      <c r="D21245" t="str">
        <v>-</v>
      </c>
      <c r="E21245" t="str">
        <v>-</v>
      </c>
      <c r="F21245" t="str">
        <v>-</v>
      </c>
      <c r="G21245" t="str">
        <v>-</v>
      </c>
    </row>
    <row r="21246">
      <c r="B21246" t="str">
        <v>Công an xã Bình Trưng  tỉnh Tiền Giang</v>
      </c>
      <c r="C21246" t="str">
        <v>-</v>
      </c>
      <c r="D21246" t="str">
        <v>-</v>
      </c>
      <c r="E21246" t="str">
        <v/>
      </c>
      <c r="F21246" t="str">
        <v>-</v>
      </c>
      <c r="G21246" t="str">
        <v>-</v>
      </c>
    </row>
    <row r="21247">
      <c r="B21247" t="str">
        <v>UBND Ủy ban nhân dân xã Bình Trưng  tỉnh Tiền Giang</v>
      </c>
      <c r="C21247" t="str">
        <v>-</v>
      </c>
      <c r="D21247" t="str">
        <v>-</v>
      </c>
      <c r="E21247" t="str">
        <v>-</v>
      </c>
      <c r="F21247" t="str">
        <v>-</v>
      </c>
      <c r="G21247" t="str">
        <v>-</v>
      </c>
    </row>
    <row r="21248">
      <c r="B21248" t="str">
        <v>Công an xã Thạnh Phú  tỉnh Tiền Giang</v>
      </c>
      <c r="C21248" t="str">
        <v>-</v>
      </c>
      <c r="D21248" t="str">
        <v>-</v>
      </c>
      <c r="E21248" t="str">
        <v/>
      </c>
      <c r="F21248" t="str">
        <v>-</v>
      </c>
      <c r="G21248" t="str">
        <v>-</v>
      </c>
    </row>
    <row r="21249">
      <c r="B21249" t="str">
        <v>UBND Ủy ban nhân dân xã Thạnh Phú  tỉnh Tiền Giang</v>
      </c>
      <c r="C21249" t="str">
        <v>-</v>
      </c>
      <c r="D21249" t="str">
        <v>-</v>
      </c>
      <c r="E21249" t="str">
        <v>-</v>
      </c>
      <c r="F21249" t="str">
        <v>-</v>
      </c>
      <c r="G21249" t="str">
        <v>-</v>
      </c>
    </row>
    <row r="21250">
      <c r="B21250" t="str">
        <v>Công an xã Bàn Long  tỉnh Tiền Giang</v>
      </c>
      <c r="C21250" t="str">
        <v>-</v>
      </c>
      <c r="D21250" t="str">
        <v>-</v>
      </c>
      <c r="E21250" t="str">
        <v/>
      </c>
      <c r="F21250" t="str">
        <v>-</v>
      </c>
      <c r="G21250" t="str">
        <v>-</v>
      </c>
    </row>
    <row r="21251">
      <c r="B21251" t="str">
        <v>UBND Ủy ban nhân dân xã Bàn Long  tỉnh Tiền Giang</v>
      </c>
      <c r="C21251" t="str">
        <v>-</v>
      </c>
      <c r="D21251" t="str">
        <v>-</v>
      </c>
      <c r="E21251" t="str">
        <v>-</v>
      </c>
      <c r="F21251" t="str">
        <v>-</v>
      </c>
      <c r="G21251" t="str">
        <v>-</v>
      </c>
    </row>
    <row r="21252">
      <c r="B21252" t="str">
        <v>Công an xã Vĩnh Kim  tỉnh Tiền Giang</v>
      </c>
      <c r="C21252" t="str">
        <v>-</v>
      </c>
      <c r="D21252" t="str">
        <v>-</v>
      </c>
      <c r="E21252" t="str">
        <v/>
      </c>
      <c r="F21252" t="str">
        <v>-</v>
      </c>
      <c r="G21252" t="str">
        <v>-</v>
      </c>
    </row>
    <row r="21253">
      <c r="B21253" t="str">
        <v>UBND Ủy ban nhân dân xã Vĩnh Kim  tỉnh Tiền Giang</v>
      </c>
      <c r="C21253" t="str">
        <v>-</v>
      </c>
      <c r="D21253" t="str">
        <v>-</v>
      </c>
      <c r="E21253" t="str">
        <v>-</v>
      </c>
      <c r="F21253" t="str">
        <v>-</v>
      </c>
      <c r="G21253" t="str">
        <v>-</v>
      </c>
    </row>
    <row r="21254">
      <c r="B21254" t="str">
        <v>Công an xã Bình Đức  tỉnh Tiền Giang</v>
      </c>
      <c r="C21254" t="str">
        <v>-</v>
      </c>
      <c r="D21254" t="str">
        <v>-</v>
      </c>
      <c r="E21254" t="str">
        <v/>
      </c>
      <c r="F21254" t="str">
        <v>-</v>
      </c>
      <c r="G21254" t="str">
        <v>-</v>
      </c>
    </row>
    <row r="21255">
      <c r="B21255" t="str">
        <v>UBND Ủy ban nhân dân xã Bình Đức  tỉnh Tiền Giang</v>
      </c>
      <c r="C21255" t="str">
        <v>-</v>
      </c>
      <c r="D21255" t="str">
        <v>-</v>
      </c>
      <c r="E21255" t="str">
        <v>-</v>
      </c>
      <c r="F21255" t="str">
        <v>-</v>
      </c>
      <c r="G21255" t="str">
        <v>-</v>
      </c>
    </row>
    <row r="21256">
      <c r="B21256" t="str">
        <v>Công an xã Song Thuận  tỉnh Tiền Giang</v>
      </c>
      <c r="C21256" t="str">
        <v>-</v>
      </c>
      <c r="D21256" t="str">
        <v>-</v>
      </c>
      <c r="E21256" t="str">
        <v/>
      </c>
      <c r="F21256" t="str">
        <v>-</v>
      </c>
      <c r="G21256" t="str">
        <v>-</v>
      </c>
    </row>
    <row r="21257">
      <c r="B21257" t="str">
        <v>UBND Ủy ban nhân dân xã Song Thuận  tỉnh Tiền Giang</v>
      </c>
      <c r="C21257" t="str">
        <v>-</v>
      </c>
      <c r="D21257" t="str">
        <v>-</v>
      </c>
      <c r="E21257" t="str">
        <v>-</v>
      </c>
      <c r="F21257" t="str">
        <v>-</v>
      </c>
      <c r="G21257" t="str">
        <v>-</v>
      </c>
    </row>
    <row r="21258">
      <c r="B21258" t="str">
        <v>Công an xã Kim Sơn  tỉnh Tiền Giang</v>
      </c>
      <c r="C21258" t="str">
        <v>-</v>
      </c>
      <c r="D21258" t="str">
        <v>-</v>
      </c>
      <c r="E21258" t="str">
        <v/>
      </c>
      <c r="F21258" t="str">
        <v>-</v>
      </c>
      <c r="G21258" t="str">
        <v>-</v>
      </c>
    </row>
    <row r="21259">
      <c r="B21259" t="str">
        <v>UBND Ủy ban nhân dân xã Kim Sơn  tỉnh Tiền Giang</v>
      </c>
      <c r="C21259" t="str">
        <v>-</v>
      </c>
      <c r="D21259" t="str">
        <v>-</v>
      </c>
      <c r="E21259" t="str">
        <v>-</v>
      </c>
      <c r="F21259" t="str">
        <v>-</v>
      </c>
      <c r="G21259" t="str">
        <v>-</v>
      </c>
    </row>
    <row r="21260">
      <c r="B21260" t="str">
        <v>Công an xã Phú Phong  tỉnh Tiền Giang</v>
      </c>
      <c r="C21260" t="str">
        <v>-</v>
      </c>
      <c r="D21260" t="str">
        <v>-</v>
      </c>
      <c r="E21260" t="str">
        <v/>
      </c>
      <c r="F21260" t="str">
        <v>-</v>
      </c>
      <c r="G21260" t="str">
        <v>-</v>
      </c>
    </row>
    <row r="21261">
      <c r="B21261" t="str">
        <v>UBND Ủy ban nhân dân xã Phú Phong  tỉnh Tiền Giang</v>
      </c>
      <c r="C21261" t="str">
        <v>-</v>
      </c>
      <c r="D21261" t="str">
        <v>-</v>
      </c>
      <c r="E21261" t="str">
        <v>-</v>
      </c>
      <c r="F21261" t="str">
        <v>-</v>
      </c>
      <c r="G21261" t="str">
        <v>-</v>
      </c>
    </row>
    <row r="21262">
      <c r="B21262" t="str">
        <v>Công an xã Trung Hòa  tỉnh Tiền Giang</v>
      </c>
      <c r="C21262" t="str">
        <v>-</v>
      </c>
      <c r="D21262" t="str">
        <v>-</v>
      </c>
      <c r="E21262" t="str">
        <v/>
      </c>
      <c r="F21262" t="str">
        <v>-</v>
      </c>
      <c r="G21262" t="str">
        <v>-</v>
      </c>
    </row>
    <row r="21263">
      <c r="B21263" t="str">
        <v>UBND Ủy ban nhân dân xã Trung Hòa  tỉnh Tiền Giang</v>
      </c>
      <c r="C21263" t="str">
        <v>-</v>
      </c>
      <c r="D21263" t="str">
        <v>-</v>
      </c>
      <c r="E21263" t="str">
        <v>-</v>
      </c>
      <c r="F21263" t="str">
        <v>-</v>
      </c>
      <c r="G21263" t="str">
        <v>-</v>
      </c>
    </row>
    <row r="21264">
      <c r="B21264" t="str">
        <v>Công an xã Hòa Tịnh  tỉnh Tiền Giang</v>
      </c>
      <c r="C21264" t="str">
        <v>-</v>
      </c>
      <c r="D21264" t="str">
        <v>-</v>
      </c>
      <c r="E21264" t="str">
        <v/>
      </c>
      <c r="F21264" t="str">
        <v>-</v>
      </c>
      <c r="G21264" t="str">
        <v>-</v>
      </c>
    </row>
    <row r="21265">
      <c r="B21265" t="str">
        <v>UBND Ủy ban nhân dân xã Hòa Tịnh  tỉnh Tiền Giang</v>
      </c>
      <c r="C21265" t="str">
        <v>-</v>
      </c>
      <c r="D21265" t="str">
        <v>-</v>
      </c>
      <c r="E21265" t="str">
        <v>-</v>
      </c>
      <c r="F21265" t="str">
        <v>-</v>
      </c>
      <c r="G21265" t="str">
        <v>-</v>
      </c>
    </row>
    <row r="21266">
      <c r="B21266" t="str">
        <v>Công an xã Mỹ Tịnh An  tỉnh Tiền Giang</v>
      </c>
      <c r="C21266" t="str">
        <v>-</v>
      </c>
      <c r="D21266" t="str">
        <v>-</v>
      </c>
      <c r="E21266" t="str">
        <v/>
      </c>
      <c r="F21266" t="str">
        <v>-</v>
      </c>
      <c r="G21266" t="str">
        <v>-</v>
      </c>
    </row>
    <row r="21267">
      <c r="B21267" t="str">
        <v>UBND Ủy ban nhân dân xã Mỹ Tịnh An  tỉnh Tiền Giang</v>
      </c>
      <c r="C21267" t="str">
        <v>-</v>
      </c>
      <c r="D21267" t="str">
        <v>-</v>
      </c>
      <c r="E21267" t="str">
        <v>-</v>
      </c>
      <c r="F21267" t="str">
        <v>-</v>
      </c>
      <c r="G21267" t="str">
        <v>-</v>
      </c>
    </row>
    <row r="21268">
      <c r="B21268" t="str">
        <v>Công an xã Tân Bình Thạnh  tỉnh Tiền Giang</v>
      </c>
      <c r="C21268" t="str">
        <v>-</v>
      </c>
      <c r="D21268" t="str">
        <v>-</v>
      </c>
      <c r="E21268" t="str">
        <v/>
      </c>
      <c r="F21268" t="str">
        <v>-</v>
      </c>
      <c r="G21268" t="str">
        <v>-</v>
      </c>
    </row>
    <row r="21269">
      <c r="B21269" t="str">
        <v>UBND Ủy ban nhân dân xã Tân Bình Thạnh  tỉnh Tiền Giang</v>
      </c>
      <c r="C21269" t="str">
        <v>-</v>
      </c>
      <c r="D21269" t="str">
        <v>-</v>
      </c>
      <c r="E21269" t="str">
        <v>-</v>
      </c>
      <c r="F21269" t="str">
        <v>-</v>
      </c>
      <c r="G21269" t="str">
        <v>-</v>
      </c>
    </row>
    <row r="21270">
      <c r="B21270" t="str">
        <v>Công an xã Phú Kiết  tỉnh Tiền Giang</v>
      </c>
      <c r="C21270" t="str">
        <v>-</v>
      </c>
      <c r="D21270" t="str">
        <v>-</v>
      </c>
      <c r="E21270" t="str">
        <v/>
      </c>
      <c r="F21270" t="str">
        <v>-</v>
      </c>
      <c r="G21270" t="str">
        <v>-</v>
      </c>
    </row>
    <row r="21271">
      <c r="B21271" t="str">
        <v>UBND Ủy ban nhân dân xã Phú Kiết  tỉnh Tiền Giang</v>
      </c>
      <c r="C21271" t="str">
        <v>-</v>
      </c>
      <c r="D21271" t="str">
        <v>-</v>
      </c>
      <c r="E21271" t="str">
        <v>-</v>
      </c>
      <c r="F21271" t="str">
        <v>-</v>
      </c>
      <c r="G21271" t="str">
        <v>-</v>
      </c>
    </row>
    <row r="21272">
      <c r="B21272" t="str">
        <v>Công an xã Lương Hòa Lạc  tỉnh Tiền Giang</v>
      </c>
      <c r="C21272" t="str">
        <v>-</v>
      </c>
      <c r="D21272" t="str">
        <v>-</v>
      </c>
      <c r="E21272" t="str">
        <v/>
      </c>
      <c r="F21272" t="str">
        <v>-</v>
      </c>
      <c r="G21272" t="str">
        <v>-</v>
      </c>
    </row>
    <row r="21273">
      <c r="B21273" t="str">
        <v>UBND Ủy ban nhân dân xã Lương Hòa Lạc  tỉnh Tiền Giang</v>
      </c>
      <c r="C21273" t="str">
        <v>-</v>
      </c>
      <c r="D21273" t="str">
        <v>-</v>
      </c>
      <c r="E21273" t="str">
        <v>-</v>
      </c>
      <c r="F21273" t="str">
        <v>-</v>
      </c>
      <c r="G21273" t="str">
        <v>-</v>
      </c>
    </row>
    <row r="21274">
      <c r="B21274" t="str">
        <v>Công an xã Thanh Bình  tỉnh Tiền Giang</v>
      </c>
      <c r="C21274" t="str">
        <v>-</v>
      </c>
      <c r="D21274" t="str">
        <v>-</v>
      </c>
      <c r="E21274" t="str">
        <v/>
      </c>
      <c r="F21274" t="str">
        <v>-</v>
      </c>
      <c r="G21274" t="str">
        <v>-</v>
      </c>
    </row>
    <row r="21275">
      <c r="B21275" t="str">
        <v>UBND Ủy ban nhân dân xã Thanh Bình  tỉnh Tiền Giang</v>
      </c>
      <c r="C21275" t="str">
        <v>-</v>
      </c>
      <c r="D21275" t="str">
        <v>-</v>
      </c>
      <c r="E21275" t="str">
        <v>-</v>
      </c>
      <c r="F21275" t="str">
        <v>-</v>
      </c>
      <c r="G21275" t="str">
        <v>-</v>
      </c>
    </row>
    <row r="21276">
      <c r="B21276" t="str">
        <v>Công an xã Quơn Long  tỉnh Tiền Giang</v>
      </c>
      <c r="C21276" t="str">
        <v>-</v>
      </c>
      <c r="D21276" t="str">
        <v>-</v>
      </c>
      <c r="E21276" t="str">
        <v/>
      </c>
      <c r="F21276" t="str">
        <v>-</v>
      </c>
      <c r="G21276" t="str">
        <v>-</v>
      </c>
    </row>
    <row r="21277">
      <c r="B21277" t="str">
        <v>UBND Ủy ban nhân dân xã Quơn Long  tỉnh Tiền Giang</v>
      </c>
      <c r="C21277" t="str">
        <v>-</v>
      </c>
      <c r="D21277" t="str">
        <v>-</v>
      </c>
      <c r="E21277" t="str">
        <v>-</v>
      </c>
      <c r="F21277" t="str">
        <v>-</v>
      </c>
      <c r="G21277" t="str">
        <v>-</v>
      </c>
    </row>
    <row r="21278">
      <c r="B21278" t="str">
        <v>Công an xã Bình Phục Nhứt  tỉnh Tiền Giang</v>
      </c>
      <c r="C21278" t="str">
        <v>-</v>
      </c>
      <c r="D21278" t="str">
        <v>-</v>
      </c>
      <c r="E21278" t="str">
        <v/>
      </c>
      <c r="F21278" t="str">
        <v>-</v>
      </c>
      <c r="G21278" t="str">
        <v>-</v>
      </c>
    </row>
    <row r="21279">
      <c r="B21279" t="str">
        <v>UBND Ủy ban nhân dân xã Bình Phục Nhứt  tỉnh Tiền Giang</v>
      </c>
      <c r="C21279" t="str">
        <v>-</v>
      </c>
      <c r="D21279" t="str">
        <v>-</v>
      </c>
      <c r="E21279" t="str">
        <v>-</v>
      </c>
      <c r="F21279" t="str">
        <v>-</v>
      </c>
      <c r="G21279" t="str">
        <v>-</v>
      </c>
    </row>
    <row r="21280">
      <c r="B21280" t="str">
        <v>Công an xã Đăng Hưng Phước  tỉnh Tiền Giang</v>
      </c>
      <c r="C21280" t="str">
        <v>-</v>
      </c>
      <c r="D21280" t="str">
        <v>-</v>
      </c>
      <c r="E21280" t="str">
        <v/>
      </c>
      <c r="F21280" t="str">
        <v>-</v>
      </c>
      <c r="G21280" t="str">
        <v>-</v>
      </c>
    </row>
    <row r="21281">
      <c r="B21281" t="str">
        <v>UBND Ủy ban nhân dân xã Đăng Hưng Phước  tỉnh Tiền Giang</v>
      </c>
      <c r="C21281" t="str">
        <v>-</v>
      </c>
      <c r="D21281" t="str">
        <v>-</v>
      </c>
      <c r="E21281" t="str">
        <v>-</v>
      </c>
      <c r="F21281" t="str">
        <v>-</v>
      </c>
      <c r="G21281" t="str">
        <v>-</v>
      </c>
    </row>
    <row r="21282">
      <c r="B21282" t="str">
        <v>Công an xã Tân Thuận Bình  tỉnh Tiền Giang</v>
      </c>
      <c r="C21282" t="str">
        <v>-</v>
      </c>
      <c r="D21282" t="str">
        <v>-</v>
      </c>
      <c r="E21282" t="str">
        <v/>
      </c>
      <c r="F21282" t="str">
        <v>-</v>
      </c>
      <c r="G21282" t="str">
        <v>-</v>
      </c>
    </row>
    <row r="21283">
      <c r="B21283" t="str">
        <v>UBND Ủy ban nhân dân xã Tân Thuận Bình  tỉnh Tiền Giang</v>
      </c>
      <c r="C21283" t="str">
        <v>-</v>
      </c>
      <c r="D21283" t="str">
        <v>-</v>
      </c>
      <c r="E21283" t="str">
        <v>-</v>
      </c>
      <c r="F21283" t="str">
        <v>-</v>
      </c>
      <c r="G21283" t="str">
        <v>-</v>
      </c>
    </row>
    <row r="21284">
      <c r="B21284" t="str">
        <v>Công an xã Song Bình  tỉnh Tiền Giang</v>
      </c>
      <c r="C21284" t="str">
        <v>-</v>
      </c>
      <c r="D21284" t="str">
        <v>-</v>
      </c>
      <c r="E21284" t="str">
        <v/>
      </c>
      <c r="F21284" t="str">
        <v>-</v>
      </c>
      <c r="G21284" t="str">
        <v>-</v>
      </c>
    </row>
    <row r="21285">
      <c r="B21285" t="str">
        <v>UBND Ủy ban nhân dân xã Song Bình  tỉnh Tiền Giang</v>
      </c>
      <c r="C21285" t="str">
        <v>-</v>
      </c>
      <c r="D21285" t="str">
        <v>-</v>
      </c>
      <c r="E21285" t="str">
        <v>-</v>
      </c>
      <c r="F21285" t="str">
        <v>-</v>
      </c>
      <c r="G21285" t="str">
        <v>-</v>
      </c>
    </row>
    <row r="21286">
      <c r="B21286" t="str">
        <v>Công an xã Bình Phan  tỉnh Tiền Giang</v>
      </c>
      <c r="C21286" t="str">
        <v>-</v>
      </c>
      <c r="D21286" t="str">
        <v>-</v>
      </c>
      <c r="E21286" t="str">
        <v/>
      </c>
      <c r="F21286" t="str">
        <v>-</v>
      </c>
      <c r="G21286" t="str">
        <v>-</v>
      </c>
    </row>
    <row r="21287">
      <c r="B21287" t="str">
        <v>UBND Ủy ban nhân dân xã Bình Phan  tỉnh Tiền Giang</v>
      </c>
      <c r="C21287" t="str">
        <v>-</v>
      </c>
      <c r="D21287" t="str">
        <v>-</v>
      </c>
      <c r="E21287" t="str">
        <v>-</v>
      </c>
      <c r="F21287" t="str">
        <v>-</v>
      </c>
      <c r="G21287" t="str">
        <v>-</v>
      </c>
    </row>
    <row r="21288">
      <c r="B21288" t="str">
        <v>Công an xã Long Bình Điền  tỉnh Tiền Giang</v>
      </c>
      <c r="C21288" t="str">
        <v>-</v>
      </c>
      <c r="D21288" t="str">
        <v>-</v>
      </c>
      <c r="E21288" t="str">
        <v/>
      </c>
      <c r="F21288" t="str">
        <v>-</v>
      </c>
      <c r="G21288" t="str">
        <v>-</v>
      </c>
    </row>
    <row r="21289">
      <c r="B21289" t="str">
        <v>UBND Ủy ban nhân dân xã Long Bình Điền  tỉnh Tiền Giang</v>
      </c>
      <c r="C21289" t="str">
        <v>-</v>
      </c>
      <c r="D21289" t="str">
        <v>-</v>
      </c>
      <c r="E21289" t="str">
        <v>-</v>
      </c>
      <c r="F21289" t="str">
        <v>-</v>
      </c>
      <c r="G21289" t="str">
        <v>-</v>
      </c>
    </row>
    <row r="21290">
      <c r="B21290" t="str">
        <v>Công an xã An Thạnh Thủy  tỉnh Tiền Giang</v>
      </c>
      <c r="C21290" t="str">
        <v>-</v>
      </c>
      <c r="D21290" t="str">
        <v>-</v>
      </c>
      <c r="E21290" t="str">
        <v/>
      </c>
      <c r="F21290" t="str">
        <v>-</v>
      </c>
      <c r="G21290" t="str">
        <v>-</v>
      </c>
    </row>
    <row r="21291">
      <c r="B21291" t="str">
        <v>UBND Ủy ban nhân dân xã An Thạnh Thủy  tỉnh Tiền Giang</v>
      </c>
      <c r="C21291" t="str">
        <v>-</v>
      </c>
      <c r="D21291" t="str">
        <v>-</v>
      </c>
      <c r="E21291" t="str">
        <v>-</v>
      </c>
      <c r="F21291" t="str">
        <v>-</v>
      </c>
      <c r="G21291" t="str">
        <v>-</v>
      </c>
    </row>
    <row r="21292">
      <c r="B21292" t="str">
        <v>Công an xã Xuân Đông  tỉnh Tiền Giang</v>
      </c>
      <c r="C21292" t="str">
        <v>-</v>
      </c>
      <c r="D21292" t="str">
        <v>-</v>
      </c>
      <c r="E21292" t="str">
        <v/>
      </c>
      <c r="F21292" t="str">
        <v>-</v>
      </c>
      <c r="G21292" t="str">
        <v>-</v>
      </c>
    </row>
    <row r="21293">
      <c r="B21293" t="str">
        <v>UBND Ủy ban nhân dân xã Xuân Đông  tỉnh Tiền Giang</v>
      </c>
      <c r="C21293" t="str">
        <v>-</v>
      </c>
      <c r="D21293" t="str">
        <v>-</v>
      </c>
      <c r="E21293" t="str">
        <v>-</v>
      </c>
      <c r="F21293" t="str">
        <v>-</v>
      </c>
      <c r="G21293" t="str">
        <v>-</v>
      </c>
    </row>
    <row r="21294">
      <c r="B21294" t="str">
        <v>Công an xã Hòa Định  tỉnh Tiền Giang</v>
      </c>
      <c r="C21294" t="str">
        <v>-</v>
      </c>
      <c r="D21294" t="str">
        <v>-</v>
      </c>
      <c r="E21294" t="str">
        <v/>
      </c>
      <c r="F21294" t="str">
        <v>-</v>
      </c>
      <c r="G21294" t="str">
        <v>-</v>
      </c>
    </row>
    <row r="21295">
      <c r="B21295" t="str">
        <v>UBND Ủy ban nhân dân xã Hòa Định  tỉnh Tiền Giang</v>
      </c>
      <c r="C21295" t="str">
        <v>-</v>
      </c>
      <c r="D21295" t="str">
        <v>-</v>
      </c>
      <c r="E21295" t="str">
        <v>-</v>
      </c>
      <c r="F21295" t="str">
        <v>-</v>
      </c>
      <c r="G21295" t="str">
        <v>-</v>
      </c>
    </row>
    <row r="21296">
      <c r="B21296" t="str">
        <v>Công an xã Bình Ninh  tỉnh Tiền Giang</v>
      </c>
      <c r="C21296" t="str">
        <v>-</v>
      </c>
      <c r="D21296" t="str">
        <v>-</v>
      </c>
      <c r="E21296" t="str">
        <v/>
      </c>
      <c r="F21296" t="str">
        <v>-</v>
      </c>
      <c r="G21296" t="str">
        <v>-</v>
      </c>
    </row>
    <row r="21297">
      <c r="B21297" t="str">
        <v>UBND Ủy ban nhân dân xã Bình Ninh  tỉnh Tiền Giang</v>
      </c>
      <c r="C21297" t="str">
        <v>-</v>
      </c>
      <c r="D21297" t="str">
        <v>-</v>
      </c>
      <c r="E21297" t="str">
        <v>-</v>
      </c>
      <c r="F21297" t="str">
        <v>-</v>
      </c>
      <c r="G21297" t="str">
        <v>-</v>
      </c>
    </row>
    <row r="21298">
      <c r="B21298" t="str">
        <v>Công an xã Đồng Sơn  tỉnh Tiền Giang</v>
      </c>
      <c r="C21298" t="str">
        <v>-</v>
      </c>
      <c r="D21298" t="str">
        <v>-</v>
      </c>
      <c r="E21298" t="str">
        <v/>
      </c>
      <c r="F21298" t="str">
        <v>-</v>
      </c>
      <c r="G21298" t="str">
        <v>-</v>
      </c>
    </row>
    <row r="21299">
      <c r="B21299" t="str">
        <v>UBND Ủy ban nhân dân xã Đồng Sơn  tỉnh Tiền Giang</v>
      </c>
      <c r="C21299" t="str">
        <v>-</v>
      </c>
      <c r="D21299" t="str">
        <v>-</v>
      </c>
      <c r="E21299" t="str">
        <v>-</v>
      </c>
      <c r="F21299" t="str">
        <v>-</v>
      </c>
      <c r="G21299" t="str">
        <v>-</v>
      </c>
    </row>
    <row r="21300">
      <c r="B21300" t="str">
        <v>Công an xã Bình Phú  tỉnh Tiền Giang</v>
      </c>
      <c r="C21300" t="str">
        <v>-</v>
      </c>
      <c r="D21300" t="str">
        <v>-</v>
      </c>
      <c r="E21300" t="str">
        <v/>
      </c>
      <c r="F21300" t="str">
        <v>-</v>
      </c>
      <c r="G21300" t="str">
        <v>-</v>
      </c>
    </row>
    <row r="21301">
      <c r="B21301" t="str">
        <v>UBND Ủy ban nhân dân xã Bình Phú  tỉnh Tiền Giang</v>
      </c>
      <c r="C21301" t="str">
        <v>-</v>
      </c>
      <c r="D21301" t="str">
        <v>-</v>
      </c>
      <c r="E21301" t="str">
        <v>-</v>
      </c>
      <c r="F21301" t="str">
        <v>-</v>
      </c>
      <c r="G21301" t="str">
        <v>-</v>
      </c>
    </row>
    <row r="21302">
      <c r="B21302" t="str">
        <v>Công an xã Đồng Thạnh  tỉnh Tiền Giang</v>
      </c>
      <c r="C21302" t="str">
        <v>-</v>
      </c>
      <c r="D21302" t="str">
        <v>-</v>
      </c>
      <c r="E21302" t="str">
        <v/>
      </c>
      <c r="F21302" t="str">
        <v>-</v>
      </c>
      <c r="G21302" t="str">
        <v>-</v>
      </c>
    </row>
    <row r="21303">
      <c r="B21303" t="str">
        <v>UBND Ủy ban nhân dân xã Đồng Thạnh  tỉnh Tiền Giang</v>
      </c>
      <c r="C21303" t="str">
        <v>-</v>
      </c>
      <c r="D21303" t="str">
        <v>-</v>
      </c>
      <c r="E21303" t="str">
        <v>-</v>
      </c>
      <c r="F21303" t="str">
        <v>-</v>
      </c>
      <c r="G21303" t="str">
        <v>-</v>
      </c>
    </row>
    <row r="21304">
      <c r="B21304" t="str">
        <v>Công an xã Thành Công  tỉnh Tiền Giang</v>
      </c>
      <c r="C21304" t="str">
        <v>-</v>
      </c>
      <c r="D21304" t="str">
        <v>-</v>
      </c>
      <c r="E21304" t="str">
        <v/>
      </c>
      <c r="F21304" t="str">
        <v>-</v>
      </c>
      <c r="G21304" t="str">
        <v>-</v>
      </c>
    </row>
    <row r="21305">
      <c r="B21305" t="str">
        <v>UBND Ủy ban nhân dân xã Thành Công  tỉnh Tiền Giang</v>
      </c>
      <c r="C21305" t="str">
        <v>-</v>
      </c>
      <c r="D21305" t="str">
        <v>-</v>
      </c>
      <c r="E21305" t="str">
        <v>-</v>
      </c>
      <c r="F21305" t="str">
        <v>-</v>
      </c>
      <c r="G21305" t="str">
        <v>-</v>
      </c>
    </row>
    <row r="21306">
      <c r="B21306" t="str">
        <v>Công an xã Bình Nhì  tỉnh Tiền Giang</v>
      </c>
      <c r="C21306" t="str">
        <v>-</v>
      </c>
      <c r="D21306" t="str">
        <v>-</v>
      </c>
      <c r="E21306" t="str">
        <v/>
      </c>
      <c r="F21306" t="str">
        <v>-</v>
      </c>
      <c r="G21306" t="str">
        <v>-</v>
      </c>
    </row>
    <row r="21307">
      <c r="B21307" t="str">
        <v>UBND Ủy ban nhân dân xã Bình Nhì  tỉnh Tiền Giang</v>
      </c>
      <c r="C21307" t="str">
        <v>-</v>
      </c>
      <c r="D21307" t="str">
        <v>-</v>
      </c>
      <c r="E21307" t="str">
        <v>-</v>
      </c>
      <c r="F21307" t="str">
        <v>-</v>
      </c>
      <c r="G21307" t="str">
        <v>-</v>
      </c>
    </row>
    <row r="21308">
      <c r="B21308" t="str">
        <v>Công an xã Yên Luông  tỉnh Tiền Giang</v>
      </c>
      <c r="C21308" t="str">
        <v>-</v>
      </c>
      <c r="D21308" t="str">
        <v>-</v>
      </c>
      <c r="E21308" t="str">
        <v/>
      </c>
      <c r="F21308" t="str">
        <v>-</v>
      </c>
      <c r="G21308" t="str">
        <v>-</v>
      </c>
    </row>
    <row r="21309">
      <c r="B21309" t="str">
        <v>UBND Ủy ban nhân dân xã Yên Luông  tỉnh Tiền Giang</v>
      </c>
      <c r="C21309" t="str">
        <v>-</v>
      </c>
      <c r="D21309" t="str">
        <v>-</v>
      </c>
      <c r="E21309" t="str">
        <v>-</v>
      </c>
      <c r="F21309" t="str">
        <v>-</v>
      </c>
      <c r="G21309" t="str">
        <v>-</v>
      </c>
    </row>
    <row r="21310">
      <c r="B21310" t="str">
        <v>Công an xã Thạnh Trị  tỉnh Tiền Giang</v>
      </c>
      <c r="C21310" t="str">
        <v>-</v>
      </c>
      <c r="D21310" t="str">
        <v>-</v>
      </c>
      <c r="E21310" t="str">
        <v/>
      </c>
      <c r="F21310" t="str">
        <v>-</v>
      </c>
      <c r="G21310" t="str">
        <v>-</v>
      </c>
    </row>
    <row r="21311">
      <c r="B21311" t="str">
        <v>UBND Ủy ban nhân dân xã Thạnh Trị  tỉnh Tiền Giang</v>
      </c>
      <c r="C21311" t="str">
        <v>-</v>
      </c>
      <c r="D21311" t="str">
        <v>-</v>
      </c>
      <c r="E21311" t="str">
        <v>-</v>
      </c>
      <c r="F21311" t="str">
        <v>-</v>
      </c>
      <c r="G21311" t="str">
        <v>-</v>
      </c>
    </row>
    <row r="21312">
      <c r="B21312" t="str">
        <v>Công an xã Thạnh Nhựt  tỉnh Tiền Giang</v>
      </c>
      <c r="C21312" t="str">
        <v>-</v>
      </c>
      <c r="D21312" t="str">
        <v>-</v>
      </c>
      <c r="E21312" t="str">
        <v/>
      </c>
      <c r="F21312" t="str">
        <v>-</v>
      </c>
      <c r="G21312" t="str">
        <v>-</v>
      </c>
    </row>
    <row r="21313">
      <c r="B21313" t="str">
        <v>UBND Ủy ban nhân dân xã Thạnh Nhựt  tỉnh Tiền Giang</v>
      </c>
      <c r="C21313" t="str">
        <v>-</v>
      </c>
      <c r="D21313" t="str">
        <v>-</v>
      </c>
      <c r="E21313" t="str">
        <v>-</v>
      </c>
      <c r="F21313" t="str">
        <v>-</v>
      </c>
      <c r="G21313" t="str">
        <v>-</v>
      </c>
    </row>
    <row r="21314">
      <c r="B21314" t="str">
        <v>Công an xã Long Vĩnh  tỉnh Tiền Giang</v>
      </c>
      <c r="C21314" t="str">
        <v>-</v>
      </c>
      <c r="D21314" t="str">
        <v>-</v>
      </c>
      <c r="E21314" t="str">
        <v/>
      </c>
      <c r="F21314" t="str">
        <v>-</v>
      </c>
      <c r="G21314" t="str">
        <v>-</v>
      </c>
    </row>
    <row r="21315">
      <c r="B21315" t="str">
        <v>UBND Ủy ban nhân dân xã Long Vĩnh  tỉnh Tiền Giang</v>
      </c>
      <c r="C21315" t="str">
        <v>-</v>
      </c>
      <c r="D21315" t="str">
        <v>-</v>
      </c>
      <c r="E21315" t="str">
        <v>-</v>
      </c>
      <c r="F21315" t="str">
        <v>-</v>
      </c>
      <c r="G21315" t="str">
        <v>-</v>
      </c>
    </row>
    <row r="21316">
      <c r="B21316" t="str">
        <v>Công an xã Bình Tân  tỉnh Tiền Giang</v>
      </c>
      <c r="C21316" t="str">
        <v>-</v>
      </c>
      <c r="D21316" t="str">
        <v>-</v>
      </c>
      <c r="E21316" t="str">
        <v/>
      </c>
      <c r="F21316" t="str">
        <v>-</v>
      </c>
      <c r="G21316" t="str">
        <v>-</v>
      </c>
    </row>
    <row r="21317">
      <c r="B21317" t="str">
        <v>UBND Ủy ban nhân dân xã Bình Tân  tỉnh Tiền Giang</v>
      </c>
      <c r="C21317" t="str">
        <v>-</v>
      </c>
      <c r="D21317" t="str">
        <v>-</v>
      </c>
      <c r="E21317" t="str">
        <v>-</v>
      </c>
      <c r="F21317" t="str">
        <v>-</v>
      </c>
      <c r="G21317" t="str">
        <v>-</v>
      </c>
    </row>
    <row r="21318">
      <c r="B21318" t="str">
        <v>Công an xã Vĩnh Hựu  tỉnh Tiền Giang</v>
      </c>
      <c r="C21318" t="str">
        <v>-</v>
      </c>
      <c r="D21318" t="str">
        <v>-</v>
      </c>
      <c r="E21318" t="str">
        <v/>
      </c>
      <c r="F21318" t="str">
        <v>-</v>
      </c>
      <c r="G21318" t="str">
        <v>-</v>
      </c>
    </row>
    <row r="21319">
      <c r="B21319" t="str">
        <v>UBND Ủy ban nhân dân xã Vĩnh Hựu  tỉnh Tiền Giang</v>
      </c>
      <c r="C21319" t="str">
        <v>-</v>
      </c>
      <c r="D21319" t="str">
        <v>-</v>
      </c>
      <c r="E21319" t="str">
        <v>-</v>
      </c>
      <c r="F21319" t="str">
        <v>-</v>
      </c>
      <c r="G21319" t="str">
        <v>-</v>
      </c>
    </row>
    <row r="21320">
      <c r="B21320" t="str">
        <v>Công an xã Long Bình  tỉnh Tiền Giang</v>
      </c>
      <c r="C21320" t="str">
        <v>-</v>
      </c>
      <c r="D21320" t="str">
        <v>-</v>
      </c>
      <c r="E21320" t="str">
        <v/>
      </c>
      <c r="F21320" t="str">
        <v>-</v>
      </c>
      <c r="G21320" t="str">
        <v>-</v>
      </c>
    </row>
    <row r="21321">
      <c r="B21321" t="str">
        <v>UBND Ủy ban nhân dân xã Long Bình  tỉnh Tiền Giang</v>
      </c>
      <c r="C21321" t="str">
        <v>-</v>
      </c>
      <c r="D21321" t="str">
        <v>-</v>
      </c>
      <c r="E21321" t="str">
        <v>-</v>
      </c>
      <c r="F21321" t="str">
        <v>-</v>
      </c>
      <c r="G21321" t="str">
        <v>-</v>
      </c>
    </row>
    <row r="21322">
      <c r="B21322" t="str">
        <v>Công an xã Tăng Hoà  tỉnh Tiền Giang</v>
      </c>
      <c r="C21322" t="str">
        <v>-</v>
      </c>
      <c r="D21322" t="str">
        <v>-</v>
      </c>
      <c r="E21322" t="str">
        <v/>
      </c>
      <c r="F21322" t="str">
        <v>-</v>
      </c>
      <c r="G21322" t="str">
        <v>-</v>
      </c>
    </row>
    <row r="21323">
      <c r="B21323" t="str">
        <v>UBND Ủy ban nhân dân xã Tăng Hoà  tỉnh Tiền Giang</v>
      </c>
      <c r="C21323" t="str">
        <v>-</v>
      </c>
      <c r="D21323" t="str">
        <v>-</v>
      </c>
      <c r="E21323" t="str">
        <v>-</v>
      </c>
      <c r="F21323" t="str">
        <v>-</v>
      </c>
      <c r="G21323" t="str">
        <v>-</v>
      </c>
    </row>
    <row r="21324">
      <c r="B21324" t="str">
        <v>Công an xã Tân Phước  tỉnh Tiền Giang</v>
      </c>
      <c r="C21324" t="str">
        <v>-</v>
      </c>
      <c r="D21324" t="str">
        <v>-</v>
      </c>
      <c r="E21324" t="str">
        <v/>
      </c>
      <c r="F21324" t="str">
        <v>-</v>
      </c>
      <c r="G21324" t="str">
        <v>-</v>
      </c>
    </row>
    <row r="21325">
      <c r="B21325" t="str">
        <v>UBND Ủy ban nhân dân xã Tân Phước  tỉnh Tiền Giang</v>
      </c>
      <c r="C21325" t="str">
        <v>-</v>
      </c>
      <c r="D21325" t="str">
        <v>-</v>
      </c>
      <c r="E21325" t="str">
        <v>-</v>
      </c>
      <c r="F21325" t="str">
        <v>-</v>
      </c>
      <c r="G21325" t="str">
        <v>-</v>
      </c>
    </row>
    <row r="21326">
      <c r="B21326" t="str">
        <v>Công an xã Gia Thuận  tỉnh Tiền Giang</v>
      </c>
      <c r="C21326" t="str">
        <v>-</v>
      </c>
      <c r="D21326" t="str">
        <v>-</v>
      </c>
      <c r="E21326" t="str">
        <v/>
      </c>
      <c r="F21326" t="str">
        <v>-</v>
      </c>
      <c r="G21326" t="str">
        <v>-</v>
      </c>
    </row>
    <row r="21327">
      <c r="B21327" t="str">
        <v>UBND Ủy ban nhân dân xã Gia Thuận  tỉnh Tiền Giang</v>
      </c>
      <c r="C21327" t="str">
        <v>-</v>
      </c>
      <c r="D21327" t="str">
        <v>-</v>
      </c>
      <c r="E21327" t="str">
        <v>-</v>
      </c>
      <c r="F21327" t="str">
        <v>-</v>
      </c>
      <c r="G21327" t="str">
        <v>-</v>
      </c>
    </row>
    <row r="21328">
      <c r="B21328" t="str">
        <v>Công an xã Tân Tây  tỉnh Tiền Giang</v>
      </c>
      <c r="C21328" t="str">
        <v>-</v>
      </c>
      <c r="D21328" t="str">
        <v>-</v>
      </c>
      <c r="E21328" t="str">
        <v/>
      </c>
      <c r="F21328" t="str">
        <v>-</v>
      </c>
      <c r="G21328" t="str">
        <v>-</v>
      </c>
    </row>
    <row r="21329">
      <c r="B21329" t="str">
        <v>UBND Ủy ban nhân dân xã Tân Tây  tỉnh Tiền Giang</v>
      </c>
      <c r="C21329" t="str">
        <v>-</v>
      </c>
      <c r="D21329" t="str">
        <v>-</v>
      </c>
      <c r="E21329" t="str">
        <v>-</v>
      </c>
      <c r="F21329" t="str">
        <v>-</v>
      </c>
      <c r="G21329" t="str">
        <v>-</v>
      </c>
    </row>
    <row r="21330">
      <c r="B21330" t="str">
        <v>Công an xã Kiểng Phước  tỉnh Tiền Giang</v>
      </c>
      <c r="C21330" t="str">
        <v>-</v>
      </c>
      <c r="D21330" t="str">
        <v>-</v>
      </c>
      <c r="E21330" t="str">
        <v/>
      </c>
      <c r="F21330" t="str">
        <v>-</v>
      </c>
      <c r="G21330" t="str">
        <v>-</v>
      </c>
    </row>
    <row r="21331">
      <c r="B21331" t="str">
        <v>UBND Ủy ban nhân dân xã Kiểng Phước  tỉnh Tiền Giang</v>
      </c>
      <c r="C21331" t="str">
        <v>-</v>
      </c>
      <c r="D21331" t="str">
        <v>-</v>
      </c>
      <c r="E21331" t="str">
        <v>-</v>
      </c>
      <c r="F21331" t="str">
        <v>-</v>
      </c>
      <c r="G21331" t="str">
        <v>-</v>
      </c>
    </row>
    <row r="21332">
      <c r="B21332" t="str">
        <v>Công an xã Tân Đông  tỉnh Tiền Giang</v>
      </c>
      <c r="C21332" t="str">
        <v>-</v>
      </c>
      <c r="D21332" t="str">
        <v>-</v>
      </c>
      <c r="E21332" t="str">
        <v/>
      </c>
      <c r="F21332" t="str">
        <v>-</v>
      </c>
      <c r="G21332" t="str">
        <v>-</v>
      </c>
    </row>
    <row r="21333">
      <c r="B21333" t="str">
        <v>UBND Ủy ban nhân dân xã Tân Đông  tỉnh Tiền Giang</v>
      </c>
      <c r="C21333" t="str">
        <v>-</v>
      </c>
      <c r="D21333" t="str">
        <v>-</v>
      </c>
      <c r="E21333" t="str">
        <v>-</v>
      </c>
      <c r="F21333" t="str">
        <v>-</v>
      </c>
      <c r="G21333" t="str">
        <v>-</v>
      </c>
    </row>
    <row r="21334">
      <c r="B21334" t="str">
        <v>Công an xã Bình Ân  tỉnh Tiền Giang</v>
      </c>
      <c r="C21334" t="str">
        <v>-</v>
      </c>
      <c r="D21334" t="str">
        <v>-</v>
      </c>
      <c r="E21334" t="str">
        <v/>
      </c>
      <c r="F21334" t="str">
        <v>-</v>
      </c>
      <c r="G21334" t="str">
        <v>-</v>
      </c>
    </row>
    <row r="21335">
      <c r="B21335" t="str">
        <v>UBND Ủy ban nhân dân xã Bình Ân  tỉnh Tiền Giang</v>
      </c>
      <c r="C21335" t="str">
        <v>-</v>
      </c>
      <c r="D21335" t="str">
        <v>-</v>
      </c>
      <c r="E21335" t="str">
        <v>-</v>
      </c>
      <c r="F21335" t="str">
        <v>-</v>
      </c>
      <c r="G21335" t="str">
        <v>-</v>
      </c>
    </row>
    <row r="21336">
      <c r="B21336" t="str">
        <v>Công an xã Tân Điền  tỉnh Tiền Giang</v>
      </c>
      <c r="C21336" t="str">
        <v>-</v>
      </c>
      <c r="D21336" t="str">
        <v>-</v>
      </c>
      <c r="E21336" t="str">
        <v/>
      </c>
      <c r="F21336" t="str">
        <v>-</v>
      </c>
      <c r="G21336" t="str">
        <v>-</v>
      </c>
    </row>
    <row r="21337">
      <c r="B21337" t="str">
        <v>UBND Ủy ban nhân dân xã Tân Điền  tỉnh Tiền Giang</v>
      </c>
      <c r="C21337" t="str">
        <v>-</v>
      </c>
      <c r="D21337" t="str">
        <v>-</v>
      </c>
      <c r="E21337" t="str">
        <v>-</v>
      </c>
      <c r="F21337" t="str">
        <v>-</v>
      </c>
      <c r="G21337" t="str">
        <v>-</v>
      </c>
    </row>
    <row r="21338">
      <c r="B21338" t="str">
        <v>Công an xã Bình Nghị  tỉnh Tiền Giang</v>
      </c>
      <c r="C21338" t="str">
        <v>-</v>
      </c>
      <c r="D21338" t="str">
        <v>-</v>
      </c>
      <c r="E21338" t="str">
        <v/>
      </c>
      <c r="F21338" t="str">
        <v>-</v>
      </c>
      <c r="G21338" t="str">
        <v>-</v>
      </c>
    </row>
    <row r="21339">
      <c r="B21339" t="str">
        <v>UBND Ủy ban nhân dân xã Bình Nghị  tỉnh Tiền Giang</v>
      </c>
      <c r="C21339" t="str">
        <v>-</v>
      </c>
      <c r="D21339" t="str">
        <v>-</v>
      </c>
      <c r="E21339" t="str">
        <v>-</v>
      </c>
      <c r="F21339" t="str">
        <v>-</v>
      </c>
      <c r="G21339" t="str">
        <v>-</v>
      </c>
    </row>
    <row r="21340">
      <c r="B21340" t="str">
        <v>Công an xã Phước Trung  tỉnh Tiền Giang</v>
      </c>
      <c r="C21340" t="str">
        <v>-</v>
      </c>
      <c r="D21340" t="str">
        <v>-</v>
      </c>
      <c r="E21340" t="str">
        <v/>
      </c>
      <c r="F21340" t="str">
        <v>-</v>
      </c>
      <c r="G21340" t="str">
        <v>-</v>
      </c>
    </row>
    <row r="21341">
      <c r="B21341" t="str">
        <v>UBND Ủy ban nhân dân xã Phước Trung  tỉnh Tiền Giang</v>
      </c>
      <c r="C21341" t="str">
        <v>-</v>
      </c>
      <c r="D21341" t="str">
        <v>-</v>
      </c>
      <c r="E21341" t="str">
        <v>-</v>
      </c>
      <c r="F21341" t="str">
        <v>-</v>
      </c>
      <c r="G21341" t="str">
        <v>-</v>
      </c>
    </row>
    <row r="21342">
      <c r="B21342" t="str">
        <v>Công an xã Tân Thành  tỉnh Tiền Giang</v>
      </c>
      <c r="C21342" t="str">
        <v>-</v>
      </c>
      <c r="D21342" t="str">
        <v>-</v>
      </c>
      <c r="E21342" t="str">
        <v/>
      </c>
      <c r="F21342" t="str">
        <v>-</v>
      </c>
      <c r="G21342" t="str">
        <v>-</v>
      </c>
    </row>
    <row r="21343">
      <c r="B21343" t="str">
        <v>UBND Ủy ban nhân dân xã Tân Thành  tỉnh Tiền Giang</v>
      </c>
      <c r="C21343" t="str">
        <v>-</v>
      </c>
      <c r="D21343" t="str">
        <v>-</v>
      </c>
      <c r="E21343" t="str">
        <v>-</v>
      </c>
      <c r="F21343" t="str">
        <v>-</v>
      </c>
      <c r="G21343" t="str">
        <v>-</v>
      </c>
    </row>
    <row r="21344">
      <c r="B21344" t="str">
        <v>Công an xã Tân Thới  tỉnh Tiền Giang</v>
      </c>
      <c r="C21344" t="str">
        <v>-</v>
      </c>
      <c r="D21344" t="str">
        <v>-</v>
      </c>
      <c r="E21344" t="str">
        <v/>
      </c>
      <c r="F21344" t="str">
        <v>-</v>
      </c>
      <c r="G21344" t="str">
        <v>-</v>
      </c>
    </row>
    <row r="21345">
      <c r="B21345" t="str">
        <v>UBND Ủy ban nhân dân xã Tân Thới  tỉnh Tiền Giang</v>
      </c>
      <c r="C21345" t="str">
        <v>-</v>
      </c>
      <c r="D21345" t="str">
        <v>-</v>
      </c>
      <c r="E21345" t="str">
        <v>-</v>
      </c>
      <c r="F21345" t="str">
        <v>-</v>
      </c>
      <c r="G21345" t="str">
        <v>-</v>
      </c>
    </row>
    <row r="21346">
      <c r="B21346" t="str">
        <v>Công an xã Tân Phú  tỉnh Tiền Giang</v>
      </c>
      <c r="C21346" t="str">
        <v>-</v>
      </c>
      <c r="D21346" t="str">
        <v>-</v>
      </c>
      <c r="E21346" t="str">
        <v/>
      </c>
      <c r="F21346" t="str">
        <v>-</v>
      </c>
      <c r="G21346" t="str">
        <v>-</v>
      </c>
    </row>
    <row r="21347">
      <c r="B21347" t="str">
        <v>UBND Ủy ban nhân dân xã Tân Phú  tỉnh Tiền Giang</v>
      </c>
      <c r="C21347" t="str">
        <v>-</v>
      </c>
      <c r="D21347" t="str">
        <v>-</v>
      </c>
      <c r="E21347" t="str">
        <v>-</v>
      </c>
      <c r="F21347" t="str">
        <v>-</v>
      </c>
      <c r="G21347" t="str">
        <v>-</v>
      </c>
    </row>
    <row r="21348">
      <c r="B21348" t="str">
        <v>Công an xã Phú Thạnh  tỉnh Tiền Giang</v>
      </c>
      <c r="C21348" t="str">
        <v>-</v>
      </c>
      <c r="D21348" t="str">
        <v>-</v>
      </c>
      <c r="E21348" t="str">
        <v/>
      </c>
      <c r="F21348" t="str">
        <v>-</v>
      </c>
      <c r="G21348" t="str">
        <v>-</v>
      </c>
    </row>
    <row r="21349">
      <c r="B21349" t="str">
        <v>UBND Ủy ban nhân dân xã Phú Thạnh  tỉnh Tiền Giang</v>
      </c>
      <c r="C21349" t="str">
        <v>-</v>
      </c>
      <c r="D21349" t="str">
        <v>-</v>
      </c>
      <c r="E21349" t="str">
        <v>-</v>
      </c>
      <c r="F21349" t="str">
        <v>-</v>
      </c>
      <c r="G21349" t="str">
        <v>-</v>
      </c>
    </row>
    <row r="21350">
      <c r="B21350" t="str">
        <v>Công an xã Tân Thạnh  tỉnh Tiền Giang</v>
      </c>
      <c r="C21350" t="str">
        <v>-</v>
      </c>
      <c r="D21350" t="str">
        <v>-</v>
      </c>
      <c r="E21350" t="str">
        <v/>
      </c>
      <c r="F21350" t="str">
        <v>-</v>
      </c>
      <c r="G21350" t="str">
        <v>-</v>
      </c>
    </row>
    <row r="21351">
      <c r="B21351" t="str">
        <v>UBND Ủy ban nhân dân xã Tân Thạnh  tỉnh Tiền Giang</v>
      </c>
      <c r="C21351" t="str">
        <v>-</v>
      </c>
      <c r="D21351" t="str">
        <v>-</v>
      </c>
      <c r="E21351" t="str">
        <v>-</v>
      </c>
      <c r="F21351" t="str">
        <v>-</v>
      </c>
      <c r="G21351" t="str">
        <v>-</v>
      </c>
    </row>
    <row r="21352">
      <c r="B21352" t="str">
        <v>Công an xã Phú Đông  tỉnh Tiền Giang</v>
      </c>
      <c r="C21352" t="str">
        <v>-</v>
      </c>
      <c r="D21352" t="str">
        <v>-</v>
      </c>
      <c r="E21352" t="str">
        <v/>
      </c>
      <c r="F21352" t="str">
        <v>-</v>
      </c>
      <c r="G21352" t="str">
        <v>-</v>
      </c>
    </row>
    <row r="21353">
      <c r="B21353" t="str">
        <v>UBND Ủy ban nhân dân xã Phú Đông  tỉnh Tiền Giang</v>
      </c>
      <c r="C21353" t="str">
        <v>-</v>
      </c>
      <c r="D21353" t="str">
        <v>-</v>
      </c>
      <c r="E21353" t="str">
        <v>-</v>
      </c>
      <c r="F21353" t="str">
        <v>-</v>
      </c>
      <c r="G21353" t="str">
        <v>-</v>
      </c>
    </row>
    <row r="21354">
      <c r="B21354" t="str">
        <v>Công an xã Phú Tân  tỉnh Tiền Giang</v>
      </c>
      <c r="C21354" t="str">
        <v>-</v>
      </c>
      <c r="D21354" t="str">
        <v>-</v>
      </c>
      <c r="E21354" t="str">
        <v/>
      </c>
      <c r="F21354" t="str">
        <v>-</v>
      </c>
      <c r="G21354" t="str">
        <v>-</v>
      </c>
    </row>
    <row r="21355">
      <c r="B21355" t="str">
        <v>UBND Ủy ban nhân dân xã Phú Tân  tỉnh Tiền Giang</v>
      </c>
      <c r="C21355" t="str">
        <v>-</v>
      </c>
      <c r="D21355" t="str">
        <v>-</v>
      </c>
      <c r="E21355" t="str">
        <v>-</v>
      </c>
      <c r="F21355" t="str">
        <v>-</v>
      </c>
      <c r="G21355" t="str">
        <v>-</v>
      </c>
    </row>
    <row r="21356">
      <c r="B21356" t="str">
        <v>Công an phường Phú Khương  tỉnh Bến Tre</v>
      </c>
      <c r="C21356" t="str">
        <v>-</v>
      </c>
      <c r="D21356" t="str">
        <v>-</v>
      </c>
      <c r="E21356" t="str">
        <v/>
      </c>
      <c r="F21356" t="str">
        <v>-</v>
      </c>
      <c r="G21356" t="str">
        <v>-</v>
      </c>
    </row>
    <row r="21357">
      <c r="B21357" t="str">
        <v>UBND Ủy ban nhân dân phường Phú Khương  tỉnh Bến Tre</v>
      </c>
      <c r="C21357" t="str">
        <v>-</v>
      </c>
      <c r="D21357" t="str">
        <v>-</v>
      </c>
      <c r="E21357" t="str">
        <v>-</v>
      </c>
      <c r="F21357" t="str">
        <v>-</v>
      </c>
      <c r="G21357" t="str">
        <v>-</v>
      </c>
    </row>
    <row r="21358">
      <c r="B21358" t="str">
        <v>Công an phường Phú Tân  tỉnh Bến Tre</v>
      </c>
      <c r="C21358" t="str">
        <v>-</v>
      </c>
      <c r="D21358" t="str">
        <v>-</v>
      </c>
      <c r="E21358" t="str">
        <v/>
      </c>
      <c r="F21358" t="str">
        <v>-</v>
      </c>
      <c r="G21358" t="str">
        <v>-</v>
      </c>
    </row>
    <row r="21359">
      <c r="B21359" t="str">
        <v>UBND Ủy ban nhân dân phường Phú Tân  tỉnh Bến Tre</v>
      </c>
      <c r="C21359" t="str">
        <v>-</v>
      </c>
      <c r="D21359" t="str">
        <v>-</v>
      </c>
      <c r="E21359" t="str">
        <v>-</v>
      </c>
      <c r="F21359" t="str">
        <v>-</v>
      </c>
      <c r="G21359" t="str">
        <v>-</v>
      </c>
    </row>
    <row r="21360">
      <c r="B21360" t="str">
        <v>Công an phường 8  tỉnh Bến Tre</v>
      </c>
      <c r="C21360" t="str">
        <v>-</v>
      </c>
      <c r="D21360" t="str">
        <v>-</v>
      </c>
      <c r="E21360" t="str">
        <v/>
      </c>
      <c r="F21360" t="str">
        <v>-</v>
      </c>
      <c r="G21360" t="str">
        <v>-</v>
      </c>
    </row>
    <row r="21361">
      <c r="B21361" t="str">
        <v>UBND Ủy ban nhân dân phường 8  tỉnh Bến Tre</v>
      </c>
      <c r="C21361" t="str">
        <v>-</v>
      </c>
      <c r="D21361" t="str">
        <v>-</v>
      </c>
      <c r="E21361" t="str">
        <v>-</v>
      </c>
      <c r="F21361" t="str">
        <v>-</v>
      </c>
      <c r="G21361" t="str">
        <v>-</v>
      </c>
    </row>
    <row r="21362">
      <c r="B21362" t="str">
        <v>Công an phường 6  tỉnh Bến Tre</v>
      </c>
      <c r="C21362" t="str">
        <v>-</v>
      </c>
      <c r="D21362" t="str">
        <v>-</v>
      </c>
      <c r="E21362" t="str">
        <v/>
      </c>
      <c r="F21362" t="str">
        <v>-</v>
      </c>
      <c r="G21362" t="str">
        <v>-</v>
      </c>
    </row>
    <row r="21363">
      <c r="B21363" t="str">
        <v>UBND Ủy ban nhân dân phường 6  tỉnh Bến Tre</v>
      </c>
      <c r="C21363" t="str">
        <v>-</v>
      </c>
      <c r="D21363" t="str">
        <v>-</v>
      </c>
      <c r="E21363" t="str">
        <v>-</v>
      </c>
      <c r="F21363" t="str">
        <v>-</v>
      </c>
      <c r="G21363" t="str">
        <v>-</v>
      </c>
    </row>
    <row r="21364">
      <c r="B21364" t="str">
        <v>Công an phường 4  tỉnh Bến Tre</v>
      </c>
      <c r="C21364" t="str">
        <v>-</v>
      </c>
      <c r="D21364" t="str">
        <v>-</v>
      </c>
      <c r="E21364" t="str">
        <v/>
      </c>
      <c r="F21364" t="str">
        <v>-</v>
      </c>
      <c r="G21364" t="str">
        <v>-</v>
      </c>
    </row>
    <row r="21365">
      <c r="B21365" t="str">
        <v>UBND Ủy ban nhân dân phường 4  tỉnh Bến Tre</v>
      </c>
      <c r="C21365" t="str">
        <v>-</v>
      </c>
      <c r="D21365" t="str">
        <v>-</v>
      </c>
      <c r="E21365" t="str">
        <v>-</v>
      </c>
      <c r="F21365" t="str">
        <v>-</v>
      </c>
      <c r="G21365" t="str">
        <v>-</v>
      </c>
    </row>
    <row r="21366">
      <c r="B21366" t="str">
        <v>Công an phường 5  tỉnh Bến Tre</v>
      </c>
      <c r="C21366" t="str">
        <v>-</v>
      </c>
      <c r="D21366" t="str">
        <v>-</v>
      </c>
      <c r="E21366" t="str">
        <v/>
      </c>
      <c r="F21366" t="str">
        <v>-</v>
      </c>
      <c r="G21366" t="str">
        <v>-</v>
      </c>
    </row>
    <row r="21367">
      <c r="B21367" t="str">
        <v>UBND Ủy ban nhân dân phường 5  tỉnh Bến Tre</v>
      </c>
      <c r="C21367" t="str">
        <v>-</v>
      </c>
      <c r="D21367" t="str">
        <v>-</v>
      </c>
      <c r="E21367" t="str">
        <v>-</v>
      </c>
      <c r="F21367" t="str">
        <v>-</v>
      </c>
      <c r="G21367" t="str">
        <v>-</v>
      </c>
    </row>
    <row r="21368">
      <c r="B21368" t="str">
        <v>Công an phường 1  tỉnh Bến Tre</v>
      </c>
      <c r="C21368" t="str">
        <v>-</v>
      </c>
      <c r="D21368" t="str">
        <v>-</v>
      </c>
      <c r="E21368" t="str">
        <v/>
      </c>
      <c r="F21368" t="str">
        <v>-</v>
      </c>
      <c r="G21368" t="str">
        <v>-</v>
      </c>
    </row>
    <row r="21369">
      <c r="B21369" t="str">
        <v>UBND Ủy ban nhân dân phường 1  tỉnh Bến Tre</v>
      </c>
      <c r="C21369" t="str">
        <v>-</v>
      </c>
      <c r="D21369" t="str">
        <v>-</v>
      </c>
      <c r="E21369" t="str">
        <v>-</v>
      </c>
      <c r="F21369" t="str">
        <v>-</v>
      </c>
      <c r="G21369" t="str">
        <v>-</v>
      </c>
    </row>
    <row r="21370">
      <c r="B21370" t="str">
        <v>Công an phường 3  tỉnh Bến Tre</v>
      </c>
      <c r="C21370" t="str">
        <v>-</v>
      </c>
      <c r="D21370" t="str">
        <v>-</v>
      </c>
      <c r="E21370" t="str">
        <v/>
      </c>
      <c r="F21370" t="str">
        <v>-</v>
      </c>
      <c r="G21370" t="str">
        <v>-</v>
      </c>
    </row>
    <row r="21371">
      <c r="B21371" t="str">
        <v>UBND Ủy ban nhân dân phường 3  tỉnh Bến Tre</v>
      </c>
      <c r="C21371" t="str">
        <v>-</v>
      </c>
      <c r="D21371" t="str">
        <v>-</v>
      </c>
      <c r="E21371" t="str">
        <v>-</v>
      </c>
      <c r="F21371" t="str">
        <v>-</v>
      </c>
      <c r="G21371" t="str">
        <v>-</v>
      </c>
    </row>
    <row r="21372">
      <c r="B21372" t="str">
        <v>Công an phường 2  tỉnh Bến Tre</v>
      </c>
      <c r="C21372" t="str">
        <v>-</v>
      </c>
      <c r="D21372" t="str">
        <v>-</v>
      </c>
      <c r="E21372" t="str">
        <v/>
      </c>
      <c r="F21372" t="str">
        <v>-</v>
      </c>
      <c r="G21372" t="str">
        <v>-</v>
      </c>
    </row>
    <row r="21373">
      <c r="B21373" t="str">
        <v>UBND Ủy ban nhân dân phường 2  tỉnh Bến Tre</v>
      </c>
      <c r="C21373" t="str">
        <v>-</v>
      </c>
      <c r="D21373" t="str">
        <v>-</v>
      </c>
      <c r="E21373" t="str">
        <v>-</v>
      </c>
      <c r="F21373" t="str">
        <v>-</v>
      </c>
      <c r="G21373" t="str">
        <v>-</v>
      </c>
    </row>
    <row r="21374">
      <c r="B21374" t="str">
        <v>Công an phường 7  tỉnh Bến Tre</v>
      </c>
      <c r="C21374" t="str">
        <v>-</v>
      </c>
      <c r="D21374" t="str">
        <v>-</v>
      </c>
      <c r="E21374" t="str">
        <v/>
      </c>
      <c r="F21374" t="str">
        <v>-</v>
      </c>
      <c r="G21374" t="str">
        <v>-</v>
      </c>
    </row>
    <row r="21375">
      <c r="B21375" t="str">
        <v>UBND Ủy ban nhân dân phường 7  tỉnh Bến Tre</v>
      </c>
      <c r="C21375" t="str">
        <v>-</v>
      </c>
      <c r="D21375" t="str">
        <v>-</v>
      </c>
      <c r="E21375" t="str">
        <v>-</v>
      </c>
      <c r="F21375" t="str">
        <v>-</v>
      </c>
      <c r="G21375" t="str">
        <v>-</v>
      </c>
    </row>
    <row r="21376">
      <c r="B21376" t="str">
        <v>Công an xã Sơn Đông  tỉnh Bến Tre</v>
      </c>
      <c r="C21376" t="str">
        <v>-</v>
      </c>
      <c r="D21376" t="str">
        <v>-</v>
      </c>
      <c r="E21376" t="str">
        <v/>
      </c>
      <c r="F21376" t="str">
        <v>-</v>
      </c>
      <c r="G21376" t="str">
        <v>-</v>
      </c>
    </row>
    <row r="21377">
      <c r="B21377" t="str">
        <v>UBND Ủy ban nhân dân xã Sơn Đông  tỉnh Bến Tre</v>
      </c>
      <c r="C21377" t="str">
        <v>-</v>
      </c>
      <c r="D21377" t="str">
        <v>-</v>
      </c>
      <c r="E21377" t="str">
        <v>-</v>
      </c>
      <c r="F21377" t="str">
        <v>-</v>
      </c>
      <c r="G21377" t="str">
        <v>-</v>
      </c>
    </row>
    <row r="21378">
      <c r="B21378" t="str">
        <v>Công an xã Phú Hưng  tỉnh Bến Tre</v>
      </c>
      <c r="C21378" t="str">
        <v>-</v>
      </c>
      <c r="D21378" t="str">
        <v>-</v>
      </c>
      <c r="E21378" t="str">
        <v/>
      </c>
      <c r="F21378" t="str">
        <v>-</v>
      </c>
      <c r="G21378" t="str">
        <v>-</v>
      </c>
    </row>
    <row r="21379">
      <c r="B21379" t="str">
        <v>UBND Ủy ban nhân dân xã Phú Hưng  tỉnh Bến Tre</v>
      </c>
      <c r="C21379" t="str">
        <v>-</v>
      </c>
      <c r="D21379" t="str">
        <v>-</v>
      </c>
      <c r="E21379" t="str">
        <v>-</v>
      </c>
      <c r="F21379" t="str">
        <v>-</v>
      </c>
      <c r="G21379" t="str">
        <v>-</v>
      </c>
    </row>
    <row r="21380">
      <c r="B21380" t="str">
        <v>Công an xã Bình Phú  tỉnh Bến Tre</v>
      </c>
      <c r="C21380" t="str">
        <v>-</v>
      </c>
      <c r="D21380" t="str">
        <v>-</v>
      </c>
      <c r="E21380" t="str">
        <v/>
      </c>
      <c r="F21380" t="str">
        <v>-</v>
      </c>
      <c r="G21380" t="str">
        <v>-</v>
      </c>
    </row>
    <row r="21381">
      <c r="B21381" t="str">
        <v>UBND Ủy ban nhân dân xã Bình Phú  tỉnh Bến Tre</v>
      </c>
      <c r="C21381" t="str">
        <v>-</v>
      </c>
      <c r="D21381" t="str">
        <v>-</v>
      </c>
      <c r="E21381" t="str">
        <v>-</v>
      </c>
      <c r="F21381" t="str">
        <v>-</v>
      </c>
      <c r="G21381" t="str">
        <v>-</v>
      </c>
    </row>
    <row r="21382">
      <c r="B21382" t="str">
        <v>Công an xã Mỹ Thạnh An  tỉnh Bến Tre</v>
      </c>
      <c r="C21382" t="str">
        <v>-</v>
      </c>
      <c r="D21382" t="str">
        <v>-</v>
      </c>
      <c r="E21382" t="str">
        <v/>
      </c>
      <c r="F21382" t="str">
        <v>-</v>
      </c>
      <c r="G21382" t="str">
        <v>-</v>
      </c>
    </row>
    <row r="21383">
      <c r="B21383" t="str">
        <v>UBND Ủy ban nhân dân xã Mỹ Thạnh An  tỉnh Bến Tre</v>
      </c>
      <c r="C21383" t="str">
        <v>-</v>
      </c>
      <c r="D21383" t="str">
        <v>-</v>
      </c>
      <c r="E21383" t="str">
        <v>-</v>
      </c>
      <c r="F21383" t="str">
        <v>-</v>
      </c>
      <c r="G21383" t="str">
        <v>-</v>
      </c>
    </row>
    <row r="21384">
      <c r="B21384" t="str">
        <v>Công an xã Nhơn Thạnh  tỉnh Bến Tre</v>
      </c>
      <c r="C21384" t="str">
        <v>-</v>
      </c>
      <c r="D21384" t="str">
        <v>-</v>
      </c>
      <c r="E21384" t="str">
        <v/>
      </c>
      <c r="F21384" t="str">
        <v>-</v>
      </c>
      <c r="G21384" t="str">
        <v>-</v>
      </c>
    </row>
    <row r="21385">
      <c r="B21385" t="str">
        <v>UBND Ủy ban nhân dân xã Nhơn Thạnh  tỉnh Bến Tre</v>
      </c>
      <c r="C21385" t="str">
        <v>-</v>
      </c>
      <c r="D21385" t="str">
        <v>-</v>
      </c>
      <c r="E21385" t="str">
        <v>-</v>
      </c>
      <c r="F21385" t="str">
        <v>-</v>
      </c>
      <c r="G21385" t="str">
        <v>-</v>
      </c>
    </row>
    <row r="21386">
      <c r="B21386" t="str">
        <v>Công an xã Phú Nhuận  tỉnh Bến Tre</v>
      </c>
      <c r="C21386" t="str">
        <v>-</v>
      </c>
      <c r="D21386" t="str">
        <v>-</v>
      </c>
      <c r="E21386" t="str">
        <v/>
      </c>
      <c r="F21386" t="str">
        <v>-</v>
      </c>
      <c r="G21386" t="str">
        <v>-</v>
      </c>
    </row>
    <row r="21387">
      <c r="B21387" t="str">
        <v>UBND Ủy ban nhân dân xã Phú Nhuận  tỉnh Bến Tre</v>
      </c>
      <c r="C21387" t="str">
        <v>-</v>
      </c>
      <c r="D21387" t="str">
        <v>-</v>
      </c>
      <c r="E21387" t="str">
        <v>-</v>
      </c>
      <c r="F21387" t="str">
        <v>-</v>
      </c>
      <c r="G21387" t="str">
        <v>-</v>
      </c>
    </row>
    <row r="21388">
      <c r="B21388" t="str">
        <v>Công an xã Mỹ Thành  tỉnh Bến Tre</v>
      </c>
      <c r="C21388" t="str">
        <v>-</v>
      </c>
      <c r="D21388" t="str">
        <v>-</v>
      </c>
      <c r="E21388" t="str">
        <v/>
      </c>
      <c r="F21388" t="str">
        <v>-</v>
      </c>
      <c r="G21388" t="str">
        <v>-</v>
      </c>
    </row>
    <row r="21389">
      <c r="B21389" t="str">
        <v>UBND Ủy ban nhân dân xã Mỹ Thành  tỉnh Bến Tre</v>
      </c>
      <c r="C21389" t="str">
        <v>-</v>
      </c>
      <c r="D21389" t="str">
        <v>-</v>
      </c>
      <c r="E21389" t="str">
        <v>-</v>
      </c>
      <c r="F21389" t="str">
        <v>-</v>
      </c>
      <c r="G21389" t="str">
        <v>-</v>
      </c>
    </row>
    <row r="21390">
      <c r="B21390" t="str">
        <v>Công an xã Tân Thạch  tỉnh Bến Tre</v>
      </c>
      <c r="C21390" t="str">
        <v>-</v>
      </c>
      <c r="D21390" t="str">
        <v>-</v>
      </c>
      <c r="E21390" t="str">
        <v/>
      </c>
      <c r="F21390" t="str">
        <v>-</v>
      </c>
      <c r="G21390" t="str">
        <v>-</v>
      </c>
    </row>
    <row r="21391">
      <c r="B21391" t="str">
        <v>UBND Ủy ban nhân dân xã Tân Thạch  tỉnh Bến Tre</v>
      </c>
      <c r="C21391" t="str">
        <v>-</v>
      </c>
      <c r="D21391" t="str">
        <v>-</v>
      </c>
      <c r="E21391" t="str">
        <v>-</v>
      </c>
      <c r="F21391" t="str">
        <v>-</v>
      </c>
      <c r="G21391" t="str">
        <v>-</v>
      </c>
    </row>
    <row r="21392">
      <c r="B21392" t="str">
        <v>Công an xã Qưới Sơn  tỉnh Bến Tre</v>
      </c>
      <c r="C21392" t="str">
        <v>-</v>
      </c>
      <c r="D21392" t="str">
        <v>-</v>
      </c>
      <c r="E21392" t="str">
        <v/>
      </c>
      <c r="F21392" t="str">
        <v>-</v>
      </c>
      <c r="G21392" t="str">
        <v>-</v>
      </c>
    </row>
    <row r="21393">
      <c r="B21393" t="str">
        <v>UBND Ủy ban nhân dân xã Qưới Sơn  tỉnh Bến Tre</v>
      </c>
      <c r="C21393" t="str">
        <v>-</v>
      </c>
      <c r="D21393" t="str">
        <v>-</v>
      </c>
      <c r="E21393" t="str">
        <v>-</v>
      </c>
      <c r="F21393" t="str">
        <v>-</v>
      </c>
      <c r="G21393" t="str">
        <v>-</v>
      </c>
    </row>
    <row r="21394">
      <c r="B21394" t="str">
        <v>Công an xã An Khánh  tỉnh Bến Tre</v>
      </c>
      <c r="C21394" t="str">
        <v>-</v>
      </c>
      <c r="D21394" t="str">
        <v>-</v>
      </c>
      <c r="E21394" t="str">
        <v/>
      </c>
      <c r="F21394" t="str">
        <v>-</v>
      </c>
      <c r="G21394" t="str">
        <v>-</v>
      </c>
    </row>
    <row r="21395">
      <c r="B21395" t="str">
        <v>UBND Ủy ban nhân dân xã An Khánh  tỉnh Bến Tre</v>
      </c>
      <c r="C21395" t="str">
        <v>-</v>
      </c>
      <c r="D21395" t="str">
        <v>-</v>
      </c>
      <c r="E21395" t="str">
        <v>-</v>
      </c>
      <c r="F21395" t="str">
        <v>-</v>
      </c>
      <c r="G21395" t="str">
        <v>-</v>
      </c>
    </row>
    <row r="21396">
      <c r="B21396" t="str">
        <v>Công an xã Giao Long  tỉnh Bến Tre</v>
      </c>
      <c r="C21396" t="str">
        <v>-</v>
      </c>
      <c r="D21396" t="str">
        <v>-</v>
      </c>
      <c r="E21396" t="str">
        <v/>
      </c>
      <c r="F21396" t="str">
        <v>-</v>
      </c>
      <c r="G21396" t="str">
        <v>-</v>
      </c>
    </row>
    <row r="21397">
      <c r="B21397" t="str">
        <v>UBND Ủy ban nhân dân xã Giao Long  tỉnh Bến Tre</v>
      </c>
      <c r="C21397" t="str">
        <v>-</v>
      </c>
      <c r="D21397" t="str">
        <v>-</v>
      </c>
      <c r="E21397" t="str">
        <v>-</v>
      </c>
      <c r="F21397" t="str">
        <v>-</v>
      </c>
      <c r="G21397" t="str">
        <v>-</v>
      </c>
    </row>
    <row r="21398">
      <c r="B21398" t="str">
        <v>Công an xã Giao Hòa  tỉnh Bến Tre</v>
      </c>
      <c r="C21398" t="str">
        <v>-</v>
      </c>
      <c r="D21398" t="str">
        <v>-</v>
      </c>
      <c r="E21398" t="str">
        <v/>
      </c>
      <c r="F21398" t="str">
        <v>-</v>
      </c>
      <c r="G21398" t="str">
        <v>-</v>
      </c>
    </row>
    <row r="21399">
      <c r="B21399" t="str">
        <v>UBND Ủy ban nhân dân xã Giao Hòa  tỉnh Bến Tre</v>
      </c>
      <c r="C21399" t="str">
        <v>-</v>
      </c>
      <c r="D21399" t="str">
        <v>-</v>
      </c>
      <c r="E21399" t="str">
        <v>-</v>
      </c>
      <c r="F21399" t="str">
        <v>-</v>
      </c>
      <c r="G21399" t="str">
        <v>-</v>
      </c>
    </row>
    <row r="21400">
      <c r="B21400" t="str">
        <v>Công an xã Phú Túc  tỉnh Bến Tre</v>
      </c>
      <c r="C21400" t="str">
        <v>-</v>
      </c>
      <c r="D21400" t="str">
        <v>-</v>
      </c>
      <c r="E21400" t="str">
        <v/>
      </c>
      <c r="F21400" t="str">
        <v>-</v>
      </c>
      <c r="G21400" t="str">
        <v>-</v>
      </c>
    </row>
    <row r="21401">
      <c r="B21401" t="str">
        <v>UBND Ủy ban nhân dân xã Phú Túc  tỉnh Bến Tre</v>
      </c>
      <c r="C21401" t="str">
        <v>-</v>
      </c>
      <c r="D21401" t="str">
        <v>-</v>
      </c>
      <c r="E21401" t="str">
        <v>-</v>
      </c>
      <c r="F21401" t="str">
        <v>-</v>
      </c>
      <c r="G21401" t="str">
        <v>-</v>
      </c>
    </row>
    <row r="21402">
      <c r="B21402" t="str">
        <v>Công an xã Phú Đức  tỉnh Bến Tre</v>
      </c>
      <c r="C21402" t="str">
        <v>-</v>
      </c>
      <c r="D21402" t="str">
        <v>-</v>
      </c>
      <c r="E21402" t="str">
        <v/>
      </c>
      <c r="F21402" t="str">
        <v>-</v>
      </c>
      <c r="G21402" t="str">
        <v>-</v>
      </c>
    </row>
    <row r="21403">
      <c r="B21403" t="str">
        <v>UBND Ủy ban nhân dân xã Phú Đức  tỉnh Bến Tre</v>
      </c>
      <c r="C21403" t="str">
        <v>-</v>
      </c>
      <c r="D21403" t="str">
        <v>-</v>
      </c>
      <c r="E21403" t="str">
        <v>-</v>
      </c>
      <c r="F21403" t="str">
        <v>-</v>
      </c>
      <c r="G21403" t="str">
        <v>-</v>
      </c>
    </row>
    <row r="21404">
      <c r="B21404" t="str">
        <v>Công an xã Phú An Hòa  tỉnh Bến Tre</v>
      </c>
      <c r="C21404" t="str">
        <v>-</v>
      </c>
      <c r="D21404" t="str">
        <v>-</v>
      </c>
      <c r="E21404" t="str">
        <v/>
      </c>
      <c r="F21404" t="str">
        <v>-</v>
      </c>
      <c r="G21404" t="str">
        <v>-</v>
      </c>
    </row>
    <row r="21405">
      <c r="B21405" t="str">
        <v>UBND Ủy ban nhân dân xã Phú An Hòa  tỉnh Bến Tre</v>
      </c>
      <c r="C21405" t="str">
        <v>-</v>
      </c>
      <c r="D21405" t="str">
        <v>-</v>
      </c>
      <c r="E21405" t="str">
        <v>-</v>
      </c>
      <c r="F21405" t="str">
        <v>-</v>
      </c>
      <c r="G21405" t="str">
        <v>-</v>
      </c>
    </row>
    <row r="21406">
      <c r="B21406" t="str">
        <v>Công an xã An Phước  tỉnh Bến Tre</v>
      </c>
      <c r="C21406" t="str">
        <v>-</v>
      </c>
      <c r="D21406" t="str">
        <v>-</v>
      </c>
      <c r="E21406" t="str">
        <v/>
      </c>
      <c r="F21406" t="str">
        <v>-</v>
      </c>
      <c r="G21406" t="str">
        <v>-</v>
      </c>
    </row>
    <row r="21407">
      <c r="B21407" t="str">
        <v>UBND Ủy ban nhân dân xã An Phước  tỉnh Bến Tre</v>
      </c>
      <c r="C21407" t="str">
        <v>-</v>
      </c>
      <c r="D21407" t="str">
        <v>-</v>
      </c>
      <c r="E21407" t="str">
        <v>-</v>
      </c>
      <c r="F21407" t="str">
        <v>-</v>
      </c>
      <c r="G21407" t="str">
        <v>-</v>
      </c>
    </row>
    <row r="21408">
      <c r="B21408" t="str">
        <v>Công an xã Tam Phước  tỉnh Bến Tre</v>
      </c>
      <c r="C21408" t="str">
        <v>-</v>
      </c>
      <c r="D21408" t="str">
        <v>-</v>
      </c>
      <c r="E21408" t="str">
        <v/>
      </c>
      <c r="F21408" t="str">
        <v>-</v>
      </c>
      <c r="G21408" t="str">
        <v>-</v>
      </c>
    </row>
    <row r="21409">
      <c r="B21409" t="str">
        <v>UBND Ủy ban nhân dân xã Tam Phước  tỉnh Bến Tre</v>
      </c>
      <c r="C21409" t="str">
        <v>-</v>
      </c>
      <c r="D21409" t="str">
        <v>-</v>
      </c>
      <c r="E21409" t="str">
        <v>-</v>
      </c>
      <c r="F21409" t="str">
        <v>-</v>
      </c>
      <c r="G21409" t="str">
        <v>-</v>
      </c>
    </row>
    <row r="21410">
      <c r="B21410" t="str">
        <v>Công an xã Thành Triệu  tỉnh Bến Tre</v>
      </c>
      <c r="C21410" t="str">
        <v>-</v>
      </c>
      <c r="D21410" t="str">
        <v>-</v>
      </c>
      <c r="E21410" t="str">
        <v/>
      </c>
      <c r="F21410" t="str">
        <v>-</v>
      </c>
      <c r="G21410" t="str">
        <v>-</v>
      </c>
    </row>
    <row r="21411">
      <c r="B21411" t="str">
        <v>UBND Ủy ban nhân dân xã Thành Triệu  tỉnh Bến Tre</v>
      </c>
      <c r="C21411" t="str">
        <v>-</v>
      </c>
      <c r="D21411" t="str">
        <v>-</v>
      </c>
      <c r="E21411" t="str">
        <v>-</v>
      </c>
      <c r="F21411" t="str">
        <v>-</v>
      </c>
      <c r="G21411" t="str">
        <v>-</v>
      </c>
    </row>
    <row r="21412">
      <c r="B21412" t="str">
        <v>Công an xã Tường Đa  tỉnh Bến Tre</v>
      </c>
      <c r="C21412" t="str">
        <v>-</v>
      </c>
      <c r="D21412" t="str">
        <v>-</v>
      </c>
      <c r="E21412" t="str">
        <v/>
      </c>
      <c r="F21412" t="str">
        <v>-</v>
      </c>
      <c r="G21412" t="str">
        <v>-</v>
      </c>
    </row>
    <row r="21413">
      <c r="B21413" t="str">
        <v>UBND Ủy ban nhân dân xã Tường Đa  tỉnh Bến Tre</v>
      </c>
      <c r="C21413" t="str">
        <v>-</v>
      </c>
      <c r="D21413" t="str">
        <v>-</v>
      </c>
      <c r="E21413" t="str">
        <v>-</v>
      </c>
      <c r="F21413" t="str">
        <v>-</v>
      </c>
      <c r="G21413" t="str">
        <v>-</v>
      </c>
    </row>
    <row r="21414">
      <c r="B21414" t="str">
        <v>Công an xã Tân Phú  tỉnh Bến Tre</v>
      </c>
      <c r="C21414" t="str">
        <v>-</v>
      </c>
      <c r="D21414" t="str">
        <v>-</v>
      </c>
      <c r="E21414" t="str">
        <v/>
      </c>
      <c r="F21414" t="str">
        <v>-</v>
      </c>
      <c r="G21414" t="str">
        <v>-</v>
      </c>
    </row>
    <row r="21415">
      <c r="B21415" t="str">
        <v>UBND Ủy ban nhân dân xã Tân Phú  tỉnh Bến Tre</v>
      </c>
      <c r="C21415" t="str">
        <v>-</v>
      </c>
      <c r="D21415" t="str">
        <v>-</v>
      </c>
      <c r="E21415" t="str">
        <v>-</v>
      </c>
      <c r="F21415" t="str">
        <v>-</v>
      </c>
      <c r="G21415" t="str">
        <v>-</v>
      </c>
    </row>
    <row r="21416">
      <c r="B21416" t="str">
        <v>Công an xã Quới Thành  tỉnh Bến Tre</v>
      </c>
      <c r="C21416" t="str">
        <v>-</v>
      </c>
      <c r="D21416" t="str">
        <v>-</v>
      </c>
      <c r="E21416" t="str">
        <v/>
      </c>
      <c r="F21416" t="str">
        <v>-</v>
      </c>
      <c r="G21416" t="str">
        <v>-</v>
      </c>
    </row>
    <row r="21417">
      <c r="B21417" t="str">
        <v>UBND Ủy ban nhân dân xã Quới Thành  tỉnh Bến Tre</v>
      </c>
      <c r="C21417" t="str">
        <v>-</v>
      </c>
      <c r="D21417" t="str">
        <v>-</v>
      </c>
      <c r="E21417" t="str">
        <v>-</v>
      </c>
      <c r="F21417" t="str">
        <v>-</v>
      </c>
      <c r="G21417" t="str">
        <v>-</v>
      </c>
    </row>
    <row r="21418">
      <c r="B21418" t="str">
        <v>Công an xã Phước Thạnh  tỉnh Bến Tre</v>
      </c>
      <c r="C21418" t="str">
        <v>-</v>
      </c>
      <c r="D21418" t="str">
        <v>-</v>
      </c>
      <c r="E21418" t="str">
        <v/>
      </c>
      <c r="F21418" t="str">
        <v>-</v>
      </c>
      <c r="G21418" t="str">
        <v>-</v>
      </c>
    </row>
    <row r="21419">
      <c r="B21419" t="str">
        <v>UBND Ủy ban nhân dân xã Phước Thạnh  tỉnh Bến Tre</v>
      </c>
      <c r="C21419" t="str">
        <v>-</v>
      </c>
      <c r="D21419" t="str">
        <v>-</v>
      </c>
      <c r="E21419" t="str">
        <v>-</v>
      </c>
      <c r="F21419" t="str">
        <v>-</v>
      </c>
      <c r="G21419" t="str">
        <v>-</v>
      </c>
    </row>
    <row r="21420">
      <c r="B21420" t="str">
        <v>Công an xã An Hóa  tỉnh Bến Tre</v>
      </c>
      <c r="C21420" t="str">
        <v>-</v>
      </c>
      <c r="D21420" t="str">
        <v>-</v>
      </c>
      <c r="E21420" t="str">
        <v/>
      </c>
      <c r="F21420" t="str">
        <v>-</v>
      </c>
      <c r="G21420" t="str">
        <v>-</v>
      </c>
    </row>
    <row r="21421">
      <c r="B21421" t="str">
        <v>UBND Ủy ban nhân dân xã An Hóa  tỉnh Bến Tre</v>
      </c>
      <c r="C21421" t="str">
        <v>-</v>
      </c>
      <c r="D21421" t="str">
        <v>-</v>
      </c>
      <c r="E21421" t="str">
        <v>-</v>
      </c>
      <c r="F21421" t="str">
        <v>-</v>
      </c>
      <c r="G21421" t="str">
        <v>-</v>
      </c>
    </row>
    <row r="21422">
      <c r="B21422" t="str">
        <v>Công an xã Tiên Long  tỉnh Bến Tre</v>
      </c>
      <c r="C21422" t="str">
        <v>-</v>
      </c>
      <c r="D21422" t="str">
        <v>-</v>
      </c>
      <c r="E21422" t="str">
        <v/>
      </c>
      <c r="F21422" t="str">
        <v>-</v>
      </c>
      <c r="G21422" t="str">
        <v>-</v>
      </c>
    </row>
    <row r="21423">
      <c r="B21423" t="str">
        <v>UBND Ủy ban nhân dân xã Tiên Long  tỉnh Bến Tre</v>
      </c>
      <c r="C21423" t="str">
        <v>-</v>
      </c>
      <c r="D21423" t="str">
        <v>-</v>
      </c>
      <c r="E21423" t="str">
        <v>-</v>
      </c>
      <c r="F21423" t="str">
        <v>-</v>
      </c>
      <c r="G21423" t="str">
        <v>-</v>
      </c>
    </row>
    <row r="21424">
      <c r="B21424" t="str">
        <v>Công an xã An Hiệp  tỉnh Bến Tre</v>
      </c>
      <c r="C21424" t="str">
        <v>-</v>
      </c>
      <c r="D21424" t="str">
        <v>-</v>
      </c>
      <c r="E21424" t="str">
        <v/>
      </c>
      <c r="F21424" t="str">
        <v>-</v>
      </c>
      <c r="G21424" t="str">
        <v>-</v>
      </c>
    </row>
    <row r="21425">
      <c r="B21425" t="str">
        <v>UBND Ủy ban nhân dân xã An Hiệp  tỉnh Bến Tre</v>
      </c>
      <c r="C21425" t="str">
        <v>-</v>
      </c>
      <c r="D21425" t="str">
        <v>-</v>
      </c>
      <c r="E21425" t="str">
        <v>-</v>
      </c>
      <c r="F21425" t="str">
        <v>-</v>
      </c>
      <c r="G21425" t="str">
        <v>-</v>
      </c>
    </row>
    <row r="21426">
      <c r="B21426" t="str">
        <v>Công an xã Hữu Định  tỉnh Bến Tre</v>
      </c>
      <c r="C21426" t="str">
        <v>-</v>
      </c>
      <c r="D21426" t="str">
        <v>-</v>
      </c>
      <c r="E21426" t="str">
        <v/>
      </c>
      <c r="F21426" t="str">
        <v>-</v>
      </c>
      <c r="G21426" t="str">
        <v>-</v>
      </c>
    </row>
    <row r="21427">
      <c r="B21427" t="str">
        <v>UBND Ủy ban nhân dân xã Hữu Định  tỉnh Bến Tre</v>
      </c>
      <c r="C21427" t="str">
        <v>-</v>
      </c>
      <c r="D21427" t="str">
        <v>-</v>
      </c>
      <c r="E21427" t="str">
        <v>-</v>
      </c>
      <c r="F21427" t="str">
        <v>-</v>
      </c>
      <c r="G21427" t="str">
        <v>-</v>
      </c>
    </row>
    <row r="21428">
      <c r="B21428" t="str">
        <v>Công an xã Tiên Thủy  tỉnh Bến Tre</v>
      </c>
      <c r="C21428" t="str">
        <v>-</v>
      </c>
      <c r="D21428" t="str">
        <v>-</v>
      </c>
      <c r="E21428" t="str">
        <v/>
      </c>
      <c r="F21428" t="str">
        <v>-</v>
      </c>
      <c r="G21428" t="str">
        <v>-</v>
      </c>
    </row>
    <row r="21429">
      <c r="B21429" t="str">
        <v>UBND Ủy ban nhân dân xã Tiên Thủy  tỉnh Bến Tre</v>
      </c>
      <c r="C21429" t="str">
        <v>-</v>
      </c>
      <c r="D21429" t="str">
        <v>-</v>
      </c>
      <c r="E21429" t="str">
        <v>-</v>
      </c>
      <c r="F21429" t="str">
        <v>-</v>
      </c>
      <c r="G21429" t="str">
        <v>-</v>
      </c>
    </row>
    <row r="21430">
      <c r="B21430" t="str">
        <v>Công an xã Sơn Hòa  tỉnh Bến Tre</v>
      </c>
      <c r="C21430" t="str">
        <v>-</v>
      </c>
      <c r="D21430" t="str">
        <v>-</v>
      </c>
      <c r="E21430" t="str">
        <v/>
      </c>
      <c r="F21430" t="str">
        <v>-</v>
      </c>
      <c r="G21430" t="str">
        <v>-</v>
      </c>
    </row>
    <row r="21431">
      <c r="B21431" t="str">
        <v>UBND Ủy ban nhân dân xã Sơn Hòa  tỉnh Bến Tre</v>
      </c>
      <c r="C21431" t="str">
        <v>-</v>
      </c>
      <c r="D21431" t="str">
        <v>-</v>
      </c>
      <c r="E21431" t="str">
        <v>-</v>
      </c>
      <c r="F21431" t="str">
        <v>-</v>
      </c>
      <c r="G21431" t="str">
        <v>-</v>
      </c>
    </row>
    <row r="21432">
      <c r="B21432" t="str">
        <v>Công an xã Phú Phụng  tỉnh Bến Tre</v>
      </c>
      <c r="C21432" t="str">
        <v>-</v>
      </c>
      <c r="D21432" t="str">
        <v>-</v>
      </c>
      <c r="E21432" t="str">
        <v/>
      </c>
      <c r="F21432" t="str">
        <v>-</v>
      </c>
      <c r="G21432" t="str">
        <v>-</v>
      </c>
    </row>
    <row r="21433">
      <c r="B21433" t="str">
        <v>UBND Ủy ban nhân dân xã Phú Phụng  tỉnh Bến Tre</v>
      </c>
      <c r="C21433" t="str">
        <v>-</v>
      </c>
      <c r="D21433" t="str">
        <v>-</v>
      </c>
      <c r="E21433" t="str">
        <v>-</v>
      </c>
      <c r="F21433" t="str">
        <v>-</v>
      </c>
      <c r="G21433" t="str">
        <v>-</v>
      </c>
    </row>
    <row r="21434">
      <c r="B21434" t="str">
        <v>Công an xã Sơn Định  tỉnh Bến Tre</v>
      </c>
      <c r="C21434" t="str">
        <v>-</v>
      </c>
      <c r="D21434" t="str">
        <v>-</v>
      </c>
      <c r="E21434" t="str">
        <v/>
      </c>
      <c r="F21434" t="str">
        <v>-</v>
      </c>
      <c r="G21434" t="str">
        <v>-</v>
      </c>
    </row>
    <row r="21435">
      <c r="B21435" t="str">
        <v>UBND Ủy ban nhân dân xã Sơn Định  tỉnh Bến Tre</v>
      </c>
      <c r="C21435" t="str">
        <v>-</v>
      </c>
      <c r="D21435" t="str">
        <v>-</v>
      </c>
      <c r="E21435" t="str">
        <v>-</v>
      </c>
      <c r="F21435" t="str">
        <v>-</v>
      </c>
      <c r="G21435" t="str">
        <v>-</v>
      </c>
    </row>
    <row r="21436">
      <c r="B21436" t="str">
        <v>Công an xã Vĩnh Bình  tỉnh Bến Tre</v>
      </c>
      <c r="C21436" t="str">
        <v>-</v>
      </c>
      <c r="D21436" t="str">
        <v>-</v>
      </c>
      <c r="E21436" t="str">
        <v/>
      </c>
      <c r="F21436" t="str">
        <v>-</v>
      </c>
      <c r="G21436" t="str">
        <v>-</v>
      </c>
    </row>
    <row r="21437">
      <c r="B21437" t="str">
        <v>UBND Ủy ban nhân dân xã Vĩnh Bình  tỉnh Bến Tre</v>
      </c>
      <c r="C21437" t="str">
        <v>-</v>
      </c>
      <c r="D21437" t="str">
        <v>-</v>
      </c>
      <c r="E21437" t="str">
        <v>-</v>
      </c>
      <c r="F21437" t="str">
        <v>-</v>
      </c>
      <c r="G21437" t="str">
        <v>-</v>
      </c>
    </row>
    <row r="21438">
      <c r="B21438" t="str">
        <v>Công an xã Hòa Nghĩa  tỉnh Bến Tre</v>
      </c>
      <c r="C21438" t="str">
        <v>-</v>
      </c>
      <c r="D21438" t="str">
        <v>-</v>
      </c>
      <c r="E21438" t="str">
        <v/>
      </c>
      <c r="F21438" t="str">
        <v>-</v>
      </c>
      <c r="G21438" t="str">
        <v>-</v>
      </c>
    </row>
    <row r="21439">
      <c r="B21439" t="str">
        <v>UBND Ủy ban nhân dân xã Hòa Nghĩa  tỉnh Bến Tre</v>
      </c>
      <c r="C21439" t="str">
        <v>-</v>
      </c>
      <c r="D21439" t="str">
        <v>-</v>
      </c>
      <c r="E21439" t="str">
        <v>-</v>
      </c>
      <c r="F21439" t="str">
        <v>-</v>
      </c>
      <c r="G21439" t="str">
        <v>-</v>
      </c>
    </row>
    <row r="21440">
      <c r="B21440" t="str">
        <v>Công an xã Long Thới  tỉnh Bến Tre</v>
      </c>
      <c r="C21440" t="str">
        <v>-</v>
      </c>
      <c r="D21440" t="str">
        <v>-</v>
      </c>
      <c r="E21440" t="str">
        <v/>
      </c>
      <c r="F21440" t="str">
        <v>-</v>
      </c>
      <c r="G21440" t="str">
        <v>-</v>
      </c>
    </row>
    <row r="21441">
      <c r="B21441" t="str">
        <v>UBND Ủy ban nhân dân xã Long Thới  tỉnh Bến Tre</v>
      </c>
      <c r="C21441" t="str">
        <v>-</v>
      </c>
      <c r="D21441" t="str">
        <v>-</v>
      </c>
      <c r="E21441" t="str">
        <v>-</v>
      </c>
      <c r="F21441" t="str">
        <v>-</v>
      </c>
      <c r="G21441" t="str">
        <v>-</v>
      </c>
    </row>
    <row r="21442">
      <c r="B21442" t="str">
        <v>Công an xã Phú Sơn  tỉnh Bến Tre</v>
      </c>
      <c r="C21442" t="str">
        <v>-</v>
      </c>
      <c r="D21442" t="str">
        <v>-</v>
      </c>
      <c r="E21442" t="str">
        <v/>
      </c>
      <c r="F21442" t="str">
        <v>-</v>
      </c>
      <c r="G21442" t="str">
        <v>-</v>
      </c>
    </row>
    <row r="21443">
      <c r="B21443" t="str">
        <v>UBND Ủy ban nhân dân xã Phú Sơn  tỉnh Bến Tre</v>
      </c>
      <c r="C21443" t="str">
        <v>-</v>
      </c>
      <c r="D21443" t="str">
        <v>-</v>
      </c>
      <c r="E21443" t="str">
        <v>-</v>
      </c>
      <c r="F21443" t="str">
        <v>-</v>
      </c>
      <c r="G21443" t="str">
        <v>-</v>
      </c>
    </row>
    <row r="21444">
      <c r="B21444" t="str">
        <v>Công an xã Tân Thiềng  tỉnh Bến Tre</v>
      </c>
      <c r="C21444" t="str">
        <v>-</v>
      </c>
      <c r="D21444" t="str">
        <v>-</v>
      </c>
      <c r="E21444" t="str">
        <v/>
      </c>
      <c r="F21444" t="str">
        <v>-</v>
      </c>
      <c r="G21444" t="str">
        <v>-</v>
      </c>
    </row>
    <row r="21445">
      <c r="B21445" t="str">
        <v>UBND Ủy ban nhân dân xã Tân Thiềng  tỉnh Bến Tre</v>
      </c>
      <c r="C21445" t="str">
        <v>-</v>
      </c>
      <c r="D21445" t="str">
        <v>-</v>
      </c>
      <c r="E21445" t="str">
        <v>-</v>
      </c>
      <c r="F21445" t="str">
        <v>-</v>
      </c>
      <c r="G21445" t="str">
        <v>-</v>
      </c>
    </row>
    <row r="21446">
      <c r="B21446" t="str">
        <v>Công an xã Vĩnh Thành  tỉnh Bến Tre</v>
      </c>
      <c r="C21446" t="str">
        <v>-</v>
      </c>
      <c r="D21446" t="str">
        <v>-</v>
      </c>
      <c r="E21446" t="str">
        <v/>
      </c>
      <c r="F21446" t="str">
        <v>-</v>
      </c>
      <c r="G21446" t="str">
        <v>-</v>
      </c>
    </row>
    <row r="21447">
      <c r="B21447" t="str">
        <v>UBND Ủy ban nhân dân xã Vĩnh Thành  tỉnh Bến Tre</v>
      </c>
      <c r="C21447" t="str">
        <v>-</v>
      </c>
      <c r="D21447" t="str">
        <v>-</v>
      </c>
      <c r="E21447" t="str">
        <v>-</v>
      </c>
      <c r="F21447" t="str">
        <v>-</v>
      </c>
      <c r="G21447" t="str">
        <v>-</v>
      </c>
    </row>
    <row r="21448">
      <c r="B21448" t="str">
        <v>Công an xã Vĩnh Hòa  tỉnh Bến Tre</v>
      </c>
      <c r="C21448" t="str">
        <v>-</v>
      </c>
      <c r="D21448" t="str">
        <v>-</v>
      </c>
      <c r="E21448" t="str">
        <v/>
      </c>
      <c r="F21448" t="str">
        <v>-</v>
      </c>
      <c r="G21448" t="str">
        <v>-</v>
      </c>
    </row>
    <row r="21449">
      <c r="B21449" t="str">
        <v>UBND Ủy ban nhân dân xã Vĩnh Hòa  tỉnh Bến Tre</v>
      </c>
      <c r="C21449" t="str">
        <v>-</v>
      </c>
      <c r="D21449" t="str">
        <v>-</v>
      </c>
      <c r="E21449" t="str">
        <v>-</v>
      </c>
      <c r="F21449" t="str">
        <v>-</v>
      </c>
      <c r="G21449" t="str">
        <v>-</v>
      </c>
    </row>
    <row r="21450">
      <c r="B21450" t="str">
        <v>Công an xã Hưng Khánh Trung B  tỉnh Bến Tre</v>
      </c>
      <c r="C21450" t="str">
        <v>-</v>
      </c>
      <c r="D21450" t="str">
        <v>-</v>
      </c>
      <c r="E21450" t="str">
        <v/>
      </c>
      <c r="F21450" t="str">
        <v>-</v>
      </c>
      <c r="G21450" t="str">
        <v>-</v>
      </c>
    </row>
    <row r="21451">
      <c r="B21451" t="str">
        <v>UBND Ủy ban nhân dân xã Hưng Khánh Trung B  tỉnh Bến Tre</v>
      </c>
      <c r="C21451" t="str">
        <v>-</v>
      </c>
      <c r="D21451" t="str">
        <v>-</v>
      </c>
      <c r="E21451" t="str">
        <v>-</v>
      </c>
      <c r="F21451" t="str">
        <v>-</v>
      </c>
      <c r="G21451" t="str">
        <v>-</v>
      </c>
    </row>
    <row r="21452">
      <c r="B21452" t="str">
        <v>Công an xã Định Thủy  tỉnh Bến Tre</v>
      </c>
      <c r="C21452" t="str">
        <v>-</v>
      </c>
      <c r="D21452" t="str">
        <v>-</v>
      </c>
      <c r="E21452" t="str">
        <v/>
      </c>
      <c r="F21452" t="str">
        <v>-</v>
      </c>
      <c r="G21452" t="str">
        <v>-</v>
      </c>
    </row>
    <row r="21453">
      <c r="B21453" t="str">
        <v>UBND Ủy ban nhân dân xã Định Thủy  tỉnh Bến Tre</v>
      </c>
      <c r="C21453" t="str">
        <v>-</v>
      </c>
      <c r="D21453" t="str">
        <v>-</v>
      </c>
      <c r="E21453" t="str">
        <v>-</v>
      </c>
      <c r="F21453" t="str">
        <v>-</v>
      </c>
      <c r="G21453" t="str">
        <v>-</v>
      </c>
    </row>
    <row r="21454">
      <c r="B21454" t="str">
        <v>Công an xã Đa Phước Hội  tỉnh Bến Tre</v>
      </c>
      <c r="C21454" t="str">
        <v>-</v>
      </c>
      <c r="D21454" t="str">
        <v>-</v>
      </c>
      <c r="E21454" t="str">
        <v/>
      </c>
      <c r="F21454" t="str">
        <v>-</v>
      </c>
      <c r="G21454" t="str">
        <v>-</v>
      </c>
    </row>
    <row r="21455">
      <c r="B21455" t="str">
        <v>UBND Ủy ban nhân dân xã Đa Phước Hội  tỉnh Bến Tre</v>
      </c>
      <c r="C21455" t="str">
        <v>-</v>
      </c>
      <c r="D21455" t="str">
        <v>-</v>
      </c>
      <c r="E21455" t="str">
        <v>-</v>
      </c>
      <c r="F21455" t="str">
        <v>-</v>
      </c>
      <c r="G21455" t="str">
        <v>-</v>
      </c>
    </row>
    <row r="21456">
      <c r="B21456" t="str">
        <v>Công an xã Tân Hội  tỉnh Bến Tre</v>
      </c>
      <c r="C21456" t="str">
        <v>-</v>
      </c>
      <c r="D21456" t="str">
        <v>-</v>
      </c>
      <c r="E21456" t="str">
        <v/>
      </c>
      <c r="F21456" t="str">
        <v>-</v>
      </c>
      <c r="G21456" t="str">
        <v>-</v>
      </c>
    </row>
    <row r="21457">
      <c r="B21457" t="str">
        <v>UBND Ủy ban nhân dân xã Tân Hội  tỉnh Bến Tre</v>
      </c>
      <c r="C21457" t="str">
        <v>-</v>
      </c>
      <c r="D21457" t="str">
        <v>-</v>
      </c>
      <c r="E21457" t="str">
        <v>-</v>
      </c>
      <c r="F21457" t="str">
        <v>-</v>
      </c>
      <c r="G21457" t="str">
        <v>-</v>
      </c>
    </row>
    <row r="21458">
      <c r="B21458" t="str">
        <v>Công an xã Phước Hiệp  tỉnh Bến Tre</v>
      </c>
      <c r="C21458" t="str">
        <v>-</v>
      </c>
      <c r="D21458" t="str">
        <v>-</v>
      </c>
      <c r="E21458" t="str">
        <v/>
      </c>
      <c r="F21458" t="str">
        <v>-</v>
      </c>
      <c r="G21458" t="str">
        <v>-</v>
      </c>
    </row>
    <row r="21459">
      <c r="B21459" t="str">
        <v>UBND Ủy ban nhân dân xã Phước Hiệp  tỉnh Bến Tre</v>
      </c>
      <c r="C21459" t="str">
        <v>-</v>
      </c>
      <c r="D21459" t="str">
        <v>-</v>
      </c>
      <c r="E21459" t="str">
        <v>-</v>
      </c>
      <c r="F21459" t="str">
        <v>-</v>
      </c>
      <c r="G21459" t="str">
        <v>-</v>
      </c>
    </row>
    <row r="21460">
      <c r="B21460" t="str">
        <v>Công an xã Bình Khánh Đông  tỉnh Bến Tre</v>
      </c>
      <c r="C21460" t="str">
        <v>-</v>
      </c>
      <c r="D21460" t="str">
        <v>-</v>
      </c>
      <c r="E21460" t="str">
        <v/>
      </c>
      <c r="F21460" t="str">
        <v>-</v>
      </c>
      <c r="G21460" t="str">
        <v>-</v>
      </c>
    </row>
    <row r="21461">
      <c r="B21461" t="str">
        <v>UBND Ủy ban nhân dân xã Bình Khánh Đông  tỉnh Bến Tre</v>
      </c>
      <c r="C21461" t="str">
        <v>-</v>
      </c>
      <c r="D21461" t="str">
        <v>-</v>
      </c>
      <c r="E21461" t="str">
        <v>-</v>
      </c>
      <c r="F21461" t="str">
        <v>-</v>
      </c>
      <c r="G21461" t="str">
        <v>-</v>
      </c>
    </row>
    <row r="21462">
      <c r="B21462" t="str">
        <v>Công an xã An Thạnh  tỉnh Bến Tre</v>
      </c>
      <c r="C21462" t="str">
        <v>-</v>
      </c>
      <c r="D21462" t="str">
        <v>-</v>
      </c>
      <c r="E21462" t="str">
        <v/>
      </c>
      <c r="F21462" t="str">
        <v>-</v>
      </c>
      <c r="G21462" t="str">
        <v>-</v>
      </c>
    </row>
    <row r="21463">
      <c r="B21463" t="str">
        <v>UBND Ủy ban nhân dân xã An Thạnh  tỉnh Bến Tre</v>
      </c>
      <c r="C21463" t="str">
        <v>-</v>
      </c>
      <c r="D21463" t="str">
        <v>-</v>
      </c>
      <c r="E21463" t="str">
        <v>-</v>
      </c>
      <c r="F21463" t="str">
        <v>-</v>
      </c>
      <c r="G21463" t="str">
        <v>-</v>
      </c>
    </row>
    <row r="21464">
      <c r="B21464" t="str">
        <v>Công an xã Bình Khánh Tây  tỉnh Bến Tre</v>
      </c>
      <c r="C21464" t="str">
        <v>-</v>
      </c>
      <c r="D21464" t="str">
        <v>-</v>
      </c>
      <c r="E21464" t="str">
        <v/>
      </c>
      <c r="F21464" t="str">
        <v>-</v>
      </c>
      <c r="G21464" t="str">
        <v>-</v>
      </c>
    </row>
    <row r="21465">
      <c r="B21465" t="str">
        <v>UBND Ủy ban nhân dân xã Bình Khánh Tây  tỉnh Bến Tre</v>
      </c>
      <c r="C21465" t="str">
        <v>-</v>
      </c>
      <c r="D21465" t="str">
        <v>-</v>
      </c>
      <c r="E21465" t="str">
        <v>-</v>
      </c>
      <c r="F21465" t="str">
        <v>-</v>
      </c>
      <c r="G21465" t="str">
        <v>-</v>
      </c>
    </row>
    <row r="21466">
      <c r="B21466" t="str">
        <v>Công an xã An Định  tỉnh Bến Tre</v>
      </c>
      <c r="C21466" t="str">
        <v>-</v>
      </c>
      <c r="D21466" t="str">
        <v>-</v>
      </c>
      <c r="E21466" t="str">
        <v/>
      </c>
      <c r="F21466" t="str">
        <v>-</v>
      </c>
      <c r="G21466" t="str">
        <v>-</v>
      </c>
    </row>
    <row r="21467">
      <c r="B21467" t="str">
        <v>UBND Ủy ban nhân dân xã An Định  tỉnh Bến Tre</v>
      </c>
      <c r="C21467" t="str">
        <v>-</v>
      </c>
      <c r="D21467" t="str">
        <v>-</v>
      </c>
      <c r="E21467" t="str">
        <v>-</v>
      </c>
      <c r="F21467" t="str">
        <v>-</v>
      </c>
      <c r="G21467" t="str">
        <v>-</v>
      </c>
    </row>
    <row r="21468">
      <c r="B21468" t="str">
        <v>Công an xã Thành Thới B  tỉnh Bến Tre</v>
      </c>
      <c r="C21468" t="str">
        <v>-</v>
      </c>
      <c r="D21468" t="str">
        <v>-</v>
      </c>
      <c r="E21468" t="str">
        <v/>
      </c>
      <c r="F21468" t="str">
        <v>-</v>
      </c>
      <c r="G21468" t="str">
        <v>-</v>
      </c>
    </row>
    <row r="21469">
      <c r="B21469" t="str">
        <v>UBND Ủy ban nhân dân xã Thành Thới B  tỉnh Bến Tre</v>
      </c>
      <c r="C21469" t="str">
        <v>-</v>
      </c>
      <c r="D21469" t="str">
        <v>-</v>
      </c>
      <c r="E21469" t="str">
        <v>-</v>
      </c>
      <c r="F21469" t="str">
        <v>-</v>
      </c>
      <c r="G21469" t="str">
        <v>-</v>
      </c>
    </row>
    <row r="21470">
      <c r="B21470" t="str">
        <v>Công an xã Tân Trung  tỉnh Bến Tre</v>
      </c>
      <c r="C21470" t="str">
        <v>-</v>
      </c>
      <c r="D21470" t="str">
        <v>-</v>
      </c>
      <c r="E21470" t="str">
        <v/>
      </c>
      <c r="F21470" t="str">
        <v>-</v>
      </c>
      <c r="G21470" t="str">
        <v>-</v>
      </c>
    </row>
    <row r="21471">
      <c r="B21471" t="str">
        <v>UBND Ủy ban nhân dân xã Tân Trung  tỉnh Bến Tre</v>
      </c>
      <c r="C21471" t="str">
        <v>-</v>
      </c>
      <c r="D21471" t="str">
        <v>-</v>
      </c>
      <c r="E21471" t="str">
        <v>-</v>
      </c>
      <c r="F21471" t="str">
        <v>-</v>
      </c>
      <c r="G21471" t="str">
        <v>-</v>
      </c>
    </row>
    <row r="21472">
      <c r="B21472" t="str">
        <v>Công an xã An Thới  tỉnh Bến Tre</v>
      </c>
      <c r="C21472" t="str">
        <v>-</v>
      </c>
      <c r="D21472" t="str">
        <v>-</v>
      </c>
      <c r="E21472" t="str">
        <v/>
      </c>
      <c r="F21472" t="str">
        <v>-</v>
      </c>
      <c r="G21472" t="str">
        <v>-</v>
      </c>
    </row>
    <row r="21473">
      <c r="B21473" t="str">
        <v>UBND Ủy ban nhân dân xã An Thới  tỉnh Bến Tre</v>
      </c>
      <c r="C21473" t="str">
        <v>-</v>
      </c>
      <c r="D21473" t="str">
        <v>-</v>
      </c>
      <c r="E21473" t="str">
        <v>-</v>
      </c>
      <c r="F21473" t="str">
        <v>-</v>
      </c>
      <c r="G21473" t="str">
        <v>-</v>
      </c>
    </row>
    <row r="21474">
      <c r="B21474" t="str">
        <v>Công an xã Thành Thới A  tỉnh Bến Tre</v>
      </c>
      <c r="C21474" t="str">
        <v>-</v>
      </c>
      <c r="D21474" t="str">
        <v>-</v>
      </c>
      <c r="E21474" t="str">
        <v/>
      </c>
      <c r="F21474" t="str">
        <v>-</v>
      </c>
      <c r="G21474" t="str">
        <v>-</v>
      </c>
    </row>
    <row r="21475">
      <c r="B21475" t="str">
        <v>UBND Ủy ban nhân dân xã Thành Thới A  tỉnh Bến Tre</v>
      </c>
      <c r="C21475" t="str">
        <v>-</v>
      </c>
      <c r="D21475" t="str">
        <v>-</v>
      </c>
      <c r="E21475" t="str">
        <v>-</v>
      </c>
      <c r="F21475" t="str">
        <v>-</v>
      </c>
      <c r="G21475" t="str">
        <v>-</v>
      </c>
    </row>
    <row r="21476">
      <c r="B21476" t="str">
        <v>Công an xã Minh Đức  tỉnh Bến Tre</v>
      </c>
      <c r="C21476" t="str">
        <v>-</v>
      </c>
      <c r="D21476" t="str">
        <v>-</v>
      </c>
      <c r="E21476" t="str">
        <v/>
      </c>
      <c r="F21476" t="str">
        <v>-</v>
      </c>
      <c r="G21476" t="str">
        <v>-</v>
      </c>
    </row>
    <row r="21477">
      <c r="B21477" t="str">
        <v>UBND Ủy ban nhân dân xã Minh Đức  tỉnh Bến Tre</v>
      </c>
      <c r="C21477" t="str">
        <v>-</v>
      </c>
      <c r="D21477" t="str">
        <v>-</v>
      </c>
      <c r="E21477" t="str">
        <v>-</v>
      </c>
      <c r="F21477" t="str">
        <v>-</v>
      </c>
      <c r="G21477" t="str">
        <v>-</v>
      </c>
    </row>
    <row r="21478">
      <c r="B21478" t="str">
        <v>Công an xã Ngãi Đăng  tỉnh Bến Tre</v>
      </c>
      <c r="C21478" t="str">
        <v>-</v>
      </c>
      <c r="D21478" t="str">
        <v>-</v>
      </c>
      <c r="E21478" t="str">
        <v/>
      </c>
      <c r="F21478" t="str">
        <v>-</v>
      </c>
      <c r="G21478" t="str">
        <v>-</v>
      </c>
    </row>
    <row r="21479">
      <c r="B21479" t="str">
        <v>UBND Ủy ban nhân dân xã Ngãi Đăng  tỉnh Bến Tre</v>
      </c>
      <c r="C21479" t="str">
        <v>-</v>
      </c>
      <c r="D21479" t="str">
        <v>-</v>
      </c>
      <c r="E21479" t="str">
        <v>-</v>
      </c>
      <c r="F21479" t="str">
        <v>-</v>
      </c>
      <c r="G21479" t="str">
        <v>-</v>
      </c>
    </row>
    <row r="21480">
      <c r="B21480" t="str">
        <v>Công an xã Cẩm Sơn  tỉnh Bến Tre</v>
      </c>
      <c r="C21480" t="str">
        <v>-</v>
      </c>
      <c r="D21480" t="str">
        <v>-</v>
      </c>
      <c r="E21480" t="str">
        <v/>
      </c>
      <c r="F21480" t="str">
        <v>-</v>
      </c>
      <c r="G21480" t="str">
        <v>-</v>
      </c>
    </row>
    <row r="21481">
      <c r="B21481" t="str">
        <v>UBND Ủy ban nhân dân xã Cẩm Sơn  tỉnh Bến Tre</v>
      </c>
      <c r="C21481" t="str">
        <v>-</v>
      </c>
      <c r="D21481" t="str">
        <v>-</v>
      </c>
      <c r="E21481" t="str">
        <v>-</v>
      </c>
      <c r="F21481" t="str">
        <v>-</v>
      </c>
      <c r="G21481" t="str">
        <v>-</v>
      </c>
    </row>
    <row r="21482">
      <c r="B21482" t="str">
        <v>Công an xã Hương Mỹ  tỉnh Bến Tre</v>
      </c>
      <c r="C21482" t="str">
        <v>-</v>
      </c>
      <c r="D21482" t="str">
        <v>-</v>
      </c>
      <c r="E21482" t="str">
        <v/>
      </c>
      <c r="F21482" t="str">
        <v>-</v>
      </c>
      <c r="G21482" t="str">
        <v>-</v>
      </c>
    </row>
    <row r="21483">
      <c r="B21483" t="str">
        <v>UBND Ủy ban nhân dân xã Hương Mỹ  tỉnh Bến Tre</v>
      </c>
      <c r="C21483" t="str">
        <v>-</v>
      </c>
      <c r="D21483" t="str">
        <v>-</v>
      </c>
      <c r="E21483" t="str">
        <v>-</v>
      </c>
      <c r="F21483" t="str">
        <v>-</v>
      </c>
      <c r="G21483" t="str">
        <v>-</v>
      </c>
    </row>
    <row r="21484">
      <c r="B21484" t="str">
        <v>Công an xã Phong Nẫm  tỉnh Bến Tre</v>
      </c>
      <c r="C21484" t="str">
        <v>-</v>
      </c>
      <c r="D21484" t="str">
        <v>-</v>
      </c>
      <c r="E21484" t="str">
        <v/>
      </c>
      <c r="F21484" t="str">
        <v>-</v>
      </c>
      <c r="G21484" t="str">
        <v>-</v>
      </c>
    </row>
    <row r="21485">
      <c r="B21485" t="str">
        <v>UBND Ủy ban nhân dân xã Phong Nẫm  tỉnh Bến Tre</v>
      </c>
      <c r="C21485" t="str">
        <v>-</v>
      </c>
      <c r="D21485" t="str">
        <v>-</v>
      </c>
      <c r="E21485" t="str">
        <v>-</v>
      </c>
      <c r="F21485" t="str">
        <v>-</v>
      </c>
      <c r="G21485" t="str">
        <v>-</v>
      </c>
    </row>
    <row r="21486">
      <c r="B21486" t="str">
        <v>Công an xã Phong Mỹ  tỉnh Bến Tre</v>
      </c>
      <c r="C21486" t="str">
        <v>-</v>
      </c>
      <c r="D21486" t="str">
        <v>-</v>
      </c>
      <c r="E21486" t="str">
        <v/>
      </c>
      <c r="F21486" t="str">
        <v>-</v>
      </c>
      <c r="G21486" t="str">
        <v>-</v>
      </c>
    </row>
    <row r="21487">
      <c r="B21487" t="str">
        <v>UBND Ủy ban nhân dân xã Phong Mỹ  tỉnh Bến Tre</v>
      </c>
      <c r="C21487" t="str">
        <v>-</v>
      </c>
      <c r="D21487" t="str">
        <v>-</v>
      </c>
      <c r="E21487" t="str">
        <v>-</v>
      </c>
      <c r="F21487" t="str">
        <v>-</v>
      </c>
      <c r="G21487" t="str">
        <v>-</v>
      </c>
    </row>
    <row r="21488">
      <c r="B21488" t="str">
        <v>Công an xã Mỹ Thạnh  tỉnh Bến Tre</v>
      </c>
      <c r="C21488" t="str">
        <v>-</v>
      </c>
      <c r="D21488" t="str">
        <v>-</v>
      </c>
      <c r="E21488" t="str">
        <v/>
      </c>
      <c r="F21488" t="str">
        <v>-</v>
      </c>
      <c r="G21488" t="str">
        <v>-</v>
      </c>
    </row>
    <row r="21489">
      <c r="B21489" t="str">
        <v>UBND Ủy ban nhân dân xã Mỹ Thạnh  tỉnh Bến Tre</v>
      </c>
      <c r="C21489" t="str">
        <v>-</v>
      </c>
      <c r="D21489" t="str">
        <v>-</v>
      </c>
      <c r="E21489" t="str">
        <v>-</v>
      </c>
      <c r="F21489" t="str">
        <v>-</v>
      </c>
      <c r="G21489" t="str">
        <v>-</v>
      </c>
    </row>
    <row r="21490">
      <c r="B21490" t="str">
        <v>Công an xã Châu Hòa  tỉnh Bến Tre</v>
      </c>
      <c r="C21490" t="str">
        <v>-</v>
      </c>
      <c r="D21490" t="str">
        <v>-</v>
      </c>
      <c r="E21490" t="str">
        <v/>
      </c>
      <c r="F21490" t="str">
        <v>-</v>
      </c>
      <c r="G21490" t="str">
        <v>-</v>
      </c>
    </row>
    <row r="21491">
      <c r="B21491" t="str">
        <v>UBND Ủy ban nhân dân xã Châu Hòa  tỉnh Bến Tre</v>
      </c>
      <c r="C21491" t="str">
        <v>-</v>
      </c>
      <c r="D21491" t="str">
        <v>-</v>
      </c>
      <c r="E21491" t="str">
        <v>-</v>
      </c>
      <c r="F21491" t="str">
        <v>-</v>
      </c>
      <c r="G21491" t="str">
        <v>-</v>
      </c>
    </row>
    <row r="21492">
      <c r="B21492" t="str">
        <v>Công an xã Lương Hòa  tỉnh Bến Tre</v>
      </c>
      <c r="C21492" t="str">
        <v>-</v>
      </c>
      <c r="D21492" t="str">
        <v>-</v>
      </c>
      <c r="E21492" t="str">
        <v/>
      </c>
      <c r="F21492" t="str">
        <v>-</v>
      </c>
      <c r="G21492" t="str">
        <v>-</v>
      </c>
    </row>
    <row r="21493">
      <c r="B21493" t="str">
        <v>UBND Ủy ban nhân dân xã Lương Hòa  tỉnh Bến Tre</v>
      </c>
      <c r="C21493" t="str">
        <v>-</v>
      </c>
      <c r="D21493" t="str">
        <v>-</v>
      </c>
      <c r="E21493" t="str">
        <v>-</v>
      </c>
      <c r="F21493" t="str">
        <v>-</v>
      </c>
      <c r="G21493" t="str">
        <v>-</v>
      </c>
    </row>
    <row r="21494">
      <c r="B21494" t="str">
        <v>Công an xã Lương Quới  tỉnh Bến Tre</v>
      </c>
      <c r="C21494" t="str">
        <v>-</v>
      </c>
      <c r="D21494" t="str">
        <v>-</v>
      </c>
      <c r="E21494" t="str">
        <v/>
      </c>
      <c r="F21494" t="str">
        <v>-</v>
      </c>
      <c r="G21494" t="str">
        <v>-</v>
      </c>
    </row>
    <row r="21495">
      <c r="B21495" t="str">
        <v>UBND Ủy ban nhân dân xã Lương Quới  tỉnh Bến Tre</v>
      </c>
      <c r="C21495" t="str">
        <v>-</v>
      </c>
      <c r="D21495" t="str">
        <v>-</v>
      </c>
      <c r="E21495" t="str">
        <v>-</v>
      </c>
      <c r="F21495" t="str">
        <v>-</v>
      </c>
      <c r="G21495" t="str">
        <v>-</v>
      </c>
    </row>
    <row r="21496">
      <c r="B21496" t="str">
        <v>Công an xã Lương Phú  tỉnh Bến Tre</v>
      </c>
      <c r="C21496" t="str">
        <v>-</v>
      </c>
      <c r="D21496" t="str">
        <v>-</v>
      </c>
      <c r="E21496" t="str">
        <v/>
      </c>
      <c r="F21496" t="str">
        <v>-</v>
      </c>
      <c r="G21496" t="str">
        <v>-</v>
      </c>
    </row>
    <row r="21497">
      <c r="B21497" t="str">
        <v>UBND Ủy ban nhân dân xã Lương Phú  tỉnh Bến Tre</v>
      </c>
      <c r="C21497" t="str">
        <v>-</v>
      </c>
      <c r="D21497" t="str">
        <v>-</v>
      </c>
      <c r="E21497" t="str">
        <v>-</v>
      </c>
      <c r="F21497" t="str">
        <v>-</v>
      </c>
      <c r="G21497" t="str">
        <v>-</v>
      </c>
    </row>
    <row r="21498">
      <c r="B21498" t="str">
        <v>Công an xã Châu Bình  tỉnh Bến Tre</v>
      </c>
      <c r="C21498" t="str">
        <v>-</v>
      </c>
      <c r="D21498" t="str">
        <v>-</v>
      </c>
      <c r="E21498" t="str">
        <v/>
      </c>
      <c r="F21498" t="str">
        <v>-</v>
      </c>
      <c r="G21498" t="str">
        <v>-</v>
      </c>
    </row>
    <row r="21499">
      <c r="B21499" t="str">
        <v>UBND Ủy ban nhân dân xã Châu Bình  tỉnh Bến Tre</v>
      </c>
      <c r="C21499" t="str">
        <v>-</v>
      </c>
      <c r="D21499" t="str">
        <v>-</v>
      </c>
      <c r="E21499" t="str">
        <v>-</v>
      </c>
      <c r="F21499" t="str">
        <v>-</v>
      </c>
      <c r="G21499" t="str">
        <v>-</v>
      </c>
    </row>
    <row r="21500">
      <c r="B21500" t="str">
        <v>Công an xã Thuận Điền  tỉnh Bến Tre</v>
      </c>
      <c r="C21500" t="str">
        <v>-</v>
      </c>
      <c r="D21500" t="str">
        <v>-</v>
      </c>
      <c r="E21500" t="str">
        <v/>
      </c>
      <c r="F21500" t="str">
        <v>-</v>
      </c>
      <c r="G21500" t="str">
        <v>-</v>
      </c>
    </row>
    <row r="21501">
      <c r="B21501" t="str">
        <v>UBND Ủy ban nhân dân xã Thuận Điền  tỉnh Bến Tre</v>
      </c>
      <c r="C21501" t="str">
        <v>-</v>
      </c>
      <c r="D21501" t="str">
        <v>-</v>
      </c>
      <c r="E21501" t="str">
        <v>-</v>
      </c>
      <c r="F21501" t="str">
        <v>-</v>
      </c>
      <c r="G21501" t="str">
        <v>-</v>
      </c>
    </row>
    <row r="21502">
      <c r="B21502" t="str">
        <v>Công an xã Sơn Phú  tỉnh Bến Tre</v>
      </c>
      <c r="C21502" t="str">
        <v>-</v>
      </c>
      <c r="D21502" t="str">
        <v>-</v>
      </c>
      <c r="E21502" t="str">
        <v/>
      </c>
      <c r="F21502" t="str">
        <v>-</v>
      </c>
      <c r="G21502" t="str">
        <v>-</v>
      </c>
    </row>
    <row r="21503">
      <c r="B21503" t="str">
        <v>UBND Ủy ban nhân dân xã Sơn Phú  tỉnh Bến Tre</v>
      </c>
      <c r="C21503" t="str">
        <v>-</v>
      </c>
      <c r="D21503" t="str">
        <v>-</v>
      </c>
      <c r="E21503" t="str">
        <v>-</v>
      </c>
      <c r="F21503" t="str">
        <v>-</v>
      </c>
      <c r="G21503" t="str">
        <v>-</v>
      </c>
    </row>
    <row r="21504">
      <c r="B21504" t="str">
        <v>Công an xã Bình Hoà  tỉnh Bến Tre</v>
      </c>
      <c r="C21504" t="str">
        <v>-</v>
      </c>
      <c r="D21504" t="str">
        <v>-</v>
      </c>
      <c r="E21504" t="str">
        <v/>
      </c>
      <c r="F21504" t="str">
        <v>-</v>
      </c>
      <c r="G21504" t="str">
        <v>-</v>
      </c>
    </row>
    <row r="21505">
      <c r="B21505" t="str">
        <v>UBND Ủy ban nhân dân xã Bình Hoà  tỉnh Bến Tre</v>
      </c>
      <c r="C21505" t="str">
        <v>-</v>
      </c>
      <c r="D21505" t="str">
        <v>-</v>
      </c>
      <c r="E21505" t="str">
        <v>-</v>
      </c>
      <c r="F21505" t="str">
        <v>-</v>
      </c>
      <c r="G21505" t="str">
        <v>-</v>
      </c>
    </row>
    <row r="21506">
      <c r="B21506" t="str">
        <v>Công an xã Phước Long  tỉnh Bến Tre</v>
      </c>
      <c r="C21506" t="str">
        <v>-</v>
      </c>
      <c r="D21506" t="str">
        <v>-</v>
      </c>
      <c r="E21506" t="str">
        <v/>
      </c>
      <c r="F21506" t="str">
        <v>-</v>
      </c>
      <c r="G21506" t="str">
        <v>-</v>
      </c>
    </row>
    <row r="21507">
      <c r="B21507" t="str">
        <v>UBND Ủy ban nhân dân xã Phước Long  tỉnh Bến Tre</v>
      </c>
      <c r="C21507" t="str">
        <v>-</v>
      </c>
      <c r="D21507" t="str">
        <v>-</v>
      </c>
      <c r="E21507" t="str">
        <v>-</v>
      </c>
      <c r="F21507" t="str">
        <v>-</v>
      </c>
      <c r="G21507" t="str">
        <v>-</v>
      </c>
    </row>
    <row r="21508">
      <c r="B21508" t="str">
        <v>Công an xã Hưng Phong  tỉnh Bến Tre</v>
      </c>
      <c r="C21508" t="str">
        <v>-</v>
      </c>
      <c r="D21508" t="str">
        <v>-</v>
      </c>
      <c r="E21508" t="str">
        <v/>
      </c>
      <c r="F21508" t="str">
        <v>-</v>
      </c>
      <c r="G21508" t="str">
        <v>-</v>
      </c>
    </row>
    <row r="21509">
      <c r="B21509" t="str">
        <v>UBND Ủy ban nhân dân xã Hưng Phong  tỉnh Bến Tre</v>
      </c>
      <c r="C21509" t="str">
        <v>-</v>
      </c>
      <c r="D21509" t="str">
        <v>-</v>
      </c>
      <c r="E21509" t="str">
        <v>-</v>
      </c>
      <c r="F21509" t="str">
        <v>-</v>
      </c>
      <c r="G21509" t="str">
        <v>-</v>
      </c>
    </row>
    <row r="21510">
      <c r="B21510" t="str">
        <v>Công an xã Long Mỹ  tỉnh Bến Tre</v>
      </c>
      <c r="C21510" t="str">
        <v>-</v>
      </c>
      <c r="D21510" t="str">
        <v>-</v>
      </c>
      <c r="E21510" t="str">
        <v/>
      </c>
      <c r="F21510" t="str">
        <v>-</v>
      </c>
      <c r="G21510" t="str">
        <v>-</v>
      </c>
    </row>
    <row r="21511">
      <c r="B21511" t="str">
        <v>UBND Ủy ban nhân dân xã Long Mỹ  tỉnh Bến Tre</v>
      </c>
      <c r="C21511" t="str">
        <v>-</v>
      </c>
      <c r="D21511" t="str">
        <v>-</v>
      </c>
      <c r="E21511" t="str">
        <v>-</v>
      </c>
      <c r="F21511" t="str">
        <v>-</v>
      </c>
      <c r="G21511" t="str">
        <v>-</v>
      </c>
    </row>
    <row r="21512">
      <c r="B21512" t="str">
        <v>Công an xã Tân Hào  tỉnh Bến Tre</v>
      </c>
      <c r="C21512" t="str">
        <v>-</v>
      </c>
      <c r="D21512" t="str">
        <v>-</v>
      </c>
      <c r="E21512" t="str">
        <v/>
      </c>
      <c r="F21512" t="str">
        <v>-</v>
      </c>
      <c r="G21512" t="str">
        <v>-</v>
      </c>
    </row>
    <row r="21513">
      <c r="B21513" t="str">
        <v>UBND Ủy ban nhân dân xã Tân Hào  tỉnh Bến Tre</v>
      </c>
      <c r="C21513" t="str">
        <v>-</v>
      </c>
      <c r="D21513" t="str">
        <v>-</v>
      </c>
      <c r="E21513" t="str">
        <v>-</v>
      </c>
      <c r="F21513" t="str">
        <v>-</v>
      </c>
      <c r="G21513" t="str">
        <v>-</v>
      </c>
    </row>
    <row r="21514">
      <c r="B21514" t="str">
        <v>Công an xã Bình Thành  tỉnh Bến Tre</v>
      </c>
      <c r="C21514" t="str">
        <v>-</v>
      </c>
      <c r="D21514" t="str">
        <v>-</v>
      </c>
      <c r="E21514" t="str">
        <v/>
      </c>
      <c r="F21514" t="str">
        <v>-</v>
      </c>
      <c r="G21514" t="str">
        <v>-</v>
      </c>
    </row>
    <row r="21515">
      <c r="B21515" t="str">
        <v>UBND Ủy ban nhân dân xã Bình Thành  tỉnh Bến Tre</v>
      </c>
      <c r="C21515" t="str">
        <v>-</v>
      </c>
      <c r="D21515" t="str">
        <v>-</v>
      </c>
      <c r="E21515" t="str">
        <v>-</v>
      </c>
      <c r="F21515" t="str">
        <v>-</v>
      </c>
      <c r="G21515" t="str">
        <v>-</v>
      </c>
    </row>
    <row r="21516">
      <c r="B21516" t="str">
        <v>Công an xã Tân Thanh  tỉnh Bến Tre</v>
      </c>
      <c r="C21516" t="str">
        <v>-</v>
      </c>
      <c r="D21516" t="str">
        <v>-</v>
      </c>
      <c r="E21516" t="str">
        <v/>
      </c>
      <c r="F21516" t="str">
        <v>-</v>
      </c>
      <c r="G21516" t="str">
        <v>-</v>
      </c>
    </row>
    <row r="21517">
      <c r="B21517" t="str">
        <v>UBND Ủy ban nhân dân xã Tân Thanh  tỉnh Bến Tre</v>
      </c>
      <c r="C21517" t="str">
        <v>-</v>
      </c>
      <c r="D21517" t="str">
        <v>-</v>
      </c>
      <c r="E21517" t="str">
        <v>-</v>
      </c>
      <c r="F21517" t="str">
        <v>-</v>
      </c>
      <c r="G21517" t="str">
        <v>-</v>
      </c>
    </row>
    <row r="21518">
      <c r="B21518" t="str">
        <v>Công an xã Tân Lợi Thạnh  tỉnh Bến Tre</v>
      </c>
      <c r="C21518" t="str">
        <v>-</v>
      </c>
      <c r="D21518" t="str">
        <v>-</v>
      </c>
      <c r="E21518" t="str">
        <v/>
      </c>
      <c r="F21518" t="str">
        <v>-</v>
      </c>
      <c r="G21518" t="str">
        <v>-</v>
      </c>
    </row>
    <row r="21519">
      <c r="B21519" t="str">
        <v>UBND Ủy ban nhân dân xã Tân Lợi Thạnh  tỉnh Bến Tre</v>
      </c>
      <c r="C21519" t="str">
        <v>-</v>
      </c>
      <c r="D21519" t="str">
        <v>-</v>
      </c>
      <c r="E21519" t="str">
        <v>-</v>
      </c>
      <c r="F21519" t="str">
        <v>-</v>
      </c>
      <c r="G21519" t="str">
        <v>-</v>
      </c>
    </row>
    <row r="21520">
      <c r="B21520" t="str">
        <v>Công an xã Thạnh Phú Đông  tỉnh Bến Tre</v>
      </c>
      <c r="C21520" t="str">
        <v>-</v>
      </c>
      <c r="D21520" t="str">
        <v>-</v>
      </c>
      <c r="E21520" t="str">
        <v/>
      </c>
      <c r="F21520" t="str">
        <v>-</v>
      </c>
      <c r="G21520" t="str">
        <v>-</v>
      </c>
    </row>
    <row r="21521">
      <c r="B21521" t="str">
        <v>UBND Ủy ban nhân dân xã Thạnh Phú Đông  tỉnh Bến Tre</v>
      </c>
      <c r="C21521" t="str">
        <v>-</v>
      </c>
      <c r="D21521" t="str">
        <v>-</v>
      </c>
      <c r="E21521" t="str">
        <v>-</v>
      </c>
      <c r="F21521" t="str">
        <v>-</v>
      </c>
      <c r="G21521" t="str">
        <v>-</v>
      </c>
    </row>
    <row r="21522">
      <c r="B21522" t="str">
        <v>Công an xã Hưng Nhượng  tỉnh Bến Tre</v>
      </c>
      <c r="C21522" t="str">
        <v>-</v>
      </c>
      <c r="D21522" t="str">
        <v>-</v>
      </c>
      <c r="E21522" t="str">
        <v/>
      </c>
      <c r="F21522" t="str">
        <v>-</v>
      </c>
      <c r="G21522" t="str">
        <v>-</v>
      </c>
    </row>
    <row r="21523">
      <c r="B21523" t="str">
        <v>UBND Ủy ban nhân dân xã Hưng Nhượng  tỉnh Bến Tre</v>
      </c>
      <c r="C21523" t="str">
        <v>-</v>
      </c>
      <c r="D21523" t="str">
        <v>-</v>
      </c>
      <c r="E21523" t="str">
        <v>-</v>
      </c>
      <c r="F21523" t="str">
        <v>-</v>
      </c>
      <c r="G21523" t="str">
        <v>-</v>
      </c>
    </row>
    <row r="21524">
      <c r="B21524" t="str">
        <v>Công an xã Hưng Lễ  tỉnh Bến Tre</v>
      </c>
      <c r="C21524" t="str">
        <v>-</v>
      </c>
      <c r="D21524" t="str">
        <v>-</v>
      </c>
      <c r="E21524" t="str">
        <v/>
      </c>
      <c r="F21524" t="str">
        <v>-</v>
      </c>
      <c r="G21524" t="str">
        <v>-</v>
      </c>
    </row>
    <row r="21525">
      <c r="B21525" t="str">
        <v>UBND Ủy ban nhân dân xã Hưng Lễ  tỉnh Bến Tre</v>
      </c>
      <c r="C21525" t="str">
        <v>-</v>
      </c>
      <c r="D21525" t="str">
        <v>-</v>
      </c>
      <c r="E21525" t="str">
        <v>-</v>
      </c>
      <c r="F21525" t="str">
        <v>-</v>
      </c>
      <c r="G21525" t="str">
        <v>-</v>
      </c>
    </row>
    <row r="21526">
      <c r="B21526" t="str">
        <v>Công an xã Tam Hiệp  tỉnh Bến Tre</v>
      </c>
      <c r="C21526" t="str">
        <v>-</v>
      </c>
      <c r="D21526" t="str">
        <v>-</v>
      </c>
      <c r="E21526" t="str">
        <v/>
      </c>
      <c r="F21526" t="str">
        <v>-</v>
      </c>
      <c r="G21526" t="str">
        <v>-</v>
      </c>
    </row>
    <row r="21527">
      <c r="B21527" t="str">
        <v>UBND Ủy ban nhân dân xã Tam Hiệp  tỉnh Bến Tre</v>
      </c>
      <c r="C21527" t="str">
        <v>-</v>
      </c>
      <c r="D21527" t="str">
        <v>-</v>
      </c>
      <c r="E21527" t="str">
        <v>-</v>
      </c>
      <c r="F21527" t="str">
        <v>-</v>
      </c>
      <c r="G21527" t="str">
        <v>-</v>
      </c>
    </row>
    <row r="21528">
      <c r="B21528" t="str">
        <v>Công an xã Long Định  tỉnh Bến Tre</v>
      </c>
      <c r="C21528" t="str">
        <v>-</v>
      </c>
      <c r="D21528" t="str">
        <v>-</v>
      </c>
      <c r="E21528" t="str">
        <v/>
      </c>
      <c r="F21528" t="str">
        <v>-</v>
      </c>
      <c r="G21528" t="str">
        <v>-</v>
      </c>
    </row>
    <row r="21529">
      <c r="B21529" t="str">
        <v>UBND Ủy ban nhân dân xã Long Định  tỉnh Bến Tre</v>
      </c>
      <c r="C21529" t="str">
        <v>-</v>
      </c>
      <c r="D21529" t="str">
        <v>-</v>
      </c>
      <c r="E21529" t="str">
        <v>-</v>
      </c>
      <c r="F21529" t="str">
        <v>-</v>
      </c>
      <c r="G21529" t="str">
        <v>-</v>
      </c>
    </row>
    <row r="21530">
      <c r="B21530" t="str">
        <v>Công an xã Long Hòa  tỉnh Bến Tre</v>
      </c>
      <c r="C21530" t="str">
        <v>-</v>
      </c>
      <c r="D21530" t="str">
        <v>-</v>
      </c>
      <c r="E21530" t="str">
        <v/>
      </c>
      <c r="F21530" t="str">
        <v>-</v>
      </c>
      <c r="G21530" t="str">
        <v>-</v>
      </c>
    </row>
    <row r="21531">
      <c r="B21531" t="str">
        <v>UBND Ủy ban nhân dân xã Long Hòa  tỉnh Bến Tre</v>
      </c>
      <c r="C21531" t="str">
        <v>-</v>
      </c>
      <c r="D21531" t="str">
        <v>-</v>
      </c>
      <c r="E21531" t="str">
        <v>-</v>
      </c>
      <c r="F21531" t="str">
        <v>-</v>
      </c>
      <c r="G21531" t="str">
        <v>-</v>
      </c>
    </row>
    <row r="21532">
      <c r="B21532" t="str">
        <v>Công an xã Phú Thuận  tỉnh Bến Tre</v>
      </c>
      <c r="C21532" t="str">
        <v>-</v>
      </c>
      <c r="D21532" t="str">
        <v>-</v>
      </c>
      <c r="E21532" t="str">
        <v/>
      </c>
      <c r="F21532" t="str">
        <v>-</v>
      </c>
      <c r="G21532" t="str">
        <v>-</v>
      </c>
    </row>
    <row r="21533">
      <c r="B21533" t="str">
        <v>UBND Ủy ban nhân dân xã Phú Thuận  tỉnh Bến Tre</v>
      </c>
      <c r="C21533" t="str">
        <v>-</v>
      </c>
      <c r="D21533" t="str">
        <v>-</v>
      </c>
      <c r="E21533" t="str">
        <v>-</v>
      </c>
      <c r="F21533" t="str">
        <v>-</v>
      </c>
      <c r="G21533" t="str">
        <v>-</v>
      </c>
    </row>
    <row r="21534">
      <c r="B21534" t="str">
        <v>Công an xã Vang Quới Tây  tỉnh Bến Tre</v>
      </c>
      <c r="C21534" t="str">
        <v>-</v>
      </c>
      <c r="D21534" t="str">
        <v>-</v>
      </c>
      <c r="E21534" t="str">
        <v/>
      </c>
      <c r="F21534" t="str">
        <v>-</v>
      </c>
      <c r="G21534" t="str">
        <v>-</v>
      </c>
    </row>
    <row r="21535">
      <c r="B21535" t="str">
        <v>UBND Ủy ban nhân dân xã Vang Quới Tây  tỉnh Bến Tre</v>
      </c>
      <c r="C21535" t="str">
        <v>-</v>
      </c>
      <c r="D21535" t="str">
        <v>-</v>
      </c>
      <c r="E21535" t="str">
        <v>-</v>
      </c>
      <c r="F21535" t="str">
        <v>-</v>
      </c>
      <c r="G21535" t="str">
        <v>-</v>
      </c>
    </row>
    <row r="21536">
      <c r="B21536" t="str">
        <v>Công an xã Vang Quới Đông  tỉnh Bến Tre</v>
      </c>
      <c r="C21536" t="str">
        <v>-</v>
      </c>
      <c r="D21536" t="str">
        <v>-</v>
      </c>
      <c r="E21536" t="str">
        <v/>
      </c>
      <c r="F21536" t="str">
        <v>-</v>
      </c>
      <c r="G21536" t="str">
        <v>-</v>
      </c>
    </row>
    <row r="21537">
      <c r="B21537" t="str">
        <v>UBND Ủy ban nhân dân xã Vang Quới Đông  tỉnh Bến Tre</v>
      </c>
      <c r="C21537" t="str">
        <v>-</v>
      </c>
      <c r="D21537" t="str">
        <v>-</v>
      </c>
      <c r="E21537" t="str">
        <v>-</v>
      </c>
      <c r="F21537" t="str">
        <v>-</v>
      </c>
      <c r="G21537" t="str">
        <v>-</v>
      </c>
    </row>
    <row r="21538">
      <c r="B21538" t="str">
        <v>Công an xã Châu Hưng  tỉnh Bến Tre</v>
      </c>
      <c r="C21538" t="str">
        <v>-</v>
      </c>
      <c r="D21538" t="str">
        <v>-</v>
      </c>
      <c r="E21538" t="str">
        <v/>
      </c>
      <c r="F21538" t="str">
        <v>-</v>
      </c>
      <c r="G21538" t="str">
        <v>-</v>
      </c>
    </row>
    <row r="21539">
      <c r="B21539" t="str">
        <v>UBND Ủy ban nhân dân xã Châu Hưng  tỉnh Bến Tre</v>
      </c>
      <c r="C21539" t="str">
        <v>-</v>
      </c>
      <c r="D21539" t="str">
        <v>-</v>
      </c>
      <c r="E21539" t="str">
        <v>-</v>
      </c>
      <c r="F21539" t="str">
        <v>-</v>
      </c>
      <c r="G21539" t="str">
        <v>-</v>
      </c>
    </row>
    <row r="21540">
      <c r="B21540" t="str">
        <v>Công an xã Phú Vang  tỉnh Bến Tre</v>
      </c>
      <c r="C21540" t="str">
        <v>-</v>
      </c>
      <c r="D21540" t="str">
        <v>-</v>
      </c>
      <c r="E21540" t="str">
        <v/>
      </c>
      <c r="F21540" t="str">
        <v>-</v>
      </c>
      <c r="G21540" t="str">
        <v>-</v>
      </c>
    </row>
    <row r="21541">
      <c r="B21541" t="str">
        <v>UBND Ủy ban nhân dân xã Phú Vang  tỉnh Bến Tre</v>
      </c>
      <c r="C21541" t="str">
        <v>-</v>
      </c>
      <c r="D21541" t="str">
        <v>-</v>
      </c>
      <c r="E21541" t="str">
        <v>-</v>
      </c>
      <c r="F21541" t="str">
        <v>-</v>
      </c>
      <c r="G21541" t="str">
        <v>-</v>
      </c>
    </row>
    <row r="21542">
      <c r="B21542" t="str">
        <v>Công an xã Lộc Thuận  tỉnh Bến Tre</v>
      </c>
      <c r="C21542" t="str">
        <v>-</v>
      </c>
      <c r="D21542" t="str">
        <v>-</v>
      </c>
      <c r="E21542" t="str">
        <v/>
      </c>
      <c r="F21542" t="str">
        <v>-</v>
      </c>
      <c r="G21542" t="str">
        <v>-</v>
      </c>
    </row>
    <row r="21543">
      <c r="B21543" t="str">
        <v>UBND Ủy ban nhân dân xã Lộc Thuận  tỉnh Bến Tre</v>
      </c>
      <c r="C21543" t="str">
        <v>-</v>
      </c>
      <c r="D21543" t="str">
        <v>-</v>
      </c>
      <c r="E21543" t="str">
        <v>-</v>
      </c>
      <c r="F21543" t="str">
        <v>-</v>
      </c>
      <c r="G21543" t="str">
        <v>-</v>
      </c>
    </row>
    <row r="21544">
      <c r="B21544" t="str">
        <v>Công an xã Định Trung  tỉnh Bến Tre</v>
      </c>
      <c r="C21544" t="str">
        <v>-</v>
      </c>
      <c r="D21544" t="str">
        <v>-</v>
      </c>
      <c r="E21544" t="str">
        <v/>
      </c>
      <c r="F21544" t="str">
        <v>-</v>
      </c>
      <c r="G21544" t="str">
        <v>-</v>
      </c>
    </row>
    <row r="21545">
      <c r="B21545" t="str">
        <v>UBND Ủy ban nhân dân xã Định Trung  tỉnh Bến Tre</v>
      </c>
      <c r="C21545" t="str">
        <v>-</v>
      </c>
      <c r="D21545" t="str">
        <v>-</v>
      </c>
      <c r="E21545" t="str">
        <v>-</v>
      </c>
      <c r="F21545" t="str">
        <v>-</v>
      </c>
      <c r="G21545" t="str">
        <v>-</v>
      </c>
    </row>
    <row r="21546">
      <c r="B21546" t="str">
        <v>Công an xã Thới Lai  tỉnh Bến Tre</v>
      </c>
      <c r="C21546" t="str">
        <v>-</v>
      </c>
      <c r="D21546" t="str">
        <v>-</v>
      </c>
      <c r="E21546" t="str">
        <v/>
      </c>
      <c r="F21546" t="str">
        <v>-</v>
      </c>
      <c r="G21546" t="str">
        <v>-</v>
      </c>
    </row>
    <row r="21547">
      <c r="B21547" t="str">
        <v>UBND Ủy ban nhân dân xã Thới Lai  tỉnh Bến Tre</v>
      </c>
      <c r="C21547" t="str">
        <v>-</v>
      </c>
      <c r="D21547" t="str">
        <v>-</v>
      </c>
      <c r="E21547" t="str">
        <v>-</v>
      </c>
      <c r="F21547" t="str">
        <v>-</v>
      </c>
      <c r="G21547" t="str">
        <v>-</v>
      </c>
    </row>
    <row r="21548">
      <c r="B21548" t="str">
        <v>Công an xã Bình Thới  tỉnh Bến Tre</v>
      </c>
      <c r="C21548" t="str">
        <v>-</v>
      </c>
      <c r="D21548" t="str">
        <v>-</v>
      </c>
      <c r="E21548" t="str">
        <v/>
      </c>
      <c r="F21548" t="str">
        <v>-</v>
      </c>
      <c r="G21548" t="str">
        <v>-</v>
      </c>
    </row>
    <row r="21549">
      <c r="B21549" t="str">
        <v>UBND Ủy ban nhân dân xã Bình Thới  tỉnh Bến Tre</v>
      </c>
      <c r="C21549" t="str">
        <v>-</v>
      </c>
      <c r="D21549" t="str">
        <v>-</v>
      </c>
      <c r="E21549" t="str">
        <v>-</v>
      </c>
      <c r="F21549" t="str">
        <v>-</v>
      </c>
      <c r="G21549" t="str">
        <v>-</v>
      </c>
    </row>
    <row r="21550">
      <c r="B21550" t="str">
        <v>Công an xã Phú Long  tỉnh Bến Tre</v>
      </c>
      <c r="C21550" t="str">
        <v>-</v>
      </c>
      <c r="D21550" t="str">
        <v>-</v>
      </c>
      <c r="E21550" t="str">
        <v/>
      </c>
      <c r="F21550" t="str">
        <v>-</v>
      </c>
      <c r="G21550" t="str">
        <v>-</v>
      </c>
    </row>
    <row r="21551">
      <c r="B21551" t="str">
        <v>UBND Ủy ban nhân dân xã Phú Long  tỉnh Bến Tre</v>
      </c>
      <c r="C21551" t="str">
        <v>-</v>
      </c>
      <c r="D21551" t="str">
        <v>-</v>
      </c>
      <c r="E21551" t="str">
        <v>-</v>
      </c>
      <c r="F21551" t="str">
        <v>-</v>
      </c>
      <c r="G21551" t="str">
        <v>-</v>
      </c>
    </row>
    <row r="21552">
      <c r="B21552" t="str">
        <v>Công an xã Bình Thắng  tỉnh Bến Tre</v>
      </c>
      <c r="C21552" t="str">
        <v>-</v>
      </c>
      <c r="D21552" t="str">
        <v>-</v>
      </c>
      <c r="E21552" t="str">
        <v/>
      </c>
      <c r="F21552" t="str">
        <v>-</v>
      </c>
      <c r="G21552" t="str">
        <v>-</v>
      </c>
    </row>
    <row r="21553">
      <c r="B21553" t="str">
        <v>UBND Ủy ban nhân dân xã Bình Thắng  tỉnh Bến Tre</v>
      </c>
      <c r="C21553" t="str">
        <v>-</v>
      </c>
      <c r="D21553" t="str">
        <v>-</v>
      </c>
      <c r="E21553" t="str">
        <v>-</v>
      </c>
      <c r="F21553" t="str">
        <v>-</v>
      </c>
      <c r="G21553" t="str">
        <v>-</v>
      </c>
    </row>
    <row r="21554">
      <c r="B21554" t="str">
        <v>Công an xã Thạnh Trị  tỉnh Bến Tre</v>
      </c>
      <c r="C21554" t="str">
        <v>-</v>
      </c>
      <c r="D21554" t="str">
        <v>-</v>
      </c>
      <c r="E21554" t="str">
        <v/>
      </c>
      <c r="F21554" t="str">
        <v>-</v>
      </c>
      <c r="G21554" t="str">
        <v>-</v>
      </c>
    </row>
    <row r="21555">
      <c r="B21555" t="str">
        <v>UBND Ủy ban nhân dân xã Thạnh Trị  tỉnh Bến Tre</v>
      </c>
      <c r="C21555" t="str">
        <v>-</v>
      </c>
      <c r="D21555" t="str">
        <v>-</v>
      </c>
      <c r="E21555" t="str">
        <v>-</v>
      </c>
      <c r="F21555" t="str">
        <v>-</v>
      </c>
      <c r="G21555" t="str">
        <v>-</v>
      </c>
    </row>
    <row r="21556">
      <c r="B21556" t="str">
        <v>Công an xã Đại Hòa Lộc  tỉnh Bến Tre</v>
      </c>
      <c r="C21556" t="str">
        <v>-</v>
      </c>
      <c r="D21556" t="str">
        <v>-</v>
      </c>
      <c r="E21556" t="str">
        <v/>
      </c>
      <c r="F21556" t="str">
        <v>-</v>
      </c>
      <c r="G21556" t="str">
        <v>-</v>
      </c>
    </row>
    <row r="21557">
      <c r="B21557" t="str">
        <v>UBND Ủy ban nhân dân xã Đại Hòa Lộc  tỉnh Bến Tre</v>
      </c>
      <c r="C21557" t="str">
        <v>-</v>
      </c>
      <c r="D21557" t="str">
        <v>-</v>
      </c>
      <c r="E21557" t="str">
        <v>-</v>
      </c>
      <c r="F21557" t="str">
        <v>-</v>
      </c>
      <c r="G21557" t="str">
        <v>-</v>
      </c>
    </row>
    <row r="21558">
      <c r="B21558" t="str">
        <v>Công an xã Thừa Đức  tỉnh Bến Tre</v>
      </c>
      <c r="C21558" t="str">
        <v>-</v>
      </c>
      <c r="D21558" t="str">
        <v>-</v>
      </c>
      <c r="E21558" t="str">
        <v/>
      </c>
      <c r="F21558" t="str">
        <v>-</v>
      </c>
      <c r="G21558" t="str">
        <v>-</v>
      </c>
    </row>
    <row r="21559">
      <c r="B21559" t="str">
        <v>UBND Ủy ban nhân dân xã Thừa Đức  tỉnh Bến Tre</v>
      </c>
      <c r="C21559" t="str">
        <v>-</v>
      </c>
      <c r="D21559" t="str">
        <v>-</v>
      </c>
      <c r="E21559" t="str">
        <v>-</v>
      </c>
      <c r="F21559" t="str">
        <v>-</v>
      </c>
      <c r="G21559" t="str">
        <v>-</v>
      </c>
    </row>
    <row r="21560">
      <c r="B21560" t="str">
        <v>Công an xã Thạnh Phước  tỉnh Bến Tre</v>
      </c>
      <c r="C21560" t="str">
        <v>-</v>
      </c>
      <c r="D21560" t="str">
        <v>-</v>
      </c>
      <c r="E21560" t="str">
        <v/>
      </c>
      <c r="F21560" t="str">
        <v>-</v>
      </c>
      <c r="G21560" t="str">
        <v>-</v>
      </c>
    </row>
    <row r="21561">
      <c r="B21561" t="str">
        <v>UBND Ủy ban nhân dân xã Thạnh Phước  tỉnh Bến Tre</v>
      </c>
      <c r="C21561" t="str">
        <v>-</v>
      </c>
      <c r="D21561" t="str">
        <v>-</v>
      </c>
      <c r="E21561" t="str">
        <v>-</v>
      </c>
      <c r="F21561" t="str">
        <v>-</v>
      </c>
      <c r="G21561" t="str">
        <v>-</v>
      </c>
    </row>
    <row r="21562">
      <c r="B21562" t="str">
        <v>Công an xã Thới Thuận  tỉnh Bến Tre</v>
      </c>
      <c r="C21562" t="str">
        <v>-</v>
      </c>
      <c r="D21562" t="str">
        <v>-</v>
      </c>
      <c r="E21562" t="str">
        <v/>
      </c>
      <c r="F21562" t="str">
        <v>-</v>
      </c>
      <c r="G21562" t="str">
        <v>-</v>
      </c>
    </row>
    <row r="21563">
      <c r="B21563" t="str">
        <v>UBND Ủy ban nhân dân xã Thới Thuận  tỉnh Bến Tre</v>
      </c>
      <c r="C21563" t="str">
        <v>-</v>
      </c>
      <c r="D21563" t="str">
        <v>-</v>
      </c>
      <c r="E21563" t="str">
        <v>-</v>
      </c>
      <c r="F21563" t="str">
        <v>-</v>
      </c>
      <c r="G21563" t="str">
        <v>-</v>
      </c>
    </row>
    <row r="21564">
      <c r="B21564" t="str">
        <v>Công an xã Tân Mỹ  tỉnh Bến Tre</v>
      </c>
      <c r="C21564" t="str">
        <v>-</v>
      </c>
      <c r="D21564" t="str">
        <v>-</v>
      </c>
      <c r="E21564" t="str">
        <v/>
      </c>
      <c r="F21564" t="str">
        <v>-</v>
      </c>
      <c r="G21564" t="str">
        <v>-</v>
      </c>
    </row>
    <row r="21565">
      <c r="B21565" t="str">
        <v>UBND Ủy ban nhân dân xã Tân Mỹ  tỉnh Bến Tre</v>
      </c>
      <c r="C21565" t="str">
        <v>-</v>
      </c>
      <c r="D21565" t="str">
        <v>-</v>
      </c>
      <c r="E21565" t="str">
        <v>-</v>
      </c>
      <c r="F21565" t="str">
        <v>-</v>
      </c>
      <c r="G21565" t="str">
        <v>-</v>
      </c>
    </row>
    <row r="21566">
      <c r="B21566" t="str">
        <v>Công an xã Mỹ Hòa  tỉnh Bến Tre</v>
      </c>
      <c r="C21566" t="str">
        <v>-</v>
      </c>
      <c r="D21566" t="str">
        <v>-</v>
      </c>
      <c r="E21566" t="str">
        <v/>
      </c>
      <c r="F21566" t="str">
        <v>-</v>
      </c>
      <c r="G21566" t="str">
        <v>-</v>
      </c>
    </row>
    <row r="21567">
      <c r="B21567" t="str">
        <v>UBND Ủy ban nhân dân xã Mỹ Hòa  tỉnh Bến Tre</v>
      </c>
      <c r="C21567" t="str">
        <v>-</v>
      </c>
      <c r="D21567" t="str">
        <v>-</v>
      </c>
      <c r="E21567" t="str">
        <v>-</v>
      </c>
      <c r="F21567" t="str">
        <v>-</v>
      </c>
      <c r="G21567" t="str">
        <v>-</v>
      </c>
    </row>
    <row r="21568">
      <c r="B21568" t="str">
        <v>Công an xã Tân Xuân  tỉnh Bến Tre</v>
      </c>
      <c r="C21568" t="str">
        <v>-</v>
      </c>
      <c r="D21568" t="str">
        <v>-</v>
      </c>
      <c r="E21568" t="str">
        <v/>
      </c>
      <c r="F21568" t="str">
        <v>-</v>
      </c>
      <c r="G21568" t="str">
        <v>-</v>
      </c>
    </row>
    <row r="21569">
      <c r="B21569" t="str">
        <v>UBND Ủy ban nhân dân xã Tân Xuân  tỉnh Bến Tre</v>
      </c>
      <c r="C21569" t="str">
        <v>-</v>
      </c>
      <c r="D21569" t="str">
        <v>-</v>
      </c>
      <c r="E21569" t="str">
        <v>-</v>
      </c>
      <c r="F21569" t="str">
        <v>-</v>
      </c>
      <c r="G21569" t="str">
        <v>-</v>
      </c>
    </row>
    <row r="21570">
      <c r="B21570" t="str">
        <v>Công an xã Mỹ Chánh  tỉnh Bến Tre</v>
      </c>
      <c r="C21570" t="str">
        <v>-</v>
      </c>
      <c r="D21570" t="str">
        <v>-</v>
      </c>
      <c r="E21570" t="str">
        <v/>
      </c>
      <c r="F21570" t="str">
        <v>-</v>
      </c>
      <c r="G21570" t="str">
        <v>-</v>
      </c>
    </row>
    <row r="21571">
      <c r="B21571" t="str">
        <v>UBND Ủy ban nhân dân xã Mỹ Chánh  tỉnh Bến Tre</v>
      </c>
      <c r="C21571" t="str">
        <v>-</v>
      </c>
      <c r="D21571" t="str">
        <v>-</v>
      </c>
      <c r="E21571" t="str">
        <v>-</v>
      </c>
      <c r="F21571" t="str">
        <v>-</v>
      </c>
      <c r="G21571" t="str">
        <v>-</v>
      </c>
    </row>
    <row r="21572">
      <c r="B21572" t="str">
        <v>Công an xã Bảo Thạnh  tỉnh Bến Tre</v>
      </c>
      <c r="C21572" t="str">
        <v>-</v>
      </c>
      <c r="D21572" t="str">
        <v>-</v>
      </c>
      <c r="E21572" t="str">
        <v/>
      </c>
      <c r="F21572" t="str">
        <v>-</v>
      </c>
      <c r="G21572" t="str">
        <v>-</v>
      </c>
    </row>
    <row r="21573">
      <c r="B21573" t="str">
        <v>UBND Ủy ban nhân dân xã Bảo Thạnh  tỉnh Bến Tre</v>
      </c>
      <c r="C21573" t="str">
        <v>-</v>
      </c>
      <c r="D21573" t="str">
        <v>-</v>
      </c>
      <c r="E21573" t="str">
        <v>-</v>
      </c>
      <c r="F21573" t="str">
        <v>-</v>
      </c>
      <c r="G21573" t="str">
        <v>-</v>
      </c>
    </row>
    <row r="21574">
      <c r="B21574" t="str">
        <v>Công an xã An Phú Trung  tỉnh Bến Tre</v>
      </c>
      <c r="C21574" t="str">
        <v>-</v>
      </c>
      <c r="D21574" t="str">
        <v>-</v>
      </c>
      <c r="E21574" t="str">
        <v/>
      </c>
      <c r="F21574" t="str">
        <v>-</v>
      </c>
      <c r="G21574" t="str">
        <v>-</v>
      </c>
    </row>
    <row r="21575">
      <c r="B21575" t="str">
        <v>UBND Ủy ban nhân dân xã An Phú Trung  tỉnh Bến Tre</v>
      </c>
      <c r="C21575" t="str">
        <v>-</v>
      </c>
      <c r="D21575" t="str">
        <v>-</v>
      </c>
      <c r="E21575" t="str">
        <v>-</v>
      </c>
      <c r="F21575" t="str">
        <v>-</v>
      </c>
      <c r="G21575" t="str">
        <v>-</v>
      </c>
    </row>
    <row r="21576">
      <c r="B21576" t="str">
        <v>Công an xã Mỹ Thạnh  tỉnh Bến Tre</v>
      </c>
      <c r="C21576" t="str">
        <v>-</v>
      </c>
      <c r="D21576" t="str">
        <v>-</v>
      </c>
      <c r="E21576" t="str">
        <v/>
      </c>
      <c r="F21576" t="str">
        <v>-</v>
      </c>
      <c r="G21576" t="str">
        <v>-</v>
      </c>
    </row>
    <row r="21577">
      <c r="B21577" t="str">
        <v>UBND Ủy ban nhân dân xã Mỹ Thạnh  tỉnh Bến Tre</v>
      </c>
      <c r="C21577" t="str">
        <v>-</v>
      </c>
      <c r="D21577" t="str">
        <v>-</v>
      </c>
      <c r="E21577" t="str">
        <v>-</v>
      </c>
      <c r="F21577" t="str">
        <v>-</v>
      </c>
      <c r="G21577" t="str">
        <v>-</v>
      </c>
    </row>
    <row r="21578">
      <c r="B21578" t="str">
        <v>Công an xã Mỹ Nhơn  tỉnh Bến Tre</v>
      </c>
      <c r="C21578" t="str">
        <v>-</v>
      </c>
      <c r="D21578" t="str">
        <v>-</v>
      </c>
      <c r="E21578" t="str">
        <v/>
      </c>
      <c r="F21578" t="str">
        <v>-</v>
      </c>
      <c r="G21578" t="str">
        <v>-</v>
      </c>
    </row>
    <row r="21579">
      <c r="B21579" t="str">
        <v>UBND Ủy ban nhân dân xã Mỹ Nhơn  tỉnh Bến Tre</v>
      </c>
      <c r="C21579" t="str">
        <v>-</v>
      </c>
      <c r="D21579" t="str">
        <v>-</v>
      </c>
      <c r="E21579" t="str">
        <v>-</v>
      </c>
      <c r="F21579" t="str">
        <v>-</v>
      </c>
      <c r="G21579" t="str">
        <v>-</v>
      </c>
    </row>
    <row r="21580">
      <c r="B21580" t="str">
        <v>Công an xã Phước Tuy  tỉnh Bến Tre</v>
      </c>
      <c r="C21580" t="str">
        <v>-</v>
      </c>
      <c r="D21580" t="str">
        <v>-</v>
      </c>
      <c r="E21580" t="str">
        <v/>
      </c>
      <c r="F21580" t="str">
        <v>-</v>
      </c>
      <c r="G21580" t="str">
        <v>-</v>
      </c>
    </row>
    <row r="21581">
      <c r="B21581" t="str">
        <v>UBND Ủy ban nhân dân xã Phước Tuy  tỉnh Bến Tre</v>
      </c>
      <c r="C21581" t="str">
        <v>-</v>
      </c>
      <c r="D21581" t="str">
        <v>-</v>
      </c>
      <c r="E21581" t="str">
        <v>-</v>
      </c>
      <c r="F21581" t="str">
        <v>-</v>
      </c>
      <c r="G21581" t="str">
        <v>-</v>
      </c>
    </row>
    <row r="21582">
      <c r="B21582" t="str">
        <v>Công an xã Phú Ngãi  tỉnh Bến Tre</v>
      </c>
      <c r="C21582" t="str">
        <v>-</v>
      </c>
      <c r="D21582" t="str">
        <v>-</v>
      </c>
      <c r="E21582" t="str">
        <v/>
      </c>
      <c r="F21582" t="str">
        <v>-</v>
      </c>
      <c r="G21582" t="str">
        <v>-</v>
      </c>
    </row>
    <row r="21583">
      <c r="B21583" t="str">
        <v>UBND Ủy ban nhân dân xã Phú Ngãi  tỉnh Bến Tre</v>
      </c>
      <c r="C21583" t="str">
        <v>-</v>
      </c>
      <c r="D21583" t="str">
        <v>-</v>
      </c>
      <c r="E21583" t="str">
        <v>-</v>
      </c>
      <c r="F21583" t="str">
        <v>-</v>
      </c>
      <c r="G21583" t="str">
        <v>-</v>
      </c>
    </row>
    <row r="21584">
      <c r="B21584" t="str">
        <v>Công an xã An Ngãi Trung  tỉnh Bến Tre</v>
      </c>
      <c r="C21584" t="str">
        <v>-</v>
      </c>
      <c r="D21584" t="str">
        <v>-</v>
      </c>
      <c r="E21584" t="str">
        <v/>
      </c>
      <c r="F21584" t="str">
        <v>-</v>
      </c>
      <c r="G21584" t="str">
        <v>-</v>
      </c>
    </row>
    <row r="21585">
      <c r="B21585" t="str">
        <v>UBND Ủy ban nhân dân xã An Ngãi Trung  tỉnh Bến Tre</v>
      </c>
      <c r="C21585" t="str">
        <v>-</v>
      </c>
      <c r="D21585" t="str">
        <v>-</v>
      </c>
      <c r="E21585" t="str">
        <v>-</v>
      </c>
      <c r="F21585" t="str">
        <v>-</v>
      </c>
      <c r="G21585" t="str">
        <v>-</v>
      </c>
    </row>
    <row r="21586">
      <c r="B21586" t="str">
        <v>Công an xã Phú Lễ  tỉnh Bến Tre</v>
      </c>
      <c r="C21586" t="str">
        <v>-</v>
      </c>
      <c r="D21586" t="str">
        <v>-</v>
      </c>
      <c r="E21586" t="str">
        <v/>
      </c>
      <c r="F21586" t="str">
        <v>-</v>
      </c>
      <c r="G21586" t="str">
        <v>-</v>
      </c>
    </row>
    <row r="21587">
      <c r="B21587" t="str">
        <v>UBND Ủy ban nhân dân xã Phú Lễ  tỉnh Bến Tre</v>
      </c>
      <c r="C21587" t="str">
        <v>-</v>
      </c>
      <c r="D21587" t="str">
        <v>-</v>
      </c>
      <c r="E21587" t="str">
        <v>-</v>
      </c>
      <c r="F21587" t="str">
        <v>-</v>
      </c>
      <c r="G21587" t="str">
        <v>-</v>
      </c>
    </row>
    <row r="21588">
      <c r="B21588" t="str">
        <v>Công an xã An Bình Tây  tỉnh Bến Tre</v>
      </c>
      <c r="C21588" t="str">
        <v>-</v>
      </c>
      <c r="D21588" t="str">
        <v>-</v>
      </c>
      <c r="E21588" t="str">
        <v/>
      </c>
      <c r="F21588" t="str">
        <v>-</v>
      </c>
      <c r="G21588" t="str">
        <v>-</v>
      </c>
    </row>
    <row r="21589">
      <c r="B21589" t="str">
        <v>UBND Ủy ban nhân dân xã An Bình Tây  tỉnh Bến Tre</v>
      </c>
      <c r="C21589" t="str">
        <v>-</v>
      </c>
      <c r="D21589" t="str">
        <v>-</v>
      </c>
      <c r="E21589" t="str">
        <v>-</v>
      </c>
      <c r="F21589" t="str">
        <v>-</v>
      </c>
      <c r="G21589" t="str">
        <v>-</v>
      </c>
    </row>
    <row r="21590">
      <c r="B21590" t="str">
        <v>Công an xã Bảo Thuận  tỉnh Bến Tre</v>
      </c>
      <c r="C21590" t="str">
        <v>-</v>
      </c>
      <c r="D21590" t="str">
        <v>-</v>
      </c>
      <c r="E21590" t="str">
        <v/>
      </c>
      <c r="F21590" t="str">
        <v>-</v>
      </c>
      <c r="G21590" t="str">
        <v>-</v>
      </c>
    </row>
    <row r="21591">
      <c r="B21591" t="str">
        <v>UBND Ủy ban nhân dân xã Bảo Thuận  tỉnh Bến Tre</v>
      </c>
      <c r="C21591" t="str">
        <v>-</v>
      </c>
      <c r="D21591" t="str">
        <v>-</v>
      </c>
      <c r="E21591" t="str">
        <v>-</v>
      </c>
      <c r="F21591" t="str">
        <v>-</v>
      </c>
      <c r="G21591" t="str">
        <v>-</v>
      </c>
    </row>
    <row r="21592">
      <c r="B21592" t="str">
        <v>Công an xã Tân Hưng  tỉnh Bến Tre</v>
      </c>
      <c r="C21592" t="str">
        <v>-</v>
      </c>
      <c r="D21592" t="str">
        <v>-</v>
      </c>
      <c r="E21592" t="str">
        <v/>
      </c>
      <c r="F21592" t="str">
        <v>-</v>
      </c>
      <c r="G21592" t="str">
        <v>-</v>
      </c>
    </row>
    <row r="21593">
      <c r="B21593" t="str">
        <v>UBND Ủy ban nhân dân xã Tân Hưng  tỉnh Bến Tre</v>
      </c>
      <c r="C21593" t="str">
        <v>-</v>
      </c>
      <c r="D21593" t="str">
        <v>-</v>
      </c>
      <c r="E21593" t="str">
        <v>-</v>
      </c>
      <c r="F21593" t="str">
        <v>-</v>
      </c>
      <c r="G21593" t="str">
        <v>-</v>
      </c>
    </row>
    <row r="21594">
      <c r="B21594" t="str">
        <v>Công an xã An Ngãi Tây  tỉnh Bến Tre</v>
      </c>
      <c r="C21594" t="str">
        <v>-</v>
      </c>
      <c r="D21594" t="str">
        <v>-</v>
      </c>
      <c r="E21594" t="str">
        <v/>
      </c>
      <c r="F21594" t="str">
        <v>-</v>
      </c>
      <c r="G21594" t="str">
        <v>-</v>
      </c>
    </row>
    <row r="21595">
      <c r="B21595" t="str">
        <v>UBND Ủy ban nhân dân xã An Ngãi Tây  tỉnh Bến Tre</v>
      </c>
      <c r="C21595" t="str">
        <v>-</v>
      </c>
      <c r="D21595" t="str">
        <v>-</v>
      </c>
      <c r="E21595" t="str">
        <v>-</v>
      </c>
      <c r="F21595" t="str">
        <v>-</v>
      </c>
      <c r="G21595" t="str">
        <v>-</v>
      </c>
    </row>
    <row r="21596">
      <c r="B21596" t="str">
        <v>Công an xã An Hiệp  tỉnh Bến Tre</v>
      </c>
      <c r="C21596" t="str">
        <v>-</v>
      </c>
      <c r="D21596" t="str">
        <v>-</v>
      </c>
      <c r="E21596" t="str">
        <v/>
      </c>
      <c r="F21596" t="str">
        <v>-</v>
      </c>
      <c r="G21596" t="str">
        <v>-</v>
      </c>
    </row>
    <row r="21597">
      <c r="B21597" t="str">
        <v>UBND Ủy ban nhân dân xã An Hiệp  tỉnh Bến Tre</v>
      </c>
      <c r="C21597" t="str">
        <v>-</v>
      </c>
      <c r="D21597" t="str">
        <v>-</v>
      </c>
      <c r="E21597" t="str">
        <v>-</v>
      </c>
      <c r="F21597" t="str">
        <v>-</v>
      </c>
      <c r="G21597" t="str">
        <v>-</v>
      </c>
    </row>
    <row r="21598">
      <c r="B21598" t="str">
        <v>Công an xã Vĩnh Hòa  tỉnh Bến Tre</v>
      </c>
      <c r="C21598" t="str">
        <v>-</v>
      </c>
      <c r="D21598" t="str">
        <v>-</v>
      </c>
      <c r="E21598" t="str">
        <v/>
      </c>
      <c r="F21598" t="str">
        <v>-</v>
      </c>
      <c r="G21598" t="str">
        <v>-</v>
      </c>
    </row>
    <row r="21599">
      <c r="B21599" t="str">
        <v>UBND Ủy ban nhân dân xã Vĩnh Hòa  tỉnh Bến Tre</v>
      </c>
      <c r="C21599" t="str">
        <v>-</v>
      </c>
      <c r="D21599" t="str">
        <v>-</v>
      </c>
      <c r="E21599" t="str">
        <v>-</v>
      </c>
      <c r="F21599" t="str">
        <v>-</v>
      </c>
      <c r="G21599" t="str">
        <v>-</v>
      </c>
    </row>
    <row r="21600">
      <c r="B21600" t="str">
        <v>Công an xã Tân Thủy  tỉnh Bến Tre</v>
      </c>
      <c r="C21600" t="str">
        <v>-</v>
      </c>
      <c r="D21600" t="str">
        <v>-</v>
      </c>
      <c r="E21600" t="str">
        <v/>
      </c>
      <c r="F21600" t="str">
        <v>-</v>
      </c>
      <c r="G21600" t="str">
        <v>-</v>
      </c>
    </row>
    <row r="21601">
      <c r="B21601" t="str">
        <v>UBND Ủy ban nhân dân xã Tân Thủy  tỉnh Bến Tre</v>
      </c>
      <c r="C21601" t="str">
        <v>-</v>
      </c>
      <c r="D21601" t="str">
        <v>-</v>
      </c>
      <c r="E21601" t="str">
        <v>-</v>
      </c>
      <c r="F21601" t="str">
        <v>-</v>
      </c>
      <c r="G21601" t="str">
        <v>-</v>
      </c>
    </row>
    <row r="21602">
      <c r="B21602" t="str">
        <v>Công an xã Vĩnh An  tỉnh Bến Tre</v>
      </c>
      <c r="C21602" t="str">
        <v>-</v>
      </c>
      <c r="D21602" t="str">
        <v>-</v>
      </c>
      <c r="E21602" t="str">
        <v/>
      </c>
      <c r="F21602" t="str">
        <v>-</v>
      </c>
      <c r="G21602" t="str">
        <v>-</v>
      </c>
    </row>
    <row r="21603">
      <c r="B21603" t="str">
        <v>UBND Ủy ban nhân dân xã Vĩnh An  tỉnh Bến Tre</v>
      </c>
      <c r="C21603" t="str">
        <v>-</v>
      </c>
      <c r="D21603" t="str">
        <v>-</v>
      </c>
      <c r="E21603" t="str">
        <v>-</v>
      </c>
      <c r="F21603" t="str">
        <v>-</v>
      </c>
      <c r="G21603" t="str">
        <v>-</v>
      </c>
    </row>
    <row r="21604">
      <c r="B21604" t="str">
        <v>Công an xã An Đức  tỉnh Bến Tre</v>
      </c>
      <c r="C21604" t="str">
        <v>-</v>
      </c>
      <c r="D21604" t="str">
        <v>-</v>
      </c>
      <c r="E21604" t="str">
        <v/>
      </c>
      <c r="F21604" t="str">
        <v>-</v>
      </c>
      <c r="G21604" t="str">
        <v>-</v>
      </c>
    </row>
    <row r="21605">
      <c r="B21605" t="str">
        <v>UBND Ủy ban nhân dân xã An Đức  tỉnh Bến Tre</v>
      </c>
      <c r="C21605" t="str">
        <v>-</v>
      </c>
      <c r="D21605" t="str">
        <v>-</v>
      </c>
      <c r="E21605" t="str">
        <v>-</v>
      </c>
      <c r="F21605" t="str">
        <v>-</v>
      </c>
      <c r="G21605" t="str">
        <v>-</v>
      </c>
    </row>
    <row r="21606">
      <c r="B21606" t="str">
        <v>Công an xã An Hòa Tây  tỉnh Bến Tre</v>
      </c>
      <c r="C21606" t="str">
        <v>-</v>
      </c>
      <c r="D21606" t="str">
        <v>-</v>
      </c>
      <c r="E21606" t="str">
        <v/>
      </c>
      <c r="F21606" t="str">
        <v>-</v>
      </c>
      <c r="G21606" t="str">
        <v>-</v>
      </c>
    </row>
    <row r="21607">
      <c r="B21607" t="str">
        <v>UBND Ủy ban nhân dân xã An Hòa Tây  tỉnh Bến Tre</v>
      </c>
      <c r="C21607" t="str">
        <v>-</v>
      </c>
      <c r="D21607" t="str">
        <v>-</v>
      </c>
      <c r="E21607" t="str">
        <v>-</v>
      </c>
      <c r="F21607" t="str">
        <v>-</v>
      </c>
      <c r="G21607" t="str">
        <v>-</v>
      </c>
    </row>
    <row r="21608">
      <c r="B21608" t="str">
        <v>Công an xã An Thủy  tỉnh Bến Tre</v>
      </c>
      <c r="C21608" t="str">
        <v>-</v>
      </c>
      <c r="D21608" t="str">
        <v>-</v>
      </c>
      <c r="E21608" t="str">
        <v/>
      </c>
      <c r="F21608" t="str">
        <v>-</v>
      </c>
      <c r="G21608" t="str">
        <v>-</v>
      </c>
    </row>
    <row r="21609">
      <c r="B21609" t="str">
        <v>UBND Ủy ban nhân dân xã An Thủy  tỉnh Bến Tre</v>
      </c>
      <c r="C21609" t="str">
        <v>-</v>
      </c>
      <c r="D21609" t="str">
        <v>-</v>
      </c>
      <c r="E21609" t="str">
        <v>-</v>
      </c>
      <c r="F21609" t="str">
        <v>-</v>
      </c>
      <c r="G21609" t="str">
        <v>-</v>
      </c>
    </row>
    <row r="21610">
      <c r="B21610" t="str">
        <v>Công an xã Phú Khánh  tỉnh Bến Tre</v>
      </c>
      <c r="C21610" t="str">
        <v>-</v>
      </c>
      <c r="D21610" t="str">
        <v>-</v>
      </c>
      <c r="E21610" t="str">
        <v/>
      </c>
      <c r="F21610" t="str">
        <v>-</v>
      </c>
      <c r="G21610" t="str">
        <v>-</v>
      </c>
    </row>
    <row r="21611">
      <c r="B21611" t="str">
        <v>UBND Ủy ban nhân dân xã Phú Khánh  tỉnh Bến Tre</v>
      </c>
      <c r="C21611" t="str">
        <v>-</v>
      </c>
      <c r="D21611" t="str">
        <v>-</v>
      </c>
      <c r="E21611" t="str">
        <v>-</v>
      </c>
      <c r="F21611" t="str">
        <v>-</v>
      </c>
      <c r="G21611" t="str">
        <v>-</v>
      </c>
    </row>
    <row r="21612">
      <c r="B21612" t="str">
        <v>Công an xã Đại Điền  tỉnh Bến Tre</v>
      </c>
      <c r="C21612" t="str">
        <v>-</v>
      </c>
      <c r="D21612" t="str">
        <v>-</v>
      </c>
      <c r="E21612" t="str">
        <v/>
      </c>
      <c r="F21612" t="str">
        <v>-</v>
      </c>
      <c r="G21612" t="str">
        <v>-</v>
      </c>
    </row>
    <row r="21613">
      <c r="B21613" t="str">
        <v>UBND Ủy ban nhân dân xã Đại Điền  tỉnh Bến Tre</v>
      </c>
      <c r="C21613" t="str">
        <v>-</v>
      </c>
      <c r="D21613" t="str">
        <v>-</v>
      </c>
      <c r="E21613" t="str">
        <v>-</v>
      </c>
      <c r="F21613" t="str">
        <v>-</v>
      </c>
      <c r="G21613" t="str">
        <v>-</v>
      </c>
    </row>
    <row r="21614">
      <c r="B21614" t="str">
        <v>Công an xã Quới Điền  tỉnh Bến Tre</v>
      </c>
      <c r="C21614" t="str">
        <v>-</v>
      </c>
      <c r="D21614" t="str">
        <v>-</v>
      </c>
      <c r="E21614" t="str">
        <v/>
      </c>
      <c r="F21614" t="str">
        <v>-</v>
      </c>
      <c r="G21614" t="str">
        <v>-</v>
      </c>
    </row>
    <row r="21615">
      <c r="B21615" t="str">
        <v>UBND Ủy ban nhân dân xã Quới Điền  tỉnh Bến Tre</v>
      </c>
      <c r="C21615" t="str">
        <v>-</v>
      </c>
      <c r="D21615" t="str">
        <v>-</v>
      </c>
      <c r="E21615" t="str">
        <v>-</v>
      </c>
      <c r="F21615" t="str">
        <v>-</v>
      </c>
      <c r="G21615" t="str">
        <v>-</v>
      </c>
    </row>
    <row r="21616">
      <c r="B21616" t="str">
        <v>Công an xã Tân Phong  tỉnh Bến Tre</v>
      </c>
      <c r="C21616" t="str">
        <v>-</v>
      </c>
      <c r="D21616" t="str">
        <v>-</v>
      </c>
      <c r="E21616" t="str">
        <v/>
      </c>
      <c r="F21616" t="str">
        <v>-</v>
      </c>
      <c r="G21616" t="str">
        <v>-</v>
      </c>
    </row>
    <row r="21617">
      <c r="B21617" t="str">
        <v>UBND Ủy ban nhân dân xã Tân Phong  tỉnh Bến Tre</v>
      </c>
      <c r="C21617" t="str">
        <v>-</v>
      </c>
      <c r="D21617" t="str">
        <v>-</v>
      </c>
      <c r="E21617" t="str">
        <v>-</v>
      </c>
      <c r="F21617" t="str">
        <v>-</v>
      </c>
      <c r="G21617" t="str">
        <v>-</v>
      </c>
    </row>
    <row r="21618">
      <c r="B21618" t="str">
        <v>Công an xã Mỹ Hưng  tỉnh Bến Tre</v>
      </c>
      <c r="C21618" t="str">
        <v>-</v>
      </c>
      <c r="D21618" t="str">
        <v>-</v>
      </c>
      <c r="E21618" t="str">
        <v/>
      </c>
      <c r="F21618" t="str">
        <v>-</v>
      </c>
      <c r="G21618" t="str">
        <v>-</v>
      </c>
    </row>
    <row r="21619">
      <c r="B21619" t="str">
        <v>UBND Ủy ban nhân dân xã Mỹ Hưng  tỉnh Bến Tre</v>
      </c>
      <c r="C21619" t="str">
        <v>-</v>
      </c>
      <c r="D21619" t="str">
        <v>-</v>
      </c>
      <c r="E21619" t="str">
        <v>-</v>
      </c>
      <c r="F21619" t="str">
        <v>-</v>
      </c>
      <c r="G21619" t="str">
        <v>-</v>
      </c>
    </row>
    <row r="21620">
      <c r="B21620" t="str">
        <v>Công an xã An Thạnh  tỉnh Bến Tre</v>
      </c>
      <c r="C21620" t="str">
        <v>-</v>
      </c>
      <c r="D21620" t="str">
        <v>-</v>
      </c>
      <c r="E21620" t="str">
        <v/>
      </c>
      <c r="F21620" t="str">
        <v>-</v>
      </c>
      <c r="G21620" t="str">
        <v>-</v>
      </c>
    </row>
    <row r="21621">
      <c r="B21621" t="str">
        <v>UBND Ủy ban nhân dân xã An Thạnh  tỉnh Bến Tre</v>
      </c>
      <c r="C21621" t="str">
        <v>-</v>
      </c>
      <c r="D21621" t="str">
        <v>-</v>
      </c>
      <c r="E21621" t="str">
        <v>-</v>
      </c>
      <c r="F21621" t="str">
        <v>-</v>
      </c>
      <c r="G21621" t="str">
        <v>-</v>
      </c>
    </row>
    <row r="21622">
      <c r="B21622" t="str">
        <v>Công an xã Thới Thạnh  tỉnh Bến Tre</v>
      </c>
      <c r="C21622" t="str">
        <v>-</v>
      </c>
      <c r="D21622" t="str">
        <v>-</v>
      </c>
      <c r="E21622" t="str">
        <v/>
      </c>
      <c r="F21622" t="str">
        <v>-</v>
      </c>
      <c r="G21622" t="str">
        <v>-</v>
      </c>
    </row>
    <row r="21623">
      <c r="B21623" t="str">
        <v>UBND Ủy ban nhân dân xã Thới Thạnh  tỉnh Bến Tre</v>
      </c>
      <c r="C21623" t="str">
        <v>-</v>
      </c>
      <c r="D21623" t="str">
        <v>-</v>
      </c>
      <c r="E21623" t="str">
        <v>-</v>
      </c>
      <c r="F21623" t="str">
        <v>-</v>
      </c>
      <c r="G21623" t="str">
        <v>-</v>
      </c>
    </row>
    <row r="21624">
      <c r="B21624" t="str">
        <v>Công an xã Hòa Lợi  tỉnh Bến Tre</v>
      </c>
      <c r="C21624" t="str">
        <v>-</v>
      </c>
      <c r="D21624" t="str">
        <v>-</v>
      </c>
      <c r="E21624" t="str">
        <v/>
      </c>
      <c r="F21624" t="str">
        <v>-</v>
      </c>
      <c r="G21624" t="str">
        <v>-</v>
      </c>
    </row>
    <row r="21625">
      <c r="B21625" t="str">
        <v>UBND Ủy ban nhân dân xã Hòa Lợi  tỉnh Bến Tre</v>
      </c>
      <c r="C21625" t="str">
        <v>-</v>
      </c>
      <c r="D21625" t="str">
        <v>-</v>
      </c>
      <c r="E21625" t="str">
        <v>-</v>
      </c>
      <c r="F21625" t="str">
        <v>-</v>
      </c>
      <c r="G21625" t="str">
        <v>-</v>
      </c>
    </row>
    <row r="21626">
      <c r="B21626" t="str">
        <v>Công an xã An Điền  tỉnh Bến Tre</v>
      </c>
      <c r="C21626" t="str">
        <v>-</v>
      </c>
      <c r="D21626" t="str">
        <v>-</v>
      </c>
      <c r="E21626" t="str">
        <v/>
      </c>
      <c r="F21626" t="str">
        <v>-</v>
      </c>
      <c r="G21626" t="str">
        <v>-</v>
      </c>
    </row>
    <row r="21627">
      <c r="B21627" t="str">
        <v>UBND Ủy ban nhân dân xã An Điền  tỉnh Bến Tre</v>
      </c>
      <c r="C21627" t="str">
        <v>-</v>
      </c>
      <c r="D21627" t="str">
        <v>-</v>
      </c>
      <c r="E21627" t="str">
        <v>-</v>
      </c>
      <c r="F21627" t="str">
        <v>-</v>
      </c>
      <c r="G21627" t="str">
        <v>-</v>
      </c>
    </row>
    <row r="21628">
      <c r="B21628" t="str">
        <v>Công an xã Bình Thạnh  tỉnh Bến Tre</v>
      </c>
      <c r="C21628" t="str">
        <v>-</v>
      </c>
      <c r="D21628" t="str">
        <v>-</v>
      </c>
      <c r="E21628" t="str">
        <v/>
      </c>
      <c r="F21628" t="str">
        <v>-</v>
      </c>
      <c r="G21628" t="str">
        <v>-</v>
      </c>
    </row>
    <row r="21629">
      <c r="B21629" t="str">
        <v>UBND Ủy ban nhân dân xã Bình Thạnh  tỉnh Bến Tre</v>
      </c>
      <c r="C21629" t="str">
        <v>-</v>
      </c>
      <c r="D21629" t="str">
        <v>-</v>
      </c>
      <c r="E21629" t="str">
        <v>-</v>
      </c>
      <c r="F21629" t="str">
        <v>-</v>
      </c>
      <c r="G21629" t="str">
        <v>-</v>
      </c>
    </row>
    <row r="21630">
      <c r="B21630" t="str">
        <v>Công an xã An Thuận  tỉnh Bến Tre</v>
      </c>
      <c r="C21630" t="str">
        <v>-</v>
      </c>
      <c r="D21630" t="str">
        <v>-</v>
      </c>
      <c r="E21630" t="str">
        <v/>
      </c>
      <c r="F21630" t="str">
        <v>-</v>
      </c>
      <c r="G21630" t="str">
        <v>-</v>
      </c>
    </row>
    <row r="21631">
      <c r="B21631" t="str">
        <v>UBND Ủy ban nhân dân xã An Thuận  tỉnh Bến Tre</v>
      </c>
      <c r="C21631" t="str">
        <v>-</v>
      </c>
      <c r="D21631" t="str">
        <v>-</v>
      </c>
      <c r="E21631" t="str">
        <v>-</v>
      </c>
      <c r="F21631" t="str">
        <v>-</v>
      </c>
      <c r="G21631" t="str">
        <v>-</v>
      </c>
    </row>
    <row r="21632">
      <c r="B21632" t="str">
        <v>Công an xã An Quy  tỉnh Bến Tre</v>
      </c>
      <c r="C21632" t="str">
        <v>-</v>
      </c>
      <c r="D21632" t="str">
        <v>-</v>
      </c>
      <c r="E21632" t="str">
        <v/>
      </c>
      <c r="F21632" t="str">
        <v>-</v>
      </c>
      <c r="G21632" t="str">
        <v>-</v>
      </c>
    </row>
    <row r="21633">
      <c r="B21633" t="str">
        <v>UBND Ủy ban nhân dân xã An Quy  tỉnh Bến Tre</v>
      </c>
      <c r="C21633" t="str">
        <v>-</v>
      </c>
      <c r="D21633" t="str">
        <v>-</v>
      </c>
      <c r="E21633" t="str">
        <v>-</v>
      </c>
      <c r="F21633" t="str">
        <v>-</v>
      </c>
      <c r="G21633" t="str">
        <v>-</v>
      </c>
    </row>
    <row r="21634">
      <c r="B21634" t="str">
        <v>Công an xã Thạnh Hải  tỉnh Bến Tre</v>
      </c>
      <c r="C21634" t="str">
        <v>-</v>
      </c>
      <c r="D21634" t="str">
        <v>-</v>
      </c>
      <c r="E21634" t="str">
        <v/>
      </c>
      <c r="F21634" t="str">
        <v>-</v>
      </c>
      <c r="G21634" t="str">
        <v>-</v>
      </c>
    </row>
    <row r="21635">
      <c r="B21635" t="str">
        <v>UBND Ủy ban nhân dân xã Thạnh Hải  tỉnh Bến Tre</v>
      </c>
      <c r="C21635" t="str">
        <v>-</v>
      </c>
      <c r="D21635" t="str">
        <v>-</v>
      </c>
      <c r="E21635" t="str">
        <v>-</v>
      </c>
      <c r="F21635" t="str">
        <v>-</v>
      </c>
      <c r="G21635" t="str">
        <v>-</v>
      </c>
    </row>
    <row r="21636">
      <c r="B21636" t="str">
        <v>Công an xã An Nhơn  tỉnh Bến Tre</v>
      </c>
      <c r="C21636" t="str">
        <v>-</v>
      </c>
      <c r="D21636" t="str">
        <v>-</v>
      </c>
      <c r="E21636" t="str">
        <v/>
      </c>
      <c r="F21636" t="str">
        <v>-</v>
      </c>
      <c r="G21636" t="str">
        <v>-</v>
      </c>
    </row>
    <row r="21637">
      <c r="B21637" t="str">
        <v>UBND Ủy ban nhân dân xã An Nhơn  tỉnh Bến Tre</v>
      </c>
      <c r="C21637" t="str">
        <v>-</v>
      </c>
      <c r="D21637" t="str">
        <v>-</v>
      </c>
      <c r="E21637" t="str">
        <v>-</v>
      </c>
      <c r="F21637" t="str">
        <v>-</v>
      </c>
      <c r="G21637" t="str">
        <v>-</v>
      </c>
    </row>
    <row r="21638">
      <c r="B21638" t="str">
        <v>Công an xã Giao Thạnh  tỉnh Bến Tre</v>
      </c>
      <c r="C21638" t="str">
        <v>-</v>
      </c>
      <c r="D21638" t="str">
        <v>-</v>
      </c>
      <c r="E21638" t="str">
        <v/>
      </c>
      <c r="F21638" t="str">
        <v>-</v>
      </c>
      <c r="G21638" t="str">
        <v>-</v>
      </c>
    </row>
    <row r="21639">
      <c r="B21639" t="str">
        <v>UBND Ủy ban nhân dân xã Giao Thạnh  tỉnh Bến Tre</v>
      </c>
      <c r="C21639" t="str">
        <v>-</v>
      </c>
      <c r="D21639" t="str">
        <v>-</v>
      </c>
      <c r="E21639" t="str">
        <v>-</v>
      </c>
      <c r="F21639" t="str">
        <v>-</v>
      </c>
      <c r="G21639" t="str">
        <v>-</v>
      </c>
    </row>
    <row r="21640">
      <c r="B21640" t="str">
        <v>Công an xã Thạnh Phong  tỉnh Bến Tre</v>
      </c>
      <c r="C21640" t="str">
        <v>-</v>
      </c>
      <c r="D21640" t="str">
        <v>-</v>
      </c>
      <c r="E21640" t="str">
        <v/>
      </c>
      <c r="F21640" t="str">
        <v>-</v>
      </c>
      <c r="G21640" t="str">
        <v>-</v>
      </c>
    </row>
    <row r="21641">
      <c r="B21641" t="str">
        <v>UBND Ủy ban nhân dân xã Thạnh Phong  tỉnh Bến Tre</v>
      </c>
      <c r="C21641" t="str">
        <v>-</v>
      </c>
      <c r="D21641" t="str">
        <v>-</v>
      </c>
      <c r="E21641" t="str">
        <v>-</v>
      </c>
      <c r="F21641" t="str">
        <v>-</v>
      </c>
      <c r="G21641" t="str">
        <v>-</v>
      </c>
    </row>
    <row r="21642">
      <c r="B21642" t="str">
        <v>Công an xã Mỹ An  tỉnh Bến Tre</v>
      </c>
      <c r="C21642" t="str">
        <v>-</v>
      </c>
      <c r="D21642" t="str">
        <v>-</v>
      </c>
      <c r="E21642" t="str">
        <v/>
      </c>
      <c r="F21642" t="str">
        <v>-</v>
      </c>
      <c r="G21642" t="str">
        <v>-</v>
      </c>
    </row>
    <row r="21643">
      <c r="B21643" t="str">
        <v>UBND Ủy ban nhân dân xã Mỹ An  tỉnh Bến Tre</v>
      </c>
      <c r="C21643" t="str">
        <v>-</v>
      </c>
      <c r="D21643" t="str">
        <v>-</v>
      </c>
      <c r="E21643" t="str">
        <v>-</v>
      </c>
      <c r="F21643" t="str">
        <v>-</v>
      </c>
      <c r="G21643" t="str">
        <v>-</v>
      </c>
    </row>
    <row r="21644">
      <c r="B21644" t="str">
        <v>Công an xã Phú Mỹ  tỉnh Bến Tre</v>
      </c>
      <c r="C21644" t="str">
        <v>-</v>
      </c>
      <c r="D21644" t="str">
        <v>-</v>
      </c>
      <c r="E21644" t="str">
        <v/>
      </c>
      <c r="F21644" t="str">
        <v>-</v>
      </c>
      <c r="G21644" t="str">
        <v>-</v>
      </c>
    </row>
    <row r="21645">
      <c r="B21645" t="str">
        <v>UBND Ủy ban nhân dân xã Phú Mỹ  tỉnh Bến Tre</v>
      </c>
      <c r="C21645" t="str">
        <v>-</v>
      </c>
      <c r="D21645" t="str">
        <v>-</v>
      </c>
      <c r="E21645" t="str">
        <v>-</v>
      </c>
      <c r="F21645" t="str">
        <v>-</v>
      </c>
      <c r="G21645" t="str">
        <v>-</v>
      </c>
    </row>
    <row r="21646">
      <c r="B21646" t="str">
        <v>Công an xã Hưng Khánh Trung A  tỉnh Bến Tre</v>
      </c>
      <c r="C21646" t="str">
        <v>-</v>
      </c>
      <c r="D21646" t="str">
        <v>-</v>
      </c>
      <c r="E21646" t="str">
        <v/>
      </c>
      <c r="F21646" t="str">
        <v>-</v>
      </c>
      <c r="G21646" t="str">
        <v>-</v>
      </c>
    </row>
    <row r="21647">
      <c r="B21647" t="str">
        <v>UBND Ủy ban nhân dân xã Hưng Khánh Trung A  tỉnh Bến Tre</v>
      </c>
      <c r="C21647" t="str">
        <v>-</v>
      </c>
      <c r="D21647" t="str">
        <v>-</v>
      </c>
      <c r="E21647" t="str">
        <v>-</v>
      </c>
      <c r="F21647" t="str">
        <v>-</v>
      </c>
      <c r="G21647" t="str">
        <v>-</v>
      </c>
    </row>
    <row r="21648">
      <c r="B21648" t="str">
        <v>Công an xã Thanh Tân  tỉnh Bến Tre</v>
      </c>
      <c r="C21648" t="str">
        <v>-</v>
      </c>
      <c r="D21648" t="str">
        <v>-</v>
      </c>
      <c r="E21648" t="str">
        <v/>
      </c>
      <c r="F21648" t="str">
        <v>-</v>
      </c>
      <c r="G21648" t="str">
        <v>-</v>
      </c>
    </row>
    <row r="21649">
      <c r="B21649" t="str">
        <v>UBND Ủy ban nhân dân xã Thanh Tân  tỉnh Bến Tre</v>
      </c>
      <c r="C21649" t="str">
        <v>-</v>
      </c>
      <c r="D21649" t="str">
        <v>-</v>
      </c>
      <c r="E21649" t="str">
        <v>-</v>
      </c>
      <c r="F21649" t="str">
        <v>-</v>
      </c>
      <c r="G21649" t="str">
        <v>-</v>
      </c>
    </row>
    <row r="21650">
      <c r="B21650" t="str">
        <v>Công an xã Thạnh Ngãi  tỉnh Bến Tre</v>
      </c>
      <c r="C21650" t="str">
        <v>-</v>
      </c>
      <c r="D21650" t="str">
        <v>-</v>
      </c>
      <c r="E21650" t="str">
        <v/>
      </c>
      <c r="F21650" t="str">
        <v>-</v>
      </c>
      <c r="G21650" t="str">
        <v>-</v>
      </c>
    </row>
    <row r="21651">
      <c r="B21651" t="str">
        <v>UBND Ủy ban nhân dân xã Thạnh Ngãi  tỉnh Bến Tre</v>
      </c>
      <c r="C21651" t="str">
        <v>-</v>
      </c>
      <c r="D21651" t="str">
        <v>-</v>
      </c>
      <c r="E21651" t="str">
        <v>-</v>
      </c>
      <c r="F21651" t="str">
        <v>-</v>
      </c>
      <c r="G21651" t="str">
        <v>-</v>
      </c>
    </row>
    <row r="21652">
      <c r="B21652" t="str">
        <v>Công an xã Tân Phú Tây  tỉnh Bến Tre</v>
      </c>
      <c r="C21652" t="str">
        <v>-</v>
      </c>
      <c r="D21652" t="str">
        <v>-</v>
      </c>
      <c r="E21652" t="str">
        <v/>
      </c>
      <c r="F21652" t="str">
        <v>-</v>
      </c>
      <c r="G21652" t="str">
        <v>-</v>
      </c>
    </row>
    <row r="21653">
      <c r="B21653" t="str">
        <v>UBND Ủy ban nhân dân xã Tân Phú Tây  tỉnh Bến Tre</v>
      </c>
      <c r="C21653" t="str">
        <v>-</v>
      </c>
      <c r="D21653" t="str">
        <v>-</v>
      </c>
      <c r="E21653" t="str">
        <v>-</v>
      </c>
      <c r="F21653" t="str">
        <v>-</v>
      </c>
      <c r="G21653" t="str">
        <v>-</v>
      </c>
    </row>
    <row r="21654">
      <c r="B21654" t="str">
        <v>Công an xã Phước Mỹ Trung  tỉnh Bến Tre</v>
      </c>
      <c r="C21654" t="str">
        <v>-</v>
      </c>
      <c r="D21654" t="str">
        <v>-</v>
      </c>
      <c r="E21654" t="str">
        <v/>
      </c>
      <c r="F21654" t="str">
        <v>-</v>
      </c>
      <c r="G21654" t="str">
        <v>-</v>
      </c>
    </row>
    <row r="21655">
      <c r="B21655" t="str">
        <v>UBND Ủy ban nhân dân xã Phước Mỹ Trung  tỉnh Bến Tre</v>
      </c>
      <c r="C21655" t="str">
        <v>-</v>
      </c>
      <c r="D21655" t="str">
        <v>-</v>
      </c>
      <c r="E21655" t="str">
        <v>-</v>
      </c>
      <c r="F21655" t="str">
        <v>-</v>
      </c>
      <c r="G21655" t="str">
        <v>-</v>
      </c>
    </row>
    <row r="21656">
      <c r="B21656" t="str">
        <v>Công an xã Tân Thành Bình  tỉnh Bến Tre</v>
      </c>
      <c r="C21656" t="str">
        <v>-</v>
      </c>
      <c r="D21656" t="str">
        <v>-</v>
      </c>
      <c r="E21656" t="str">
        <v/>
      </c>
      <c r="F21656" t="str">
        <v>-</v>
      </c>
      <c r="G21656" t="str">
        <v>-</v>
      </c>
    </row>
    <row r="21657">
      <c r="B21657" t="str">
        <v>UBND Ủy ban nhân dân xã Tân Thành Bình  tỉnh Bến Tre</v>
      </c>
      <c r="C21657" t="str">
        <v>-</v>
      </c>
      <c r="D21657" t="str">
        <v>-</v>
      </c>
      <c r="E21657" t="str">
        <v>-</v>
      </c>
      <c r="F21657" t="str">
        <v>-</v>
      </c>
      <c r="G21657" t="str">
        <v>-</v>
      </c>
    </row>
    <row r="21658">
      <c r="B21658" t="str">
        <v>Công an xã Thành An  tỉnh Bến Tre</v>
      </c>
      <c r="C21658" t="str">
        <v>-</v>
      </c>
      <c r="D21658" t="str">
        <v>-</v>
      </c>
      <c r="E21658" t="str">
        <v/>
      </c>
      <c r="F21658" t="str">
        <v>-</v>
      </c>
      <c r="G21658" t="str">
        <v>-</v>
      </c>
    </row>
    <row r="21659">
      <c r="B21659" t="str">
        <v>UBND Ủy ban nhân dân xã Thành An  tỉnh Bến Tre</v>
      </c>
      <c r="C21659" t="str">
        <v>-</v>
      </c>
      <c r="D21659" t="str">
        <v>-</v>
      </c>
      <c r="E21659" t="str">
        <v>-</v>
      </c>
      <c r="F21659" t="str">
        <v>-</v>
      </c>
      <c r="G21659" t="str">
        <v>-</v>
      </c>
    </row>
    <row r="21660">
      <c r="B21660" t="str">
        <v>Công an xã Hòa Lộc  tỉnh Bến Tre</v>
      </c>
      <c r="C21660" t="str">
        <v>-</v>
      </c>
      <c r="D21660" t="str">
        <v>-</v>
      </c>
      <c r="E21660" t="str">
        <v/>
      </c>
      <c r="F21660" t="str">
        <v>-</v>
      </c>
      <c r="G21660" t="str">
        <v>-</v>
      </c>
    </row>
    <row r="21661">
      <c r="B21661" t="str">
        <v>UBND Ủy ban nhân dân xã Hòa Lộc  tỉnh Bến Tre</v>
      </c>
      <c r="C21661" t="str">
        <v>-</v>
      </c>
      <c r="D21661" t="str">
        <v>-</v>
      </c>
      <c r="E21661" t="str">
        <v>-</v>
      </c>
      <c r="F21661" t="str">
        <v>-</v>
      </c>
      <c r="G21661" t="str">
        <v>-</v>
      </c>
    </row>
    <row r="21662">
      <c r="B21662" t="str">
        <v>Công an xã Tân Thanh Tây  tỉnh Bến Tre</v>
      </c>
      <c r="C21662" t="str">
        <v>-</v>
      </c>
      <c r="D21662" t="str">
        <v>-</v>
      </c>
      <c r="E21662" t="str">
        <v/>
      </c>
      <c r="F21662" t="str">
        <v>-</v>
      </c>
      <c r="G21662" t="str">
        <v>-</v>
      </c>
    </row>
    <row r="21663">
      <c r="B21663" t="str">
        <v>UBND Ủy ban nhân dân xã Tân Thanh Tây  tỉnh Bến Tre</v>
      </c>
      <c r="C21663" t="str">
        <v>-</v>
      </c>
      <c r="D21663" t="str">
        <v>-</v>
      </c>
      <c r="E21663" t="str">
        <v>-</v>
      </c>
      <c r="F21663" t="str">
        <v>-</v>
      </c>
      <c r="G21663" t="str">
        <v>-</v>
      </c>
    </row>
    <row r="21664">
      <c r="B21664" t="str">
        <v>Công an xã Tân Bình  tỉnh Bến Tre</v>
      </c>
      <c r="C21664" t="str">
        <v>-</v>
      </c>
      <c r="D21664" t="str">
        <v>-</v>
      </c>
      <c r="E21664" t="str">
        <v/>
      </c>
      <c r="F21664" t="str">
        <v>-</v>
      </c>
      <c r="G21664" t="str">
        <v>-</v>
      </c>
    </row>
    <row r="21665">
      <c r="B21665" t="str">
        <v>UBND Ủy ban nhân dân xã Tân Bình  tỉnh Bến Tre</v>
      </c>
      <c r="C21665" t="str">
        <v>-</v>
      </c>
      <c r="D21665" t="str">
        <v>-</v>
      </c>
      <c r="E21665" t="str">
        <v>-</v>
      </c>
      <c r="F21665" t="str">
        <v>-</v>
      </c>
      <c r="G21665" t="str">
        <v>-</v>
      </c>
    </row>
    <row r="21666">
      <c r="B21666" t="str">
        <v>Công an xã Nhuận Phú Tân  tỉnh Bến Tre</v>
      </c>
      <c r="C21666" t="str">
        <v>-</v>
      </c>
      <c r="D21666" t="str">
        <v>-</v>
      </c>
      <c r="E21666" t="str">
        <v/>
      </c>
      <c r="F21666" t="str">
        <v>-</v>
      </c>
      <c r="G21666" t="str">
        <v>-</v>
      </c>
    </row>
    <row r="21667">
      <c r="B21667" t="str">
        <v>UBND Ủy ban nhân dân xã Nhuận Phú Tân  tỉnh Bến Tre</v>
      </c>
      <c r="C21667" t="str">
        <v>-</v>
      </c>
      <c r="D21667" t="str">
        <v>-</v>
      </c>
      <c r="E21667" t="str">
        <v>-</v>
      </c>
      <c r="F21667" t="str">
        <v>-</v>
      </c>
      <c r="G21667" t="str">
        <v>-</v>
      </c>
    </row>
    <row r="21668">
      <c r="B21668" t="str">
        <v>Công an xã Khánh Thạnh Tân  tỉnh Bến Tre</v>
      </c>
      <c r="C21668" t="str">
        <v>-</v>
      </c>
      <c r="D21668" t="str">
        <v>-</v>
      </c>
      <c r="E21668" t="str">
        <v/>
      </c>
      <c r="F21668" t="str">
        <v>-</v>
      </c>
      <c r="G21668" t="str">
        <v>-</v>
      </c>
    </row>
    <row r="21669">
      <c r="B21669" t="str">
        <v>UBND Ủy ban nhân dân xã Khánh Thạnh Tân  tỉnh Bến Tre</v>
      </c>
      <c r="C21669" t="str">
        <v>-</v>
      </c>
      <c r="D21669" t="str">
        <v>-</v>
      </c>
      <c r="E21669" t="str">
        <v>-</v>
      </c>
      <c r="F21669" t="str">
        <v>-</v>
      </c>
      <c r="G21669" t="str">
        <v>-</v>
      </c>
    </row>
    <row r="21670">
      <c r="B21670" t="str">
        <v>Công an phường 4  tỉnh Trà Vinh</v>
      </c>
      <c r="C21670" t="str">
        <v>-</v>
      </c>
      <c r="D21670" t="str">
        <v>-</v>
      </c>
      <c r="E21670" t="str">
        <v/>
      </c>
      <c r="F21670" t="str">
        <v>-</v>
      </c>
      <c r="G21670" t="str">
        <v>-</v>
      </c>
    </row>
    <row r="21671">
      <c r="B21671" t="str">
        <v>UBND Ủy ban nhân dân phường 4  tỉnh Trà Vinh</v>
      </c>
      <c r="C21671" t="str">
        <v>-</v>
      </c>
      <c r="D21671" t="str">
        <v>-</v>
      </c>
      <c r="E21671" t="str">
        <v>-</v>
      </c>
      <c r="F21671" t="str">
        <v>-</v>
      </c>
      <c r="G21671" t="str">
        <v>-</v>
      </c>
    </row>
    <row r="21672">
      <c r="B21672" t="str">
        <v>Công an phường 1  tỉnh Trà Vinh</v>
      </c>
      <c r="C21672" t="str">
        <v>-</v>
      </c>
      <c r="D21672" t="str">
        <v>-</v>
      </c>
      <c r="E21672" t="str">
        <v/>
      </c>
      <c r="F21672" t="str">
        <v>-</v>
      </c>
      <c r="G21672" t="str">
        <v>-</v>
      </c>
    </row>
    <row r="21673">
      <c r="B21673" t="str">
        <v>UBND Ủy ban nhân dân phường 1  tỉnh Trà Vinh</v>
      </c>
      <c r="C21673" t="str">
        <v>-</v>
      </c>
      <c r="D21673" t="str">
        <v>-</v>
      </c>
      <c r="E21673" t="str">
        <v>-</v>
      </c>
      <c r="F21673" t="str">
        <v>-</v>
      </c>
      <c r="G21673" t="str">
        <v>-</v>
      </c>
    </row>
    <row r="21674">
      <c r="B21674" t="str">
        <v>Công an phường 3  tỉnh Trà Vinh</v>
      </c>
      <c r="C21674" t="str">
        <v>-</v>
      </c>
      <c r="D21674" t="str">
        <v>-</v>
      </c>
      <c r="E21674" t="str">
        <v/>
      </c>
      <c r="F21674" t="str">
        <v>-</v>
      </c>
      <c r="G21674" t="str">
        <v>-</v>
      </c>
    </row>
    <row r="21675">
      <c r="B21675" t="str">
        <v>UBND Ủy ban nhân dân phường 3  tỉnh Trà Vinh</v>
      </c>
      <c r="C21675" t="str">
        <v>-</v>
      </c>
      <c r="D21675" t="str">
        <v>-</v>
      </c>
      <c r="E21675" t="str">
        <v>-</v>
      </c>
      <c r="F21675" t="str">
        <v>-</v>
      </c>
      <c r="G21675" t="str">
        <v>-</v>
      </c>
    </row>
    <row r="21676">
      <c r="B21676" t="str">
        <v>Công an phường 2  tỉnh Trà Vinh</v>
      </c>
      <c r="C21676" t="str">
        <v>-</v>
      </c>
      <c r="D21676" t="str">
        <v>-</v>
      </c>
      <c r="E21676" t="str">
        <v/>
      </c>
      <c r="F21676" t="str">
        <v>-</v>
      </c>
      <c r="G21676" t="str">
        <v>-</v>
      </c>
    </row>
    <row r="21677">
      <c r="B21677" t="str">
        <v>UBND Ủy ban nhân dân phường 2  tỉnh Trà Vinh</v>
      </c>
      <c r="C21677" t="str">
        <v>-</v>
      </c>
      <c r="D21677" t="str">
        <v>-</v>
      </c>
      <c r="E21677" t="str">
        <v>-</v>
      </c>
      <c r="F21677" t="str">
        <v>-</v>
      </c>
      <c r="G21677" t="str">
        <v>-</v>
      </c>
    </row>
    <row r="21678">
      <c r="B21678" t="str">
        <v>Công an phường 5  tỉnh Trà Vinh</v>
      </c>
      <c r="C21678" t="str">
        <v>-</v>
      </c>
      <c r="D21678" t="str">
        <v>-</v>
      </c>
      <c r="E21678" t="str">
        <v/>
      </c>
      <c r="F21678" t="str">
        <v>-</v>
      </c>
      <c r="G21678" t="str">
        <v>-</v>
      </c>
    </row>
    <row r="21679">
      <c r="B21679" t="str">
        <v>UBND Ủy ban nhân dân phường 5  tỉnh Trà Vinh</v>
      </c>
      <c r="C21679" t="str">
        <v>-</v>
      </c>
      <c r="D21679" t="str">
        <v>-</v>
      </c>
      <c r="E21679" t="str">
        <v>-</v>
      </c>
      <c r="F21679" t="str">
        <v>-</v>
      </c>
      <c r="G21679" t="str">
        <v>-</v>
      </c>
    </row>
    <row r="21680">
      <c r="B21680" t="str">
        <v>Công an phường 6  tỉnh Trà Vinh</v>
      </c>
      <c r="C21680" t="str">
        <v>-</v>
      </c>
      <c r="D21680" t="str">
        <v>-</v>
      </c>
      <c r="E21680" t="str">
        <v/>
      </c>
      <c r="F21680" t="str">
        <v>-</v>
      </c>
      <c r="G21680" t="str">
        <v>-</v>
      </c>
    </row>
    <row r="21681">
      <c r="B21681" t="str">
        <v>UBND Ủy ban nhân dân phường 6  tỉnh Trà Vinh</v>
      </c>
      <c r="C21681" t="str">
        <v>-</v>
      </c>
      <c r="D21681" t="str">
        <v>-</v>
      </c>
      <c r="E21681" t="str">
        <v>-</v>
      </c>
      <c r="F21681" t="str">
        <v>-</v>
      </c>
      <c r="G21681" t="str">
        <v>-</v>
      </c>
    </row>
    <row r="21682">
      <c r="B21682" t="str">
        <v>Công an phường 7  tỉnh Trà Vinh</v>
      </c>
      <c r="C21682" t="str">
        <v>-</v>
      </c>
      <c r="D21682" t="str">
        <v>-</v>
      </c>
      <c r="E21682" t="str">
        <v/>
      </c>
      <c r="F21682" t="str">
        <v>-</v>
      </c>
      <c r="G21682" t="str">
        <v>-</v>
      </c>
    </row>
    <row r="21683">
      <c r="B21683" t="str">
        <v>UBND Ủy ban nhân dân phường 7  tỉnh Trà Vinh</v>
      </c>
      <c r="C21683" t="str">
        <v>-</v>
      </c>
      <c r="D21683" t="str">
        <v>-</v>
      </c>
      <c r="E21683" t="str">
        <v>-</v>
      </c>
      <c r="F21683" t="str">
        <v>-</v>
      </c>
      <c r="G21683" t="str">
        <v>-</v>
      </c>
    </row>
    <row r="21684">
      <c r="B21684" t="str">
        <v>Công an phường 8  tỉnh Trà Vinh</v>
      </c>
      <c r="C21684" t="str">
        <v>-</v>
      </c>
      <c r="D21684" t="str">
        <v>-</v>
      </c>
      <c r="E21684" t="str">
        <v/>
      </c>
      <c r="F21684" t="str">
        <v>-</v>
      </c>
      <c r="G21684" t="str">
        <v>-</v>
      </c>
    </row>
    <row r="21685">
      <c r="B21685" t="str">
        <v>UBND Ủy ban nhân dân phường 8  tỉnh Trà Vinh</v>
      </c>
      <c r="C21685" t="str">
        <v>-</v>
      </c>
      <c r="D21685" t="str">
        <v>-</v>
      </c>
      <c r="E21685" t="str">
        <v>-</v>
      </c>
      <c r="F21685" t="str">
        <v>-</v>
      </c>
      <c r="G21685" t="str">
        <v>-</v>
      </c>
    </row>
    <row r="21686">
      <c r="B21686" t="str">
        <v>Công an phường 9  tỉnh Trà Vinh</v>
      </c>
      <c r="C21686" t="str">
        <v>-</v>
      </c>
      <c r="D21686" t="str">
        <v>-</v>
      </c>
      <c r="E21686" t="str">
        <v/>
      </c>
      <c r="F21686" t="str">
        <v>-</v>
      </c>
      <c r="G21686" t="str">
        <v>-</v>
      </c>
    </row>
    <row r="21687">
      <c r="B21687" t="str">
        <v>UBND Ủy ban nhân dân phường 9  tỉnh Trà Vinh</v>
      </c>
      <c r="C21687" t="str">
        <v>-</v>
      </c>
      <c r="D21687" t="str">
        <v>-</v>
      </c>
      <c r="E21687" t="str">
        <v>-</v>
      </c>
      <c r="F21687" t="str">
        <v>-</v>
      </c>
      <c r="G21687" t="str">
        <v>-</v>
      </c>
    </row>
    <row r="21688">
      <c r="B21688" t="str">
        <v>Công an xã Long Đức  tỉnh Trà Vinh</v>
      </c>
      <c r="C21688" t="str">
        <v>-</v>
      </c>
      <c r="D21688" t="str">
        <v>-</v>
      </c>
      <c r="E21688" t="str">
        <v/>
      </c>
      <c r="F21688" t="str">
        <v>-</v>
      </c>
      <c r="G21688" t="str">
        <v>-</v>
      </c>
    </row>
    <row r="21689">
      <c r="B21689" t="str">
        <v>UBND Ủy ban nhân dân xã Long Đức  tỉnh Trà Vinh</v>
      </c>
      <c r="C21689" t="str">
        <v>-</v>
      </c>
      <c r="D21689" t="str">
        <v>-</v>
      </c>
      <c r="E21689" t="str">
        <v>-</v>
      </c>
      <c r="F21689" t="str">
        <v>-</v>
      </c>
      <c r="G21689" t="str">
        <v>-</v>
      </c>
    </row>
    <row r="21690">
      <c r="B21690" t="str">
        <v>Công an xã Mỹ Cẩm  tỉnh Trà Vinh</v>
      </c>
      <c r="C21690" t="str">
        <v>-</v>
      </c>
      <c r="D21690" t="str">
        <v>-</v>
      </c>
      <c r="E21690" t="str">
        <v/>
      </c>
      <c r="F21690" t="str">
        <v>-</v>
      </c>
      <c r="G21690" t="str">
        <v>-</v>
      </c>
    </row>
    <row r="21691">
      <c r="B21691" t="str">
        <v>UBND Ủy ban nhân dân xã Mỹ Cẩm  tỉnh Trà Vinh</v>
      </c>
      <c r="C21691" t="str">
        <v>-</v>
      </c>
      <c r="D21691" t="str">
        <v>-</v>
      </c>
      <c r="E21691" t="str">
        <v>-</v>
      </c>
      <c r="F21691" t="str">
        <v>-</v>
      </c>
      <c r="G21691" t="str">
        <v>-</v>
      </c>
    </row>
    <row r="21692">
      <c r="B21692" t="str">
        <v>Công an xã An Trường A  tỉnh Trà Vinh</v>
      </c>
      <c r="C21692" t="str">
        <v>-</v>
      </c>
      <c r="D21692" t="str">
        <v>-</v>
      </c>
      <c r="E21692" t="str">
        <v/>
      </c>
      <c r="F21692" t="str">
        <v>-</v>
      </c>
      <c r="G21692" t="str">
        <v>-</v>
      </c>
    </row>
    <row r="21693">
      <c r="B21693" t="str">
        <v>UBND Ủy ban nhân dân xã An Trường A  tỉnh Trà Vinh</v>
      </c>
      <c r="C21693" t="str">
        <v>-</v>
      </c>
      <c r="D21693" t="str">
        <v>-</v>
      </c>
      <c r="E21693" t="str">
        <v>-</v>
      </c>
      <c r="F21693" t="str">
        <v>-</v>
      </c>
      <c r="G21693" t="str">
        <v>-</v>
      </c>
    </row>
    <row r="21694">
      <c r="B21694" t="str">
        <v>Công an xã An Trường  tỉnh Trà Vinh</v>
      </c>
      <c r="C21694" t="str">
        <v>-</v>
      </c>
      <c r="D21694" t="str">
        <v>-</v>
      </c>
      <c r="E21694" t="str">
        <v/>
      </c>
      <c r="F21694" t="str">
        <v>-</v>
      </c>
      <c r="G21694" t="str">
        <v>-</v>
      </c>
    </row>
    <row r="21695">
      <c r="B21695" t="str">
        <v>UBND Ủy ban nhân dân xã An Trường  tỉnh Trà Vinh</v>
      </c>
      <c r="C21695" t="str">
        <v>-</v>
      </c>
      <c r="D21695" t="str">
        <v>-</v>
      </c>
      <c r="E21695" t="str">
        <v>-</v>
      </c>
      <c r="F21695" t="str">
        <v>-</v>
      </c>
      <c r="G21695" t="str">
        <v>-</v>
      </c>
    </row>
    <row r="21696">
      <c r="B21696" t="str">
        <v>Công an xã Huyền Hội  tỉnh Trà Vinh</v>
      </c>
      <c r="C21696" t="str">
        <v>-</v>
      </c>
      <c r="D21696" t="str">
        <v>-</v>
      </c>
      <c r="E21696" t="str">
        <v/>
      </c>
      <c r="F21696" t="str">
        <v>-</v>
      </c>
      <c r="G21696" t="str">
        <v>-</v>
      </c>
    </row>
    <row r="21697">
      <c r="B21697" t="str">
        <v>UBND Ủy ban nhân dân xã Huyền Hội  tỉnh Trà Vinh</v>
      </c>
      <c r="C21697" t="str">
        <v>-</v>
      </c>
      <c r="D21697" t="str">
        <v>-</v>
      </c>
      <c r="E21697" t="str">
        <v>-</v>
      </c>
      <c r="F21697" t="str">
        <v>-</v>
      </c>
      <c r="G21697" t="str">
        <v>-</v>
      </c>
    </row>
    <row r="21698">
      <c r="B21698" t="str">
        <v>Công an xã Tân An  tỉnh Trà Vinh</v>
      </c>
      <c r="C21698" t="str">
        <v>-</v>
      </c>
      <c r="D21698" t="str">
        <v>-</v>
      </c>
      <c r="E21698" t="str">
        <v/>
      </c>
      <c r="F21698" t="str">
        <v>-</v>
      </c>
      <c r="G21698" t="str">
        <v>-</v>
      </c>
    </row>
    <row r="21699">
      <c r="B21699" t="str">
        <v>UBND Ủy ban nhân dân xã Tân An  tỉnh Trà Vinh</v>
      </c>
      <c r="C21699" t="str">
        <v>-</v>
      </c>
      <c r="D21699" t="str">
        <v>-</v>
      </c>
      <c r="E21699" t="str">
        <v>-</v>
      </c>
      <c r="F21699" t="str">
        <v>-</v>
      </c>
      <c r="G21699" t="str">
        <v>-</v>
      </c>
    </row>
    <row r="21700">
      <c r="B21700" t="str">
        <v>Công an xã Tân Bình  tỉnh Trà Vinh</v>
      </c>
      <c r="C21700" t="str">
        <v>-</v>
      </c>
      <c r="D21700" t="str">
        <v>-</v>
      </c>
      <c r="E21700" t="str">
        <v/>
      </c>
      <c r="F21700" t="str">
        <v>-</v>
      </c>
      <c r="G21700" t="str">
        <v>-</v>
      </c>
    </row>
    <row r="21701">
      <c r="B21701" t="str">
        <v>UBND Ủy ban nhân dân xã Tân Bình  tỉnh Trà Vinh</v>
      </c>
      <c r="C21701" t="str">
        <v>-</v>
      </c>
      <c r="D21701" t="str">
        <v>-</v>
      </c>
      <c r="E21701" t="str">
        <v>-</v>
      </c>
      <c r="F21701" t="str">
        <v>-</v>
      </c>
      <c r="G21701" t="str">
        <v>-</v>
      </c>
    </row>
    <row r="21702">
      <c r="B21702" t="str">
        <v>Công an xã Bình Phú  tỉnh Trà Vinh</v>
      </c>
      <c r="C21702" t="str">
        <v>-</v>
      </c>
      <c r="D21702" t="str">
        <v>-</v>
      </c>
      <c r="E21702" t="str">
        <v/>
      </c>
      <c r="F21702" t="str">
        <v>-</v>
      </c>
      <c r="G21702" t="str">
        <v>-</v>
      </c>
    </row>
    <row r="21703">
      <c r="B21703" t="str">
        <v>UBND Ủy ban nhân dân xã Bình Phú  tỉnh Trà Vinh</v>
      </c>
      <c r="C21703" t="str">
        <v>-</v>
      </c>
      <c r="D21703" t="str">
        <v>-</v>
      </c>
      <c r="E21703" t="str">
        <v>-</v>
      </c>
      <c r="F21703" t="str">
        <v>-</v>
      </c>
      <c r="G21703" t="str">
        <v>-</v>
      </c>
    </row>
    <row r="21704">
      <c r="B21704" t="str">
        <v>Công an xã Phương Thạnh  tỉnh Trà Vinh</v>
      </c>
      <c r="C21704" t="str">
        <v>-</v>
      </c>
      <c r="D21704" t="str">
        <v>-</v>
      </c>
      <c r="E21704" t="str">
        <v/>
      </c>
      <c r="F21704" t="str">
        <v>-</v>
      </c>
      <c r="G21704" t="str">
        <v>-</v>
      </c>
    </row>
    <row r="21705">
      <c r="B21705" t="str">
        <v>UBND Ủy ban nhân dân xã Phương Thạnh  tỉnh Trà Vinh</v>
      </c>
      <c r="C21705" t="str">
        <v>-</v>
      </c>
      <c r="D21705" t="str">
        <v>-</v>
      </c>
      <c r="E21705" t="str">
        <v>-</v>
      </c>
      <c r="F21705" t="str">
        <v>-</v>
      </c>
      <c r="G21705" t="str">
        <v>-</v>
      </c>
    </row>
    <row r="21706">
      <c r="B21706" t="str">
        <v>Công an xã Đại Phúc  tỉnh Trà Vinh</v>
      </c>
      <c r="C21706" t="str">
        <v>-</v>
      </c>
      <c r="D21706" t="str">
        <v>-</v>
      </c>
      <c r="E21706" t="str">
        <v/>
      </c>
      <c r="F21706" t="str">
        <v>-</v>
      </c>
      <c r="G21706" t="str">
        <v>-</v>
      </c>
    </row>
    <row r="21707">
      <c r="B21707" t="str">
        <v>UBND Ủy ban nhân dân xã Đại Phúc  tỉnh Trà Vinh</v>
      </c>
      <c r="C21707" t="str">
        <v>-</v>
      </c>
      <c r="D21707" t="str">
        <v>-</v>
      </c>
      <c r="E21707" t="str">
        <v>-</v>
      </c>
      <c r="F21707" t="str">
        <v>-</v>
      </c>
      <c r="G21707" t="str">
        <v>-</v>
      </c>
    </row>
    <row r="21708">
      <c r="B21708" t="str">
        <v>Công an xã Đại Phước  tỉnh Trà Vinh</v>
      </c>
      <c r="C21708" t="str">
        <v>-</v>
      </c>
      <c r="D21708" t="str">
        <v>-</v>
      </c>
      <c r="E21708" t="str">
        <v/>
      </c>
      <c r="F21708" t="str">
        <v>-</v>
      </c>
      <c r="G21708" t="str">
        <v>-</v>
      </c>
    </row>
    <row r="21709">
      <c r="B21709" t="str">
        <v>UBND Ủy ban nhân dân xã Đại Phước  tỉnh Trà Vinh</v>
      </c>
      <c r="C21709" t="str">
        <v>-</v>
      </c>
      <c r="D21709" t="str">
        <v>-</v>
      </c>
      <c r="E21709" t="str">
        <v>-</v>
      </c>
      <c r="F21709" t="str">
        <v>-</v>
      </c>
      <c r="G21709" t="str">
        <v>-</v>
      </c>
    </row>
    <row r="21710">
      <c r="B21710" t="str">
        <v>Công an xã Nhị Long Phú  tỉnh Trà Vinh</v>
      </c>
      <c r="C21710" t="str">
        <v>-</v>
      </c>
      <c r="D21710" t="str">
        <v>-</v>
      </c>
      <c r="E21710" t="str">
        <v/>
      </c>
      <c r="F21710" t="str">
        <v>-</v>
      </c>
      <c r="G21710" t="str">
        <v>-</v>
      </c>
    </row>
    <row r="21711">
      <c r="B21711" t="str">
        <v>UBND Ủy ban nhân dân xã Nhị Long Phú  tỉnh Trà Vinh</v>
      </c>
      <c r="C21711" t="str">
        <v>-</v>
      </c>
      <c r="D21711" t="str">
        <v>-</v>
      </c>
      <c r="E21711" t="str">
        <v>-</v>
      </c>
      <c r="F21711" t="str">
        <v>-</v>
      </c>
      <c r="G21711" t="str">
        <v>-</v>
      </c>
    </row>
    <row r="21712">
      <c r="B21712" t="str">
        <v>Công an xã Nhị Long  tỉnh Trà Vinh</v>
      </c>
      <c r="C21712" t="str">
        <v>-</v>
      </c>
      <c r="D21712" t="str">
        <v>-</v>
      </c>
      <c r="E21712" t="str">
        <v/>
      </c>
      <c r="F21712" t="str">
        <v>-</v>
      </c>
      <c r="G21712" t="str">
        <v>-</v>
      </c>
    </row>
    <row r="21713">
      <c r="B21713" t="str">
        <v>UBND Ủy ban nhân dân xã Nhị Long  tỉnh Trà Vinh</v>
      </c>
      <c r="C21713" t="str">
        <v>-</v>
      </c>
      <c r="D21713" t="str">
        <v>-</v>
      </c>
      <c r="E21713" t="str">
        <v>-</v>
      </c>
      <c r="F21713" t="str">
        <v>-</v>
      </c>
      <c r="G21713" t="str">
        <v>-</v>
      </c>
    </row>
    <row r="21714">
      <c r="B21714" t="str">
        <v>Công an xã Đức Mỹ  tỉnh Trà Vinh</v>
      </c>
      <c r="C21714" t="str">
        <v>-</v>
      </c>
      <c r="D21714" t="str">
        <v>-</v>
      </c>
      <c r="E21714" t="str">
        <v/>
      </c>
      <c r="F21714" t="str">
        <v>-</v>
      </c>
      <c r="G21714" t="str">
        <v>-</v>
      </c>
    </row>
    <row r="21715">
      <c r="B21715" t="str">
        <v>UBND Ủy ban nhân dân xã Đức Mỹ  tỉnh Trà Vinh</v>
      </c>
      <c r="C21715" t="str">
        <v>-</v>
      </c>
      <c r="D21715" t="str">
        <v>-</v>
      </c>
      <c r="E21715" t="str">
        <v>-</v>
      </c>
      <c r="F21715" t="str">
        <v>-</v>
      </c>
      <c r="G21715" t="str">
        <v>-</v>
      </c>
    </row>
    <row r="21716">
      <c r="B21716" t="str">
        <v>Công an xã Hòa Ân  tỉnh Trà Vinh</v>
      </c>
      <c r="C21716" t="str">
        <v>-</v>
      </c>
      <c r="D21716" t="str">
        <v>-</v>
      </c>
      <c r="E21716" t="str">
        <v/>
      </c>
      <c r="F21716" t="str">
        <v>-</v>
      </c>
      <c r="G21716" t="str">
        <v>-</v>
      </c>
    </row>
    <row r="21717">
      <c r="B21717" t="str">
        <v>UBND Ủy ban nhân dân xã Hòa Ân  tỉnh Trà Vinh</v>
      </c>
      <c r="C21717" t="str">
        <v>-</v>
      </c>
      <c r="D21717" t="str">
        <v>-</v>
      </c>
      <c r="E21717" t="str">
        <v>-</v>
      </c>
      <c r="F21717" t="str">
        <v>-</v>
      </c>
      <c r="G21717" t="str">
        <v>-</v>
      </c>
    </row>
    <row r="21718">
      <c r="B21718" t="str">
        <v>Công an xã Châu Điền  tỉnh Trà Vinh</v>
      </c>
      <c r="C21718" t="str">
        <v>-</v>
      </c>
      <c r="D21718" t="str">
        <v>-</v>
      </c>
      <c r="E21718" t="str">
        <v/>
      </c>
      <c r="F21718" t="str">
        <v>-</v>
      </c>
      <c r="G21718" t="str">
        <v>-</v>
      </c>
    </row>
    <row r="21719">
      <c r="B21719" t="str">
        <v>UBND Ủy ban nhân dân xã Châu Điền  tỉnh Trà Vinh</v>
      </c>
      <c r="C21719" t="str">
        <v>-</v>
      </c>
      <c r="D21719" t="str">
        <v>-</v>
      </c>
      <c r="E21719" t="str">
        <v>-</v>
      </c>
      <c r="F21719" t="str">
        <v>-</v>
      </c>
      <c r="G21719" t="str">
        <v>-</v>
      </c>
    </row>
    <row r="21720">
      <c r="B21720" t="str">
        <v>Công an xã An Phú Tân  tỉnh Trà Vinh</v>
      </c>
      <c r="C21720" t="str">
        <v>-</v>
      </c>
      <c r="D21720" t="str">
        <v>-</v>
      </c>
      <c r="E21720" t="str">
        <v/>
      </c>
      <c r="F21720" t="str">
        <v>-</v>
      </c>
      <c r="G21720" t="str">
        <v>-</v>
      </c>
    </row>
    <row r="21721">
      <c r="B21721" t="str">
        <v>UBND Ủy ban nhân dân xã An Phú Tân  tỉnh Trà Vinh</v>
      </c>
      <c r="C21721" t="str">
        <v>-</v>
      </c>
      <c r="D21721" t="str">
        <v>-</v>
      </c>
      <c r="E21721" t="str">
        <v>-</v>
      </c>
      <c r="F21721" t="str">
        <v>-</v>
      </c>
      <c r="G21721" t="str">
        <v>-</v>
      </c>
    </row>
    <row r="21722">
      <c r="B21722" t="str">
        <v>Công an xã Hoà Tân  tỉnh Trà Vinh</v>
      </c>
      <c r="C21722" t="str">
        <v>-</v>
      </c>
      <c r="D21722" t="str">
        <v>-</v>
      </c>
      <c r="E21722" t="str">
        <v/>
      </c>
      <c r="F21722" t="str">
        <v>-</v>
      </c>
      <c r="G21722" t="str">
        <v>-</v>
      </c>
    </row>
    <row r="21723">
      <c r="B21723" t="str">
        <v>UBND Ủy ban nhân dân xã Hoà Tân  tỉnh Trà Vinh</v>
      </c>
      <c r="C21723" t="str">
        <v>-</v>
      </c>
      <c r="D21723" t="str">
        <v>-</v>
      </c>
      <c r="E21723" t="str">
        <v>-</v>
      </c>
      <c r="F21723" t="str">
        <v>-</v>
      </c>
      <c r="G21723" t="str">
        <v>-</v>
      </c>
    </row>
    <row r="21724">
      <c r="B21724" t="str">
        <v>Công an xã Ninh Thới  tỉnh Trà Vinh</v>
      </c>
      <c r="C21724" t="str">
        <v>-</v>
      </c>
      <c r="D21724" t="str">
        <v>-</v>
      </c>
      <c r="E21724" t="str">
        <v/>
      </c>
      <c r="F21724" t="str">
        <v>-</v>
      </c>
      <c r="G21724" t="str">
        <v>-</v>
      </c>
    </row>
    <row r="21725">
      <c r="B21725" t="str">
        <v>UBND Ủy ban nhân dân xã Ninh Thới  tỉnh Trà Vinh</v>
      </c>
      <c r="C21725" t="str">
        <v>-</v>
      </c>
      <c r="D21725" t="str">
        <v>-</v>
      </c>
      <c r="E21725" t="str">
        <v>-</v>
      </c>
      <c r="F21725" t="str">
        <v>-</v>
      </c>
      <c r="G21725" t="str">
        <v>-</v>
      </c>
    </row>
    <row r="21726">
      <c r="B21726" t="str">
        <v>Công an xã Phong Phú  tỉnh Trà Vinh</v>
      </c>
      <c r="C21726" t="str">
        <v>-</v>
      </c>
      <c r="D21726" t="str">
        <v>-</v>
      </c>
      <c r="E21726" t="str">
        <v/>
      </c>
      <c r="F21726" t="str">
        <v>-</v>
      </c>
      <c r="G21726" t="str">
        <v>-</v>
      </c>
    </row>
    <row r="21727">
      <c r="B21727" t="str">
        <v>UBND Ủy ban nhân dân xã Phong Phú  tỉnh Trà Vinh</v>
      </c>
      <c r="C21727" t="str">
        <v>-</v>
      </c>
      <c r="D21727" t="str">
        <v>-</v>
      </c>
      <c r="E21727" t="str">
        <v>-</v>
      </c>
      <c r="F21727" t="str">
        <v>-</v>
      </c>
      <c r="G21727" t="str">
        <v>-</v>
      </c>
    </row>
    <row r="21728">
      <c r="B21728" t="str">
        <v>Công an xã Phong Thạnh  tỉnh Trà Vinh</v>
      </c>
      <c r="C21728" t="str">
        <v>-</v>
      </c>
      <c r="D21728" t="str">
        <v>-</v>
      </c>
      <c r="E21728" t="str">
        <v/>
      </c>
      <c r="F21728" t="str">
        <v>-</v>
      </c>
      <c r="G21728" t="str">
        <v>-</v>
      </c>
    </row>
    <row r="21729">
      <c r="B21729" t="str">
        <v>UBND Ủy ban nhân dân xã Phong Thạnh  tỉnh Trà Vinh</v>
      </c>
      <c r="C21729" t="str">
        <v>-</v>
      </c>
      <c r="D21729" t="str">
        <v>-</v>
      </c>
      <c r="E21729" t="str">
        <v>-</v>
      </c>
      <c r="F21729" t="str">
        <v>-</v>
      </c>
      <c r="G21729" t="str">
        <v>-</v>
      </c>
    </row>
    <row r="21730">
      <c r="B21730" t="str">
        <v>Công an xã Tam Ngãi  tỉnh Trà Vinh</v>
      </c>
      <c r="C21730" t="str">
        <v>-</v>
      </c>
      <c r="D21730" t="str">
        <v>-</v>
      </c>
      <c r="E21730" t="str">
        <v/>
      </c>
      <c r="F21730" t="str">
        <v>-</v>
      </c>
      <c r="G21730" t="str">
        <v>-</v>
      </c>
    </row>
    <row r="21731">
      <c r="B21731" t="str">
        <v>UBND Ủy ban nhân dân xã Tam Ngãi  tỉnh Trà Vinh</v>
      </c>
      <c r="C21731" t="str">
        <v>-</v>
      </c>
      <c r="D21731" t="str">
        <v>-</v>
      </c>
      <c r="E21731" t="str">
        <v>-</v>
      </c>
      <c r="F21731" t="str">
        <v>-</v>
      </c>
      <c r="G21731" t="str">
        <v>-</v>
      </c>
    </row>
    <row r="21732">
      <c r="B21732" t="str">
        <v>Công an xã Thông Hòa  tỉnh Trà Vinh</v>
      </c>
      <c r="C21732" t="str">
        <v>-</v>
      </c>
      <c r="D21732" t="str">
        <v>-</v>
      </c>
      <c r="E21732" t="str">
        <v/>
      </c>
      <c r="F21732" t="str">
        <v>-</v>
      </c>
      <c r="G21732" t="str">
        <v>-</v>
      </c>
    </row>
    <row r="21733">
      <c r="B21733" t="str">
        <v>UBND Ủy ban nhân dân xã Thông Hòa  tỉnh Trà Vinh</v>
      </c>
      <c r="C21733" t="str">
        <v>-</v>
      </c>
      <c r="D21733" t="str">
        <v>-</v>
      </c>
      <c r="E21733" t="str">
        <v>-</v>
      </c>
      <c r="F21733" t="str">
        <v>-</v>
      </c>
      <c r="G21733" t="str">
        <v>-</v>
      </c>
    </row>
    <row r="21734">
      <c r="B21734" t="str">
        <v>Công an xã Thạnh Phú  tỉnh Trà Vinh</v>
      </c>
      <c r="C21734" t="str">
        <v>-</v>
      </c>
      <c r="D21734" t="str">
        <v>-</v>
      </c>
      <c r="E21734" t="str">
        <v/>
      </c>
      <c r="F21734" t="str">
        <v>-</v>
      </c>
      <c r="G21734" t="str">
        <v>-</v>
      </c>
    </row>
    <row r="21735">
      <c r="B21735" t="str">
        <v>UBND Ủy ban nhân dân xã Thạnh Phú  tỉnh Trà Vinh</v>
      </c>
      <c r="C21735" t="str">
        <v>-</v>
      </c>
      <c r="D21735" t="str">
        <v>-</v>
      </c>
      <c r="E21735" t="str">
        <v>-</v>
      </c>
      <c r="F21735" t="str">
        <v>-</v>
      </c>
      <c r="G21735" t="str">
        <v>-</v>
      </c>
    </row>
    <row r="21736">
      <c r="B21736" t="str">
        <v>Công an xã Phú Cần  tỉnh Trà Vinh</v>
      </c>
      <c r="C21736" t="str">
        <v>-</v>
      </c>
      <c r="D21736" t="str">
        <v>-</v>
      </c>
      <c r="E21736" t="str">
        <v/>
      </c>
      <c r="F21736" t="str">
        <v>-</v>
      </c>
      <c r="G21736" t="str">
        <v>-</v>
      </c>
    </row>
    <row r="21737">
      <c r="B21737" t="str">
        <v>UBND Ủy ban nhân dân xã Phú Cần  tỉnh Trà Vinh</v>
      </c>
      <c r="C21737" t="str">
        <v>-</v>
      </c>
      <c r="D21737" t="str">
        <v>-</v>
      </c>
      <c r="E21737" t="str">
        <v>-</v>
      </c>
      <c r="F21737" t="str">
        <v>-</v>
      </c>
      <c r="G21737" t="str">
        <v>-</v>
      </c>
    </row>
    <row r="21738">
      <c r="B21738" t="str">
        <v>Công an xã Hiếu Tử  tỉnh Trà Vinh</v>
      </c>
      <c r="C21738" t="str">
        <v>-</v>
      </c>
      <c r="D21738" t="str">
        <v>-</v>
      </c>
      <c r="E21738" t="str">
        <v/>
      </c>
      <c r="F21738" t="str">
        <v>-</v>
      </c>
      <c r="G21738" t="str">
        <v>-</v>
      </c>
    </row>
    <row r="21739">
      <c r="B21739" t="str">
        <v>UBND Ủy ban nhân dân xã Hiếu Tử  tỉnh Trà Vinh</v>
      </c>
      <c r="C21739" t="str">
        <v>-</v>
      </c>
      <c r="D21739" t="str">
        <v>-</v>
      </c>
      <c r="E21739" t="str">
        <v>-</v>
      </c>
      <c r="F21739" t="str">
        <v>-</v>
      </c>
      <c r="G21739" t="str">
        <v>-</v>
      </c>
    </row>
    <row r="21740">
      <c r="B21740" t="str">
        <v>Công an xã Hiếu Trung  tỉnh Trà Vinh</v>
      </c>
      <c r="C21740" t="str">
        <v>-</v>
      </c>
      <c r="D21740" t="str">
        <v>-</v>
      </c>
      <c r="E21740" t="str">
        <v/>
      </c>
      <c r="F21740" t="str">
        <v>-</v>
      </c>
      <c r="G21740" t="str">
        <v>-</v>
      </c>
    </row>
    <row r="21741">
      <c r="B21741" t="str">
        <v>UBND Ủy ban nhân dân xã Hiếu Trung  tỉnh Trà Vinh</v>
      </c>
      <c r="C21741" t="str">
        <v>-</v>
      </c>
      <c r="D21741" t="str">
        <v>-</v>
      </c>
      <c r="E21741" t="str">
        <v>-</v>
      </c>
      <c r="F21741" t="str">
        <v>-</v>
      </c>
      <c r="G21741" t="str">
        <v>-</v>
      </c>
    </row>
    <row r="21742">
      <c r="B21742" t="str">
        <v>Công an xã Long Thới  tỉnh Trà Vinh</v>
      </c>
      <c r="C21742" t="str">
        <v>-</v>
      </c>
      <c r="D21742" t="str">
        <v>-</v>
      </c>
      <c r="E21742" t="str">
        <v/>
      </c>
      <c r="F21742" t="str">
        <v>-</v>
      </c>
      <c r="G21742" t="str">
        <v>-</v>
      </c>
    </row>
    <row r="21743">
      <c r="B21743" t="str">
        <v>UBND Ủy ban nhân dân xã Long Thới  tỉnh Trà Vinh</v>
      </c>
      <c r="C21743" t="str">
        <v>-</v>
      </c>
      <c r="D21743" t="str">
        <v>-</v>
      </c>
      <c r="E21743" t="str">
        <v>-</v>
      </c>
      <c r="F21743" t="str">
        <v>-</v>
      </c>
      <c r="G21743" t="str">
        <v>-</v>
      </c>
    </row>
    <row r="21744">
      <c r="B21744" t="str">
        <v>Công an xã Hùng Hòa  tỉnh Trà Vinh</v>
      </c>
      <c r="C21744" t="str">
        <v>-</v>
      </c>
      <c r="D21744" t="str">
        <v>-</v>
      </c>
      <c r="E21744" t="str">
        <v/>
      </c>
      <c r="F21744" t="str">
        <v>-</v>
      </c>
      <c r="G21744" t="str">
        <v>-</v>
      </c>
    </row>
    <row r="21745">
      <c r="B21745" t="str">
        <v>UBND Ủy ban nhân dân xã Hùng Hòa  tỉnh Trà Vinh</v>
      </c>
      <c r="C21745" t="str">
        <v>-</v>
      </c>
      <c r="D21745" t="str">
        <v>-</v>
      </c>
      <c r="E21745" t="str">
        <v>-</v>
      </c>
      <c r="F21745" t="str">
        <v>-</v>
      </c>
      <c r="G21745" t="str">
        <v>-</v>
      </c>
    </row>
    <row r="21746">
      <c r="B21746" t="str">
        <v>Công an xã Tân Hùng  tỉnh Trà Vinh</v>
      </c>
      <c r="C21746" t="str">
        <v>-</v>
      </c>
      <c r="D21746" t="str">
        <v>-</v>
      </c>
      <c r="E21746" t="str">
        <v/>
      </c>
      <c r="F21746" t="str">
        <v>-</v>
      </c>
      <c r="G21746" t="str">
        <v>-</v>
      </c>
    </row>
    <row r="21747">
      <c r="B21747" t="str">
        <v>UBND Ủy ban nhân dân xã Tân Hùng  tỉnh Trà Vinh</v>
      </c>
      <c r="C21747" t="str">
        <v>-</v>
      </c>
      <c r="D21747" t="str">
        <v>-</v>
      </c>
      <c r="E21747" t="str">
        <v>-</v>
      </c>
      <c r="F21747" t="str">
        <v>-</v>
      </c>
      <c r="G21747" t="str">
        <v>-</v>
      </c>
    </row>
    <row r="21748">
      <c r="B21748" t="str">
        <v>Công an xã Tập Ngãi  tỉnh Trà Vinh</v>
      </c>
      <c r="C21748" t="str">
        <v>-</v>
      </c>
      <c r="D21748" t="str">
        <v>-</v>
      </c>
      <c r="E21748" t="str">
        <v/>
      </c>
      <c r="F21748" t="str">
        <v>-</v>
      </c>
      <c r="G21748" t="str">
        <v>-</v>
      </c>
    </row>
    <row r="21749">
      <c r="B21749" t="str">
        <v>UBND Ủy ban nhân dân xã Tập Ngãi  tỉnh Trà Vinh</v>
      </c>
      <c r="C21749" t="str">
        <v>-</v>
      </c>
      <c r="D21749" t="str">
        <v>-</v>
      </c>
      <c r="E21749" t="str">
        <v>-</v>
      </c>
      <c r="F21749" t="str">
        <v>-</v>
      </c>
      <c r="G21749" t="str">
        <v>-</v>
      </c>
    </row>
    <row r="21750">
      <c r="B21750" t="str">
        <v>Công an xã Ngãi Hùng  tỉnh Trà Vinh</v>
      </c>
      <c r="C21750" t="str">
        <v>-</v>
      </c>
      <c r="D21750" t="str">
        <v>-</v>
      </c>
      <c r="E21750" t="str">
        <v/>
      </c>
      <c r="F21750" t="str">
        <v>-</v>
      </c>
      <c r="G21750" t="str">
        <v>-</v>
      </c>
    </row>
    <row r="21751">
      <c r="B21751" t="str">
        <v>UBND Ủy ban nhân dân xã Ngãi Hùng  tỉnh Trà Vinh</v>
      </c>
      <c r="C21751" t="str">
        <v>-</v>
      </c>
      <c r="D21751" t="str">
        <v>-</v>
      </c>
      <c r="E21751" t="str">
        <v>-</v>
      </c>
      <c r="F21751" t="str">
        <v>-</v>
      </c>
      <c r="G21751" t="str">
        <v>-</v>
      </c>
    </row>
    <row r="21752">
      <c r="B21752" t="str">
        <v>Công an xã Tân Hòa  tỉnh Trà Vinh</v>
      </c>
      <c r="C21752" t="str">
        <v>-</v>
      </c>
      <c r="D21752" t="str">
        <v>-</v>
      </c>
      <c r="E21752" t="str">
        <v/>
      </c>
      <c r="F21752" t="str">
        <v>-</v>
      </c>
      <c r="G21752" t="str">
        <v>-</v>
      </c>
    </row>
    <row r="21753">
      <c r="B21753" t="str">
        <v>UBND Ủy ban nhân dân xã Tân Hòa  tỉnh Trà Vinh</v>
      </c>
      <c r="C21753" t="str">
        <v>-</v>
      </c>
      <c r="D21753" t="str">
        <v>-</v>
      </c>
      <c r="E21753" t="str">
        <v>-</v>
      </c>
      <c r="F21753" t="str">
        <v>-</v>
      </c>
      <c r="G21753" t="str">
        <v>-</v>
      </c>
    </row>
    <row r="21754">
      <c r="B21754" t="str">
        <v>Công an xã Đa Lộc  tỉnh Trà Vinh</v>
      </c>
      <c r="C21754" t="str">
        <v>-</v>
      </c>
      <c r="D21754" t="str">
        <v>-</v>
      </c>
      <c r="E21754" t="str">
        <v/>
      </c>
      <c r="F21754" t="str">
        <v>-</v>
      </c>
      <c r="G21754" t="str">
        <v>-</v>
      </c>
    </row>
    <row r="21755">
      <c r="B21755" t="str">
        <v>UBND Ủy ban nhân dân xã Đa Lộc  tỉnh Trà Vinh</v>
      </c>
      <c r="C21755" t="str">
        <v>-</v>
      </c>
      <c r="D21755" t="str">
        <v>-</v>
      </c>
      <c r="E21755" t="str">
        <v>-</v>
      </c>
      <c r="F21755" t="str">
        <v>-</v>
      </c>
      <c r="G21755" t="str">
        <v>-</v>
      </c>
    </row>
    <row r="21756">
      <c r="B21756" t="str">
        <v>Công an xã Mỹ Chánh  tỉnh Trà Vinh</v>
      </c>
      <c r="C21756" t="str">
        <v>-</v>
      </c>
      <c r="D21756" t="str">
        <v>-</v>
      </c>
      <c r="E21756" t="str">
        <v/>
      </c>
      <c r="F21756" t="str">
        <v>-</v>
      </c>
      <c r="G21756" t="str">
        <v>-</v>
      </c>
    </row>
    <row r="21757">
      <c r="B21757" t="str">
        <v>UBND Ủy ban nhân dân xã Mỹ Chánh  tỉnh Trà Vinh</v>
      </c>
      <c r="C21757" t="str">
        <v>-</v>
      </c>
      <c r="D21757" t="str">
        <v>-</v>
      </c>
      <c r="E21757" t="str">
        <v>-</v>
      </c>
      <c r="F21757" t="str">
        <v>-</v>
      </c>
      <c r="G21757" t="str">
        <v>-</v>
      </c>
    </row>
    <row r="21758">
      <c r="B21758" t="str">
        <v>Công an xã Thanh Mỹ  tỉnh Trà Vinh</v>
      </c>
      <c r="C21758" t="str">
        <v>-</v>
      </c>
      <c r="D21758" t="str">
        <v>-</v>
      </c>
      <c r="E21758" t="str">
        <v/>
      </c>
      <c r="F21758" t="str">
        <v>-</v>
      </c>
      <c r="G21758" t="str">
        <v>-</v>
      </c>
    </row>
    <row r="21759">
      <c r="B21759" t="str">
        <v>UBND Ủy ban nhân dân xã Thanh Mỹ  tỉnh Trà Vinh</v>
      </c>
      <c r="C21759" t="str">
        <v>-</v>
      </c>
      <c r="D21759" t="str">
        <v>-</v>
      </c>
      <c r="E21759" t="str">
        <v>-</v>
      </c>
      <c r="F21759" t="str">
        <v>-</v>
      </c>
      <c r="G21759" t="str">
        <v>-</v>
      </c>
    </row>
    <row r="21760">
      <c r="B21760" t="str">
        <v>Công an xã Lương Hoà A  tỉnh Trà Vinh</v>
      </c>
      <c r="C21760" t="str">
        <v>-</v>
      </c>
      <c r="D21760" t="str">
        <v>-</v>
      </c>
      <c r="E21760" t="str">
        <v/>
      </c>
      <c r="F21760" t="str">
        <v>-</v>
      </c>
      <c r="G21760" t="str">
        <v>-</v>
      </c>
    </row>
    <row r="21761">
      <c r="B21761" t="str">
        <v>UBND Ủy ban nhân dân xã Lương Hoà A  tỉnh Trà Vinh</v>
      </c>
      <c r="C21761" t="str">
        <v>-</v>
      </c>
      <c r="D21761" t="str">
        <v>-</v>
      </c>
      <c r="E21761" t="str">
        <v>-</v>
      </c>
      <c r="F21761" t="str">
        <v>-</v>
      </c>
      <c r="G21761" t="str">
        <v>-</v>
      </c>
    </row>
    <row r="21762">
      <c r="B21762" t="str">
        <v>Công an xã Lương Hòa  tỉnh Trà Vinh</v>
      </c>
      <c r="C21762" t="str">
        <v>-</v>
      </c>
      <c r="D21762" t="str">
        <v>-</v>
      </c>
      <c r="E21762" t="str">
        <v/>
      </c>
      <c r="F21762" t="str">
        <v>-</v>
      </c>
      <c r="G21762" t="str">
        <v>-</v>
      </c>
    </row>
    <row r="21763">
      <c r="B21763" t="str">
        <v>UBND Ủy ban nhân dân xã Lương Hòa  tỉnh Trà Vinh</v>
      </c>
      <c r="C21763" t="str">
        <v>-</v>
      </c>
      <c r="D21763" t="str">
        <v>-</v>
      </c>
      <c r="E21763" t="str">
        <v>-</v>
      </c>
      <c r="F21763" t="str">
        <v>-</v>
      </c>
      <c r="G21763" t="str">
        <v>-</v>
      </c>
    </row>
    <row r="21764">
      <c r="B21764" t="str">
        <v>Công an xã Song Lộc  tỉnh Trà Vinh</v>
      </c>
      <c r="C21764" t="str">
        <v>-</v>
      </c>
      <c r="D21764" t="str">
        <v>-</v>
      </c>
      <c r="E21764" t="str">
        <v/>
      </c>
      <c r="F21764" t="str">
        <v>-</v>
      </c>
      <c r="G21764" t="str">
        <v>-</v>
      </c>
    </row>
    <row r="21765">
      <c r="B21765" t="str">
        <v>UBND Ủy ban nhân dân xã Song Lộc  tỉnh Trà Vinh</v>
      </c>
      <c r="C21765" t="str">
        <v>-</v>
      </c>
      <c r="D21765" t="str">
        <v>-</v>
      </c>
      <c r="E21765" t="str">
        <v>-</v>
      </c>
      <c r="F21765" t="str">
        <v>-</v>
      </c>
      <c r="G21765" t="str">
        <v>-</v>
      </c>
    </row>
    <row r="21766">
      <c r="B21766" t="str">
        <v>Công an xã Nguyệt Hóa  tỉnh Trà Vinh</v>
      </c>
      <c r="C21766" t="str">
        <v>-</v>
      </c>
      <c r="D21766" t="str">
        <v>-</v>
      </c>
      <c r="E21766" t="str">
        <v/>
      </c>
      <c r="F21766" t="str">
        <v>-</v>
      </c>
      <c r="G21766" t="str">
        <v>-</v>
      </c>
    </row>
    <row r="21767">
      <c r="B21767" t="str">
        <v>UBND Ủy ban nhân dân xã Nguyệt Hóa  tỉnh Trà Vinh</v>
      </c>
      <c r="C21767" t="str">
        <v>-</v>
      </c>
      <c r="D21767" t="str">
        <v>-</v>
      </c>
      <c r="E21767" t="str">
        <v>-</v>
      </c>
      <c r="F21767" t="str">
        <v>-</v>
      </c>
      <c r="G21767" t="str">
        <v>-</v>
      </c>
    </row>
    <row r="21768">
      <c r="B21768" t="str">
        <v>Công an xã Hòa Thuận  tỉnh Trà Vinh</v>
      </c>
      <c r="C21768" t="str">
        <v>-</v>
      </c>
      <c r="D21768" t="str">
        <v>-</v>
      </c>
      <c r="E21768" t="str">
        <v/>
      </c>
      <c r="F21768" t="str">
        <v>-</v>
      </c>
      <c r="G21768" t="str">
        <v>-</v>
      </c>
    </row>
    <row r="21769">
      <c r="B21769" t="str">
        <v>UBND Ủy ban nhân dân xã Hòa Thuận  tỉnh Trà Vinh</v>
      </c>
      <c r="C21769" t="str">
        <v>-</v>
      </c>
      <c r="D21769" t="str">
        <v>-</v>
      </c>
      <c r="E21769" t="str">
        <v>-</v>
      </c>
      <c r="F21769" t="str">
        <v>-</v>
      </c>
      <c r="G21769" t="str">
        <v>-</v>
      </c>
    </row>
    <row r="21770">
      <c r="B21770" t="str">
        <v>Công an xã Hòa Lợi  tỉnh Trà Vinh</v>
      </c>
      <c r="C21770" t="str">
        <v>-</v>
      </c>
      <c r="D21770" t="str">
        <v>-</v>
      </c>
      <c r="E21770" t="str">
        <v/>
      </c>
      <c r="F21770" t="str">
        <v>-</v>
      </c>
      <c r="G21770" t="str">
        <v>-</v>
      </c>
    </row>
    <row r="21771">
      <c r="B21771" t="str">
        <v>UBND Ủy ban nhân dân xã Hòa Lợi  tỉnh Trà Vinh</v>
      </c>
      <c r="C21771" t="str">
        <v>-</v>
      </c>
      <c r="D21771" t="str">
        <v>-</v>
      </c>
      <c r="E21771" t="str">
        <v>-</v>
      </c>
      <c r="F21771" t="str">
        <v>-</v>
      </c>
      <c r="G21771" t="str">
        <v>-</v>
      </c>
    </row>
    <row r="21772">
      <c r="B21772" t="str">
        <v>Công an xã Phước Hảo  tỉnh Trà Vinh</v>
      </c>
      <c r="C21772" t="str">
        <v>-</v>
      </c>
      <c r="D21772" t="str">
        <v>-</v>
      </c>
      <c r="E21772" t="str">
        <v/>
      </c>
      <c r="F21772" t="str">
        <v>-</v>
      </c>
      <c r="G21772" t="str">
        <v>-</v>
      </c>
    </row>
    <row r="21773">
      <c r="B21773" t="str">
        <v>UBND Ủy ban nhân dân xã Phước Hảo  tỉnh Trà Vinh</v>
      </c>
      <c r="C21773" t="str">
        <v>-</v>
      </c>
      <c r="D21773" t="str">
        <v>-</v>
      </c>
      <c r="E21773" t="str">
        <v>-</v>
      </c>
      <c r="F21773" t="str">
        <v>-</v>
      </c>
      <c r="G21773" t="str">
        <v>-</v>
      </c>
    </row>
    <row r="21774">
      <c r="B21774" t="str">
        <v>Công an xã Hưng Mỹ  tỉnh Trà Vinh</v>
      </c>
      <c r="C21774" t="str">
        <v>-</v>
      </c>
      <c r="D21774" t="str">
        <v>-</v>
      </c>
      <c r="E21774" t="str">
        <v/>
      </c>
      <c r="F21774" t="str">
        <v>-</v>
      </c>
      <c r="G21774" t="str">
        <v>-</v>
      </c>
    </row>
    <row r="21775">
      <c r="B21775" t="str">
        <v>UBND Ủy ban nhân dân xã Hưng Mỹ  tỉnh Trà Vinh</v>
      </c>
      <c r="C21775" t="str">
        <v>-</v>
      </c>
      <c r="D21775" t="str">
        <v>-</v>
      </c>
      <c r="E21775" t="str">
        <v>-</v>
      </c>
      <c r="F21775" t="str">
        <v>-</v>
      </c>
      <c r="G21775" t="str">
        <v>-</v>
      </c>
    </row>
    <row r="21776">
      <c r="B21776" t="str">
        <v>Công an xã Hòa Minh  tỉnh Trà Vinh</v>
      </c>
      <c r="C21776" t="str">
        <v>-</v>
      </c>
      <c r="D21776" t="str">
        <v>-</v>
      </c>
      <c r="E21776" t="str">
        <v/>
      </c>
      <c r="F21776" t="str">
        <v>-</v>
      </c>
      <c r="G21776" t="str">
        <v>-</v>
      </c>
    </row>
    <row r="21777">
      <c r="B21777" t="str">
        <v>UBND Ủy ban nhân dân xã Hòa Minh  tỉnh Trà Vinh</v>
      </c>
      <c r="C21777" t="str">
        <v>-</v>
      </c>
      <c r="D21777" t="str">
        <v>-</v>
      </c>
      <c r="E21777" t="str">
        <v>-</v>
      </c>
      <c r="F21777" t="str">
        <v>-</v>
      </c>
      <c r="G21777" t="str">
        <v>-</v>
      </c>
    </row>
    <row r="21778">
      <c r="B21778" t="str">
        <v>Công an xã Long Hòa  tỉnh Trà Vinh</v>
      </c>
      <c r="C21778" t="str">
        <v>-</v>
      </c>
      <c r="D21778" t="str">
        <v>-</v>
      </c>
      <c r="E21778" t="str">
        <v/>
      </c>
      <c r="F21778" t="str">
        <v>-</v>
      </c>
      <c r="G21778" t="str">
        <v>-</v>
      </c>
    </row>
    <row r="21779">
      <c r="B21779" t="str">
        <v>UBND Ủy ban nhân dân xã Long Hòa  tỉnh Trà Vinh</v>
      </c>
      <c r="C21779" t="str">
        <v>-</v>
      </c>
      <c r="D21779" t="str">
        <v>-</v>
      </c>
      <c r="E21779" t="str">
        <v>-</v>
      </c>
      <c r="F21779" t="str">
        <v>-</v>
      </c>
      <c r="G21779" t="str">
        <v>-</v>
      </c>
    </row>
    <row r="21780">
      <c r="B21780" t="str">
        <v>Công an xã Mỹ Long Bắc  tỉnh Trà Vinh</v>
      </c>
      <c r="C21780" t="str">
        <v>-</v>
      </c>
      <c r="D21780" t="str">
        <v>-</v>
      </c>
      <c r="E21780" t="str">
        <v/>
      </c>
      <c r="F21780" t="str">
        <v>-</v>
      </c>
      <c r="G21780" t="str">
        <v>-</v>
      </c>
    </row>
    <row r="21781">
      <c r="B21781" t="str">
        <v>UBND Ủy ban nhân dân xã Mỹ Long Bắc  tỉnh Trà Vinh</v>
      </c>
      <c r="C21781" t="str">
        <v>-</v>
      </c>
      <c r="D21781" t="str">
        <v>-</v>
      </c>
      <c r="E21781" t="str">
        <v>-</v>
      </c>
      <c r="F21781" t="str">
        <v>-</v>
      </c>
      <c r="G21781" t="str">
        <v>-</v>
      </c>
    </row>
    <row r="21782">
      <c r="B21782" t="str">
        <v>Công an xã Mỹ Long Nam  tỉnh Trà Vinh</v>
      </c>
      <c r="C21782" t="str">
        <v>-</v>
      </c>
      <c r="D21782" t="str">
        <v>-</v>
      </c>
      <c r="E21782" t="str">
        <v/>
      </c>
      <c r="F21782" t="str">
        <v>-</v>
      </c>
      <c r="G21782" t="str">
        <v>-</v>
      </c>
    </row>
    <row r="21783">
      <c r="B21783" t="str">
        <v>UBND Ủy ban nhân dân xã Mỹ Long Nam  tỉnh Trà Vinh</v>
      </c>
      <c r="C21783" t="str">
        <v>-</v>
      </c>
      <c r="D21783" t="str">
        <v>-</v>
      </c>
      <c r="E21783" t="str">
        <v>-</v>
      </c>
      <c r="F21783" t="str">
        <v>-</v>
      </c>
      <c r="G21783" t="str">
        <v>-</v>
      </c>
    </row>
    <row r="21784">
      <c r="B21784" t="str">
        <v>Công an xã Mỹ Hòa  tỉnh Trà Vinh</v>
      </c>
      <c r="C21784" t="str">
        <v>-</v>
      </c>
      <c r="D21784" t="str">
        <v>-</v>
      </c>
      <c r="E21784" t="str">
        <v/>
      </c>
      <c r="F21784" t="str">
        <v>-</v>
      </c>
      <c r="G21784" t="str">
        <v>-</v>
      </c>
    </row>
    <row r="21785">
      <c r="B21785" t="str">
        <v>UBND Ủy ban nhân dân xã Mỹ Hòa  tỉnh Trà Vinh</v>
      </c>
      <c r="C21785" t="str">
        <v>-</v>
      </c>
      <c r="D21785" t="str">
        <v>-</v>
      </c>
      <c r="E21785" t="str">
        <v>-</v>
      </c>
      <c r="F21785" t="str">
        <v>-</v>
      </c>
      <c r="G21785" t="str">
        <v>-</v>
      </c>
    </row>
    <row r="21786">
      <c r="B21786" t="str">
        <v>Công an xã Vĩnh Kim  tỉnh Trà Vinh</v>
      </c>
      <c r="C21786" t="str">
        <v>-</v>
      </c>
      <c r="D21786" t="str">
        <v>-</v>
      </c>
      <c r="E21786" t="str">
        <v/>
      </c>
      <c r="F21786" t="str">
        <v>-</v>
      </c>
      <c r="G21786" t="str">
        <v>-</v>
      </c>
    </row>
    <row r="21787">
      <c r="B21787" t="str">
        <v>UBND Ủy ban nhân dân xã Vĩnh Kim  tỉnh Trà Vinh</v>
      </c>
      <c r="C21787" t="str">
        <v>-</v>
      </c>
      <c r="D21787" t="str">
        <v>-</v>
      </c>
      <c r="E21787" t="str">
        <v>-</v>
      </c>
      <c r="F21787" t="str">
        <v>-</v>
      </c>
      <c r="G21787" t="str">
        <v>-</v>
      </c>
    </row>
    <row r="21788">
      <c r="B21788" t="str">
        <v>Công an xã Kim Hòa  tỉnh Trà Vinh</v>
      </c>
      <c r="C21788" t="str">
        <v>-</v>
      </c>
      <c r="D21788" t="str">
        <v>-</v>
      </c>
      <c r="E21788" t="str">
        <v/>
      </c>
      <c r="F21788" t="str">
        <v>-</v>
      </c>
      <c r="G21788" t="str">
        <v>-</v>
      </c>
    </row>
    <row r="21789">
      <c r="B21789" t="str">
        <v>UBND Ủy ban nhân dân xã Kim Hòa  tỉnh Trà Vinh</v>
      </c>
      <c r="C21789" t="str">
        <v>-</v>
      </c>
      <c r="D21789" t="str">
        <v>-</v>
      </c>
      <c r="E21789" t="str">
        <v>-</v>
      </c>
      <c r="F21789" t="str">
        <v>-</v>
      </c>
      <c r="G21789" t="str">
        <v>-</v>
      </c>
    </row>
    <row r="21790">
      <c r="B21790" t="str">
        <v>Công an xã Hiệp Hòa  tỉnh Trà Vinh</v>
      </c>
      <c r="C21790" t="str">
        <v>-</v>
      </c>
      <c r="D21790" t="str">
        <v>-</v>
      </c>
      <c r="E21790" t="str">
        <v/>
      </c>
      <c r="F21790" t="str">
        <v>-</v>
      </c>
      <c r="G21790" t="str">
        <v>-</v>
      </c>
    </row>
    <row r="21791">
      <c r="B21791" t="str">
        <v>UBND Ủy ban nhân dân xã Hiệp Hòa  tỉnh Trà Vinh</v>
      </c>
      <c r="C21791" t="str">
        <v>-</v>
      </c>
      <c r="D21791" t="str">
        <v>-</v>
      </c>
      <c r="E21791" t="str">
        <v>-</v>
      </c>
      <c r="F21791" t="str">
        <v>-</v>
      </c>
      <c r="G21791" t="str">
        <v>-</v>
      </c>
    </row>
    <row r="21792">
      <c r="B21792" t="str">
        <v>Công an xã Thuận Hòa  tỉnh Trà Vinh</v>
      </c>
      <c r="C21792" t="str">
        <v>-</v>
      </c>
      <c r="D21792" t="str">
        <v>-</v>
      </c>
      <c r="E21792" t="str">
        <v/>
      </c>
      <c r="F21792" t="str">
        <v>-</v>
      </c>
      <c r="G21792" t="str">
        <v>-</v>
      </c>
    </row>
    <row r="21793">
      <c r="B21793" t="str">
        <v>UBND Ủy ban nhân dân xã Thuận Hòa  tỉnh Trà Vinh</v>
      </c>
      <c r="C21793" t="str">
        <v>-</v>
      </c>
      <c r="D21793" t="str">
        <v>-</v>
      </c>
      <c r="E21793" t="str">
        <v>-</v>
      </c>
      <c r="F21793" t="str">
        <v>-</v>
      </c>
      <c r="G21793" t="str">
        <v>-</v>
      </c>
    </row>
    <row r="21794">
      <c r="B21794" t="str">
        <v>Công an xã Long Sơn  tỉnh Trà Vinh</v>
      </c>
      <c r="C21794" t="str">
        <v>-</v>
      </c>
      <c r="D21794" t="str">
        <v>-</v>
      </c>
      <c r="E21794" t="str">
        <v/>
      </c>
      <c r="F21794" t="str">
        <v>-</v>
      </c>
      <c r="G21794" t="str">
        <v>-</v>
      </c>
    </row>
    <row r="21795">
      <c r="B21795" t="str">
        <v>UBND Ủy ban nhân dân xã Long Sơn  tỉnh Trà Vinh</v>
      </c>
      <c r="C21795" t="str">
        <v>-</v>
      </c>
      <c r="D21795" t="str">
        <v>-</v>
      </c>
      <c r="E21795" t="str">
        <v>-</v>
      </c>
      <c r="F21795" t="str">
        <v>-</v>
      </c>
      <c r="G21795" t="str">
        <v>-</v>
      </c>
    </row>
    <row r="21796">
      <c r="B21796" t="str">
        <v>Công an xã Nhị Trường  tỉnh Trà Vinh</v>
      </c>
      <c r="C21796" t="str">
        <v>-</v>
      </c>
      <c r="D21796" t="str">
        <v>-</v>
      </c>
      <c r="E21796" t="str">
        <v/>
      </c>
      <c r="F21796" t="str">
        <v>-</v>
      </c>
      <c r="G21796" t="str">
        <v>-</v>
      </c>
    </row>
    <row r="21797">
      <c r="B21797" t="str">
        <v>UBND Ủy ban nhân dân xã Nhị Trường  tỉnh Trà Vinh</v>
      </c>
      <c r="C21797" t="str">
        <v>-</v>
      </c>
      <c r="D21797" t="str">
        <v>-</v>
      </c>
      <c r="E21797" t="str">
        <v>-</v>
      </c>
      <c r="F21797" t="str">
        <v>-</v>
      </c>
      <c r="G21797" t="str">
        <v>-</v>
      </c>
    </row>
    <row r="21798">
      <c r="B21798" t="str">
        <v>Công an xã Trường Thọ  tỉnh Trà Vinh</v>
      </c>
      <c r="C21798" t="str">
        <v>-</v>
      </c>
      <c r="D21798" t="str">
        <v>-</v>
      </c>
      <c r="E21798" t="str">
        <v/>
      </c>
      <c r="F21798" t="str">
        <v>-</v>
      </c>
      <c r="G21798" t="str">
        <v>-</v>
      </c>
    </row>
    <row r="21799">
      <c r="B21799" t="str">
        <v>UBND Ủy ban nhân dân xã Trường Thọ  tỉnh Trà Vinh</v>
      </c>
      <c r="C21799" t="str">
        <v>-</v>
      </c>
      <c r="D21799" t="str">
        <v>-</v>
      </c>
      <c r="E21799" t="str">
        <v>-</v>
      </c>
      <c r="F21799" t="str">
        <v>-</v>
      </c>
      <c r="G21799" t="str">
        <v>-</v>
      </c>
    </row>
    <row r="21800">
      <c r="B21800" t="str">
        <v>Công an xã Hiệp Mỹ Đông  tỉnh Trà Vinh</v>
      </c>
      <c r="C21800" t="str">
        <v>-</v>
      </c>
      <c r="D21800" t="str">
        <v>-</v>
      </c>
      <c r="E21800" t="str">
        <v/>
      </c>
      <c r="F21800" t="str">
        <v>-</v>
      </c>
      <c r="G21800" t="str">
        <v>-</v>
      </c>
    </row>
    <row r="21801">
      <c r="B21801" t="str">
        <v>UBND Ủy ban nhân dân xã Hiệp Mỹ Đông  tỉnh Trà Vinh</v>
      </c>
      <c r="C21801" t="str">
        <v>-</v>
      </c>
      <c r="D21801" t="str">
        <v>-</v>
      </c>
      <c r="E21801" t="str">
        <v>-</v>
      </c>
      <c r="F21801" t="str">
        <v>-</v>
      </c>
      <c r="G21801" t="str">
        <v>-</v>
      </c>
    </row>
    <row r="21802">
      <c r="B21802" t="str">
        <v>Công an xã Hiệp Mỹ Tây  tỉnh Trà Vinh</v>
      </c>
      <c r="C21802" t="str">
        <v>-</v>
      </c>
      <c r="D21802" t="str">
        <v>-</v>
      </c>
      <c r="E21802" t="str">
        <v/>
      </c>
      <c r="F21802" t="str">
        <v>-</v>
      </c>
      <c r="G21802" t="str">
        <v>-</v>
      </c>
    </row>
    <row r="21803">
      <c r="B21803" t="str">
        <v>UBND Ủy ban nhân dân xã Hiệp Mỹ Tây  tỉnh Trà Vinh</v>
      </c>
      <c r="C21803" t="str">
        <v>-</v>
      </c>
      <c r="D21803" t="str">
        <v>-</v>
      </c>
      <c r="E21803" t="str">
        <v>-</v>
      </c>
      <c r="F21803" t="str">
        <v>-</v>
      </c>
      <c r="G21803" t="str">
        <v>-</v>
      </c>
    </row>
    <row r="21804">
      <c r="B21804" t="str">
        <v>Công an xã Thạnh Hòa Sơn  tỉnh Trà Vinh</v>
      </c>
      <c r="C21804" t="str">
        <v>-</v>
      </c>
      <c r="D21804" t="str">
        <v>-</v>
      </c>
      <c r="E21804" t="str">
        <v/>
      </c>
      <c r="F21804" t="str">
        <v>-</v>
      </c>
      <c r="G21804" t="str">
        <v>-</v>
      </c>
    </row>
    <row r="21805">
      <c r="B21805" t="str">
        <v>UBND Ủy ban nhân dân xã Thạnh Hòa Sơn  tỉnh Trà Vinh</v>
      </c>
      <c r="C21805" t="str">
        <v>-</v>
      </c>
      <c r="D21805" t="str">
        <v>-</v>
      </c>
      <c r="E21805" t="str">
        <v>-</v>
      </c>
      <c r="F21805" t="str">
        <v>-</v>
      </c>
      <c r="G21805" t="str">
        <v>-</v>
      </c>
    </row>
    <row r="21806">
      <c r="B21806" t="str">
        <v>Công an xã Phước Hưng  tỉnh Trà Vinh</v>
      </c>
      <c r="C21806" t="str">
        <v>-</v>
      </c>
      <c r="D21806" t="str">
        <v>-</v>
      </c>
      <c r="E21806" t="str">
        <v/>
      </c>
      <c r="F21806" t="str">
        <v>-</v>
      </c>
      <c r="G21806" t="str">
        <v>-</v>
      </c>
    </row>
    <row r="21807">
      <c r="B21807" t="str">
        <v>UBND Ủy ban nhân dân xã Phước Hưng  tỉnh Trà Vinh</v>
      </c>
      <c r="C21807" t="str">
        <v>-</v>
      </c>
      <c r="D21807" t="str">
        <v>-</v>
      </c>
      <c r="E21807" t="str">
        <v>-</v>
      </c>
      <c r="F21807" t="str">
        <v>-</v>
      </c>
      <c r="G21807" t="str">
        <v>-</v>
      </c>
    </row>
    <row r="21808">
      <c r="B21808" t="str">
        <v>Công an xã Tập Sơn  tỉnh Trà Vinh</v>
      </c>
      <c r="C21808" t="str">
        <v>-</v>
      </c>
      <c r="D21808" t="str">
        <v>-</v>
      </c>
      <c r="E21808" t="str">
        <v/>
      </c>
      <c r="F21808" t="str">
        <v>-</v>
      </c>
      <c r="G21808" t="str">
        <v>-</v>
      </c>
    </row>
    <row r="21809">
      <c r="B21809" t="str">
        <v>UBND Ủy ban nhân dân xã Tập Sơn  tỉnh Trà Vinh</v>
      </c>
      <c r="C21809" t="str">
        <v>-</v>
      </c>
      <c r="D21809" t="str">
        <v>-</v>
      </c>
      <c r="E21809" t="str">
        <v>-</v>
      </c>
      <c r="F21809" t="str">
        <v>-</v>
      </c>
      <c r="G21809" t="str">
        <v>-</v>
      </c>
    </row>
    <row r="21810">
      <c r="B21810" t="str">
        <v>Công an xã Tân Sơn  tỉnh Trà Vinh</v>
      </c>
      <c r="C21810" t="str">
        <v>-</v>
      </c>
      <c r="D21810" t="str">
        <v>-</v>
      </c>
      <c r="E21810" t="str">
        <v/>
      </c>
      <c r="F21810" t="str">
        <v>-</v>
      </c>
      <c r="G21810" t="str">
        <v>-</v>
      </c>
    </row>
    <row r="21811">
      <c r="B21811" t="str">
        <v>UBND Ủy ban nhân dân xã Tân Sơn  tỉnh Trà Vinh</v>
      </c>
      <c r="C21811" t="str">
        <v>-</v>
      </c>
      <c r="D21811" t="str">
        <v>-</v>
      </c>
      <c r="E21811" t="str">
        <v>-</v>
      </c>
      <c r="F21811" t="str">
        <v>-</v>
      </c>
      <c r="G21811" t="str">
        <v>-</v>
      </c>
    </row>
    <row r="21812">
      <c r="B21812" t="str">
        <v>Công an xã An Quảng Hữu  tỉnh Trà Vinh</v>
      </c>
      <c r="C21812" t="str">
        <v>-</v>
      </c>
      <c r="D21812" t="str">
        <v>-</v>
      </c>
      <c r="E21812" t="str">
        <v/>
      </c>
      <c r="F21812" t="str">
        <v>-</v>
      </c>
      <c r="G21812" t="str">
        <v>-</v>
      </c>
    </row>
    <row r="21813">
      <c r="B21813" t="str">
        <v>UBND Ủy ban nhân dân xã An Quảng Hữu  tỉnh Trà Vinh</v>
      </c>
      <c r="C21813" t="str">
        <v>-</v>
      </c>
      <c r="D21813" t="str">
        <v>-</v>
      </c>
      <c r="E21813" t="str">
        <v>-</v>
      </c>
      <c r="F21813" t="str">
        <v>-</v>
      </c>
      <c r="G21813" t="str">
        <v>-</v>
      </c>
    </row>
    <row r="21814">
      <c r="B21814" t="str">
        <v>Công an xã Lưu Nghiệp Anh  tỉnh Trà Vinh</v>
      </c>
      <c r="C21814" t="str">
        <v>-</v>
      </c>
      <c r="D21814" t="str">
        <v>-</v>
      </c>
      <c r="E21814" t="str">
        <v/>
      </c>
      <c r="F21814" t="str">
        <v>-</v>
      </c>
      <c r="G21814" t="str">
        <v>-</v>
      </c>
    </row>
    <row r="21815">
      <c r="B21815" t="str">
        <v>UBND Ủy ban nhân dân xã Lưu Nghiệp Anh  tỉnh Trà Vinh</v>
      </c>
      <c r="C21815" t="str">
        <v>-</v>
      </c>
      <c r="D21815" t="str">
        <v>-</v>
      </c>
      <c r="E21815" t="str">
        <v>-</v>
      </c>
      <c r="F21815" t="str">
        <v>-</v>
      </c>
      <c r="G21815" t="str">
        <v>-</v>
      </c>
    </row>
    <row r="21816">
      <c r="B21816" t="str">
        <v>Công an xã Ngãi Xuyên  tỉnh Trà Vinh</v>
      </c>
      <c r="C21816" t="str">
        <v>-</v>
      </c>
      <c r="D21816" t="str">
        <v>-</v>
      </c>
      <c r="E21816" t="str">
        <v/>
      </c>
      <c r="F21816" t="str">
        <v>-</v>
      </c>
      <c r="G21816" t="str">
        <v>-</v>
      </c>
    </row>
    <row r="21817">
      <c r="B21817" t="str">
        <v>UBND Ủy ban nhân dân xã Ngãi Xuyên  tỉnh Trà Vinh</v>
      </c>
      <c r="C21817" t="str">
        <v>-</v>
      </c>
      <c r="D21817" t="str">
        <v>-</v>
      </c>
      <c r="E21817" t="str">
        <v>-</v>
      </c>
      <c r="F21817" t="str">
        <v>-</v>
      </c>
      <c r="G21817" t="str">
        <v>-</v>
      </c>
    </row>
    <row r="21818">
      <c r="B21818" t="str">
        <v>Công an xã Kim Sơn  tỉnh Trà Vinh</v>
      </c>
      <c r="C21818" t="str">
        <v>-</v>
      </c>
      <c r="D21818" t="str">
        <v>-</v>
      </c>
      <c r="E21818" t="str">
        <v/>
      </c>
      <c r="F21818" t="str">
        <v>-</v>
      </c>
      <c r="G21818" t="str">
        <v>-</v>
      </c>
    </row>
    <row r="21819">
      <c r="B21819" t="str">
        <v>UBND Ủy ban nhân dân xã Kim Sơn  tỉnh Trà Vinh</v>
      </c>
      <c r="C21819" t="str">
        <v>-</v>
      </c>
      <c r="D21819" t="str">
        <v>-</v>
      </c>
      <c r="E21819" t="str">
        <v>-</v>
      </c>
      <c r="F21819" t="str">
        <v>-</v>
      </c>
      <c r="G21819" t="str">
        <v>-</v>
      </c>
    </row>
    <row r="21820">
      <c r="B21820" t="str">
        <v>Công an xã Thanh Sơn  tỉnh Trà Vinh</v>
      </c>
      <c r="C21820" t="str">
        <v>-</v>
      </c>
      <c r="D21820" t="str">
        <v>-</v>
      </c>
      <c r="E21820" t="str">
        <v/>
      </c>
      <c r="F21820" t="str">
        <v>-</v>
      </c>
      <c r="G21820" t="str">
        <v>-</v>
      </c>
    </row>
    <row r="21821">
      <c r="B21821" t="str">
        <v>UBND Ủy ban nhân dân xã Thanh Sơn  tỉnh Trà Vinh</v>
      </c>
      <c r="C21821" t="str">
        <v>-</v>
      </c>
      <c r="D21821" t="str">
        <v>-</v>
      </c>
      <c r="E21821" t="str">
        <v>-</v>
      </c>
      <c r="F21821" t="str">
        <v>-</v>
      </c>
      <c r="G21821" t="str">
        <v>-</v>
      </c>
    </row>
    <row r="21822">
      <c r="B21822" t="str">
        <v>Công an xã Hàm Giang  tỉnh Trà Vinh</v>
      </c>
      <c r="C21822" t="str">
        <v>-</v>
      </c>
      <c r="D21822" t="str">
        <v>-</v>
      </c>
      <c r="E21822" t="str">
        <v/>
      </c>
      <c r="F21822" t="str">
        <v>-</v>
      </c>
      <c r="G21822" t="str">
        <v>-</v>
      </c>
    </row>
    <row r="21823">
      <c r="B21823" t="str">
        <v>UBND Ủy ban nhân dân xã Hàm Giang  tỉnh Trà Vinh</v>
      </c>
      <c r="C21823" t="str">
        <v>-</v>
      </c>
      <c r="D21823" t="str">
        <v>-</v>
      </c>
      <c r="E21823" t="str">
        <v>-</v>
      </c>
      <c r="F21823" t="str">
        <v>-</v>
      </c>
      <c r="G21823" t="str">
        <v>-</v>
      </c>
    </row>
    <row r="21824">
      <c r="B21824" t="str">
        <v>Công an xã Hàm Tân  tỉnh Trà Vinh</v>
      </c>
      <c r="C21824" t="str">
        <v>-</v>
      </c>
      <c r="D21824" t="str">
        <v>-</v>
      </c>
      <c r="E21824" t="str">
        <v/>
      </c>
      <c r="F21824" t="str">
        <v>-</v>
      </c>
      <c r="G21824" t="str">
        <v>-</v>
      </c>
    </row>
    <row r="21825">
      <c r="B21825" t="str">
        <v>UBND Ủy ban nhân dân xã Hàm Tân  tỉnh Trà Vinh</v>
      </c>
      <c r="C21825" t="str">
        <v>-</v>
      </c>
      <c r="D21825" t="str">
        <v>-</v>
      </c>
      <c r="E21825" t="str">
        <v>-</v>
      </c>
      <c r="F21825" t="str">
        <v>-</v>
      </c>
      <c r="G21825" t="str">
        <v>-</v>
      </c>
    </row>
    <row r="21826">
      <c r="B21826" t="str">
        <v>Công an xã Đại An  tỉnh Trà Vinh</v>
      </c>
      <c r="C21826" t="str">
        <v>-</v>
      </c>
      <c r="D21826" t="str">
        <v>-</v>
      </c>
      <c r="E21826" t="str">
        <v/>
      </c>
      <c r="F21826" t="str">
        <v>-</v>
      </c>
      <c r="G21826" t="str">
        <v>-</v>
      </c>
    </row>
    <row r="21827">
      <c r="B21827" t="str">
        <v>UBND Ủy ban nhân dân xã Đại An  tỉnh Trà Vinh</v>
      </c>
      <c r="C21827" t="str">
        <v>-</v>
      </c>
      <c r="D21827" t="str">
        <v>-</v>
      </c>
      <c r="E21827" t="str">
        <v>-</v>
      </c>
      <c r="F21827" t="str">
        <v>-</v>
      </c>
      <c r="G21827" t="str">
        <v>-</v>
      </c>
    </row>
    <row r="21828">
      <c r="B21828" t="str">
        <v>Công an xã Định An  tỉnh Trà Vinh</v>
      </c>
      <c r="C21828" t="str">
        <v>-</v>
      </c>
      <c r="D21828" t="str">
        <v>-</v>
      </c>
      <c r="E21828" t="str">
        <v/>
      </c>
      <c r="F21828" t="str">
        <v>-</v>
      </c>
      <c r="G21828" t="str">
        <v>-</v>
      </c>
    </row>
    <row r="21829">
      <c r="B21829" t="str">
        <v>UBND Ủy ban nhân dân xã Định An  tỉnh Trà Vinh</v>
      </c>
      <c r="C21829" t="str">
        <v>-</v>
      </c>
      <c r="D21829" t="str">
        <v>-</v>
      </c>
      <c r="E21829" t="str">
        <v>-</v>
      </c>
      <c r="F21829" t="str">
        <v>-</v>
      </c>
      <c r="G21829" t="str">
        <v>-</v>
      </c>
    </row>
    <row r="21830">
      <c r="B21830" t="str">
        <v>Công an xã Ngọc Biên  tỉnh Trà Vinh</v>
      </c>
      <c r="C21830" t="str">
        <v>-</v>
      </c>
      <c r="D21830" t="str">
        <v>-</v>
      </c>
      <c r="E21830" t="str">
        <v/>
      </c>
      <c r="F21830" t="str">
        <v>-</v>
      </c>
      <c r="G21830" t="str">
        <v>-</v>
      </c>
    </row>
    <row r="21831">
      <c r="B21831" t="str">
        <v>UBND Ủy ban nhân dân xã Ngọc Biên  tỉnh Trà Vinh</v>
      </c>
      <c r="C21831" t="str">
        <v>-</v>
      </c>
      <c r="D21831" t="str">
        <v>-</v>
      </c>
      <c r="E21831" t="str">
        <v>-</v>
      </c>
      <c r="F21831" t="str">
        <v>-</v>
      </c>
      <c r="G21831" t="str">
        <v>-</v>
      </c>
    </row>
    <row r="21832">
      <c r="B21832" t="str">
        <v>Công an xã Long Hiệp  tỉnh Trà Vinh</v>
      </c>
      <c r="C21832" t="str">
        <v>-</v>
      </c>
      <c r="D21832" t="str">
        <v>-</v>
      </c>
      <c r="E21832" t="str">
        <v/>
      </c>
      <c r="F21832" t="str">
        <v>-</v>
      </c>
      <c r="G21832" t="str">
        <v>-</v>
      </c>
    </row>
    <row r="21833">
      <c r="B21833" t="str">
        <v>UBND Ủy ban nhân dân xã Long Hiệp  tỉnh Trà Vinh</v>
      </c>
      <c r="C21833" t="str">
        <v>-</v>
      </c>
      <c r="D21833" t="str">
        <v>-</v>
      </c>
      <c r="E21833" t="str">
        <v>-</v>
      </c>
      <c r="F21833" t="str">
        <v>-</v>
      </c>
      <c r="G21833" t="str">
        <v>-</v>
      </c>
    </row>
    <row r="21834">
      <c r="B21834" t="str">
        <v>Công an xã Tân Hiệp  tỉnh Trà Vinh</v>
      </c>
      <c r="C21834" t="str">
        <v>-</v>
      </c>
      <c r="D21834" t="str">
        <v>-</v>
      </c>
      <c r="E21834" t="str">
        <v/>
      </c>
      <c r="F21834" t="str">
        <v>-</v>
      </c>
      <c r="G21834" t="str">
        <v>-</v>
      </c>
    </row>
    <row r="21835">
      <c r="B21835" t="str">
        <v>UBND Ủy ban nhân dân xã Tân Hiệp  tỉnh Trà Vinh</v>
      </c>
      <c r="C21835" t="str">
        <v>-</v>
      </c>
      <c r="D21835" t="str">
        <v>-</v>
      </c>
      <c r="E21835" t="str">
        <v>-</v>
      </c>
      <c r="F21835" t="str">
        <v>-</v>
      </c>
      <c r="G21835" t="str">
        <v>-</v>
      </c>
    </row>
    <row r="21836">
      <c r="B21836" t="str">
        <v>Công an xã Đôn Xuân  tỉnh Trà Vinh</v>
      </c>
      <c r="C21836" t="str">
        <v>-</v>
      </c>
      <c r="D21836" t="str">
        <v>-</v>
      </c>
      <c r="E21836" t="str">
        <v/>
      </c>
      <c r="F21836" t="str">
        <v>-</v>
      </c>
      <c r="G21836" t="str">
        <v>-</v>
      </c>
    </row>
    <row r="21837">
      <c r="B21837" t="str">
        <v>UBND Ủy ban nhân dân xã Đôn Xuân  tỉnh Trà Vinh</v>
      </c>
      <c r="C21837" t="str">
        <v>-</v>
      </c>
      <c r="D21837" t="str">
        <v>-</v>
      </c>
      <c r="E21837" t="str">
        <v>-</v>
      </c>
      <c r="F21837" t="str">
        <v>-</v>
      </c>
      <c r="G21837" t="str">
        <v>-</v>
      </c>
    </row>
    <row r="21838">
      <c r="B21838" t="str">
        <v>Công an xã Đôn Châu  tỉnh Trà Vinh</v>
      </c>
      <c r="C21838" t="str">
        <v>-</v>
      </c>
      <c r="D21838" t="str">
        <v>-</v>
      </c>
      <c r="E21838" t="str">
        <v/>
      </c>
      <c r="F21838" t="str">
        <v>-</v>
      </c>
      <c r="G21838" t="str">
        <v>-</v>
      </c>
    </row>
    <row r="21839">
      <c r="B21839" t="str">
        <v>UBND Ủy ban nhân dân xã Đôn Châu  tỉnh Trà Vinh</v>
      </c>
      <c r="C21839" t="str">
        <v>-</v>
      </c>
      <c r="D21839" t="str">
        <v>-</v>
      </c>
      <c r="E21839" t="str">
        <v>-</v>
      </c>
      <c r="F21839" t="str">
        <v>-</v>
      </c>
      <c r="G21839" t="str">
        <v>-</v>
      </c>
    </row>
    <row r="21840">
      <c r="B21840" t="str">
        <v>Công an xã Long Khánh  tỉnh Trà Vinh</v>
      </c>
      <c r="C21840" t="str">
        <v>-</v>
      </c>
      <c r="D21840" t="str">
        <v>-</v>
      </c>
      <c r="E21840" t="str">
        <v/>
      </c>
      <c r="F21840" t="str">
        <v>-</v>
      </c>
      <c r="G21840" t="str">
        <v>-</v>
      </c>
    </row>
    <row r="21841">
      <c r="B21841" t="str">
        <v>UBND Ủy ban nhân dân xã Long Khánh  tỉnh Trà Vinh</v>
      </c>
      <c r="C21841" t="str">
        <v>-</v>
      </c>
      <c r="D21841" t="str">
        <v>-</v>
      </c>
      <c r="E21841" t="str">
        <v>-</v>
      </c>
      <c r="F21841" t="str">
        <v>-</v>
      </c>
      <c r="G21841" t="str">
        <v>-</v>
      </c>
    </row>
    <row r="21842">
      <c r="B21842" t="str">
        <v>Công an xã Ngũ Lạc  tỉnh Trà Vinh</v>
      </c>
      <c r="C21842" t="str">
        <v>-</v>
      </c>
      <c r="D21842" t="str">
        <v>-</v>
      </c>
      <c r="E21842" t="str">
        <v/>
      </c>
      <c r="F21842" t="str">
        <v>-</v>
      </c>
      <c r="G21842" t="str">
        <v>-</v>
      </c>
    </row>
    <row r="21843">
      <c r="B21843" t="str">
        <v>UBND Ủy ban nhân dân xã Ngũ Lạc  tỉnh Trà Vinh</v>
      </c>
      <c r="C21843" t="str">
        <v>-</v>
      </c>
      <c r="D21843" t="str">
        <v>-</v>
      </c>
      <c r="E21843" t="str">
        <v>-</v>
      </c>
      <c r="F21843" t="str">
        <v>-</v>
      </c>
      <c r="G21843" t="str">
        <v>-</v>
      </c>
    </row>
    <row r="21844">
      <c r="B21844" t="str">
        <v>Công an xã Long Vĩnh  tỉnh Trà Vinh</v>
      </c>
      <c r="C21844" t="str">
        <v>-</v>
      </c>
      <c r="D21844" t="str">
        <v>-</v>
      </c>
      <c r="E21844" t="str">
        <v/>
      </c>
      <c r="F21844" t="str">
        <v>-</v>
      </c>
      <c r="G21844" t="str">
        <v>-</v>
      </c>
    </row>
    <row r="21845">
      <c r="B21845" t="str">
        <v>UBND Ủy ban nhân dân xã Long Vĩnh  tỉnh Trà Vinh</v>
      </c>
      <c r="C21845" t="str">
        <v>-</v>
      </c>
      <c r="D21845" t="str">
        <v>-</v>
      </c>
      <c r="E21845" t="str">
        <v>-</v>
      </c>
      <c r="F21845" t="str">
        <v>-</v>
      </c>
      <c r="G21845" t="str">
        <v>-</v>
      </c>
    </row>
    <row r="21846">
      <c r="B21846" t="str">
        <v>Công an xã Đông Hải  tỉnh Trà Vinh</v>
      </c>
      <c r="C21846" t="str">
        <v>-</v>
      </c>
      <c r="D21846" t="str">
        <v>-</v>
      </c>
      <c r="E21846" t="str">
        <v/>
      </c>
      <c r="F21846" t="str">
        <v>-</v>
      </c>
      <c r="G21846" t="str">
        <v>-</v>
      </c>
    </row>
    <row r="21847">
      <c r="B21847" t="str">
        <v>UBND Ủy ban nhân dân xã Đông Hải  tỉnh Trà Vinh</v>
      </c>
      <c r="C21847" t="str">
        <v>-</v>
      </c>
      <c r="D21847" t="str">
        <v>-</v>
      </c>
      <c r="E21847" t="str">
        <v>-</v>
      </c>
      <c r="F21847" t="str">
        <v>-</v>
      </c>
      <c r="G21847" t="str">
        <v>-</v>
      </c>
    </row>
    <row r="21848">
      <c r="B21848" t="str">
        <v>Công an phường 1  tỉnh Trà Vinh</v>
      </c>
      <c r="C21848" t="str">
        <v>-</v>
      </c>
      <c r="D21848" t="str">
        <v>-</v>
      </c>
      <c r="E21848" t="str">
        <v/>
      </c>
      <c r="F21848" t="str">
        <v>-</v>
      </c>
      <c r="G21848" t="str">
        <v>-</v>
      </c>
    </row>
    <row r="21849">
      <c r="B21849" t="str">
        <v>UBND Ủy ban nhân dân phường 1  tỉnh Trà Vinh</v>
      </c>
      <c r="C21849" t="str">
        <v>-</v>
      </c>
      <c r="D21849" t="str">
        <v>-</v>
      </c>
      <c r="E21849" t="str">
        <v>-</v>
      </c>
      <c r="F21849" t="str">
        <v>-</v>
      </c>
      <c r="G21849" t="str">
        <v>-</v>
      </c>
    </row>
    <row r="21850">
      <c r="B21850" t="str">
        <v>Công an xã Long Toàn  tỉnh Trà Vinh</v>
      </c>
      <c r="C21850" t="str">
        <v>-</v>
      </c>
      <c r="D21850" t="str">
        <v>-</v>
      </c>
      <c r="E21850" t="str">
        <v/>
      </c>
      <c r="F21850" t="str">
        <v>-</v>
      </c>
      <c r="G21850" t="str">
        <v>-</v>
      </c>
    </row>
    <row r="21851">
      <c r="B21851" t="str">
        <v>UBND Ủy ban nhân dân xã Long Toàn  tỉnh Trà Vinh</v>
      </c>
      <c r="C21851" t="str">
        <v>-</v>
      </c>
      <c r="D21851" t="str">
        <v>-</v>
      </c>
      <c r="E21851" t="str">
        <v>-</v>
      </c>
      <c r="F21851" t="str">
        <v>-</v>
      </c>
      <c r="G21851" t="str">
        <v>-</v>
      </c>
    </row>
    <row r="21852">
      <c r="B21852" t="str">
        <v>Công an phường 2  tỉnh Trà Vinh</v>
      </c>
      <c r="C21852" t="str">
        <v>-</v>
      </c>
      <c r="D21852" t="str">
        <v>-</v>
      </c>
      <c r="E21852" t="str">
        <v/>
      </c>
      <c r="F21852" t="str">
        <v>-</v>
      </c>
      <c r="G21852" t="str">
        <v>-</v>
      </c>
    </row>
    <row r="21853">
      <c r="B21853" t="str">
        <v>UBND Ủy ban nhân dân phường 2  tỉnh Trà Vinh</v>
      </c>
      <c r="C21853" t="str">
        <v>-</v>
      </c>
      <c r="D21853" t="str">
        <v>-</v>
      </c>
      <c r="E21853" t="str">
        <v>-</v>
      </c>
      <c r="F21853" t="str">
        <v>-</v>
      </c>
      <c r="G21853" t="str">
        <v>-</v>
      </c>
    </row>
    <row r="21854">
      <c r="B21854" t="str">
        <v>Công an xã Long Hữu  tỉnh Trà Vinh</v>
      </c>
      <c r="C21854" t="str">
        <v>-</v>
      </c>
      <c r="D21854" t="str">
        <v>-</v>
      </c>
      <c r="E21854" t="str">
        <v/>
      </c>
      <c r="F21854" t="str">
        <v>-</v>
      </c>
      <c r="G21854" t="str">
        <v>-</v>
      </c>
    </row>
    <row r="21855">
      <c r="B21855" t="str">
        <v>UBND Ủy ban nhân dân xã Long Hữu  tỉnh Trà Vinh</v>
      </c>
      <c r="C21855" t="str">
        <v>-</v>
      </c>
      <c r="D21855" t="str">
        <v>-</v>
      </c>
      <c r="E21855" t="str">
        <v>-</v>
      </c>
      <c r="F21855" t="str">
        <v>-</v>
      </c>
      <c r="G21855" t="str">
        <v>-</v>
      </c>
    </row>
    <row r="21856">
      <c r="B21856" t="str">
        <v>Công an xã Dân Thành  tỉnh Trà Vinh</v>
      </c>
      <c r="C21856" t="str">
        <v>-</v>
      </c>
      <c r="D21856" t="str">
        <v>-</v>
      </c>
      <c r="E21856" t="str">
        <v/>
      </c>
      <c r="F21856" t="str">
        <v>-</v>
      </c>
      <c r="G21856" t="str">
        <v>-</v>
      </c>
    </row>
    <row r="21857">
      <c r="B21857" t="str">
        <v>UBND Ủy ban nhân dân xã Dân Thành  tỉnh Trà Vinh</v>
      </c>
      <c r="C21857" t="str">
        <v>-</v>
      </c>
      <c r="D21857" t="str">
        <v>-</v>
      </c>
      <c r="E21857" t="str">
        <v>-</v>
      </c>
      <c r="F21857" t="str">
        <v>-</v>
      </c>
      <c r="G21857" t="str">
        <v>-</v>
      </c>
    </row>
    <row r="21858">
      <c r="B21858" t="str">
        <v>Công an xã Trường Long Hòa  tỉnh Trà Vinh</v>
      </c>
      <c r="C21858" t="str">
        <v>-</v>
      </c>
      <c r="D21858" t="str">
        <v>-</v>
      </c>
      <c r="E21858" t="str">
        <v/>
      </c>
      <c r="F21858" t="str">
        <v>-</v>
      </c>
      <c r="G21858" t="str">
        <v>-</v>
      </c>
    </row>
    <row r="21859">
      <c r="B21859" t="str">
        <v>UBND Ủy ban nhân dân xã Trường Long Hòa  tỉnh Trà Vinh</v>
      </c>
      <c r="C21859" t="str">
        <v>-</v>
      </c>
      <c r="D21859" t="str">
        <v>-</v>
      </c>
      <c r="E21859" t="str">
        <v>-</v>
      </c>
      <c r="F21859" t="str">
        <v>-</v>
      </c>
      <c r="G21859" t="str">
        <v>-</v>
      </c>
    </row>
    <row r="21860">
      <c r="B21860" t="str">
        <v>Công an xã Hiệp Thạnh  tỉnh Trà Vinh</v>
      </c>
      <c r="C21860" t="str">
        <v>-</v>
      </c>
      <c r="D21860" t="str">
        <v>-</v>
      </c>
      <c r="E21860" t="str">
        <v/>
      </c>
      <c r="F21860" t="str">
        <v>-</v>
      </c>
      <c r="G21860" t="str">
        <v>-</v>
      </c>
    </row>
    <row r="21861">
      <c r="B21861" t="str">
        <v>UBND Ủy ban nhân dân xã Hiệp Thạnh  tỉnh Trà Vinh</v>
      </c>
      <c r="C21861" t="str">
        <v>-</v>
      </c>
      <c r="D21861" t="str">
        <v>-</v>
      </c>
      <c r="E21861" t="str">
        <v>-</v>
      </c>
      <c r="F21861" t="str">
        <v>-</v>
      </c>
      <c r="G21861" t="str">
        <v>-</v>
      </c>
    </row>
    <row r="21862">
      <c r="B21862" t="str">
        <v>Công an phường 9  tỉnh Vĩnh Long</v>
      </c>
      <c r="C21862" t="str">
        <v>-</v>
      </c>
      <c r="D21862" t="str">
        <v>-</v>
      </c>
      <c r="E21862" t="str">
        <v/>
      </c>
      <c r="F21862" t="str">
        <v>-</v>
      </c>
      <c r="G21862" t="str">
        <v>-</v>
      </c>
    </row>
    <row r="21863">
      <c r="B21863" t="str">
        <v>UBND Ủy ban nhân dân phường 9  tỉnh Vĩnh Long</v>
      </c>
      <c r="C21863" t="str">
        <v>-</v>
      </c>
      <c r="D21863" t="str">
        <v>-</v>
      </c>
      <c r="E21863" t="str">
        <v>-</v>
      </c>
      <c r="F21863" t="str">
        <v>-</v>
      </c>
      <c r="G21863" t="str">
        <v>-</v>
      </c>
    </row>
    <row r="21864">
      <c r="B21864" t="str">
        <v>Công an phường 5  tỉnh Vĩnh Long</v>
      </c>
      <c r="C21864" t="str">
        <v>-</v>
      </c>
      <c r="D21864" t="str">
        <v>-</v>
      </c>
      <c r="E21864" t="str">
        <v/>
      </c>
      <c r="F21864" t="str">
        <v>-</v>
      </c>
      <c r="G21864" t="str">
        <v>-</v>
      </c>
    </row>
    <row r="21865">
      <c r="B21865" t="str">
        <v>UBND Ủy ban nhân dân phường 5  tỉnh Vĩnh Long</v>
      </c>
      <c r="C21865" t="str">
        <v>-</v>
      </c>
      <c r="D21865" t="str">
        <v>-</v>
      </c>
      <c r="E21865" t="str">
        <v>-</v>
      </c>
      <c r="F21865" t="str">
        <v>-</v>
      </c>
      <c r="G21865" t="str">
        <v>-</v>
      </c>
    </row>
    <row r="21866">
      <c r="B21866" t="str">
        <v>Công an phường 1  tỉnh Vĩnh Long</v>
      </c>
      <c r="C21866" t="str">
        <v>-</v>
      </c>
      <c r="D21866" t="str">
        <v>-</v>
      </c>
      <c r="E21866" t="str">
        <v/>
      </c>
      <c r="F21866" t="str">
        <v>-</v>
      </c>
      <c r="G21866" t="str">
        <v>-</v>
      </c>
    </row>
    <row r="21867">
      <c r="B21867" t="str">
        <v>UBND Ủy ban nhân dân phường 1  tỉnh Vĩnh Long</v>
      </c>
      <c r="C21867" t="str">
        <v>-</v>
      </c>
      <c r="D21867" t="str">
        <v>-</v>
      </c>
      <c r="E21867" t="str">
        <v>-</v>
      </c>
      <c r="F21867" t="str">
        <v>-</v>
      </c>
      <c r="G21867" t="str">
        <v>-</v>
      </c>
    </row>
    <row r="21868">
      <c r="B21868" t="str">
        <v>Công an phường 2  tỉnh Vĩnh Long</v>
      </c>
      <c r="C21868" t="str">
        <v>-</v>
      </c>
      <c r="D21868" t="str">
        <v>-</v>
      </c>
      <c r="E21868" t="str">
        <v/>
      </c>
      <c r="F21868" t="str">
        <v>-</v>
      </c>
      <c r="G21868" t="str">
        <v>-</v>
      </c>
    </row>
    <row r="21869">
      <c r="B21869" t="str">
        <v>UBND Ủy ban nhân dân phường 2  tỉnh Vĩnh Long</v>
      </c>
      <c r="C21869" t="str">
        <v>-</v>
      </c>
      <c r="D21869" t="str">
        <v>-</v>
      </c>
      <c r="E21869" t="str">
        <v>-</v>
      </c>
      <c r="F21869" t="str">
        <v>-</v>
      </c>
      <c r="G21869" t="str">
        <v>-</v>
      </c>
    </row>
    <row r="21870">
      <c r="B21870" t="str">
        <v>Công an phường 4  tỉnh Vĩnh Long</v>
      </c>
      <c r="C21870" t="str">
        <v>-</v>
      </c>
      <c r="D21870" t="str">
        <v>-</v>
      </c>
      <c r="E21870" t="str">
        <v/>
      </c>
      <c r="F21870" t="str">
        <v>-</v>
      </c>
      <c r="G21870" t="str">
        <v>-</v>
      </c>
    </row>
    <row r="21871">
      <c r="B21871" t="str">
        <v>UBND Ủy ban nhân dân phường 4  tỉnh Vĩnh Long</v>
      </c>
      <c r="C21871" t="str">
        <v>-</v>
      </c>
      <c r="D21871" t="str">
        <v>-</v>
      </c>
      <c r="E21871" t="str">
        <v>-</v>
      </c>
      <c r="F21871" t="str">
        <v>-</v>
      </c>
      <c r="G21871" t="str">
        <v>-</v>
      </c>
    </row>
    <row r="21872">
      <c r="B21872" t="str">
        <v>Công an phường 3  tỉnh Vĩnh Long</v>
      </c>
      <c r="C21872" t="str">
        <v>-</v>
      </c>
      <c r="D21872" t="str">
        <v>-</v>
      </c>
      <c r="E21872" t="str">
        <v/>
      </c>
      <c r="F21872" t="str">
        <v>-</v>
      </c>
      <c r="G21872" t="str">
        <v>-</v>
      </c>
    </row>
    <row r="21873">
      <c r="B21873" t="str">
        <v>UBND Ủy ban nhân dân phường 3  tỉnh Vĩnh Long</v>
      </c>
      <c r="C21873" t="str">
        <v>-</v>
      </c>
      <c r="D21873" t="str">
        <v>-</v>
      </c>
      <c r="E21873" t="str">
        <v>-</v>
      </c>
      <c r="F21873" t="str">
        <v>-</v>
      </c>
      <c r="G21873" t="str">
        <v>-</v>
      </c>
    </row>
    <row r="21874">
      <c r="B21874" t="str">
        <v>Công an phường 8  tỉnh Vĩnh Long</v>
      </c>
      <c r="C21874" t="str">
        <v>-</v>
      </c>
      <c r="D21874" t="str">
        <v>-</v>
      </c>
      <c r="E21874" t="str">
        <v/>
      </c>
      <c r="F21874" t="str">
        <v>-</v>
      </c>
      <c r="G21874" t="str">
        <v>-</v>
      </c>
    </row>
    <row r="21875">
      <c r="B21875" t="str">
        <v>UBND Ủy ban nhân dân phường 8  tỉnh Vĩnh Long</v>
      </c>
      <c r="C21875" t="str">
        <v>-</v>
      </c>
      <c r="D21875" t="str">
        <v>-</v>
      </c>
      <c r="E21875" t="str">
        <v>-</v>
      </c>
      <c r="F21875" t="str">
        <v>-</v>
      </c>
      <c r="G21875" t="str">
        <v>-</v>
      </c>
    </row>
    <row r="21876">
      <c r="B21876" t="str">
        <v>Công an xã Tân Ngãi  tỉnh Vĩnh Long</v>
      </c>
      <c r="C21876" t="str">
        <v>-</v>
      </c>
      <c r="D21876" t="str">
        <v>-</v>
      </c>
      <c r="E21876" t="str">
        <v/>
      </c>
      <c r="F21876" t="str">
        <v>-</v>
      </c>
      <c r="G21876" t="str">
        <v>-</v>
      </c>
    </row>
    <row r="21877">
      <c r="B21877" t="str">
        <v>UBND Ủy ban nhân dân xã Tân Ngãi  tỉnh Vĩnh Long</v>
      </c>
      <c r="C21877" t="str">
        <v>-</v>
      </c>
      <c r="D21877" t="str">
        <v>-</v>
      </c>
      <c r="E21877" t="str">
        <v>-</v>
      </c>
      <c r="F21877" t="str">
        <v>-</v>
      </c>
      <c r="G21877" t="str">
        <v>-</v>
      </c>
    </row>
    <row r="21878">
      <c r="B21878" t="str">
        <v>Công an xã Tân Hòa  tỉnh Vĩnh Long</v>
      </c>
      <c r="C21878" t="str">
        <v>-</v>
      </c>
      <c r="D21878" t="str">
        <v>-</v>
      </c>
      <c r="E21878" t="str">
        <v/>
      </c>
      <c r="F21878" t="str">
        <v>-</v>
      </c>
      <c r="G21878" t="str">
        <v>-</v>
      </c>
    </row>
    <row r="21879">
      <c r="B21879" t="str">
        <v>UBND Ủy ban nhân dân xã Tân Hòa  tỉnh Vĩnh Long</v>
      </c>
      <c r="C21879" t="str">
        <v>-</v>
      </c>
      <c r="D21879" t="str">
        <v>-</v>
      </c>
      <c r="E21879" t="str">
        <v>-</v>
      </c>
      <c r="F21879" t="str">
        <v>-</v>
      </c>
      <c r="G21879" t="str">
        <v>-</v>
      </c>
    </row>
    <row r="21880">
      <c r="B21880" t="str">
        <v>Công an xã Tân Hội  tỉnh Vĩnh Long</v>
      </c>
      <c r="C21880" t="str">
        <v>-</v>
      </c>
      <c r="D21880" t="str">
        <v>-</v>
      </c>
      <c r="E21880" t="str">
        <v/>
      </c>
      <c r="F21880" t="str">
        <v>-</v>
      </c>
      <c r="G21880" t="str">
        <v>-</v>
      </c>
    </row>
    <row r="21881">
      <c r="B21881" t="str">
        <v>UBND Ủy ban nhân dân xã Tân Hội  tỉnh Vĩnh Long</v>
      </c>
      <c r="C21881" t="str">
        <v>-</v>
      </c>
      <c r="D21881" t="str">
        <v>-</v>
      </c>
      <c r="E21881" t="str">
        <v>-</v>
      </c>
      <c r="F21881" t="str">
        <v>-</v>
      </c>
      <c r="G21881" t="str">
        <v>-</v>
      </c>
    </row>
    <row r="21882">
      <c r="B21882" t="str">
        <v>Công an xã Trường An  tỉnh Vĩnh Long</v>
      </c>
      <c r="C21882" t="str">
        <v>-</v>
      </c>
      <c r="D21882" t="str">
        <v>-</v>
      </c>
      <c r="E21882" t="str">
        <v/>
      </c>
      <c r="F21882" t="str">
        <v>-</v>
      </c>
      <c r="G21882" t="str">
        <v>-</v>
      </c>
    </row>
    <row r="21883">
      <c r="B21883" t="str">
        <v>UBND Ủy ban nhân dân xã Trường An  tỉnh Vĩnh Long</v>
      </c>
      <c r="C21883" t="str">
        <v>-</v>
      </c>
      <c r="D21883" t="str">
        <v>-</v>
      </c>
      <c r="E21883" t="str">
        <v>-</v>
      </c>
      <c r="F21883" t="str">
        <v>-</v>
      </c>
      <c r="G21883" t="str">
        <v>-</v>
      </c>
    </row>
    <row r="21884">
      <c r="B21884" t="str">
        <v>Công an xã Đồng Phú  tỉnh Vĩnh Long</v>
      </c>
      <c r="C21884" t="str">
        <v>-</v>
      </c>
      <c r="D21884" t="str">
        <v>-</v>
      </c>
      <c r="E21884" t="str">
        <v/>
      </c>
      <c r="F21884" t="str">
        <v>-</v>
      </c>
      <c r="G21884" t="str">
        <v>-</v>
      </c>
    </row>
    <row r="21885">
      <c r="B21885" t="str">
        <v>UBND Ủy ban nhân dân xã Đồng Phú  tỉnh Vĩnh Long</v>
      </c>
      <c r="C21885" t="str">
        <v>-</v>
      </c>
      <c r="D21885" t="str">
        <v>-</v>
      </c>
      <c r="E21885" t="str">
        <v>-</v>
      </c>
      <c r="F21885" t="str">
        <v>-</v>
      </c>
      <c r="G21885" t="str">
        <v>-</v>
      </c>
    </row>
    <row r="21886">
      <c r="B21886" t="str">
        <v>Công an xã Bình Hòa Phước  tỉnh Vĩnh Long</v>
      </c>
      <c r="C21886" t="str">
        <v>-</v>
      </c>
      <c r="D21886" t="str">
        <v>-</v>
      </c>
      <c r="E21886" t="str">
        <v/>
      </c>
      <c r="F21886" t="str">
        <v>-</v>
      </c>
      <c r="G21886" t="str">
        <v>-</v>
      </c>
    </row>
    <row r="21887">
      <c r="B21887" t="str">
        <v>UBND Ủy ban nhân dân xã Bình Hòa Phước  tỉnh Vĩnh Long</v>
      </c>
      <c r="C21887" t="str">
        <v>-</v>
      </c>
      <c r="D21887" t="str">
        <v>-</v>
      </c>
      <c r="E21887" t="str">
        <v>-</v>
      </c>
      <c r="F21887" t="str">
        <v>-</v>
      </c>
      <c r="G21887" t="str">
        <v>-</v>
      </c>
    </row>
    <row r="21888">
      <c r="B21888" t="str">
        <v>Công an xã Hòa Ninh  tỉnh Vĩnh Long</v>
      </c>
      <c r="C21888" t="str">
        <v>-</v>
      </c>
      <c r="D21888" t="str">
        <v>-</v>
      </c>
      <c r="E21888" t="str">
        <v/>
      </c>
      <c r="F21888" t="str">
        <v>-</v>
      </c>
      <c r="G21888" t="str">
        <v>-</v>
      </c>
    </row>
    <row r="21889">
      <c r="B21889" t="str">
        <v>UBND Ủy ban nhân dân xã Hòa Ninh  tỉnh Vĩnh Long</v>
      </c>
      <c r="C21889" t="str">
        <v>-</v>
      </c>
      <c r="D21889" t="str">
        <v>-</v>
      </c>
      <c r="E21889" t="str">
        <v>-</v>
      </c>
      <c r="F21889" t="str">
        <v>-</v>
      </c>
      <c r="G21889" t="str">
        <v>-</v>
      </c>
    </row>
    <row r="21890">
      <c r="B21890" t="str">
        <v>Công an xã An Bình  tỉnh Vĩnh Long</v>
      </c>
      <c r="C21890" t="str">
        <v>-</v>
      </c>
      <c r="D21890" t="str">
        <v>-</v>
      </c>
      <c r="E21890" t="str">
        <v/>
      </c>
      <c r="F21890" t="str">
        <v>-</v>
      </c>
      <c r="G21890" t="str">
        <v>-</v>
      </c>
    </row>
    <row r="21891">
      <c r="B21891" t="str">
        <v>UBND Ủy ban nhân dân xã An Bình  tỉnh Vĩnh Long</v>
      </c>
      <c r="C21891" t="str">
        <v>-</v>
      </c>
      <c r="D21891" t="str">
        <v>-</v>
      </c>
      <c r="E21891" t="str">
        <v>-</v>
      </c>
      <c r="F21891" t="str">
        <v>-</v>
      </c>
      <c r="G21891" t="str">
        <v>-</v>
      </c>
    </row>
    <row r="21892">
      <c r="B21892" t="str">
        <v>Công an xã Thanh Đức  tỉnh Vĩnh Long</v>
      </c>
      <c r="C21892" t="str">
        <v>-</v>
      </c>
      <c r="D21892" t="str">
        <v>-</v>
      </c>
      <c r="E21892" t="str">
        <v/>
      </c>
      <c r="F21892" t="str">
        <v>-</v>
      </c>
      <c r="G21892" t="str">
        <v>-</v>
      </c>
    </row>
    <row r="21893">
      <c r="B21893" t="str">
        <v>UBND Ủy ban nhân dân xã Thanh Đức  tỉnh Vĩnh Long</v>
      </c>
      <c r="C21893" t="str">
        <v>-</v>
      </c>
      <c r="D21893" t="str">
        <v>-</v>
      </c>
      <c r="E21893" t="str">
        <v>-</v>
      </c>
      <c r="F21893" t="str">
        <v>-</v>
      </c>
      <c r="G21893" t="str">
        <v>-</v>
      </c>
    </row>
    <row r="21894">
      <c r="B21894" t="str">
        <v>Công an xã Tân Hạnh  tỉnh Vĩnh Long</v>
      </c>
      <c r="C21894" t="str">
        <v>-</v>
      </c>
      <c r="D21894" t="str">
        <v>-</v>
      </c>
      <c r="E21894" t="str">
        <v/>
      </c>
      <c r="F21894" t="str">
        <v>-</v>
      </c>
      <c r="G21894" t="str">
        <v>-</v>
      </c>
    </row>
    <row r="21895">
      <c r="B21895" t="str">
        <v>UBND Ủy ban nhân dân xã Tân Hạnh  tỉnh Vĩnh Long</v>
      </c>
      <c r="C21895" t="str">
        <v>-</v>
      </c>
      <c r="D21895" t="str">
        <v>-</v>
      </c>
      <c r="E21895" t="str">
        <v>-</v>
      </c>
      <c r="F21895" t="str">
        <v>-</v>
      </c>
      <c r="G21895" t="str">
        <v>-</v>
      </c>
    </row>
    <row r="21896">
      <c r="B21896" t="str">
        <v>Công an xã Phước Hậu  tỉnh Vĩnh Long</v>
      </c>
      <c r="C21896" t="str">
        <v>-</v>
      </c>
      <c r="D21896" t="str">
        <v>-</v>
      </c>
      <c r="E21896" t="str">
        <v/>
      </c>
      <c r="F21896" t="str">
        <v>-</v>
      </c>
      <c r="G21896" t="str">
        <v>-</v>
      </c>
    </row>
    <row r="21897">
      <c r="B21897" t="str">
        <v>UBND Ủy ban nhân dân xã Phước Hậu  tỉnh Vĩnh Long</v>
      </c>
      <c r="C21897" t="str">
        <v>-</v>
      </c>
      <c r="D21897" t="str">
        <v>-</v>
      </c>
      <c r="E21897" t="str">
        <v>-</v>
      </c>
      <c r="F21897" t="str">
        <v>-</v>
      </c>
      <c r="G21897" t="str">
        <v>-</v>
      </c>
    </row>
    <row r="21898">
      <c r="B21898" t="str">
        <v>Công an xã Long Phước  tỉnh Vĩnh Long</v>
      </c>
      <c r="C21898" t="str">
        <v>-</v>
      </c>
      <c r="D21898" t="str">
        <v>-</v>
      </c>
      <c r="E21898" t="str">
        <v/>
      </c>
      <c r="F21898" t="str">
        <v>-</v>
      </c>
      <c r="G21898" t="str">
        <v>-</v>
      </c>
    </row>
    <row r="21899">
      <c r="B21899" t="str">
        <v>UBND Ủy ban nhân dân xã Long Phước  tỉnh Vĩnh Long</v>
      </c>
      <c r="C21899" t="str">
        <v>-</v>
      </c>
      <c r="D21899" t="str">
        <v>-</v>
      </c>
      <c r="E21899" t="str">
        <v>-</v>
      </c>
      <c r="F21899" t="str">
        <v>-</v>
      </c>
      <c r="G21899" t="str">
        <v>-</v>
      </c>
    </row>
    <row r="21900">
      <c r="B21900" t="str">
        <v>Công an xã Phú Đức  tỉnh Vĩnh Long</v>
      </c>
      <c r="C21900" t="str">
        <v>-</v>
      </c>
      <c r="D21900" t="str">
        <v>-</v>
      </c>
      <c r="E21900" t="str">
        <v/>
      </c>
      <c r="F21900" t="str">
        <v>-</v>
      </c>
      <c r="G21900" t="str">
        <v>-</v>
      </c>
    </row>
    <row r="21901">
      <c r="B21901" t="str">
        <v>UBND Ủy ban nhân dân xã Phú Đức  tỉnh Vĩnh Long</v>
      </c>
      <c r="C21901" t="str">
        <v>-</v>
      </c>
      <c r="D21901" t="str">
        <v>-</v>
      </c>
      <c r="E21901" t="str">
        <v>-</v>
      </c>
      <c r="F21901" t="str">
        <v>-</v>
      </c>
      <c r="G21901" t="str">
        <v>-</v>
      </c>
    </row>
    <row r="21902">
      <c r="B21902" t="str">
        <v>Công an xã Lộc Hòa  tỉnh Vĩnh Long</v>
      </c>
      <c r="C21902" t="str">
        <v>-</v>
      </c>
      <c r="D21902" t="str">
        <v>-</v>
      </c>
      <c r="E21902" t="str">
        <v/>
      </c>
      <c r="F21902" t="str">
        <v>-</v>
      </c>
      <c r="G21902" t="str">
        <v>-</v>
      </c>
    </row>
    <row r="21903">
      <c r="B21903" t="str">
        <v>UBND Ủy ban nhân dân xã Lộc Hòa  tỉnh Vĩnh Long</v>
      </c>
      <c r="C21903" t="str">
        <v>-</v>
      </c>
      <c r="D21903" t="str">
        <v>-</v>
      </c>
      <c r="E21903" t="str">
        <v>-</v>
      </c>
      <c r="F21903" t="str">
        <v>-</v>
      </c>
      <c r="G21903" t="str">
        <v>-</v>
      </c>
    </row>
    <row r="21904">
      <c r="B21904" t="str">
        <v>Công an xã Long An  tỉnh Vĩnh Long</v>
      </c>
      <c r="C21904" t="str">
        <v>-</v>
      </c>
      <c r="D21904" t="str">
        <v>-</v>
      </c>
      <c r="E21904" t="str">
        <v/>
      </c>
      <c r="F21904" t="str">
        <v>-</v>
      </c>
      <c r="G21904" t="str">
        <v>-</v>
      </c>
    </row>
    <row r="21905">
      <c r="B21905" t="str">
        <v>UBND Ủy ban nhân dân xã Long An  tỉnh Vĩnh Long</v>
      </c>
      <c r="C21905" t="str">
        <v>-</v>
      </c>
      <c r="D21905" t="str">
        <v>-</v>
      </c>
      <c r="E21905" t="str">
        <v>-</v>
      </c>
      <c r="F21905" t="str">
        <v>-</v>
      </c>
      <c r="G21905" t="str">
        <v>-</v>
      </c>
    </row>
    <row r="21906">
      <c r="B21906" t="str">
        <v>Công an xã Phú Quới  tỉnh Vĩnh Long</v>
      </c>
      <c r="C21906" t="str">
        <v>-</v>
      </c>
      <c r="D21906" t="str">
        <v>-</v>
      </c>
      <c r="E21906" t="str">
        <v/>
      </c>
      <c r="F21906" t="str">
        <v>-</v>
      </c>
      <c r="G21906" t="str">
        <v>-</v>
      </c>
    </row>
    <row r="21907">
      <c r="B21907" t="str">
        <v>UBND Ủy ban nhân dân xã Phú Quới  tỉnh Vĩnh Long</v>
      </c>
      <c r="C21907" t="str">
        <v>-</v>
      </c>
      <c r="D21907" t="str">
        <v>-</v>
      </c>
      <c r="E21907" t="str">
        <v>-</v>
      </c>
      <c r="F21907" t="str">
        <v>-</v>
      </c>
      <c r="G21907" t="str">
        <v>-</v>
      </c>
    </row>
    <row r="21908">
      <c r="B21908" t="str">
        <v>Công an xã Thạnh Quới  tỉnh Vĩnh Long</v>
      </c>
      <c r="C21908" t="str">
        <v>-</v>
      </c>
      <c r="D21908" t="str">
        <v>-</v>
      </c>
      <c r="E21908" t="str">
        <v/>
      </c>
      <c r="F21908" t="str">
        <v>-</v>
      </c>
      <c r="G21908" t="str">
        <v>-</v>
      </c>
    </row>
    <row r="21909">
      <c r="B21909" t="str">
        <v>UBND Ủy ban nhân dân xã Thạnh Quới  tỉnh Vĩnh Long</v>
      </c>
      <c r="C21909" t="str">
        <v>-</v>
      </c>
      <c r="D21909" t="str">
        <v>-</v>
      </c>
      <c r="E21909" t="str">
        <v>-</v>
      </c>
      <c r="F21909" t="str">
        <v>-</v>
      </c>
      <c r="G21909" t="str">
        <v>-</v>
      </c>
    </row>
    <row r="21910">
      <c r="B21910" t="str">
        <v>Công an xã Hòa Phú  tỉnh Vĩnh Long</v>
      </c>
      <c r="C21910" t="str">
        <v>-</v>
      </c>
      <c r="D21910" t="str">
        <v>-</v>
      </c>
      <c r="E21910" t="str">
        <v/>
      </c>
      <c r="F21910" t="str">
        <v>-</v>
      </c>
      <c r="G21910" t="str">
        <v>-</v>
      </c>
    </row>
    <row r="21911">
      <c r="B21911" t="str">
        <v>UBND Ủy ban nhân dân xã Hòa Phú  tỉnh Vĩnh Long</v>
      </c>
      <c r="C21911" t="str">
        <v>-</v>
      </c>
      <c r="D21911" t="str">
        <v>-</v>
      </c>
      <c r="E21911" t="str">
        <v>-</v>
      </c>
      <c r="F21911" t="str">
        <v>-</v>
      </c>
      <c r="G21911" t="str">
        <v>-</v>
      </c>
    </row>
    <row r="21912">
      <c r="B21912" t="str">
        <v>Công an xã Mỹ An  tỉnh Vĩnh Long</v>
      </c>
      <c r="C21912" t="str">
        <v>-</v>
      </c>
      <c r="D21912" t="str">
        <v>-</v>
      </c>
      <c r="E21912" t="str">
        <v/>
      </c>
      <c r="F21912" t="str">
        <v>-</v>
      </c>
      <c r="G21912" t="str">
        <v>-</v>
      </c>
    </row>
    <row r="21913">
      <c r="B21913" t="str">
        <v>UBND Ủy ban nhân dân xã Mỹ An  tỉnh Vĩnh Long</v>
      </c>
      <c r="C21913" t="str">
        <v>-</v>
      </c>
      <c r="D21913" t="str">
        <v>-</v>
      </c>
      <c r="E21913" t="str">
        <v>-</v>
      </c>
      <c r="F21913" t="str">
        <v>-</v>
      </c>
      <c r="G21913" t="str">
        <v>-</v>
      </c>
    </row>
    <row r="21914">
      <c r="B21914" t="str">
        <v>Công an xã Mỹ Phước  tỉnh Vĩnh Long</v>
      </c>
      <c r="C21914" t="str">
        <v>-</v>
      </c>
      <c r="D21914" t="str">
        <v>-</v>
      </c>
      <c r="E21914" t="str">
        <v/>
      </c>
      <c r="F21914" t="str">
        <v>-</v>
      </c>
      <c r="G21914" t="str">
        <v>-</v>
      </c>
    </row>
    <row r="21915">
      <c r="B21915" t="str">
        <v>UBND Ủy ban nhân dân xã Mỹ Phước  tỉnh Vĩnh Long</v>
      </c>
      <c r="C21915" t="str">
        <v>-</v>
      </c>
      <c r="D21915" t="str">
        <v>-</v>
      </c>
      <c r="E21915" t="str">
        <v>-</v>
      </c>
      <c r="F21915" t="str">
        <v>-</v>
      </c>
      <c r="G21915" t="str">
        <v>-</v>
      </c>
    </row>
    <row r="21916">
      <c r="B21916" t="str">
        <v>Công an xã An Phước  tỉnh Vĩnh Long</v>
      </c>
      <c r="C21916" t="str">
        <v>-</v>
      </c>
      <c r="D21916" t="str">
        <v>-</v>
      </c>
      <c r="E21916" t="str">
        <v/>
      </c>
      <c r="F21916" t="str">
        <v>-</v>
      </c>
      <c r="G21916" t="str">
        <v>-</v>
      </c>
    </row>
    <row r="21917">
      <c r="B21917" t="str">
        <v>UBND Ủy ban nhân dân xã An Phước  tỉnh Vĩnh Long</v>
      </c>
      <c r="C21917" t="str">
        <v>-</v>
      </c>
      <c r="D21917" t="str">
        <v>-</v>
      </c>
      <c r="E21917" t="str">
        <v>-</v>
      </c>
      <c r="F21917" t="str">
        <v>-</v>
      </c>
      <c r="G21917" t="str">
        <v>-</v>
      </c>
    </row>
    <row r="21918">
      <c r="B21918" t="str">
        <v>Công an xã Nhơn Phú  tỉnh Vĩnh Long</v>
      </c>
      <c r="C21918" t="str">
        <v>-</v>
      </c>
      <c r="D21918" t="str">
        <v>-</v>
      </c>
      <c r="E21918" t="str">
        <v/>
      </c>
      <c r="F21918" t="str">
        <v>-</v>
      </c>
      <c r="G21918" t="str">
        <v>-</v>
      </c>
    </row>
    <row r="21919">
      <c r="B21919" t="str">
        <v>UBND Ủy ban nhân dân xã Nhơn Phú  tỉnh Vĩnh Long</v>
      </c>
      <c r="C21919" t="str">
        <v>-</v>
      </c>
      <c r="D21919" t="str">
        <v>-</v>
      </c>
      <c r="E21919" t="str">
        <v>-</v>
      </c>
      <c r="F21919" t="str">
        <v>-</v>
      </c>
      <c r="G21919" t="str">
        <v>-</v>
      </c>
    </row>
    <row r="21920">
      <c r="B21920" t="str">
        <v>Công an xã Long Mỹ  tỉnh Vĩnh Long</v>
      </c>
      <c r="C21920" t="str">
        <v>-</v>
      </c>
      <c r="D21920" t="str">
        <v>-</v>
      </c>
      <c r="E21920" t="str">
        <v/>
      </c>
      <c r="F21920" t="str">
        <v>-</v>
      </c>
      <c r="G21920" t="str">
        <v>-</v>
      </c>
    </row>
    <row r="21921">
      <c r="B21921" t="str">
        <v>UBND Ủy ban nhân dân xã Long Mỹ  tỉnh Vĩnh Long</v>
      </c>
      <c r="C21921" t="str">
        <v>-</v>
      </c>
      <c r="D21921" t="str">
        <v>-</v>
      </c>
      <c r="E21921" t="str">
        <v>-</v>
      </c>
      <c r="F21921" t="str">
        <v>-</v>
      </c>
      <c r="G21921" t="str">
        <v>-</v>
      </c>
    </row>
    <row r="21922">
      <c r="B21922" t="str">
        <v>Công an xã Hòa Tịnh  tỉnh Vĩnh Long</v>
      </c>
      <c r="C21922" t="str">
        <v>-</v>
      </c>
      <c r="D21922" t="str">
        <v>-</v>
      </c>
      <c r="E21922" t="str">
        <v/>
      </c>
      <c r="F21922" t="str">
        <v>-</v>
      </c>
      <c r="G21922" t="str">
        <v>-</v>
      </c>
    </row>
    <row r="21923">
      <c r="B21923" t="str">
        <v>UBND Ủy ban nhân dân xã Hòa Tịnh  tỉnh Vĩnh Long</v>
      </c>
      <c r="C21923" t="str">
        <v>-</v>
      </c>
      <c r="D21923" t="str">
        <v>-</v>
      </c>
      <c r="E21923" t="str">
        <v>-</v>
      </c>
      <c r="F21923" t="str">
        <v>-</v>
      </c>
      <c r="G21923" t="str">
        <v>-</v>
      </c>
    </row>
    <row r="21924">
      <c r="B21924" t="str">
        <v>Công an xã Chánh Hội  tỉnh Vĩnh Long</v>
      </c>
      <c r="C21924" t="str">
        <v>-</v>
      </c>
      <c r="D21924" t="str">
        <v>-</v>
      </c>
      <c r="E21924" t="str">
        <v/>
      </c>
      <c r="F21924" t="str">
        <v>-</v>
      </c>
      <c r="G21924" t="str">
        <v>-</v>
      </c>
    </row>
    <row r="21925">
      <c r="B21925" t="str">
        <v>UBND Ủy ban nhân dân xã Chánh Hội  tỉnh Vĩnh Long</v>
      </c>
      <c r="C21925" t="str">
        <v>-</v>
      </c>
      <c r="D21925" t="str">
        <v>-</v>
      </c>
      <c r="E21925" t="str">
        <v>-</v>
      </c>
      <c r="F21925" t="str">
        <v>-</v>
      </c>
      <c r="G21925" t="str">
        <v>-</v>
      </c>
    </row>
    <row r="21926">
      <c r="B21926" t="str">
        <v>Công an xã Bình Phước  tỉnh Vĩnh Long</v>
      </c>
      <c r="C21926" t="str">
        <v>-</v>
      </c>
      <c r="D21926" t="str">
        <v>-</v>
      </c>
      <c r="E21926" t="str">
        <v/>
      </c>
      <c r="F21926" t="str">
        <v>-</v>
      </c>
      <c r="G21926" t="str">
        <v>-</v>
      </c>
    </row>
    <row r="21927">
      <c r="B21927" t="str">
        <v>UBND Ủy ban nhân dân xã Bình Phước  tỉnh Vĩnh Long</v>
      </c>
      <c r="C21927" t="str">
        <v>-</v>
      </c>
      <c r="D21927" t="str">
        <v>-</v>
      </c>
      <c r="E21927" t="str">
        <v>-</v>
      </c>
      <c r="F21927" t="str">
        <v>-</v>
      </c>
      <c r="G21927" t="str">
        <v>-</v>
      </c>
    </row>
    <row r="21928">
      <c r="B21928" t="str">
        <v>Công an xã Chánh An  tỉnh Vĩnh Long</v>
      </c>
      <c r="C21928" t="str">
        <v>-</v>
      </c>
      <c r="D21928" t="str">
        <v>-</v>
      </c>
      <c r="E21928" t="str">
        <v/>
      </c>
      <c r="F21928" t="str">
        <v>-</v>
      </c>
      <c r="G21928" t="str">
        <v>-</v>
      </c>
    </row>
    <row r="21929">
      <c r="B21929" t="str">
        <v>UBND Ủy ban nhân dân xã Chánh An  tỉnh Vĩnh Long</v>
      </c>
      <c r="C21929" t="str">
        <v>-</v>
      </c>
      <c r="D21929" t="str">
        <v>-</v>
      </c>
      <c r="E21929" t="str">
        <v>-</v>
      </c>
      <c r="F21929" t="str">
        <v>-</v>
      </c>
      <c r="G21929" t="str">
        <v>-</v>
      </c>
    </row>
    <row r="21930">
      <c r="B21930" t="str">
        <v>Công an xã Tân An Hội  tỉnh Vĩnh Long</v>
      </c>
      <c r="C21930" t="str">
        <v>-</v>
      </c>
      <c r="D21930" t="str">
        <v>-</v>
      </c>
      <c r="E21930" t="str">
        <v/>
      </c>
      <c r="F21930" t="str">
        <v>-</v>
      </c>
      <c r="G21930" t="str">
        <v>-</v>
      </c>
    </row>
    <row r="21931">
      <c r="B21931" t="str">
        <v>UBND Ủy ban nhân dân xã Tân An Hội  tỉnh Vĩnh Long</v>
      </c>
      <c r="C21931" t="str">
        <v>-</v>
      </c>
      <c r="D21931" t="str">
        <v>-</v>
      </c>
      <c r="E21931" t="str">
        <v>-</v>
      </c>
      <c r="F21931" t="str">
        <v>-</v>
      </c>
      <c r="G21931" t="str">
        <v>-</v>
      </c>
    </row>
    <row r="21932">
      <c r="B21932" t="str">
        <v>Công an xã Tân Long  tỉnh Vĩnh Long</v>
      </c>
      <c r="C21932" t="str">
        <v>-</v>
      </c>
      <c r="D21932" t="str">
        <v>-</v>
      </c>
      <c r="E21932" t="str">
        <v/>
      </c>
      <c r="F21932" t="str">
        <v>-</v>
      </c>
      <c r="G21932" t="str">
        <v>-</v>
      </c>
    </row>
    <row r="21933">
      <c r="B21933" t="str">
        <v>UBND Ủy ban nhân dân xã Tân Long  tỉnh Vĩnh Long</v>
      </c>
      <c r="C21933" t="str">
        <v>-</v>
      </c>
      <c r="D21933" t="str">
        <v>-</v>
      </c>
      <c r="E21933" t="str">
        <v>-</v>
      </c>
      <c r="F21933" t="str">
        <v>-</v>
      </c>
      <c r="G21933" t="str">
        <v>-</v>
      </c>
    </row>
    <row r="21934">
      <c r="B21934" t="str">
        <v>Công an xã Tân Long Hội  tỉnh Vĩnh Long</v>
      </c>
      <c r="C21934" t="str">
        <v>-</v>
      </c>
      <c r="D21934" t="str">
        <v>-</v>
      </c>
      <c r="E21934" t="str">
        <v/>
      </c>
      <c r="F21934" t="str">
        <v>-</v>
      </c>
      <c r="G21934" t="str">
        <v>-</v>
      </c>
    </row>
    <row r="21935">
      <c r="B21935" t="str">
        <v>UBND Ủy ban nhân dân xã Tân Long Hội  tỉnh Vĩnh Long</v>
      </c>
      <c r="C21935" t="str">
        <v>-</v>
      </c>
      <c r="D21935" t="str">
        <v>-</v>
      </c>
      <c r="E21935" t="str">
        <v>-</v>
      </c>
      <c r="F21935" t="str">
        <v>-</v>
      </c>
      <c r="G21935" t="str">
        <v>-</v>
      </c>
    </row>
    <row r="21936">
      <c r="B21936" t="str">
        <v>Công an xã Tân Quới Trung  tỉnh Vĩnh Long</v>
      </c>
      <c r="C21936" t="str">
        <v>-</v>
      </c>
      <c r="D21936" t="str">
        <v>-</v>
      </c>
      <c r="E21936" t="str">
        <v/>
      </c>
      <c r="F21936" t="str">
        <v>-</v>
      </c>
      <c r="G21936" t="str">
        <v>-</v>
      </c>
    </row>
    <row r="21937">
      <c r="B21937" t="str">
        <v>UBND Ủy ban nhân dân xã Tân Quới Trung  tỉnh Vĩnh Long</v>
      </c>
      <c r="C21937" t="str">
        <v>-</v>
      </c>
      <c r="D21937" t="str">
        <v>-</v>
      </c>
      <c r="E21937" t="str">
        <v>-</v>
      </c>
      <c r="F21937" t="str">
        <v>-</v>
      </c>
      <c r="G21937" t="str">
        <v>-</v>
      </c>
    </row>
    <row r="21938">
      <c r="B21938" t="str">
        <v>Công an xã Quới Thiện  tỉnh Vĩnh Long</v>
      </c>
      <c r="C21938" t="str">
        <v>-</v>
      </c>
      <c r="D21938" t="str">
        <v>-</v>
      </c>
      <c r="E21938" t="str">
        <v/>
      </c>
      <c r="F21938" t="str">
        <v>-</v>
      </c>
      <c r="G21938" t="str">
        <v>-</v>
      </c>
    </row>
    <row r="21939">
      <c r="B21939" t="str">
        <v>UBND Ủy ban nhân dân xã Quới Thiện  tỉnh Vĩnh Long</v>
      </c>
      <c r="C21939" t="str">
        <v>-</v>
      </c>
      <c r="D21939" t="str">
        <v>-</v>
      </c>
      <c r="E21939" t="str">
        <v>-</v>
      </c>
      <c r="F21939" t="str">
        <v>-</v>
      </c>
      <c r="G21939" t="str">
        <v>-</v>
      </c>
    </row>
    <row r="21940">
      <c r="B21940" t="str">
        <v>Công an xã Quới An  tỉnh Vĩnh Long</v>
      </c>
      <c r="C21940" t="str">
        <v>-</v>
      </c>
      <c r="D21940" t="str">
        <v>-</v>
      </c>
      <c r="E21940" t="str">
        <v/>
      </c>
      <c r="F21940" t="str">
        <v>-</v>
      </c>
      <c r="G21940" t="str">
        <v>-</v>
      </c>
    </row>
    <row r="21941">
      <c r="B21941" t="str">
        <v>UBND Ủy ban nhân dân xã Quới An  tỉnh Vĩnh Long</v>
      </c>
      <c r="C21941" t="str">
        <v>-</v>
      </c>
      <c r="D21941" t="str">
        <v>-</v>
      </c>
      <c r="E21941" t="str">
        <v>-</v>
      </c>
      <c r="F21941" t="str">
        <v>-</v>
      </c>
      <c r="G21941" t="str">
        <v>-</v>
      </c>
    </row>
    <row r="21942">
      <c r="B21942" t="str">
        <v>Công an xã Trung Chánh  tỉnh Vĩnh Long</v>
      </c>
      <c r="C21942" t="str">
        <v>-</v>
      </c>
      <c r="D21942" t="str">
        <v>-</v>
      </c>
      <c r="E21942" t="str">
        <v/>
      </c>
      <c r="F21942" t="str">
        <v>-</v>
      </c>
      <c r="G21942" t="str">
        <v>-</v>
      </c>
    </row>
    <row r="21943">
      <c r="B21943" t="str">
        <v>UBND Ủy ban nhân dân xã Trung Chánh  tỉnh Vĩnh Long</v>
      </c>
      <c r="C21943" t="str">
        <v>-</v>
      </c>
      <c r="D21943" t="str">
        <v>-</v>
      </c>
      <c r="E21943" t="str">
        <v>-</v>
      </c>
      <c r="F21943" t="str">
        <v>-</v>
      </c>
      <c r="G21943" t="str">
        <v>-</v>
      </c>
    </row>
    <row r="21944">
      <c r="B21944" t="str">
        <v>Công an xã Tân An Luông  tỉnh Vĩnh Long</v>
      </c>
      <c r="C21944" t="str">
        <v>-</v>
      </c>
      <c r="D21944" t="str">
        <v>-</v>
      </c>
      <c r="E21944" t="str">
        <v/>
      </c>
      <c r="F21944" t="str">
        <v>-</v>
      </c>
      <c r="G21944" t="str">
        <v>-</v>
      </c>
    </row>
    <row r="21945">
      <c r="B21945" t="str">
        <v>UBND Ủy ban nhân dân xã Tân An Luông  tỉnh Vĩnh Long</v>
      </c>
      <c r="C21945" t="str">
        <v>-</v>
      </c>
      <c r="D21945" t="str">
        <v>-</v>
      </c>
      <c r="E21945" t="str">
        <v>-</v>
      </c>
      <c r="F21945" t="str">
        <v>-</v>
      </c>
      <c r="G21945" t="str">
        <v>-</v>
      </c>
    </row>
    <row r="21946">
      <c r="B21946" t="str">
        <v>Công an xã Thanh Bình  tỉnh Vĩnh Long</v>
      </c>
      <c r="C21946" t="str">
        <v>-</v>
      </c>
      <c r="D21946" t="str">
        <v>-</v>
      </c>
      <c r="E21946" t="str">
        <v/>
      </c>
      <c r="F21946" t="str">
        <v>-</v>
      </c>
      <c r="G21946" t="str">
        <v>-</v>
      </c>
    </row>
    <row r="21947">
      <c r="B21947" t="str">
        <v>UBND Ủy ban nhân dân xã Thanh Bình  tỉnh Vĩnh Long</v>
      </c>
      <c r="C21947" t="str">
        <v>-</v>
      </c>
      <c r="D21947" t="str">
        <v>-</v>
      </c>
      <c r="E21947" t="str">
        <v>-</v>
      </c>
      <c r="F21947" t="str">
        <v>-</v>
      </c>
      <c r="G21947" t="str">
        <v>-</v>
      </c>
    </row>
    <row r="21948">
      <c r="B21948" t="str">
        <v>Công an xã Trung Thành Tây  tỉnh Vĩnh Long</v>
      </c>
      <c r="C21948" t="str">
        <v>-</v>
      </c>
      <c r="D21948" t="str">
        <v>-</v>
      </c>
      <c r="E21948" t="str">
        <v/>
      </c>
      <c r="F21948" t="str">
        <v>-</v>
      </c>
      <c r="G21948" t="str">
        <v>-</v>
      </c>
    </row>
    <row r="21949">
      <c r="B21949" t="str">
        <v>UBND Ủy ban nhân dân xã Trung Thành Tây  tỉnh Vĩnh Long</v>
      </c>
      <c r="C21949" t="str">
        <v>-</v>
      </c>
      <c r="D21949" t="str">
        <v>-</v>
      </c>
      <c r="E21949" t="str">
        <v>-</v>
      </c>
      <c r="F21949" t="str">
        <v>-</v>
      </c>
      <c r="G21949" t="str">
        <v>-</v>
      </c>
    </row>
    <row r="21950">
      <c r="B21950" t="str">
        <v>Công an xã Trung Hiệp  tỉnh Vĩnh Long</v>
      </c>
      <c r="C21950" t="str">
        <v>-</v>
      </c>
      <c r="D21950" t="str">
        <v>-</v>
      </c>
      <c r="E21950" t="str">
        <v/>
      </c>
      <c r="F21950" t="str">
        <v>-</v>
      </c>
      <c r="G21950" t="str">
        <v>-</v>
      </c>
    </row>
    <row r="21951">
      <c r="B21951" t="str">
        <v>UBND Ủy ban nhân dân xã Trung Hiệp  tỉnh Vĩnh Long</v>
      </c>
      <c r="C21951" t="str">
        <v>-</v>
      </c>
      <c r="D21951" t="str">
        <v>-</v>
      </c>
      <c r="E21951" t="str">
        <v>-</v>
      </c>
      <c r="F21951" t="str">
        <v>-</v>
      </c>
      <c r="G21951" t="str">
        <v>-</v>
      </c>
    </row>
    <row r="21952">
      <c r="B21952" t="str">
        <v>Công an xã Hiếu Phụng  tỉnh Vĩnh Long</v>
      </c>
      <c r="C21952" t="str">
        <v>-</v>
      </c>
      <c r="D21952" t="str">
        <v>-</v>
      </c>
      <c r="E21952" t="str">
        <v/>
      </c>
      <c r="F21952" t="str">
        <v>-</v>
      </c>
      <c r="G21952" t="str">
        <v>-</v>
      </c>
    </row>
    <row r="21953">
      <c r="B21953" t="str">
        <v>UBND Ủy ban nhân dân xã Hiếu Phụng  tỉnh Vĩnh Long</v>
      </c>
      <c r="C21953" t="str">
        <v>-</v>
      </c>
      <c r="D21953" t="str">
        <v>-</v>
      </c>
      <c r="E21953" t="str">
        <v>-</v>
      </c>
      <c r="F21953" t="str">
        <v>-</v>
      </c>
      <c r="G21953" t="str">
        <v>-</v>
      </c>
    </row>
    <row r="21954">
      <c r="B21954" t="str">
        <v>Công an xã Trung Thành Đông  tỉnh Vĩnh Long</v>
      </c>
      <c r="C21954" t="str">
        <v>-</v>
      </c>
      <c r="D21954" t="str">
        <v>-</v>
      </c>
      <c r="E21954" t="str">
        <v/>
      </c>
      <c r="F21954" t="str">
        <v>-</v>
      </c>
      <c r="G21954" t="str">
        <v>-</v>
      </c>
    </row>
    <row r="21955">
      <c r="B21955" t="str">
        <v>UBND Ủy ban nhân dân xã Trung Thành Đông  tỉnh Vĩnh Long</v>
      </c>
      <c r="C21955" t="str">
        <v>-</v>
      </c>
      <c r="D21955" t="str">
        <v>-</v>
      </c>
      <c r="E21955" t="str">
        <v>-</v>
      </c>
      <c r="F21955" t="str">
        <v>-</v>
      </c>
      <c r="G21955" t="str">
        <v>-</v>
      </c>
    </row>
    <row r="21956">
      <c r="B21956" t="str">
        <v>Công an xã Trung Thành  tỉnh Vĩnh Long</v>
      </c>
      <c r="C21956" t="str">
        <v>-</v>
      </c>
      <c r="D21956" t="str">
        <v>-</v>
      </c>
      <c r="E21956" t="str">
        <v/>
      </c>
      <c r="F21956" t="str">
        <v>-</v>
      </c>
      <c r="G21956" t="str">
        <v>-</v>
      </c>
    </row>
    <row r="21957">
      <c r="B21957" t="str">
        <v>UBND Ủy ban nhân dân xã Trung Thành  tỉnh Vĩnh Long</v>
      </c>
      <c r="C21957" t="str">
        <v>-</v>
      </c>
      <c r="D21957" t="str">
        <v>-</v>
      </c>
      <c r="E21957" t="str">
        <v>-</v>
      </c>
      <c r="F21957" t="str">
        <v>-</v>
      </c>
      <c r="G21957" t="str">
        <v>-</v>
      </c>
    </row>
    <row r="21958">
      <c r="B21958" t="str">
        <v>Công an xã Trung Hiếu  tỉnh Vĩnh Long</v>
      </c>
      <c r="C21958" t="str">
        <v>-</v>
      </c>
      <c r="D21958" t="str">
        <v>-</v>
      </c>
      <c r="E21958" t="str">
        <v/>
      </c>
      <c r="F21958" t="str">
        <v>-</v>
      </c>
      <c r="G21958" t="str">
        <v>-</v>
      </c>
    </row>
    <row r="21959">
      <c r="B21959" t="str">
        <v>UBND Ủy ban nhân dân xã Trung Hiếu  tỉnh Vĩnh Long</v>
      </c>
      <c r="C21959" t="str">
        <v>-</v>
      </c>
      <c r="D21959" t="str">
        <v>-</v>
      </c>
      <c r="E21959" t="str">
        <v>-</v>
      </c>
      <c r="F21959" t="str">
        <v>-</v>
      </c>
      <c r="G21959" t="str">
        <v>-</v>
      </c>
    </row>
    <row r="21960">
      <c r="B21960" t="str">
        <v>Công an xã Trung Ngãi  tỉnh Vĩnh Long</v>
      </c>
      <c r="C21960" t="str">
        <v>-</v>
      </c>
      <c r="D21960" t="str">
        <v>-</v>
      </c>
      <c r="E21960" t="str">
        <v/>
      </c>
      <c r="F21960" t="str">
        <v>-</v>
      </c>
      <c r="G21960" t="str">
        <v>-</v>
      </c>
    </row>
    <row r="21961">
      <c r="B21961" t="str">
        <v>UBND Ủy ban nhân dân xã Trung Ngãi  tỉnh Vĩnh Long</v>
      </c>
      <c r="C21961" t="str">
        <v>-</v>
      </c>
      <c r="D21961" t="str">
        <v>-</v>
      </c>
      <c r="E21961" t="str">
        <v>-</v>
      </c>
      <c r="F21961" t="str">
        <v>-</v>
      </c>
      <c r="G21961" t="str">
        <v>-</v>
      </c>
    </row>
    <row r="21962">
      <c r="B21962" t="str">
        <v>Công an xã Hiếu Thuận  tỉnh Vĩnh Long</v>
      </c>
      <c r="C21962" t="str">
        <v>-</v>
      </c>
      <c r="D21962" t="str">
        <v>-</v>
      </c>
      <c r="E21962" t="str">
        <v/>
      </c>
      <c r="F21962" t="str">
        <v>-</v>
      </c>
      <c r="G21962" t="str">
        <v>-</v>
      </c>
    </row>
    <row r="21963">
      <c r="B21963" t="str">
        <v>UBND Ủy ban nhân dân xã Hiếu Thuận  tỉnh Vĩnh Long</v>
      </c>
      <c r="C21963" t="str">
        <v>-</v>
      </c>
      <c r="D21963" t="str">
        <v>-</v>
      </c>
      <c r="E21963" t="str">
        <v>-</v>
      </c>
      <c r="F21963" t="str">
        <v>-</v>
      </c>
      <c r="G21963" t="str">
        <v>-</v>
      </c>
    </row>
    <row r="21964">
      <c r="B21964" t="str">
        <v>Công an xã Trung Nghĩa  tỉnh Vĩnh Long</v>
      </c>
      <c r="C21964" t="str">
        <v>-</v>
      </c>
      <c r="D21964" t="str">
        <v>-</v>
      </c>
      <c r="E21964" t="str">
        <v/>
      </c>
      <c r="F21964" t="str">
        <v>-</v>
      </c>
      <c r="G21964" t="str">
        <v>-</v>
      </c>
    </row>
    <row r="21965">
      <c r="B21965" t="str">
        <v>UBND Ủy ban nhân dân xã Trung Nghĩa  tỉnh Vĩnh Long</v>
      </c>
      <c r="C21965" t="str">
        <v>-</v>
      </c>
      <c r="D21965" t="str">
        <v>-</v>
      </c>
      <c r="E21965" t="str">
        <v>-</v>
      </c>
      <c r="F21965" t="str">
        <v>-</v>
      </c>
      <c r="G21965" t="str">
        <v>-</v>
      </c>
    </row>
    <row r="21966">
      <c r="B21966" t="str">
        <v>Công an xã Trung An  tỉnh Vĩnh Long</v>
      </c>
      <c r="C21966" t="str">
        <v>-</v>
      </c>
      <c r="D21966" t="str">
        <v>-</v>
      </c>
      <c r="E21966" t="str">
        <v/>
      </c>
      <c r="F21966" t="str">
        <v>-</v>
      </c>
      <c r="G21966" t="str">
        <v>-</v>
      </c>
    </row>
    <row r="21967">
      <c r="B21967" t="str">
        <v>UBND Ủy ban nhân dân xã Trung An  tỉnh Vĩnh Long</v>
      </c>
      <c r="C21967" t="str">
        <v>-</v>
      </c>
      <c r="D21967" t="str">
        <v>-</v>
      </c>
      <c r="E21967" t="str">
        <v>-</v>
      </c>
      <c r="F21967" t="str">
        <v>-</v>
      </c>
      <c r="G21967" t="str">
        <v>-</v>
      </c>
    </row>
    <row r="21968">
      <c r="B21968" t="str">
        <v>Công an xã Hiếu Nhơn  tỉnh Vĩnh Long</v>
      </c>
      <c r="C21968" t="str">
        <v>-</v>
      </c>
      <c r="D21968" t="str">
        <v>-</v>
      </c>
      <c r="E21968" t="str">
        <v/>
      </c>
      <c r="F21968" t="str">
        <v>-</v>
      </c>
      <c r="G21968" t="str">
        <v>-</v>
      </c>
    </row>
    <row r="21969">
      <c r="B21969" t="str">
        <v>UBND Ủy ban nhân dân xã Hiếu Nhơn  tỉnh Vĩnh Long</v>
      </c>
      <c r="C21969" t="str">
        <v>-</v>
      </c>
      <c r="D21969" t="str">
        <v>-</v>
      </c>
      <c r="E21969" t="str">
        <v>-</v>
      </c>
      <c r="F21969" t="str">
        <v>-</v>
      </c>
      <c r="G21969" t="str">
        <v>-</v>
      </c>
    </row>
    <row r="21970">
      <c r="B21970" t="str">
        <v>Công an xã Hiếu Thành  tỉnh Vĩnh Long</v>
      </c>
      <c r="C21970" t="str">
        <v>-</v>
      </c>
      <c r="D21970" t="str">
        <v>-</v>
      </c>
      <c r="E21970" t="str">
        <v/>
      </c>
      <c r="F21970" t="str">
        <v>-</v>
      </c>
      <c r="G21970" t="str">
        <v>-</v>
      </c>
    </row>
    <row r="21971">
      <c r="B21971" t="str">
        <v>UBND Ủy ban nhân dân xã Hiếu Thành  tỉnh Vĩnh Long</v>
      </c>
      <c r="C21971" t="str">
        <v>-</v>
      </c>
      <c r="D21971" t="str">
        <v>-</v>
      </c>
      <c r="E21971" t="str">
        <v>-</v>
      </c>
      <c r="F21971" t="str">
        <v>-</v>
      </c>
      <c r="G21971" t="str">
        <v>-</v>
      </c>
    </row>
    <row r="21972">
      <c r="B21972" t="str">
        <v>Công an xã Hiếu Nghĩa  tỉnh Vĩnh Long</v>
      </c>
      <c r="C21972" t="str">
        <v>-</v>
      </c>
      <c r="D21972" t="str">
        <v>-</v>
      </c>
      <c r="E21972" t="str">
        <v/>
      </c>
      <c r="F21972" t="str">
        <v>-</v>
      </c>
      <c r="G21972" t="str">
        <v>-</v>
      </c>
    </row>
    <row r="21973">
      <c r="B21973" t="str">
        <v>UBND Ủy ban nhân dân xã Hiếu Nghĩa  tỉnh Vĩnh Long</v>
      </c>
      <c r="C21973" t="str">
        <v>-</v>
      </c>
      <c r="D21973" t="str">
        <v>-</v>
      </c>
      <c r="E21973" t="str">
        <v>-</v>
      </c>
      <c r="F21973" t="str">
        <v>-</v>
      </c>
      <c r="G21973" t="str">
        <v>-</v>
      </c>
    </row>
    <row r="21974">
      <c r="B21974" t="str">
        <v>Công an xã Tân Lộc  tỉnh Vĩnh Long</v>
      </c>
      <c r="C21974" t="str">
        <v>-</v>
      </c>
      <c r="D21974" t="str">
        <v>-</v>
      </c>
      <c r="E21974" t="str">
        <v/>
      </c>
      <c r="F21974" t="str">
        <v>-</v>
      </c>
      <c r="G21974" t="str">
        <v>-</v>
      </c>
    </row>
    <row r="21975">
      <c r="B21975" t="str">
        <v>UBND Ủy ban nhân dân xã Tân Lộc  tỉnh Vĩnh Long</v>
      </c>
      <c r="C21975" t="str">
        <v>-</v>
      </c>
      <c r="D21975" t="str">
        <v>-</v>
      </c>
      <c r="E21975" t="str">
        <v>-</v>
      </c>
      <c r="F21975" t="str">
        <v>-</v>
      </c>
      <c r="G21975" t="str">
        <v>-</v>
      </c>
    </row>
    <row r="21976">
      <c r="B21976" t="str">
        <v>Công an xã Phú Thịnh  tỉnh Vĩnh Long</v>
      </c>
      <c r="C21976" t="str">
        <v>-</v>
      </c>
      <c r="D21976" t="str">
        <v>-</v>
      </c>
      <c r="E21976" t="str">
        <v/>
      </c>
      <c r="F21976" t="str">
        <v>-</v>
      </c>
      <c r="G21976" t="str">
        <v>-</v>
      </c>
    </row>
    <row r="21977">
      <c r="B21977" t="str">
        <v>UBND Ủy ban nhân dân xã Phú Thịnh  tỉnh Vĩnh Long</v>
      </c>
      <c r="C21977" t="str">
        <v>-</v>
      </c>
      <c r="D21977" t="str">
        <v>-</v>
      </c>
      <c r="E21977" t="str">
        <v>-</v>
      </c>
      <c r="F21977" t="str">
        <v>-</v>
      </c>
      <c r="G21977" t="str">
        <v>-</v>
      </c>
    </row>
    <row r="21978">
      <c r="B21978" t="str">
        <v>Công an xã Hậu Lộc  tỉnh Vĩnh Long</v>
      </c>
      <c r="C21978" t="str">
        <v>-</v>
      </c>
      <c r="D21978" t="str">
        <v>-</v>
      </c>
      <c r="E21978" t="str">
        <v/>
      </c>
      <c r="F21978" t="str">
        <v>-</v>
      </c>
      <c r="G21978" t="str">
        <v>-</v>
      </c>
    </row>
    <row r="21979">
      <c r="B21979" t="str">
        <v>UBND Ủy ban nhân dân xã Hậu Lộc  tỉnh Vĩnh Long</v>
      </c>
      <c r="C21979" t="str">
        <v>-</v>
      </c>
      <c r="D21979" t="str">
        <v>-</v>
      </c>
      <c r="E21979" t="str">
        <v>-</v>
      </c>
      <c r="F21979" t="str">
        <v>-</v>
      </c>
      <c r="G21979" t="str">
        <v>-</v>
      </c>
    </row>
    <row r="21980">
      <c r="B21980" t="str">
        <v>Công an xã Hòa Thạnh  tỉnh Vĩnh Long</v>
      </c>
      <c r="C21980" t="str">
        <v>-</v>
      </c>
      <c r="D21980" t="str">
        <v>-</v>
      </c>
      <c r="E21980" t="str">
        <v/>
      </c>
      <c r="F21980" t="str">
        <v>-</v>
      </c>
      <c r="G21980" t="str">
        <v>-</v>
      </c>
    </row>
    <row r="21981">
      <c r="B21981" t="str">
        <v>UBND Ủy ban nhân dân xã Hòa Thạnh  tỉnh Vĩnh Long</v>
      </c>
      <c r="C21981" t="str">
        <v>-</v>
      </c>
      <c r="D21981" t="str">
        <v>-</v>
      </c>
      <c r="E21981" t="str">
        <v>-</v>
      </c>
      <c r="F21981" t="str">
        <v>-</v>
      </c>
      <c r="G21981" t="str">
        <v>-</v>
      </c>
    </row>
    <row r="21982">
      <c r="B21982" t="str">
        <v>Công an xã Hoà Lộc  tỉnh Vĩnh Long</v>
      </c>
      <c r="C21982" t="str">
        <v>-</v>
      </c>
      <c r="D21982" t="str">
        <v>-</v>
      </c>
      <c r="E21982" t="str">
        <v/>
      </c>
      <c r="F21982" t="str">
        <v>-</v>
      </c>
      <c r="G21982" t="str">
        <v>-</v>
      </c>
    </row>
    <row r="21983">
      <c r="B21983" t="str">
        <v>UBND Ủy ban nhân dân xã Hoà Lộc  tỉnh Vĩnh Long</v>
      </c>
      <c r="C21983" t="str">
        <v>-</v>
      </c>
      <c r="D21983" t="str">
        <v>-</v>
      </c>
      <c r="E21983" t="str">
        <v>-</v>
      </c>
      <c r="F21983" t="str">
        <v>-</v>
      </c>
      <c r="G21983" t="str">
        <v>-</v>
      </c>
    </row>
    <row r="21984">
      <c r="B21984" t="str">
        <v>Công an xã Phú Lộc  tỉnh Vĩnh Long</v>
      </c>
      <c r="C21984" t="str">
        <v>-</v>
      </c>
      <c r="D21984" t="str">
        <v>-</v>
      </c>
      <c r="E21984" t="str">
        <v/>
      </c>
      <c r="F21984" t="str">
        <v>-</v>
      </c>
      <c r="G21984" t="str">
        <v>-</v>
      </c>
    </row>
    <row r="21985">
      <c r="B21985" t="str">
        <v>UBND Ủy ban nhân dân xã Phú Lộc  tỉnh Vĩnh Long</v>
      </c>
      <c r="C21985" t="str">
        <v>-</v>
      </c>
      <c r="D21985" t="str">
        <v>-</v>
      </c>
      <c r="E21985" t="str">
        <v>-</v>
      </c>
      <c r="F21985" t="str">
        <v>-</v>
      </c>
      <c r="G21985" t="str">
        <v>-</v>
      </c>
    </row>
    <row r="21986">
      <c r="B21986" t="str">
        <v>Công an xã Song Phú  tỉnh Vĩnh Long</v>
      </c>
      <c r="C21986" t="str">
        <v>-</v>
      </c>
      <c r="D21986" t="str">
        <v>-</v>
      </c>
      <c r="E21986" t="str">
        <v/>
      </c>
      <c r="F21986" t="str">
        <v>-</v>
      </c>
      <c r="G21986" t="str">
        <v>-</v>
      </c>
    </row>
    <row r="21987">
      <c r="B21987" t="str">
        <v>UBND Ủy ban nhân dân xã Song Phú  tỉnh Vĩnh Long</v>
      </c>
      <c r="C21987" t="str">
        <v>-</v>
      </c>
      <c r="D21987" t="str">
        <v>-</v>
      </c>
      <c r="E21987" t="str">
        <v>-</v>
      </c>
      <c r="F21987" t="str">
        <v>-</v>
      </c>
      <c r="G21987" t="str">
        <v>-</v>
      </c>
    </row>
    <row r="21988">
      <c r="B21988" t="str">
        <v>Công an xã Hòa Hiệp  tỉnh Vĩnh Long</v>
      </c>
      <c r="C21988" t="str">
        <v>-</v>
      </c>
      <c r="D21988" t="str">
        <v>-</v>
      </c>
      <c r="E21988" t="str">
        <v/>
      </c>
      <c r="F21988" t="str">
        <v>-</v>
      </c>
      <c r="G21988" t="str">
        <v>-</v>
      </c>
    </row>
    <row r="21989">
      <c r="B21989" t="str">
        <v>UBND Ủy ban nhân dân xã Hòa Hiệp  tỉnh Vĩnh Long</v>
      </c>
      <c r="C21989" t="str">
        <v>-</v>
      </c>
      <c r="D21989" t="str">
        <v>-</v>
      </c>
      <c r="E21989" t="str">
        <v>-</v>
      </c>
      <c r="F21989" t="str">
        <v>-</v>
      </c>
      <c r="G21989" t="str">
        <v>-</v>
      </c>
    </row>
    <row r="21990">
      <c r="B21990" t="str">
        <v>Công an xã Mỹ Lộc  tỉnh Vĩnh Long</v>
      </c>
      <c r="C21990" t="str">
        <v>-</v>
      </c>
      <c r="D21990" t="str">
        <v>-</v>
      </c>
      <c r="E21990" t="str">
        <v/>
      </c>
      <c r="F21990" t="str">
        <v>-</v>
      </c>
      <c r="G21990" t="str">
        <v>-</v>
      </c>
    </row>
    <row r="21991">
      <c r="B21991" t="str">
        <v>UBND Ủy ban nhân dân xã Mỹ Lộc  tỉnh Vĩnh Long</v>
      </c>
      <c r="C21991" t="str">
        <v>-</v>
      </c>
      <c r="D21991" t="str">
        <v>-</v>
      </c>
      <c r="E21991" t="str">
        <v>-</v>
      </c>
      <c r="F21991" t="str">
        <v>-</v>
      </c>
      <c r="G21991" t="str">
        <v>-</v>
      </c>
    </row>
    <row r="21992">
      <c r="B21992" t="str">
        <v>Công an xã Long Phú  tỉnh Vĩnh Long</v>
      </c>
      <c r="C21992" t="str">
        <v>-</v>
      </c>
      <c r="D21992" t="str">
        <v>-</v>
      </c>
      <c r="E21992" t="str">
        <v/>
      </c>
      <c r="F21992" t="str">
        <v>-</v>
      </c>
      <c r="G21992" t="str">
        <v>-</v>
      </c>
    </row>
    <row r="21993">
      <c r="B21993" t="str">
        <v>UBND Ủy ban nhân dân xã Long Phú  tỉnh Vĩnh Long</v>
      </c>
      <c r="C21993" t="str">
        <v>-</v>
      </c>
      <c r="D21993" t="str">
        <v>-</v>
      </c>
      <c r="E21993" t="str">
        <v>-</v>
      </c>
      <c r="F21993" t="str">
        <v>-</v>
      </c>
      <c r="G21993" t="str">
        <v>-</v>
      </c>
    </row>
    <row r="21994">
      <c r="B21994" t="str">
        <v>Công an xã Mỹ Thạnh Trung  tỉnh Vĩnh Long</v>
      </c>
      <c r="C21994" t="str">
        <v>-</v>
      </c>
      <c r="D21994" t="str">
        <v>-</v>
      </c>
      <c r="E21994" t="str">
        <v/>
      </c>
      <c r="F21994" t="str">
        <v>-</v>
      </c>
      <c r="G21994" t="str">
        <v>-</v>
      </c>
    </row>
    <row r="21995">
      <c r="B21995" t="str">
        <v>UBND Ủy ban nhân dân xã Mỹ Thạnh Trung  tỉnh Vĩnh Long</v>
      </c>
      <c r="C21995" t="str">
        <v>-</v>
      </c>
      <c r="D21995" t="str">
        <v>-</v>
      </c>
      <c r="E21995" t="str">
        <v>-</v>
      </c>
      <c r="F21995" t="str">
        <v>-</v>
      </c>
      <c r="G21995" t="str">
        <v>-</v>
      </c>
    </row>
    <row r="21996">
      <c r="B21996" t="str">
        <v>Công an xã Tường Lộc  tỉnh Vĩnh Long</v>
      </c>
      <c r="C21996" t="str">
        <v>-</v>
      </c>
      <c r="D21996" t="str">
        <v>-</v>
      </c>
      <c r="E21996" t="str">
        <v/>
      </c>
      <c r="F21996" t="str">
        <v>-</v>
      </c>
      <c r="G21996" t="str">
        <v>-</v>
      </c>
    </row>
    <row r="21997">
      <c r="B21997" t="str">
        <v>UBND Ủy ban nhân dân xã Tường Lộc  tỉnh Vĩnh Long</v>
      </c>
      <c r="C21997" t="str">
        <v>-</v>
      </c>
      <c r="D21997" t="str">
        <v>-</v>
      </c>
      <c r="E21997" t="str">
        <v>-</v>
      </c>
      <c r="F21997" t="str">
        <v>-</v>
      </c>
      <c r="G21997" t="str">
        <v>-</v>
      </c>
    </row>
    <row r="21998">
      <c r="B21998" t="str">
        <v>Công an xã Loan Mỹ  tỉnh Vĩnh Long</v>
      </c>
      <c r="C21998" t="str">
        <v>-</v>
      </c>
      <c r="D21998" t="str">
        <v>-</v>
      </c>
      <c r="E21998" t="str">
        <v/>
      </c>
      <c r="F21998" t="str">
        <v>-</v>
      </c>
      <c r="G21998" t="str">
        <v>-</v>
      </c>
    </row>
    <row r="21999">
      <c r="B21999" t="str">
        <v>UBND Ủy ban nhân dân xã Loan Mỹ  tỉnh Vĩnh Long</v>
      </c>
      <c r="C21999" t="str">
        <v>-</v>
      </c>
      <c r="D21999" t="str">
        <v>-</v>
      </c>
      <c r="E21999" t="str">
        <v>-</v>
      </c>
      <c r="F21999" t="str">
        <v>-</v>
      </c>
      <c r="G21999" t="str">
        <v>-</v>
      </c>
    </row>
    <row r="22000">
      <c r="B22000" t="str">
        <v>Công an xã Ngãi Tứ  tỉnh Vĩnh Long</v>
      </c>
      <c r="C22000" t="str">
        <v>-</v>
      </c>
      <c r="D22000" t="str">
        <v>-</v>
      </c>
      <c r="E22000" t="str">
        <v/>
      </c>
      <c r="F22000" t="str">
        <v>-</v>
      </c>
      <c r="G22000" t="str">
        <v>-</v>
      </c>
    </row>
    <row r="22001">
      <c r="B22001" t="str">
        <v>UBND Ủy ban nhân dân xã Ngãi Tứ  tỉnh Vĩnh Long</v>
      </c>
      <c r="C22001" t="str">
        <v>-</v>
      </c>
      <c r="D22001" t="str">
        <v>-</v>
      </c>
      <c r="E22001" t="str">
        <v>-</v>
      </c>
      <c r="F22001" t="str">
        <v>-</v>
      </c>
      <c r="G22001" t="str">
        <v>-</v>
      </c>
    </row>
    <row r="22002">
      <c r="B22002" t="str">
        <v>Công an xã Bình Ninh  tỉnh Vĩnh Long</v>
      </c>
      <c r="C22002" t="str">
        <v>-</v>
      </c>
      <c r="D22002" t="str">
        <v>-</v>
      </c>
      <c r="E22002" t="str">
        <v/>
      </c>
      <c r="F22002" t="str">
        <v>-</v>
      </c>
      <c r="G22002" t="str">
        <v>-</v>
      </c>
    </row>
    <row r="22003">
      <c r="B22003" t="str">
        <v>UBND Ủy ban nhân dân xã Bình Ninh  tỉnh Vĩnh Long</v>
      </c>
      <c r="C22003" t="str">
        <v>-</v>
      </c>
      <c r="D22003" t="str">
        <v>-</v>
      </c>
      <c r="E22003" t="str">
        <v>-</v>
      </c>
      <c r="F22003" t="str">
        <v>-</v>
      </c>
      <c r="G22003" t="str">
        <v>-</v>
      </c>
    </row>
    <row r="22004">
      <c r="B22004" t="str">
        <v>Công an phường Cái Vồn  tỉnh Vĩnh Long</v>
      </c>
      <c r="C22004" t="str">
        <v>-</v>
      </c>
      <c r="D22004" t="str">
        <v>-</v>
      </c>
      <c r="E22004" t="str">
        <v/>
      </c>
      <c r="F22004" t="str">
        <v>-</v>
      </c>
      <c r="G22004" t="str">
        <v>-</v>
      </c>
    </row>
    <row r="22005">
      <c r="B22005" t="str">
        <v>UBND Ủy ban nhân dân phường Cái Vồn  tỉnh Vĩnh Long</v>
      </c>
      <c r="C22005" t="str">
        <v>-</v>
      </c>
      <c r="D22005" t="str">
        <v>-</v>
      </c>
      <c r="E22005" t="str">
        <v>-</v>
      </c>
      <c r="F22005" t="str">
        <v>-</v>
      </c>
      <c r="G22005" t="str">
        <v>-</v>
      </c>
    </row>
    <row r="22006">
      <c r="B22006" t="str">
        <v>Công an phường Thành Phước  tỉnh Vĩnh Long</v>
      </c>
      <c r="C22006" t="str">
        <v>-</v>
      </c>
      <c r="D22006" t="str">
        <v>-</v>
      </c>
      <c r="E22006" t="str">
        <v/>
      </c>
      <c r="F22006" t="str">
        <v>-</v>
      </c>
      <c r="G22006" t="str">
        <v>-</v>
      </c>
    </row>
    <row r="22007">
      <c r="B22007" t="str">
        <v>UBND Ủy ban nhân dân phường Thành Phước  tỉnh Vĩnh Long</v>
      </c>
      <c r="C22007" t="str">
        <v>-</v>
      </c>
      <c r="D22007" t="str">
        <v>-</v>
      </c>
      <c r="E22007" t="str">
        <v>-</v>
      </c>
      <c r="F22007" t="str">
        <v>-</v>
      </c>
      <c r="G22007" t="str">
        <v>-</v>
      </c>
    </row>
    <row r="22008">
      <c r="B22008" t="str">
        <v>Công an xã Thuận An  tỉnh Vĩnh Long</v>
      </c>
      <c r="C22008" t="str">
        <v>-</v>
      </c>
      <c r="D22008" t="str">
        <v>-</v>
      </c>
      <c r="E22008" t="str">
        <v/>
      </c>
      <c r="F22008" t="str">
        <v>-</v>
      </c>
      <c r="G22008" t="str">
        <v>-</v>
      </c>
    </row>
    <row r="22009">
      <c r="B22009" t="str">
        <v>UBND Ủy ban nhân dân xã Thuận An  tỉnh Vĩnh Long</v>
      </c>
      <c r="C22009" t="str">
        <v>-</v>
      </c>
      <c r="D22009" t="str">
        <v>-</v>
      </c>
      <c r="E22009" t="str">
        <v>-</v>
      </c>
      <c r="F22009" t="str">
        <v>-</v>
      </c>
      <c r="G22009" t="str">
        <v>-</v>
      </c>
    </row>
    <row r="22010">
      <c r="B22010" t="str">
        <v>Công an xã Đông Thạnh  tỉnh Vĩnh Long</v>
      </c>
      <c r="C22010" t="str">
        <v>-</v>
      </c>
      <c r="D22010" t="str">
        <v>-</v>
      </c>
      <c r="E22010" t="str">
        <v/>
      </c>
      <c r="F22010" t="str">
        <v>-</v>
      </c>
      <c r="G22010" t="str">
        <v>-</v>
      </c>
    </row>
    <row r="22011">
      <c r="B22011" t="str">
        <v>UBND Ủy ban nhân dân xã Đông Thạnh  tỉnh Vĩnh Long</v>
      </c>
      <c r="C22011" t="str">
        <v>-</v>
      </c>
      <c r="D22011" t="str">
        <v>-</v>
      </c>
      <c r="E22011" t="str">
        <v>-</v>
      </c>
      <c r="F22011" t="str">
        <v>-</v>
      </c>
      <c r="G22011" t="str">
        <v>-</v>
      </c>
    </row>
    <row r="22012">
      <c r="B22012" t="str">
        <v>Công an xã Đông Bình  tỉnh Vĩnh Long</v>
      </c>
      <c r="C22012" t="str">
        <v>-</v>
      </c>
      <c r="D22012" t="str">
        <v>-</v>
      </c>
      <c r="E22012" t="str">
        <v/>
      </c>
      <c r="F22012" t="str">
        <v>-</v>
      </c>
      <c r="G22012" t="str">
        <v>-</v>
      </c>
    </row>
    <row r="22013">
      <c r="B22013" t="str">
        <v>UBND Ủy ban nhân dân xã Đông Bình  tỉnh Vĩnh Long</v>
      </c>
      <c r="C22013" t="str">
        <v>-</v>
      </c>
      <c r="D22013" t="str">
        <v>-</v>
      </c>
      <c r="E22013" t="str">
        <v>-</v>
      </c>
      <c r="F22013" t="str">
        <v>-</v>
      </c>
      <c r="G22013" t="str">
        <v>-</v>
      </c>
    </row>
    <row r="22014">
      <c r="B22014" t="str">
        <v>Công an phường Đông Thuận  tỉnh Vĩnh Long</v>
      </c>
      <c r="C22014" t="str">
        <v>-</v>
      </c>
      <c r="D22014" t="str">
        <v>-</v>
      </c>
      <c r="E22014" t="str">
        <v/>
      </c>
      <c r="F22014" t="str">
        <v>-</v>
      </c>
      <c r="G22014" t="str">
        <v>-</v>
      </c>
    </row>
    <row r="22015">
      <c r="B22015" t="str">
        <v>UBND Ủy ban nhân dân phường Đông Thuận  tỉnh Vĩnh Long</v>
      </c>
      <c r="C22015" t="str">
        <v>-</v>
      </c>
      <c r="D22015" t="str">
        <v>-</v>
      </c>
      <c r="E22015" t="str">
        <v>-</v>
      </c>
      <c r="F22015" t="str">
        <v>-</v>
      </c>
      <c r="G22015" t="str">
        <v>-</v>
      </c>
    </row>
    <row r="22016">
      <c r="B22016" t="str">
        <v>Công an xã Mỹ Hòa  tỉnh Vĩnh Long</v>
      </c>
      <c r="C22016" t="str">
        <v>-</v>
      </c>
      <c r="D22016" t="str">
        <v>-</v>
      </c>
      <c r="E22016" t="str">
        <v/>
      </c>
      <c r="F22016" t="str">
        <v>-</v>
      </c>
      <c r="G22016" t="str">
        <v>-</v>
      </c>
    </row>
    <row r="22017">
      <c r="B22017" t="str">
        <v>UBND Ủy ban nhân dân xã Mỹ Hòa  tỉnh Vĩnh Long</v>
      </c>
      <c r="C22017" t="str">
        <v>-</v>
      </c>
      <c r="D22017" t="str">
        <v>-</v>
      </c>
      <c r="E22017" t="str">
        <v>-</v>
      </c>
      <c r="F22017" t="str">
        <v>-</v>
      </c>
      <c r="G22017" t="str">
        <v>-</v>
      </c>
    </row>
    <row r="22018">
      <c r="B22018" t="str">
        <v>Công an xã Đông Thành  tỉnh Vĩnh Long</v>
      </c>
      <c r="C22018" t="str">
        <v>-</v>
      </c>
      <c r="D22018" t="str">
        <v>-</v>
      </c>
      <c r="E22018" t="str">
        <v/>
      </c>
      <c r="F22018" t="str">
        <v>-</v>
      </c>
      <c r="G22018" t="str">
        <v>-</v>
      </c>
    </row>
    <row r="22019">
      <c r="B22019" t="str">
        <v>UBND Ủy ban nhân dân xã Đông Thành  tỉnh Vĩnh Long</v>
      </c>
      <c r="C22019" t="str">
        <v>-</v>
      </c>
      <c r="D22019" t="str">
        <v>-</v>
      </c>
      <c r="E22019" t="str">
        <v>-</v>
      </c>
      <c r="F22019" t="str">
        <v>-</v>
      </c>
      <c r="G22019" t="str">
        <v>-</v>
      </c>
    </row>
    <row r="22020">
      <c r="B22020" t="str">
        <v>Công an xã Xuân Hiệp  tỉnh Vĩnh Long</v>
      </c>
      <c r="C22020" t="str">
        <v>-</v>
      </c>
      <c r="D22020" t="str">
        <v>-</v>
      </c>
      <c r="E22020" t="str">
        <v/>
      </c>
      <c r="F22020" t="str">
        <v>-</v>
      </c>
      <c r="G22020" t="str">
        <v>-</v>
      </c>
    </row>
    <row r="22021">
      <c r="B22021" t="str">
        <v>UBND Ủy ban nhân dân xã Xuân Hiệp  tỉnh Vĩnh Long</v>
      </c>
      <c r="C22021" t="str">
        <v>-</v>
      </c>
      <c r="D22021" t="str">
        <v>-</v>
      </c>
      <c r="E22021" t="str">
        <v>-</v>
      </c>
      <c r="F22021" t="str">
        <v>-</v>
      </c>
      <c r="G22021" t="str">
        <v>-</v>
      </c>
    </row>
    <row r="22022">
      <c r="B22022" t="str">
        <v>Công an xã Nhơn Bình  tỉnh Vĩnh Long</v>
      </c>
      <c r="C22022" t="str">
        <v>-</v>
      </c>
      <c r="D22022" t="str">
        <v>-</v>
      </c>
      <c r="E22022" t="str">
        <v/>
      </c>
      <c r="F22022" t="str">
        <v>-</v>
      </c>
      <c r="G22022" t="str">
        <v>-</v>
      </c>
    </row>
    <row r="22023">
      <c r="B22023" t="str">
        <v>UBND Ủy ban nhân dân xã Nhơn Bình  tỉnh Vĩnh Long</v>
      </c>
      <c r="C22023" t="str">
        <v>-</v>
      </c>
      <c r="D22023" t="str">
        <v>-</v>
      </c>
      <c r="E22023" t="str">
        <v>-</v>
      </c>
      <c r="F22023" t="str">
        <v>-</v>
      </c>
      <c r="G22023" t="str">
        <v>-</v>
      </c>
    </row>
    <row r="22024">
      <c r="B22024" t="str">
        <v>Công an xã Hòa Bình  tỉnh Vĩnh Long</v>
      </c>
      <c r="C22024" t="str">
        <v>-</v>
      </c>
      <c r="D22024" t="str">
        <v>-</v>
      </c>
      <c r="E22024" t="str">
        <v/>
      </c>
      <c r="F22024" t="str">
        <v>-</v>
      </c>
      <c r="G22024" t="str">
        <v>-</v>
      </c>
    </row>
    <row r="22025">
      <c r="B22025" t="str">
        <v>UBND Ủy ban nhân dân xã Hòa Bình  tỉnh Vĩnh Long</v>
      </c>
      <c r="C22025" t="str">
        <v>-</v>
      </c>
      <c r="D22025" t="str">
        <v>-</v>
      </c>
      <c r="E22025" t="str">
        <v>-</v>
      </c>
      <c r="F22025" t="str">
        <v>-</v>
      </c>
      <c r="G22025" t="str">
        <v>-</v>
      </c>
    </row>
    <row r="22026">
      <c r="B22026" t="str">
        <v>Công an xã Thới Hòa  tỉnh Vĩnh Long</v>
      </c>
      <c r="C22026" t="str">
        <v>-</v>
      </c>
      <c r="D22026" t="str">
        <v>-</v>
      </c>
      <c r="E22026" t="str">
        <v/>
      </c>
      <c r="F22026" t="str">
        <v>-</v>
      </c>
      <c r="G22026" t="str">
        <v>-</v>
      </c>
    </row>
    <row r="22027">
      <c r="B22027" t="str">
        <v>UBND Ủy ban nhân dân xã Thới Hòa  tỉnh Vĩnh Long</v>
      </c>
      <c r="C22027" t="str">
        <v>-</v>
      </c>
      <c r="D22027" t="str">
        <v>-</v>
      </c>
      <c r="E22027" t="str">
        <v>-</v>
      </c>
      <c r="F22027" t="str">
        <v>-</v>
      </c>
      <c r="G22027" t="str">
        <v>-</v>
      </c>
    </row>
    <row r="22028">
      <c r="B22028" t="str">
        <v>Công an xã Trà Côn  tỉnh Vĩnh Long</v>
      </c>
      <c r="C22028" t="str">
        <v>-</v>
      </c>
      <c r="D22028" t="str">
        <v>-</v>
      </c>
      <c r="E22028" t="str">
        <v/>
      </c>
      <c r="F22028" t="str">
        <v>-</v>
      </c>
      <c r="G22028" t="str">
        <v>-</v>
      </c>
    </row>
    <row r="22029">
      <c r="B22029" t="str">
        <v>UBND Ủy ban nhân dân xã Trà Côn  tỉnh Vĩnh Long</v>
      </c>
      <c r="C22029" t="str">
        <v>-</v>
      </c>
      <c r="D22029" t="str">
        <v>-</v>
      </c>
      <c r="E22029" t="str">
        <v>-</v>
      </c>
      <c r="F22029" t="str">
        <v>-</v>
      </c>
      <c r="G22029" t="str">
        <v>-</v>
      </c>
    </row>
    <row r="22030">
      <c r="B22030" t="str">
        <v>Công an xã Tân Mỹ  tỉnh Vĩnh Long</v>
      </c>
      <c r="C22030" t="str">
        <v>-</v>
      </c>
      <c r="D22030" t="str">
        <v>-</v>
      </c>
      <c r="E22030" t="str">
        <v/>
      </c>
      <c r="F22030" t="str">
        <v>-</v>
      </c>
      <c r="G22030" t="str">
        <v>-</v>
      </c>
    </row>
    <row r="22031">
      <c r="B22031" t="str">
        <v>UBND Ủy ban nhân dân xã Tân Mỹ  tỉnh Vĩnh Long</v>
      </c>
      <c r="C22031" t="str">
        <v>-</v>
      </c>
      <c r="D22031" t="str">
        <v>-</v>
      </c>
      <c r="E22031" t="str">
        <v>-</v>
      </c>
      <c r="F22031" t="str">
        <v>-</v>
      </c>
      <c r="G22031" t="str">
        <v>-</v>
      </c>
    </row>
    <row r="22032">
      <c r="B22032" t="str">
        <v>Công an xã Hựu Thành  tỉnh Vĩnh Long</v>
      </c>
      <c r="C22032" t="str">
        <v>-</v>
      </c>
      <c r="D22032" t="str">
        <v>-</v>
      </c>
      <c r="E22032" t="str">
        <v/>
      </c>
      <c r="F22032" t="str">
        <v>-</v>
      </c>
      <c r="G22032" t="str">
        <v>-</v>
      </c>
    </row>
    <row r="22033">
      <c r="B22033" t="str">
        <v>UBND Ủy ban nhân dân xã Hựu Thành  tỉnh Vĩnh Long</v>
      </c>
      <c r="C22033" t="str">
        <v>-</v>
      </c>
      <c r="D22033" t="str">
        <v>-</v>
      </c>
      <c r="E22033" t="str">
        <v>-</v>
      </c>
      <c r="F22033" t="str">
        <v>-</v>
      </c>
      <c r="G22033" t="str">
        <v>-</v>
      </c>
    </row>
    <row r="22034">
      <c r="B22034" t="str">
        <v>Công an xã Vĩnh Xuân  tỉnh Vĩnh Long</v>
      </c>
      <c r="C22034" t="str">
        <v>-</v>
      </c>
      <c r="D22034" t="str">
        <v>-</v>
      </c>
      <c r="E22034" t="str">
        <v/>
      </c>
      <c r="F22034" t="str">
        <v>-</v>
      </c>
      <c r="G22034" t="str">
        <v>-</v>
      </c>
    </row>
    <row r="22035">
      <c r="B22035" t="str">
        <v>UBND Ủy ban nhân dân xã Vĩnh Xuân  tỉnh Vĩnh Long</v>
      </c>
      <c r="C22035" t="str">
        <v>-</v>
      </c>
      <c r="D22035" t="str">
        <v>-</v>
      </c>
      <c r="E22035" t="str">
        <v>-</v>
      </c>
      <c r="F22035" t="str">
        <v>-</v>
      </c>
      <c r="G22035" t="str">
        <v>-</v>
      </c>
    </row>
    <row r="22036">
      <c r="B22036" t="str">
        <v>Công an xã Thuận Thới  tỉnh Vĩnh Long</v>
      </c>
      <c r="C22036" t="str">
        <v>-</v>
      </c>
      <c r="D22036" t="str">
        <v>-</v>
      </c>
      <c r="E22036" t="str">
        <v/>
      </c>
      <c r="F22036" t="str">
        <v>-</v>
      </c>
      <c r="G22036" t="str">
        <v>-</v>
      </c>
    </row>
    <row r="22037">
      <c r="B22037" t="str">
        <v>UBND Ủy ban nhân dân xã Thuận Thới  tỉnh Vĩnh Long</v>
      </c>
      <c r="C22037" t="str">
        <v>-</v>
      </c>
      <c r="D22037" t="str">
        <v>-</v>
      </c>
      <c r="E22037" t="str">
        <v>-</v>
      </c>
      <c r="F22037" t="str">
        <v>-</v>
      </c>
      <c r="G22037" t="str">
        <v>-</v>
      </c>
    </row>
    <row r="22038">
      <c r="B22038" t="str">
        <v>Công an xã Phú Thành  tỉnh Vĩnh Long</v>
      </c>
      <c r="C22038" t="str">
        <v>-</v>
      </c>
      <c r="D22038" t="str">
        <v>-</v>
      </c>
      <c r="E22038" t="str">
        <v/>
      </c>
      <c r="F22038" t="str">
        <v>-</v>
      </c>
      <c r="G22038" t="str">
        <v>-</v>
      </c>
    </row>
    <row r="22039">
      <c r="B22039" t="str">
        <v>UBND Ủy ban nhân dân xã Phú Thành  tỉnh Vĩnh Long</v>
      </c>
      <c r="C22039" t="str">
        <v>-</v>
      </c>
      <c r="D22039" t="str">
        <v>-</v>
      </c>
      <c r="E22039" t="str">
        <v>-</v>
      </c>
      <c r="F22039" t="str">
        <v>-</v>
      </c>
      <c r="G22039" t="str">
        <v>-</v>
      </c>
    </row>
    <row r="22040">
      <c r="B22040" t="str">
        <v>Công an xã Thiện Mỹ  tỉnh Vĩnh Long</v>
      </c>
      <c r="C22040" t="str">
        <v>-</v>
      </c>
      <c r="D22040" t="str">
        <v>-</v>
      </c>
      <c r="E22040" t="str">
        <v/>
      </c>
      <c r="F22040" t="str">
        <v>-</v>
      </c>
      <c r="G22040" t="str">
        <v>-</v>
      </c>
    </row>
    <row r="22041">
      <c r="B22041" t="str">
        <v>UBND Ủy ban nhân dân xã Thiện Mỹ  tỉnh Vĩnh Long</v>
      </c>
      <c r="C22041" t="str">
        <v>-</v>
      </c>
      <c r="D22041" t="str">
        <v>-</v>
      </c>
      <c r="E22041" t="str">
        <v>-</v>
      </c>
      <c r="F22041" t="str">
        <v>-</v>
      </c>
      <c r="G22041" t="str">
        <v>-</v>
      </c>
    </row>
    <row r="22042">
      <c r="B22042" t="str">
        <v>Công an xã Lục Sỹ Thành  tỉnh Vĩnh Long</v>
      </c>
      <c r="C22042" t="str">
        <v>-</v>
      </c>
      <c r="D22042" t="str">
        <v>-</v>
      </c>
      <c r="E22042" t="str">
        <v/>
      </c>
      <c r="F22042" t="str">
        <v>-</v>
      </c>
      <c r="G22042" t="str">
        <v>-</v>
      </c>
    </row>
    <row r="22043">
      <c r="B22043" t="str">
        <v>UBND Ủy ban nhân dân xã Lục Sỹ Thành  tỉnh Vĩnh Long</v>
      </c>
      <c r="C22043" t="str">
        <v>-</v>
      </c>
      <c r="D22043" t="str">
        <v>-</v>
      </c>
      <c r="E22043" t="str">
        <v>-</v>
      </c>
      <c r="F22043" t="str">
        <v>-</v>
      </c>
      <c r="G22043" t="str">
        <v>-</v>
      </c>
    </row>
    <row r="22044">
      <c r="B22044" t="str">
        <v>Công an xã Tích Thiện  tỉnh Vĩnh Long</v>
      </c>
      <c r="C22044" t="str">
        <v>-</v>
      </c>
      <c r="D22044" t="str">
        <v>-</v>
      </c>
      <c r="E22044" t="str">
        <v/>
      </c>
      <c r="F22044" t="str">
        <v>-</v>
      </c>
      <c r="G22044" t="str">
        <v>-</v>
      </c>
    </row>
    <row r="22045">
      <c r="B22045" t="str">
        <v>UBND Ủy ban nhân dân xã Tích Thiện  tỉnh Vĩnh Long</v>
      </c>
      <c r="C22045" t="str">
        <v>-</v>
      </c>
      <c r="D22045" t="str">
        <v>-</v>
      </c>
      <c r="E22045" t="str">
        <v>-</v>
      </c>
      <c r="F22045" t="str">
        <v>-</v>
      </c>
      <c r="G22045" t="str">
        <v>-</v>
      </c>
    </row>
    <row r="22046">
      <c r="B22046" t="str">
        <v>Công an xã Tân Hưng  tỉnh Vĩnh Long</v>
      </c>
      <c r="C22046" t="str">
        <v>-</v>
      </c>
      <c r="D22046" t="str">
        <v>-</v>
      </c>
      <c r="E22046" t="str">
        <v/>
      </c>
      <c r="F22046" t="str">
        <v>-</v>
      </c>
      <c r="G22046" t="str">
        <v>-</v>
      </c>
    </row>
    <row r="22047">
      <c r="B22047" t="str">
        <v>UBND Ủy ban nhân dân xã Tân Hưng  tỉnh Vĩnh Long</v>
      </c>
      <c r="C22047" t="str">
        <v>-</v>
      </c>
      <c r="D22047" t="str">
        <v>-</v>
      </c>
      <c r="E22047" t="str">
        <v>-</v>
      </c>
      <c r="F22047" t="str">
        <v>-</v>
      </c>
      <c r="G22047" t="str">
        <v>-</v>
      </c>
    </row>
    <row r="22048">
      <c r="B22048" t="str">
        <v>Công an xã Tân Thành  tỉnh Vĩnh Long</v>
      </c>
      <c r="C22048" t="str">
        <v>-</v>
      </c>
      <c r="D22048" t="str">
        <v>-</v>
      </c>
      <c r="E22048" t="str">
        <v/>
      </c>
      <c r="F22048" t="str">
        <v>-</v>
      </c>
      <c r="G22048" t="str">
        <v>-</v>
      </c>
    </row>
    <row r="22049">
      <c r="B22049" t="str">
        <v>UBND Ủy ban nhân dân xã Tân Thành  tỉnh Vĩnh Long</v>
      </c>
      <c r="C22049" t="str">
        <v>-</v>
      </c>
      <c r="D22049" t="str">
        <v>-</v>
      </c>
      <c r="E22049" t="str">
        <v>-</v>
      </c>
      <c r="F22049" t="str">
        <v>-</v>
      </c>
      <c r="G22049" t="str">
        <v>-</v>
      </c>
    </row>
    <row r="22050">
      <c r="B22050" t="str">
        <v>Công an xã Thành Trung  tỉnh Vĩnh Long</v>
      </c>
      <c r="C22050" t="str">
        <v>-</v>
      </c>
      <c r="D22050" t="str">
        <v>-</v>
      </c>
      <c r="E22050" t="str">
        <v/>
      </c>
      <c r="F22050" t="str">
        <v>-</v>
      </c>
      <c r="G22050" t="str">
        <v>-</v>
      </c>
    </row>
    <row r="22051">
      <c r="B22051" t="str">
        <v>UBND Ủy ban nhân dân xã Thành Trung  tỉnh Vĩnh Long</v>
      </c>
      <c r="C22051" t="str">
        <v>-</v>
      </c>
      <c r="D22051" t="str">
        <v>-</v>
      </c>
      <c r="E22051" t="str">
        <v>-</v>
      </c>
      <c r="F22051" t="str">
        <v>-</v>
      </c>
      <c r="G22051" t="str">
        <v>-</v>
      </c>
    </row>
    <row r="22052">
      <c r="B22052" t="str">
        <v>Công an xã Tân An Thạnh  tỉnh Vĩnh Long</v>
      </c>
      <c r="C22052" t="str">
        <v>-</v>
      </c>
      <c r="D22052" t="str">
        <v>-</v>
      </c>
      <c r="E22052" t="str">
        <v/>
      </c>
      <c r="F22052" t="str">
        <v>-</v>
      </c>
      <c r="G22052" t="str">
        <v>-</v>
      </c>
    </row>
    <row r="22053">
      <c r="B22053" t="str">
        <v>UBND Ủy ban nhân dân xã Tân An Thạnh  tỉnh Vĩnh Long</v>
      </c>
      <c r="C22053" t="str">
        <v>-</v>
      </c>
      <c r="D22053" t="str">
        <v>-</v>
      </c>
      <c r="E22053" t="str">
        <v>-</v>
      </c>
      <c r="F22053" t="str">
        <v>-</v>
      </c>
      <c r="G22053" t="str">
        <v>-</v>
      </c>
    </row>
    <row r="22054">
      <c r="B22054" t="str">
        <v>Công an xã Tân Lược  tỉnh Vĩnh Long</v>
      </c>
      <c r="C22054" t="str">
        <v>-</v>
      </c>
      <c r="D22054" t="str">
        <v>-</v>
      </c>
      <c r="E22054" t="str">
        <v/>
      </c>
      <c r="F22054" t="str">
        <v>-</v>
      </c>
      <c r="G22054" t="str">
        <v>-</v>
      </c>
    </row>
    <row r="22055">
      <c r="B22055" t="str">
        <v>UBND Ủy ban nhân dân xã Tân Lược  tỉnh Vĩnh Long</v>
      </c>
      <c r="C22055" t="str">
        <v>-</v>
      </c>
      <c r="D22055" t="str">
        <v>-</v>
      </c>
      <c r="E22055" t="str">
        <v>-</v>
      </c>
      <c r="F22055" t="str">
        <v>-</v>
      </c>
      <c r="G22055" t="str">
        <v>-</v>
      </c>
    </row>
    <row r="22056">
      <c r="B22056" t="str">
        <v>Công an xã Nguyễn Văn Thảnh  tỉnh Vĩnh Long</v>
      </c>
      <c r="C22056" t="str">
        <v>-</v>
      </c>
      <c r="D22056" t="str">
        <v>-</v>
      </c>
      <c r="E22056" t="str">
        <v/>
      </c>
      <c r="F22056" t="str">
        <v>-</v>
      </c>
      <c r="G22056" t="str">
        <v>-</v>
      </c>
    </row>
    <row r="22057">
      <c r="B22057" t="str">
        <v>UBND Ủy ban nhân dân xã Nguyễn Văn Thảnh  tỉnh Vĩnh Long</v>
      </c>
      <c r="C22057" t="str">
        <v>-</v>
      </c>
      <c r="D22057" t="str">
        <v>-</v>
      </c>
      <c r="E22057" t="str">
        <v>-</v>
      </c>
      <c r="F22057" t="str">
        <v>-</v>
      </c>
      <c r="G22057" t="str">
        <v>-</v>
      </c>
    </row>
    <row r="22058">
      <c r="B22058" t="str">
        <v>Công an xã Thành Đông  tỉnh Vĩnh Long</v>
      </c>
      <c r="C22058" t="str">
        <v>-</v>
      </c>
      <c r="D22058" t="str">
        <v>-</v>
      </c>
      <c r="E22058" t="str">
        <v/>
      </c>
      <c r="F22058" t="str">
        <v>-</v>
      </c>
      <c r="G22058" t="str">
        <v>-</v>
      </c>
    </row>
    <row r="22059">
      <c r="B22059" t="str">
        <v>UBND Ủy ban nhân dân xã Thành Đông  tỉnh Vĩnh Long</v>
      </c>
      <c r="C22059" t="str">
        <v>-</v>
      </c>
      <c r="D22059" t="str">
        <v>-</v>
      </c>
      <c r="E22059" t="str">
        <v>-</v>
      </c>
      <c r="F22059" t="str">
        <v>-</v>
      </c>
      <c r="G22059" t="str">
        <v>-</v>
      </c>
    </row>
    <row r="22060">
      <c r="B22060" t="str">
        <v>Công an xã Mỹ Thuận  tỉnh Vĩnh Long</v>
      </c>
      <c r="C22060" t="str">
        <v>-</v>
      </c>
      <c r="D22060" t="str">
        <v>-</v>
      </c>
      <c r="E22060" t="str">
        <v/>
      </c>
      <c r="F22060" t="str">
        <v>-</v>
      </c>
      <c r="G22060" t="str">
        <v>-</v>
      </c>
    </row>
    <row r="22061">
      <c r="B22061" t="str">
        <v>UBND Ủy ban nhân dân xã Mỹ Thuận  tỉnh Vĩnh Long</v>
      </c>
      <c r="C22061" t="str">
        <v>-</v>
      </c>
      <c r="D22061" t="str">
        <v>-</v>
      </c>
      <c r="E22061" t="str">
        <v>-</v>
      </c>
      <c r="F22061" t="str">
        <v>-</v>
      </c>
      <c r="G22061" t="str">
        <v>-</v>
      </c>
    </row>
    <row r="22062">
      <c r="B22062" t="str">
        <v>Công an xã Tân Bình  tỉnh Vĩnh Long</v>
      </c>
      <c r="C22062" t="str">
        <v>-</v>
      </c>
      <c r="D22062" t="str">
        <v>-</v>
      </c>
      <c r="E22062" t="str">
        <v/>
      </c>
      <c r="F22062" t="str">
        <v>-</v>
      </c>
      <c r="G22062" t="str">
        <v>-</v>
      </c>
    </row>
    <row r="22063">
      <c r="B22063" t="str">
        <v>UBND Ủy ban nhân dân xã Tân Bình  tỉnh Vĩnh Long</v>
      </c>
      <c r="C22063" t="str">
        <v>-</v>
      </c>
      <c r="D22063" t="str">
        <v>-</v>
      </c>
      <c r="E22063" t="str">
        <v>-</v>
      </c>
      <c r="F22063" t="str">
        <v>-</v>
      </c>
      <c r="G22063" t="str">
        <v>-</v>
      </c>
    </row>
    <row r="22064">
      <c r="B22064" t="str">
        <v>Công an xã Thành Lợi  tỉnh Vĩnh Long</v>
      </c>
      <c r="C22064" t="str">
        <v>-</v>
      </c>
      <c r="D22064" t="str">
        <v>-</v>
      </c>
      <c r="E22064" t="str">
        <v/>
      </c>
      <c r="F22064" t="str">
        <v>-</v>
      </c>
      <c r="G22064" t="str">
        <v>-</v>
      </c>
    </row>
    <row r="22065">
      <c r="B22065" t="str">
        <v>UBND Ủy ban nhân dân xã Thành Lợi  tỉnh Vĩnh Long</v>
      </c>
      <c r="C22065" t="str">
        <v>-</v>
      </c>
      <c r="D22065" t="str">
        <v>-</v>
      </c>
      <c r="E22065" t="str">
        <v>-</v>
      </c>
      <c r="F22065" t="str">
        <v>-</v>
      </c>
      <c r="G22065" t="str">
        <v>-</v>
      </c>
    </row>
    <row r="22066">
      <c r="B22066" t="str">
        <v>Công an xã Tân Quới  tỉnh Vĩnh Long</v>
      </c>
      <c r="C22066" t="str">
        <v>-</v>
      </c>
      <c r="D22066" t="str">
        <v>-</v>
      </c>
      <c r="E22066" t="str">
        <v/>
      </c>
      <c r="F22066" t="str">
        <v>-</v>
      </c>
      <c r="G22066" t="str">
        <v>-</v>
      </c>
    </row>
    <row r="22067">
      <c r="B22067" t="str">
        <v>UBND Ủy ban nhân dân xã Tân Quới  tỉnh Vĩnh Long</v>
      </c>
      <c r="C22067" t="str">
        <v>-</v>
      </c>
      <c r="D22067" t="str">
        <v>-</v>
      </c>
      <c r="E22067" t="str">
        <v>-</v>
      </c>
      <c r="F22067" t="str">
        <v>-</v>
      </c>
      <c r="G22067" t="str">
        <v>-</v>
      </c>
    </row>
    <row r="22068">
      <c r="B22068" t="str">
        <v>Công an phường 11  tỉnh Đồng Tháp</v>
      </c>
      <c r="C22068" t="str">
        <v>-</v>
      </c>
      <c r="D22068" t="str">
        <v>-</v>
      </c>
      <c r="E22068" t="str">
        <v/>
      </c>
      <c r="F22068" t="str">
        <v>-</v>
      </c>
      <c r="G22068" t="str">
        <v>-</v>
      </c>
    </row>
    <row r="22069">
      <c r="B22069" t="str">
        <v>UBND Ủy ban nhân dân phường 11  tỉnh Đồng Tháp</v>
      </c>
      <c r="C22069" t="str">
        <v>-</v>
      </c>
      <c r="D22069" t="str">
        <v>-</v>
      </c>
      <c r="E22069" t="str">
        <v>-</v>
      </c>
      <c r="F22069" t="str">
        <v>-</v>
      </c>
      <c r="G22069" t="str">
        <v>-</v>
      </c>
    </row>
    <row r="22070">
      <c r="B22070" t="str">
        <v>Công an phường 1  tỉnh Đồng Tháp</v>
      </c>
      <c r="C22070" t="str">
        <v>-</v>
      </c>
      <c r="D22070" t="str">
        <v>-</v>
      </c>
      <c r="E22070" t="str">
        <v/>
      </c>
      <c r="F22070" t="str">
        <v>-</v>
      </c>
      <c r="G22070" t="str">
        <v>-</v>
      </c>
    </row>
    <row r="22071">
      <c r="B22071" t="str">
        <v>UBND Ủy ban nhân dân phường 1  tỉnh Đồng Tháp</v>
      </c>
      <c r="C22071" t="str">
        <v>-</v>
      </c>
      <c r="D22071" t="str">
        <v>-</v>
      </c>
      <c r="E22071" t="str">
        <v>-</v>
      </c>
      <c r="F22071" t="str">
        <v>-</v>
      </c>
      <c r="G22071" t="str">
        <v>-</v>
      </c>
    </row>
    <row r="22072">
      <c r="B22072" t="str">
        <v>Công an phường 2  tỉnh Đồng Tháp</v>
      </c>
      <c r="C22072" t="str">
        <v>-</v>
      </c>
      <c r="D22072" t="str">
        <v>-</v>
      </c>
      <c r="E22072" t="str">
        <v/>
      </c>
      <c r="F22072" t="str">
        <v>-</v>
      </c>
      <c r="G22072" t="str">
        <v>-</v>
      </c>
    </row>
    <row r="22073">
      <c r="B22073" t="str">
        <v>UBND Ủy ban nhân dân phường 2  tỉnh Đồng Tháp</v>
      </c>
      <c r="C22073" t="str">
        <v>-</v>
      </c>
      <c r="D22073" t="str">
        <v>-</v>
      </c>
      <c r="E22073" t="str">
        <v>-</v>
      </c>
      <c r="F22073" t="str">
        <v>-</v>
      </c>
      <c r="G22073" t="str">
        <v>-</v>
      </c>
    </row>
    <row r="22074">
      <c r="B22074" t="str">
        <v>Công an phường 4  tỉnh Đồng Tháp</v>
      </c>
      <c r="C22074" t="str">
        <v>-</v>
      </c>
      <c r="D22074" t="str">
        <v>-</v>
      </c>
      <c r="E22074" t="str">
        <v/>
      </c>
      <c r="F22074" t="str">
        <v>-</v>
      </c>
      <c r="G22074" t="str">
        <v>-</v>
      </c>
    </row>
    <row r="22075">
      <c r="B22075" t="str">
        <v>UBND Ủy ban nhân dân phường 4  tỉnh Đồng Tháp</v>
      </c>
      <c r="C22075" t="str">
        <v>-</v>
      </c>
      <c r="D22075" t="str">
        <v>-</v>
      </c>
      <c r="E22075" t="str">
        <v>-</v>
      </c>
      <c r="F22075" t="str">
        <v>-</v>
      </c>
      <c r="G22075" t="str">
        <v>-</v>
      </c>
    </row>
    <row r="22076">
      <c r="B22076" t="str">
        <v>Công an phường 3  tỉnh Đồng Tháp</v>
      </c>
      <c r="C22076" t="str">
        <v>-</v>
      </c>
      <c r="D22076" t="str">
        <v>-</v>
      </c>
      <c r="E22076" t="str">
        <v/>
      </c>
      <c r="F22076" t="str">
        <v>-</v>
      </c>
      <c r="G22076" t="str">
        <v>-</v>
      </c>
    </row>
    <row r="22077">
      <c r="B22077" t="str">
        <v>UBND Ủy ban nhân dân phường 3  tỉnh Đồng Tháp</v>
      </c>
      <c r="C22077" t="str">
        <v>-</v>
      </c>
      <c r="D22077" t="str">
        <v>-</v>
      </c>
      <c r="E22077" t="str">
        <v>-</v>
      </c>
      <c r="F22077" t="str">
        <v>-</v>
      </c>
      <c r="G22077" t="str">
        <v>-</v>
      </c>
    </row>
    <row r="22078">
      <c r="B22078" t="str">
        <v>Công an phường 6  tỉnh Đồng Tháp</v>
      </c>
      <c r="C22078" t="str">
        <v>-</v>
      </c>
      <c r="D22078" t="str">
        <v>-</v>
      </c>
      <c r="E22078" t="str">
        <v/>
      </c>
      <c r="F22078" t="str">
        <v>-</v>
      </c>
      <c r="G22078" t="str">
        <v>-</v>
      </c>
    </row>
    <row r="22079">
      <c r="B22079" t="str">
        <v>UBND Ủy ban nhân dân phường 6  tỉnh Đồng Tháp</v>
      </c>
      <c r="C22079" t="str">
        <v>-</v>
      </c>
      <c r="D22079" t="str">
        <v>-</v>
      </c>
      <c r="E22079" t="str">
        <v>-</v>
      </c>
      <c r="F22079" t="str">
        <v>-</v>
      </c>
      <c r="G22079" t="str">
        <v>-</v>
      </c>
    </row>
    <row r="22080">
      <c r="B22080" t="str">
        <v>Công an xã Mỹ Ngãi  tỉnh Đồng Tháp</v>
      </c>
      <c r="C22080" t="str">
        <v>-</v>
      </c>
      <c r="D22080" t="str">
        <v>-</v>
      </c>
      <c r="E22080" t="str">
        <v/>
      </c>
      <c r="F22080" t="str">
        <v>-</v>
      </c>
      <c r="G22080" t="str">
        <v>-</v>
      </c>
    </row>
    <row r="22081">
      <c r="B22081" t="str">
        <v>UBND Ủy ban nhân dân xã Mỹ Ngãi  tỉnh Đồng Tháp</v>
      </c>
      <c r="C22081" t="str">
        <v>-</v>
      </c>
      <c r="D22081" t="str">
        <v>-</v>
      </c>
      <c r="E22081" t="str">
        <v>-</v>
      </c>
      <c r="F22081" t="str">
        <v>-</v>
      </c>
      <c r="G22081" t="str">
        <v>-</v>
      </c>
    </row>
    <row r="22082">
      <c r="B22082" t="str">
        <v>Công an xã Mỹ Tân  tỉnh Đồng Tháp</v>
      </c>
      <c r="C22082" t="str">
        <v>-</v>
      </c>
      <c r="D22082" t="str">
        <v>-</v>
      </c>
      <c r="E22082" t="str">
        <v/>
      </c>
      <c r="F22082" t="str">
        <v>-</v>
      </c>
      <c r="G22082" t="str">
        <v>-</v>
      </c>
    </row>
    <row r="22083">
      <c r="B22083" t="str">
        <v>UBND Ủy ban nhân dân xã Mỹ Tân  tỉnh Đồng Tháp</v>
      </c>
      <c r="C22083" t="str">
        <v>-</v>
      </c>
      <c r="D22083" t="str">
        <v>-</v>
      </c>
      <c r="E22083" t="str">
        <v>-</v>
      </c>
      <c r="F22083" t="str">
        <v>-</v>
      </c>
      <c r="G22083" t="str">
        <v>-</v>
      </c>
    </row>
    <row r="22084">
      <c r="B22084" t="str">
        <v>Công an xã Mỹ Trà  tỉnh Đồng Tháp</v>
      </c>
      <c r="C22084" t="str">
        <v>-</v>
      </c>
      <c r="D22084" t="str">
        <v>-</v>
      </c>
      <c r="E22084" t="str">
        <v/>
      </c>
      <c r="F22084" t="str">
        <v>-</v>
      </c>
      <c r="G22084" t="str">
        <v>-</v>
      </c>
    </row>
    <row r="22085">
      <c r="B22085" t="str">
        <v>UBND Ủy ban nhân dân xã Mỹ Trà  tỉnh Đồng Tháp</v>
      </c>
      <c r="C22085" t="str">
        <v>-</v>
      </c>
      <c r="D22085" t="str">
        <v>-</v>
      </c>
      <c r="E22085" t="str">
        <v>-</v>
      </c>
      <c r="F22085" t="str">
        <v>-</v>
      </c>
      <c r="G22085" t="str">
        <v>-</v>
      </c>
    </row>
    <row r="22086">
      <c r="B22086" t="str">
        <v>Công an phường Mỹ Phú  tỉnh Đồng Tháp</v>
      </c>
      <c r="C22086" t="str">
        <v>-</v>
      </c>
      <c r="D22086" t="str">
        <v>-</v>
      </c>
      <c r="E22086" t="str">
        <v/>
      </c>
      <c r="F22086" t="str">
        <v>-</v>
      </c>
      <c r="G22086" t="str">
        <v>-</v>
      </c>
    </row>
    <row r="22087">
      <c r="B22087" t="str">
        <v>UBND Ủy ban nhân dân phường Mỹ Phú  tỉnh Đồng Tháp</v>
      </c>
      <c r="C22087" t="str">
        <v>-</v>
      </c>
      <c r="D22087" t="str">
        <v>-</v>
      </c>
      <c r="E22087" t="str">
        <v>-</v>
      </c>
      <c r="F22087" t="str">
        <v>-</v>
      </c>
      <c r="G22087" t="str">
        <v>-</v>
      </c>
    </row>
    <row r="22088">
      <c r="B22088" t="str">
        <v>Công an xã Tân Thuận Tây  tỉnh Đồng Tháp</v>
      </c>
      <c r="C22088" t="str">
        <v>-</v>
      </c>
      <c r="D22088" t="str">
        <v>-</v>
      </c>
      <c r="E22088" t="str">
        <v/>
      </c>
      <c r="F22088" t="str">
        <v>-</v>
      </c>
      <c r="G22088" t="str">
        <v>-</v>
      </c>
    </row>
    <row r="22089">
      <c r="B22089" t="str">
        <v>UBND Ủy ban nhân dân xã Tân Thuận Tây  tỉnh Đồng Tháp</v>
      </c>
      <c r="C22089" t="str">
        <v>-</v>
      </c>
      <c r="D22089" t="str">
        <v>-</v>
      </c>
      <c r="E22089" t="str">
        <v>-</v>
      </c>
      <c r="F22089" t="str">
        <v>-</v>
      </c>
      <c r="G22089" t="str">
        <v>-</v>
      </c>
    </row>
    <row r="22090">
      <c r="B22090" t="str">
        <v>Công an phường Hoà Thuận  tỉnh Đồng Tháp</v>
      </c>
      <c r="C22090" t="str">
        <v>-</v>
      </c>
      <c r="D22090" t="str">
        <v>-</v>
      </c>
      <c r="E22090" t="str">
        <v/>
      </c>
      <c r="F22090" t="str">
        <v>-</v>
      </c>
      <c r="G22090" t="str">
        <v>-</v>
      </c>
    </row>
    <row r="22091">
      <c r="B22091" t="str">
        <v>UBND Ủy ban nhân dân phường Hoà Thuận  tỉnh Đồng Tháp</v>
      </c>
      <c r="C22091" t="str">
        <v>-</v>
      </c>
      <c r="D22091" t="str">
        <v>-</v>
      </c>
      <c r="E22091" t="str">
        <v>-</v>
      </c>
      <c r="F22091" t="str">
        <v>-</v>
      </c>
      <c r="G22091" t="str">
        <v>-</v>
      </c>
    </row>
    <row r="22092">
      <c r="B22092" t="str">
        <v>Công an xã Hòa An  tỉnh Đồng Tháp</v>
      </c>
      <c r="C22092" t="str">
        <v>-</v>
      </c>
      <c r="D22092" t="str">
        <v>-</v>
      </c>
      <c r="E22092" t="str">
        <v/>
      </c>
      <c r="F22092" t="str">
        <v>-</v>
      </c>
      <c r="G22092" t="str">
        <v>-</v>
      </c>
    </row>
    <row r="22093">
      <c r="B22093" t="str">
        <v>UBND Ủy ban nhân dân xã Hòa An  tỉnh Đồng Tháp</v>
      </c>
      <c r="C22093" t="str">
        <v>-</v>
      </c>
      <c r="D22093" t="str">
        <v>-</v>
      </c>
      <c r="E22093" t="str">
        <v>-</v>
      </c>
      <c r="F22093" t="str">
        <v>-</v>
      </c>
      <c r="G22093" t="str">
        <v>-</v>
      </c>
    </row>
    <row r="22094">
      <c r="B22094" t="str">
        <v>Công an xã Tân Thuận Đông  tỉnh Đồng Tháp</v>
      </c>
      <c r="C22094" t="str">
        <v>-</v>
      </c>
      <c r="D22094" t="str">
        <v>-</v>
      </c>
      <c r="E22094" t="str">
        <v/>
      </c>
      <c r="F22094" t="str">
        <v>-</v>
      </c>
      <c r="G22094" t="str">
        <v>-</v>
      </c>
    </row>
    <row r="22095">
      <c r="B22095" t="str">
        <v>UBND Ủy ban nhân dân xã Tân Thuận Đông  tỉnh Đồng Tháp</v>
      </c>
      <c r="C22095" t="str">
        <v>-</v>
      </c>
      <c r="D22095" t="str">
        <v>-</v>
      </c>
      <c r="E22095" t="str">
        <v>-</v>
      </c>
      <c r="F22095" t="str">
        <v>-</v>
      </c>
      <c r="G22095" t="str">
        <v>-</v>
      </c>
    </row>
    <row r="22096">
      <c r="B22096" t="str">
        <v>Công an xã Tịnh Thới  tỉnh Đồng Tháp</v>
      </c>
      <c r="C22096" t="str">
        <v>-</v>
      </c>
      <c r="D22096" t="str">
        <v>-</v>
      </c>
      <c r="E22096" t="str">
        <v/>
      </c>
      <c r="F22096" t="str">
        <v>-</v>
      </c>
      <c r="G22096" t="str">
        <v>-</v>
      </c>
    </row>
    <row r="22097">
      <c r="B22097" t="str">
        <v>UBND Ủy ban nhân dân xã Tịnh Thới  tỉnh Đồng Tháp</v>
      </c>
      <c r="C22097" t="str">
        <v>-</v>
      </c>
      <c r="D22097" t="str">
        <v>-</v>
      </c>
      <c r="E22097" t="str">
        <v>-</v>
      </c>
      <c r="F22097" t="str">
        <v>-</v>
      </c>
      <c r="G22097" t="str">
        <v>-</v>
      </c>
    </row>
    <row r="22098">
      <c r="B22098" t="str">
        <v>Công an phường 3  tỉnh Đồng Tháp</v>
      </c>
      <c r="C22098" t="str">
        <v>-</v>
      </c>
      <c r="D22098" t="str">
        <v>-</v>
      </c>
      <c r="E22098" t="str">
        <v/>
      </c>
      <c r="F22098" t="str">
        <v>-</v>
      </c>
      <c r="G22098" t="str">
        <v>-</v>
      </c>
    </row>
    <row r="22099">
      <c r="B22099" t="str">
        <v>UBND Ủy ban nhân dân phường 3  tỉnh Đồng Tháp</v>
      </c>
      <c r="C22099" t="str">
        <v>-</v>
      </c>
      <c r="D22099" t="str">
        <v>-</v>
      </c>
      <c r="E22099" t="str">
        <v>-</v>
      </c>
      <c r="F22099" t="str">
        <v>-</v>
      </c>
      <c r="G22099" t="str">
        <v>-</v>
      </c>
    </row>
    <row r="22100">
      <c r="B22100" t="str">
        <v>Công an phường 1  tỉnh Đồng Tháp</v>
      </c>
      <c r="C22100" t="str">
        <v>-</v>
      </c>
      <c r="D22100" t="str">
        <v>-</v>
      </c>
      <c r="E22100" t="str">
        <v/>
      </c>
      <c r="F22100" t="str">
        <v>-</v>
      </c>
      <c r="G22100" t="str">
        <v>-</v>
      </c>
    </row>
    <row r="22101">
      <c r="B22101" t="str">
        <v>UBND Ủy ban nhân dân phường 1  tỉnh Đồng Tháp</v>
      </c>
      <c r="C22101" t="str">
        <v>-</v>
      </c>
      <c r="D22101" t="str">
        <v>-</v>
      </c>
      <c r="E22101" t="str">
        <v>-</v>
      </c>
      <c r="F22101" t="str">
        <v>-</v>
      </c>
      <c r="G22101" t="str">
        <v>-</v>
      </c>
    </row>
    <row r="22102">
      <c r="B22102" t="str">
        <v>Công an phường 4  tỉnh Đồng Tháp</v>
      </c>
      <c r="C22102" t="str">
        <v>-</v>
      </c>
      <c r="D22102" t="str">
        <v>-</v>
      </c>
      <c r="E22102" t="str">
        <v/>
      </c>
      <c r="F22102" t="str">
        <v>-</v>
      </c>
      <c r="G22102" t="str">
        <v>-</v>
      </c>
    </row>
    <row r="22103">
      <c r="B22103" t="str">
        <v>UBND Ủy ban nhân dân phường 4  tỉnh Đồng Tháp</v>
      </c>
      <c r="C22103" t="str">
        <v>-</v>
      </c>
      <c r="D22103" t="str">
        <v>-</v>
      </c>
      <c r="E22103" t="str">
        <v>-</v>
      </c>
      <c r="F22103" t="str">
        <v>-</v>
      </c>
      <c r="G22103" t="str">
        <v>-</v>
      </c>
    </row>
    <row r="22104">
      <c r="B22104" t="str">
        <v>Công an phường 2  tỉnh Đồng Tháp</v>
      </c>
      <c r="C22104" t="str">
        <v>-</v>
      </c>
      <c r="D22104" t="str">
        <v>-</v>
      </c>
      <c r="E22104" t="str">
        <v/>
      </c>
      <c r="F22104" t="str">
        <v>-</v>
      </c>
      <c r="G22104" t="str">
        <v>-</v>
      </c>
    </row>
    <row r="22105">
      <c r="B22105" t="str">
        <v>UBND Ủy ban nhân dân phường 2  tỉnh Đồng Tháp</v>
      </c>
      <c r="C22105" t="str">
        <v>-</v>
      </c>
      <c r="D22105" t="str">
        <v>-</v>
      </c>
      <c r="E22105" t="str">
        <v>-</v>
      </c>
      <c r="F22105" t="str">
        <v>-</v>
      </c>
      <c r="G22105" t="str">
        <v>-</v>
      </c>
    </row>
    <row r="22106">
      <c r="B22106" t="str">
        <v>Công an xã Tân Khánh Đông  tỉnh Đồng Tháp</v>
      </c>
      <c r="C22106" t="str">
        <v>-</v>
      </c>
      <c r="D22106" t="str">
        <v>-</v>
      </c>
      <c r="E22106" t="str">
        <v/>
      </c>
      <c r="F22106" t="str">
        <v>-</v>
      </c>
      <c r="G22106" t="str">
        <v>-</v>
      </c>
    </row>
    <row r="22107">
      <c r="B22107" t="str">
        <v>UBND Ủy ban nhân dân xã Tân Khánh Đông  tỉnh Đồng Tháp</v>
      </c>
      <c r="C22107" t="str">
        <v>-</v>
      </c>
      <c r="D22107" t="str">
        <v>-</v>
      </c>
      <c r="E22107" t="str">
        <v>-</v>
      </c>
      <c r="F22107" t="str">
        <v>-</v>
      </c>
      <c r="G22107" t="str">
        <v>-</v>
      </c>
    </row>
    <row r="22108">
      <c r="B22108" t="str">
        <v>Công an phường Tân Quy Đông  tỉnh Đồng Tháp</v>
      </c>
      <c r="C22108" t="str">
        <v>-</v>
      </c>
      <c r="D22108" t="str">
        <v>-</v>
      </c>
      <c r="E22108" t="str">
        <v/>
      </c>
      <c r="F22108" t="str">
        <v>-</v>
      </c>
      <c r="G22108" t="str">
        <v>-</v>
      </c>
    </row>
    <row r="22109">
      <c r="B22109" t="str">
        <v>UBND Ủy ban nhân dân phường Tân Quy Đông  tỉnh Đồng Tháp</v>
      </c>
      <c r="C22109" t="str">
        <v>-</v>
      </c>
      <c r="D22109" t="str">
        <v>-</v>
      </c>
      <c r="E22109" t="str">
        <v>-</v>
      </c>
      <c r="F22109" t="str">
        <v>-</v>
      </c>
      <c r="G22109" t="str">
        <v>-</v>
      </c>
    </row>
    <row r="22110">
      <c r="B22110" t="str">
        <v>Công an phường An Hoà  tỉnh Đồng Tháp</v>
      </c>
      <c r="C22110" t="str">
        <v>-</v>
      </c>
      <c r="D22110" t="str">
        <v>-</v>
      </c>
      <c r="E22110" t="str">
        <v/>
      </c>
      <c r="F22110" t="str">
        <v>-</v>
      </c>
      <c r="G22110" t="str">
        <v>-</v>
      </c>
    </row>
    <row r="22111">
      <c r="B22111" t="str">
        <v>UBND Ủy ban nhân dân phường An Hoà  tỉnh Đồng Tháp</v>
      </c>
      <c r="C22111" t="str">
        <v>-</v>
      </c>
      <c r="D22111" t="str">
        <v>-</v>
      </c>
      <c r="E22111" t="str">
        <v>-</v>
      </c>
      <c r="F22111" t="str">
        <v>-</v>
      </c>
      <c r="G22111" t="str">
        <v>-</v>
      </c>
    </row>
    <row r="22112">
      <c r="B22112" t="str">
        <v>Công an xã Tân Quy Tây  tỉnh Đồng Tháp</v>
      </c>
      <c r="C22112" t="str">
        <v>-</v>
      </c>
      <c r="D22112" t="str">
        <v>-</v>
      </c>
      <c r="E22112" t="str">
        <v/>
      </c>
      <c r="F22112" t="str">
        <v>-</v>
      </c>
      <c r="G22112" t="str">
        <v>-</v>
      </c>
    </row>
    <row r="22113">
      <c r="B22113" t="str">
        <v>UBND Ủy ban nhân dân xã Tân Quy Tây  tỉnh Đồng Tháp</v>
      </c>
      <c r="C22113" t="str">
        <v>-</v>
      </c>
      <c r="D22113" t="str">
        <v>-</v>
      </c>
      <c r="E22113" t="str">
        <v>-</v>
      </c>
      <c r="F22113" t="str">
        <v>-</v>
      </c>
      <c r="G22113" t="str">
        <v>-</v>
      </c>
    </row>
    <row r="22114">
      <c r="B22114" t="str">
        <v>Công an xã Tân Phú Đông  tỉnh Đồng Tháp</v>
      </c>
      <c r="C22114" t="str">
        <v>-</v>
      </c>
      <c r="D22114" t="str">
        <v>-</v>
      </c>
      <c r="E22114" t="str">
        <v/>
      </c>
      <c r="F22114" t="str">
        <v>-</v>
      </c>
      <c r="G22114" t="str">
        <v>-</v>
      </c>
    </row>
    <row r="22115">
      <c r="B22115" t="str">
        <v>UBND Ủy ban nhân dân xã Tân Phú Đông  tỉnh Đồng Tháp</v>
      </c>
      <c r="C22115" t="str">
        <v>-</v>
      </c>
      <c r="D22115" t="str">
        <v>-</v>
      </c>
      <c r="E22115" t="str">
        <v>-</v>
      </c>
      <c r="F22115" t="str">
        <v>-</v>
      </c>
      <c r="G22115" t="str">
        <v>-</v>
      </c>
    </row>
    <row r="22116">
      <c r="B22116" t="str">
        <v>Công an phường An Lộc  tỉnh Đồng Tháp</v>
      </c>
      <c r="C22116" t="str">
        <v>-</v>
      </c>
      <c r="D22116" t="str">
        <v>-</v>
      </c>
      <c r="E22116" t="str">
        <v/>
      </c>
      <c r="F22116" t="str">
        <v>-</v>
      </c>
      <c r="G22116" t="str">
        <v>-</v>
      </c>
    </row>
    <row r="22117">
      <c r="B22117" t="str">
        <v>UBND Ủy ban nhân dân phường An Lộc  tỉnh Đồng Tháp</v>
      </c>
      <c r="C22117" t="str">
        <v>-</v>
      </c>
      <c r="D22117" t="str">
        <v>-</v>
      </c>
      <c r="E22117" t="str">
        <v>-</v>
      </c>
      <c r="F22117" t="str">
        <v>-</v>
      </c>
      <c r="G22117" t="str">
        <v>-</v>
      </c>
    </row>
    <row r="22118">
      <c r="B22118" t="str">
        <v>Công an phường An Thạnh  tỉnh Đồng Tháp</v>
      </c>
      <c r="C22118" t="str">
        <v>-</v>
      </c>
      <c r="D22118" t="str">
        <v>-</v>
      </c>
      <c r="E22118" t="str">
        <v/>
      </c>
      <c r="F22118" t="str">
        <v>-</v>
      </c>
      <c r="G22118" t="str">
        <v>-</v>
      </c>
    </row>
    <row r="22119">
      <c r="B22119" t="str">
        <v>UBND Ủy ban nhân dân phường An Thạnh  tỉnh Đồng Tháp</v>
      </c>
      <c r="C22119" t="str">
        <v>-</v>
      </c>
      <c r="D22119" t="str">
        <v>-</v>
      </c>
      <c r="E22119" t="str">
        <v>-</v>
      </c>
      <c r="F22119" t="str">
        <v>-</v>
      </c>
      <c r="G22119" t="str">
        <v>-</v>
      </c>
    </row>
    <row r="22120">
      <c r="B22120" t="str">
        <v>Công an xã Bình Thạnh  tỉnh Đồng Tháp</v>
      </c>
      <c r="C22120" t="str">
        <v>-</v>
      </c>
      <c r="D22120" t="str">
        <v>-</v>
      </c>
      <c r="E22120" t="str">
        <v/>
      </c>
      <c r="F22120" t="str">
        <v>-</v>
      </c>
      <c r="G22120" t="str">
        <v>-</v>
      </c>
    </row>
    <row r="22121">
      <c r="B22121" t="str">
        <v>UBND Ủy ban nhân dân xã Bình Thạnh  tỉnh Đồng Tháp</v>
      </c>
      <c r="C22121" t="str">
        <v>-</v>
      </c>
      <c r="D22121" t="str">
        <v>-</v>
      </c>
      <c r="E22121" t="str">
        <v>-</v>
      </c>
      <c r="F22121" t="str">
        <v>-</v>
      </c>
      <c r="G22121" t="str">
        <v>-</v>
      </c>
    </row>
    <row r="22122">
      <c r="B22122" t="str">
        <v>Công an xã Tân Hội  tỉnh Đồng Tháp</v>
      </c>
      <c r="C22122" t="str">
        <v>-</v>
      </c>
      <c r="D22122" t="str">
        <v>-</v>
      </c>
      <c r="E22122" t="str">
        <v/>
      </c>
      <c r="F22122" t="str">
        <v>-</v>
      </c>
      <c r="G22122" t="str">
        <v>-</v>
      </c>
    </row>
    <row r="22123">
      <c r="B22123" t="str">
        <v>UBND Ủy ban nhân dân xã Tân Hội  tỉnh Đồng Tháp</v>
      </c>
      <c r="C22123" t="str">
        <v>-</v>
      </c>
      <c r="D22123" t="str">
        <v>-</v>
      </c>
      <c r="E22123" t="str">
        <v>-</v>
      </c>
      <c r="F22123" t="str">
        <v>-</v>
      </c>
      <c r="G22123" t="str">
        <v>-</v>
      </c>
    </row>
    <row r="22124">
      <c r="B22124" t="str">
        <v>Công an phường An Lạc  tỉnh Đồng Tháp</v>
      </c>
      <c r="C22124" t="str">
        <v>-</v>
      </c>
      <c r="D22124" t="str">
        <v>-</v>
      </c>
      <c r="E22124" t="str">
        <v/>
      </c>
      <c r="F22124" t="str">
        <v>-</v>
      </c>
      <c r="G22124" t="str">
        <v>-</v>
      </c>
    </row>
    <row r="22125">
      <c r="B22125" t="str">
        <v>UBND Ủy ban nhân dân phường An Lạc  tỉnh Đồng Tháp</v>
      </c>
      <c r="C22125" t="str">
        <v>-</v>
      </c>
      <c r="D22125" t="str">
        <v>-</v>
      </c>
      <c r="E22125" t="str">
        <v>-</v>
      </c>
      <c r="F22125" t="str">
        <v>-</v>
      </c>
      <c r="G22125" t="str">
        <v>-</v>
      </c>
    </row>
    <row r="22126">
      <c r="B22126" t="str">
        <v>Công an xã An Bình B  tỉnh Đồng Tháp</v>
      </c>
      <c r="C22126" t="str">
        <v>-</v>
      </c>
      <c r="D22126" t="str">
        <v>-</v>
      </c>
      <c r="E22126" t="str">
        <v/>
      </c>
      <c r="F22126" t="str">
        <v>-</v>
      </c>
      <c r="G22126" t="str">
        <v>-</v>
      </c>
    </row>
    <row r="22127">
      <c r="B22127" t="str">
        <v>UBND Ủy ban nhân dân xã An Bình B  tỉnh Đồng Tháp</v>
      </c>
      <c r="C22127" t="str">
        <v>-</v>
      </c>
      <c r="D22127" t="str">
        <v>-</v>
      </c>
      <c r="E22127" t="str">
        <v>-</v>
      </c>
      <c r="F22127" t="str">
        <v>-</v>
      </c>
      <c r="G22127" t="str">
        <v>-</v>
      </c>
    </row>
    <row r="22128">
      <c r="B22128" t="str">
        <v>Công an xã An Bình A  tỉnh Đồng Tháp</v>
      </c>
      <c r="C22128" t="str">
        <v>-</v>
      </c>
      <c r="D22128" t="str">
        <v>-</v>
      </c>
      <c r="E22128" t="str">
        <v/>
      </c>
      <c r="F22128" t="str">
        <v>-</v>
      </c>
      <c r="G22128" t="str">
        <v>-</v>
      </c>
    </row>
    <row r="22129">
      <c r="B22129" t="str">
        <v>UBND Ủy ban nhân dân xã An Bình A  tỉnh Đồng Tháp</v>
      </c>
      <c r="C22129" t="str">
        <v>-</v>
      </c>
      <c r="D22129" t="str">
        <v>-</v>
      </c>
      <c r="E22129" t="str">
        <v>-</v>
      </c>
      <c r="F22129" t="str">
        <v>-</v>
      </c>
      <c r="G22129" t="str">
        <v>-</v>
      </c>
    </row>
    <row r="22130">
      <c r="B22130" t="str">
        <v>Công an xã Tân Hộ Cơ  tỉnh Đồng Tháp</v>
      </c>
      <c r="C22130" t="str">
        <v>-</v>
      </c>
      <c r="D22130" t="str">
        <v>-</v>
      </c>
      <c r="E22130" t="str">
        <v/>
      </c>
      <c r="F22130" t="str">
        <v>-</v>
      </c>
      <c r="G22130" t="str">
        <v>-</v>
      </c>
    </row>
    <row r="22131">
      <c r="B22131" t="str">
        <v>UBND Ủy ban nhân dân xã Tân Hộ Cơ  tỉnh Đồng Tháp</v>
      </c>
      <c r="C22131" t="str">
        <v>-</v>
      </c>
      <c r="D22131" t="str">
        <v>-</v>
      </c>
      <c r="E22131" t="str">
        <v>-</v>
      </c>
      <c r="F22131" t="str">
        <v>-</v>
      </c>
      <c r="G22131" t="str">
        <v>-</v>
      </c>
    </row>
    <row r="22132">
      <c r="B22132" t="str">
        <v>Công an xã Thông Bình  tỉnh Đồng Tháp</v>
      </c>
      <c r="C22132" t="str">
        <v>-</v>
      </c>
      <c r="D22132" t="str">
        <v>-</v>
      </c>
      <c r="E22132" t="str">
        <v/>
      </c>
      <c r="F22132" t="str">
        <v>-</v>
      </c>
      <c r="G22132" t="str">
        <v>-</v>
      </c>
    </row>
    <row r="22133">
      <c r="B22133" t="str">
        <v>UBND Ủy ban nhân dân xã Thông Bình  tỉnh Đồng Tháp</v>
      </c>
      <c r="C22133" t="str">
        <v>-</v>
      </c>
      <c r="D22133" t="str">
        <v>-</v>
      </c>
      <c r="E22133" t="str">
        <v>-</v>
      </c>
      <c r="F22133" t="str">
        <v>-</v>
      </c>
      <c r="G22133" t="str">
        <v>-</v>
      </c>
    </row>
    <row r="22134">
      <c r="B22134" t="str">
        <v>Công an xã Bình Phú  tỉnh Đồng Tháp</v>
      </c>
      <c r="C22134" t="str">
        <v>-</v>
      </c>
      <c r="D22134" t="str">
        <v>-</v>
      </c>
      <c r="E22134" t="str">
        <v/>
      </c>
      <c r="F22134" t="str">
        <v>-</v>
      </c>
      <c r="G22134" t="str">
        <v>-</v>
      </c>
    </row>
    <row r="22135">
      <c r="B22135" t="str">
        <v>UBND Ủy ban nhân dân xã Bình Phú  tỉnh Đồng Tháp</v>
      </c>
      <c r="C22135" t="str">
        <v>-</v>
      </c>
      <c r="D22135" t="str">
        <v>-</v>
      </c>
      <c r="E22135" t="str">
        <v>-</v>
      </c>
      <c r="F22135" t="str">
        <v>-</v>
      </c>
      <c r="G22135" t="str">
        <v>-</v>
      </c>
    </row>
    <row r="22136">
      <c r="B22136" t="str">
        <v>Công an xã Tân Thành A  tỉnh Đồng Tháp</v>
      </c>
      <c r="C22136" t="str">
        <v>-</v>
      </c>
      <c r="D22136" t="str">
        <v>-</v>
      </c>
      <c r="E22136" t="str">
        <v/>
      </c>
      <c r="F22136" t="str">
        <v>-</v>
      </c>
      <c r="G22136" t="str">
        <v>-</v>
      </c>
    </row>
    <row r="22137">
      <c r="B22137" t="str">
        <v>UBND Ủy ban nhân dân xã Tân Thành A  tỉnh Đồng Tháp</v>
      </c>
      <c r="C22137" t="str">
        <v>-</v>
      </c>
      <c r="D22137" t="str">
        <v>-</v>
      </c>
      <c r="E22137" t="str">
        <v>-</v>
      </c>
      <c r="F22137" t="str">
        <v>-</v>
      </c>
      <c r="G22137" t="str">
        <v>-</v>
      </c>
    </row>
    <row r="22138">
      <c r="B22138" t="str">
        <v>Công an xã Tân Thành B  tỉnh Đồng Tháp</v>
      </c>
      <c r="C22138" t="str">
        <v>-</v>
      </c>
      <c r="D22138" t="str">
        <v>-</v>
      </c>
      <c r="E22138" t="str">
        <v/>
      </c>
      <c r="F22138" t="str">
        <v>-</v>
      </c>
      <c r="G22138" t="str">
        <v>-</v>
      </c>
    </row>
    <row r="22139">
      <c r="B22139" t="str">
        <v>UBND Ủy ban nhân dân xã Tân Thành B  tỉnh Đồng Tháp</v>
      </c>
      <c r="C22139" t="str">
        <v>-</v>
      </c>
      <c r="D22139" t="str">
        <v>-</v>
      </c>
      <c r="E22139" t="str">
        <v>-</v>
      </c>
      <c r="F22139" t="str">
        <v>-</v>
      </c>
      <c r="G22139" t="str">
        <v>-</v>
      </c>
    </row>
    <row r="22140">
      <c r="B22140" t="str">
        <v>Công an xã Tân Phước  tỉnh Đồng Tháp</v>
      </c>
      <c r="C22140" t="str">
        <v>-</v>
      </c>
      <c r="D22140" t="str">
        <v>-</v>
      </c>
      <c r="E22140" t="str">
        <v/>
      </c>
      <c r="F22140" t="str">
        <v>-</v>
      </c>
      <c r="G22140" t="str">
        <v>-</v>
      </c>
    </row>
    <row r="22141">
      <c r="B22141" t="str">
        <v>UBND Ủy ban nhân dân xã Tân Phước  tỉnh Đồng Tháp</v>
      </c>
      <c r="C22141" t="str">
        <v>-</v>
      </c>
      <c r="D22141" t="str">
        <v>-</v>
      </c>
      <c r="E22141" t="str">
        <v>-</v>
      </c>
      <c r="F22141" t="str">
        <v>-</v>
      </c>
      <c r="G22141" t="str">
        <v>-</v>
      </c>
    </row>
    <row r="22142">
      <c r="B22142" t="str">
        <v>Công an xã Tân Công Chí  tỉnh Đồng Tháp</v>
      </c>
      <c r="C22142" t="str">
        <v>-</v>
      </c>
      <c r="D22142" t="str">
        <v>-</v>
      </c>
      <c r="E22142" t="str">
        <v/>
      </c>
      <c r="F22142" t="str">
        <v>-</v>
      </c>
      <c r="G22142" t="str">
        <v>-</v>
      </c>
    </row>
    <row r="22143">
      <c r="B22143" t="str">
        <v>UBND Ủy ban nhân dân xã Tân Công Chí  tỉnh Đồng Tháp</v>
      </c>
      <c r="C22143" t="str">
        <v>-</v>
      </c>
      <c r="D22143" t="str">
        <v>-</v>
      </c>
      <c r="E22143" t="str">
        <v>-</v>
      </c>
      <c r="F22143" t="str">
        <v>-</v>
      </c>
      <c r="G22143" t="str">
        <v>-</v>
      </c>
    </row>
    <row r="22144">
      <c r="B22144" t="str">
        <v>Công an xã An Phước  tỉnh Đồng Tháp</v>
      </c>
      <c r="C22144" t="str">
        <v>-</v>
      </c>
      <c r="D22144" t="str">
        <v>-</v>
      </c>
      <c r="E22144" t="str">
        <v/>
      </c>
      <c r="F22144" t="str">
        <v>-</v>
      </c>
      <c r="G22144" t="str">
        <v>-</v>
      </c>
    </row>
    <row r="22145">
      <c r="B22145" t="str">
        <v>UBND Ủy ban nhân dân xã An Phước  tỉnh Đồng Tháp</v>
      </c>
      <c r="C22145" t="str">
        <v>-</v>
      </c>
      <c r="D22145" t="str">
        <v>-</v>
      </c>
      <c r="E22145" t="str">
        <v>-</v>
      </c>
      <c r="F22145" t="str">
        <v>-</v>
      </c>
      <c r="G22145" t="str">
        <v>-</v>
      </c>
    </row>
    <row r="22146">
      <c r="B22146" t="str">
        <v>Công an xã Thường Phước 1  tỉnh Đồng Tháp</v>
      </c>
      <c r="C22146" t="str">
        <v>-</v>
      </c>
      <c r="D22146" t="str">
        <v>-</v>
      </c>
      <c r="E22146" t="str">
        <v/>
      </c>
      <c r="F22146" t="str">
        <v>-</v>
      </c>
      <c r="G22146" t="str">
        <v>-</v>
      </c>
    </row>
    <row r="22147">
      <c r="B22147" t="str">
        <v>UBND Ủy ban nhân dân xã Thường Phước 1  tỉnh Đồng Tháp</v>
      </c>
      <c r="C22147" t="str">
        <v>-</v>
      </c>
      <c r="D22147" t="str">
        <v>-</v>
      </c>
      <c r="E22147" t="str">
        <v>-</v>
      </c>
      <c r="F22147" t="str">
        <v>-</v>
      </c>
      <c r="G22147" t="str">
        <v>-</v>
      </c>
    </row>
    <row r="22148">
      <c r="B22148" t="str">
        <v>Công an xã Thường Thới Hậu A  tỉnh Đồng Tháp</v>
      </c>
      <c r="C22148" t="str">
        <v>-</v>
      </c>
      <c r="D22148" t="str">
        <v>-</v>
      </c>
      <c r="E22148" t="str">
        <v/>
      </c>
      <c r="F22148" t="str">
        <v>-</v>
      </c>
      <c r="G22148" t="str">
        <v>-</v>
      </c>
    </row>
    <row r="22149">
      <c r="B22149" t="str">
        <v>UBND Ủy ban nhân dân xã Thường Thới Hậu A  tỉnh Đồng Tháp</v>
      </c>
      <c r="C22149" t="str">
        <v>-</v>
      </c>
      <c r="D22149" t="str">
        <v>-</v>
      </c>
      <c r="E22149" t="str">
        <v>-</v>
      </c>
      <c r="F22149" t="str">
        <v>-</v>
      </c>
      <c r="G22149" t="str">
        <v>-</v>
      </c>
    </row>
    <row r="22150">
      <c r="B22150" t="str">
        <v>Công an xã Thường Thới Hậu B  tỉnh Đồng Tháp</v>
      </c>
      <c r="C22150" t="str">
        <v>-</v>
      </c>
      <c r="D22150" t="str">
        <v>-</v>
      </c>
      <c r="E22150" t="str">
        <v/>
      </c>
      <c r="F22150" t="str">
        <v>-</v>
      </c>
      <c r="G22150" t="str">
        <v>-</v>
      </c>
    </row>
    <row r="22151">
      <c r="B22151" t="str">
        <v>UBND Ủy ban nhân dân xã Thường Thới Hậu B  tỉnh Đồng Tháp</v>
      </c>
      <c r="C22151" t="str">
        <v>-</v>
      </c>
      <c r="D22151" t="str">
        <v>-</v>
      </c>
      <c r="E22151" t="str">
        <v>-</v>
      </c>
      <c r="F22151" t="str">
        <v>-</v>
      </c>
      <c r="G22151" t="str">
        <v>-</v>
      </c>
    </row>
    <row r="22152">
      <c r="B22152" t="str">
        <v>Công an xã Thường Thới Tiền  tỉnh Đồng Tháp</v>
      </c>
      <c r="C22152" t="str">
        <v>-</v>
      </c>
      <c r="D22152" t="str">
        <v>-</v>
      </c>
      <c r="E22152" t="str">
        <v/>
      </c>
      <c r="F22152" t="str">
        <v>-</v>
      </c>
      <c r="G22152" t="str">
        <v>-</v>
      </c>
    </row>
    <row r="22153">
      <c r="B22153" t="str">
        <v>UBND Ủy ban nhân dân xã Thường Thới Tiền  tỉnh Đồng Tháp</v>
      </c>
      <c r="C22153" t="str">
        <v>-</v>
      </c>
      <c r="D22153" t="str">
        <v>-</v>
      </c>
      <c r="E22153" t="str">
        <v>-</v>
      </c>
      <c r="F22153" t="str">
        <v>-</v>
      </c>
      <c r="G22153" t="str">
        <v>-</v>
      </c>
    </row>
    <row r="22154">
      <c r="B22154" t="str">
        <v>Công an xã Thường Phước 2  tỉnh Đồng Tháp</v>
      </c>
      <c r="C22154" t="str">
        <v>-</v>
      </c>
      <c r="D22154" t="str">
        <v>-</v>
      </c>
      <c r="E22154" t="str">
        <v/>
      </c>
      <c r="F22154" t="str">
        <v>-</v>
      </c>
      <c r="G22154" t="str">
        <v>-</v>
      </c>
    </row>
    <row r="22155">
      <c r="B22155" t="str">
        <v>UBND Ủy ban nhân dân xã Thường Phước 2  tỉnh Đồng Tháp</v>
      </c>
      <c r="C22155" t="str">
        <v>-</v>
      </c>
      <c r="D22155" t="str">
        <v>-</v>
      </c>
      <c r="E22155" t="str">
        <v>-</v>
      </c>
      <c r="F22155" t="str">
        <v>-</v>
      </c>
      <c r="G22155" t="str">
        <v>-</v>
      </c>
    </row>
    <row r="22156">
      <c r="B22156" t="str">
        <v>Công an xã Thường Lạc  tỉnh Đồng Tháp</v>
      </c>
      <c r="C22156" t="str">
        <v>-</v>
      </c>
      <c r="D22156" t="str">
        <v>-</v>
      </c>
      <c r="E22156" t="str">
        <v/>
      </c>
      <c r="F22156" t="str">
        <v>-</v>
      </c>
      <c r="G22156" t="str">
        <v>-</v>
      </c>
    </row>
    <row r="22157">
      <c r="B22157" t="str">
        <v>UBND Ủy ban nhân dân xã Thường Lạc  tỉnh Đồng Tháp</v>
      </c>
      <c r="C22157" t="str">
        <v>-</v>
      </c>
      <c r="D22157" t="str">
        <v>-</v>
      </c>
      <c r="E22157" t="str">
        <v>-</v>
      </c>
      <c r="F22157" t="str">
        <v>-</v>
      </c>
      <c r="G22157" t="str">
        <v>-</v>
      </c>
    </row>
    <row r="22158">
      <c r="B22158" t="str">
        <v>Công an xã Long Khánh A  tỉnh Đồng Tháp</v>
      </c>
      <c r="C22158" t="str">
        <v>-</v>
      </c>
      <c r="D22158" t="str">
        <v>-</v>
      </c>
      <c r="E22158" t="str">
        <v/>
      </c>
      <c r="F22158" t="str">
        <v>-</v>
      </c>
      <c r="G22158" t="str">
        <v>-</v>
      </c>
    </row>
    <row r="22159">
      <c r="B22159" t="str">
        <v>UBND Ủy ban nhân dân xã Long Khánh A  tỉnh Đồng Tháp</v>
      </c>
      <c r="C22159" t="str">
        <v>-</v>
      </c>
      <c r="D22159" t="str">
        <v>-</v>
      </c>
      <c r="E22159" t="str">
        <v>-</v>
      </c>
      <c r="F22159" t="str">
        <v>-</v>
      </c>
      <c r="G22159" t="str">
        <v>-</v>
      </c>
    </row>
    <row r="22160">
      <c r="B22160" t="str">
        <v>Công an xã Long Khánh B  tỉnh Đồng Tháp</v>
      </c>
      <c r="C22160" t="str">
        <v>-</v>
      </c>
      <c r="D22160" t="str">
        <v>-</v>
      </c>
      <c r="E22160" t="str">
        <v/>
      </c>
      <c r="F22160" t="str">
        <v>-</v>
      </c>
      <c r="G22160" t="str">
        <v>-</v>
      </c>
    </row>
    <row r="22161">
      <c r="B22161" t="str">
        <v>UBND Ủy ban nhân dân xã Long Khánh B  tỉnh Đồng Tháp</v>
      </c>
      <c r="C22161" t="str">
        <v>-</v>
      </c>
      <c r="D22161" t="str">
        <v>-</v>
      </c>
      <c r="E22161" t="str">
        <v>-</v>
      </c>
      <c r="F22161" t="str">
        <v>-</v>
      </c>
      <c r="G22161" t="str">
        <v>-</v>
      </c>
    </row>
    <row r="22162">
      <c r="B22162" t="str">
        <v>Công an xã Long Thuận  tỉnh Đồng Tháp</v>
      </c>
      <c r="C22162" t="str">
        <v>-</v>
      </c>
      <c r="D22162" t="str">
        <v>-</v>
      </c>
      <c r="E22162" t="str">
        <v/>
      </c>
      <c r="F22162" t="str">
        <v>-</v>
      </c>
      <c r="G22162" t="str">
        <v>-</v>
      </c>
    </row>
    <row r="22163">
      <c r="B22163" t="str">
        <v>UBND Ủy ban nhân dân xã Long Thuận  tỉnh Đồng Tháp</v>
      </c>
      <c r="C22163" t="str">
        <v>-</v>
      </c>
      <c r="D22163" t="str">
        <v>-</v>
      </c>
      <c r="E22163" t="str">
        <v>-</v>
      </c>
      <c r="F22163" t="str">
        <v>-</v>
      </c>
      <c r="G22163" t="str">
        <v>-</v>
      </c>
    </row>
    <row r="22164">
      <c r="B22164" t="str">
        <v>Công an xã Phú Thuận B  tỉnh Đồng Tháp</v>
      </c>
      <c r="C22164" t="str">
        <v>-</v>
      </c>
      <c r="D22164" t="str">
        <v>-</v>
      </c>
      <c r="E22164" t="str">
        <v/>
      </c>
      <c r="F22164" t="str">
        <v>-</v>
      </c>
      <c r="G22164" t="str">
        <v>-</v>
      </c>
    </row>
    <row r="22165">
      <c r="B22165" t="str">
        <v>UBND Ủy ban nhân dân xã Phú Thuận B  tỉnh Đồng Tháp</v>
      </c>
      <c r="C22165" t="str">
        <v>-</v>
      </c>
      <c r="D22165" t="str">
        <v>-</v>
      </c>
      <c r="E22165" t="str">
        <v>-</v>
      </c>
      <c r="F22165" t="str">
        <v>-</v>
      </c>
      <c r="G22165" t="str">
        <v>-</v>
      </c>
    </row>
    <row r="22166">
      <c r="B22166" t="str">
        <v>Công an xã Phú Thuận A  tỉnh Đồng Tháp</v>
      </c>
      <c r="C22166" t="str">
        <v>-</v>
      </c>
      <c r="D22166" t="str">
        <v>-</v>
      </c>
      <c r="E22166" t="str">
        <v/>
      </c>
      <c r="F22166" t="str">
        <v>-</v>
      </c>
      <c r="G22166" t="str">
        <v>-</v>
      </c>
    </row>
    <row r="22167">
      <c r="B22167" t="str">
        <v>UBND Ủy ban nhân dân xã Phú Thuận A  tỉnh Đồng Tháp</v>
      </c>
      <c r="C22167" t="str">
        <v>-</v>
      </c>
      <c r="D22167" t="str">
        <v>-</v>
      </c>
      <c r="E22167" t="str">
        <v>-</v>
      </c>
      <c r="F22167" t="str">
        <v>-</v>
      </c>
      <c r="G22167" t="str">
        <v>-</v>
      </c>
    </row>
    <row r="22168">
      <c r="B22168" t="str">
        <v>Công an xã Hoà Bình  tỉnh Đồng Tháp</v>
      </c>
      <c r="C22168" t="str">
        <v>-</v>
      </c>
      <c r="D22168" t="str">
        <v>-</v>
      </c>
      <c r="E22168" t="str">
        <v/>
      </c>
      <c r="F22168" t="str">
        <v>-</v>
      </c>
      <c r="G22168" t="str">
        <v>-</v>
      </c>
    </row>
    <row r="22169">
      <c r="B22169" t="str">
        <v>UBND Ủy ban nhân dân xã Hoà Bình  tỉnh Đồng Tháp</v>
      </c>
      <c r="C22169" t="str">
        <v>-</v>
      </c>
      <c r="D22169" t="str">
        <v>-</v>
      </c>
      <c r="E22169" t="str">
        <v>-</v>
      </c>
      <c r="F22169" t="str">
        <v>-</v>
      </c>
      <c r="G22169" t="str">
        <v>-</v>
      </c>
    </row>
    <row r="22170">
      <c r="B22170" t="str">
        <v>Công an xã Tân Công Sính  tỉnh Đồng Tháp</v>
      </c>
      <c r="C22170" t="str">
        <v>-</v>
      </c>
      <c r="D22170" t="str">
        <v>-</v>
      </c>
      <c r="E22170" t="str">
        <v/>
      </c>
      <c r="F22170" t="str">
        <v>-</v>
      </c>
      <c r="G22170" t="str">
        <v>-</v>
      </c>
    </row>
    <row r="22171">
      <c r="B22171" t="str">
        <v>UBND Ủy ban nhân dân xã Tân Công Sính  tỉnh Đồng Tháp</v>
      </c>
      <c r="C22171" t="str">
        <v>-</v>
      </c>
      <c r="D22171" t="str">
        <v>-</v>
      </c>
      <c r="E22171" t="str">
        <v>-</v>
      </c>
      <c r="F22171" t="str">
        <v>-</v>
      </c>
      <c r="G22171" t="str">
        <v>-</v>
      </c>
    </row>
    <row r="22172">
      <c r="B22172" t="str">
        <v>Công an xã Phú Hiệp  tỉnh Đồng Tháp</v>
      </c>
      <c r="C22172" t="str">
        <v>-</v>
      </c>
      <c r="D22172" t="str">
        <v>-</v>
      </c>
      <c r="E22172" t="str">
        <v/>
      </c>
      <c r="F22172" t="str">
        <v>-</v>
      </c>
      <c r="G22172" t="str">
        <v>-</v>
      </c>
    </row>
    <row r="22173">
      <c r="B22173" t="str">
        <v>UBND Ủy ban nhân dân xã Phú Hiệp  tỉnh Đồng Tháp</v>
      </c>
      <c r="C22173" t="str">
        <v>-</v>
      </c>
      <c r="D22173" t="str">
        <v>-</v>
      </c>
      <c r="E22173" t="str">
        <v>-</v>
      </c>
      <c r="F22173" t="str">
        <v>-</v>
      </c>
      <c r="G22173" t="str">
        <v>-</v>
      </c>
    </row>
    <row r="22174">
      <c r="B22174" t="str">
        <v>Công an xã Phú Đức  tỉnh Đồng Tháp</v>
      </c>
      <c r="C22174" t="str">
        <v>-</v>
      </c>
      <c r="D22174" t="str">
        <v>-</v>
      </c>
      <c r="E22174" t="str">
        <v/>
      </c>
      <c r="F22174" t="str">
        <v>-</v>
      </c>
      <c r="G22174" t="str">
        <v>-</v>
      </c>
    </row>
    <row r="22175">
      <c r="B22175" t="str">
        <v>UBND Ủy ban nhân dân xã Phú Đức  tỉnh Đồng Tháp</v>
      </c>
      <c r="C22175" t="str">
        <v>-</v>
      </c>
      <c r="D22175" t="str">
        <v>-</v>
      </c>
      <c r="E22175" t="str">
        <v>-</v>
      </c>
      <c r="F22175" t="str">
        <v>-</v>
      </c>
      <c r="G22175" t="str">
        <v>-</v>
      </c>
    </row>
    <row r="22176">
      <c r="B22176" t="str">
        <v>Công an xã Phú Thành B  tỉnh Đồng Tháp</v>
      </c>
      <c r="C22176" t="str">
        <v>-</v>
      </c>
      <c r="D22176" t="str">
        <v>-</v>
      </c>
      <c r="E22176" t="str">
        <v/>
      </c>
      <c r="F22176" t="str">
        <v>-</v>
      </c>
      <c r="G22176" t="str">
        <v>-</v>
      </c>
    </row>
    <row r="22177">
      <c r="B22177" t="str">
        <v>UBND Ủy ban nhân dân xã Phú Thành B  tỉnh Đồng Tháp</v>
      </c>
      <c r="C22177" t="str">
        <v>-</v>
      </c>
      <c r="D22177" t="str">
        <v>-</v>
      </c>
      <c r="E22177" t="str">
        <v>-</v>
      </c>
      <c r="F22177" t="str">
        <v>-</v>
      </c>
      <c r="G22177" t="str">
        <v>-</v>
      </c>
    </row>
    <row r="22178">
      <c r="B22178" t="str">
        <v>Công an xã An Hòa  tỉnh Đồng Tháp</v>
      </c>
      <c r="C22178" t="str">
        <v>-</v>
      </c>
      <c r="D22178" t="str">
        <v>-</v>
      </c>
      <c r="E22178" t="str">
        <v/>
      </c>
      <c r="F22178" t="str">
        <v>-</v>
      </c>
      <c r="G22178" t="str">
        <v>-</v>
      </c>
    </row>
    <row r="22179">
      <c r="B22179" t="str">
        <v>UBND Ủy ban nhân dân xã An Hòa  tỉnh Đồng Tháp</v>
      </c>
      <c r="C22179" t="str">
        <v>-</v>
      </c>
      <c r="D22179" t="str">
        <v>-</v>
      </c>
      <c r="E22179" t="str">
        <v>-</v>
      </c>
      <c r="F22179" t="str">
        <v>-</v>
      </c>
      <c r="G22179" t="str">
        <v>-</v>
      </c>
    </row>
    <row r="22180">
      <c r="B22180" t="str">
        <v>Công an xã An Long  tỉnh Đồng Tháp</v>
      </c>
      <c r="C22180" t="str">
        <v>-</v>
      </c>
      <c r="D22180" t="str">
        <v>-</v>
      </c>
      <c r="E22180" t="str">
        <v/>
      </c>
      <c r="F22180" t="str">
        <v>-</v>
      </c>
      <c r="G22180" t="str">
        <v>-</v>
      </c>
    </row>
    <row r="22181">
      <c r="B22181" t="str">
        <v>UBND Ủy ban nhân dân xã An Long  tỉnh Đồng Tháp</v>
      </c>
      <c r="C22181" t="str">
        <v>-</v>
      </c>
      <c r="D22181" t="str">
        <v>-</v>
      </c>
      <c r="E22181" t="str">
        <v>-</v>
      </c>
      <c r="F22181" t="str">
        <v>-</v>
      </c>
      <c r="G22181" t="str">
        <v>-</v>
      </c>
    </row>
    <row r="22182">
      <c r="B22182" t="str">
        <v>Công an xã Phú Cường  tỉnh Đồng Tháp</v>
      </c>
      <c r="C22182" t="str">
        <v>-</v>
      </c>
      <c r="D22182" t="str">
        <v>-</v>
      </c>
      <c r="E22182" t="str">
        <v/>
      </c>
      <c r="F22182" t="str">
        <v>-</v>
      </c>
      <c r="G22182" t="str">
        <v>-</v>
      </c>
    </row>
    <row r="22183">
      <c r="B22183" t="str">
        <v>UBND Ủy ban nhân dân xã Phú Cường  tỉnh Đồng Tháp</v>
      </c>
      <c r="C22183" t="str">
        <v>-</v>
      </c>
      <c r="D22183" t="str">
        <v>-</v>
      </c>
      <c r="E22183" t="str">
        <v>-</v>
      </c>
      <c r="F22183" t="str">
        <v>-</v>
      </c>
      <c r="G22183" t="str">
        <v>-</v>
      </c>
    </row>
    <row r="22184">
      <c r="B22184" t="str">
        <v>Công an xã Phú Ninh  tỉnh Đồng Tháp</v>
      </c>
      <c r="C22184" t="str">
        <v>-</v>
      </c>
      <c r="D22184" t="str">
        <v>-</v>
      </c>
      <c r="E22184" t="str">
        <v/>
      </c>
      <c r="F22184" t="str">
        <v>-</v>
      </c>
      <c r="G22184" t="str">
        <v>-</v>
      </c>
    </row>
    <row r="22185">
      <c r="B22185" t="str">
        <v>UBND Ủy ban nhân dân xã Phú Ninh  tỉnh Đồng Tháp</v>
      </c>
      <c r="C22185" t="str">
        <v>-</v>
      </c>
      <c r="D22185" t="str">
        <v>-</v>
      </c>
      <c r="E22185" t="str">
        <v>-</v>
      </c>
      <c r="F22185" t="str">
        <v>-</v>
      </c>
      <c r="G22185" t="str">
        <v>-</v>
      </c>
    </row>
    <row r="22186">
      <c r="B22186" t="str">
        <v>Công an xã Phú Thọ  tỉnh Đồng Tháp</v>
      </c>
      <c r="C22186" t="str">
        <v>-</v>
      </c>
      <c r="D22186" t="str">
        <v>-</v>
      </c>
      <c r="E22186" t="str">
        <v/>
      </c>
      <c r="F22186" t="str">
        <v>-</v>
      </c>
      <c r="G22186" t="str">
        <v>-</v>
      </c>
    </row>
    <row r="22187">
      <c r="B22187" t="str">
        <v>UBND Ủy ban nhân dân xã Phú Thọ  tỉnh Đồng Tháp</v>
      </c>
      <c r="C22187" t="str">
        <v>-</v>
      </c>
      <c r="D22187" t="str">
        <v>-</v>
      </c>
      <c r="E22187" t="str">
        <v>-</v>
      </c>
      <c r="F22187" t="str">
        <v>-</v>
      </c>
      <c r="G22187" t="str">
        <v>-</v>
      </c>
    </row>
    <row r="22188">
      <c r="B22188" t="str">
        <v>Công an xã Phú Thành A  tỉnh Đồng Tháp</v>
      </c>
      <c r="C22188" t="str">
        <v>-</v>
      </c>
      <c r="D22188" t="str">
        <v>-</v>
      </c>
      <c r="E22188" t="str">
        <v/>
      </c>
      <c r="F22188" t="str">
        <v>-</v>
      </c>
      <c r="G22188" t="str">
        <v>-</v>
      </c>
    </row>
    <row r="22189">
      <c r="B22189" t="str">
        <v>UBND Ủy ban nhân dân xã Phú Thành A  tỉnh Đồng Tháp</v>
      </c>
      <c r="C22189" t="str">
        <v>-</v>
      </c>
      <c r="D22189" t="str">
        <v>-</v>
      </c>
      <c r="E22189" t="str">
        <v>-</v>
      </c>
      <c r="F22189" t="str">
        <v>-</v>
      </c>
      <c r="G22189" t="str">
        <v>-</v>
      </c>
    </row>
    <row r="22190">
      <c r="B22190" t="str">
        <v>Công an xã Thạnh Lợi  tỉnh Đồng Tháp</v>
      </c>
      <c r="C22190" t="str">
        <v>-</v>
      </c>
      <c r="D22190" t="str">
        <v>-</v>
      </c>
      <c r="E22190" t="str">
        <v/>
      </c>
      <c r="F22190" t="str">
        <v>-</v>
      </c>
      <c r="G22190" t="str">
        <v>-</v>
      </c>
    </row>
    <row r="22191">
      <c r="B22191" t="str">
        <v>UBND Ủy ban nhân dân xã Thạnh Lợi  tỉnh Đồng Tháp</v>
      </c>
      <c r="C22191" t="str">
        <v>-</v>
      </c>
      <c r="D22191" t="str">
        <v>-</v>
      </c>
      <c r="E22191" t="str">
        <v>-</v>
      </c>
      <c r="F22191" t="str">
        <v>-</v>
      </c>
      <c r="G22191" t="str">
        <v>-</v>
      </c>
    </row>
    <row r="22192">
      <c r="B22192" t="str">
        <v>Công an xã Hưng Thạnh  tỉnh Đồng Tháp</v>
      </c>
      <c r="C22192" t="str">
        <v>-</v>
      </c>
      <c r="D22192" t="str">
        <v>-</v>
      </c>
      <c r="E22192" t="str">
        <v/>
      </c>
      <c r="F22192" t="str">
        <v>-</v>
      </c>
      <c r="G22192" t="str">
        <v>-</v>
      </c>
    </row>
    <row r="22193">
      <c r="B22193" t="str">
        <v>UBND Ủy ban nhân dân xã Hưng Thạnh  tỉnh Đồng Tháp</v>
      </c>
      <c r="C22193" t="str">
        <v>-</v>
      </c>
      <c r="D22193" t="str">
        <v>-</v>
      </c>
      <c r="E22193" t="str">
        <v>-</v>
      </c>
      <c r="F22193" t="str">
        <v>-</v>
      </c>
      <c r="G22193" t="str">
        <v>-</v>
      </c>
    </row>
    <row r="22194">
      <c r="B22194" t="str">
        <v>Công an xã Trường Xuân  tỉnh Đồng Tháp</v>
      </c>
      <c r="C22194" t="str">
        <v>-</v>
      </c>
      <c r="D22194" t="str">
        <v>-</v>
      </c>
      <c r="E22194" t="str">
        <v/>
      </c>
      <c r="F22194" t="str">
        <v>-</v>
      </c>
      <c r="G22194" t="str">
        <v>-</v>
      </c>
    </row>
    <row r="22195">
      <c r="B22195" t="str">
        <v>UBND Ủy ban nhân dân xã Trường Xuân  tỉnh Đồng Tháp</v>
      </c>
      <c r="C22195" t="str">
        <v>-</v>
      </c>
      <c r="D22195" t="str">
        <v>-</v>
      </c>
      <c r="E22195" t="str">
        <v>-</v>
      </c>
      <c r="F22195" t="str">
        <v>-</v>
      </c>
      <c r="G22195" t="str">
        <v>-</v>
      </c>
    </row>
    <row r="22196">
      <c r="B22196" t="str">
        <v>Công an xã Tân Kiều  tỉnh Đồng Tháp</v>
      </c>
      <c r="C22196" t="str">
        <v>-</v>
      </c>
      <c r="D22196" t="str">
        <v>-</v>
      </c>
      <c r="E22196" t="str">
        <v/>
      </c>
      <c r="F22196" t="str">
        <v>-</v>
      </c>
      <c r="G22196" t="str">
        <v>-</v>
      </c>
    </row>
    <row r="22197">
      <c r="B22197" t="str">
        <v>UBND Ủy ban nhân dân xã Tân Kiều  tỉnh Đồng Tháp</v>
      </c>
      <c r="C22197" t="str">
        <v>-</v>
      </c>
      <c r="D22197" t="str">
        <v>-</v>
      </c>
      <c r="E22197" t="str">
        <v>-</v>
      </c>
      <c r="F22197" t="str">
        <v>-</v>
      </c>
      <c r="G22197" t="str">
        <v>-</v>
      </c>
    </row>
    <row r="22198">
      <c r="B22198" t="str">
        <v>Công an xã Mỹ Hòa  tỉnh Đồng Tháp</v>
      </c>
      <c r="C22198" t="str">
        <v>-</v>
      </c>
      <c r="D22198" t="str">
        <v>-</v>
      </c>
      <c r="E22198" t="str">
        <v/>
      </c>
      <c r="F22198" t="str">
        <v>-</v>
      </c>
      <c r="G22198" t="str">
        <v>-</v>
      </c>
    </row>
    <row r="22199">
      <c r="B22199" t="str">
        <v>UBND Ủy ban nhân dân xã Mỹ Hòa  tỉnh Đồng Tháp</v>
      </c>
      <c r="C22199" t="str">
        <v>-</v>
      </c>
      <c r="D22199" t="str">
        <v>-</v>
      </c>
      <c r="E22199" t="str">
        <v>-</v>
      </c>
      <c r="F22199" t="str">
        <v>-</v>
      </c>
      <c r="G22199" t="str">
        <v>-</v>
      </c>
    </row>
    <row r="22200">
      <c r="B22200" t="str">
        <v>Công an xã Mỹ Quý  tỉnh Đồng Tháp</v>
      </c>
      <c r="C22200" t="str">
        <v>-</v>
      </c>
      <c r="D22200" t="str">
        <v>-</v>
      </c>
      <c r="E22200" t="str">
        <v/>
      </c>
      <c r="F22200" t="str">
        <v>-</v>
      </c>
      <c r="G22200" t="str">
        <v>-</v>
      </c>
    </row>
    <row r="22201">
      <c r="B22201" t="str">
        <v>UBND Ủy ban nhân dân xã Mỹ Quý  tỉnh Đồng Tháp</v>
      </c>
      <c r="C22201" t="str">
        <v>-</v>
      </c>
      <c r="D22201" t="str">
        <v>-</v>
      </c>
      <c r="E22201" t="str">
        <v>-</v>
      </c>
      <c r="F22201" t="str">
        <v>-</v>
      </c>
      <c r="G22201" t="str">
        <v>-</v>
      </c>
    </row>
    <row r="22202">
      <c r="B22202" t="str">
        <v>Công an xã Mỹ Đông  tỉnh Đồng Tháp</v>
      </c>
      <c r="C22202" t="str">
        <v>-</v>
      </c>
      <c r="D22202" t="str">
        <v>-</v>
      </c>
      <c r="E22202" t="str">
        <v/>
      </c>
      <c r="F22202" t="str">
        <v>-</v>
      </c>
      <c r="G22202" t="str">
        <v>-</v>
      </c>
    </row>
    <row r="22203">
      <c r="B22203" t="str">
        <v>UBND Ủy ban nhân dân xã Mỹ Đông  tỉnh Đồng Tháp</v>
      </c>
      <c r="C22203" t="str">
        <v>-</v>
      </c>
      <c r="D22203" t="str">
        <v>-</v>
      </c>
      <c r="E22203" t="str">
        <v>-</v>
      </c>
      <c r="F22203" t="str">
        <v>-</v>
      </c>
      <c r="G22203" t="str">
        <v>-</v>
      </c>
    </row>
    <row r="22204">
      <c r="B22204" t="str">
        <v>Công an xã Đốc Binh Kiều  tỉnh Đồng Tháp</v>
      </c>
      <c r="C22204" t="str">
        <v>-</v>
      </c>
      <c r="D22204" t="str">
        <v>-</v>
      </c>
      <c r="E22204" t="str">
        <v/>
      </c>
      <c r="F22204" t="str">
        <v>-</v>
      </c>
      <c r="G22204" t="str">
        <v>-</v>
      </c>
    </row>
    <row r="22205">
      <c r="B22205" t="str">
        <v>UBND Ủy ban nhân dân xã Đốc Binh Kiều  tỉnh Đồng Tháp</v>
      </c>
      <c r="C22205" t="str">
        <v>-</v>
      </c>
      <c r="D22205" t="str">
        <v>-</v>
      </c>
      <c r="E22205" t="str">
        <v>-</v>
      </c>
      <c r="F22205" t="str">
        <v>-</v>
      </c>
      <c r="G22205" t="str">
        <v>-</v>
      </c>
    </row>
    <row r="22206">
      <c r="B22206" t="str">
        <v>Công an xã Mỹ An  tỉnh Đồng Tháp</v>
      </c>
      <c r="C22206" t="str">
        <v>-</v>
      </c>
      <c r="D22206" t="str">
        <v>-</v>
      </c>
      <c r="E22206" t="str">
        <v/>
      </c>
      <c r="F22206" t="str">
        <v>-</v>
      </c>
      <c r="G22206" t="str">
        <v>-</v>
      </c>
    </row>
    <row r="22207">
      <c r="B22207" t="str">
        <v>UBND Ủy ban nhân dân xã Mỹ An  tỉnh Đồng Tháp</v>
      </c>
      <c r="C22207" t="str">
        <v>-</v>
      </c>
      <c r="D22207" t="str">
        <v>-</v>
      </c>
      <c r="E22207" t="str">
        <v>-</v>
      </c>
      <c r="F22207" t="str">
        <v>-</v>
      </c>
      <c r="G22207" t="str">
        <v>-</v>
      </c>
    </row>
    <row r="22208">
      <c r="B22208" t="str">
        <v>Công an xã Phú Điền  tỉnh Đồng Tháp</v>
      </c>
      <c r="C22208" t="str">
        <v>-</v>
      </c>
      <c r="D22208" t="str">
        <v>-</v>
      </c>
      <c r="E22208" t="str">
        <v/>
      </c>
      <c r="F22208" t="str">
        <v>-</v>
      </c>
      <c r="G22208" t="str">
        <v>-</v>
      </c>
    </row>
    <row r="22209">
      <c r="B22209" t="str">
        <v>UBND Ủy ban nhân dân xã Phú Điền  tỉnh Đồng Tháp</v>
      </c>
      <c r="C22209" t="str">
        <v>-</v>
      </c>
      <c r="D22209" t="str">
        <v>-</v>
      </c>
      <c r="E22209" t="str">
        <v>-</v>
      </c>
      <c r="F22209" t="str">
        <v>-</v>
      </c>
      <c r="G22209" t="str">
        <v>-</v>
      </c>
    </row>
    <row r="22210">
      <c r="B22210" t="str">
        <v>Công an xã Láng Biển  tỉnh Đồng Tháp</v>
      </c>
      <c r="C22210" t="str">
        <v>-</v>
      </c>
      <c r="D22210" t="str">
        <v>-</v>
      </c>
      <c r="E22210" t="str">
        <v/>
      </c>
      <c r="F22210" t="str">
        <v>-</v>
      </c>
      <c r="G22210" t="str">
        <v>-</v>
      </c>
    </row>
    <row r="22211">
      <c r="B22211" t="str">
        <v>UBND Ủy ban nhân dân xã Láng Biển  tỉnh Đồng Tháp</v>
      </c>
      <c r="C22211" t="str">
        <v>-</v>
      </c>
      <c r="D22211" t="str">
        <v>-</v>
      </c>
      <c r="E22211" t="str">
        <v>-</v>
      </c>
      <c r="F22211" t="str">
        <v>-</v>
      </c>
      <c r="G22211" t="str">
        <v>-</v>
      </c>
    </row>
    <row r="22212">
      <c r="B22212" t="str">
        <v>Công an xã Thanh Mỹ  tỉnh Đồng Tháp</v>
      </c>
      <c r="C22212" t="str">
        <v>-</v>
      </c>
      <c r="D22212" t="str">
        <v>-</v>
      </c>
      <c r="E22212" t="str">
        <v/>
      </c>
      <c r="F22212" t="str">
        <v>-</v>
      </c>
      <c r="G22212" t="str">
        <v>-</v>
      </c>
    </row>
    <row r="22213">
      <c r="B22213" t="str">
        <v>UBND Ủy ban nhân dân xã Thanh Mỹ  tỉnh Đồng Tháp</v>
      </c>
      <c r="C22213" t="str">
        <v>-</v>
      </c>
      <c r="D22213" t="str">
        <v>-</v>
      </c>
      <c r="E22213" t="str">
        <v>-</v>
      </c>
      <c r="F22213" t="str">
        <v>-</v>
      </c>
      <c r="G22213" t="str">
        <v>-</v>
      </c>
    </row>
    <row r="22214">
      <c r="B22214" t="str">
        <v>Công an xã Gáo Giồng  tỉnh Đồng Tháp</v>
      </c>
      <c r="C22214" t="str">
        <v>-</v>
      </c>
      <c r="D22214" t="str">
        <v>-</v>
      </c>
      <c r="E22214" t="str">
        <v/>
      </c>
      <c r="F22214" t="str">
        <v>-</v>
      </c>
      <c r="G22214" t="str">
        <v>-</v>
      </c>
    </row>
    <row r="22215">
      <c r="B22215" t="str">
        <v>UBND Ủy ban nhân dân xã Gáo Giồng  tỉnh Đồng Tháp</v>
      </c>
      <c r="C22215" t="str">
        <v>-</v>
      </c>
      <c r="D22215" t="str">
        <v>-</v>
      </c>
      <c r="E22215" t="str">
        <v>-</v>
      </c>
      <c r="F22215" t="str">
        <v>-</v>
      </c>
      <c r="G22215" t="str">
        <v>-</v>
      </c>
    </row>
    <row r="22216">
      <c r="B22216" t="str">
        <v>Công an xã Phương Thịnh  tỉnh Đồng Tháp</v>
      </c>
      <c r="C22216" t="str">
        <v>-</v>
      </c>
      <c r="D22216" t="str">
        <v>-</v>
      </c>
      <c r="E22216" t="str">
        <v/>
      </c>
      <c r="F22216" t="str">
        <v>-</v>
      </c>
      <c r="G22216" t="str">
        <v>-</v>
      </c>
    </row>
    <row r="22217">
      <c r="B22217" t="str">
        <v>UBND Ủy ban nhân dân xã Phương Thịnh  tỉnh Đồng Tháp</v>
      </c>
      <c r="C22217" t="str">
        <v>-</v>
      </c>
      <c r="D22217" t="str">
        <v>-</v>
      </c>
      <c r="E22217" t="str">
        <v>-</v>
      </c>
      <c r="F22217" t="str">
        <v>-</v>
      </c>
      <c r="G22217" t="str">
        <v>-</v>
      </c>
    </row>
    <row r="22218">
      <c r="B22218" t="str">
        <v>Công an xã Ba Sao  tỉnh Đồng Tháp</v>
      </c>
      <c r="C22218" t="str">
        <v>-</v>
      </c>
      <c r="D22218" t="str">
        <v>-</v>
      </c>
      <c r="E22218" t="str">
        <v/>
      </c>
      <c r="F22218" t="str">
        <v>-</v>
      </c>
      <c r="G22218" t="str">
        <v>-</v>
      </c>
    </row>
    <row r="22219">
      <c r="B22219" t="str">
        <v>UBND Ủy ban nhân dân xã Ba Sao  tỉnh Đồng Tháp</v>
      </c>
      <c r="C22219" t="str">
        <v>-</v>
      </c>
      <c r="D22219" t="str">
        <v>-</v>
      </c>
      <c r="E22219" t="str">
        <v>-</v>
      </c>
      <c r="F22219" t="str">
        <v>-</v>
      </c>
      <c r="G22219" t="str">
        <v>-</v>
      </c>
    </row>
    <row r="22220">
      <c r="B22220" t="str">
        <v>Công an xã Phong Mỹ  tỉnh Đồng Tháp</v>
      </c>
      <c r="C22220" t="str">
        <v>-</v>
      </c>
      <c r="D22220" t="str">
        <v>-</v>
      </c>
      <c r="E22220" t="str">
        <v/>
      </c>
      <c r="F22220" t="str">
        <v>-</v>
      </c>
      <c r="G22220" t="str">
        <v>-</v>
      </c>
    </row>
    <row r="22221">
      <c r="B22221" t="str">
        <v>UBND Ủy ban nhân dân xã Phong Mỹ  tỉnh Đồng Tháp</v>
      </c>
      <c r="C22221" t="str">
        <v>-</v>
      </c>
      <c r="D22221" t="str">
        <v>-</v>
      </c>
      <c r="E22221" t="str">
        <v>-</v>
      </c>
      <c r="F22221" t="str">
        <v>-</v>
      </c>
      <c r="G22221" t="str">
        <v>-</v>
      </c>
    </row>
    <row r="22222">
      <c r="B22222" t="str">
        <v>Công an xã Tân Nghĩa  tỉnh Đồng Tháp</v>
      </c>
      <c r="C22222" t="str">
        <v>-</v>
      </c>
      <c r="D22222" t="str">
        <v>-</v>
      </c>
      <c r="E22222" t="str">
        <v/>
      </c>
      <c r="F22222" t="str">
        <v>-</v>
      </c>
      <c r="G22222" t="str">
        <v>-</v>
      </c>
    </row>
    <row r="22223">
      <c r="B22223" t="str">
        <v>UBND Ủy ban nhân dân xã Tân Nghĩa  tỉnh Đồng Tháp</v>
      </c>
      <c r="C22223" t="str">
        <v>-</v>
      </c>
      <c r="D22223" t="str">
        <v>-</v>
      </c>
      <c r="E22223" t="str">
        <v>-</v>
      </c>
      <c r="F22223" t="str">
        <v>-</v>
      </c>
      <c r="G22223" t="str">
        <v>-</v>
      </c>
    </row>
    <row r="22224">
      <c r="B22224" t="str">
        <v>Công an xã Phương Trà  tỉnh Đồng Tháp</v>
      </c>
      <c r="C22224" t="str">
        <v>-</v>
      </c>
      <c r="D22224" t="str">
        <v>-</v>
      </c>
      <c r="E22224" t="str">
        <v/>
      </c>
      <c r="F22224" t="str">
        <v>-</v>
      </c>
      <c r="G22224" t="str">
        <v>-</v>
      </c>
    </row>
    <row r="22225">
      <c r="B22225" t="str">
        <v>UBND Ủy ban nhân dân xã Phương Trà  tỉnh Đồng Tháp</v>
      </c>
      <c r="C22225" t="str">
        <v>-</v>
      </c>
      <c r="D22225" t="str">
        <v>-</v>
      </c>
      <c r="E22225" t="str">
        <v>-</v>
      </c>
      <c r="F22225" t="str">
        <v>-</v>
      </c>
      <c r="G22225" t="str">
        <v>-</v>
      </c>
    </row>
    <row r="22226">
      <c r="B22226" t="str">
        <v>Công an xã Nhị Mỹ  tỉnh Đồng Tháp</v>
      </c>
      <c r="C22226" t="str">
        <v>-</v>
      </c>
      <c r="D22226" t="str">
        <v>-</v>
      </c>
      <c r="E22226" t="str">
        <v/>
      </c>
      <c r="F22226" t="str">
        <v>-</v>
      </c>
      <c r="G22226" t="str">
        <v>-</v>
      </c>
    </row>
    <row r="22227">
      <c r="B22227" t="str">
        <v>UBND Ủy ban nhân dân xã Nhị Mỹ  tỉnh Đồng Tháp</v>
      </c>
      <c r="C22227" t="str">
        <v>-</v>
      </c>
      <c r="D22227" t="str">
        <v>-</v>
      </c>
      <c r="E22227" t="str">
        <v>-</v>
      </c>
      <c r="F22227" t="str">
        <v>-</v>
      </c>
      <c r="G22227" t="str">
        <v>-</v>
      </c>
    </row>
    <row r="22228">
      <c r="B22228" t="str">
        <v>Công an xã Mỹ Thọ  tỉnh Đồng Tháp</v>
      </c>
      <c r="C22228" t="str">
        <v>-</v>
      </c>
      <c r="D22228" t="str">
        <v>-</v>
      </c>
      <c r="E22228" t="str">
        <v/>
      </c>
      <c r="F22228" t="str">
        <v>-</v>
      </c>
      <c r="G22228" t="str">
        <v>-</v>
      </c>
    </row>
    <row r="22229">
      <c r="B22229" t="str">
        <v>UBND Ủy ban nhân dân xã Mỹ Thọ  tỉnh Đồng Tháp</v>
      </c>
      <c r="C22229" t="str">
        <v>-</v>
      </c>
      <c r="D22229" t="str">
        <v>-</v>
      </c>
      <c r="E22229" t="str">
        <v>-</v>
      </c>
      <c r="F22229" t="str">
        <v>-</v>
      </c>
      <c r="G22229" t="str">
        <v>-</v>
      </c>
    </row>
    <row r="22230">
      <c r="B22230" t="str">
        <v>Công an xã Tân Hội Trung  tỉnh Đồng Tháp</v>
      </c>
      <c r="C22230" t="str">
        <v>-</v>
      </c>
      <c r="D22230" t="str">
        <v>-</v>
      </c>
      <c r="E22230" t="str">
        <v/>
      </c>
      <c r="F22230" t="str">
        <v>-</v>
      </c>
      <c r="G22230" t="str">
        <v>-</v>
      </c>
    </row>
    <row r="22231">
      <c r="B22231" t="str">
        <v>UBND Ủy ban nhân dân xã Tân Hội Trung  tỉnh Đồng Tháp</v>
      </c>
      <c r="C22231" t="str">
        <v>-</v>
      </c>
      <c r="D22231" t="str">
        <v>-</v>
      </c>
      <c r="E22231" t="str">
        <v>-</v>
      </c>
      <c r="F22231" t="str">
        <v>-</v>
      </c>
      <c r="G22231" t="str">
        <v>-</v>
      </c>
    </row>
    <row r="22232">
      <c r="B22232" t="str">
        <v>Công an xã An Bình  tỉnh Đồng Tháp</v>
      </c>
      <c r="C22232" t="str">
        <v>-</v>
      </c>
      <c r="D22232" t="str">
        <v>-</v>
      </c>
      <c r="E22232" t="str">
        <v/>
      </c>
      <c r="F22232" t="str">
        <v>-</v>
      </c>
      <c r="G22232" t="str">
        <v>-</v>
      </c>
    </row>
    <row r="22233">
      <c r="B22233" t="str">
        <v>UBND Ủy ban nhân dân xã An Bình  tỉnh Đồng Tháp</v>
      </c>
      <c r="C22233" t="str">
        <v>-</v>
      </c>
      <c r="D22233" t="str">
        <v>-</v>
      </c>
      <c r="E22233" t="str">
        <v>-</v>
      </c>
      <c r="F22233" t="str">
        <v>-</v>
      </c>
      <c r="G22233" t="str">
        <v>-</v>
      </c>
    </row>
    <row r="22234">
      <c r="B22234" t="str">
        <v>Công an xã Mỹ Hội  tỉnh Đồng Tháp</v>
      </c>
      <c r="C22234" t="str">
        <v>-</v>
      </c>
      <c r="D22234" t="str">
        <v>-</v>
      </c>
      <c r="E22234" t="str">
        <v/>
      </c>
      <c r="F22234" t="str">
        <v>-</v>
      </c>
      <c r="G22234" t="str">
        <v>-</v>
      </c>
    </row>
    <row r="22235">
      <c r="B22235" t="str">
        <v>UBND Ủy ban nhân dân xã Mỹ Hội  tỉnh Đồng Tháp</v>
      </c>
      <c r="C22235" t="str">
        <v>-</v>
      </c>
      <c r="D22235" t="str">
        <v>-</v>
      </c>
      <c r="E22235" t="str">
        <v>-</v>
      </c>
      <c r="F22235" t="str">
        <v>-</v>
      </c>
      <c r="G22235" t="str">
        <v>-</v>
      </c>
    </row>
    <row r="22236">
      <c r="B22236" t="str">
        <v>Công an xã Mỹ Hiệp  tỉnh Đồng Tháp</v>
      </c>
      <c r="C22236" t="str">
        <v>-</v>
      </c>
      <c r="D22236" t="str">
        <v>-</v>
      </c>
      <c r="E22236" t="str">
        <v/>
      </c>
      <c r="F22236" t="str">
        <v>-</v>
      </c>
      <c r="G22236" t="str">
        <v>-</v>
      </c>
    </row>
    <row r="22237">
      <c r="B22237" t="str">
        <v>UBND Ủy ban nhân dân xã Mỹ Hiệp  tỉnh Đồng Tháp</v>
      </c>
      <c r="C22237" t="str">
        <v>-</v>
      </c>
      <c r="D22237" t="str">
        <v>-</v>
      </c>
      <c r="E22237" t="str">
        <v>-</v>
      </c>
      <c r="F22237" t="str">
        <v>-</v>
      </c>
      <c r="G22237" t="str">
        <v>-</v>
      </c>
    </row>
    <row r="22238">
      <c r="B22238" t="str">
        <v>Công an xã Mỹ Long  tỉnh Đồng Tháp</v>
      </c>
      <c r="C22238" t="str">
        <v>-</v>
      </c>
      <c r="D22238" t="str">
        <v>-</v>
      </c>
      <c r="E22238" t="str">
        <v/>
      </c>
      <c r="F22238" t="str">
        <v>-</v>
      </c>
      <c r="G22238" t="str">
        <v>-</v>
      </c>
    </row>
    <row r="22239">
      <c r="B22239" t="str">
        <v>UBND Ủy ban nhân dân xã Mỹ Long  tỉnh Đồng Tháp</v>
      </c>
      <c r="C22239" t="str">
        <v>-</v>
      </c>
      <c r="D22239" t="str">
        <v>-</v>
      </c>
      <c r="E22239" t="str">
        <v>-</v>
      </c>
      <c r="F22239" t="str">
        <v>-</v>
      </c>
      <c r="G22239" t="str">
        <v>-</v>
      </c>
    </row>
    <row r="22240">
      <c r="B22240" t="str">
        <v>Công an xã Bình Hàng Trung  tỉnh Đồng Tháp</v>
      </c>
      <c r="C22240" t="str">
        <v>-</v>
      </c>
      <c r="D22240" t="str">
        <v>-</v>
      </c>
      <c r="E22240" t="str">
        <v/>
      </c>
      <c r="F22240" t="str">
        <v>-</v>
      </c>
      <c r="G22240" t="str">
        <v>-</v>
      </c>
    </row>
    <row r="22241">
      <c r="B22241" t="str">
        <v>UBND Ủy ban nhân dân xã Bình Hàng Trung  tỉnh Đồng Tháp</v>
      </c>
      <c r="C22241" t="str">
        <v>-</v>
      </c>
      <c r="D22241" t="str">
        <v>-</v>
      </c>
      <c r="E22241" t="str">
        <v>-</v>
      </c>
      <c r="F22241" t="str">
        <v>-</v>
      </c>
      <c r="G22241" t="str">
        <v>-</v>
      </c>
    </row>
    <row r="22242">
      <c r="B22242" t="str">
        <v>Công an xã Mỹ Xương  tỉnh Đồng Tháp</v>
      </c>
      <c r="C22242" t="str">
        <v>-</v>
      </c>
      <c r="D22242" t="str">
        <v>-</v>
      </c>
      <c r="E22242" t="str">
        <v/>
      </c>
      <c r="F22242" t="str">
        <v>-</v>
      </c>
      <c r="G22242" t="str">
        <v>-</v>
      </c>
    </row>
    <row r="22243">
      <c r="B22243" t="str">
        <v>UBND Ủy ban nhân dân xã Mỹ Xương  tỉnh Đồng Tháp</v>
      </c>
      <c r="C22243" t="str">
        <v>-</v>
      </c>
      <c r="D22243" t="str">
        <v>-</v>
      </c>
      <c r="E22243" t="str">
        <v>-</v>
      </c>
      <c r="F22243" t="str">
        <v>-</v>
      </c>
      <c r="G22243" t="str">
        <v>-</v>
      </c>
    </row>
    <row r="22244">
      <c r="B22244" t="str">
        <v>Công an xã Bình Hàng Tây  tỉnh Đồng Tháp</v>
      </c>
      <c r="C22244" t="str">
        <v>-</v>
      </c>
      <c r="D22244" t="str">
        <v>-</v>
      </c>
      <c r="E22244" t="str">
        <v/>
      </c>
      <c r="F22244" t="str">
        <v>-</v>
      </c>
      <c r="G22244" t="str">
        <v>-</v>
      </c>
    </row>
    <row r="22245">
      <c r="B22245" t="str">
        <v>UBND Ủy ban nhân dân xã Bình Hàng Tây  tỉnh Đồng Tháp</v>
      </c>
      <c r="C22245" t="str">
        <v>-</v>
      </c>
      <c r="D22245" t="str">
        <v>-</v>
      </c>
      <c r="E22245" t="str">
        <v>-</v>
      </c>
      <c r="F22245" t="str">
        <v>-</v>
      </c>
      <c r="G22245" t="str">
        <v>-</v>
      </c>
    </row>
    <row r="22246">
      <c r="B22246" t="str">
        <v>Công an xã Bình Thạnh  tỉnh Đồng Tháp</v>
      </c>
      <c r="C22246" t="str">
        <v>-</v>
      </c>
      <c r="D22246" t="str">
        <v>-</v>
      </c>
      <c r="E22246" t="str">
        <v/>
      </c>
      <c r="F22246" t="str">
        <v>-</v>
      </c>
      <c r="G22246" t="str">
        <v>-</v>
      </c>
    </row>
    <row r="22247">
      <c r="B22247" t="str">
        <v>UBND Ủy ban nhân dân xã Bình Thạnh  tỉnh Đồng Tháp</v>
      </c>
      <c r="C22247" t="str">
        <v>-</v>
      </c>
      <c r="D22247" t="str">
        <v>-</v>
      </c>
      <c r="E22247" t="str">
        <v>-</v>
      </c>
      <c r="F22247" t="str">
        <v>-</v>
      </c>
      <c r="G22247" t="str">
        <v>-</v>
      </c>
    </row>
    <row r="22248">
      <c r="B22248" t="str">
        <v>Công an xã Tân Quới  tỉnh Đồng Tháp</v>
      </c>
      <c r="C22248" t="str">
        <v>-</v>
      </c>
      <c r="D22248" t="str">
        <v>-</v>
      </c>
      <c r="E22248" t="str">
        <v/>
      </c>
      <c r="F22248" t="str">
        <v>-</v>
      </c>
      <c r="G22248" t="str">
        <v>-</v>
      </c>
    </row>
    <row r="22249">
      <c r="B22249" t="str">
        <v>UBND Ủy ban nhân dân xã Tân Quới  tỉnh Đồng Tháp</v>
      </c>
      <c r="C22249" t="str">
        <v>-</v>
      </c>
      <c r="D22249" t="str">
        <v>-</v>
      </c>
      <c r="E22249" t="str">
        <v>-</v>
      </c>
      <c r="F22249" t="str">
        <v>-</v>
      </c>
      <c r="G22249" t="str">
        <v>-</v>
      </c>
    </row>
    <row r="22250">
      <c r="B22250" t="str">
        <v>Công an xã Tân Hòa  tỉnh Đồng Tháp</v>
      </c>
      <c r="C22250" t="str">
        <v>-</v>
      </c>
      <c r="D22250" t="str">
        <v>-</v>
      </c>
      <c r="E22250" t="str">
        <v/>
      </c>
      <c r="F22250" t="str">
        <v>-</v>
      </c>
      <c r="G22250" t="str">
        <v>-</v>
      </c>
    </row>
    <row r="22251">
      <c r="B22251" t="str">
        <v>UBND Ủy ban nhân dân xã Tân Hòa  tỉnh Đồng Tháp</v>
      </c>
      <c r="C22251" t="str">
        <v>-</v>
      </c>
      <c r="D22251" t="str">
        <v>-</v>
      </c>
      <c r="E22251" t="str">
        <v>-</v>
      </c>
      <c r="F22251" t="str">
        <v>-</v>
      </c>
      <c r="G22251" t="str">
        <v>-</v>
      </c>
    </row>
    <row r="22252">
      <c r="B22252" t="str">
        <v>Công an xã An Phong  tỉnh Đồng Tháp</v>
      </c>
      <c r="C22252" t="str">
        <v>-</v>
      </c>
      <c r="D22252" t="str">
        <v>-</v>
      </c>
      <c r="E22252" t="str">
        <v/>
      </c>
      <c r="F22252" t="str">
        <v>-</v>
      </c>
      <c r="G22252" t="str">
        <v>-</v>
      </c>
    </row>
    <row r="22253">
      <c r="B22253" t="str">
        <v>UBND Ủy ban nhân dân xã An Phong  tỉnh Đồng Tháp</v>
      </c>
      <c r="C22253" t="str">
        <v>-</v>
      </c>
      <c r="D22253" t="str">
        <v>-</v>
      </c>
      <c r="E22253" t="str">
        <v>-</v>
      </c>
      <c r="F22253" t="str">
        <v>-</v>
      </c>
      <c r="G22253" t="str">
        <v>-</v>
      </c>
    </row>
    <row r="22254">
      <c r="B22254" t="str">
        <v>Công an xã Phú Lợi  tỉnh Đồng Tháp</v>
      </c>
      <c r="C22254" t="str">
        <v>-</v>
      </c>
      <c r="D22254" t="str">
        <v>-</v>
      </c>
      <c r="E22254" t="str">
        <v/>
      </c>
      <c r="F22254" t="str">
        <v>-</v>
      </c>
      <c r="G22254" t="str">
        <v>-</v>
      </c>
    </row>
    <row r="22255">
      <c r="B22255" t="str">
        <v>UBND Ủy ban nhân dân xã Phú Lợi  tỉnh Đồng Tháp</v>
      </c>
      <c r="C22255" t="str">
        <v>-</v>
      </c>
      <c r="D22255" t="str">
        <v>-</v>
      </c>
      <c r="E22255" t="str">
        <v>-</v>
      </c>
      <c r="F22255" t="str">
        <v>-</v>
      </c>
      <c r="G22255" t="str">
        <v>-</v>
      </c>
    </row>
    <row r="22256">
      <c r="B22256" t="str">
        <v>Công an xã Tân Mỹ  tỉnh Đồng Tháp</v>
      </c>
      <c r="C22256" t="str">
        <v>-</v>
      </c>
      <c r="D22256" t="str">
        <v>-</v>
      </c>
      <c r="E22256" t="str">
        <v/>
      </c>
      <c r="F22256" t="str">
        <v>-</v>
      </c>
      <c r="G22256" t="str">
        <v>-</v>
      </c>
    </row>
    <row r="22257">
      <c r="B22257" t="str">
        <v>UBND Ủy ban nhân dân xã Tân Mỹ  tỉnh Đồng Tháp</v>
      </c>
      <c r="C22257" t="str">
        <v>-</v>
      </c>
      <c r="D22257" t="str">
        <v>-</v>
      </c>
      <c r="E22257" t="str">
        <v>-</v>
      </c>
      <c r="F22257" t="str">
        <v>-</v>
      </c>
      <c r="G22257" t="str">
        <v>-</v>
      </c>
    </row>
    <row r="22258">
      <c r="B22258" t="str">
        <v>Công an xã Bình Tấn  tỉnh Đồng Tháp</v>
      </c>
      <c r="C22258" t="str">
        <v>-</v>
      </c>
      <c r="D22258" t="str">
        <v>-</v>
      </c>
      <c r="E22258" t="str">
        <v/>
      </c>
      <c r="F22258" t="str">
        <v>-</v>
      </c>
      <c r="G22258" t="str">
        <v>-</v>
      </c>
    </row>
    <row r="22259">
      <c r="B22259" t="str">
        <v>UBND Ủy ban nhân dân xã Bình Tấn  tỉnh Đồng Tháp</v>
      </c>
      <c r="C22259" t="str">
        <v>-</v>
      </c>
      <c r="D22259" t="str">
        <v>-</v>
      </c>
      <c r="E22259" t="str">
        <v>-</v>
      </c>
      <c r="F22259" t="str">
        <v>-</v>
      </c>
      <c r="G22259" t="str">
        <v>-</v>
      </c>
    </row>
    <row r="22260">
      <c r="B22260" t="str">
        <v>Công an xã Tân Huề  tỉnh Đồng Tháp</v>
      </c>
      <c r="C22260" t="str">
        <v>-</v>
      </c>
      <c r="D22260" t="str">
        <v>-</v>
      </c>
      <c r="E22260" t="str">
        <v/>
      </c>
      <c r="F22260" t="str">
        <v>-</v>
      </c>
      <c r="G22260" t="str">
        <v>-</v>
      </c>
    </row>
    <row r="22261">
      <c r="B22261" t="str">
        <v>UBND Ủy ban nhân dân xã Tân Huề  tỉnh Đồng Tháp</v>
      </c>
      <c r="C22261" t="str">
        <v>-</v>
      </c>
      <c r="D22261" t="str">
        <v>-</v>
      </c>
      <c r="E22261" t="str">
        <v>-</v>
      </c>
      <c r="F22261" t="str">
        <v>-</v>
      </c>
      <c r="G22261" t="str">
        <v>-</v>
      </c>
    </row>
    <row r="22262">
      <c r="B22262" t="str">
        <v>Công an xã Tân Bình  tỉnh Đồng Tháp</v>
      </c>
      <c r="C22262" t="str">
        <v>-</v>
      </c>
      <c r="D22262" t="str">
        <v>-</v>
      </c>
      <c r="E22262" t="str">
        <v/>
      </c>
      <c r="F22262" t="str">
        <v>-</v>
      </c>
      <c r="G22262" t="str">
        <v>-</v>
      </c>
    </row>
    <row r="22263">
      <c r="B22263" t="str">
        <v>UBND Ủy ban nhân dân xã Tân Bình  tỉnh Đồng Tháp</v>
      </c>
      <c r="C22263" t="str">
        <v>-</v>
      </c>
      <c r="D22263" t="str">
        <v>-</v>
      </c>
      <c r="E22263" t="str">
        <v>-</v>
      </c>
      <c r="F22263" t="str">
        <v>-</v>
      </c>
      <c r="G22263" t="str">
        <v>-</v>
      </c>
    </row>
    <row r="22264">
      <c r="B22264" t="str">
        <v>Công an xã Tân Thạnh  tỉnh Đồng Tháp</v>
      </c>
      <c r="C22264" t="str">
        <v>-</v>
      </c>
      <c r="D22264" t="str">
        <v>-</v>
      </c>
      <c r="E22264" t="str">
        <v/>
      </c>
      <c r="F22264" t="str">
        <v>-</v>
      </c>
      <c r="G22264" t="str">
        <v>-</v>
      </c>
    </row>
    <row r="22265">
      <c r="B22265" t="str">
        <v>UBND Ủy ban nhân dân xã Tân Thạnh  tỉnh Đồng Tháp</v>
      </c>
      <c r="C22265" t="str">
        <v>-</v>
      </c>
      <c r="D22265" t="str">
        <v>-</v>
      </c>
      <c r="E22265" t="str">
        <v>-</v>
      </c>
      <c r="F22265" t="str">
        <v>-</v>
      </c>
      <c r="G22265" t="str">
        <v>-</v>
      </c>
    </row>
    <row r="22266">
      <c r="B22266" t="str">
        <v>Công an xã Tân Phú  tỉnh Đồng Tháp</v>
      </c>
      <c r="C22266" t="str">
        <v>-</v>
      </c>
      <c r="D22266" t="str">
        <v>-</v>
      </c>
      <c r="E22266" t="str">
        <v/>
      </c>
      <c r="F22266" t="str">
        <v>-</v>
      </c>
      <c r="G22266" t="str">
        <v>-</v>
      </c>
    </row>
    <row r="22267">
      <c r="B22267" t="str">
        <v>UBND Ủy ban nhân dân xã Tân Phú  tỉnh Đồng Tháp</v>
      </c>
      <c r="C22267" t="str">
        <v>-</v>
      </c>
      <c r="D22267" t="str">
        <v>-</v>
      </c>
      <c r="E22267" t="str">
        <v>-</v>
      </c>
      <c r="F22267" t="str">
        <v>-</v>
      </c>
      <c r="G22267" t="str">
        <v>-</v>
      </c>
    </row>
    <row r="22268">
      <c r="B22268" t="str">
        <v>Công an xã Bình Thành  tỉnh Đồng Tháp</v>
      </c>
      <c r="C22268" t="str">
        <v>-</v>
      </c>
      <c r="D22268" t="str">
        <v>-</v>
      </c>
      <c r="E22268" t="str">
        <v/>
      </c>
      <c r="F22268" t="str">
        <v>-</v>
      </c>
      <c r="G22268" t="str">
        <v>-</v>
      </c>
    </row>
    <row r="22269">
      <c r="B22269" t="str">
        <v>UBND Ủy ban nhân dân xã Bình Thành  tỉnh Đồng Tháp</v>
      </c>
      <c r="C22269" t="str">
        <v>-</v>
      </c>
      <c r="D22269" t="str">
        <v>-</v>
      </c>
      <c r="E22269" t="str">
        <v>-</v>
      </c>
      <c r="F22269" t="str">
        <v>-</v>
      </c>
      <c r="G22269" t="str">
        <v>-</v>
      </c>
    </row>
    <row r="22270">
      <c r="B22270" t="str">
        <v>Công an xã Tân Long  tỉnh Đồng Tháp</v>
      </c>
      <c r="C22270" t="str">
        <v>-</v>
      </c>
      <c r="D22270" t="str">
        <v>-</v>
      </c>
      <c r="E22270" t="str">
        <v/>
      </c>
      <c r="F22270" t="str">
        <v>-</v>
      </c>
      <c r="G22270" t="str">
        <v>-</v>
      </c>
    </row>
    <row r="22271">
      <c r="B22271" t="str">
        <v>UBND Ủy ban nhân dân xã Tân Long  tỉnh Đồng Tháp</v>
      </c>
      <c r="C22271" t="str">
        <v>-</v>
      </c>
      <c r="D22271" t="str">
        <v>-</v>
      </c>
      <c r="E22271" t="str">
        <v>-</v>
      </c>
      <c r="F22271" t="str">
        <v>-</v>
      </c>
      <c r="G22271" t="str">
        <v>-</v>
      </c>
    </row>
    <row r="22272">
      <c r="B22272" t="str">
        <v>Công an xã Mỹ An Hưng A  tỉnh Đồng Tháp</v>
      </c>
      <c r="C22272" t="str">
        <v>-</v>
      </c>
      <c r="D22272" t="str">
        <v>-</v>
      </c>
      <c r="E22272" t="str">
        <v/>
      </c>
      <c r="F22272" t="str">
        <v>-</v>
      </c>
      <c r="G22272" t="str">
        <v>-</v>
      </c>
    </row>
    <row r="22273">
      <c r="B22273" t="str">
        <v>UBND Ủy ban nhân dân xã Mỹ An Hưng A  tỉnh Đồng Tháp</v>
      </c>
      <c r="C22273" t="str">
        <v>-</v>
      </c>
      <c r="D22273" t="str">
        <v>-</v>
      </c>
      <c r="E22273" t="str">
        <v>-</v>
      </c>
      <c r="F22273" t="str">
        <v>-</v>
      </c>
      <c r="G22273" t="str">
        <v>-</v>
      </c>
    </row>
    <row r="22274">
      <c r="B22274" t="str">
        <v>Công an xã Tân Mỹ  tỉnh Đồng Tháp</v>
      </c>
      <c r="C22274" t="str">
        <v>-</v>
      </c>
      <c r="D22274" t="str">
        <v>-</v>
      </c>
      <c r="E22274" t="str">
        <v/>
      </c>
      <c r="F22274" t="str">
        <v>-</v>
      </c>
      <c r="G22274" t="str">
        <v>-</v>
      </c>
    </row>
    <row r="22275">
      <c r="B22275" t="str">
        <v>UBND Ủy ban nhân dân xã Tân Mỹ  tỉnh Đồng Tháp</v>
      </c>
      <c r="C22275" t="str">
        <v>-</v>
      </c>
      <c r="D22275" t="str">
        <v>-</v>
      </c>
      <c r="E22275" t="str">
        <v>-</v>
      </c>
      <c r="F22275" t="str">
        <v>-</v>
      </c>
      <c r="G22275" t="str">
        <v>-</v>
      </c>
    </row>
    <row r="22276">
      <c r="B22276" t="str">
        <v>Công an xã Mỹ An Hưng B  tỉnh Đồng Tháp</v>
      </c>
      <c r="C22276" t="str">
        <v>-</v>
      </c>
      <c r="D22276" t="str">
        <v>-</v>
      </c>
      <c r="E22276" t="str">
        <v/>
      </c>
      <c r="F22276" t="str">
        <v>-</v>
      </c>
      <c r="G22276" t="str">
        <v>-</v>
      </c>
    </row>
    <row r="22277">
      <c r="B22277" t="str">
        <v>UBND Ủy ban nhân dân xã Mỹ An Hưng B  tỉnh Đồng Tháp</v>
      </c>
      <c r="C22277" t="str">
        <v>-</v>
      </c>
      <c r="D22277" t="str">
        <v>-</v>
      </c>
      <c r="E22277" t="str">
        <v>-</v>
      </c>
      <c r="F22277" t="str">
        <v>-</v>
      </c>
      <c r="G22277" t="str">
        <v>-</v>
      </c>
    </row>
    <row r="22278">
      <c r="B22278" t="str">
        <v>Công an xã Tân  Khánh Trung  tỉnh Đồng Tháp</v>
      </c>
      <c r="C22278" t="str">
        <v>-</v>
      </c>
      <c r="D22278" t="str">
        <v>-</v>
      </c>
      <c r="E22278" t="str">
        <v/>
      </c>
      <c r="F22278" t="str">
        <v>-</v>
      </c>
      <c r="G22278" t="str">
        <v>-</v>
      </c>
    </row>
    <row r="22279">
      <c r="B22279" t="str">
        <v>UBND Ủy ban nhân dân xã Tân  Khánh Trung  tỉnh Đồng Tháp</v>
      </c>
      <c r="C22279" t="str">
        <v>-</v>
      </c>
      <c r="D22279" t="str">
        <v>-</v>
      </c>
      <c r="E22279" t="str">
        <v>-</v>
      </c>
      <c r="F22279" t="str">
        <v>-</v>
      </c>
      <c r="G22279" t="str">
        <v>-</v>
      </c>
    </row>
    <row r="22280">
      <c r="B22280" t="str">
        <v>Công an xã Long Hưng A  tỉnh Đồng Tháp</v>
      </c>
      <c r="C22280" t="str">
        <v>-</v>
      </c>
      <c r="D22280" t="str">
        <v>-</v>
      </c>
      <c r="E22280" t="str">
        <v/>
      </c>
      <c r="F22280" t="str">
        <v>-</v>
      </c>
      <c r="G22280" t="str">
        <v>-</v>
      </c>
    </row>
    <row r="22281">
      <c r="B22281" t="str">
        <v>UBND Ủy ban nhân dân xã Long Hưng A  tỉnh Đồng Tháp</v>
      </c>
      <c r="C22281" t="str">
        <v>-</v>
      </c>
      <c r="D22281" t="str">
        <v>-</v>
      </c>
      <c r="E22281" t="str">
        <v>-</v>
      </c>
      <c r="F22281" t="str">
        <v>-</v>
      </c>
      <c r="G22281" t="str">
        <v>-</v>
      </c>
    </row>
    <row r="22282">
      <c r="B22282" t="str">
        <v>Công an xã Vĩnh Thạnh  tỉnh Đồng Tháp</v>
      </c>
      <c r="C22282" t="str">
        <v>-</v>
      </c>
      <c r="D22282" t="str">
        <v>-</v>
      </c>
      <c r="E22282" t="str">
        <v/>
      </c>
      <c r="F22282" t="str">
        <v>-</v>
      </c>
      <c r="G22282" t="str">
        <v>-</v>
      </c>
    </row>
    <row r="22283">
      <c r="B22283" t="str">
        <v>UBND Ủy ban nhân dân xã Vĩnh Thạnh  tỉnh Đồng Tháp</v>
      </c>
      <c r="C22283" t="str">
        <v>-</v>
      </c>
      <c r="D22283" t="str">
        <v>-</v>
      </c>
      <c r="E22283" t="str">
        <v>-</v>
      </c>
      <c r="F22283" t="str">
        <v>-</v>
      </c>
      <c r="G22283" t="str">
        <v>-</v>
      </c>
    </row>
    <row r="22284">
      <c r="B22284" t="str">
        <v>Công an xã Long Hưng B  tỉnh Đồng Tháp</v>
      </c>
      <c r="C22284" t="str">
        <v>-</v>
      </c>
      <c r="D22284" t="str">
        <v>-</v>
      </c>
      <c r="E22284" t="str">
        <v/>
      </c>
      <c r="F22284" t="str">
        <v>-</v>
      </c>
      <c r="G22284" t="str">
        <v>-</v>
      </c>
    </row>
    <row r="22285">
      <c r="B22285" t="str">
        <v>UBND Ủy ban nhân dân xã Long Hưng B  tỉnh Đồng Tháp</v>
      </c>
      <c r="C22285" t="str">
        <v>-</v>
      </c>
      <c r="D22285" t="str">
        <v>-</v>
      </c>
      <c r="E22285" t="str">
        <v>-</v>
      </c>
      <c r="F22285" t="str">
        <v>-</v>
      </c>
      <c r="G22285" t="str">
        <v>-</v>
      </c>
    </row>
    <row r="22286">
      <c r="B22286" t="str">
        <v>Công an xã Bình Thành  tỉnh Đồng Tháp</v>
      </c>
      <c r="C22286" t="str">
        <v>-</v>
      </c>
      <c r="D22286" t="str">
        <v>-</v>
      </c>
      <c r="E22286" t="str">
        <v/>
      </c>
      <c r="F22286" t="str">
        <v>-</v>
      </c>
      <c r="G22286" t="str">
        <v>-</v>
      </c>
    </row>
    <row r="22287">
      <c r="B22287" t="str">
        <v>UBND Ủy ban nhân dân xã Bình Thành  tỉnh Đồng Tháp</v>
      </c>
      <c r="C22287" t="str">
        <v>-</v>
      </c>
      <c r="D22287" t="str">
        <v>-</v>
      </c>
      <c r="E22287" t="str">
        <v>-</v>
      </c>
      <c r="F22287" t="str">
        <v>-</v>
      </c>
      <c r="G22287" t="str">
        <v>-</v>
      </c>
    </row>
    <row r="22288">
      <c r="B22288" t="str">
        <v>Công an xã Định An  tỉnh Đồng Tháp</v>
      </c>
      <c r="C22288" t="str">
        <v>-</v>
      </c>
      <c r="D22288" t="str">
        <v>-</v>
      </c>
      <c r="E22288" t="str">
        <v/>
      </c>
      <c r="F22288" t="str">
        <v>-</v>
      </c>
      <c r="G22288" t="str">
        <v>-</v>
      </c>
    </row>
    <row r="22289">
      <c r="B22289" t="str">
        <v>UBND Ủy ban nhân dân xã Định An  tỉnh Đồng Tháp</v>
      </c>
      <c r="C22289" t="str">
        <v>-</v>
      </c>
      <c r="D22289" t="str">
        <v>-</v>
      </c>
      <c r="E22289" t="str">
        <v>-</v>
      </c>
      <c r="F22289" t="str">
        <v>-</v>
      </c>
      <c r="G22289" t="str">
        <v>-</v>
      </c>
    </row>
    <row r="22290">
      <c r="B22290" t="str">
        <v>Công an xã Định Yên  tỉnh Đồng Tháp</v>
      </c>
      <c r="C22290" t="str">
        <v>-</v>
      </c>
      <c r="D22290" t="str">
        <v>-</v>
      </c>
      <c r="E22290" t="str">
        <v/>
      </c>
      <c r="F22290" t="str">
        <v>-</v>
      </c>
      <c r="G22290" t="str">
        <v>-</v>
      </c>
    </row>
    <row r="22291">
      <c r="B22291" t="str">
        <v>UBND Ủy ban nhân dân xã Định Yên  tỉnh Đồng Tháp</v>
      </c>
      <c r="C22291" t="str">
        <v>-</v>
      </c>
      <c r="D22291" t="str">
        <v>-</v>
      </c>
      <c r="E22291" t="str">
        <v>-</v>
      </c>
      <c r="F22291" t="str">
        <v>-</v>
      </c>
      <c r="G22291" t="str">
        <v>-</v>
      </c>
    </row>
    <row r="22292">
      <c r="B22292" t="str">
        <v>Công an xã Hội An Đông  tỉnh Đồng Tháp</v>
      </c>
      <c r="C22292" t="str">
        <v>-</v>
      </c>
      <c r="D22292" t="str">
        <v>-</v>
      </c>
      <c r="E22292" t="str">
        <v/>
      </c>
      <c r="F22292" t="str">
        <v>-</v>
      </c>
      <c r="G22292" t="str">
        <v>-</v>
      </c>
    </row>
    <row r="22293">
      <c r="B22293" t="str">
        <v>UBND Ủy ban nhân dân xã Hội An Đông  tỉnh Đồng Tháp</v>
      </c>
      <c r="C22293" t="str">
        <v>-</v>
      </c>
      <c r="D22293" t="str">
        <v>-</v>
      </c>
      <c r="E22293" t="str">
        <v>-</v>
      </c>
      <c r="F22293" t="str">
        <v>-</v>
      </c>
      <c r="G22293" t="str">
        <v>-</v>
      </c>
    </row>
    <row r="22294">
      <c r="B22294" t="str">
        <v>Công an xã Bình Thạnh Trung  tỉnh Đồng Tháp</v>
      </c>
      <c r="C22294" t="str">
        <v>-</v>
      </c>
      <c r="D22294" t="str">
        <v>-</v>
      </c>
      <c r="E22294" t="str">
        <v/>
      </c>
      <c r="F22294" t="str">
        <v>-</v>
      </c>
      <c r="G22294" t="str">
        <v>-</v>
      </c>
    </row>
    <row r="22295">
      <c r="B22295" t="str">
        <v>UBND Ủy ban nhân dân xã Bình Thạnh Trung  tỉnh Đồng Tháp</v>
      </c>
      <c r="C22295" t="str">
        <v>-</v>
      </c>
      <c r="D22295" t="str">
        <v>-</v>
      </c>
      <c r="E22295" t="str">
        <v>-</v>
      </c>
      <c r="F22295" t="str">
        <v>-</v>
      </c>
      <c r="G22295" t="str">
        <v>-</v>
      </c>
    </row>
    <row r="22296">
      <c r="B22296" t="str">
        <v>Công an xã Tân Dương  tỉnh Đồng Tháp</v>
      </c>
      <c r="C22296" t="str">
        <v>-</v>
      </c>
      <c r="D22296" t="str">
        <v>-</v>
      </c>
      <c r="E22296" t="str">
        <v/>
      </c>
      <c r="F22296" t="str">
        <v>-</v>
      </c>
      <c r="G22296" t="str">
        <v>-</v>
      </c>
    </row>
    <row r="22297">
      <c r="B22297" t="str">
        <v>UBND Ủy ban nhân dân xã Tân Dương  tỉnh Đồng Tháp</v>
      </c>
      <c r="C22297" t="str">
        <v>-</v>
      </c>
      <c r="D22297" t="str">
        <v>-</v>
      </c>
      <c r="E22297" t="str">
        <v>-</v>
      </c>
      <c r="F22297" t="str">
        <v>-</v>
      </c>
      <c r="G22297" t="str">
        <v>-</v>
      </c>
    </row>
    <row r="22298">
      <c r="B22298" t="str">
        <v>Công an xã Hòa Thành  tỉnh Đồng Tháp</v>
      </c>
      <c r="C22298" t="str">
        <v>-</v>
      </c>
      <c r="D22298" t="str">
        <v>-</v>
      </c>
      <c r="E22298" t="str">
        <v/>
      </c>
      <c r="F22298" t="str">
        <v>-</v>
      </c>
      <c r="G22298" t="str">
        <v>-</v>
      </c>
    </row>
    <row r="22299">
      <c r="B22299" t="str">
        <v>UBND Ủy ban nhân dân xã Hòa Thành  tỉnh Đồng Tháp</v>
      </c>
      <c r="C22299" t="str">
        <v>-</v>
      </c>
      <c r="D22299" t="str">
        <v>-</v>
      </c>
      <c r="E22299" t="str">
        <v>-</v>
      </c>
      <c r="F22299" t="str">
        <v>-</v>
      </c>
      <c r="G22299" t="str">
        <v>-</v>
      </c>
    </row>
    <row r="22300">
      <c r="B22300" t="str">
        <v>Công an xã Long Hậu  tỉnh Đồng Tháp</v>
      </c>
      <c r="C22300" t="str">
        <v>-</v>
      </c>
      <c r="D22300" t="str">
        <v>-</v>
      </c>
      <c r="E22300" t="str">
        <v/>
      </c>
      <c r="F22300" t="str">
        <v>-</v>
      </c>
      <c r="G22300" t="str">
        <v>-</v>
      </c>
    </row>
    <row r="22301">
      <c r="B22301" t="str">
        <v>UBND Ủy ban nhân dân xã Long Hậu  tỉnh Đồng Tháp</v>
      </c>
      <c r="C22301" t="str">
        <v>-</v>
      </c>
      <c r="D22301" t="str">
        <v>-</v>
      </c>
      <c r="E22301" t="str">
        <v>-</v>
      </c>
      <c r="F22301" t="str">
        <v>-</v>
      </c>
      <c r="G22301" t="str">
        <v>-</v>
      </c>
    </row>
    <row r="22302">
      <c r="B22302" t="str">
        <v>Công an xã Tân Phước  tỉnh Đồng Tháp</v>
      </c>
      <c r="C22302" t="str">
        <v>-</v>
      </c>
      <c r="D22302" t="str">
        <v>-</v>
      </c>
      <c r="E22302" t="str">
        <v/>
      </c>
      <c r="F22302" t="str">
        <v>-</v>
      </c>
      <c r="G22302" t="str">
        <v>-</v>
      </c>
    </row>
    <row r="22303">
      <c r="B22303" t="str">
        <v>UBND Ủy ban nhân dân xã Tân Phước  tỉnh Đồng Tháp</v>
      </c>
      <c r="C22303" t="str">
        <v>-</v>
      </c>
      <c r="D22303" t="str">
        <v>-</v>
      </c>
      <c r="E22303" t="str">
        <v>-</v>
      </c>
      <c r="F22303" t="str">
        <v>-</v>
      </c>
      <c r="G22303" t="str">
        <v>-</v>
      </c>
    </row>
    <row r="22304">
      <c r="B22304" t="str">
        <v>Công an xã Hòa Long  tỉnh Đồng Tháp</v>
      </c>
      <c r="C22304" t="str">
        <v>-</v>
      </c>
      <c r="D22304" t="str">
        <v>-</v>
      </c>
      <c r="E22304" t="str">
        <v/>
      </c>
      <c r="F22304" t="str">
        <v>-</v>
      </c>
      <c r="G22304" t="str">
        <v>-</v>
      </c>
    </row>
    <row r="22305">
      <c r="B22305" t="str">
        <v>UBND Ủy ban nhân dân xã Hòa Long  tỉnh Đồng Tháp</v>
      </c>
      <c r="C22305" t="str">
        <v>-</v>
      </c>
      <c r="D22305" t="str">
        <v>-</v>
      </c>
      <c r="E22305" t="str">
        <v>-</v>
      </c>
      <c r="F22305" t="str">
        <v>-</v>
      </c>
      <c r="G22305" t="str">
        <v>-</v>
      </c>
    </row>
    <row r="22306">
      <c r="B22306" t="str">
        <v>Công an xã Tân Thành  tỉnh Đồng Tháp</v>
      </c>
      <c r="C22306" t="str">
        <v>-</v>
      </c>
      <c r="D22306" t="str">
        <v>-</v>
      </c>
      <c r="E22306" t="str">
        <v/>
      </c>
      <c r="F22306" t="str">
        <v>-</v>
      </c>
      <c r="G22306" t="str">
        <v>-</v>
      </c>
    </row>
    <row r="22307">
      <c r="B22307" t="str">
        <v>UBND Ủy ban nhân dân xã Tân Thành  tỉnh Đồng Tháp</v>
      </c>
      <c r="C22307" t="str">
        <v>-</v>
      </c>
      <c r="D22307" t="str">
        <v>-</v>
      </c>
      <c r="E22307" t="str">
        <v>-</v>
      </c>
      <c r="F22307" t="str">
        <v>-</v>
      </c>
      <c r="G22307" t="str">
        <v>-</v>
      </c>
    </row>
    <row r="22308">
      <c r="B22308" t="str">
        <v>Công an xã Long Thắng  tỉnh Đồng Tháp</v>
      </c>
      <c r="C22308" t="str">
        <v>-</v>
      </c>
      <c r="D22308" t="str">
        <v>-</v>
      </c>
      <c r="E22308" t="str">
        <v/>
      </c>
      <c r="F22308" t="str">
        <v>-</v>
      </c>
      <c r="G22308" t="str">
        <v>-</v>
      </c>
    </row>
    <row r="22309">
      <c r="B22309" t="str">
        <v>UBND Ủy ban nhân dân xã Long Thắng  tỉnh Đồng Tháp</v>
      </c>
      <c r="C22309" t="str">
        <v>-</v>
      </c>
      <c r="D22309" t="str">
        <v>-</v>
      </c>
      <c r="E22309" t="str">
        <v>-</v>
      </c>
      <c r="F22309" t="str">
        <v>-</v>
      </c>
      <c r="G22309" t="str">
        <v>-</v>
      </c>
    </row>
    <row r="22310">
      <c r="B22310" t="str">
        <v>Công an xã Vĩnh Thới  tỉnh Đồng Tháp</v>
      </c>
      <c r="C22310" t="str">
        <v>-</v>
      </c>
      <c r="D22310" t="str">
        <v>-</v>
      </c>
      <c r="E22310" t="str">
        <v/>
      </c>
      <c r="F22310" t="str">
        <v>-</v>
      </c>
      <c r="G22310" t="str">
        <v>-</v>
      </c>
    </row>
    <row r="22311">
      <c r="B22311" t="str">
        <v>UBND Ủy ban nhân dân xã Vĩnh Thới  tỉnh Đồng Tháp</v>
      </c>
      <c r="C22311" t="str">
        <v>-</v>
      </c>
      <c r="D22311" t="str">
        <v>-</v>
      </c>
      <c r="E22311" t="str">
        <v>-</v>
      </c>
      <c r="F22311" t="str">
        <v>-</v>
      </c>
      <c r="G22311" t="str">
        <v>-</v>
      </c>
    </row>
    <row r="22312">
      <c r="B22312" t="str">
        <v>Công an xã Tân Hòa  tỉnh Đồng Tháp</v>
      </c>
      <c r="C22312" t="str">
        <v>-</v>
      </c>
      <c r="D22312" t="str">
        <v>-</v>
      </c>
      <c r="E22312" t="str">
        <v/>
      </c>
      <c r="F22312" t="str">
        <v>-</v>
      </c>
      <c r="G22312" t="str">
        <v>-</v>
      </c>
    </row>
    <row r="22313">
      <c r="B22313" t="str">
        <v>UBND Ủy ban nhân dân xã Tân Hòa  tỉnh Đồng Tháp</v>
      </c>
      <c r="C22313" t="str">
        <v>-</v>
      </c>
      <c r="D22313" t="str">
        <v>-</v>
      </c>
      <c r="E22313" t="str">
        <v>-</v>
      </c>
      <c r="F22313" t="str">
        <v>-</v>
      </c>
      <c r="G22313" t="str">
        <v>-</v>
      </c>
    </row>
    <row r="22314">
      <c r="B22314" t="str">
        <v>Công an xã Định Hòa  tỉnh Đồng Tháp</v>
      </c>
      <c r="C22314" t="str">
        <v>-</v>
      </c>
      <c r="D22314" t="str">
        <v>-</v>
      </c>
      <c r="E22314" t="str">
        <v/>
      </c>
      <c r="F22314" t="str">
        <v>-</v>
      </c>
      <c r="G22314" t="str">
        <v>-</v>
      </c>
    </row>
    <row r="22315">
      <c r="B22315" t="str">
        <v>UBND Ủy ban nhân dân xã Định Hòa  tỉnh Đồng Tháp</v>
      </c>
      <c r="C22315" t="str">
        <v>-</v>
      </c>
      <c r="D22315" t="str">
        <v>-</v>
      </c>
      <c r="E22315" t="str">
        <v>-</v>
      </c>
      <c r="F22315" t="str">
        <v>-</v>
      </c>
      <c r="G22315" t="str">
        <v>-</v>
      </c>
    </row>
    <row r="22316">
      <c r="B22316" t="str">
        <v>Công an xã Phong Hòa  tỉnh Đồng Tháp</v>
      </c>
      <c r="C22316" t="str">
        <v>-</v>
      </c>
      <c r="D22316" t="str">
        <v>-</v>
      </c>
      <c r="E22316" t="str">
        <v/>
      </c>
      <c r="F22316" t="str">
        <v>-</v>
      </c>
      <c r="G22316" t="str">
        <v>-</v>
      </c>
    </row>
    <row r="22317">
      <c r="B22317" t="str">
        <v>UBND Ủy ban nhân dân xã Phong Hòa  tỉnh Đồng Tháp</v>
      </c>
      <c r="C22317" t="str">
        <v>-</v>
      </c>
      <c r="D22317" t="str">
        <v>-</v>
      </c>
      <c r="E22317" t="str">
        <v>-</v>
      </c>
      <c r="F22317" t="str">
        <v>-</v>
      </c>
      <c r="G22317" t="str">
        <v>-</v>
      </c>
    </row>
    <row r="22318">
      <c r="B22318" t="str">
        <v>Công an xã An Hiệp  tỉnh Đồng Tháp</v>
      </c>
      <c r="C22318" t="str">
        <v>-</v>
      </c>
      <c r="D22318" t="str">
        <v>-</v>
      </c>
      <c r="E22318" t="str">
        <v/>
      </c>
      <c r="F22318" t="str">
        <v>-</v>
      </c>
      <c r="G22318" t="str">
        <v>-</v>
      </c>
    </row>
    <row r="22319">
      <c r="B22319" t="str">
        <v>UBND Ủy ban nhân dân xã An Hiệp  tỉnh Đồng Tháp</v>
      </c>
      <c r="C22319" t="str">
        <v>-</v>
      </c>
      <c r="D22319" t="str">
        <v>-</v>
      </c>
      <c r="E22319" t="str">
        <v>-</v>
      </c>
      <c r="F22319" t="str">
        <v>-</v>
      </c>
      <c r="G22319" t="str">
        <v>-</v>
      </c>
    </row>
    <row r="22320">
      <c r="B22320" t="str">
        <v>Công an xã An Nhơn  tỉnh Đồng Tháp</v>
      </c>
      <c r="C22320" t="str">
        <v>-</v>
      </c>
      <c r="D22320" t="str">
        <v>-</v>
      </c>
      <c r="E22320" t="str">
        <v/>
      </c>
      <c r="F22320" t="str">
        <v>-</v>
      </c>
      <c r="G22320" t="str">
        <v>-</v>
      </c>
    </row>
    <row r="22321">
      <c r="B22321" t="str">
        <v>UBND Ủy ban nhân dân xã An Nhơn  tỉnh Đồng Tháp</v>
      </c>
      <c r="C22321" t="str">
        <v>-</v>
      </c>
      <c r="D22321" t="str">
        <v>-</v>
      </c>
      <c r="E22321" t="str">
        <v>-</v>
      </c>
      <c r="F22321" t="str">
        <v>-</v>
      </c>
      <c r="G22321" t="str">
        <v>-</v>
      </c>
    </row>
    <row r="22322">
      <c r="B22322" t="str">
        <v>Công an xã Tân Nhuận Đông  tỉnh Đồng Tháp</v>
      </c>
      <c r="C22322" t="str">
        <v>-</v>
      </c>
      <c r="D22322" t="str">
        <v>-</v>
      </c>
      <c r="E22322" t="str">
        <v/>
      </c>
      <c r="F22322" t="str">
        <v>-</v>
      </c>
      <c r="G22322" t="str">
        <v>-</v>
      </c>
    </row>
    <row r="22323">
      <c r="B22323" t="str">
        <v>UBND Ủy ban nhân dân xã Tân Nhuận Đông  tỉnh Đồng Tháp</v>
      </c>
      <c r="C22323" t="str">
        <v>-</v>
      </c>
      <c r="D22323" t="str">
        <v>-</v>
      </c>
      <c r="E22323" t="str">
        <v>-</v>
      </c>
      <c r="F22323" t="str">
        <v>-</v>
      </c>
      <c r="G22323" t="str">
        <v>-</v>
      </c>
    </row>
    <row r="22324">
      <c r="B22324" t="str">
        <v>Công an xã Tân Bình  tỉnh Đồng Tháp</v>
      </c>
      <c r="C22324" t="str">
        <v>-</v>
      </c>
      <c r="D22324" t="str">
        <v>-</v>
      </c>
      <c r="E22324" t="str">
        <v/>
      </c>
      <c r="F22324" t="str">
        <v>-</v>
      </c>
      <c r="G22324" t="str">
        <v>-</v>
      </c>
    </row>
    <row r="22325">
      <c r="B22325" t="str">
        <v>UBND Ủy ban nhân dân xã Tân Bình  tỉnh Đồng Tháp</v>
      </c>
      <c r="C22325" t="str">
        <v>-</v>
      </c>
      <c r="D22325" t="str">
        <v>-</v>
      </c>
      <c r="E22325" t="str">
        <v>-</v>
      </c>
      <c r="F22325" t="str">
        <v>-</v>
      </c>
      <c r="G22325" t="str">
        <v>-</v>
      </c>
    </row>
    <row r="22326">
      <c r="B22326" t="str">
        <v>Công an xã Tân Phú Trung  tỉnh Đồng Tháp</v>
      </c>
      <c r="C22326" t="str">
        <v>-</v>
      </c>
      <c r="D22326" t="str">
        <v>-</v>
      </c>
      <c r="E22326" t="str">
        <v/>
      </c>
      <c r="F22326" t="str">
        <v>-</v>
      </c>
      <c r="G22326" t="str">
        <v>-</v>
      </c>
    </row>
    <row r="22327">
      <c r="B22327" t="str">
        <v>UBND Ủy ban nhân dân xã Tân Phú Trung  tỉnh Đồng Tháp</v>
      </c>
      <c r="C22327" t="str">
        <v>-</v>
      </c>
      <c r="D22327" t="str">
        <v>-</v>
      </c>
      <c r="E22327" t="str">
        <v>-</v>
      </c>
      <c r="F22327" t="str">
        <v>-</v>
      </c>
      <c r="G22327" t="str">
        <v>-</v>
      </c>
    </row>
    <row r="22328">
      <c r="B22328" t="str">
        <v>Công an xã Phú Long  tỉnh Đồng Tháp</v>
      </c>
      <c r="C22328" t="str">
        <v>-</v>
      </c>
      <c r="D22328" t="str">
        <v>-</v>
      </c>
      <c r="E22328" t="str">
        <v/>
      </c>
      <c r="F22328" t="str">
        <v>-</v>
      </c>
      <c r="G22328" t="str">
        <v>-</v>
      </c>
    </row>
    <row r="22329">
      <c r="B22329" t="str">
        <v>UBND Ủy ban nhân dân xã Phú Long  tỉnh Đồng Tháp</v>
      </c>
      <c r="C22329" t="str">
        <v>-</v>
      </c>
      <c r="D22329" t="str">
        <v>-</v>
      </c>
      <c r="E22329" t="str">
        <v>-</v>
      </c>
      <c r="F22329" t="str">
        <v>-</v>
      </c>
      <c r="G22329" t="str">
        <v>-</v>
      </c>
    </row>
    <row r="22330">
      <c r="B22330" t="str">
        <v>Công an xã An Phú Thuận  tỉnh Đồng Tháp</v>
      </c>
      <c r="C22330" t="str">
        <v>-</v>
      </c>
      <c r="D22330" t="str">
        <v>-</v>
      </c>
      <c r="E22330" t="str">
        <v/>
      </c>
      <c r="F22330" t="str">
        <v>-</v>
      </c>
      <c r="G22330" t="str">
        <v>-</v>
      </c>
    </row>
    <row r="22331">
      <c r="B22331" t="str">
        <v>UBND Ủy ban nhân dân xã An Phú Thuận  tỉnh Đồng Tháp</v>
      </c>
      <c r="C22331" t="str">
        <v>-</v>
      </c>
      <c r="D22331" t="str">
        <v>-</v>
      </c>
      <c r="E22331" t="str">
        <v>-</v>
      </c>
      <c r="F22331" t="str">
        <v>-</v>
      </c>
      <c r="G22331" t="str">
        <v>-</v>
      </c>
    </row>
    <row r="22332">
      <c r="B22332" t="str">
        <v>Công an xã Phú Hựu  tỉnh Đồng Tháp</v>
      </c>
      <c r="C22332" t="str">
        <v>-</v>
      </c>
      <c r="D22332" t="str">
        <v>-</v>
      </c>
      <c r="E22332" t="str">
        <v/>
      </c>
      <c r="F22332" t="str">
        <v>-</v>
      </c>
      <c r="G22332" t="str">
        <v>-</v>
      </c>
    </row>
    <row r="22333">
      <c r="B22333" t="str">
        <v>UBND Ủy ban nhân dân xã Phú Hựu  tỉnh Đồng Tháp</v>
      </c>
      <c r="C22333" t="str">
        <v>-</v>
      </c>
      <c r="D22333" t="str">
        <v>-</v>
      </c>
      <c r="E22333" t="str">
        <v>-</v>
      </c>
      <c r="F22333" t="str">
        <v>-</v>
      </c>
      <c r="G22333" t="str">
        <v>-</v>
      </c>
    </row>
    <row r="22334">
      <c r="B22334" t="str">
        <v>Công an xã An Khánh  tỉnh Đồng Tháp</v>
      </c>
      <c r="C22334" t="str">
        <v>-</v>
      </c>
      <c r="D22334" t="str">
        <v>-</v>
      </c>
      <c r="E22334" t="str">
        <v/>
      </c>
      <c r="F22334" t="str">
        <v>-</v>
      </c>
      <c r="G22334" t="str">
        <v>-</v>
      </c>
    </row>
    <row r="22335">
      <c r="B22335" t="str">
        <v>UBND Ủy ban nhân dân xã An Khánh  tỉnh Đồng Tháp</v>
      </c>
      <c r="C22335" t="str">
        <v>-</v>
      </c>
      <c r="D22335" t="str">
        <v>-</v>
      </c>
      <c r="E22335" t="str">
        <v>-</v>
      </c>
      <c r="F22335" t="str">
        <v>-</v>
      </c>
      <c r="G22335" t="str">
        <v>-</v>
      </c>
    </row>
    <row r="22336">
      <c r="B22336" t="str">
        <v>Công an xã Tân Phú  tỉnh Đồng Tháp</v>
      </c>
      <c r="C22336" t="str">
        <v>-</v>
      </c>
      <c r="D22336" t="str">
        <v>-</v>
      </c>
      <c r="E22336" t="str">
        <v/>
      </c>
      <c r="F22336" t="str">
        <v>-</v>
      </c>
      <c r="G22336" t="str">
        <v>-</v>
      </c>
    </row>
    <row r="22337">
      <c r="B22337" t="str">
        <v>UBND Ủy ban nhân dân xã Tân Phú  tỉnh Đồng Tháp</v>
      </c>
      <c r="C22337" t="str">
        <v>-</v>
      </c>
      <c r="D22337" t="str">
        <v>-</v>
      </c>
      <c r="E22337" t="str">
        <v>-</v>
      </c>
      <c r="F22337" t="str">
        <v>-</v>
      </c>
      <c r="G22337" t="str">
        <v>-</v>
      </c>
    </row>
    <row r="22338">
      <c r="B22338" t="str">
        <v>Công an xã Hòa Tân  tỉnh Đồng Tháp</v>
      </c>
      <c r="C22338" t="str">
        <v>-</v>
      </c>
      <c r="D22338" t="str">
        <v>-</v>
      </c>
      <c r="E22338" t="str">
        <v/>
      </c>
      <c r="F22338" t="str">
        <v>-</v>
      </c>
      <c r="G22338" t="str">
        <v>-</v>
      </c>
    </row>
    <row r="22339">
      <c r="B22339" t="str">
        <v>UBND Ủy ban nhân dân xã Hòa Tân  tỉnh Đồng Tháp</v>
      </c>
      <c r="C22339" t="str">
        <v>-</v>
      </c>
      <c r="D22339" t="str">
        <v>-</v>
      </c>
      <c r="E22339" t="str">
        <v>-</v>
      </c>
      <c r="F22339" t="str">
        <v>-</v>
      </c>
      <c r="G22339" t="str">
        <v>-</v>
      </c>
    </row>
    <row r="22340">
      <c r="B22340" t="str">
        <v>Công an phường Mỹ Bình  tỉnh An Giang</v>
      </c>
      <c r="C22340" t="str">
        <v>-</v>
      </c>
      <c r="D22340" t="str">
        <v>-</v>
      </c>
      <c r="E22340" t="str">
        <v/>
      </c>
      <c r="F22340" t="str">
        <v>-</v>
      </c>
      <c r="G22340" t="str">
        <v>-</v>
      </c>
    </row>
    <row r="22341">
      <c r="B22341" t="str">
        <v>UBND Ủy ban nhân dân phường Mỹ Bình  tỉnh An Giang</v>
      </c>
      <c r="C22341" t="str">
        <v>-</v>
      </c>
      <c r="D22341" t="str">
        <v>-</v>
      </c>
      <c r="E22341" t="str">
        <v>-</v>
      </c>
      <c r="F22341" t="str">
        <v>-</v>
      </c>
      <c r="G22341" t="str">
        <v>-</v>
      </c>
    </row>
    <row r="22342">
      <c r="B22342" t="str">
        <v>Công an phường Mỹ Long  tỉnh An Giang</v>
      </c>
      <c r="C22342" t="str">
        <v>-</v>
      </c>
      <c r="D22342" t="str">
        <v>-</v>
      </c>
      <c r="E22342" t="str">
        <v/>
      </c>
      <c r="F22342" t="str">
        <v>-</v>
      </c>
      <c r="G22342" t="str">
        <v>-</v>
      </c>
    </row>
    <row r="22343">
      <c r="B22343" t="str">
        <v>UBND Ủy ban nhân dân phường Mỹ Long  tỉnh An Giang</v>
      </c>
      <c r="C22343" t="str">
        <v>-</v>
      </c>
      <c r="D22343" t="str">
        <v>-</v>
      </c>
      <c r="E22343" t="str">
        <v>-</v>
      </c>
      <c r="F22343" t="str">
        <v>-</v>
      </c>
      <c r="G22343" t="str">
        <v>-</v>
      </c>
    </row>
    <row r="22344">
      <c r="B22344" t="str">
        <v>Công an phường Đông Xuyên  tỉnh An Giang</v>
      </c>
      <c r="C22344" t="str">
        <v>-</v>
      </c>
      <c r="D22344" t="str">
        <v>-</v>
      </c>
      <c r="E22344" t="str">
        <v/>
      </c>
      <c r="F22344" t="str">
        <v>-</v>
      </c>
      <c r="G22344" t="str">
        <v>-</v>
      </c>
    </row>
    <row r="22345">
      <c r="B22345" t="str">
        <v>UBND Ủy ban nhân dân phường Đông Xuyên  tỉnh An Giang</v>
      </c>
      <c r="C22345" t="str">
        <v>-</v>
      </c>
      <c r="D22345" t="str">
        <v>-</v>
      </c>
      <c r="E22345" t="str">
        <v>-</v>
      </c>
      <c r="F22345" t="str">
        <v>-</v>
      </c>
      <c r="G22345" t="str">
        <v>-</v>
      </c>
    </row>
    <row r="22346">
      <c r="B22346" t="str">
        <v>Công an phường Mỹ Xuyên  tỉnh An Giang</v>
      </c>
      <c r="C22346" t="str">
        <v>-</v>
      </c>
      <c r="D22346" t="str">
        <v>-</v>
      </c>
      <c r="E22346" t="str">
        <v/>
      </c>
      <c r="F22346" t="str">
        <v>-</v>
      </c>
      <c r="G22346" t="str">
        <v>-</v>
      </c>
    </row>
    <row r="22347">
      <c r="B22347" t="str">
        <v>UBND Ủy ban nhân dân phường Mỹ Xuyên  tỉnh An Giang</v>
      </c>
      <c r="C22347" t="str">
        <v>-</v>
      </c>
      <c r="D22347" t="str">
        <v>-</v>
      </c>
      <c r="E22347" t="str">
        <v>-</v>
      </c>
      <c r="F22347" t="str">
        <v>-</v>
      </c>
      <c r="G22347" t="str">
        <v>-</v>
      </c>
    </row>
    <row r="22348">
      <c r="B22348" t="str">
        <v>Công an phường Bình Đức  tỉnh An Giang</v>
      </c>
      <c r="C22348" t="str">
        <v>-</v>
      </c>
      <c r="D22348" t="str">
        <v>-</v>
      </c>
      <c r="E22348" t="str">
        <v/>
      </c>
      <c r="F22348" t="str">
        <v>-</v>
      </c>
      <c r="G22348" t="str">
        <v>-</v>
      </c>
    </row>
    <row r="22349">
      <c r="B22349" t="str">
        <v>UBND Ủy ban nhân dân phường Bình Đức  tỉnh An Giang</v>
      </c>
      <c r="C22349" t="str">
        <v>-</v>
      </c>
      <c r="D22349" t="str">
        <v>-</v>
      </c>
      <c r="E22349" t="str">
        <v>-</v>
      </c>
      <c r="F22349" t="str">
        <v>-</v>
      </c>
      <c r="G22349" t="str">
        <v>-</v>
      </c>
    </row>
    <row r="22350">
      <c r="B22350" t="str">
        <v>Công an phường Bình Khánh  tỉnh An Giang</v>
      </c>
      <c r="C22350" t="str">
        <v>-</v>
      </c>
      <c r="D22350" t="str">
        <v>-</v>
      </c>
      <c r="E22350" t="str">
        <v/>
      </c>
      <c r="F22350" t="str">
        <v>-</v>
      </c>
      <c r="G22350" t="str">
        <v>-</v>
      </c>
    </row>
    <row r="22351">
      <c r="B22351" t="str">
        <v>UBND Ủy ban nhân dân phường Bình Khánh  tỉnh An Giang</v>
      </c>
      <c r="C22351" t="str">
        <v>-</v>
      </c>
      <c r="D22351" t="str">
        <v>-</v>
      </c>
      <c r="E22351" t="str">
        <v>-</v>
      </c>
      <c r="F22351" t="str">
        <v>-</v>
      </c>
      <c r="G22351" t="str">
        <v>-</v>
      </c>
    </row>
    <row r="22352">
      <c r="B22352" t="str">
        <v>Công an phường Mỹ Phước  tỉnh An Giang</v>
      </c>
      <c r="C22352" t="str">
        <v>-</v>
      </c>
      <c r="D22352" t="str">
        <v>-</v>
      </c>
      <c r="E22352" t="str">
        <v/>
      </c>
      <c r="F22352" t="str">
        <v>-</v>
      </c>
      <c r="G22352" t="str">
        <v>-</v>
      </c>
    </row>
    <row r="22353">
      <c r="B22353" t="str">
        <v>UBND Ủy ban nhân dân phường Mỹ Phước  tỉnh An Giang</v>
      </c>
      <c r="C22353" t="str">
        <v>-</v>
      </c>
      <c r="D22353" t="str">
        <v>-</v>
      </c>
      <c r="E22353" t="str">
        <v>-</v>
      </c>
      <c r="F22353" t="str">
        <v>-</v>
      </c>
      <c r="G22353" t="str">
        <v>-</v>
      </c>
    </row>
    <row r="22354">
      <c r="B22354" t="str">
        <v>Công an phường Mỹ Quý  tỉnh An Giang</v>
      </c>
      <c r="C22354" t="str">
        <v>-</v>
      </c>
      <c r="D22354" t="str">
        <v>-</v>
      </c>
      <c r="E22354" t="str">
        <v/>
      </c>
      <c r="F22354" t="str">
        <v>-</v>
      </c>
      <c r="G22354" t="str">
        <v>-</v>
      </c>
    </row>
    <row r="22355">
      <c r="B22355" t="str">
        <v>UBND Ủy ban nhân dân phường Mỹ Quý  tỉnh An Giang</v>
      </c>
      <c r="C22355" t="str">
        <v>-</v>
      </c>
      <c r="D22355" t="str">
        <v>-</v>
      </c>
      <c r="E22355" t="str">
        <v>-</v>
      </c>
      <c r="F22355" t="str">
        <v>-</v>
      </c>
      <c r="G22355" t="str">
        <v>-</v>
      </c>
    </row>
    <row r="22356">
      <c r="B22356" t="str">
        <v>Công an phường Mỹ Thới  tỉnh An Giang</v>
      </c>
      <c r="C22356" t="str">
        <v>-</v>
      </c>
      <c r="D22356" t="str">
        <v>-</v>
      </c>
      <c r="E22356" t="str">
        <v/>
      </c>
      <c r="F22356" t="str">
        <v>-</v>
      </c>
      <c r="G22356" t="str">
        <v>-</v>
      </c>
    </row>
    <row r="22357">
      <c r="B22357" t="str">
        <v>UBND Ủy ban nhân dân phường Mỹ Thới  tỉnh An Giang</v>
      </c>
      <c r="C22357" t="str">
        <v>-</v>
      </c>
      <c r="D22357" t="str">
        <v>-</v>
      </c>
      <c r="E22357" t="str">
        <v>-</v>
      </c>
      <c r="F22357" t="str">
        <v>-</v>
      </c>
      <c r="G22357" t="str">
        <v>-</v>
      </c>
    </row>
    <row r="22358">
      <c r="B22358" t="str">
        <v>Công an phường Mỹ Thạnh  tỉnh An Giang</v>
      </c>
      <c r="C22358" t="str">
        <v>-</v>
      </c>
      <c r="D22358" t="str">
        <v>-</v>
      </c>
      <c r="E22358" t="str">
        <v/>
      </c>
      <c r="F22358" t="str">
        <v>-</v>
      </c>
      <c r="G22358" t="str">
        <v>-</v>
      </c>
    </row>
    <row r="22359">
      <c r="B22359" t="str">
        <v>UBND Ủy ban nhân dân phường Mỹ Thạnh  tỉnh An Giang</v>
      </c>
      <c r="C22359" t="str">
        <v>-</v>
      </c>
      <c r="D22359" t="str">
        <v>-</v>
      </c>
      <c r="E22359" t="str">
        <v>-</v>
      </c>
      <c r="F22359" t="str">
        <v>-</v>
      </c>
      <c r="G22359" t="str">
        <v>-</v>
      </c>
    </row>
    <row r="22360">
      <c r="B22360" t="str">
        <v>Công an phường Mỹ Hòa  tỉnh An Giang</v>
      </c>
      <c r="C22360" t="str">
        <v>-</v>
      </c>
      <c r="D22360" t="str">
        <v>-</v>
      </c>
      <c r="E22360" t="str">
        <v/>
      </c>
      <c r="F22360" t="str">
        <v>-</v>
      </c>
      <c r="G22360" t="str">
        <v>-</v>
      </c>
    </row>
    <row r="22361">
      <c r="B22361" t="str">
        <v>UBND Ủy ban nhân dân phường Mỹ Hòa  tỉnh An Giang</v>
      </c>
      <c r="C22361" t="str">
        <v>-</v>
      </c>
      <c r="D22361" t="str">
        <v>-</v>
      </c>
      <c r="E22361" t="str">
        <v>-</v>
      </c>
      <c r="F22361" t="str">
        <v>-</v>
      </c>
      <c r="G22361" t="str">
        <v>-</v>
      </c>
    </row>
    <row r="22362">
      <c r="B22362" t="str">
        <v>Công an xã Mỹ Khánh  tỉnh An Giang</v>
      </c>
      <c r="C22362" t="str">
        <v>-</v>
      </c>
      <c r="D22362" t="str">
        <v>-</v>
      </c>
      <c r="E22362" t="str">
        <v/>
      </c>
      <c r="F22362" t="str">
        <v>-</v>
      </c>
      <c r="G22362" t="str">
        <v>-</v>
      </c>
    </row>
    <row r="22363">
      <c r="B22363" t="str">
        <v>UBND Ủy ban nhân dân xã Mỹ Khánh  tỉnh An Giang</v>
      </c>
      <c r="C22363" t="str">
        <v>-</v>
      </c>
      <c r="D22363" t="str">
        <v>-</v>
      </c>
      <c r="E22363" t="str">
        <v>-</v>
      </c>
      <c r="F22363" t="str">
        <v>-</v>
      </c>
      <c r="G22363" t="str">
        <v>-</v>
      </c>
    </row>
    <row r="22364">
      <c r="B22364" t="str">
        <v>Công an xã Mỹ Hoà Hưng  tỉnh An Giang</v>
      </c>
      <c r="C22364" t="str">
        <v>-</v>
      </c>
      <c r="D22364" t="str">
        <v>-</v>
      </c>
      <c r="E22364" t="str">
        <v/>
      </c>
      <c r="F22364" t="str">
        <v>-</v>
      </c>
      <c r="G22364" t="str">
        <v>-</v>
      </c>
    </row>
    <row r="22365">
      <c r="B22365" t="str">
        <v>UBND Ủy ban nhân dân xã Mỹ Hoà Hưng  tỉnh An Giang</v>
      </c>
      <c r="C22365" t="str">
        <v>-</v>
      </c>
      <c r="D22365" t="str">
        <v>-</v>
      </c>
      <c r="E22365" t="str">
        <v>-</v>
      </c>
      <c r="F22365" t="str">
        <v>-</v>
      </c>
      <c r="G22365" t="str">
        <v>-</v>
      </c>
    </row>
    <row r="22366">
      <c r="B22366" t="str">
        <v>Công an phường Châu Phú B  tỉnh An Giang</v>
      </c>
      <c r="C22366" t="str">
        <v>-</v>
      </c>
      <c r="D22366" t="str">
        <v>-</v>
      </c>
      <c r="E22366" t="str">
        <v/>
      </c>
      <c r="F22366" t="str">
        <v>-</v>
      </c>
      <c r="G22366" t="str">
        <v>-</v>
      </c>
    </row>
    <row r="22367">
      <c r="B22367" t="str">
        <v>UBND Ủy ban nhân dân phường Châu Phú B  tỉnh An Giang</v>
      </c>
      <c r="C22367" t="str">
        <v>-</v>
      </c>
      <c r="D22367" t="str">
        <v>-</v>
      </c>
      <c r="E22367" t="str">
        <v>-</v>
      </c>
      <c r="F22367" t="str">
        <v>-</v>
      </c>
      <c r="G22367" t="str">
        <v>-</v>
      </c>
    </row>
    <row r="22368">
      <c r="B22368" t="str">
        <v>Công an phường Châu Phú A  tỉnh An Giang</v>
      </c>
      <c r="C22368" t="str">
        <v>-</v>
      </c>
      <c r="D22368" t="str">
        <v>-</v>
      </c>
      <c r="E22368" t="str">
        <v/>
      </c>
      <c r="F22368" t="str">
        <v>-</v>
      </c>
      <c r="G22368" t="str">
        <v>-</v>
      </c>
    </row>
    <row r="22369">
      <c r="B22369" t="str">
        <v>UBND Ủy ban nhân dân phường Châu Phú A  tỉnh An Giang</v>
      </c>
      <c r="C22369" t="str">
        <v>-</v>
      </c>
      <c r="D22369" t="str">
        <v>-</v>
      </c>
      <c r="E22369" t="str">
        <v>-</v>
      </c>
      <c r="F22369" t="str">
        <v>-</v>
      </c>
      <c r="G22369" t="str">
        <v>-</v>
      </c>
    </row>
    <row r="22370">
      <c r="B22370" t="str">
        <v>Công an phường Vĩnh Mỹ  tỉnh An Giang</v>
      </c>
      <c r="C22370" t="str">
        <v>-</v>
      </c>
      <c r="D22370" t="str">
        <v>-</v>
      </c>
      <c r="E22370" t="str">
        <v/>
      </c>
      <c r="F22370" t="str">
        <v>-</v>
      </c>
      <c r="G22370" t="str">
        <v>-</v>
      </c>
    </row>
    <row r="22371">
      <c r="B22371" t="str">
        <v>UBND Ủy ban nhân dân phường Vĩnh Mỹ  tỉnh An Giang</v>
      </c>
      <c r="C22371" t="str">
        <v>-</v>
      </c>
      <c r="D22371" t="str">
        <v>-</v>
      </c>
      <c r="E22371" t="str">
        <v>-</v>
      </c>
      <c r="F22371" t="str">
        <v>-</v>
      </c>
      <c r="G22371" t="str">
        <v>-</v>
      </c>
    </row>
    <row r="22372">
      <c r="B22372" t="str">
        <v>Công an phường Núi Sam  tỉnh An Giang</v>
      </c>
      <c r="C22372" t="str">
        <v>-</v>
      </c>
      <c r="D22372" t="str">
        <v>-</v>
      </c>
      <c r="E22372" t="str">
        <v/>
      </c>
      <c r="F22372" t="str">
        <v>-</v>
      </c>
      <c r="G22372" t="str">
        <v>-</v>
      </c>
    </row>
    <row r="22373">
      <c r="B22373" t="str">
        <v>UBND Ủy ban nhân dân phường Núi Sam  tỉnh An Giang</v>
      </c>
      <c r="C22373" t="str">
        <v>-</v>
      </c>
      <c r="D22373" t="str">
        <v>-</v>
      </c>
      <c r="E22373" t="str">
        <v>-</v>
      </c>
      <c r="F22373" t="str">
        <v>-</v>
      </c>
      <c r="G22373" t="str">
        <v>-</v>
      </c>
    </row>
    <row r="22374">
      <c r="B22374" t="str">
        <v>Công an phường Vĩnh Ngươn  tỉnh An Giang</v>
      </c>
      <c r="C22374" t="str">
        <v>-</v>
      </c>
      <c r="D22374" t="str">
        <v>-</v>
      </c>
      <c r="E22374" t="str">
        <v/>
      </c>
      <c r="F22374" t="str">
        <v>-</v>
      </c>
      <c r="G22374" t="str">
        <v>-</v>
      </c>
    </row>
    <row r="22375">
      <c r="B22375" t="str">
        <v>UBND Ủy ban nhân dân phường Vĩnh Ngươn  tỉnh An Giang</v>
      </c>
      <c r="C22375" t="str">
        <v>-</v>
      </c>
      <c r="D22375" t="str">
        <v>-</v>
      </c>
      <c r="E22375" t="str">
        <v>-</v>
      </c>
      <c r="F22375" t="str">
        <v>-</v>
      </c>
      <c r="G22375" t="str">
        <v>-</v>
      </c>
    </row>
    <row r="22376">
      <c r="B22376" t="str">
        <v>Công an xã Vĩnh Tế  tỉnh An Giang</v>
      </c>
      <c r="C22376" t="str">
        <v>-</v>
      </c>
      <c r="D22376" t="str">
        <v>-</v>
      </c>
      <c r="E22376" t="str">
        <v/>
      </c>
      <c r="F22376" t="str">
        <v>-</v>
      </c>
      <c r="G22376" t="str">
        <v>-</v>
      </c>
    </row>
    <row r="22377">
      <c r="B22377" t="str">
        <v>UBND Ủy ban nhân dân xã Vĩnh Tế  tỉnh An Giang</v>
      </c>
      <c r="C22377" t="str">
        <v>-</v>
      </c>
      <c r="D22377" t="str">
        <v>-</v>
      </c>
      <c r="E22377" t="str">
        <v>-</v>
      </c>
      <c r="F22377" t="str">
        <v>-</v>
      </c>
      <c r="G22377" t="str">
        <v>-</v>
      </c>
    </row>
    <row r="22378">
      <c r="B22378" t="str">
        <v>Công an xã Vĩnh Châu  tỉnh An Giang</v>
      </c>
      <c r="C22378" t="str">
        <v>-</v>
      </c>
      <c r="D22378" t="str">
        <v>-</v>
      </c>
      <c r="E22378" t="str">
        <v/>
      </c>
      <c r="F22378" t="str">
        <v>-</v>
      </c>
      <c r="G22378" t="str">
        <v>-</v>
      </c>
    </row>
    <row r="22379">
      <c r="B22379" t="str">
        <v>UBND Ủy ban nhân dân xã Vĩnh Châu  tỉnh An Giang</v>
      </c>
      <c r="C22379" t="str">
        <v>-</v>
      </c>
      <c r="D22379" t="str">
        <v>-</v>
      </c>
      <c r="E22379" t="str">
        <v>-</v>
      </c>
      <c r="F22379" t="str">
        <v>-</v>
      </c>
      <c r="G22379" t="str">
        <v>-</v>
      </c>
    </row>
    <row r="22380">
      <c r="B22380" t="str">
        <v>Công an xã Khánh An  tỉnh An Giang</v>
      </c>
      <c r="C22380" t="str">
        <v>-</v>
      </c>
      <c r="D22380" t="str">
        <v>-</v>
      </c>
      <c r="E22380" t="str">
        <v/>
      </c>
      <c r="F22380" t="str">
        <v>-</v>
      </c>
      <c r="G22380" t="str">
        <v>-</v>
      </c>
    </row>
    <row r="22381">
      <c r="B22381" t="str">
        <v>UBND Ủy ban nhân dân xã Khánh An  tỉnh An Giang</v>
      </c>
      <c r="C22381" t="str">
        <v>-</v>
      </c>
      <c r="D22381" t="str">
        <v>-</v>
      </c>
      <c r="E22381" t="str">
        <v>-</v>
      </c>
      <c r="F22381" t="str">
        <v>-</v>
      </c>
      <c r="G22381" t="str">
        <v>-</v>
      </c>
    </row>
    <row r="22382">
      <c r="B22382" t="str">
        <v>Công an xã Khánh Bình  tỉnh An Giang</v>
      </c>
      <c r="C22382" t="str">
        <v>-</v>
      </c>
      <c r="D22382" t="str">
        <v>-</v>
      </c>
      <c r="E22382" t="str">
        <v/>
      </c>
      <c r="F22382" t="str">
        <v>-</v>
      </c>
      <c r="G22382" t="str">
        <v>-</v>
      </c>
    </row>
    <row r="22383">
      <c r="B22383" t="str">
        <v>UBND Ủy ban nhân dân xã Khánh Bình  tỉnh An Giang</v>
      </c>
      <c r="C22383" t="str">
        <v>-</v>
      </c>
      <c r="D22383" t="str">
        <v>-</v>
      </c>
      <c r="E22383" t="str">
        <v>-</v>
      </c>
      <c r="F22383" t="str">
        <v>-</v>
      </c>
      <c r="G22383" t="str">
        <v>-</v>
      </c>
    </row>
    <row r="22384">
      <c r="B22384" t="str">
        <v>Công an xã Quốc Thái  tỉnh An Giang</v>
      </c>
      <c r="C22384" t="str">
        <v>-</v>
      </c>
      <c r="D22384" t="str">
        <v>-</v>
      </c>
      <c r="E22384" t="str">
        <v/>
      </c>
      <c r="F22384" t="str">
        <v>-</v>
      </c>
      <c r="G22384" t="str">
        <v>-</v>
      </c>
    </row>
    <row r="22385">
      <c r="B22385" t="str">
        <v>UBND Ủy ban nhân dân xã Quốc Thái  tỉnh An Giang</v>
      </c>
      <c r="C22385" t="str">
        <v>-</v>
      </c>
      <c r="D22385" t="str">
        <v>-</v>
      </c>
      <c r="E22385" t="str">
        <v>-</v>
      </c>
      <c r="F22385" t="str">
        <v>-</v>
      </c>
      <c r="G22385" t="str">
        <v>-</v>
      </c>
    </row>
    <row r="22386">
      <c r="B22386" t="str">
        <v>Công an xã Nhơn Hội  tỉnh An Giang</v>
      </c>
      <c r="C22386" t="str">
        <v>-</v>
      </c>
      <c r="D22386" t="str">
        <v>-</v>
      </c>
      <c r="E22386" t="str">
        <v/>
      </c>
      <c r="F22386" t="str">
        <v>-</v>
      </c>
      <c r="G22386" t="str">
        <v>-</v>
      </c>
    </row>
    <row r="22387">
      <c r="B22387" t="str">
        <v>UBND Ủy ban nhân dân xã Nhơn Hội  tỉnh An Giang</v>
      </c>
      <c r="C22387" t="str">
        <v>-</v>
      </c>
      <c r="D22387" t="str">
        <v>-</v>
      </c>
      <c r="E22387" t="str">
        <v>-</v>
      </c>
      <c r="F22387" t="str">
        <v>-</v>
      </c>
      <c r="G22387" t="str">
        <v>-</v>
      </c>
    </row>
    <row r="22388">
      <c r="B22388" t="str">
        <v>Công an xã Phú Hữu  tỉnh An Giang</v>
      </c>
      <c r="C22388" t="str">
        <v>-</v>
      </c>
      <c r="D22388" t="str">
        <v>-</v>
      </c>
      <c r="E22388" t="str">
        <v/>
      </c>
      <c r="F22388" t="str">
        <v>-</v>
      </c>
      <c r="G22388" t="str">
        <v>-</v>
      </c>
    </row>
    <row r="22389">
      <c r="B22389" t="str">
        <v>UBND Ủy ban nhân dân xã Phú Hữu  tỉnh An Giang</v>
      </c>
      <c r="C22389" t="str">
        <v>-</v>
      </c>
      <c r="D22389" t="str">
        <v>-</v>
      </c>
      <c r="E22389" t="str">
        <v>-</v>
      </c>
      <c r="F22389" t="str">
        <v>-</v>
      </c>
      <c r="G22389" t="str">
        <v>-</v>
      </c>
    </row>
    <row r="22390">
      <c r="B22390" t="str">
        <v>Công an xã Phú Hội  tỉnh An Giang</v>
      </c>
      <c r="C22390" t="str">
        <v>-</v>
      </c>
      <c r="D22390" t="str">
        <v>-</v>
      </c>
      <c r="E22390" t="str">
        <v/>
      </c>
      <c r="F22390" t="str">
        <v>-</v>
      </c>
      <c r="G22390" t="str">
        <v>-</v>
      </c>
    </row>
    <row r="22391">
      <c r="B22391" t="str">
        <v>UBND Ủy ban nhân dân xã Phú Hội  tỉnh An Giang</v>
      </c>
      <c r="C22391" t="str">
        <v>-</v>
      </c>
      <c r="D22391" t="str">
        <v>-</v>
      </c>
      <c r="E22391" t="str">
        <v>-</v>
      </c>
      <c r="F22391" t="str">
        <v>-</v>
      </c>
      <c r="G22391" t="str">
        <v>-</v>
      </c>
    </row>
    <row r="22392">
      <c r="B22392" t="str">
        <v>Công an xã Phước Hưng  tỉnh An Giang</v>
      </c>
      <c r="C22392" t="str">
        <v>-</v>
      </c>
      <c r="D22392" t="str">
        <v>-</v>
      </c>
      <c r="E22392" t="str">
        <v/>
      </c>
      <c r="F22392" t="str">
        <v>-</v>
      </c>
      <c r="G22392" t="str">
        <v>-</v>
      </c>
    </row>
    <row r="22393">
      <c r="B22393" t="str">
        <v>UBND Ủy ban nhân dân xã Phước Hưng  tỉnh An Giang</v>
      </c>
      <c r="C22393" t="str">
        <v>-</v>
      </c>
      <c r="D22393" t="str">
        <v>-</v>
      </c>
      <c r="E22393" t="str">
        <v>-</v>
      </c>
      <c r="F22393" t="str">
        <v>-</v>
      </c>
      <c r="G22393" t="str">
        <v>-</v>
      </c>
    </row>
    <row r="22394">
      <c r="B22394" t="str">
        <v>Công an xã Vĩnh Lộc  tỉnh An Giang</v>
      </c>
      <c r="C22394" t="str">
        <v>-</v>
      </c>
      <c r="D22394" t="str">
        <v>-</v>
      </c>
      <c r="E22394" t="str">
        <v/>
      </c>
      <c r="F22394" t="str">
        <v>-</v>
      </c>
      <c r="G22394" t="str">
        <v>-</v>
      </c>
    </row>
    <row r="22395">
      <c r="B22395" t="str">
        <v>UBND Ủy ban nhân dân xã Vĩnh Lộc  tỉnh An Giang</v>
      </c>
      <c r="C22395" t="str">
        <v>-</v>
      </c>
      <c r="D22395" t="str">
        <v>-</v>
      </c>
      <c r="E22395" t="str">
        <v>-</v>
      </c>
      <c r="F22395" t="str">
        <v>-</v>
      </c>
      <c r="G22395" t="str">
        <v>-</v>
      </c>
    </row>
    <row r="22396">
      <c r="B22396" t="str">
        <v>Công an xã Vĩnh Hậu  tỉnh An Giang</v>
      </c>
      <c r="C22396" t="str">
        <v>-</v>
      </c>
      <c r="D22396" t="str">
        <v>-</v>
      </c>
      <c r="E22396" t="str">
        <v/>
      </c>
      <c r="F22396" t="str">
        <v>-</v>
      </c>
      <c r="G22396" t="str">
        <v>-</v>
      </c>
    </row>
    <row r="22397">
      <c r="B22397" t="str">
        <v>UBND Ủy ban nhân dân xã Vĩnh Hậu  tỉnh An Giang</v>
      </c>
      <c r="C22397" t="str">
        <v>-</v>
      </c>
      <c r="D22397" t="str">
        <v>-</v>
      </c>
      <c r="E22397" t="str">
        <v>-</v>
      </c>
      <c r="F22397" t="str">
        <v>-</v>
      </c>
      <c r="G22397" t="str">
        <v>-</v>
      </c>
    </row>
    <row r="22398">
      <c r="B22398" t="str">
        <v>Công an xã Vĩnh Trường  tỉnh An Giang</v>
      </c>
      <c r="C22398" t="str">
        <v>-</v>
      </c>
      <c r="D22398" t="str">
        <v>-</v>
      </c>
      <c r="E22398" t="str">
        <v/>
      </c>
      <c r="F22398" t="str">
        <v>-</v>
      </c>
      <c r="G22398" t="str">
        <v>-</v>
      </c>
    </row>
    <row r="22399">
      <c r="B22399" t="str">
        <v>UBND Ủy ban nhân dân xã Vĩnh Trường  tỉnh An Giang</v>
      </c>
      <c r="C22399" t="str">
        <v>-</v>
      </c>
      <c r="D22399" t="str">
        <v>-</v>
      </c>
      <c r="E22399" t="str">
        <v>-</v>
      </c>
      <c r="F22399" t="str">
        <v>-</v>
      </c>
      <c r="G22399" t="str">
        <v>-</v>
      </c>
    </row>
    <row r="22400">
      <c r="B22400" t="str">
        <v>Công an xã Vĩnh Hội Đông  tỉnh An Giang</v>
      </c>
      <c r="C22400" t="str">
        <v>-</v>
      </c>
      <c r="D22400" t="str">
        <v>-</v>
      </c>
      <c r="E22400" t="str">
        <v/>
      </c>
      <c r="F22400" t="str">
        <v>-</v>
      </c>
      <c r="G22400" t="str">
        <v>-</v>
      </c>
    </row>
    <row r="22401">
      <c r="B22401" t="str">
        <v>UBND Ủy ban nhân dân xã Vĩnh Hội Đông  tỉnh An Giang</v>
      </c>
      <c r="C22401" t="str">
        <v>-</v>
      </c>
      <c r="D22401" t="str">
        <v>-</v>
      </c>
      <c r="E22401" t="str">
        <v>-</v>
      </c>
      <c r="F22401" t="str">
        <v>-</v>
      </c>
      <c r="G22401" t="str">
        <v>-</v>
      </c>
    </row>
    <row r="22402">
      <c r="B22402" t="str">
        <v>Công an xã Đa Phước  tỉnh An Giang</v>
      </c>
      <c r="C22402" t="str">
        <v>-</v>
      </c>
      <c r="D22402" t="str">
        <v>-</v>
      </c>
      <c r="E22402" t="str">
        <v/>
      </c>
      <c r="F22402" t="str">
        <v>-</v>
      </c>
      <c r="G22402" t="str">
        <v>-</v>
      </c>
    </row>
    <row r="22403">
      <c r="B22403" t="str">
        <v>UBND Ủy ban nhân dân xã Đa Phước  tỉnh An Giang</v>
      </c>
      <c r="C22403" t="str">
        <v>-</v>
      </c>
      <c r="D22403" t="str">
        <v>-</v>
      </c>
      <c r="E22403" t="str">
        <v>-</v>
      </c>
      <c r="F22403" t="str">
        <v>-</v>
      </c>
      <c r="G22403" t="str">
        <v>-</v>
      </c>
    </row>
    <row r="22404">
      <c r="B22404" t="str">
        <v>Công an phường Long Thạnh  tỉnh An Giang</v>
      </c>
      <c r="C22404" t="str">
        <v>-</v>
      </c>
      <c r="D22404" t="str">
        <v>-</v>
      </c>
      <c r="E22404" t="str">
        <v/>
      </c>
      <c r="F22404" t="str">
        <v>-</v>
      </c>
      <c r="G22404" t="str">
        <v>-</v>
      </c>
    </row>
    <row r="22405">
      <c r="B22405" t="str">
        <v>UBND Ủy ban nhân dân phường Long Thạnh  tỉnh An Giang</v>
      </c>
      <c r="C22405" t="str">
        <v>-</v>
      </c>
      <c r="D22405" t="str">
        <v>-</v>
      </c>
      <c r="E22405" t="str">
        <v>-</v>
      </c>
      <c r="F22405" t="str">
        <v>-</v>
      </c>
      <c r="G22405" t="str">
        <v>-</v>
      </c>
    </row>
    <row r="22406">
      <c r="B22406" t="str">
        <v>Công an phường Long Hưng  tỉnh An Giang</v>
      </c>
      <c r="C22406" t="str">
        <v>-</v>
      </c>
      <c r="D22406" t="str">
        <v>-</v>
      </c>
      <c r="E22406" t="str">
        <v/>
      </c>
      <c r="F22406" t="str">
        <v>-</v>
      </c>
      <c r="G22406" t="str">
        <v>-</v>
      </c>
    </row>
    <row r="22407">
      <c r="B22407" t="str">
        <v>UBND Ủy ban nhân dân phường Long Hưng  tỉnh An Giang</v>
      </c>
      <c r="C22407" t="str">
        <v>-</v>
      </c>
      <c r="D22407" t="str">
        <v>-</v>
      </c>
      <c r="E22407" t="str">
        <v>-</v>
      </c>
      <c r="F22407" t="str">
        <v>-</v>
      </c>
      <c r="G22407" t="str">
        <v>-</v>
      </c>
    </row>
    <row r="22408">
      <c r="B22408" t="str">
        <v>Công an phường Long Châu  tỉnh An Giang</v>
      </c>
      <c r="C22408" t="str">
        <v>-</v>
      </c>
      <c r="D22408" t="str">
        <v>-</v>
      </c>
      <c r="E22408" t="str">
        <v/>
      </c>
      <c r="F22408" t="str">
        <v>-</v>
      </c>
      <c r="G22408" t="str">
        <v>-</v>
      </c>
    </row>
    <row r="22409">
      <c r="B22409" t="str">
        <v>UBND Ủy ban nhân dân phường Long Châu  tỉnh An Giang</v>
      </c>
      <c r="C22409" t="str">
        <v>-</v>
      </c>
      <c r="D22409" t="str">
        <v>-</v>
      </c>
      <c r="E22409" t="str">
        <v>-</v>
      </c>
      <c r="F22409" t="str">
        <v>-</v>
      </c>
      <c r="G22409" t="str">
        <v>-</v>
      </c>
    </row>
    <row r="22410">
      <c r="B22410" t="str">
        <v>Công an xã Phú Lộc  tỉnh An Giang</v>
      </c>
      <c r="C22410" t="str">
        <v>-</v>
      </c>
      <c r="D22410" t="str">
        <v>-</v>
      </c>
      <c r="E22410" t="str">
        <v/>
      </c>
      <c r="F22410" t="str">
        <v>-</v>
      </c>
      <c r="G22410" t="str">
        <v>-</v>
      </c>
    </row>
    <row r="22411">
      <c r="B22411" t="str">
        <v>UBND Ủy ban nhân dân xã Phú Lộc  tỉnh An Giang</v>
      </c>
      <c r="C22411" t="str">
        <v>-</v>
      </c>
      <c r="D22411" t="str">
        <v>-</v>
      </c>
      <c r="E22411" t="str">
        <v>-</v>
      </c>
      <c r="F22411" t="str">
        <v>-</v>
      </c>
      <c r="G22411" t="str">
        <v>-</v>
      </c>
    </row>
    <row r="22412">
      <c r="B22412" t="str">
        <v>Công an xã Vĩnh Xương  tỉnh An Giang</v>
      </c>
      <c r="C22412" t="str">
        <v>-</v>
      </c>
      <c r="D22412" t="str">
        <v>-</v>
      </c>
      <c r="E22412" t="str">
        <v/>
      </c>
      <c r="F22412" t="str">
        <v>-</v>
      </c>
      <c r="G22412" t="str">
        <v>-</v>
      </c>
    </row>
    <row r="22413">
      <c r="B22413" t="str">
        <v>UBND Ủy ban nhân dân xã Vĩnh Xương  tỉnh An Giang</v>
      </c>
      <c r="C22413" t="str">
        <v>-</v>
      </c>
      <c r="D22413" t="str">
        <v>-</v>
      </c>
      <c r="E22413" t="str">
        <v>-</v>
      </c>
      <c r="F22413" t="str">
        <v>-</v>
      </c>
      <c r="G22413" t="str">
        <v>-</v>
      </c>
    </row>
    <row r="22414">
      <c r="B22414" t="str">
        <v>Công an xã Vĩnh Hòa  tỉnh An Giang</v>
      </c>
      <c r="C22414" t="str">
        <v>-</v>
      </c>
      <c r="D22414" t="str">
        <v>-</v>
      </c>
      <c r="E22414" t="str">
        <v/>
      </c>
      <c r="F22414" t="str">
        <v>-</v>
      </c>
      <c r="G22414" t="str">
        <v>-</v>
      </c>
    </row>
    <row r="22415">
      <c r="B22415" t="str">
        <v>UBND Ủy ban nhân dân xã Vĩnh Hòa  tỉnh An Giang</v>
      </c>
      <c r="C22415" t="str">
        <v>-</v>
      </c>
      <c r="D22415" t="str">
        <v>-</v>
      </c>
      <c r="E22415" t="str">
        <v>-</v>
      </c>
      <c r="F22415" t="str">
        <v>-</v>
      </c>
      <c r="G22415" t="str">
        <v>-</v>
      </c>
    </row>
    <row r="22416">
      <c r="B22416" t="str">
        <v>Công an xã Tân Thạnh  tỉnh An Giang</v>
      </c>
      <c r="C22416" t="str">
        <v>-</v>
      </c>
      <c r="D22416" t="str">
        <v>-</v>
      </c>
      <c r="E22416" t="str">
        <v/>
      </c>
      <c r="F22416" t="str">
        <v>-</v>
      </c>
      <c r="G22416" t="str">
        <v>-</v>
      </c>
    </row>
    <row r="22417">
      <c r="B22417" t="str">
        <v>UBND Ủy ban nhân dân xã Tân Thạnh  tỉnh An Giang</v>
      </c>
      <c r="C22417" t="str">
        <v>-</v>
      </c>
      <c r="D22417" t="str">
        <v>-</v>
      </c>
      <c r="E22417" t="str">
        <v>-</v>
      </c>
      <c r="F22417" t="str">
        <v>-</v>
      </c>
      <c r="G22417" t="str">
        <v>-</v>
      </c>
    </row>
    <row r="22418">
      <c r="B22418" t="str">
        <v>Công an xã Tân An  tỉnh An Giang</v>
      </c>
      <c r="C22418" t="str">
        <v>-</v>
      </c>
      <c r="D22418" t="str">
        <v>-</v>
      </c>
      <c r="E22418" t="str">
        <v/>
      </c>
      <c r="F22418" t="str">
        <v>-</v>
      </c>
      <c r="G22418" t="str">
        <v>-</v>
      </c>
    </row>
    <row r="22419">
      <c r="B22419" t="str">
        <v>UBND Ủy ban nhân dân xã Tân An  tỉnh An Giang</v>
      </c>
      <c r="C22419" t="str">
        <v>-</v>
      </c>
      <c r="D22419" t="str">
        <v>-</v>
      </c>
      <c r="E22419" t="str">
        <v>-</v>
      </c>
      <c r="F22419" t="str">
        <v>-</v>
      </c>
      <c r="G22419" t="str">
        <v>-</v>
      </c>
    </row>
    <row r="22420">
      <c r="B22420" t="str">
        <v>Công an xã Long An  tỉnh An Giang</v>
      </c>
      <c r="C22420" t="str">
        <v>-</v>
      </c>
      <c r="D22420" t="str">
        <v>-</v>
      </c>
      <c r="E22420" t="str">
        <v/>
      </c>
      <c r="F22420" t="str">
        <v>-</v>
      </c>
      <c r="G22420" t="str">
        <v>-</v>
      </c>
    </row>
    <row r="22421">
      <c r="B22421" t="str">
        <v>UBND Ủy ban nhân dân xã Long An  tỉnh An Giang</v>
      </c>
      <c r="C22421" t="str">
        <v>-</v>
      </c>
      <c r="D22421" t="str">
        <v>-</v>
      </c>
      <c r="E22421" t="str">
        <v>-</v>
      </c>
      <c r="F22421" t="str">
        <v>-</v>
      </c>
      <c r="G22421" t="str">
        <v>-</v>
      </c>
    </row>
    <row r="22422">
      <c r="B22422" t="str">
        <v>Công an phường Long Phú  tỉnh An Giang</v>
      </c>
      <c r="C22422" t="str">
        <v>-</v>
      </c>
      <c r="D22422" t="str">
        <v>-</v>
      </c>
      <c r="E22422" t="str">
        <v/>
      </c>
      <c r="F22422" t="str">
        <v>-</v>
      </c>
      <c r="G22422" t="str">
        <v>-</v>
      </c>
    </row>
    <row r="22423">
      <c r="B22423" t="str">
        <v>UBND Ủy ban nhân dân phường Long Phú  tỉnh An Giang</v>
      </c>
      <c r="C22423" t="str">
        <v>-</v>
      </c>
      <c r="D22423" t="str">
        <v>-</v>
      </c>
      <c r="E22423" t="str">
        <v>-</v>
      </c>
      <c r="F22423" t="str">
        <v>-</v>
      </c>
      <c r="G22423" t="str">
        <v>-</v>
      </c>
    </row>
    <row r="22424">
      <c r="B22424" t="str">
        <v>Công an xã Châu Phong  tỉnh An Giang</v>
      </c>
      <c r="C22424" t="str">
        <v>-</v>
      </c>
      <c r="D22424" t="str">
        <v>-</v>
      </c>
      <c r="E22424" t="str">
        <v/>
      </c>
      <c r="F22424" t="str">
        <v>-</v>
      </c>
      <c r="G22424" t="str">
        <v>-</v>
      </c>
    </row>
    <row r="22425">
      <c r="B22425" t="str">
        <v>UBND Ủy ban nhân dân xã Châu Phong  tỉnh An Giang</v>
      </c>
      <c r="C22425" t="str">
        <v>-</v>
      </c>
      <c r="D22425" t="str">
        <v>-</v>
      </c>
      <c r="E22425" t="str">
        <v>-</v>
      </c>
      <c r="F22425" t="str">
        <v>-</v>
      </c>
      <c r="G22425" t="str">
        <v>-</v>
      </c>
    </row>
    <row r="22426">
      <c r="B22426" t="str">
        <v>Công an xã Phú Vĩnh  tỉnh An Giang</v>
      </c>
      <c r="C22426" t="str">
        <v>-</v>
      </c>
      <c r="D22426" t="str">
        <v>-</v>
      </c>
      <c r="E22426" t="str">
        <v/>
      </c>
      <c r="F22426" t="str">
        <v>-</v>
      </c>
      <c r="G22426" t="str">
        <v>-</v>
      </c>
    </row>
    <row r="22427">
      <c r="B22427" t="str">
        <v>UBND Ủy ban nhân dân xã Phú Vĩnh  tỉnh An Giang</v>
      </c>
      <c r="C22427" t="str">
        <v>-</v>
      </c>
      <c r="D22427" t="str">
        <v>-</v>
      </c>
      <c r="E22427" t="str">
        <v>-</v>
      </c>
      <c r="F22427" t="str">
        <v>-</v>
      </c>
      <c r="G22427" t="str">
        <v>-</v>
      </c>
    </row>
    <row r="22428">
      <c r="B22428" t="str">
        <v>Công an xã Lê Chánh  tỉnh An Giang</v>
      </c>
      <c r="C22428" t="str">
        <v>-</v>
      </c>
      <c r="D22428" t="str">
        <v>-</v>
      </c>
      <c r="E22428" t="str">
        <v/>
      </c>
      <c r="F22428" t="str">
        <v>-</v>
      </c>
      <c r="G22428" t="str">
        <v>-</v>
      </c>
    </row>
    <row r="22429">
      <c r="B22429" t="str">
        <v>UBND Ủy ban nhân dân xã Lê Chánh  tỉnh An Giang</v>
      </c>
      <c r="C22429" t="str">
        <v>-</v>
      </c>
      <c r="D22429" t="str">
        <v>-</v>
      </c>
      <c r="E22429" t="str">
        <v>-</v>
      </c>
      <c r="F22429" t="str">
        <v>-</v>
      </c>
      <c r="G22429" t="str">
        <v>-</v>
      </c>
    </row>
    <row r="22430">
      <c r="B22430" t="str">
        <v>Công an phường Long Sơn  tỉnh An Giang</v>
      </c>
      <c r="C22430" t="str">
        <v>-</v>
      </c>
      <c r="D22430" t="str">
        <v>-</v>
      </c>
      <c r="E22430" t="str">
        <v/>
      </c>
      <c r="F22430" t="str">
        <v>-</v>
      </c>
      <c r="G22430" t="str">
        <v>-</v>
      </c>
    </row>
    <row r="22431">
      <c r="B22431" t="str">
        <v>UBND Ủy ban nhân dân phường Long Sơn  tỉnh An Giang</v>
      </c>
      <c r="C22431" t="str">
        <v>-</v>
      </c>
      <c r="D22431" t="str">
        <v>-</v>
      </c>
      <c r="E22431" t="str">
        <v>-</v>
      </c>
      <c r="F22431" t="str">
        <v>-</v>
      </c>
      <c r="G22431" t="str">
        <v>-</v>
      </c>
    </row>
    <row r="22432">
      <c r="B22432" t="str">
        <v>Công an xã Long Hoà  tỉnh An Giang</v>
      </c>
      <c r="C22432" t="str">
        <v>-</v>
      </c>
      <c r="D22432" t="str">
        <v>-</v>
      </c>
      <c r="E22432" t="str">
        <v/>
      </c>
      <c r="F22432" t="str">
        <v>-</v>
      </c>
      <c r="G22432" t="str">
        <v>-</v>
      </c>
    </row>
    <row r="22433">
      <c r="B22433" t="str">
        <v>UBND Ủy ban nhân dân xã Long Hoà  tỉnh An Giang</v>
      </c>
      <c r="C22433" t="str">
        <v>-</v>
      </c>
      <c r="D22433" t="str">
        <v>-</v>
      </c>
      <c r="E22433" t="str">
        <v>-</v>
      </c>
      <c r="F22433" t="str">
        <v>-</v>
      </c>
      <c r="G22433" t="str">
        <v>-</v>
      </c>
    </row>
    <row r="22434">
      <c r="B22434" t="str">
        <v>Công an xã Phú Long  tỉnh An Giang</v>
      </c>
      <c r="C22434" t="str">
        <v>-</v>
      </c>
      <c r="D22434" t="str">
        <v>-</v>
      </c>
      <c r="E22434" t="str">
        <v/>
      </c>
      <c r="F22434" t="str">
        <v>-</v>
      </c>
      <c r="G22434" t="str">
        <v>-</v>
      </c>
    </row>
    <row r="22435">
      <c r="B22435" t="str">
        <v>UBND Ủy ban nhân dân xã Phú Long  tỉnh An Giang</v>
      </c>
      <c r="C22435" t="str">
        <v>-</v>
      </c>
      <c r="D22435" t="str">
        <v>-</v>
      </c>
      <c r="E22435" t="str">
        <v>-</v>
      </c>
      <c r="F22435" t="str">
        <v>-</v>
      </c>
      <c r="G22435" t="str">
        <v>-</v>
      </c>
    </row>
    <row r="22436">
      <c r="B22436" t="str">
        <v>Công an xã Phú Lâm  tỉnh An Giang</v>
      </c>
      <c r="C22436" t="str">
        <v>-</v>
      </c>
      <c r="D22436" t="str">
        <v>-</v>
      </c>
      <c r="E22436" t="str">
        <v/>
      </c>
      <c r="F22436" t="str">
        <v>-</v>
      </c>
      <c r="G22436" t="str">
        <v>-</v>
      </c>
    </row>
    <row r="22437">
      <c r="B22437" t="str">
        <v>UBND Ủy ban nhân dân xã Phú Lâm  tỉnh An Giang</v>
      </c>
      <c r="C22437" t="str">
        <v>-</v>
      </c>
      <c r="D22437" t="str">
        <v>-</v>
      </c>
      <c r="E22437" t="str">
        <v>-</v>
      </c>
      <c r="F22437" t="str">
        <v>-</v>
      </c>
      <c r="G22437" t="str">
        <v>-</v>
      </c>
    </row>
    <row r="22438">
      <c r="B22438" t="str">
        <v>Công an xã Phú Hiệp  tỉnh An Giang</v>
      </c>
      <c r="C22438" t="str">
        <v>-</v>
      </c>
      <c r="D22438" t="str">
        <v>-</v>
      </c>
      <c r="E22438" t="str">
        <v/>
      </c>
      <c r="F22438" t="str">
        <v>-</v>
      </c>
      <c r="G22438" t="str">
        <v>-</v>
      </c>
    </row>
    <row r="22439">
      <c r="B22439" t="str">
        <v>UBND Ủy ban nhân dân xã Phú Hiệp  tỉnh An Giang</v>
      </c>
      <c r="C22439" t="str">
        <v>-</v>
      </c>
      <c r="D22439" t="str">
        <v>-</v>
      </c>
      <c r="E22439" t="str">
        <v>-</v>
      </c>
      <c r="F22439" t="str">
        <v>-</v>
      </c>
      <c r="G22439" t="str">
        <v>-</v>
      </c>
    </row>
    <row r="22440">
      <c r="B22440" t="str">
        <v>Công an xã Phú Thạnh  tỉnh An Giang</v>
      </c>
      <c r="C22440" t="str">
        <v>-</v>
      </c>
      <c r="D22440" t="str">
        <v>-</v>
      </c>
      <c r="E22440" t="str">
        <v/>
      </c>
      <c r="F22440" t="str">
        <v>-</v>
      </c>
      <c r="G22440" t="str">
        <v>-</v>
      </c>
    </row>
    <row r="22441">
      <c r="B22441" t="str">
        <v>UBND Ủy ban nhân dân xã Phú Thạnh  tỉnh An Giang</v>
      </c>
      <c r="C22441" t="str">
        <v>-</v>
      </c>
      <c r="D22441" t="str">
        <v>-</v>
      </c>
      <c r="E22441" t="str">
        <v>-</v>
      </c>
      <c r="F22441" t="str">
        <v>-</v>
      </c>
      <c r="G22441" t="str">
        <v>-</v>
      </c>
    </row>
    <row r="22442">
      <c r="B22442" t="str">
        <v>Công an xã Hoà Lạc  tỉnh An Giang</v>
      </c>
      <c r="C22442" t="str">
        <v>-</v>
      </c>
      <c r="D22442" t="str">
        <v>-</v>
      </c>
      <c r="E22442" t="str">
        <v/>
      </c>
      <c r="F22442" t="str">
        <v>-</v>
      </c>
      <c r="G22442" t="str">
        <v>-</v>
      </c>
    </row>
    <row r="22443">
      <c r="B22443" t="str">
        <v>UBND Ủy ban nhân dân xã Hoà Lạc  tỉnh An Giang</v>
      </c>
      <c r="C22443" t="str">
        <v>-</v>
      </c>
      <c r="D22443" t="str">
        <v>-</v>
      </c>
      <c r="E22443" t="str">
        <v>-</v>
      </c>
      <c r="F22443" t="str">
        <v>-</v>
      </c>
      <c r="G22443" t="str">
        <v>-</v>
      </c>
    </row>
    <row r="22444">
      <c r="B22444" t="str">
        <v>Công an xã Phú Thành  tỉnh An Giang</v>
      </c>
      <c r="C22444" t="str">
        <v>-</v>
      </c>
      <c r="D22444" t="str">
        <v>-</v>
      </c>
      <c r="E22444" t="str">
        <v/>
      </c>
      <c r="F22444" t="str">
        <v>-</v>
      </c>
      <c r="G22444" t="str">
        <v>-</v>
      </c>
    </row>
    <row r="22445">
      <c r="B22445" t="str">
        <v>UBND Ủy ban nhân dân xã Phú Thành  tỉnh An Giang</v>
      </c>
      <c r="C22445" t="str">
        <v>-</v>
      </c>
      <c r="D22445" t="str">
        <v>-</v>
      </c>
      <c r="E22445" t="str">
        <v>-</v>
      </c>
      <c r="F22445" t="str">
        <v>-</v>
      </c>
      <c r="G22445" t="str">
        <v>-</v>
      </c>
    </row>
    <row r="22446">
      <c r="B22446" t="str">
        <v>Công an xã Phú An  tỉnh An Giang</v>
      </c>
      <c r="C22446" t="str">
        <v>-</v>
      </c>
      <c r="D22446" t="str">
        <v>-</v>
      </c>
      <c r="E22446" t="str">
        <v/>
      </c>
      <c r="F22446" t="str">
        <v>-</v>
      </c>
      <c r="G22446" t="str">
        <v>-</v>
      </c>
    </row>
    <row r="22447">
      <c r="B22447" t="str">
        <v>UBND Ủy ban nhân dân xã Phú An  tỉnh An Giang</v>
      </c>
      <c r="C22447" t="str">
        <v>-</v>
      </c>
      <c r="D22447" t="str">
        <v>-</v>
      </c>
      <c r="E22447" t="str">
        <v>-</v>
      </c>
      <c r="F22447" t="str">
        <v>-</v>
      </c>
      <c r="G22447" t="str">
        <v>-</v>
      </c>
    </row>
    <row r="22448">
      <c r="B22448" t="str">
        <v>Công an xã Phú Xuân  tỉnh An Giang</v>
      </c>
      <c r="C22448" t="str">
        <v>-</v>
      </c>
      <c r="D22448" t="str">
        <v>-</v>
      </c>
      <c r="E22448" t="str">
        <v/>
      </c>
      <c r="F22448" t="str">
        <v>-</v>
      </c>
      <c r="G22448" t="str">
        <v>-</v>
      </c>
    </row>
    <row r="22449">
      <c r="B22449" t="str">
        <v>UBND Ủy ban nhân dân xã Phú Xuân  tỉnh An Giang</v>
      </c>
      <c r="C22449" t="str">
        <v>-</v>
      </c>
      <c r="D22449" t="str">
        <v>-</v>
      </c>
      <c r="E22449" t="str">
        <v>-</v>
      </c>
      <c r="F22449" t="str">
        <v>-</v>
      </c>
      <c r="G22449" t="str">
        <v>-</v>
      </c>
    </row>
    <row r="22450">
      <c r="B22450" t="str">
        <v>Công an xã Hiệp Xương  tỉnh An Giang</v>
      </c>
      <c r="C22450" t="str">
        <v>-</v>
      </c>
      <c r="D22450" t="str">
        <v>-</v>
      </c>
      <c r="E22450" t="str">
        <v/>
      </c>
      <c r="F22450" t="str">
        <v>-</v>
      </c>
      <c r="G22450" t="str">
        <v>-</v>
      </c>
    </row>
    <row r="22451">
      <c r="B22451" t="str">
        <v>UBND Ủy ban nhân dân xã Hiệp Xương  tỉnh An Giang</v>
      </c>
      <c r="C22451" t="str">
        <v>-</v>
      </c>
      <c r="D22451" t="str">
        <v>-</v>
      </c>
      <c r="E22451" t="str">
        <v>-</v>
      </c>
      <c r="F22451" t="str">
        <v>-</v>
      </c>
      <c r="G22451" t="str">
        <v>-</v>
      </c>
    </row>
    <row r="22452">
      <c r="B22452" t="str">
        <v>Công an xã Phú Bình  tỉnh An Giang</v>
      </c>
      <c r="C22452" t="str">
        <v>-</v>
      </c>
      <c r="D22452" t="str">
        <v>-</v>
      </c>
      <c r="E22452" t="str">
        <v/>
      </c>
      <c r="F22452" t="str">
        <v>-</v>
      </c>
      <c r="G22452" t="str">
        <v>-</v>
      </c>
    </row>
    <row r="22453">
      <c r="B22453" t="str">
        <v>UBND Ủy ban nhân dân xã Phú Bình  tỉnh An Giang</v>
      </c>
      <c r="C22453" t="str">
        <v>-</v>
      </c>
      <c r="D22453" t="str">
        <v>-</v>
      </c>
      <c r="E22453" t="str">
        <v>-</v>
      </c>
      <c r="F22453" t="str">
        <v>-</v>
      </c>
      <c r="G22453" t="str">
        <v>-</v>
      </c>
    </row>
    <row r="22454">
      <c r="B22454" t="str">
        <v>Công an xã Phú Thọ  tỉnh An Giang</v>
      </c>
      <c r="C22454" t="str">
        <v>-</v>
      </c>
      <c r="D22454" t="str">
        <v>-</v>
      </c>
      <c r="E22454" t="str">
        <v/>
      </c>
      <c r="F22454" t="str">
        <v>-</v>
      </c>
      <c r="G22454" t="str">
        <v>-</v>
      </c>
    </row>
    <row r="22455">
      <c r="B22455" t="str">
        <v>UBND Ủy ban nhân dân xã Phú Thọ  tỉnh An Giang</v>
      </c>
      <c r="C22455" t="str">
        <v>-</v>
      </c>
      <c r="D22455" t="str">
        <v>-</v>
      </c>
      <c r="E22455" t="str">
        <v>-</v>
      </c>
      <c r="F22455" t="str">
        <v>-</v>
      </c>
      <c r="G22455" t="str">
        <v>-</v>
      </c>
    </row>
    <row r="22456">
      <c r="B22456" t="str">
        <v>Công an xã Phú Hưng  tỉnh An Giang</v>
      </c>
      <c r="C22456" t="str">
        <v>-</v>
      </c>
      <c r="D22456" t="str">
        <v>-</v>
      </c>
      <c r="E22456" t="str">
        <v/>
      </c>
      <c r="F22456" t="str">
        <v>-</v>
      </c>
      <c r="G22456" t="str">
        <v>-</v>
      </c>
    </row>
    <row r="22457">
      <c r="B22457" t="str">
        <v>UBND Ủy ban nhân dân xã Phú Hưng  tỉnh An Giang</v>
      </c>
      <c r="C22457" t="str">
        <v>-</v>
      </c>
      <c r="D22457" t="str">
        <v>-</v>
      </c>
      <c r="E22457" t="str">
        <v>-</v>
      </c>
      <c r="F22457" t="str">
        <v>-</v>
      </c>
      <c r="G22457" t="str">
        <v>-</v>
      </c>
    </row>
    <row r="22458">
      <c r="B22458" t="str">
        <v>Công an xã Bình Thạnh Đông  tỉnh An Giang</v>
      </c>
      <c r="C22458" t="str">
        <v>-</v>
      </c>
      <c r="D22458" t="str">
        <v>-</v>
      </c>
      <c r="E22458" t="str">
        <v/>
      </c>
      <c r="F22458" t="str">
        <v>-</v>
      </c>
      <c r="G22458" t="str">
        <v>-</v>
      </c>
    </row>
    <row r="22459">
      <c r="B22459" t="str">
        <v>UBND Ủy ban nhân dân xã Bình Thạnh Đông  tỉnh An Giang</v>
      </c>
      <c r="C22459" t="str">
        <v>-</v>
      </c>
      <c r="D22459" t="str">
        <v>-</v>
      </c>
      <c r="E22459" t="str">
        <v>-</v>
      </c>
      <c r="F22459" t="str">
        <v>-</v>
      </c>
      <c r="G22459" t="str">
        <v>-</v>
      </c>
    </row>
    <row r="22460">
      <c r="B22460" t="str">
        <v>Công an xã Tân Hòa  tỉnh An Giang</v>
      </c>
      <c r="C22460" t="str">
        <v>-</v>
      </c>
      <c r="D22460" t="str">
        <v>-</v>
      </c>
      <c r="E22460" t="str">
        <v/>
      </c>
      <c r="F22460" t="str">
        <v>-</v>
      </c>
      <c r="G22460" t="str">
        <v>-</v>
      </c>
    </row>
    <row r="22461">
      <c r="B22461" t="str">
        <v>UBND Ủy ban nhân dân xã Tân Hòa  tỉnh An Giang</v>
      </c>
      <c r="C22461" t="str">
        <v>-</v>
      </c>
      <c r="D22461" t="str">
        <v>-</v>
      </c>
      <c r="E22461" t="str">
        <v>-</v>
      </c>
      <c r="F22461" t="str">
        <v>-</v>
      </c>
      <c r="G22461" t="str">
        <v>-</v>
      </c>
    </row>
    <row r="22462">
      <c r="B22462" t="str">
        <v>Công an xã Tân Trung  tỉnh An Giang</v>
      </c>
      <c r="C22462" t="str">
        <v>-</v>
      </c>
      <c r="D22462" t="str">
        <v>-</v>
      </c>
      <c r="E22462" t="str">
        <v/>
      </c>
      <c r="F22462" t="str">
        <v>-</v>
      </c>
      <c r="G22462" t="str">
        <v>-</v>
      </c>
    </row>
    <row r="22463">
      <c r="B22463" t="str">
        <v>UBND Ủy ban nhân dân xã Tân Trung  tỉnh An Giang</v>
      </c>
      <c r="C22463" t="str">
        <v>-</v>
      </c>
      <c r="D22463" t="str">
        <v>-</v>
      </c>
      <c r="E22463" t="str">
        <v>-</v>
      </c>
      <c r="F22463" t="str">
        <v>-</v>
      </c>
      <c r="G22463" t="str">
        <v>-</v>
      </c>
    </row>
    <row r="22464">
      <c r="B22464" t="str">
        <v>Công an xã Khánh Hòa  tỉnh An Giang</v>
      </c>
      <c r="C22464" t="str">
        <v>-</v>
      </c>
      <c r="D22464" t="str">
        <v>-</v>
      </c>
      <c r="E22464" t="str">
        <v/>
      </c>
      <c r="F22464" t="str">
        <v>-</v>
      </c>
      <c r="G22464" t="str">
        <v>-</v>
      </c>
    </row>
    <row r="22465">
      <c r="B22465" t="str">
        <v>UBND Ủy ban nhân dân xã Khánh Hòa  tỉnh An Giang</v>
      </c>
      <c r="C22465" t="str">
        <v>-</v>
      </c>
      <c r="D22465" t="str">
        <v>-</v>
      </c>
      <c r="E22465" t="str">
        <v>-</v>
      </c>
      <c r="F22465" t="str">
        <v>-</v>
      </c>
      <c r="G22465" t="str">
        <v>-</v>
      </c>
    </row>
    <row r="22466">
      <c r="B22466" t="str">
        <v>Công an xã Mỹ Đức  tỉnh An Giang</v>
      </c>
      <c r="C22466" t="str">
        <v>-</v>
      </c>
      <c r="D22466" t="str">
        <v>-</v>
      </c>
      <c r="E22466" t="str">
        <v/>
      </c>
      <c r="F22466" t="str">
        <v>-</v>
      </c>
      <c r="G22466" t="str">
        <v>-</v>
      </c>
    </row>
    <row r="22467">
      <c r="B22467" t="str">
        <v>UBND Ủy ban nhân dân xã Mỹ Đức  tỉnh An Giang</v>
      </c>
      <c r="C22467" t="str">
        <v>-</v>
      </c>
      <c r="D22467" t="str">
        <v>-</v>
      </c>
      <c r="E22467" t="str">
        <v>-</v>
      </c>
      <c r="F22467" t="str">
        <v>-</v>
      </c>
      <c r="G22467" t="str">
        <v>-</v>
      </c>
    </row>
    <row r="22468">
      <c r="B22468" t="str">
        <v>Công an xã Mỹ Phú  tỉnh An Giang</v>
      </c>
      <c r="C22468" t="str">
        <v>-</v>
      </c>
      <c r="D22468" t="str">
        <v>-</v>
      </c>
      <c r="E22468" t="str">
        <v/>
      </c>
      <c r="F22468" t="str">
        <v>-</v>
      </c>
      <c r="G22468" t="str">
        <v>-</v>
      </c>
    </row>
    <row r="22469">
      <c r="B22469" t="str">
        <v>UBND Ủy ban nhân dân xã Mỹ Phú  tỉnh An Giang</v>
      </c>
      <c r="C22469" t="str">
        <v>-</v>
      </c>
      <c r="D22469" t="str">
        <v>-</v>
      </c>
      <c r="E22469" t="str">
        <v>-</v>
      </c>
      <c r="F22469" t="str">
        <v>-</v>
      </c>
      <c r="G22469" t="str">
        <v>-</v>
      </c>
    </row>
    <row r="22470">
      <c r="B22470" t="str">
        <v>Công an xã Ô Long Vỹ  tỉnh An Giang</v>
      </c>
      <c r="C22470" t="str">
        <v>-</v>
      </c>
      <c r="D22470" t="str">
        <v>-</v>
      </c>
      <c r="E22470" t="str">
        <v/>
      </c>
      <c r="F22470" t="str">
        <v>-</v>
      </c>
      <c r="G22470" t="str">
        <v>-</v>
      </c>
    </row>
    <row r="22471">
      <c r="B22471" t="str">
        <v>UBND Ủy ban nhân dân xã Ô Long Vỹ  tỉnh An Giang</v>
      </c>
      <c r="C22471" t="str">
        <v>-</v>
      </c>
      <c r="D22471" t="str">
        <v>-</v>
      </c>
      <c r="E22471" t="str">
        <v>-</v>
      </c>
      <c r="F22471" t="str">
        <v>-</v>
      </c>
      <c r="G22471" t="str">
        <v>-</v>
      </c>
    </row>
    <row r="22472">
      <c r="B22472" t="str">
        <v>Công an xã Vĩnh Thạnh Trung  tỉnh An Giang</v>
      </c>
      <c r="C22472" t="str">
        <v>-</v>
      </c>
      <c r="D22472" t="str">
        <v>-</v>
      </c>
      <c r="E22472" t="str">
        <v/>
      </c>
      <c r="F22472" t="str">
        <v>-</v>
      </c>
      <c r="G22472" t="str">
        <v>-</v>
      </c>
    </row>
    <row r="22473">
      <c r="B22473" t="str">
        <v>UBND Ủy ban nhân dân xã Vĩnh Thạnh Trung  tỉnh An Giang</v>
      </c>
      <c r="C22473" t="str">
        <v>-</v>
      </c>
      <c r="D22473" t="str">
        <v>-</v>
      </c>
      <c r="E22473" t="str">
        <v>-</v>
      </c>
      <c r="F22473" t="str">
        <v>-</v>
      </c>
      <c r="G22473" t="str">
        <v>-</v>
      </c>
    </row>
    <row r="22474">
      <c r="B22474" t="str">
        <v>Công an xã Thạnh Mỹ Tây  tỉnh An Giang</v>
      </c>
      <c r="C22474" t="str">
        <v>-</v>
      </c>
      <c r="D22474" t="str">
        <v>-</v>
      </c>
      <c r="E22474" t="str">
        <v/>
      </c>
      <c r="F22474" t="str">
        <v>-</v>
      </c>
      <c r="G22474" t="str">
        <v>-</v>
      </c>
    </row>
    <row r="22475">
      <c r="B22475" t="str">
        <v>UBND Ủy ban nhân dân xã Thạnh Mỹ Tây  tỉnh An Giang</v>
      </c>
      <c r="C22475" t="str">
        <v>-</v>
      </c>
      <c r="D22475" t="str">
        <v>-</v>
      </c>
      <c r="E22475" t="str">
        <v>-</v>
      </c>
      <c r="F22475" t="str">
        <v>-</v>
      </c>
      <c r="G22475" t="str">
        <v>-</v>
      </c>
    </row>
    <row r="22476">
      <c r="B22476" t="str">
        <v>Công an xã Bình Long  tỉnh An Giang</v>
      </c>
      <c r="C22476" t="str">
        <v>-</v>
      </c>
      <c r="D22476" t="str">
        <v>-</v>
      </c>
      <c r="E22476" t="str">
        <v/>
      </c>
      <c r="F22476" t="str">
        <v>-</v>
      </c>
      <c r="G22476" t="str">
        <v>-</v>
      </c>
    </row>
    <row r="22477">
      <c r="B22477" t="str">
        <v>UBND Ủy ban nhân dân xã Bình Long  tỉnh An Giang</v>
      </c>
      <c r="C22477" t="str">
        <v>-</v>
      </c>
      <c r="D22477" t="str">
        <v>-</v>
      </c>
      <c r="E22477" t="str">
        <v>-</v>
      </c>
      <c r="F22477" t="str">
        <v>-</v>
      </c>
      <c r="G22477" t="str">
        <v>-</v>
      </c>
    </row>
    <row r="22478">
      <c r="B22478" t="str">
        <v>Công an xã Bình Mỹ  tỉnh An Giang</v>
      </c>
      <c r="C22478" t="str">
        <v>-</v>
      </c>
      <c r="D22478" t="str">
        <v>-</v>
      </c>
      <c r="E22478" t="str">
        <v/>
      </c>
      <c r="F22478" t="str">
        <v>-</v>
      </c>
      <c r="G22478" t="str">
        <v>-</v>
      </c>
    </row>
    <row r="22479">
      <c r="B22479" t="str">
        <v>UBND Ủy ban nhân dân xã Bình Mỹ  tỉnh An Giang</v>
      </c>
      <c r="C22479" t="str">
        <v>-</v>
      </c>
      <c r="D22479" t="str">
        <v>-</v>
      </c>
      <c r="E22479" t="str">
        <v>-</v>
      </c>
      <c r="F22479" t="str">
        <v>-</v>
      </c>
      <c r="G22479" t="str">
        <v>-</v>
      </c>
    </row>
    <row r="22480">
      <c r="B22480" t="str">
        <v>Công an xã Bình Thủy  tỉnh An Giang</v>
      </c>
      <c r="C22480" t="str">
        <v>-</v>
      </c>
      <c r="D22480" t="str">
        <v>-</v>
      </c>
      <c r="E22480" t="str">
        <v/>
      </c>
      <c r="F22480" t="str">
        <v>-</v>
      </c>
      <c r="G22480" t="str">
        <v>-</v>
      </c>
    </row>
    <row r="22481">
      <c r="B22481" t="str">
        <v>UBND Ủy ban nhân dân xã Bình Thủy  tỉnh An Giang</v>
      </c>
      <c r="C22481" t="str">
        <v>-</v>
      </c>
      <c r="D22481" t="str">
        <v>-</v>
      </c>
      <c r="E22481" t="str">
        <v>-</v>
      </c>
      <c r="F22481" t="str">
        <v>-</v>
      </c>
      <c r="G22481" t="str">
        <v>-</v>
      </c>
    </row>
    <row r="22482">
      <c r="B22482" t="str">
        <v>Công an xã Đào Hữu Cảnh  tỉnh An Giang</v>
      </c>
      <c r="C22482" t="str">
        <v>-</v>
      </c>
      <c r="D22482" t="str">
        <v>-</v>
      </c>
      <c r="E22482" t="str">
        <v/>
      </c>
      <c r="F22482" t="str">
        <v>-</v>
      </c>
      <c r="G22482" t="str">
        <v>-</v>
      </c>
    </row>
    <row r="22483">
      <c r="B22483" t="str">
        <v>UBND Ủy ban nhân dân xã Đào Hữu Cảnh  tỉnh An Giang</v>
      </c>
      <c r="C22483" t="str">
        <v>-</v>
      </c>
      <c r="D22483" t="str">
        <v>-</v>
      </c>
      <c r="E22483" t="str">
        <v>-</v>
      </c>
      <c r="F22483" t="str">
        <v>-</v>
      </c>
      <c r="G22483" t="str">
        <v>-</v>
      </c>
    </row>
    <row r="22484">
      <c r="B22484" t="str">
        <v>Công an xã Bình Phú  tỉnh An Giang</v>
      </c>
      <c r="C22484" t="str">
        <v>-</v>
      </c>
      <c r="D22484" t="str">
        <v>-</v>
      </c>
      <c r="E22484" t="str">
        <v/>
      </c>
      <c r="F22484" t="str">
        <v>-</v>
      </c>
      <c r="G22484" t="str">
        <v>-</v>
      </c>
    </row>
    <row r="22485">
      <c r="B22485" t="str">
        <v>UBND Ủy ban nhân dân xã Bình Phú  tỉnh An Giang</v>
      </c>
      <c r="C22485" t="str">
        <v>-</v>
      </c>
      <c r="D22485" t="str">
        <v>-</v>
      </c>
      <c r="E22485" t="str">
        <v>-</v>
      </c>
      <c r="F22485" t="str">
        <v>-</v>
      </c>
      <c r="G22485" t="str">
        <v>-</v>
      </c>
    </row>
    <row r="22486">
      <c r="B22486" t="str">
        <v>Công an xã Bình Chánh  tỉnh An Giang</v>
      </c>
      <c r="C22486" t="str">
        <v>-</v>
      </c>
      <c r="D22486" t="str">
        <v>-</v>
      </c>
      <c r="E22486" t="str">
        <v/>
      </c>
      <c r="F22486" t="str">
        <v>-</v>
      </c>
      <c r="G22486" t="str">
        <v>-</v>
      </c>
    </row>
    <row r="22487">
      <c r="B22487" t="str">
        <v>UBND Ủy ban nhân dân xã Bình Chánh  tỉnh An Giang</v>
      </c>
      <c r="C22487" t="str">
        <v>-</v>
      </c>
      <c r="D22487" t="str">
        <v>-</v>
      </c>
      <c r="E22487" t="str">
        <v>-</v>
      </c>
      <c r="F22487" t="str">
        <v>-</v>
      </c>
      <c r="G22487" t="str">
        <v>-</v>
      </c>
    </row>
    <row r="22488">
      <c r="B22488" t="str">
        <v>Công an xã Núi Voi  tỉnh An Giang</v>
      </c>
      <c r="C22488" t="str">
        <v>-</v>
      </c>
      <c r="D22488" t="str">
        <v>-</v>
      </c>
      <c r="E22488" t="str">
        <v/>
      </c>
      <c r="F22488" t="str">
        <v>-</v>
      </c>
      <c r="G22488" t="str">
        <v>-</v>
      </c>
    </row>
    <row r="22489">
      <c r="B22489" t="str">
        <v>UBND Ủy ban nhân dân xã Núi Voi  tỉnh An Giang</v>
      </c>
      <c r="C22489" t="str">
        <v>-</v>
      </c>
      <c r="D22489" t="str">
        <v>-</v>
      </c>
      <c r="E22489" t="str">
        <v>-</v>
      </c>
      <c r="F22489" t="str">
        <v>-</v>
      </c>
      <c r="G22489" t="str">
        <v>-</v>
      </c>
    </row>
    <row r="22490">
      <c r="B22490" t="str">
        <v>Công an xã Nhơn Hưng  tỉnh An Giang</v>
      </c>
      <c r="C22490" t="str">
        <v>-</v>
      </c>
      <c r="D22490" t="str">
        <v>-</v>
      </c>
      <c r="E22490" t="str">
        <v/>
      </c>
      <c r="F22490" t="str">
        <v>-</v>
      </c>
      <c r="G22490" t="str">
        <v>-</v>
      </c>
    </row>
    <row r="22491">
      <c r="B22491" t="str">
        <v>UBND Ủy ban nhân dân xã Nhơn Hưng  tỉnh An Giang</v>
      </c>
      <c r="C22491" t="str">
        <v>-</v>
      </c>
      <c r="D22491" t="str">
        <v>-</v>
      </c>
      <c r="E22491" t="str">
        <v>-</v>
      </c>
      <c r="F22491" t="str">
        <v>-</v>
      </c>
      <c r="G22491" t="str">
        <v>-</v>
      </c>
    </row>
    <row r="22492">
      <c r="B22492" t="str">
        <v>Công an xã An Phú  tỉnh An Giang</v>
      </c>
      <c r="C22492" t="str">
        <v>-</v>
      </c>
      <c r="D22492" t="str">
        <v>-</v>
      </c>
      <c r="E22492" t="str">
        <v/>
      </c>
      <c r="F22492" t="str">
        <v>-</v>
      </c>
      <c r="G22492" t="str">
        <v>-</v>
      </c>
    </row>
    <row r="22493">
      <c r="B22493" t="str">
        <v>UBND Ủy ban nhân dân xã An Phú  tỉnh An Giang</v>
      </c>
      <c r="C22493" t="str">
        <v>-</v>
      </c>
      <c r="D22493" t="str">
        <v>-</v>
      </c>
      <c r="E22493" t="str">
        <v>-</v>
      </c>
      <c r="F22493" t="str">
        <v>-</v>
      </c>
      <c r="G22493" t="str">
        <v>-</v>
      </c>
    </row>
    <row r="22494">
      <c r="B22494" t="str">
        <v>Công an xã Thới Sơn  tỉnh An Giang</v>
      </c>
      <c r="C22494" t="str">
        <v>-</v>
      </c>
      <c r="D22494" t="str">
        <v>-</v>
      </c>
      <c r="E22494" t="str">
        <v/>
      </c>
      <c r="F22494" t="str">
        <v>-</v>
      </c>
      <c r="G22494" t="str">
        <v>-</v>
      </c>
    </row>
    <row r="22495">
      <c r="B22495" t="str">
        <v>UBND Ủy ban nhân dân xã Thới Sơn  tỉnh An Giang</v>
      </c>
      <c r="C22495" t="str">
        <v>-</v>
      </c>
      <c r="D22495" t="str">
        <v>-</v>
      </c>
      <c r="E22495" t="str">
        <v>-</v>
      </c>
      <c r="F22495" t="str">
        <v>-</v>
      </c>
      <c r="G22495" t="str">
        <v>-</v>
      </c>
    </row>
    <row r="22496">
      <c r="B22496" t="str">
        <v>Công an xã Văn Giáo  tỉnh An Giang</v>
      </c>
      <c r="C22496" t="str">
        <v>-</v>
      </c>
      <c r="D22496" t="str">
        <v>-</v>
      </c>
      <c r="E22496" t="str">
        <v/>
      </c>
      <c r="F22496" t="str">
        <v>-</v>
      </c>
      <c r="G22496" t="str">
        <v>-</v>
      </c>
    </row>
    <row r="22497">
      <c r="B22497" t="str">
        <v>UBND Ủy ban nhân dân xã Văn Giáo  tỉnh An Giang</v>
      </c>
      <c r="C22497" t="str">
        <v>-</v>
      </c>
      <c r="D22497" t="str">
        <v>-</v>
      </c>
      <c r="E22497" t="str">
        <v>-</v>
      </c>
      <c r="F22497" t="str">
        <v>-</v>
      </c>
      <c r="G22497" t="str">
        <v>-</v>
      </c>
    </row>
    <row r="22498">
      <c r="B22498" t="str">
        <v>Công an xã An Cư  tỉnh An Giang</v>
      </c>
      <c r="C22498" t="str">
        <v>-</v>
      </c>
      <c r="D22498" t="str">
        <v>-</v>
      </c>
      <c r="E22498" t="str">
        <v/>
      </c>
      <c r="F22498" t="str">
        <v>-</v>
      </c>
      <c r="G22498" t="str">
        <v>-</v>
      </c>
    </row>
    <row r="22499">
      <c r="B22499" t="str">
        <v>UBND Ủy ban nhân dân xã An Cư  tỉnh An Giang</v>
      </c>
      <c r="C22499" t="str">
        <v>-</v>
      </c>
      <c r="D22499" t="str">
        <v>-</v>
      </c>
      <c r="E22499" t="str">
        <v>-</v>
      </c>
      <c r="F22499" t="str">
        <v>-</v>
      </c>
      <c r="G22499" t="str">
        <v>-</v>
      </c>
    </row>
    <row r="22500">
      <c r="B22500" t="str">
        <v>Công an xã An Nông  tỉnh An Giang</v>
      </c>
      <c r="C22500" t="str">
        <v>-</v>
      </c>
      <c r="D22500" t="str">
        <v>-</v>
      </c>
      <c r="E22500" t="str">
        <v/>
      </c>
      <c r="F22500" t="str">
        <v>-</v>
      </c>
      <c r="G22500" t="str">
        <v>-</v>
      </c>
    </row>
    <row r="22501">
      <c r="B22501" t="str">
        <v>UBND Ủy ban nhân dân xã An Nông  tỉnh An Giang</v>
      </c>
      <c r="C22501" t="str">
        <v>-</v>
      </c>
      <c r="D22501" t="str">
        <v>-</v>
      </c>
      <c r="E22501" t="str">
        <v>-</v>
      </c>
      <c r="F22501" t="str">
        <v>-</v>
      </c>
      <c r="G22501" t="str">
        <v>-</v>
      </c>
    </row>
    <row r="22502">
      <c r="B22502" t="str">
        <v>Công an xã Vĩnh Trung  tỉnh An Giang</v>
      </c>
      <c r="C22502" t="str">
        <v>-</v>
      </c>
      <c r="D22502" t="str">
        <v>-</v>
      </c>
      <c r="E22502" t="str">
        <v/>
      </c>
      <c r="F22502" t="str">
        <v>-</v>
      </c>
      <c r="G22502" t="str">
        <v>-</v>
      </c>
    </row>
    <row r="22503">
      <c r="B22503" t="str">
        <v>UBND Ủy ban nhân dân xã Vĩnh Trung  tỉnh An Giang</v>
      </c>
      <c r="C22503" t="str">
        <v>-</v>
      </c>
      <c r="D22503" t="str">
        <v>-</v>
      </c>
      <c r="E22503" t="str">
        <v>-</v>
      </c>
      <c r="F22503" t="str">
        <v>-</v>
      </c>
      <c r="G22503" t="str">
        <v>-</v>
      </c>
    </row>
    <row r="22504">
      <c r="B22504" t="str">
        <v>Công an xã Tân Lợi  tỉnh An Giang</v>
      </c>
      <c r="C22504" t="str">
        <v>-</v>
      </c>
      <c r="D22504" t="str">
        <v>-</v>
      </c>
      <c r="E22504" t="str">
        <v/>
      </c>
      <c r="F22504" t="str">
        <v>-</v>
      </c>
      <c r="G22504" t="str">
        <v>-</v>
      </c>
    </row>
    <row r="22505">
      <c r="B22505" t="str">
        <v>UBND Ủy ban nhân dân xã Tân Lợi  tỉnh An Giang</v>
      </c>
      <c r="C22505" t="str">
        <v>-</v>
      </c>
      <c r="D22505" t="str">
        <v>-</v>
      </c>
      <c r="E22505" t="str">
        <v>-</v>
      </c>
      <c r="F22505" t="str">
        <v>-</v>
      </c>
      <c r="G22505" t="str">
        <v>-</v>
      </c>
    </row>
    <row r="22506">
      <c r="B22506" t="str">
        <v>Công an xã An Hảo  tỉnh An Giang</v>
      </c>
      <c r="C22506" t="str">
        <v>-</v>
      </c>
      <c r="D22506" t="str">
        <v>-</v>
      </c>
      <c r="E22506" t="str">
        <v/>
      </c>
      <c r="F22506" t="str">
        <v>-</v>
      </c>
      <c r="G22506" t="str">
        <v>-</v>
      </c>
    </row>
    <row r="22507">
      <c r="B22507" t="str">
        <v>UBND Ủy ban nhân dân xã An Hảo  tỉnh An Giang</v>
      </c>
      <c r="C22507" t="str">
        <v>-</v>
      </c>
      <c r="D22507" t="str">
        <v>-</v>
      </c>
      <c r="E22507" t="str">
        <v>-</v>
      </c>
      <c r="F22507" t="str">
        <v>-</v>
      </c>
      <c r="G22507" t="str">
        <v>-</v>
      </c>
    </row>
    <row r="22508">
      <c r="B22508" t="str">
        <v>Công an xã Tân Lập  tỉnh An Giang</v>
      </c>
      <c r="C22508" t="str">
        <v>-</v>
      </c>
      <c r="D22508" t="str">
        <v>-</v>
      </c>
      <c r="E22508" t="str">
        <v/>
      </c>
      <c r="F22508" t="str">
        <v>-</v>
      </c>
      <c r="G22508" t="str">
        <v>-</v>
      </c>
    </row>
    <row r="22509">
      <c r="B22509" t="str">
        <v>UBND Ủy ban nhân dân xã Tân Lập  tỉnh An Giang</v>
      </c>
      <c r="C22509" t="str">
        <v>-</v>
      </c>
      <c r="D22509" t="str">
        <v>-</v>
      </c>
      <c r="E22509" t="str">
        <v>-</v>
      </c>
      <c r="F22509" t="str">
        <v>-</v>
      </c>
      <c r="G22509" t="str">
        <v>-</v>
      </c>
    </row>
    <row r="22510">
      <c r="B22510" t="str">
        <v>Công an xã Lạc Quới  tỉnh An Giang</v>
      </c>
      <c r="C22510" t="str">
        <v>-</v>
      </c>
      <c r="D22510" t="str">
        <v>-</v>
      </c>
      <c r="E22510" t="str">
        <v/>
      </c>
      <c r="F22510" t="str">
        <v>-</v>
      </c>
      <c r="G22510" t="str">
        <v>-</v>
      </c>
    </row>
    <row r="22511">
      <c r="B22511" t="str">
        <v>UBND Ủy ban nhân dân xã Lạc Quới  tỉnh An Giang</v>
      </c>
      <c r="C22511" t="str">
        <v>-</v>
      </c>
      <c r="D22511" t="str">
        <v>-</v>
      </c>
      <c r="E22511" t="str">
        <v>-</v>
      </c>
      <c r="F22511" t="str">
        <v>-</v>
      </c>
      <c r="G22511" t="str">
        <v>-</v>
      </c>
    </row>
    <row r="22512">
      <c r="B22512" t="str">
        <v>Công an xã Lê Trì  tỉnh An Giang</v>
      </c>
      <c r="C22512" t="str">
        <v>-</v>
      </c>
      <c r="D22512" t="str">
        <v>-</v>
      </c>
      <c r="E22512" t="str">
        <v/>
      </c>
      <c r="F22512" t="str">
        <v>-</v>
      </c>
      <c r="G22512" t="str">
        <v>-</v>
      </c>
    </row>
    <row r="22513">
      <c r="B22513" t="str">
        <v>UBND Ủy ban nhân dân xã Lê Trì  tỉnh An Giang</v>
      </c>
      <c r="C22513" t="str">
        <v>-</v>
      </c>
      <c r="D22513" t="str">
        <v>-</v>
      </c>
      <c r="E22513" t="str">
        <v>-</v>
      </c>
      <c r="F22513" t="str">
        <v>-</v>
      </c>
      <c r="G22513" t="str">
        <v>-</v>
      </c>
    </row>
    <row r="22514">
      <c r="B22514" t="str">
        <v>Công an xã Vĩnh Gia  tỉnh An Giang</v>
      </c>
      <c r="C22514" t="str">
        <v>-</v>
      </c>
      <c r="D22514" t="str">
        <v>-</v>
      </c>
      <c r="E22514" t="str">
        <v/>
      </c>
      <c r="F22514" t="str">
        <v>-</v>
      </c>
      <c r="G22514" t="str">
        <v>-</v>
      </c>
    </row>
    <row r="22515">
      <c r="B22515" t="str">
        <v>UBND Ủy ban nhân dân xã Vĩnh Gia  tỉnh An Giang</v>
      </c>
      <c r="C22515" t="str">
        <v>-</v>
      </c>
      <c r="D22515" t="str">
        <v>-</v>
      </c>
      <c r="E22515" t="str">
        <v>-</v>
      </c>
      <c r="F22515" t="str">
        <v>-</v>
      </c>
      <c r="G22515" t="str">
        <v>-</v>
      </c>
    </row>
    <row r="22516">
      <c r="B22516" t="str">
        <v>Công an xã Vĩnh Phước  tỉnh An Giang</v>
      </c>
      <c r="C22516" t="str">
        <v>-</v>
      </c>
      <c r="D22516" t="str">
        <v>-</v>
      </c>
      <c r="E22516" t="str">
        <v/>
      </c>
      <c r="F22516" t="str">
        <v>-</v>
      </c>
      <c r="G22516" t="str">
        <v>-</v>
      </c>
    </row>
    <row r="22517">
      <c r="B22517" t="str">
        <v>UBND Ủy ban nhân dân xã Vĩnh Phước  tỉnh An Giang</v>
      </c>
      <c r="C22517" t="str">
        <v>-</v>
      </c>
      <c r="D22517" t="str">
        <v>-</v>
      </c>
      <c r="E22517" t="str">
        <v>-</v>
      </c>
      <c r="F22517" t="str">
        <v>-</v>
      </c>
      <c r="G22517" t="str">
        <v>-</v>
      </c>
    </row>
    <row r="22518">
      <c r="B22518" t="str">
        <v>Công an xã Châu Lăng  tỉnh An Giang</v>
      </c>
      <c r="C22518" t="str">
        <v>-</v>
      </c>
      <c r="D22518" t="str">
        <v>-</v>
      </c>
      <c r="E22518" t="str">
        <v/>
      </c>
      <c r="F22518" t="str">
        <v>-</v>
      </c>
      <c r="G22518" t="str">
        <v>-</v>
      </c>
    </row>
    <row r="22519">
      <c r="B22519" t="str">
        <v>UBND Ủy ban nhân dân xã Châu Lăng  tỉnh An Giang</v>
      </c>
      <c r="C22519" t="str">
        <v>-</v>
      </c>
      <c r="D22519" t="str">
        <v>-</v>
      </c>
      <c r="E22519" t="str">
        <v>-</v>
      </c>
      <c r="F22519" t="str">
        <v>-</v>
      </c>
      <c r="G22519" t="str">
        <v>-</v>
      </c>
    </row>
    <row r="22520">
      <c r="B22520" t="str">
        <v>Công an xã Lương Phi  tỉnh An Giang</v>
      </c>
      <c r="C22520" t="str">
        <v>-</v>
      </c>
      <c r="D22520" t="str">
        <v>-</v>
      </c>
      <c r="E22520" t="str">
        <v/>
      </c>
      <c r="F22520" t="str">
        <v>-</v>
      </c>
      <c r="G22520" t="str">
        <v>-</v>
      </c>
    </row>
    <row r="22521">
      <c r="B22521" t="str">
        <v>UBND Ủy ban nhân dân xã Lương Phi  tỉnh An Giang</v>
      </c>
      <c r="C22521" t="str">
        <v>-</v>
      </c>
      <c r="D22521" t="str">
        <v>-</v>
      </c>
      <c r="E22521" t="str">
        <v>-</v>
      </c>
      <c r="F22521" t="str">
        <v>-</v>
      </c>
      <c r="G22521" t="str">
        <v>-</v>
      </c>
    </row>
    <row r="22522">
      <c r="B22522" t="str">
        <v>Công an xã Lương An Trà  tỉnh An Giang</v>
      </c>
      <c r="C22522" t="str">
        <v>-</v>
      </c>
      <c r="D22522" t="str">
        <v>-</v>
      </c>
      <c r="E22522" t="str">
        <v/>
      </c>
      <c r="F22522" t="str">
        <v>-</v>
      </c>
      <c r="G22522" t="str">
        <v>-</v>
      </c>
    </row>
    <row r="22523">
      <c r="B22523" t="str">
        <v>UBND Ủy ban nhân dân xã Lương An Trà  tỉnh An Giang</v>
      </c>
      <c r="C22523" t="str">
        <v>-</v>
      </c>
      <c r="D22523" t="str">
        <v>-</v>
      </c>
      <c r="E22523" t="str">
        <v>-</v>
      </c>
      <c r="F22523" t="str">
        <v>-</v>
      </c>
      <c r="G22523" t="str">
        <v>-</v>
      </c>
    </row>
    <row r="22524">
      <c r="B22524" t="str">
        <v>Công an xã Tà Đảnh  tỉnh An Giang</v>
      </c>
      <c r="C22524" t="str">
        <v>-</v>
      </c>
      <c r="D22524" t="str">
        <v>-</v>
      </c>
      <c r="E22524" t="str">
        <v/>
      </c>
      <c r="F22524" t="str">
        <v>-</v>
      </c>
      <c r="G22524" t="str">
        <v>-</v>
      </c>
    </row>
    <row r="22525">
      <c r="B22525" t="str">
        <v>UBND Ủy ban nhân dân xã Tà Đảnh  tỉnh An Giang</v>
      </c>
      <c r="C22525" t="str">
        <v>-</v>
      </c>
      <c r="D22525" t="str">
        <v>-</v>
      </c>
      <c r="E22525" t="str">
        <v>-</v>
      </c>
      <c r="F22525" t="str">
        <v>-</v>
      </c>
      <c r="G22525" t="str">
        <v>-</v>
      </c>
    </row>
    <row r="22526">
      <c r="B22526" t="str">
        <v>Công an xã Núi Tô  tỉnh An Giang</v>
      </c>
      <c r="C22526" t="str">
        <v>-</v>
      </c>
      <c r="D22526" t="str">
        <v>-</v>
      </c>
      <c r="E22526" t="str">
        <v/>
      </c>
      <c r="F22526" t="str">
        <v>-</v>
      </c>
      <c r="G22526" t="str">
        <v>-</v>
      </c>
    </row>
    <row r="22527">
      <c r="B22527" t="str">
        <v>UBND Ủy ban nhân dân xã Núi Tô  tỉnh An Giang</v>
      </c>
      <c r="C22527" t="str">
        <v>-</v>
      </c>
      <c r="D22527" t="str">
        <v>-</v>
      </c>
      <c r="E22527" t="str">
        <v>-</v>
      </c>
      <c r="F22527" t="str">
        <v>-</v>
      </c>
      <c r="G22527" t="str">
        <v>-</v>
      </c>
    </row>
    <row r="22528">
      <c r="B22528" t="str">
        <v>Công an xã An Tức  tỉnh An Giang</v>
      </c>
      <c r="C22528" t="str">
        <v>-</v>
      </c>
      <c r="D22528" t="str">
        <v>-</v>
      </c>
      <c r="E22528" t="str">
        <v/>
      </c>
      <c r="F22528" t="str">
        <v>-</v>
      </c>
      <c r="G22528" t="str">
        <v>-</v>
      </c>
    </row>
    <row r="22529">
      <c r="B22529" t="str">
        <v>UBND Ủy ban nhân dân xã An Tức  tỉnh An Giang</v>
      </c>
      <c r="C22529" t="str">
        <v>-</v>
      </c>
      <c r="D22529" t="str">
        <v>-</v>
      </c>
      <c r="E22529" t="str">
        <v>-</v>
      </c>
      <c r="F22529" t="str">
        <v>-</v>
      </c>
      <c r="G22529" t="str">
        <v>-</v>
      </c>
    </row>
    <row r="22530">
      <c r="B22530" t="str">
        <v>Công an xã Cô Tô  tỉnh An Giang</v>
      </c>
      <c r="C22530" t="str">
        <v>-</v>
      </c>
      <c r="D22530" t="str">
        <v>-</v>
      </c>
      <c r="E22530" t="str">
        <v/>
      </c>
      <c r="F22530" t="str">
        <v>-</v>
      </c>
      <c r="G22530" t="str">
        <v>-</v>
      </c>
    </row>
    <row r="22531">
      <c r="B22531" t="str">
        <v>UBND Ủy ban nhân dân xã Cô Tô  tỉnh An Giang</v>
      </c>
      <c r="C22531" t="str">
        <v>-</v>
      </c>
      <c r="D22531" t="str">
        <v>-</v>
      </c>
      <c r="E22531" t="str">
        <v>-</v>
      </c>
      <c r="F22531" t="str">
        <v>-</v>
      </c>
      <c r="G22531" t="str">
        <v>-</v>
      </c>
    </row>
    <row r="22532">
      <c r="B22532" t="str">
        <v>Công an xã Tân Tuyến  tỉnh An Giang</v>
      </c>
      <c r="C22532" t="str">
        <v>-</v>
      </c>
      <c r="D22532" t="str">
        <v>-</v>
      </c>
      <c r="E22532" t="str">
        <v/>
      </c>
      <c r="F22532" t="str">
        <v>-</v>
      </c>
      <c r="G22532" t="str">
        <v>-</v>
      </c>
    </row>
    <row r="22533">
      <c r="B22533" t="str">
        <v>UBND Ủy ban nhân dân xã Tân Tuyến  tỉnh An Giang</v>
      </c>
      <c r="C22533" t="str">
        <v>-</v>
      </c>
      <c r="D22533" t="str">
        <v>-</v>
      </c>
      <c r="E22533" t="str">
        <v>-</v>
      </c>
      <c r="F22533" t="str">
        <v>-</v>
      </c>
      <c r="G22533" t="str">
        <v>-</v>
      </c>
    </row>
    <row r="22534">
      <c r="B22534" t="str">
        <v>Công an xã Ô Lâm  tỉnh An Giang</v>
      </c>
      <c r="C22534" t="str">
        <v>-</v>
      </c>
      <c r="D22534" t="str">
        <v>-</v>
      </c>
      <c r="E22534" t="str">
        <v/>
      </c>
      <c r="F22534" t="str">
        <v>-</v>
      </c>
      <c r="G22534" t="str">
        <v>-</v>
      </c>
    </row>
    <row r="22535">
      <c r="B22535" t="str">
        <v>UBND Ủy ban nhân dân xã Ô Lâm  tỉnh An Giang</v>
      </c>
      <c r="C22535" t="str">
        <v>-</v>
      </c>
      <c r="D22535" t="str">
        <v>-</v>
      </c>
      <c r="E22535" t="str">
        <v>-</v>
      </c>
      <c r="F22535" t="str">
        <v>-</v>
      </c>
      <c r="G22535" t="str">
        <v>-</v>
      </c>
    </row>
    <row r="22536">
      <c r="B22536" t="str">
        <v>Công an xã An Hòa  tỉnh An Giang</v>
      </c>
      <c r="C22536" t="str">
        <v>-</v>
      </c>
      <c r="D22536" t="str">
        <v>-</v>
      </c>
      <c r="E22536" t="str">
        <v/>
      </c>
      <c r="F22536" t="str">
        <v>-</v>
      </c>
      <c r="G22536" t="str">
        <v>-</v>
      </c>
    </row>
    <row r="22537">
      <c r="B22537" t="str">
        <v>UBND Ủy ban nhân dân xã An Hòa  tỉnh An Giang</v>
      </c>
      <c r="C22537" t="str">
        <v>-</v>
      </c>
      <c r="D22537" t="str">
        <v>-</v>
      </c>
      <c r="E22537" t="str">
        <v>-</v>
      </c>
      <c r="F22537" t="str">
        <v>-</v>
      </c>
      <c r="G22537" t="str">
        <v>-</v>
      </c>
    </row>
    <row r="22538">
      <c r="B22538" t="str">
        <v>Công an xã Cần Đăng  tỉnh An Giang</v>
      </c>
      <c r="C22538" t="str">
        <v>-</v>
      </c>
      <c r="D22538" t="str">
        <v>-</v>
      </c>
      <c r="E22538" t="str">
        <v/>
      </c>
      <c r="F22538" t="str">
        <v>-</v>
      </c>
      <c r="G22538" t="str">
        <v>-</v>
      </c>
    </row>
    <row r="22539">
      <c r="B22539" t="str">
        <v>UBND Ủy ban nhân dân xã Cần Đăng  tỉnh An Giang</v>
      </c>
      <c r="C22539" t="str">
        <v>-</v>
      </c>
      <c r="D22539" t="str">
        <v>-</v>
      </c>
      <c r="E22539" t="str">
        <v>-</v>
      </c>
      <c r="F22539" t="str">
        <v>-</v>
      </c>
      <c r="G22539" t="str">
        <v>-</v>
      </c>
    </row>
    <row r="22540">
      <c r="B22540" t="str">
        <v>Công an xã Vĩnh Hanh  tỉnh An Giang</v>
      </c>
      <c r="C22540" t="str">
        <v>-</v>
      </c>
      <c r="D22540" t="str">
        <v>-</v>
      </c>
      <c r="E22540" t="str">
        <v/>
      </c>
      <c r="F22540" t="str">
        <v>-</v>
      </c>
      <c r="G22540" t="str">
        <v>-</v>
      </c>
    </row>
    <row r="22541">
      <c r="B22541" t="str">
        <v>UBND Ủy ban nhân dân xã Vĩnh Hanh  tỉnh An Giang</v>
      </c>
      <c r="C22541" t="str">
        <v>-</v>
      </c>
      <c r="D22541" t="str">
        <v>-</v>
      </c>
      <c r="E22541" t="str">
        <v>-</v>
      </c>
      <c r="F22541" t="str">
        <v>-</v>
      </c>
      <c r="G22541" t="str">
        <v>-</v>
      </c>
    </row>
    <row r="22542">
      <c r="B22542" t="str">
        <v>Công an xã Bình Thạnh  tỉnh An Giang</v>
      </c>
      <c r="C22542" t="str">
        <v>-</v>
      </c>
      <c r="D22542" t="str">
        <v>-</v>
      </c>
      <c r="E22542" t="str">
        <v/>
      </c>
      <c r="F22542" t="str">
        <v>-</v>
      </c>
      <c r="G22542" t="str">
        <v>-</v>
      </c>
    </row>
    <row r="22543">
      <c r="B22543" t="str">
        <v>UBND Ủy ban nhân dân xã Bình Thạnh  tỉnh An Giang</v>
      </c>
      <c r="C22543" t="str">
        <v>-</v>
      </c>
      <c r="D22543" t="str">
        <v>-</v>
      </c>
      <c r="E22543" t="str">
        <v>-</v>
      </c>
      <c r="F22543" t="str">
        <v>-</v>
      </c>
      <c r="G22543" t="str">
        <v>-</v>
      </c>
    </row>
    <row r="22544">
      <c r="B22544" t="str">
        <v>Công an xã Vĩnh Bình  tỉnh An Giang</v>
      </c>
      <c r="C22544" t="str">
        <v>-</v>
      </c>
      <c r="D22544" t="str">
        <v>-</v>
      </c>
      <c r="E22544" t="str">
        <v/>
      </c>
      <c r="F22544" t="str">
        <v>-</v>
      </c>
      <c r="G22544" t="str">
        <v>-</v>
      </c>
    </row>
    <row r="22545">
      <c r="B22545" t="str">
        <v>UBND Ủy ban nhân dân xã Vĩnh Bình  tỉnh An Giang</v>
      </c>
      <c r="C22545" t="str">
        <v>-</v>
      </c>
      <c r="D22545" t="str">
        <v>-</v>
      </c>
      <c r="E22545" t="str">
        <v>-</v>
      </c>
      <c r="F22545" t="str">
        <v>-</v>
      </c>
      <c r="G22545" t="str">
        <v>-</v>
      </c>
    </row>
    <row r="22546">
      <c r="B22546" t="str">
        <v>Công an xã Bình Hòa  tỉnh An Giang</v>
      </c>
      <c r="C22546" t="str">
        <v>-</v>
      </c>
      <c r="D22546" t="str">
        <v>-</v>
      </c>
      <c r="E22546" t="str">
        <v/>
      </c>
      <c r="F22546" t="str">
        <v>-</v>
      </c>
      <c r="G22546" t="str">
        <v>-</v>
      </c>
    </row>
    <row r="22547">
      <c r="B22547" t="str">
        <v>UBND Ủy ban nhân dân xã Bình Hòa  tỉnh An Giang</v>
      </c>
      <c r="C22547" t="str">
        <v>-</v>
      </c>
      <c r="D22547" t="str">
        <v>-</v>
      </c>
      <c r="E22547" t="str">
        <v>-</v>
      </c>
      <c r="F22547" t="str">
        <v>-</v>
      </c>
      <c r="G22547" t="str">
        <v>-</v>
      </c>
    </row>
    <row r="22548">
      <c r="B22548" t="str">
        <v>Công an xã Vĩnh An  tỉnh An Giang</v>
      </c>
      <c r="C22548" t="str">
        <v>-</v>
      </c>
      <c r="D22548" t="str">
        <v>-</v>
      </c>
      <c r="E22548" t="str">
        <v/>
      </c>
      <c r="F22548" t="str">
        <v>-</v>
      </c>
      <c r="G22548" t="str">
        <v>-</v>
      </c>
    </row>
    <row r="22549">
      <c r="B22549" t="str">
        <v>UBND Ủy ban nhân dân xã Vĩnh An  tỉnh An Giang</v>
      </c>
      <c r="C22549" t="str">
        <v>-</v>
      </c>
      <c r="D22549" t="str">
        <v>-</v>
      </c>
      <c r="E22549" t="str">
        <v>-</v>
      </c>
      <c r="F22549" t="str">
        <v>-</v>
      </c>
      <c r="G22549" t="str">
        <v>-</v>
      </c>
    </row>
    <row r="22550">
      <c r="B22550" t="str">
        <v>Công an xã Hòa Bình Thạnh  tỉnh An Giang</v>
      </c>
      <c r="C22550" t="str">
        <v>-</v>
      </c>
      <c r="D22550" t="str">
        <v>-</v>
      </c>
      <c r="E22550" t="str">
        <v/>
      </c>
      <c r="F22550" t="str">
        <v>-</v>
      </c>
      <c r="G22550" t="str">
        <v>-</v>
      </c>
    </row>
    <row r="22551">
      <c r="B22551" t="str">
        <v>UBND Ủy ban nhân dân xã Hòa Bình Thạnh  tỉnh An Giang</v>
      </c>
      <c r="C22551" t="str">
        <v>-</v>
      </c>
      <c r="D22551" t="str">
        <v>-</v>
      </c>
      <c r="E22551" t="str">
        <v>-</v>
      </c>
      <c r="F22551" t="str">
        <v>-</v>
      </c>
      <c r="G22551" t="str">
        <v>-</v>
      </c>
    </row>
    <row r="22552">
      <c r="B22552" t="str">
        <v>Công an xã Vĩnh Lợi  tỉnh An Giang</v>
      </c>
      <c r="C22552" t="str">
        <v>-</v>
      </c>
      <c r="D22552" t="str">
        <v>-</v>
      </c>
      <c r="E22552" t="str">
        <v/>
      </c>
      <c r="F22552" t="str">
        <v>-</v>
      </c>
      <c r="G22552" t="str">
        <v>-</v>
      </c>
    </row>
    <row r="22553">
      <c r="B22553" t="str">
        <v>UBND Ủy ban nhân dân xã Vĩnh Lợi  tỉnh An Giang</v>
      </c>
      <c r="C22553" t="str">
        <v>-</v>
      </c>
      <c r="D22553" t="str">
        <v>-</v>
      </c>
      <c r="E22553" t="str">
        <v>-</v>
      </c>
      <c r="F22553" t="str">
        <v>-</v>
      </c>
      <c r="G22553" t="str">
        <v>-</v>
      </c>
    </row>
    <row r="22554">
      <c r="B22554" t="str">
        <v>Công an xã Vĩnh Nhuận  tỉnh An Giang</v>
      </c>
      <c r="C22554" t="str">
        <v>-</v>
      </c>
      <c r="D22554" t="str">
        <v>-</v>
      </c>
      <c r="E22554" t="str">
        <v/>
      </c>
      <c r="F22554" t="str">
        <v>-</v>
      </c>
      <c r="G22554" t="str">
        <v>-</v>
      </c>
    </row>
    <row r="22555">
      <c r="B22555" t="str">
        <v>UBND Ủy ban nhân dân xã Vĩnh Nhuận  tỉnh An Giang</v>
      </c>
      <c r="C22555" t="str">
        <v>-</v>
      </c>
      <c r="D22555" t="str">
        <v>-</v>
      </c>
      <c r="E22555" t="str">
        <v>-</v>
      </c>
      <c r="F22555" t="str">
        <v>-</v>
      </c>
      <c r="G22555" t="str">
        <v>-</v>
      </c>
    </row>
    <row r="22556">
      <c r="B22556" t="str">
        <v>Công an xã Tân Phú  tỉnh An Giang</v>
      </c>
      <c r="C22556" t="str">
        <v>-</v>
      </c>
      <c r="D22556" t="str">
        <v>-</v>
      </c>
      <c r="E22556" t="str">
        <v/>
      </c>
      <c r="F22556" t="str">
        <v>-</v>
      </c>
      <c r="G22556" t="str">
        <v>-</v>
      </c>
    </row>
    <row r="22557">
      <c r="B22557" t="str">
        <v>UBND Ủy ban nhân dân xã Tân Phú  tỉnh An Giang</v>
      </c>
      <c r="C22557" t="str">
        <v>-</v>
      </c>
      <c r="D22557" t="str">
        <v>-</v>
      </c>
      <c r="E22557" t="str">
        <v>-</v>
      </c>
      <c r="F22557" t="str">
        <v>-</v>
      </c>
      <c r="G22557" t="str">
        <v>-</v>
      </c>
    </row>
    <row r="22558">
      <c r="B22558" t="str">
        <v>Công an xã Vĩnh Thành  tỉnh An Giang</v>
      </c>
      <c r="C22558" t="str">
        <v>-</v>
      </c>
      <c r="D22558" t="str">
        <v>-</v>
      </c>
      <c r="E22558" t="str">
        <v/>
      </c>
      <c r="F22558" t="str">
        <v>-</v>
      </c>
      <c r="G22558" t="str">
        <v>-</v>
      </c>
    </row>
    <row r="22559">
      <c r="B22559" t="str">
        <v>UBND Ủy ban nhân dân xã Vĩnh Thành  tỉnh An Giang</v>
      </c>
      <c r="C22559" t="str">
        <v>-</v>
      </c>
      <c r="D22559" t="str">
        <v>-</v>
      </c>
      <c r="E22559" t="str">
        <v>-</v>
      </c>
      <c r="F22559" t="str">
        <v>-</v>
      </c>
      <c r="G22559" t="str">
        <v>-</v>
      </c>
    </row>
    <row r="22560">
      <c r="B22560" t="str">
        <v>Công an xã Kiến An  tỉnh An Giang</v>
      </c>
      <c r="C22560" t="str">
        <v>-</v>
      </c>
      <c r="D22560" t="str">
        <v>-</v>
      </c>
      <c r="E22560" t="str">
        <v/>
      </c>
      <c r="F22560" t="str">
        <v>-</v>
      </c>
      <c r="G22560" t="str">
        <v>-</v>
      </c>
    </row>
    <row r="22561">
      <c r="B22561" t="str">
        <v>UBND Ủy ban nhân dân xã Kiến An  tỉnh An Giang</v>
      </c>
      <c r="C22561" t="str">
        <v>-</v>
      </c>
      <c r="D22561" t="str">
        <v>-</v>
      </c>
      <c r="E22561" t="str">
        <v>-</v>
      </c>
      <c r="F22561" t="str">
        <v>-</v>
      </c>
      <c r="G22561" t="str">
        <v>-</v>
      </c>
    </row>
    <row r="22562">
      <c r="B22562" t="str">
        <v>Công an xã Mỹ Hội Đông  tỉnh An Giang</v>
      </c>
      <c r="C22562" t="str">
        <v>-</v>
      </c>
      <c r="D22562" t="str">
        <v>-</v>
      </c>
      <c r="E22562" t="str">
        <v/>
      </c>
      <c r="F22562" t="str">
        <v>-</v>
      </c>
      <c r="G22562" t="str">
        <v>-</v>
      </c>
    </row>
    <row r="22563">
      <c r="B22563" t="str">
        <v>UBND Ủy ban nhân dân xã Mỹ Hội Đông  tỉnh An Giang</v>
      </c>
      <c r="C22563" t="str">
        <v>-</v>
      </c>
      <c r="D22563" t="str">
        <v>-</v>
      </c>
      <c r="E22563" t="str">
        <v>-</v>
      </c>
      <c r="F22563" t="str">
        <v>-</v>
      </c>
      <c r="G22563" t="str">
        <v>-</v>
      </c>
    </row>
    <row r="22564">
      <c r="B22564" t="str">
        <v>Công an xã Long Điền A  tỉnh An Giang</v>
      </c>
      <c r="C22564" t="str">
        <v>-</v>
      </c>
      <c r="D22564" t="str">
        <v>-</v>
      </c>
      <c r="E22564" t="str">
        <v/>
      </c>
      <c r="F22564" t="str">
        <v>-</v>
      </c>
      <c r="G22564" t="str">
        <v>-</v>
      </c>
    </row>
    <row r="22565">
      <c r="B22565" t="str">
        <v>UBND Ủy ban nhân dân xã Long Điền A  tỉnh An Giang</v>
      </c>
      <c r="C22565" t="str">
        <v>-</v>
      </c>
      <c r="D22565" t="str">
        <v>-</v>
      </c>
      <c r="E22565" t="str">
        <v>-</v>
      </c>
      <c r="F22565" t="str">
        <v>-</v>
      </c>
      <c r="G22565" t="str">
        <v>-</v>
      </c>
    </row>
    <row r="22566">
      <c r="B22566" t="str">
        <v>Công an xã Tấn Mỹ  tỉnh An Giang</v>
      </c>
      <c r="C22566" t="str">
        <v>-</v>
      </c>
      <c r="D22566" t="str">
        <v>-</v>
      </c>
      <c r="E22566" t="str">
        <v/>
      </c>
      <c r="F22566" t="str">
        <v>-</v>
      </c>
      <c r="G22566" t="str">
        <v>-</v>
      </c>
    </row>
    <row r="22567">
      <c r="B22567" t="str">
        <v>UBND Ủy ban nhân dân xã Tấn Mỹ  tỉnh An Giang</v>
      </c>
      <c r="C22567" t="str">
        <v>-</v>
      </c>
      <c r="D22567" t="str">
        <v>-</v>
      </c>
      <c r="E22567" t="str">
        <v>-</v>
      </c>
      <c r="F22567" t="str">
        <v>-</v>
      </c>
      <c r="G22567" t="str">
        <v>-</v>
      </c>
    </row>
    <row r="22568">
      <c r="B22568" t="str">
        <v>Công an xã Long Điền B  tỉnh An Giang</v>
      </c>
      <c r="C22568" t="str">
        <v>-</v>
      </c>
      <c r="D22568" t="str">
        <v>-</v>
      </c>
      <c r="E22568" t="str">
        <v/>
      </c>
      <c r="F22568" t="str">
        <v>-</v>
      </c>
      <c r="G22568" t="str">
        <v>-</v>
      </c>
    </row>
    <row r="22569">
      <c r="B22569" t="str">
        <v>UBND Ủy ban nhân dân xã Long Điền B  tỉnh An Giang</v>
      </c>
      <c r="C22569" t="str">
        <v>-</v>
      </c>
      <c r="D22569" t="str">
        <v>-</v>
      </c>
      <c r="E22569" t="str">
        <v>-</v>
      </c>
      <c r="F22569" t="str">
        <v>-</v>
      </c>
      <c r="G22569" t="str">
        <v>-</v>
      </c>
    </row>
    <row r="22570">
      <c r="B22570" t="str">
        <v>Công an xã Kiến Thành  tỉnh An Giang</v>
      </c>
      <c r="C22570" t="str">
        <v>-</v>
      </c>
      <c r="D22570" t="str">
        <v>-</v>
      </c>
      <c r="E22570" t="str">
        <v/>
      </c>
      <c r="F22570" t="str">
        <v>-</v>
      </c>
      <c r="G22570" t="str">
        <v>-</v>
      </c>
    </row>
    <row r="22571">
      <c r="B22571" t="str">
        <v>UBND Ủy ban nhân dân xã Kiến Thành  tỉnh An Giang</v>
      </c>
      <c r="C22571" t="str">
        <v>-</v>
      </c>
      <c r="D22571" t="str">
        <v>-</v>
      </c>
      <c r="E22571" t="str">
        <v>-</v>
      </c>
      <c r="F22571" t="str">
        <v>-</v>
      </c>
      <c r="G22571" t="str">
        <v>-</v>
      </c>
    </row>
    <row r="22572">
      <c r="B22572" t="str">
        <v>Công an xã Mỹ Hiệp  tỉnh An Giang</v>
      </c>
      <c r="C22572" t="str">
        <v>-</v>
      </c>
      <c r="D22572" t="str">
        <v>-</v>
      </c>
      <c r="E22572" t="str">
        <v/>
      </c>
      <c r="F22572" t="str">
        <v>-</v>
      </c>
      <c r="G22572" t="str">
        <v>-</v>
      </c>
    </row>
    <row r="22573">
      <c r="B22573" t="str">
        <v>UBND Ủy ban nhân dân xã Mỹ Hiệp  tỉnh An Giang</v>
      </c>
      <c r="C22573" t="str">
        <v>-</v>
      </c>
      <c r="D22573" t="str">
        <v>-</v>
      </c>
      <c r="E22573" t="str">
        <v>-</v>
      </c>
      <c r="F22573" t="str">
        <v>-</v>
      </c>
      <c r="G22573" t="str">
        <v>-</v>
      </c>
    </row>
    <row r="22574">
      <c r="B22574" t="str">
        <v>Công an xã Mỹ An  tỉnh An Giang</v>
      </c>
      <c r="C22574" t="str">
        <v>-</v>
      </c>
      <c r="D22574" t="str">
        <v>-</v>
      </c>
      <c r="E22574" t="str">
        <v/>
      </c>
      <c r="F22574" t="str">
        <v>-</v>
      </c>
      <c r="G22574" t="str">
        <v>-</v>
      </c>
    </row>
    <row r="22575">
      <c r="B22575" t="str">
        <v>UBND Ủy ban nhân dân xã Mỹ An  tỉnh An Giang</v>
      </c>
      <c r="C22575" t="str">
        <v>-</v>
      </c>
      <c r="D22575" t="str">
        <v>-</v>
      </c>
      <c r="E22575" t="str">
        <v>-</v>
      </c>
      <c r="F22575" t="str">
        <v>-</v>
      </c>
      <c r="G22575" t="str">
        <v>-</v>
      </c>
    </row>
    <row r="22576">
      <c r="B22576" t="str">
        <v>Công an xã Nhơn Mỹ  tỉnh An Giang</v>
      </c>
      <c r="C22576" t="str">
        <v>-</v>
      </c>
      <c r="D22576" t="str">
        <v>-</v>
      </c>
      <c r="E22576" t="str">
        <v/>
      </c>
      <c r="F22576" t="str">
        <v>-</v>
      </c>
      <c r="G22576" t="str">
        <v>-</v>
      </c>
    </row>
    <row r="22577">
      <c r="B22577" t="str">
        <v>UBND Ủy ban nhân dân xã Nhơn Mỹ  tỉnh An Giang</v>
      </c>
      <c r="C22577" t="str">
        <v>-</v>
      </c>
      <c r="D22577" t="str">
        <v>-</v>
      </c>
      <c r="E22577" t="str">
        <v>-</v>
      </c>
      <c r="F22577" t="str">
        <v>-</v>
      </c>
      <c r="G22577" t="str">
        <v>-</v>
      </c>
    </row>
    <row r="22578">
      <c r="B22578" t="str">
        <v>Công an xã Long Giang  tỉnh An Giang</v>
      </c>
      <c r="C22578" t="str">
        <v>-</v>
      </c>
      <c r="D22578" t="str">
        <v>-</v>
      </c>
      <c r="E22578" t="str">
        <v/>
      </c>
      <c r="F22578" t="str">
        <v>-</v>
      </c>
      <c r="G22578" t="str">
        <v>-</v>
      </c>
    </row>
    <row r="22579">
      <c r="B22579" t="str">
        <v>UBND Ủy ban nhân dân xã Long Giang  tỉnh An Giang</v>
      </c>
      <c r="C22579" t="str">
        <v>-</v>
      </c>
      <c r="D22579" t="str">
        <v>-</v>
      </c>
      <c r="E22579" t="str">
        <v>-</v>
      </c>
      <c r="F22579" t="str">
        <v>-</v>
      </c>
      <c r="G22579" t="str">
        <v>-</v>
      </c>
    </row>
    <row r="22580">
      <c r="B22580" t="str">
        <v>Công an xã Long Kiến  tỉnh An Giang</v>
      </c>
      <c r="C22580" t="str">
        <v>-</v>
      </c>
      <c r="D22580" t="str">
        <v>-</v>
      </c>
      <c r="E22580" t="str">
        <v/>
      </c>
      <c r="F22580" t="str">
        <v>-</v>
      </c>
      <c r="G22580" t="str">
        <v>-</v>
      </c>
    </row>
    <row r="22581">
      <c r="B22581" t="str">
        <v>UBND Ủy ban nhân dân xã Long Kiến  tỉnh An Giang</v>
      </c>
      <c r="C22581" t="str">
        <v>-</v>
      </c>
      <c r="D22581" t="str">
        <v>-</v>
      </c>
      <c r="E22581" t="str">
        <v>-</v>
      </c>
      <c r="F22581" t="str">
        <v>-</v>
      </c>
      <c r="G22581" t="str">
        <v>-</v>
      </c>
    </row>
    <row r="22582">
      <c r="B22582" t="str">
        <v>Công an xã Bình Phước Xuân  tỉnh An Giang</v>
      </c>
      <c r="C22582" t="str">
        <v>-</v>
      </c>
      <c r="D22582" t="str">
        <v>-</v>
      </c>
      <c r="E22582" t="str">
        <v/>
      </c>
      <c r="F22582" t="str">
        <v>-</v>
      </c>
      <c r="G22582" t="str">
        <v>-</v>
      </c>
    </row>
    <row r="22583">
      <c r="B22583" t="str">
        <v>UBND Ủy ban nhân dân xã Bình Phước Xuân  tỉnh An Giang</v>
      </c>
      <c r="C22583" t="str">
        <v>-</v>
      </c>
      <c r="D22583" t="str">
        <v>-</v>
      </c>
      <c r="E22583" t="str">
        <v>-</v>
      </c>
      <c r="F22583" t="str">
        <v>-</v>
      </c>
      <c r="G22583" t="str">
        <v>-</v>
      </c>
    </row>
    <row r="22584">
      <c r="B22584" t="str">
        <v>Công an xã An Thạnh Trung  tỉnh An Giang</v>
      </c>
      <c r="C22584" t="str">
        <v>-</v>
      </c>
      <c r="D22584" t="str">
        <v>-</v>
      </c>
      <c r="E22584" t="str">
        <v/>
      </c>
      <c r="F22584" t="str">
        <v>-</v>
      </c>
      <c r="G22584" t="str">
        <v>-</v>
      </c>
    </row>
    <row r="22585">
      <c r="B22585" t="str">
        <v>UBND Ủy ban nhân dân xã An Thạnh Trung  tỉnh An Giang</v>
      </c>
      <c r="C22585" t="str">
        <v>-</v>
      </c>
      <c r="D22585" t="str">
        <v>-</v>
      </c>
      <c r="E22585" t="str">
        <v>-</v>
      </c>
      <c r="F22585" t="str">
        <v>-</v>
      </c>
      <c r="G22585" t="str">
        <v>-</v>
      </c>
    </row>
    <row r="22586">
      <c r="B22586" t="str">
        <v>Công an xã Hội An  tỉnh An Giang</v>
      </c>
      <c r="C22586" t="str">
        <v>-</v>
      </c>
      <c r="D22586" t="str">
        <v>-</v>
      </c>
      <c r="E22586" t="str">
        <v/>
      </c>
      <c r="F22586" t="str">
        <v>-</v>
      </c>
      <c r="G22586" t="str">
        <v>-</v>
      </c>
    </row>
    <row r="22587">
      <c r="B22587" t="str">
        <v>UBND Ủy ban nhân dân xã Hội An  tỉnh An Giang</v>
      </c>
      <c r="C22587" t="str">
        <v>-</v>
      </c>
      <c r="D22587" t="str">
        <v>-</v>
      </c>
      <c r="E22587" t="str">
        <v>-</v>
      </c>
      <c r="F22587" t="str">
        <v>-</v>
      </c>
      <c r="G22587" t="str">
        <v>-</v>
      </c>
    </row>
    <row r="22588">
      <c r="B22588" t="str">
        <v>Công an xã Hòa Bình  tỉnh An Giang</v>
      </c>
      <c r="C22588" t="str">
        <v>-</v>
      </c>
      <c r="D22588" t="str">
        <v>-</v>
      </c>
      <c r="E22588" t="str">
        <v/>
      </c>
      <c r="F22588" t="str">
        <v>-</v>
      </c>
      <c r="G22588" t="str">
        <v>-</v>
      </c>
    </row>
    <row r="22589">
      <c r="B22589" t="str">
        <v>UBND Ủy ban nhân dân xã Hòa Bình  tỉnh An Giang</v>
      </c>
      <c r="C22589" t="str">
        <v>-</v>
      </c>
      <c r="D22589" t="str">
        <v>-</v>
      </c>
      <c r="E22589" t="str">
        <v>-</v>
      </c>
      <c r="F22589" t="str">
        <v>-</v>
      </c>
      <c r="G22589" t="str">
        <v>-</v>
      </c>
    </row>
    <row r="22590">
      <c r="B22590" t="str">
        <v>Công an xã Hòa An  tỉnh An Giang</v>
      </c>
      <c r="C22590" t="str">
        <v>-</v>
      </c>
      <c r="D22590" t="str">
        <v>-</v>
      </c>
      <c r="E22590" t="str">
        <v/>
      </c>
      <c r="F22590" t="str">
        <v>-</v>
      </c>
      <c r="G22590" t="str">
        <v>-</v>
      </c>
    </row>
    <row r="22591">
      <c r="B22591" t="str">
        <v>UBND Ủy ban nhân dân xã Hòa An  tỉnh An Giang</v>
      </c>
      <c r="C22591" t="str">
        <v>-</v>
      </c>
      <c r="D22591" t="str">
        <v>-</v>
      </c>
      <c r="E22591" t="str">
        <v>-</v>
      </c>
      <c r="F22591" t="str">
        <v>-</v>
      </c>
      <c r="G22591" t="str">
        <v>-</v>
      </c>
    </row>
    <row r="22592">
      <c r="B22592" t="str">
        <v>Công an xã Tây Phú  tỉnh An Giang</v>
      </c>
      <c r="C22592" t="str">
        <v>-</v>
      </c>
      <c r="D22592" t="str">
        <v>-</v>
      </c>
      <c r="E22592" t="str">
        <v/>
      </c>
      <c r="F22592" t="str">
        <v>-</v>
      </c>
      <c r="G22592" t="str">
        <v>-</v>
      </c>
    </row>
    <row r="22593">
      <c r="B22593" t="str">
        <v>UBND Ủy ban nhân dân xã Tây Phú  tỉnh An Giang</v>
      </c>
      <c r="C22593" t="str">
        <v>-</v>
      </c>
      <c r="D22593" t="str">
        <v>-</v>
      </c>
      <c r="E22593" t="str">
        <v>-</v>
      </c>
      <c r="F22593" t="str">
        <v>-</v>
      </c>
      <c r="G22593" t="str">
        <v>-</v>
      </c>
    </row>
    <row r="22594">
      <c r="B22594" t="str">
        <v>Công an xã An Bình  tỉnh An Giang</v>
      </c>
      <c r="C22594" t="str">
        <v>-</v>
      </c>
      <c r="D22594" t="str">
        <v>-</v>
      </c>
      <c r="E22594" t="str">
        <v/>
      </c>
      <c r="F22594" t="str">
        <v>-</v>
      </c>
      <c r="G22594" t="str">
        <v>-</v>
      </c>
    </row>
    <row r="22595">
      <c r="B22595" t="str">
        <v>UBND Ủy ban nhân dân xã An Bình  tỉnh An Giang</v>
      </c>
      <c r="C22595" t="str">
        <v>-</v>
      </c>
      <c r="D22595" t="str">
        <v>-</v>
      </c>
      <c r="E22595" t="str">
        <v>-</v>
      </c>
      <c r="F22595" t="str">
        <v>-</v>
      </c>
      <c r="G22595" t="str">
        <v>-</v>
      </c>
    </row>
    <row r="22596">
      <c r="B22596" t="str">
        <v>Công an xã Vĩnh Phú  tỉnh An Giang</v>
      </c>
      <c r="C22596" t="str">
        <v>-</v>
      </c>
      <c r="D22596" t="str">
        <v>-</v>
      </c>
      <c r="E22596" t="str">
        <v/>
      </c>
      <c r="F22596" t="str">
        <v>-</v>
      </c>
      <c r="G22596" t="str">
        <v>-</v>
      </c>
    </row>
    <row r="22597">
      <c r="B22597" t="str">
        <v>UBND Ủy ban nhân dân xã Vĩnh Phú  tỉnh An Giang</v>
      </c>
      <c r="C22597" t="str">
        <v>-</v>
      </c>
      <c r="D22597" t="str">
        <v>-</v>
      </c>
      <c r="E22597" t="str">
        <v>-</v>
      </c>
      <c r="F22597" t="str">
        <v>-</v>
      </c>
      <c r="G22597" t="str">
        <v>-</v>
      </c>
    </row>
    <row r="22598">
      <c r="B22598" t="str">
        <v>Công an xã Vĩnh Trạch  tỉnh An Giang</v>
      </c>
      <c r="C22598" t="str">
        <v>-</v>
      </c>
      <c r="D22598" t="str">
        <v>-</v>
      </c>
      <c r="E22598" t="str">
        <v/>
      </c>
      <c r="F22598" t="str">
        <v>-</v>
      </c>
      <c r="G22598" t="str">
        <v>-</v>
      </c>
    </row>
    <row r="22599">
      <c r="B22599" t="str">
        <v>UBND Ủy ban nhân dân xã Vĩnh Trạch  tỉnh An Giang</v>
      </c>
      <c r="C22599" t="str">
        <v>-</v>
      </c>
      <c r="D22599" t="str">
        <v>-</v>
      </c>
      <c r="E22599" t="str">
        <v>-</v>
      </c>
      <c r="F22599" t="str">
        <v>-</v>
      </c>
      <c r="G22599" t="str">
        <v>-</v>
      </c>
    </row>
    <row r="22600">
      <c r="B22600" t="str">
        <v>Công an xã Phú Thuận  tỉnh An Giang</v>
      </c>
      <c r="C22600" t="str">
        <v>-</v>
      </c>
      <c r="D22600" t="str">
        <v>-</v>
      </c>
      <c r="E22600" t="str">
        <v/>
      </c>
      <c r="F22600" t="str">
        <v>-</v>
      </c>
      <c r="G22600" t="str">
        <v>-</v>
      </c>
    </row>
    <row r="22601">
      <c r="B22601" t="str">
        <v>UBND Ủy ban nhân dân xã Phú Thuận  tỉnh An Giang</v>
      </c>
      <c r="C22601" t="str">
        <v>-</v>
      </c>
      <c r="D22601" t="str">
        <v>-</v>
      </c>
      <c r="E22601" t="str">
        <v>-</v>
      </c>
      <c r="F22601" t="str">
        <v>-</v>
      </c>
      <c r="G22601" t="str">
        <v>-</v>
      </c>
    </row>
    <row r="22602">
      <c r="B22602" t="str">
        <v>Công an xã Vĩnh Chánh  tỉnh An Giang</v>
      </c>
      <c r="C22602" t="str">
        <v>-</v>
      </c>
      <c r="D22602" t="str">
        <v>-</v>
      </c>
      <c r="E22602" t="str">
        <v/>
      </c>
      <c r="F22602" t="str">
        <v>-</v>
      </c>
      <c r="G22602" t="str">
        <v>-</v>
      </c>
    </row>
    <row r="22603">
      <c r="B22603" t="str">
        <v>UBND Ủy ban nhân dân xã Vĩnh Chánh  tỉnh An Giang</v>
      </c>
      <c r="C22603" t="str">
        <v>-</v>
      </c>
      <c r="D22603" t="str">
        <v>-</v>
      </c>
      <c r="E22603" t="str">
        <v>-</v>
      </c>
      <c r="F22603" t="str">
        <v>-</v>
      </c>
      <c r="G22603" t="str">
        <v>-</v>
      </c>
    </row>
    <row r="22604">
      <c r="B22604" t="str">
        <v>Công an xã Định Mỹ  tỉnh An Giang</v>
      </c>
      <c r="C22604" t="str">
        <v>-</v>
      </c>
      <c r="D22604" t="str">
        <v>-</v>
      </c>
      <c r="E22604" t="str">
        <v/>
      </c>
      <c r="F22604" t="str">
        <v>-</v>
      </c>
      <c r="G22604" t="str">
        <v>-</v>
      </c>
    </row>
    <row r="22605">
      <c r="B22605" t="str">
        <v>UBND Ủy ban nhân dân xã Định Mỹ  tỉnh An Giang</v>
      </c>
      <c r="C22605" t="str">
        <v>-</v>
      </c>
      <c r="D22605" t="str">
        <v>-</v>
      </c>
      <c r="E22605" t="str">
        <v>-</v>
      </c>
      <c r="F22605" t="str">
        <v>-</v>
      </c>
      <c r="G22605" t="str">
        <v>-</v>
      </c>
    </row>
    <row r="22606">
      <c r="B22606" t="str">
        <v>Công an xã Định Thành  tỉnh An Giang</v>
      </c>
      <c r="C22606" t="str">
        <v>-</v>
      </c>
      <c r="D22606" t="str">
        <v>-</v>
      </c>
      <c r="E22606" t="str">
        <v/>
      </c>
      <c r="F22606" t="str">
        <v>-</v>
      </c>
      <c r="G22606" t="str">
        <v>-</v>
      </c>
    </row>
    <row r="22607">
      <c r="B22607" t="str">
        <v>UBND Ủy ban nhân dân xã Định Thành  tỉnh An Giang</v>
      </c>
      <c r="C22607" t="str">
        <v>-</v>
      </c>
      <c r="D22607" t="str">
        <v>-</v>
      </c>
      <c r="E22607" t="str">
        <v>-</v>
      </c>
      <c r="F22607" t="str">
        <v>-</v>
      </c>
      <c r="G22607" t="str">
        <v>-</v>
      </c>
    </row>
    <row r="22608">
      <c r="B22608" t="str">
        <v>Công an xã Mỹ Phú Đông  tỉnh An Giang</v>
      </c>
      <c r="C22608" t="str">
        <v>-</v>
      </c>
      <c r="D22608" t="str">
        <v>-</v>
      </c>
      <c r="E22608" t="str">
        <v/>
      </c>
      <c r="F22608" t="str">
        <v>-</v>
      </c>
      <c r="G22608" t="str">
        <v>-</v>
      </c>
    </row>
    <row r="22609">
      <c r="B22609" t="str">
        <v>UBND Ủy ban nhân dân xã Mỹ Phú Đông  tỉnh An Giang</v>
      </c>
      <c r="C22609" t="str">
        <v>-</v>
      </c>
      <c r="D22609" t="str">
        <v>-</v>
      </c>
      <c r="E22609" t="str">
        <v>-</v>
      </c>
      <c r="F22609" t="str">
        <v>-</v>
      </c>
      <c r="G22609" t="str">
        <v>-</v>
      </c>
    </row>
    <row r="22610">
      <c r="B22610" t="str">
        <v>Công an xã Vọng Đông  tỉnh An Giang</v>
      </c>
      <c r="C22610" t="str">
        <v>-</v>
      </c>
      <c r="D22610" t="str">
        <v>-</v>
      </c>
      <c r="E22610" t="str">
        <v/>
      </c>
      <c r="F22610" t="str">
        <v>-</v>
      </c>
      <c r="G22610" t="str">
        <v>-</v>
      </c>
    </row>
    <row r="22611">
      <c r="B22611" t="str">
        <v>UBND Ủy ban nhân dân xã Vọng Đông  tỉnh An Giang</v>
      </c>
      <c r="C22611" t="str">
        <v>-</v>
      </c>
      <c r="D22611" t="str">
        <v>-</v>
      </c>
      <c r="E22611" t="str">
        <v>-</v>
      </c>
      <c r="F22611" t="str">
        <v>-</v>
      </c>
      <c r="G22611" t="str">
        <v>-</v>
      </c>
    </row>
    <row r="22612">
      <c r="B22612" t="str">
        <v>Công an xã Vĩnh Khánh  tỉnh An Giang</v>
      </c>
      <c r="C22612" t="str">
        <v>-</v>
      </c>
      <c r="D22612" t="str">
        <v>-</v>
      </c>
      <c r="E22612" t="str">
        <v/>
      </c>
      <c r="F22612" t="str">
        <v>-</v>
      </c>
      <c r="G22612" t="str">
        <v>-</v>
      </c>
    </row>
    <row r="22613">
      <c r="B22613" t="str">
        <v>UBND Ủy ban nhân dân xã Vĩnh Khánh  tỉnh An Giang</v>
      </c>
      <c r="C22613" t="str">
        <v>-</v>
      </c>
      <c r="D22613" t="str">
        <v>-</v>
      </c>
      <c r="E22613" t="str">
        <v>-</v>
      </c>
      <c r="F22613" t="str">
        <v>-</v>
      </c>
      <c r="G22613" t="str">
        <v>-</v>
      </c>
    </row>
    <row r="22614">
      <c r="B22614" t="str">
        <v>Công an xã Thoại Giang  tỉnh An Giang</v>
      </c>
      <c r="C22614" t="str">
        <v>-</v>
      </c>
      <c r="D22614" t="str">
        <v>-</v>
      </c>
      <c r="E22614" t="str">
        <v/>
      </c>
      <c r="F22614" t="str">
        <v>-</v>
      </c>
      <c r="G22614" t="str">
        <v>-</v>
      </c>
    </row>
    <row r="22615">
      <c r="B22615" t="str">
        <v>UBND Ủy ban nhân dân xã Thoại Giang  tỉnh An Giang</v>
      </c>
      <c r="C22615" t="str">
        <v>-</v>
      </c>
      <c r="D22615" t="str">
        <v>-</v>
      </c>
      <c r="E22615" t="str">
        <v>-</v>
      </c>
      <c r="F22615" t="str">
        <v>-</v>
      </c>
      <c r="G22615" t="str">
        <v>-</v>
      </c>
    </row>
    <row r="22616">
      <c r="B22616" t="str">
        <v>Công an xã Bình Thành  tỉnh An Giang</v>
      </c>
      <c r="C22616" t="str">
        <v>-</v>
      </c>
      <c r="D22616" t="str">
        <v>-</v>
      </c>
      <c r="E22616" t="str">
        <v/>
      </c>
      <c r="F22616" t="str">
        <v>-</v>
      </c>
      <c r="G22616" t="str">
        <v>-</v>
      </c>
    </row>
    <row r="22617">
      <c r="B22617" t="str">
        <v>UBND Ủy ban nhân dân xã Bình Thành  tỉnh An Giang</v>
      </c>
      <c r="C22617" t="str">
        <v>-</v>
      </c>
      <c r="D22617" t="str">
        <v>-</v>
      </c>
      <c r="E22617" t="str">
        <v>-</v>
      </c>
      <c r="F22617" t="str">
        <v>-</v>
      </c>
      <c r="G22617" t="str">
        <v>-</v>
      </c>
    </row>
    <row r="22618">
      <c r="B22618" t="str">
        <v>Công an xã Vọng Thê  tỉnh An Giang</v>
      </c>
      <c r="C22618" t="str">
        <v>-</v>
      </c>
      <c r="D22618" t="str">
        <v>-</v>
      </c>
      <c r="E22618" t="str">
        <v/>
      </c>
      <c r="F22618" t="str">
        <v>-</v>
      </c>
      <c r="G22618" t="str">
        <v>-</v>
      </c>
    </row>
    <row r="22619">
      <c r="B22619" t="str">
        <v>UBND Ủy ban nhân dân xã Vọng Thê  tỉnh An Giang</v>
      </c>
      <c r="C22619" t="str">
        <v>-</v>
      </c>
      <c r="D22619" t="str">
        <v>-</v>
      </c>
      <c r="E22619" t="str">
        <v>-</v>
      </c>
      <c r="F22619" t="str">
        <v>-</v>
      </c>
      <c r="G22619" t="str">
        <v>-</v>
      </c>
    </row>
    <row r="22620">
      <c r="B22620" t="str">
        <v>Công an phường Vĩnh Thanh Vân  tỉnh Kiên Giang</v>
      </c>
      <c r="C22620" t="str">
        <v>-</v>
      </c>
      <c r="D22620" t="str">
        <v>-</v>
      </c>
      <c r="E22620" t="str">
        <v/>
      </c>
      <c r="F22620" t="str">
        <v>-</v>
      </c>
      <c r="G22620" t="str">
        <v>-</v>
      </c>
    </row>
    <row r="22621">
      <c r="B22621" t="str">
        <v>UBND Ủy ban nhân dân phường Vĩnh Thanh Vân  tỉnh Kiên Giang</v>
      </c>
      <c r="C22621" t="str">
        <v>-</v>
      </c>
      <c r="D22621" t="str">
        <v>-</v>
      </c>
      <c r="E22621" t="str">
        <v>-</v>
      </c>
      <c r="F22621" t="str">
        <v>-</v>
      </c>
      <c r="G22621" t="str">
        <v>-</v>
      </c>
    </row>
    <row r="22622">
      <c r="B22622" t="str">
        <v>Công an phường Vĩnh Thanh  tỉnh Kiên Giang</v>
      </c>
      <c r="C22622" t="str">
        <v>-</v>
      </c>
      <c r="D22622" t="str">
        <v>-</v>
      </c>
      <c r="E22622" t="str">
        <v/>
      </c>
      <c r="F22622" t="str">
        <v>-</v>
      </c>
      <c r="G22622" t="str">
        <v>-</v>
      </c>
    </row>
    <row r="22623">
      <c r="B22623" t="str">
        <v>UBND Ủy ban nhân dân phường Vĩnh Thanh  tỉnh Kiên Giang</v>
      </c>
      <c r="C22623" t="str">
        <v>-</v>
      </c>
      <c r="D22623" t="str">
        <v>-</v>
      </c>
      <c r="E22623" t="str">
        <v>-</v>
      </c>
      <c r="F22623" t="str">
        <v>-</v>
      </c>
      <c r="G22623" t="str">
        <v>-</v>
      </c>
    </row>
    <row r="22624">
      <c r="B22624" t="str">
        <v>Công an phường Vĩnh Quang  tỉnh Kiên Giang</v>
      </c>
      <c r="C22624" t="str">
        <v>-</v>
      </c>
      <c r="D22624" t="str">
        <v>-</v>
      </c>
      <c r="E22624" t="str">
        <v/>
      </c>
      <c r="F22624" t="str">
        <v>-</v>
      </c>
      <c r="G22624" t="str">
        <v>-</v>
      </c>
    </row>
    <row r="22625">
      <c r="B22625" t="str">
        <v>UBND Ủy ban nhân dân phường Vĩnh Quang  tỉnh Kiên Giang</v>
      </c>
      <c r="C22625" t="str">
        <v>-</v>
      </c>
      <c r="D22625" t="str">
        <v>-</v>
      </c>
      <c r="E22625" t="str">
        <v>-</v>
      </c>
      <c r="F22625" t="str">
        <v>-</v>
      </c>
      <c r="G22625" t="str">
        <v>-</v>
      </c>
    </row>
    <row r="22626">
      <c r="B22626" t="str">
        <v>Công an phường Vĩnh Hiệp  tỉnh Kiên Giang</v>
      </c>
      <c r="C22626" t="str">
        <v>-</v>
      </c>
      <c r="D22626" t="str">
        <v>-</v>
      </c>
      <c r="E22626" t="str">
        <v/>
      </c>
      <c r="F22626" t="str">
        <v>-</v>
      </c>
      <c r="G22626" t="str">
        <v>-</v>
      </c>
    </row>
    <row r="22627">
      <c r="B22627" t="str">
        <v>UBND Ủy ban nhân dân phường Vĩnh Hiệp  tỉnh Kiên Giang</v>
      </c>
      <c r="C22627" t="str">
        <v>-</v>
      </c>
      <c r="D22627" t="str">
        <v>-</v>
      </c>
      <c r="E22627" t="str">
        <v>-</v>
      </c>
      <c r="F22627" t="str">
        <v>-</v>
      </c>
      <c r="G22627" t="str">
        <v>-</v>
      </c>
    </row>
    <row r="22628">
      <c r="B22628" t="str">
        <v>Công an phường Vĩnh Bảo  tỉnh Kiên Giang</v>
      </c>
      <c r="C22628" t="str">
        <v>-</v>
      </c>
      <c r="D22628" t="str">
        <v>-</v>
      </c>
      <c r="E22628" t="str">
        <v/>
      </c>
      <c r="F22628" t="str">
        <v>-</v>
      </c>
      <c r="G22628" t="str">
        <v>-</v>
      </c>
    </row>
    <row r="22629">
      <c r="B22629" t="str">
        <v>UBND Ủy ban nhân dân phường Vĩnh Bảo  tỉnh Kiên Giang</v>
      </c>
      <c r="C22629" t="str">
        <v>-</v>
      </c>
      <c r="D22629" t="str">
        <v>-</v>
      </c>
      <c r="E22629" t="str">
        <v>-</v>
      </c>
      <c r="F22629" t="str">
        <v>-</v>
      </c>
      <c r="G22629" t="str">
        <v>-</v>
      </c>
    </row>
    <row r="22630">
      <c r="B22630" t="str">
        <v>Công an phường Vĩnh Lạc  tỉnh Kiên Giang</v>
      </c>
      <c r="C22630" t="str">
        <v>-</v>
      </c>
      <c r="D22630" t="str">
        <v>-</v>
      </c>
      <c r="E22630" t="str">
        <v/>
      </c>
      <c r="F22630" t="str">
        <v>-</v>
      </c>
      <c r="G22630" t="str">
        <v>-</v>
      </c>
    </row>
    <row r="22631">
      <c r="B22631" t="str">
        <v>UBND Ủy ban nhân dân phường Vĩnh Lạc  tỉnh Kiên Giang</v>
      </c>
      <c r="C22631" t="str">
        <v>-</v>
      </c>
      <c r="D22631" t="str">
        <v>-</v>
      </c>
      <c r="E22631" t="str">
        <v>-</v>
      </c>
      <c r="F22631" t="str">
        <v>-</v>
      </c>
      <c r="G22631" t="str">
        <v>-</v>
      </c>
    </row>
    <row r="22632">
      <c r="B22632" t="str">
        <v>Công an phường An Hòa  tỉnh Kiên Giang</v>
      </c>
      <c r="C22632" t="str">
        <v>-</v>
      </c>
      <c r="D22632" t="str">
        <v>-</v>
      </c>
      <c r="E22632" t="str">
        <v/>
      </c>
      <c r="F22632" t="str">
        <v>-</v>
      </c>
      <c r="G22632" t="str">
        <v>-</v>
      </c>
    </row>
    <row r="22633">
      <c r="B22633" t="str">
        <v>UBND Ủy ban nhân dân phường An Hòa  tỉnh Kiên Giang</v>
      </c>
      <c r="C22633" t="str">
        <v>-</v>
      </c>
      <c r="D22633" t="str">
        <v>-</v>
      </c>
      <c r="E22633" t="str">
        <v>-</v>
      </c>
      <c r="F22633" t="str">
        <v>-</v>
      </c>
      <c r="G22633" t="str">
        <v>-</v>
      </c>
    </row>
    <row r="22634">
      <c r="B22634" t="str">
        <v>Công an phường An Bình  tỉnh Kiên Giang</v>
      </c>
      <c r="C22634" t="str">
        <v>-</v>
      </c>
      <c r="D22634" t="str">
        <v>-</v>
      </c>
      <c r="E22634" t="str">
        <v/>
      </c>
      <c r="F22634" t="str">
        <v>-</v>
      </c>
      <c r="G22634" t="str">
        <v>-</v>
      </c>
    </row>
    <row r="22635">
      <c r="B22635" t="str">
        <v>UBND Ủy ban nhân dân phường An Bình  tỉnh Kiên Giang</v>
      </c>
      <c r="C22635" t="str">
        <v>-</v>
      </c>
      <c r="D22635" t="str">
        <v>-</v>
      </c>
      <c r="E22635" t="str">
        <v>-</v>
      </c>
      <c r="F22635" t="str">
        <v>-</v>
      </c>
      <c r="G22635" t="str">
        <v>-</v>
      </c>
    </row>
    <row r="22636">
      <c r="B22636" t="str">
        <v>Công an phường Rạch Sỏi  tỉnh Kiên Giang</v>
      </c>
      <c r="C22636" t="str">
        <v>-</v>
      </c>
      <c r="D22636" t="str">
        <v>-</v>
      </c>
      <c r="E22636" t="str">
        <v/>
      </c>
      <c r="F22636" t="str">
        <v>-</v>
      </c>
      <c r="G22636" t="str">
        <v>-</v>
      </c>
    </row>
    <row r="22637">
      <c r="B22637" t="str">
        <v>UBND Ủy ban nhân dân phường Rạch Sỏi  tỉnh Kiên Giang</v>
      </c>
      <c r="C22637" t="str">
        <v>-</v>
      </c>
      <c r="D22637" t="str">
        <v>-</v>
      </c>
      <c r="E22637" t="str">
        <v>-</v>
      </c>
      <c r="F22637" t="str">
        <v>-</v>
      </c>
      <c r="G22637" t="str">
        <v>-</v>
      </c>
    </row>
    <row r="22638">
      <c r="B22638" t="str">
        <v>Công an phường Vĩnh Lợi  tỉnh Kiên Giang</v>
      </c>
      <c r="C22638" t="str">
        <v>-</v>
      </c>
      <c r="D22638" t="str">
        <v>-</v>
      </c>
      <c r="E22638" t="str">
        <v/>
      </c>
      <c r="F22638" t="str">
        <v>-</v>
      </c>
      <c r="G22638" t="str">
        <v>-</v>
      </c>
    </row>
    <row r="22639">
      <c r="B22639" t="str">
        <v>UBND Ủy ban nhân dân phường Vĩnh Lợi  tỉnh Kiên Giang</v>
      </c>
      <c r="C22639" t="str">
        <v>-</v>
      </c>
      <c r="D22639" t="str">
        <v>-</v>
      </c>
      <c r="E22639" t="str">
        <v>-</v>
      </c>
      <c r="F22639" t="str">
        <v>-</v>
      </c>
      <c r="G22639" t="str">
        <v>-</v>
      </c>
    </row>
    <row r="22640">
      <c r="B22640" t="str">
        <v>Công an phường Vĩnh Thông  tỉnh Kiên Giang</v>
      </c>
      <c r="C22640" t="str">
        <v>-</v>
      </c>
      <c r="D22640" t="str">
        <v>-</v>
      </c>
      <c r="E22640" t="str">
        <v/>
      </c>
      <c r="F22640" t="str">
        <v>-</v>
      </c>
      <c r="G22640" t="str">
        <v>-</v>
      </c>
    </row>
    <row r="22641">
      <c r="B22641" t="str">
        <v>UBND Ủy ban nhân dân phường Vĩnh Thông  tỉnh Kiên Giang</v>
      </c>
      <c r="C22641" t="str">
        <v>-</v>
      </c>
      <c r="D22641" t="str">
        <v>-</v>
      </c>
      <c r="E22641" t="str">
        <v>-</v>
      </c>
      <c r="F22641" t="str">
        <v>-</v>
      </c>
      <c r="G22641" t="str">
        <v>-</v>
      </c>
    </row>
    <row r="22642">
      <c r="B22642" t="str">
        <v>Công an xã Phi Thông  tỉnh Kiên Giang</v>
      </c>
      <c r="C22642" t="str">
        <v>-</v>
      </c>
      <c r="D22642" t="str">
        <v>-</v>
      </c>
      <c r="E22642" t="str">
        <v/>
      </c>
      <c r="F22642" t="str">
        <v>-</v>
      </c>
      <c r="G22642" t="str">
        <v>-</v>
      </c>
    </row>
    <row r="22643">
      <c r="B22643" t="str">
        <v>UBND Ủy ban nhân dân xã Phi Thông  tỉnh Kiên Giang</v>
      </c>
      <c r="C22643" t="str">
        <v>-</v>
      </c>
      <c r="D22643" t="str">
        <v>-</v>
      </c>
      <c r="E22643" t="str">
        <v>-</v>
      </c>
      <c r="F22643" t="str">
        <v>-</v>
      </c>
      <c r="G22643" t="str">
        <v>-</v>
      </c>
    </row>
    <row r="22644">
      <c r="B22644" t="str">
        <v>Công an phường Tô Châu  tỉnh Kiên Giang</v>
      </c>
      <c r="C22644" t="str">
        <v>-</v>
      </c>
      <c r="D22644" t="str">
        <v>-</v>
      </c>
      <c r="E22644" t="str">
        <v/>
      </c>
      <c r="F22644" t="str">
        <v>-</v>
      </c>
      <c r="G22644" t="str">
        <v>-</v>
      </c>
    </row>
    <row r="22645">
      <c r="B22645" t="str">
        <v>UBND Ủy ban nhân dân phường Tô Châu  tỉnh Kiên Giang</v>
      </c>
      <c r="C22645" t="str">
        <v>-</v>
      </c>
      <c r="D22645" t="str">
        <v>-</v>
      </c>
      <c r="E22645" t="str">
        <v>-</v>
      </c>
      <c r="F22645" t="str">
        <v>-</v>
      </c>
      <c r="G22645" t="str">
        <v>-</v>
      </c>
    </row>
    <row r="22646">
      <c r="B22646" t="str">
        <v>Công an phường Đông Hồ  tỉnh Kiên Giang</v>
      </c>
      <c r="C22646" t="str">
        <v>-</v>
      </c>
      <c r="D22646" t="str">
        <v>-</v>
      </c>
      <c r="E22646" t="str">
        <v/>
      </c>
      <c r="F22646" t="str">
        <v>-</v>
      </c>
      <c r="G22646" t="str">
        <v>-</v>
      </c>
    </row>
    <row r="22647">
      <c r="B22647" t="str">
        <v>UBND Ủy ban nhân dân phường Đông Hồ  tỉnh Kiên Giang</v>
      </c>
      <c r="C22647" t="str">
        <v>-</v>
      </c>
      <c r="D22647" t="str">
        <v>-</v>
      </c>
      <c r="E22647" t="str">
        <v>-</v>
      </c>
      <c r="F22647" t="str">
        <v>-</v>
      </c>
      <c r="G22647" t="str">
        <v>-</v>
      </c>
    </row>
    <row r="22648">
      <c r="B22648" t="str">
        <v>Công an phường Bình San  tỉnh Kiên Giang</v>
      </c>
      <c r="C22648" t="str">
        <v>-</v>
      </c>
      <c r="D22648" t="str">
        <v>-</v>
      </c>
      <c r="E22648" t="str">
        <v/>
      </c>
      <c r="F22648" t="str">
        <v>-</v>
      </c>
      <c r="G22648" t="str">
        <v>-</v>
      </c>
    </row>
    <row r="22649">
      <c r="B22649" t="str">
        <v>UBND Ủy ban nhân dân phường Bình San  tỉnh Kiên Giang</v>
      </c>
      <c r="C22649" t="str">
        <v>-</v>
      </c>
      <c r="D22649" t="str">
        <v>-</v>
      </c>
      <c r="E22649" t="str">
        <v>-</v>
      </c>
      <c r="F22649" t="str">
        <v>-</v>
      </c>
      <c r="G22649" t="str">
        <v>-</v>
      </c>
    </row>
    <row r="22650">
      <c r="B22650" t="str">
        <v>Công an phường Pháo Đài  tỉnh Kiên Giang</v>
      </c>
      <c r="C22650" t="str">
        <v>-</v>
      </c>
      <c r="D22650" t="str">
        <v>-</v>
      </c>
      <c r="E22650" t="str">
        <v/>
      </c>
      <c r="F22650" t="str">
        <v>-</v>
      </c>
      <c r="G22650" t="str">
        <v>-</v>
      </c>
    </row>
    <row r="22651">
      <c r="B22651" t="str">
        <v>UBND Ủy ban nhân dân phường Pháo Đài  tỉnh Kiên Giang</v>
      </c>
      <c r="C22651" t="str">
        <v>-</v>
      </c>
      <c r="D22651" t="str">
        <v>-</v>
      </c>
      <c r="E22651" t="str">
        <v>-</v>
      </c>
      <c r="F22651" t="str">
        <v>-</v>
      </c>
      <c r="G22651" t="str">
        <v>-</v>
      </c>
    </row>
    <row r="22652">
      <c r="B22652" t="str">
        <v>Công an xã Mỹ Đức  tỉnh Kiên Giang</v>
      </c>
      <c r="C22652" t="str">
        <v>-</v>
      </c>
      <c r="D22652" t="str">
        <v>-</v>
      </c>
      <c r="E22652" t="str">
        <v/>
      </c>
      <c r="F22652" t="str">
        <v>-</v>
      </c>
      <c r="G22652" t="str">
        <v>-</v>
      </c>
    </row>
    <row r="22653">
      <c r="B22653" t="str">
        <v>UBND Ủy ban nhân dân xã Mỹ Đức  tỉnh Kiên Giang</v>
      </c>
      <c r="C22653" t="str">
        <v>-</v>
      </c>
      <c r="D22653" t="str">
        <v>-</v>
      </c>
      <c r="E22653" t="str">
        <v>-</v>
      </c>
      <c r="F22653" t="str">
        <v>-</v>
      </c>
      <c r="G22653" t="str">
        <v>-</v>
      </c>
    </row>
    <row r="22654">
      <c r="B22654" t="str">
        <v>Công an xã Tiên Hải  tỉnh Kiên Giang</v>
      </c>
      <c r="C22654" t="str">
        <v>-</v>
      </c>
      <c r="D22654" t="str">
        <v>-</v>
      </c>
      <c r="E22654" t="str">
        <v/>
      </c>
      <c r="F22654" t="str">
        <v>-</v>
      </c>
      <c r="G22654" t="str">
        <v>-</v>
      </c>
    </row>
    <row r="22655">
      <c r="B22655" t="str">
        <v>UBND Ủy ban nhân dân xã Tiên Hải  tỉnh Kiên Giang</v>
      </c>
      <c r="C22655" t="str">
        <v>-</v>
      </c>
      <c r="D22655" t="str">
        <v>-</v>
      </c>
      <c r="E22655" t="str">
        <v>-</v>
      </c>
      <c r="F22655" t="str">
        <v>-</v>
      </c>
      <c r="G22655" t="str">
        <v>-</v>
      </c>
    </row>
    <row r="22656">
      <c r="B22656" t="str">
        <v>Công an xã Thuận Yên  tỉnh Kiên Giang</v>
      </c>
      <c r="C22656" t="str">
        <v>-</v>
      </c>
      <c r="D22656" t="str">
        <v>-</v>
      </c>
      <c r="E22656" t="str">
        <v/>
      </c>
      <c r="F22656" t="str">
        <v>-</v>
      </c>
      <c r="G22656" t="str">
        <v>-</v>
      </c>
    </row>
    <row r="22657">
      <c r="B22657" t="str">
        <v>UBND Ủy ban nhân dân xã Thuận Yên  tỉnh Kiên Giang</v>
      </c>
      <c r="C22657" t="str">
        <v>-</v>
      </c>
      <c r="D22657" t="str">
        <v>-</v>
      </c>
      <c r="E22657" t="str">
        <v>-</v>
      </c>
      <c r="F22657" t="str">
        <v>-</v>
      </c>
      <c r="G22657" t="str">
        <v>-</v>
      </c>
    </row>
    <row r="22658">
      <c r="B22658" t="str">
        <v>Công an xã Kiên Bình  tỉnh Kiên Giang</v>
      </c>
      <c r="C22658" t="str">
        <v>-</v>
      </c>
      <c r="D22658" t="str">
        <v>-</v>
      </c>
      <c r="E22658" t="str">
        <v/>
      </c>
      <c r="F22658" t="str">
        <v>-</v>
      </c>
      <c r="G22658" t="str">
        <v>-</v>
      </c>
    </row>
    <row r="22659">
      <c r="B22659" t="str">
        <v>UBND Ủy ban nhân dân xã Kiên Bình  tỉnh Kiên Giang</v>
      </c>
      <c r="C22659" t="str">
        <v>-</v>
      </c>
      <c r="D22659" t="str">
        <v>-</v>
      </c>
      <c r="E22659" t="str">
        <v>-</v>
      </c>
      <c r="F22659" t="str">
        <v>-</v>
      </c>
      <c r="G22659" t="str">
        <v>-</v>
      </c>
    </row>
    <row r="22660">
      <c r="B22660" t="str">
        <v>Công an xã Hòa Điền  tỉnh Kiên Giang</v>
      </c>
      <c r="C22660" t="str">
        <v>-</v>
      </c>
      <c r="D22660" t="str">
        <v>-</v>
      </c>
      <c r="E22660" t="str">
        <v/>
      </c>
      <c r="F22660" t="str">
        <v>-</v>
      </c>
      <c r="G22660" t="str">
        <v>-</v>
      </c>
    </row>
    <row r="22661">
      <c r="B22661" t="str">
        <v>UBND Ủy ban nhân dân xã Hòa Điền  tỉnh Kiên Giang</v>
      </c>
      <c r="C22661" t="str">
        <v>-</v>
      </c>
      <c r="D22661" t="str">
        <v>-</v>
      </c>
      <c r="E22661" t="str">
        <v>-</v>
      </c>
      <c r="F22661" t="str">
        <v>-</v>
      </c>
      <c r="G22661" t="str">
        <v>-</v>
      </c>
    </row>
    <row r="22662">
      <c r="B22662" t="str">
        <v>Công an xã Dương Hòa  tỉnh Kiên Giang</v>
      </c>
      <c r="C22662" t="str">
        <v>-</v>
      </c>
      <c r="D22662" t="str">
        <v>-</v>
      </c>
      <c r="E22662" t="str">
        <v/>
      </c>
      <c r="F22662" t="str">
        <v>-</v>
      </c>
      <c r="G22662" t="str">
        <v>-</v>
      </c>
    </row>
    <row r="22663">
      <c r="B22663" t="str">
        <v>UBND Ủy ban nhân dân xã Dương Hòa  tỉnh Kiên Giang</v>
      </c>
      <c r="C22663" t="str">
        <v>-</v>
      </c>
      <c r="D22663" t="str">
        <v>-</v>
      </c>
      <c r="E22663" t="str">
        <v>-</v>
      </c>
      <c r="F22663" t="str">
        <v>-</v>
      </c>
      <c r="G22663" t="str">
        <v>-</v>
      </c>
    </row>
    <row r="22664">
      <c r="B22664" t="str">
        <v>Công an xã Bình An  tỉnh Kiên Giang</v>
      </c>
      <c r="C22664" t="str">
        <v>-</v>
      </c>
      <c r="D22664" t="str">
        <v>-</v>
      </c>
      <c r="E22664" t="str">
        <v/>
      </c>
      <c r="F22664" t="str">
        <v>-</v>
      </c>
      <c r="G22664" t="str">
        <v>-</v>
      </c>
    </row>
    <row r="22665">
      <c r="B22665" t="str">
        <v>UBND Ủy ban nhân dân xã Bình An  tỉnh Kiên Giang</v>
      </c>
      <c r="C22665" t="str">
        <v>-</v>
      </c>
      <c r="D22665" t="str">
        <v>-</v>
      </c>
      <c r="E22665" t="str">
        <v>-</v>
      </c>
      <c r="F22665" t="str">
        <v>-</v>
      </c>
      <c r="G22665" t="str">
        <v>-</v>
      </c>
    </row>
    <row r="22666">
      <c r="B22666" t="str">
        <v>Công an xã Bình Trị  tỉnh Kiên Giang</v>
      </c>
      <c r="C22666" t="str">
        <v>-</v>
      </c>
      <c r="D22666" t="str">
        <v>-</v>
      </c>
      <c r="E22666" t="str">
        <v/>
      </c>
      <c r="F22666" t="str">
        <v>-</v>
      </c>
      <c r="G22666" t="str">
        <v>-</v>
      </c>
    </row>
    <row r="22667">
      <c r="B22667" t="str">
        <v>UBND Ủy ban nhân dân xã Bình Trị  tỉnh Kiên Giang</v>
      </c>
      <c r="C22667" t="str">
        <v>-</v>
      </c>
      <c r="D22667" t="str">
        <v>-</v>
      </c>
      <c r="E22667" t="str">
        <v>-</v>
      </c>
      <c r="F22667" t="str">
        <v>-</v>
      </c>
      <c r="G22667" t="str">
        <v>-</v>
      </c>
    </row>
    <row r="22668">
      <c r="B22668" t="str">
        <v>Công an xã Sơn Hải  tỉnh Kiên Giang</v>
      </c>
      <c r="C22668" t="str">
        <v>-</v>
      </c>
      <c r="D22668" t="str">
        <v>-</v>
      </c>
      <c r="E22668" t="str">
        <v/>
      </c>
      <c r="F22668" t="str">
        <v>-</v>
      </c>
      <c r="G22668" t="str">
        <v>-</v>
      </c>
    </row>
    <row r="22669">
      <c r="B22669" t="str">
        <v>UBND Ủy ban nhân dân xã Sơn Hải  tỉnh Kiên Giang</v>
      </c>
      <c r="C22669" t="str">
        <v>-</v>
      </c>
      <c r="D22669" t="str">
        <v>-</v>
      </c>
      <c r="E22669" t="str">
        <v>-</v>
      </c>
      <c r="F22669" t="str">
        <v>-</v>
      </c>
      <c r="G22669" t="str">
        <v>-</v>
      </c>
    </row>
    <row r="22670">
      <c r="B22670" t="str">
        <v>Công an xã Hòn Nghệ  tỉnh Kiên Giang</v>
      </c>
      <c r="C22670" t="str">
        <v>-</v>
      </c>
      <c r="D22670" t="str">
        <v>-</v>
      </c>
      <c r="E22670" t="str">
        <v/>
      </c>
      <c r="F22670" t="str">
        <v>-</v>
      </c>
      <c r="G22670" t="str">
        <v>-</v>
      </c>
    </row>
    <row r="22671">
      <c r="B22671" t="str">
        <v>UBND Ủy ban nhân dân xã Hòn Nghệ  tỉnh Kiên Giang</v>
      </c>
      <c r="C22671" t="str">
        <v>-</v>
      </c>
      <c r="D22671" t="str">
        <v>-</v>
      </c>
      <c r="E22671" t="str">
        <v>-</v>
      </c>
      <c r="F22671" t="str">
        <v>-</v>
      </c>
      <c r="G22671" t="str">
        <v>-</v>
      </c>
    </row>
    <row r="22672">
      <c r="B22672" t="str">
        <v>Công an xã Bình Sơn  tỉnh Kiên Giang</v>
      </c>
      <c r="C22672" t="str">
        <v>-</v>
      </c>
      <c r="D22672" t="str">
        <v>-</v>
      </c>
      <c r="E22672" t="str">
        <v/>
      </c>
      <c r="F22672" t="str">
        <v>-</v>
      </c>
      <c r="G22672" t="str">
        <v>-</v>
      </c>
    </row>
    <row r="22673">
      <c r="B22673" t="str">
        <v>UBND Ủy ban nhân dân xã Bình Sơn  tỉnh Kiên Giang</v>
      </c>
      <c r="C22673" t="str">
        <v>-</v>
      </c>
      <c r="D22673" t="str">
        <v>-</v>
      </c>
      <c r="E22673" t="str">
        <v>-</v>
      </c>
      <c r="F22673" t="str">
        <v>-</v>
      </c>
      <c r="G22673" t="str">
        <v>-</v>
      </c>
    </row>
    <row r="22674">
      <c r="B22674" t="str">
        <v>Công an xã Bình Giang  tỉnh Kiên Giang</v>
      </c>
      <c r="C22674" t="str">
        <v>-</v>
      </c>
      <c r="D22674" t="str">
        <v>-</v>
      </c>
      <c r="E22674" t="str">
        <v/>
      </c>
      <c r="F22674" t="str">
        <v>-</v>
      </c>
      <c r="G22674" t="str">
        <v>-</v>
      </c>
    </row>
    <row r="22675">
      <c r="B22675" t="str">
        <v>UBND Ủy ban nhân dân xã Bình Giang  tỉnh Kiên Giang</v>
      </c>
      <c r="C22675" t="str">
        <v>-</v>
      </c>
      <c r="D22675" t="str">
        <v>-</v>
      </c>
      <c r="E22675" t="str">
        <v>-</v>
      </c>
      <c r="F22675" t="str">
        <v>-</v>
      </c>
      <c r="G22675" t="str">
        <v>-</v>
      </c>
    </row>
    <row r="22676">
      <c r="B22676" t="str">
        <v>Công an xã Mỹ Thái  tỉnh Kiên Giang</v>
      </c>
      <c r="C22676" t="str">
        <v>-</v>
      </c>
      <c r="D22676" t="str">
        <v>-</v>
      </c>
      <c r="E22676" t="str">
        <v/>
      </c>
      <c r="F22676" t="str">
        <v>-</v>
      </c>
      <c r="G22676" t="str">
        <v>-</v>
      </c>
    </row>
    <row r="22677">
      <c r="B22677" t="str">
        <v>UBND Ủy ban nhân dân xã Mỹ Thái  tỉnh Kiên Giang</v>
      </c>
      <c r="C22677" t="str">
        <v>-</v>
      </c>
      <c r="D22677" t="str">
        <v>-</v>
      </c>
      <c r="E22677" t="str">
        <v>-</v>
      </c>
      <c r="F22677" t="str">
        <v>-</v>
      </c>
      <c r="G22677" t="str">
        <v>-</v>
      </c>
    </row>
    <row r="22678">
      <c r="B22678" t="str">
        <v>Công an xã Nam Thái Sơn  tỉnh Kiên Giang</v>
      </c>
      <c r="C22678" t="str">
        <v>-</v>
      </c>
      <c r="D22678" t="str">
        <v>-</v>
      </c>
      <c r="E22678" t="str">
        <v/>
      </c>
      <c r="F22678" t="str">
        <v>-</v>
      </c>
      <c r="G22678" t="str">
        <v>-</v>
      </c>
    </row>
    <row r="22679">
      <c r="B22679" t="str">
        <v>UBND Ủy ban nhân dân xã Nam Thái Sơn  tỉnh Kiên Giang</v>
      </c>
      <c r="C22679" t="str">
        <v>-</v>
      </c>
      <c r="D22679" t="str">
        <v>-</v>
      </c>
      <c r="E22679" t="str">
        <v>-</v>
      </c>
      <c r="F22679" t="str">
        <v>-</v>
      </c>
      <c r="G22679" t="str">
        <v>-</v>
      </c>
    </row>
    <row r="22680">
      <c r="B22680" t="str">
        <v>Công an xã Mỹ Hiệp Sơn  tỉnh Kiên Giang</v>
      </c>
      <c r="C22680" t="str">
        <v>-</v>
      </c>
      <c r="D22680" t="str">
        <v>-</v>
      </c>
      <c r="E22680" t="str">
        <v/>
      </c>
      <c r="F22680" t="str">
        <v>-</v>
      </c>
      <c r="G22680" t="str">
        <v>-</v>
      </c>
    </row>
    <row r="22681">
      <c r="B22681" t="str">
        <v>UBND Ủy ban nhân dân xã Mỹ Hiệp Sơn  tỉnh Kiên Giang</v>
      </c>
      <c r="C22681" t="str">
        <v>-</v>
      </c>
      <c r="D22681" t="str">
        <v>-</v>
      </c>
      <c r="E22681" t="str">
        <v>-</v>
      </c>
      <c r="F22681" t="str">
        <v>-</v>
      </c>
      <c r="G22681" t="str">
        <v>-</v>
      </c>
    </row>
    <row r="22682">
      <c r="B22682" t="str">
        <v>Công an xã Sơn Kiên  tỉnh Kiên Giang</v>
      </c>
      <c r="C22682" t="str">
        <v>-</v>
      </c>
      <c r="D22682" t="str">
        <v>-</v>
      </c>
      <c r="E22682" t="str">
        <v/>
      </c>
      <c r="F22682" t="str">
        <v>-</v>
      </c>
      <c r="G22682" t="str">
        <v>-</v>
      </c>
    </row>
    <row r="22683">
      <c r="B22683" t="str">
        <v>UBND Ủy ban nhân dân xã Sơn Kiên  tỉnh Kiên Giang</v>
      </c>
      <c r="C22683" t="str">
        <v>-</v>
      </c>
      <c r="D22683" t="str">
        <v>-</v>
      </c>
      <c r="E22683" t="str">
        <v>-</v>
      </c>
      <c r="F22683" t="str">
        <v>-</v>
      </c>
      <c r="G22683" t="str">
        <v>-</v>
      </c>
    </row>
    <row r="22684">
      <c r="B22684" t="str">
        <v>Công an xã Sơn Bình  tỉnh Kiên Giang</v>
      </c>
      <c r="C22684" t="str">
        <v>-</v>
      </c>
      <c r="D22684" t="str">
        <v>-</v>
      </c>
      <c r="E22684" t="str">
        <v/>
      </c>
      <c r="F22684" t="str">
        <v>-</v>
      </c>
      <c r="G22684" t="str">
        <v>-</v>
      </c>
    </row>
    <row r="22685">
      <c r="B22685" t="str">
        <v>UBND Ủy ban nhân dân xã Sơn Bình  tỉnh Kiên Giang</v>
      </c>
      <c r="C22685" t="str">
        <v>-</v>
      </c>
      <c r="D22685" t="str">
        <v>-</v>
      </c>
      <c r="E22685" t="str">
        <v>-</v>
      </c>
      <c r="F22685" t="str">
        <v>-</v>
      </c>
      <c r="G22685" t="str">
        <v>-</v>
      </c>
    </row>
    <row r="22686">
      <c r="B22686" t="str">
        <v>Công an xã Mỹ Thuận  tỉnh Kiên Giang</v>
      </c>
      <c r="C22686" t="str">
        <v>-</v>
      </c>
      <c r="D22686" t="str">
        <v>-</v>
      </c>
      <c r="E22686" t="str">
        <v/>
      </c>
      <c r="F22686" t="str">
        <v>-</v>
      </c>
      <c r="G22686" t="str">
        <v>-</v>
      </c>
    </row>
    <row r="22687">
      <c r="B22687" t="str">
        <v>UBND Ủy ban nhân dân xã Mỹ Thuận  tỉnh Kiên Giang</v>
      </c>
      <c r="C22687" t="str">
        <v>-</v>
      </c>
      <c r="D22687" t="str">
        <v>-</v>
      </c>
      <c r="E22687" t="str">
        <v>-</v>
      </c>
      <c r="F22687" t="str">
        <v>-</v>
      </c>
      <c r="G22687" t="str">
        <v>-</v>
      </c>
    </row>
    <row r="22688">
      <c r="B22688" t="str">
        <v>Công an xã Lình Huỳnh  tỉnh Kiên Giang</v>
      </c>
      <c r="C22688" t="str">
        <v>-</v>
      </c>
      <c r="D22688" t="str">
        <v>-</v>
      </c>
      <c r="E22688" t="str">
        <v/>
      </c>
      <c r="F22688" t="str">
        <v>-</v>
      </c>
      <c r="G22688" t="str">
        <v>-</v>
      </c>
    </row>
    <row r="22689">
      <c r="B22689" t="str">
        <v>UBND Ủy ban nhân dân xã Lình Huỳnh  tỉnh Kiên Giang</v>
      </c>
      <c r="C22689" t="str">
        <v>-</v>
      </c>
      <c r="D22689" t="str">
        <v>-</v>
      </c>
      <c r="E22689" t="str">
        <v>-</v>
      </c>
      <c r="F22689" t="str">
        <v>-</v>
      </c>
      <c r="G22689" t="str">
        <v>-</v>
      </c>
    </row>
    <row r="22690">
      <c r="B22690" t="str">
        <v>Công an xã Thổ Sơn  tỉnh Kiên Giang</v>
      </c>
      <c r="C22690" t="str">
        <v>-</v>
      </c>
      <c r="D22690" t="str">
        <v>-</v>
      </c>
      <c r="E22690" t="str">
        <v/>
      </c>
      <c r="F22690" t="str">
        <v>-</v>
      </c>
      <c r="G22690" t="str">
        <v>-</v>
      </c>
    </row>
    <row r="22691">
      <c r="B22691" t="str">
        <v>UBND Ủy ban nhân dân xã Thổ Sơn  tỉnh Kiên Giang</v>
      </c>
      <c r="C22691" t="str">
        <v>-</v>
      </c>
      <c r="D22691" t="str">
        <v>-</v>
      </c>
      <c r="E22691" t="str">
        <v>-</v>
      </c>
      <c r="F22691" t="str">
        <v>-</v>
      </c>
      <c r="G22691" t="str">
        <v>-</v>
      </c>
    </row>
    <row r="22692">
      <c r="B22692" t="str">
        <v>Công an xã Mỹ Lâm  tỉnh Kiên Giang</v>
      </c>
      <c r="C22692" t="str">
        <v>-</v>
      </c>
      <c r="D22692" t="str">
        <v>-</v>
      </c>
      <c r="E22692" t="str">
        <v/>
      </c>
      <c r="F22692" t="str">
        <v>-</v>
      </c>
      <c r="G22692" t="str">
        <v>-</v>
      </c>
    </row>
    <row r="22693">
      <c r="B22693" t="str">
        <v>UBND Ủy ban nhân dân xã Mỹ Lâm  tỉnh Kiên Giang</v>
      </c>
      <c r="C22693" t="str">
        <v>-</v>
      </c>
      <c r="D22693" t="str">
        <v>-</v>
      </c>
      <c r="E22693" t="str">
        <v>-</v>
      </c>
      <c r="F22693" t="str">
        <v>-</v>
      </c>
      <c r="G22693" t="str">
        <v>-</v>
      </c>
    </row>
    <row r="22694">
      <c r="B22694" t="str">
        <v>Công an xã Mỹ Phước  tỉnh Kiên Giang</v>
      </c>
      <c r="C22694" t="str">
        <v>-</v>
      </c>
      <c r="D22694" t="str">
        <v>-</v>
      </c>
      <c r="E22694" t="str">
        <v/>
      </c>
      <c r="F22694" t="str">
        <v>-</v>
      </c>
      <c r="G22694" t="str">
        <v>-</v>
      </c>
    </row>
    <row r="22695">
      <c r="B22695" t="str">
        <v>UBND Ủy ban nhân dân xã Mỹ Phước  tỉnh Kiên Giang</v>
      </c>
      <c r="C22695" t="str">
        <v>-</v>
      </c>
      <c r="D22695" t="str">
        <v>-</v>
      </c>
      <c r="E22695" t="str">
        <v>-</v>
      </c>
      <c r="F22695" t="str">
        <v>-</v>
      </c>
      <c r="G22695" t="str">
        <v>-</v>
      </c>
    </row>
    <row r="22696">
      <c r="B22696" t="str">
        <v>Công an xã Tân Hội  tỉnh Kiên Giang</v>
      </c>
      <c r="C22696" t="str">
        <v>-</v>
      </c>
      <c r="D22696" t="str">
        <v>-</v>
      </c>
      <c r="E22696" t="str">
        <v/>
      </c>
      <c r="F22696" t="str">
        <v>-</v>
      </c>
      <c r="G22696" t="str">
        <v>-</v>
      </c>
    </row>
    <row r="22697">
      <c r="B22697" t="str">
        <v>UBND Ủy ban nhân dân xã Tân Hội  tỉnh Kiên Giang</v>
      </c>
      <c r="C22697" t="str">
        <v>-</v>
      </c>
      <c r="D22697" t="str">
        <v>-</v>
      </c>
      <c r="E22697" t="str">
        <v>-</v>
      </c>
      <c r="F22697" t="str">
        <v>-</v>
      </c>
      <c r="G22697" t="str">
        <v>-</v>
      </c>
    </row>
    <row r="22698">
      <c r="B22698" t="str">
        <v>Công an xã Tân Thành  tỉnh Kiên Giang</v>
      </c>
      <c r="C22698" t="str">
        <v>-</v>
      </c>
      <c r="D22698" t="str">
        <v>-</v>
      </c>
      <c r="E22698" t="str">
        <v/>
      </c>
      <c r="F22698" t="str">
        <v>-</v>
      </c>
      <c r="G22698" t="str">
        <v>-</v>
      </c>
    </row>
    <row r="22699">
      <c r="B22699" t="str">
        <v>UBND Ủy ban nhân dân xã Tân Thành  tỉnh Kiên Giang</v>
      </c>
      <c r="C22699" t="str">
        <v>-</v>
      </c>
      <c r="D22699" t="str">
        <v>-</v>
      </c>
      <c r="E22699" t="str">
        <v>-</v>
      </c>
      <c r="F22699" t="str">
        <v>-</v>
      </c>
      <c r="G22699" t="str">
        <v>-</v>
      </c>
    </row>
    <row r="22700">
      <c r="B22700" t="str">
        <v>Công an xã Tân Hiệp B  tỉnh Kiên Giang</v>
      </c>
      <c r="C22700" t="str">
        <v>-</v>
      </c>
      <c r="D22700" t="str">
        <v>-</v>
      </c>
      <c r="E22700" t="str">
        <v/>
      </c>
      <c r="F22700" t="str">
        <v>-</v>
      </c>
      <c r="G22700" t="str">
        <v>-</v>
      </c>
    </row>
    <row r="22701">
      <c r="B22701" t="str">
        <v>UBND Ủy ban nhân dân xã Tân Hiệp B  tỉnh Kiên Giang</v>
      </c>
      <c r="C22701" t="str">
        <v>-</v>
      </c>
      <c r="D22701" t="str">
        <v>-</v>
      </c>
      <c r="E22701" t="str">
        <v>-</v>
      </c>
      <c r="F22701" t="str">
        <v>-</v>
      </c>
      <c r="G22701" t="str">
        <v>-</v>
      </c>
    </row>
    <row r="22702">
      <c r="B22702" t="str">
        <v>Công an xã Tân Hoà  tỉnh Kiên Giang</v>
      </c>
      <c r="C22702" t="str">
        <v>-</v>
      </c>
      <c r="D22702" t="str">
        <v>-</v>
      </c>
      <c r="E22702" t="str">
        <v/>
      </c>
      <c r="F22702" t="str">
        <v>-</v>
      </c>
      <c r="G22702" t="str">
        <v>-</v>
      </c>
    </row>
    <row r="22703">
      <c r="B22703" t="str">
        <v>UBND Ủy ban nhân dân xã Tân Hoà  tỉnh Kiên Giang</v>
      </c>
      <c r="C22703" t="str">
        <v>-</v>
      </c>
      <c r="D22703" t="str">
        <v>-</v>
      </c>
      <c r="E22703" t="str">
        <v>-</v>
      </c>
      <c r="F22703" t="str">
        <v>-</v>
      </c>
      <c r="G22703" t="str">
        <v>-</v>
      </c>
    </row>
    <row r="22704">
      <c r="B22704" t="str">
        <v>Công an xã Thạnh Đông B  tỉnh Kiên Giang</v>
      </c>
      <c r="C22704" t="str">
        <v>-</v>
      </c>
      <c r="D22704" t="str">
        <v>-</v>
      </c>
      <c r="E22704" t="str">
        <v/>
      </c>
      <c r="F22704" t="str">
        <v>-</v>
      </c>
      <c r="G22704" t="str">
        <v>-</v>
      </c>
    </row>
    <row r="22705">
      <c r="B22705" t="str">
        <v>UBND Ủy ban nhân dân xã Thạnh Đông B  tỉnh Kiên Giang</v>
      </c>
      <c r="C22705" t="str">
        <v>-</v>
      </c>
      <c r="D22705" t="str">
        <v>-</v>
      </c>
      <c r="E22705" t="str">
        <v>-</v>
      </c>
      <c r="F22705" t="str">
        <v>-</v>
      </c>
      <c r="G22705" t="str">
        <v>-</v>
      </c>
    </row>
    <row r="22706">
      <c r="B22706" t="str">
        <v>Công an xã Thạnh Đông  tỉnh Kiên Giang</v>
      </c>
      <c r="C22706" t="str">
        <v>-</v>
      </c>
      <c r="D22706" t="str">
        <v>-</v>
      </c>
      <c r="E22706" t="str">
        <v/>
      </c>
      <c r="F22706" t="str">
        <v>-</v>
      </c>
      <c r="G22706" t="str">
        <v>-</v>
      </c>
    </row>
    <row r="22707">
      <c r="B22707" t="str">
        <v>UBND Ủy ban nhân dân xã Thạnh Đông  tỉnh Kiên Giang</v>
      </c>
      <c r="C22707" t="str">
        <v>-</v>
      </c>
      <c r="D22707" t="str">
        <v>-</v>
      </c>
      <c r="E22707" t="str">
        <v>-</v>
      </c>
      <c r="F22707" t="str">
        <v>-</v>
      </c>
      <c r="G22707" t="str">
        <v>-</v>
      </c>
    </row>
    <row r="22708">
      <c r="B22708" t="str">
        <v>Công an xã Tân Hiệp A  tỉnh Kiên Giang</v>
      </c>
      <c r="C22708" t="str">
        <v>-</v>
      </c>
      <c r="D22708" t="str">
        <v>-</v>
      </c>
      <c r="E22708" t="str">
        <v/>
      </c>
      <c r="F22708" t="str">
        <v>-</v>
      </c>
      <c r="G22708" t="str">
        <v>-</v>
      </c>
    </row>
    <row r="22709">
      <c r="B22709" t="str">
        <v>UBND Ủy ban nhân dân xã Tân Hiệp A  tỉnh Kiên Giang</v>
      </c>
      <c r="C22709" t="str">
        <v>-</v>
      </c>
      <c r="D22709" t="str">
        <v>-</v>
      </c>
      <c r="E22709" t="str">
        <v>-</v>
      </c>
      <c r="F22709" t="str">
        <v>-</v>
      </c>
      <c r="G22709" t="str">
        <v>-</v>
      </c>
    </row>
    <row r="22710">
      <c r="B22710" t="str">
        <v>Công an xã Tân An  tỉnh Kiên Giang</v>
      </c>
      <c r="C22710" t="str">
        <v>-</v>
      </c>
      <c r="D22710" t="str">
        <v>-</v>
      </c>
      <c r="E22710" t="str">
        <v/>
      </c>
      <c r="F22710" t="str">
        <v>-</v>
      </c>
      <c r="G22710" t="str">
        <v>-</v>
      </c>
    </row>
    <row r="22711">
      <c r="B22711" t="str">
        <v>UBND Ủy ban nhân dân xã Tân An  tỉnh Kiên Giang</v>
      </c>
      <c r="C22711" t="str">
        <v>-</v>
      </c>
      <c r="D22711" t="str">
        <v>-</v>
      </c>
      <c r="E22711" t="str">
        <v>-</v>
      </c>
      <c r="F22711" t="str">
        <v>-</v>
      </c>
      <c r="G22711" t="str">
        <v>-</v>
      </c>
    </row>
    <row r="22712">
      <c r="B22712" t="str">
        <v>Công an xã Thạnh Đông A  tỉnh Kiên Giang</v>
      </c>
      <c r="C22712" t="str">
        <v>-</v>
      </c>
      <c r="D22712" t="str">
        <v>-</v>
      </c>
      <c r="E22712" t="str">
        <v/>
      </c>
      <c r="F22712" t="str">
        <v>-</v>
      </c>
      <c r="G22712" t="str">
        <v>-</v>
      </c>
    </row>
    <row r="22713">
      <c r="B22713" t="str">
        <v>UBND Ủy ban nhân dân xã Thạnh Đông A  tỉnh Kiên Giang</v>
      </c>
      <c r="C22713" t="str">
        <v>-</v>
      </c>
      <c r="D22713" t="str">
        <v>-</v>
      </c>
      <c r="E22713" t="str">
        <v>-</v>
      </c>
      <c r="F22713" t="str">
        <v>-</v>
      </c>
      <c r="G22713" t="str">
        <v>-</v>
      </c>
    </row>
    <row r="22714">
      <c r="B22714" t="str">
        <v>Công an xã Thạnh Trị  tỉnh Kiên Giang</v>
      </c>
      <c r="C22714" t="str">
        <v>-</v>
      </c>
      <c r="D22714" t="str">
        <v>-</v>
      </c>
      <c r="E22714" t="str">
        <v/>
      </c>
      <c r="F22714" t="str">
        <v>-</v>
      </c>
      <c r="G22714" t="str">
        <v>-</v>
      </c>
    </row>
    <row r="22715">
      <c r="B22715" t="str">
        <v>UBND Ủy ban nhân dân xã Thạnh Trị  tỉnh Kiên Giang</v>
      </c>
      <c r="C22715" t="str">
        <v>-</v>
      </c>
      <c r="D22715" t="str">
        <v>-</v>
      </c>
      <c r="E22715" t="str">
        <v>-</v>
      </c>
      <c r="F22715" t="str">
        <v>-</v>
      </c>
      <c r="G22715" t="str">
        <v>-</v>
      </c>
    </row>
    <row r="22716">
      <c r="B22716" t="str">
        <v>Công an xã Mong Thọ A  tỉnh Kiên Giang</v>
      </c>
      <c r="C22716" t="str">
        <v>-</v>
      </c>
      <c r="D22716" t="str">
        <v>-</v>
      </c>
      <c r="E22716" t="str">
        <v/>
      </c>
      <c r="F22716" t="str">
        <v>-</v>
      </c>
      <c r="G22716" t="str">
        <v>-</v>
      </c>
    </row>
    <row r="22717">
      <c r="B22717" t="str">
        <v>UBND Ủy ban nhân dân xã Mong Thọ A  tỉnh Kiên Giang</v>
      </c>
      <c r="C22717" t="str">
        <v>-</v>
      </c>
      <c r="D22717" t="str">
        <v>-</v>
      </c>
      <c r="E22717" t="str">
        <v>-</v>
      </c>
      <c r="F22717" t="str">
        <v>-</v>
      </c>
      <c r="G22717" t="str">
        <v>-</v>
      </c>
    </row>
    <row r="22718">
      <c r="B22718" t="str">
        <v>Công an xã Mong Thọ B  tỉnh Kiên Giang</v>
      </c>
      <c r="C22718" t="str">
        <v>-</v>
      </c>
      <c r="D22718" t="str">
        <v>-</v>
      </c>
      <c r="E22718" t="str">
        <v/>
      </c>
      <c r="F22718" t="str">
        <v>-</v>
      </c>
      <c r="G22718" t="str">
        <v>-</v>
      </c>
    </row>
    <row r="22719">
      <c r="B22719" t="str">
        <v>UBND Ủy ban nhân dân xã Mong Thọ B  tỉnh Kiên Giang</v>
      </c>
      <c r="C22719" t="str">
        <v>-</v>
      </c>
      <c r="D22719" t="str">
        <v>-</v>
      </c>
      <c r="E22719" t="str">
        <v>-</v>
      </c>
      <c r="F22719" t="str">
        <v>-</v>
      </c>
      <c r="G22719" t="str">
        <v>-</v>
      </c>
    </row>
    <row r="22720">
      <c r="B22720" t="str">
        <v>Công an xã Mong Thọ  tỉnh Kiên Giang</v>
      </c>
      <c r="C22720" t="str">
        <v>-</v>
      </c>
      <c r="D22720" t="str">
        <v>-</v>
      </c>
      <c r="E22720" t="str">
        <v/>
      </c>
      <c r="F22720" t="str">
        <v>-</v>
      </c>
      <c r="G22720" t="str">
        <v>-</v>
      </c>
    </row>
    <row r="22721">
      <c r="B22721" t="str">
        <v>UBND Ủy ban nhân dân xã Mong Thọ  tỉnh Kiên Giang</v>
      </c>
      <c r="C22721" t="str">
        <v>-</v>
      </c>
      <c r="D22721" t="str">
        <v>-</v>
      </c>
      <c r="E22721" t="str">
        <v>-</v>
      </c>
      <c r="F22721" t="str">
        <v>-</v>
      </c>
      <c r="G22721" t="str">
        <v>-</v>
      </c>
    </row>
    <row r="22722">
      <c r="B22722" t="str">
        <v>Công an xã Giục Tượng  tỉnh Kiên Giang</v>
      </c>
      <c r="C22722" t="str">
        <v>-</v>
      </c>
      <c r="D22722" t="str">
        <v>-</v>
      </c>
      <c r="E22722" t="str">
        <v/>
      </c>
      <c r="F22722" t="str">
        <v>-</v>
      </c>
      <c r="G22722" t="str">
        <v>-</v>
      </c>
    </row>
    <row r="22723">
      <c r="B22723" t="str">
        <v>UBND Ủy ban nhân dân xã Giục Tượng  tỉnh Kiên Giang</v>
      </c>
      <c r="C22723" t="str">
        <v>-</v>
      </c>
      <c r="D22723" t="str">
        <v>-</v>
      </c>
      <c r="E22723" t="str">
        <v>-</v>
      </c>
      <c r="F22723" t="str">
        <v>-</v>
      </c>
      <c r="G22723" t="str">
        <v>-</v>
      </c>
    </row>
    <row r="22724">
      <c r="B22724" t="str">
        <v>Công an xã Vĩnh Hòa Hiệp  tỉnh Kiên Giang</v>
      </c>
      <c r="C22724" t="str">
        <v>-</v>
      </c>
      <c r="D22724" t="str">
        <v>-</v>
      </c>
      <c r="E22724" t="str">
        <v/>
      </c>
      <c r="F22724" t="str">
        <v>-</v>
      </c>
      <c r="G22724" t="str">
        <v>-</v>
      </c>
    </row>
    <row r="22725">
      <c r="B22725" t="str">
        <v>UBND Ủy ban nhân dân xã Vĩnh Hòa Hiệp  tỉnh Kiên Giang</v>
      </c>
      <c r="C22725" t="str">
        <v>-</v>
      </c>
      <c r="D22725" t="str">
        <v>-</v>
      </c>
      <c r="E22725" t="str">
        <v>-</v>
      </c>
      <c r="F22725" t="str">
        <v>-</v>
      </c>
      <c r="G22725" t="str">
        <v>-</v>
      </c>
    </row>
    <row r="22726">
      <c r="B22726" t="str">
        <v>Công an xã Vĩnh Hoà Phú  tỉnh Kiên Giang</v>
      </c>
      <c r="C22726" t="str">
        <v>-</v>
      </c>
      <c r="D22726" t="str">
        <v>-</v>
      </c>
      <c r="E22726" t="str">
        <v/>
      </c>
      <c r="F22726" t="str">
        <v>-</v>
      </c>
      <c r="G22726" t="str">
        <v>-</v>
      </c>
    </row>
    <row r="22727">
      <c r="B22727" t="str">
        <v>UBND Ủy ban nhân dân xã Vĩnh Hoà Phú  tỉnh Kiên Giang</v>
      </c>
      <c r="C22727" t="str">
        <v>-</v>
      </c>
      <c r="D22727" t="str">
        <v>-</v>
      </c>
      <c r="E22727" t="str">
        <v>-</v>
      </c>
      <c r="F22727" t="str">
        <v>-</v>
      </c>
      <c r="G22727" t="str">
        <v>-</v>
      </c>
    </row>
    <row r="22728">
      <c r="B22728" t="str">
        <v>Công an xã Minh Hòa  tỉnh Kiên Giang</v>
      </c>
      <c r="C22728" t="str">
        <v>-</v>
      </c>
      <c r="D22728" t="str">
        <v>-</v>
      </c>
      <c r="E22728" t="str">
        <v/>
      </c>
      <c r="F22728" t="str">
        <v>-</v>
      </c>
      <c r="G22728" t="str">
        <v>-</v>
      </c>
    </row>
    <row r="22729">
      <c r="B22729" t="str">
        <v>UBND Ủy ban nhân dân xã Minh Hòa  tỉnh Kiên Giang</v>
      </c>
      <c r="C22729" t="str">
        <v>-</v>
      </c>
      <c r="D22729" t="str">
        <v>-</v>
      </c>
      <c r="E22729" t="str">
        <v>-</v>
      </c>
      <c r="F22729" t="str">
        <v>-</v>
      </c>
      <c r="G22729" t="str">
        <v>-</v>
      </c>
    </row>
    <row r="22730">
      <c r="B22730" t="str">
        <v>Công an xã Bình An  tỉnh Kiên Giang</v>
      </c>
      <c r="C22730" t="str">
        <v>-</v>
      </c>
      <c r="D22730" t="str">
        <v>-</v>
      </c>
      <c r="E22730" t="str">
        <v/>
      </c>
      <c r="F22730" t="str">
        <v>-</v>
      </c>
      <c r="G22730" t="str">
        <v>-</v>
      </c>
    </row>
    <row r="22731">
      <c r="B22731" t="str">
        <v>UBND Ủy ban nhân dân xã Bình An  tỉnh Kiên Giang</v>
      </c>
      <c r="C22731" t="str">
        <v>-</v>
      </c>
      <c r="D22731" t="str">
        <v>-</v>
      </c>
      <c r="E22731" t="str">
        <v>-</v>
      </c>
      <c r="F22731" t="str">
        <v>-</v>
      </c>
      <c r="G22731" t="str">
        <v>-</v>
      </c>
    </row>
    <row r="22732">
      <c r="B22732" t="str">
        <v>Công an xã Thạnh Lộc  tỉnh Kiên Giang</v>
      </c>
      <c r="C22732" t="str">
        <v>-</v>
      </c>
      <c r="D22732" t="str">
        <v>-</v>
      </c>
      <c r="E22732" t="str">
        <v/>
      </c>
      <c r="F22732" t="str">
        <v>-</v>
      </c>
      <c r="G22732" t="str">
        <v>-</v>
      </c>
    </row>
    <row r="22733">
      <c r="B22733" t="str">
        <v>UBND Ủy ban nhân dân xã Thạnh Lộc  tỉnh Kiên Giang</v>
      </c>
      <c r="C22733" t="str">
        <v>-</v>
      </c>
      <c r="D22733" t="str">
        <v>-</v>
      </c>
      <c r="E22733" t="str">
        <v>-</v>
      </c>
      <c r="F22733" t="str">
        <v>-</v>
      </c>
      <c r="G22733" t="str">
        <v>-</v>
      </c>
    </row>
    <row r="22734">
      <c r="B22734" t="str">
        <v>Công an xã Thạnh Hưng  tỉnh Kiên Giang</v>
      </c>
      <c r="C22734" t="str">
        <v>-</v>
      </c>
      <c r="D22734" t="str">
        <v>-</v>
      </c>
      <c r="E22734" t="str">
        <v/>
      </c>
      <c r="F22734" t="str">
        <v>-</v>
      </c>
      <c r="G22734" t="str">
        <v>-</v>
      </c>
    </row>
    <row r="22735">
      <c r="B22735" t="str">
        <v>UBND Ủy ban nhân dân xã Thạnh Hưng  tỉnh Kiên Giang</v>
      </c>
      <c r="C22735" t="str">
        <v>-</v>
      </c>
      <c r="D22735" t="str">
        <v>-</v>
      </c>
      <c r="E22735" t="str">
        <v>-</v>
      </c>
      <c r="F22735" t="str">
        <v>-</v>
      </c>
      <c r="G22735" t="str">
        <v>-</v>
      </c>
    </row>
    <row r="22736">
      <c r="B22736" t="str">
        <v>Công an xã Thạnh Phước  tỉnh Kiên Giang</v>
      </c>
      <c r="C22736" t="str">
        <v>-</v>
      </c>
      <c r="D22736" t="str">
        <v>-</v>
      </c>
      <c r="E22736" t="str">
        <v/>
      </c>
      <c r="F22736" t="str">
        <v>-</v>
      </c>
      <c r="G22736" t="str">
        <v>-</v>
      </c>
    </row>
    <row r="22737">
      <c r="B22737" t="str">
        <v>UBND Ủy ban nhân dân xã Thạnh Phước  tỉnh Kiên Giang</v>
      </c>
      <c r="C22737" t="str">
        <v>-</v>
      </c>
      <c r="D22737" t="str">
        <v>-</v>
      </c>
      <c r="E22737" t="str">
        <v>-</v>
      </c>
      <c r="F22737" t="str">
        <v>-</v>
      </c>
      <c r="G22737" t="str">
        <v>-</v>
      </c>
    </row>
    <row r="22738">
      <c r="B22738" t="str">
        <v>Công an xã Thạnh Lộc  tỉnh Kiên Giang</v>
      </c>
      <c r="C22738" t="str">
        <v>-</v>
      </c>
      <c r="D22738" t="str">
        <v>-</v>
      </c>
      <c r="E22738" t="str">
        <v/>
      </c>
      <c r="F22738" t="str">
        <v>-</v>
      </c>
      <c r="G22738" t="str">
        <v>-</v>
      </c>
    </row>
    <row r="22739">
      <c r="B22739" t="str">
        <v>UBND Ủy ban nhân dân xã Thạnh Lộc  tỉnh Kiên Giang</v>
      </c>
      <c r="C22739" t="str">
        <v>-</v>
      </c>
      <c r="D22739" t="str">
        <v>-</v>
      </c>
      <c r="E22739" t="str">
        <v>-</v>
      </c>
      <c r="F22739" t="str">
        <v>-</v>
      </c>
      <c r="G22739" t="str">
        <v>-</v>
      </c>
    </row>
    <row r="22740">
      <c r="B22740" t="str">
        <v>Công an xã Thạnh Hòa  tỉnh Kiên Giang</v>
      </c>
      <c r="C22740" t="str">
        <v>-</v>
      </c>
      <c r="D22740" t="str">
        <v>-</v>
      </c>
      <c r="E22740" t="str">
        <v/>
      </c>
      <c r="F22740" t="str">
        <v>-</v>
      </c>
      <c r="G22740" t="str">
        <v>-</v>
      </c>
    </row>
    <row r="22741">
      <c r="B22741" t="str">
        <v>UBND Ủy ban nhân dân xã Thạnh Hòa  tỉnh Kiên Giang</v>
      </c>
      <c r="C22741" t="str">
        <v>-</v>
      </c>
      <c r="D22741" t="str">
        <v>-</v>
      </c>
      <c r="E22741" t="str">
        <v>-</v>
      </c>
      <c r="F22741" t="str">
        <v>-</v>
      </c>
      <c r="G22741" t="str">
        <v>-</v>
      </c>
    </row>
    <row r="22742">
      <c r="B22742" t="str">
        <v>Công an xã Thạnh Bình  tỉnh Kiên Giang</v>
      </c>
      <c r="C22742" t="str">
        <v>-</v>
      </c>
      <c r="D22742" t="str">
        <v>-</v>
      </c>
      <c r="E22742" t="str">
        <v/>
      </c>
      <c r="F22742" t="str">
        <v>-</v>
      </c>
      <c r="G22742" t="str">
        <v>-</v>
      </c>
    </row>
    <row r="22743">
      <c r="B22743" t="str">
        <v>UBND Ủy ban nhân dân xã Thạnh Bình  tỉnh Kiên Giang</v>
      </c>
      <c r="C22743" t="str">
        <v>-</v>
      </c>
      <c r="D22743" t="str">
        <v>-</v>
      </c>
      <c r="E22743" t="str">
        <v>-</v>
      </c>
      <c r="F22743" t="str">
        <v>-</v>
      </c>
      <c r="G22743" t="str">
        <v>-</v>
      </c>
    </row>
    <row r="22744">
      <c r="B22744" t="str">
        <v>Công an xã Bàn Thạch  tỉnh Kiên Giang</v>
      </c>
      <c r="C22744" t="str">
        <v>-</v>
      </c>
      <c r="D22744" t="str">
        <v>-</v>
      </c>
      <c r="E22744" t="str">
        <v/>
      </c>
      <c r="F22744" t="str">
        <v>-</v>
      </c>
      <c r="G22744" t="str">
        <v>-</v>
      </c>
    </row>
    <row r="22745">
      <c r="B22745" t="str">
        <v>UBND Ủy ban nhân dân xã Bàn Thạch  tỉnh Kiên Giang</v>
      </c>
      <c r="C22745" t="str">
        <v>-</v>
      </c>
      <c r="D22745" t="str">
        <v>-</v>
      </c>
      <c r="E22745" t="str">
        <v>-</v>
      </c>
      <c r="F22745" t="str">
        <v>-</v>
      </c>
      <c r="G22745" t="str">
        <v>-</v>
      </c>
    </row>
    <row r="22746">
      <c r="B22746" t="str">
        <v>Công an xã Bàn Tân Định  tỉnh Kiên Giang</v>
      </c>
      <c r="C22746" t="str">
        <v>-</v>
      </c>
      <c r="D22746" t="str">
        <v>-</v>
      </c>
      <c r="E22746" t="str">
        <v/>
      </c>
      <c r="F22746" t="str">
        <v>-</v>
      </c>
      <c r="G22746" t="str">
        <v>-</v>
      </c>
    </row>
    <row r="22747">
      <c r="B22747" t="str">
        <v>UBND Ủy ban nhân dân xã Bàn Tân Định  tỉnh Kiên Giang</v>
      </c>
      <c r="C22747" t="str">
        <v>-</v>
      </c>
      <c r="D22747" t="str">
        <v>-</v>
      </c>
      <c r="E22747" t="str">
        <v>-</v>
      </c>
      <c r="F22747" t="str">
        <v>-</v>
      </c>
      <c r="G22747" t="str">
        <v>-</v>
      </c>
    </row>
    <row r="22748">
      <c r="B22748" t="str">
        <v>Công an xã Ngọc Thành  tỉnh Kiên Giang</v>
      </c>
      <c r="C22748" t="str">
        <v>-</v>
      </c>
      <c r="D22748" t="str">
        <v>-</v>
      </c>
      <c r="E22748" t="str">
        <v/>
      </c>
      <c r="F22748" t="str">
        <v>-</v>
      </c>
      <c r="G22748" t="str">
        <v>-</v>
      </c>
    </row>
    <row r="22749">
      <c r="B22749" t="str">
        <v>UBND Ủy ban nhân dân xã Ngọc Thành  tỉnh Kiên Giang</v>
      </c>
      <c r="C22749" t="str">
        <v>-</v>
      </c>
      <c r="D22749" t="str">
        <v>-</v>
      </c>
      <c r="E22749" t="str">
        <v>-</v>
      </c>
      <c r="F22749" t="str">
        <v>-</v>
      </c>
      <c r="G22749" t="str">
        <v>-</v>
      </c>
    </row>
    <row r="22750">
      <c r="B22750" t="str">
        <v>Công an xã Ngọc Chúc  tỉnh Kiên Giang</v>
      </c>
      <c r="C22750" t="str">
        <v>-</v>
      </c>
      <c r="D22750" t="str">
        <v>-</v>
      </c>
      <c r="E22750" t="str">
        <v/>
      </c>
      <c r="F22750" t="str">
        <v>-</v>
      </c>
      <c r="G22750" t="str">
        <v>-</v>
      </c>
    </row>
    <row r="22751">
      <c r="B22751" t="str">
        <v>UBND Ủy ban nhân dân xã Ngọc Chúc  tỉnh Kiên Giang</v>
      </c>
      <c r="C22751" t="str">
        <v>-</v>
      </c>
      <c r="D22751" t="str">
        <v>-</v>
      </c>
      <c r="E22751" t="str">
        <v>-</v>
      </c>
      <c r="F22751" t="str">
        <v>-</v>
      </c>
      <c r="G22751" t="str">
        <v>-</v>
      </c>
    </row>
    <row r="22752">
      <c r="B22752" t="str">
        <v>Công an xã Ngọc Thuận  tỉnh Kiên Giang</v>
      </c>
      <c r="C22752" t="str">
        <v>-</v>
      </c>
      <c r="D22752" t="str">
        <v>-</v>
      </c>
      <c r="E22752" t="str">
        <v/>
      </c>
      <c r="F22752" t="str">
        <v>-</v>
      </c>
      <c r="G22752" t="str">
        <v>-</v>
      </c>
    </row>
    <row r="22753">
      <c r="B22753" t="str">
        <v>UBND Ủy ban nhân dân xã Ngọc Thuận  tỉnh Kiên Giang</v>
      </c>
      <c r="C22753" t="str">
        <v>-</v>
      </c>
      <c r="D22753" t="str">
        <v>-</v>
      </c>
      <c r="E22753" t="str">
        <v>-</v>
      </c>
      <c r="F22753" t="str">
        <v>-</v>
      </c>
      <c r="G22753" t="str">
        <v>-</v>
      </c>
    </row>
    <row r="22754">
      <c r="B22754" t="str">
        <v>Công an xã Hòa Hưng  tỉnh Kiên Giang</v>
      </c>
      <c r="C22754" t="str">
        <v>-</v>
      </c>
      <c r="D22754" t="str">
        <v>-</v>
      </c>
      <c r="E22754" t="str">
        <v/>
      </c>
      <c r="F22754" t="str">
        <v>-</v>
      </c>
      <c r="G22754" t="str">
        <v>-</v>
      </c>
    </row>
    <row r="22755">
      <c r="B22755" t="str">
        <v>UBND Ủy ban nhân dân xã Hòa Hưng  tỉnh Kiên Giang</v>
      </c>
      <c r="C22755" t="str">
        <v>-</v>
      </c>
      <c r="D22755" t="str">
        <v>-</v>
      </c>
      <c r="E22755" t="str">
        <v>-</v>
      </c>
      <c r="F22755" t="str">
        <v>-</v>
      </c>
      <c r="G22755" t="str">
        <v>-</v>
      </c>
    </row>
    <row r="22756">
      <c r="B22756" t="str">
        <v>Công an xã Hoà Lợi  tỉnh Kiên Giang</v>
      </c>
      <c r="C22756" t="str">
        <v>-</v>
      </c>
      <c r="D22756" t="str">
        <v>-</v>
      </c>
      <c r="E22756" t="str">
        <v/>
      </c>
      <c r="F22756" t="str">
        <v>-</v>
      </c>
      <c r="G22756" t="str">
        <v>-</v>
      </c>
    </row>
    <row r="22757">
      <c r="B22757" t="str">
        <v>UBND Ủy ban nhân dân xã Hoà Lợi  tỉnh Kiên Giang</v>
      </c>
      <c r="C22757" t="str">
        <v>-</v>
      </c>
      <c r="D22757" t="str">
        <v>-</v>
      </c>
      <c r="E22757" t="str">
        <v>-</v>
      </c>
      <c r="F22757" t="str">
        <v>-</v>
      </c>
      <c r="G22757" t="str">
        <v>-</v>
      </c>
    </row>
    <row r="22758">
      <c r="B22758" t="str">
        <v>Công an xã Hoà An  tỉnh Kiên Giang</v>
      </c>
      <c r="C22758" t="str">
        <v>-</v>
      </c>
      <c r="D22758" t="str">
        <v>-</v>
      </c>
      <c r="E22758" t="str">
        <v/>
      </c>
      <c r="F22758" t="str">
        <v>-</v>
      </c>
      <c r="G22758" t="str">
        <v>-</v>
      </c>
    </row>
    <row r="22759">
      <c r="B22759" t="str">
        <v>UBND Ủy ban nhân dân xã Hoà An  tỉnh Kiên Giang</v>
      </c>
      <c r="C22759" t="str">
        <v>-</v>
      </c>
      <c r="D22759" t="str">
        <v>-</v>
      </c>
      <c r="E22759" t="str">
        <v>-</v>
      </c>
      <c r="F22759" t="str">
        <v>-</v>
      </c>
      <c r="G22759" t="str">
        <v>-</v>
      </c>
    </row>
    <row r="22760">
      <c r="B22760" t="str">
        <v>Công an xã Long Thạnh  tỉnh Kiên Giang</v>
      </c>
      <c r="C22760" t="str">
        <v>-</v>
      </c>
      <c r="D22760" t="str">
        <v>-</v>
      </c>
      <c r="E22760" t="str">
        <v/>
      </c>
      <c r="F22760" t="str">
        <v>-</v>
      </c>
      <c r="G22760" t="str">
        <v>-</v>
      </c>
    </row>
    <row r="22761">
      <c r="B22761" t="str">
        <v>UBND Ủy ban nhân dân xã Long Thạnh  tỉnh Kiên Giang</v>
      </c>
      <c r="C22761" t="str">
        <v>-</v>
      </c>
      <c r="D22761" t="str">
        <v>-</v>
      </c>
      <c r="E22761" t="str">
        <v>-</v>
      </c>
      <c r="F22761" t="str">
        <v>-</v>
      </c>
      <c r="G22761" t="str">
        <v>-</v>
      </c>
    </row>
    <row r="22762">
      <c r="B22762" t="str">
        <v>Công an xã Vĩnh Thạnh  tỉnh Kiên Giang</v>
      </c>
      <c r="C22762" t="str">
        <v>-</v>
      </c>
      <c r="D22762" t="str">
        <v>-</v>
      </c>
      <c r="E22762" t="str">
        <v/>
      </c>
      <c r="F22762" t="str">
        <v>-</v>
      </c>
      <c r="G22762" t="str">
        <v>-</v>
      </c>
    </row>
    <row r="22763">
      <c r="B22763" t="str">
        <v>UBND Ủy ban nhân dân xã Vĩnh Thạnh  tỉnh Kiên Giang</v>
      </c>
      <c r="C22763" t="str">
        <v>-</v>
      </c>
      <c r="D22763" t="str">
        <v>-</v>
      </c>
      <c r="E22763" t="str">
        <v>-</v>
      </c>
      <c r="F22763" t="str">
        <v>-</v>
      </c>
      <c r="G22763" t="str">
        <v>-</v>
      </c>
    </row>
    <row r="22764">
      <c r="B22764" t="str">
        <v>Công an xã Vĩnh Phú  tỉnh Kiên Giang</v>
      </c>
      <c r="C22764" t="str">
        <v>-</v>
      </c>
      <c r="D22764" t="str">
        <v>-</v>
      </c>
      <c r="E22764" t="str">
        <v/>
      </c>
      <c r="F22764" t="str">
        <v>-</v>
      </c>
      <c r="G22764" t="str">
        <v>-</v>
      </c>
    </row>
    <row r="22765">
      <c r="B22765" t="str">
        <v>UBND Ủy ban nhân dân xã Vĩnh Phú  tỉnh Kiên Giang</v>
      </c>
      <c r="C22765" t="str">
        <v>-</v>
      </c>
      <c r="D22765" t="str">
        <v>-</v>
      </c>
      <c r="E22765" t="str">
        <v>-</v>
      </c>
      <c r="F22765" t="str">
        <v>-</v>
      </c>
      <c r="G22765" t="str">
        <v>-</v>
      </c>
    </row>
    <row r="22766">
      <c r="B22766" t="str">
        <v>Công an xã  Hòa Thuận  tỉnh Kiên Giang</v>
      </c>
      <c r="C22766" t="str">
        <v>-</v>
      </c>
      <c r="D22766" t="str">
        <v>-</v>
      </c>
      <c r="E22766" t="str">
        <v/>
      </c>
      <c r="F22766" t="str">
        <v>-</v>
      </c>
      <c r="G22766" t="str">
        <v>-</v>
      </c>
    </row>
    <row r="22767">
      <c r="B22767" t="str">
        <v>UBND Ủy ban nhân dân xã  Hòa Thuận  tỉnh Kiên Giang</v>
      </c>
      <c r="C22767" t="str">
        <v>-</v>
      </c>
      <c r="D22767" t="str">
        <v>-</v>
      </c>
      <c r="E22767" t="str">
        <v>-</v>
      </c>
      <c r="F22767" t="str">
        <v>-</v>
      </c>
      <c r="G22767" t="str">
        <v>-</v>
      </c>
    </row>
    <row r="22768">
      <c r="B22768" t="str">
        <v>Công an xã Ngọc Hoà  tỉnh Kiên Giang</v>
      </c>
      <c r="C22768" t="str">
        <v>-</v>
      </c>
      <c r="D22768" t="str">
        <v>-</v>
      </c>
      <c r="E22768" t="str">
        <v/>
      </c>
      <c r="F22768" t="str">
        <v>-</v>
      </c>
      <c r="G22768" t="str">
        <v>-</v>
      </c>
    </row>
    <row r="22769">
      <c r="B22769" t="str">
        <v>UBND Ủy ban nhân dân xã Ngọc Hoà  tỉnh Kiên Giang</v>
      </c>
      <c r="C22769" t="str">
        <v>-</v>
      </c>
      <c r="D22769" t="str">
        <v>-</v>
      </c>
      <c r="E22769" t="str">
        <v>-</v>
      </c>
      <c r="F22769" t="str">
        <v>-</v>
      </c>
      <c r="G22769" t="str">
        <v>-</v>
      </c>
    </row>
    <row r="22770">
      <c r="B22770" t="str">
        <v>Công an xã Vĩnh Hòa Hưng Bắc  tỉnh Kiên Giang</v>
      </c>
      <c r="C22770" t="str">
        <v>-</v>
      </c>
      <c r="D22770" t="str">
        <v>-</v>
      </c>
      <c r="E22770" t="str">
        <v/>
      </c>
      <c r="F22770" t="str">
        <v>-</v>
      </c>
      <c r="G22770" t="str">
        <v>-</v>
      </c>
    </row>
    <row r="22771">
      <c r="B22771" t="str">
        <v>UBND Ủy ban nhân dân xã Vĩnh Hòa Hưng Bắc  tỉnh Kiên Giang</v>
      </c>
      <c r="C22771" t="str">
        <v>-</v>
      </c>
      <c r="D22771" t="str">
        <v>-</v>
      </c>
      <c r="E22771" t="str">
        <v>-</v>
      </c>
      <c r="F22771" t="str">
        <v>-</v>
      </c>
      <c r="G22771" t="str">
        <v>-</v>
      </c>
    </row>
    <row r="22772">
      <c r="B22772" t="str">
        <v>Công an xã Định Hòa  tỉnh Kiên Giang</v>
      </c>
      <c r="C22772" t="str">
        <v>-</v>
      </c>
      <c r="D22772" t="str">
        <v>-</v>
      </c>
      <c r="E22772" t="str">
        <v/>
      </c>
      <c r="F22772" t="str">
        <v>-</v>
      </c>
      <c r="G22772" t="str">
        <v>-</v>
      </c>
    </row>
    <row r="22773">
      <c r="B22773" t="str">
        <v>UBND Ủy ban nhân dân xã Định Hòa  tỉnh Kiên Giang</v>
      </c>
      <c r="C22773" t="str">
        <v>-</v>
      </c>
      <c r="D22773" t="str">
        <v>-</v>
      </c>
      <c r="E22773" t="str">
        <v>-</v>
      </c>
      <c r="F22773" t="str">
        <v>-</v>
      </c>
      <c r="G22773" t="str">
        <v>-</v>
      </c>
    </row>
    <row r="22774">
      <c r="B22774" t="str">
        <v>Công an xã Thới Quản  tỉnh Kiên Giang</v>
      </c>
      <c r="C22774" t="str">
        <v>-</v>
      </c>
      <c r="D22774" t="str">
        <v>-</v>
      </c>
      <c r="E22774" t="str">
        <v/>
      </c>
      <c r="F22774" t="str">
        <v>-</v>
      </c>
      <c r="G22774" t="str">
        <v>-</v>
      </c>
    </row>
    <row r="22775">
      <c r="B22775" t="str">
        <v>UBND Ủy ban nhân dân xã Thới Quản  tỉnh Kiên Giang</v>
      </c>
      <c r="C22775" t="str">
        <v>-</v>
      </c>
      <c r="D22775" t="str">
        <v>-</v>
      </c>
      <c r="E22775" t="str">
        <v>-</v>
      </c>
      <c r="F22775" t="str">
        <v>-</v>
      </c>
      <c r="G22775" t="str">
        <v>-</v>
      </c>
    </row>
    <row r="22776">
      <c r="B22776" t="str">
        <v>Công an xã Định An  tỉnh Kiên Giang</v>
      </c>
      <c r="C22776" t="str">
        <v>-</v>
      </c>
      <c r="D22776" t="str">
        <v>-</v>
      </c>
      <c r="E22776" t="str">
        <v/>
      </c>
      <c r="F22776" t="str">
        <v>-</v>
      </c>
      <c r="G22776" t="str">
        <v>-</v>
      </c>
    </row>
    <row r="22777">
      <c r="B22777" t="str">
        <v>UBND Ủy ban nhân dân xã Định An  tỉnh Kiên Giang</v>
      </c>
      <c r="C22777" t="str">
        <v>-</v>
      </c>
      <c r="D22777" t="str">
        <v>-</v>
      </c>
      <c r="E22777" t="str">
        <v>-</v>
      </c>
      <c r="F22777" t="str">
        <v>-</v>
      </c>
      <c r="G22777" t="str">
        <v>-</v>
      </c>
    </row>
    <row r="22778">
      <c r="B22778" t="str">
        <v>Công an xã Thủy Liễu  tỉnh Kiên Giang</v>
      </c>
      <c r="C22778" t="str">
        <v>-</v>
      </c>
      <c r="D22778" t="str">
        <v>-</v>
      </c>
      <c r="E22778" t="str">
        <v/>
      </c>
      <c r="F22778" t="str">
        <v>-</v>
      </c>
      <c r="G22778" t="str">
        <v>-</v>
      </c>
    </row>
    <row r="22779">
      <c r="B22779" t="str">
        <v>UBND Ủy ban nhân dân xã Thủy Liễu  tỉnh Kiên Giang</v>
      </c>
      <c r="C22779" t="str">
        <v>-</v>
      </c>
      <c r="D22779" t="str">
        <v>-</v>
      </c>
      <c r="E22779" t="str">
        <v>-</v>
      </c>
      <c r="F22779" t="str">
        <v>-</v>
      </c>
      <c r="G22779" t="str">
        <v>-</v>
      </c>
    </row>
    <row r="22780">
      <c r="B22780" t="str">
        <v>Công an xã Vĩnh Hòa Hưng Nam  tỉnh Kiên Giang</v>
      </c>
      <c r="C22780" t="str">
        <v>-</v>
      </c>
      <c r="D22780" t="str">
        <v>-</v>
      </c>
      <c r="E22780" t="str">
        <v/>
      </c>
      <c r="F22780" t="str">
        <v>-</v>
      </c>
      <c r="G22780" t="str">
        <v>-</v>
      </c>
    </row>
    <row r="22781">
      <c r="B22781" t="str">
        <v>UBND Ủy ban nhân dân xã Vĩnh Hòa Hưng Nam  tỉnh Kiên Giang</v>
      </c>
      <c r="C22781" t="str">
        <v>-</v>
      </c>
      <c r="D22781" t="str">
        <v>-</v>
      </c>
      <c r="E22781" t="str">
        <v>-</v>
      </c>
      <c r="F22781" t="str">
        <v>-</v>
      </c>
      <c r="G22781" t="str">
        <v>-</v>
      </c>
    </row>
    <row r="22782">
      <c r="B22782" t="str">
        <v>Công an xã Vĩnh Phước A  tỉnh Kiên Giang</v>
      </c>
      <c r="C22782" t="str">
        <v>-</v>
      </c>
      <c r="D22782" t="str">
        <v>-</v>
      </c>
      <c r="E22782" t="str">
        <v/>
      </c>
      <c r="F22782" t="str">
        <v>-</v>
      </c>
      <c r="G22782" t="str">
        <v>-</v>
      </c>
    </row>
    <row r="22783">
      <c r="B22783" t="str">
        <v>UBND Ủy ban nhân dân xã Vĩnh Phước A  tỉnh Kiên Giang</v>
      </c>
      <c r="C22783" t="str">
        <v>-</v>
      </c>
      <c r="D22783" t="str">
        <v>-</v>
      </c>
      <c r="E22783" t="str">
        <v>-</v>
      </c>
      <c r="F22783" t="str">
        <v>-</v>
      </c>
      <c r="G22783" t="str">
        <v>-</v>
      </c>
    </row>
    <row r="22784">
      <c r="B22784" t="str">
        <v>Công an xã Vĩnh Phước B  tỉnh Kiên Giang</v>
      </c>
      <c r="C22784" t="str">
        <v>-</v>
      </c>
      <c r="D22784" t="str">
        <v>-</v>
      </c>
      <c r="E22784" t="str">
        <v/>
      </c>
      <c r="F22784" t="str">
        <v>-</v>
      </c>
      <c r="G22784" t="str">
        <v>-</v>
      </c>
    </row>
    <row r="22785">
      <c r="B22785" t="str">
        <v>UBND Ủy ban nhân dân xã Vĩnh Phước B  tỉnh Kiên Giang</v>
      </c>
      <c r="C22785" t="str">
        <v>-</v>
      </c>
      <c r="D22785" t="str">
        <v>-</v>
      </c>
      <c r="E22785" t="str">
        <v>-</v>
      </c>
      <c r="F22785" t="str">
        <v>-</v>
      </c>
      <c r="G22785" t="str">
        <v>-</v>
      </c>
    </row>
    <row r="22786">
      <c r="B22786" t="str">
        <v>Công an xã Vĩnh Tuy  tỉnh Kiên Giang</v>
      </c>
      <c r="C22786" t="str">
        <v>-</v>
      </c>
      <c r="D22786" t="str">
        <v>-</v>
      </c>
      <c r="E22786" t="str">
        <v/>
      </c>
      <c r="F22786" t="str">
        <v>-</v>
      </c>
      <c r="G22786" t="str">
        <v>-</v>
      </c>
    </row>
    <row r="22787">
      <c r="B22787" t="str">
        <v>UBND Ủy ban nhân dân xã Vĩnh Tuy  tỉnh Kiên Giang</v>
      </c>
      <c r="C22787" t="str">
        <v>-</v>
      </c>
      <c r="D22787" t="str">
        <v>-</v>
      </c>
      <c r="E22787" t="str">
        <v>-</v>
      </c>
      <c r="F22787" t="str">
        <v>-</v>
      </c>
      <c r="G22787" t="str">
        <v>-</v>
      </c>
    </row>
    <row r="22788">
      <c r="B22788" t="str">
        <v>Công an xã Vĩnh Thắng  tỉnh Kiên Giang</v>
      </c>
      <c r="C22788" t="str">
        <v>-</v>
      </c>
      <c r="D22788" t="str">
        <v>-</v>
      </c>
      <c r="E22788" t="str">
        <v/>
      </c>
      <c r="F22788" t="str">
        <v>-</v>
      </c>
      <c r="G22788" t="str">
        <v>-</v>
      </c>
    </row>
    <row r="22789">
      <c r="B22789" t="str">
        <v>UBND Ủy ban nhân dân xã Vĩnh Thắng  tỉnh Kiên Giang</v>
      </c>
      <c r="C22789" t="str">
        <v>-</v>
      </c>
      <c r="D22789" t="str">
        <v>-</v>
      </c>
      <c r="E22789" t="str">
        <v>-</v>
      </c>
      <c r="F22789" t="str">
        <v>-</v>
      </c>
      <c r="G22789" t="str">
        <v>-</v>
      </c>
    </row>
    <row r="22790">
      <c r="B22790" t="str">
        <v>Công an xã Tây Yên  tỉnh Kiên Giang</v>
      </c>
      <c r="C22790" t="str">
        <v>-</v>
      </c>
      <c r="D22790" t="str">
        <v>-</v>
      </c>
      <c r="E22790" t="str">
        <v/>
      </c>
      <c r="F22790" t="str">
        <v>-</v>
      </c>
      <c r="G22790" t="str">
        <v>-</v>
      </c>
    </row>
    <row r="22791">
      <c r="B22791" t="str">
        <v>UBND Ủy ban nhân dân xã Tây Yên  tỉnh Kiên Giang</v>
      </c>
      <c r="C22791" t="str">
        <v>-</v>
      </c>
      <c r="D22791" t="str">
        <v>-</v>
      </c>
      <c r="E22791" t="str">
        <v>-</v>
      </c>
      <c r="F22791" t="str">
        <v>-</v>
      </c>
      <c r="G22791" t="str">
        <v>-</v>
      </c>
    </row>
    <row r="22792">
      <c r="B22792" t="str">
        <v>Công an xã Tây Yên A  tỉnh Kiên Giang</v>
      </c>
      <c r="C22792" t="str">
        <v>-</v>
      </c>
      <c r="D22792" t="str">
        <v>-</v>
      </c>
      <c r="E22792" t="str">
        <v/>
      </c>
      <c r="F22792" t="str">
        <v>-</v>
      </c>
      <c r="G22792" t="str">
        <v>-</v>
      </c>
    </row>
    <row r="22793">
      <c r="B22793" t="str">
        <v>UBND Ủy ban nhân dân xã Tây Yên A  tỉnh Kiên Giang</v>
      </c>
      <c r="C22793" t="str">
        <v>-</v>
      </c>
      <c r="D22793" t="str">
        <v>-</v>
      </c>
      <c r="E22793" t="str">
        <v>-</v>
      </c>
      <c r="F22793" t="str">
        <v>-</v>
      </c>
      <c r="G22793" t="str">
        <v>-</v>
      </c>
    </row>
    <row r="22794">
      <c r="B22794" t="str">
        <v>Công an xã Nam Yên  tỉnh Kiên Giang</v>
      </c>
      <c r="C22794" t="str">
        <v>-</v>
      </c>
      <c r="D22794" t="str">
        <v>-</v>
      </c>
      <c r="E22794" t="str">
        <v/>
      </c>
      <c r="F22794" t="str">
        <v>-</v>
      </c>
      <c r="G22794" t="str">
        <v>-</v>
      </c>
    </row>
    <row r="22795">
      <c r="B22795" t="str">
        <v>UBND Ủy ban nhân dân xã Nam Yên  tỉnh Kiên Giang</v>
      </c>
      <c r="C22795" t="str">
        <v>-</v>
      </c>
      <c r="D22795" t="str">
        <v>-</v>
      </c>
      <c r="E22795" t="str">
        <v>-</v>
      </c>
      <c r="F22795" t="str">
        <v>-</v>
      </c>
      <c r="G22795" t="str">
        <v>-</v>
      </c>
    </row>
    <row r="22796">
      <c r="B22796" t="str">
        <v>Công an xã Hưng Yên  tỉnh Kiên Giang</v>
      </c>
      <c r="C22796" t="str">
        <v>-</v>
      </c>
      <c r="D22796" t="str">
        <v>-</v>
      </c>
      <c r="E22796" t="str">
        <v/>
      </c>
      <c r="F22796" t="str">
        <v>-</v>
      </c>
      <c r="G22796" t="str">
        <v>-</v>
      </c>
    </row>
    <row r="22797">
      <c r="B22797" t="str">
        <v>UBND Ủy ban nhân dân xã Hưng Yên  tỉnh Kiên Giang</v>
      </c>
      <c r="C22797" t="str">
        <v>-</v>
      </c>
      <c r="D22797" t="str">
        <v>-</v>
      </c>
      <c r="E22797" t="str">
        <v>-</v>
      </c>
      <c r="F22797" t="str">
        <v>-</v>
      </c>
      <c r="G22797" t="str">
        <v>-</v>
      </c>
    </row>
    <row r="22798">
      <c r="B22798" t="str">
        <v>Công an xã Nam Thái  tỉnh Kiên Giang</v>
      </c>
      <c r="C22798" t="str">
        <v>-</v>
      </c>
      <c r="D22798" t="str">
        <v>-</v>
      </c>
      <c r="E22798" t="str">
        <v/>
      </c>
      <c r="F22798" t="str">
        <v>-</v>
      </c>
      <c r="G22798" t="str">
        <v>-</v>
      </c>
    </row>
    <row r="22799">
      <c r="B22799" t="str">
        <v>UBND Ủy ban nhân dân xã Nam Thái  tỉnh Kiên Giang</v>
      </c>
      <c r="C22799" t="str">
        <v>-</v>
      </c>
      <c r="D22799" t="str">
        <v>-</v>
      </c>
      <c r="E22799" t="str">
        <v>-</v>
      </c>
      <c r="F22799" t="str">
        <v>-</v>
      </c>
      <c r="G22799" t="str">
        <v>-</v>
      </c>
    </row>
    <row r="22800">
      <c r="B22800" t="str">
        <v>Công an xã Nam Thái A  tỉnh Kiên Giang</v>
      </c>
      <c r="C22800" t="str">
        <v>-</v>
      </c>
      <c r="D22800" t="str">
        <v>-</v>
      </c>
      <c r="E22800" t="str">
        <v/>
      </c>
      <c r="F22800" t="str">
        <v>-</v>
      </c>
      <c r="G22800" t="str">
        <v>-</v>
      </c>
    </row>
    <row r="22801">
      <c r="B22801" t="str">
        <v>UBND Ủy ban nhân dân xã Nam Thái A  tỉnh Kiên Giang</v>
      </c>
      <c r="C22801" t="str">
        <v>-</v>
      </c>
      <c r="D22801" t="str">
        <v>-</v>
      </c>
      <c r="E22801" t="str">
        <v>-</v>
      </c>
      <c r="F22801" t="str">
        <v>-</v>
      </c>
      <c r="G22801" t="str">
        <v>-</v>
      </c>
    </row>
    <row r="22802">
      <c r="B22802" t="str">
        <v>Công an xã Đông Thái  tỉnh Kiên Giang</v>
      </c>
      <c r="C22802" t="str">
        <v>-</v>
      </c>
      <c r="D22802" t="str">
        <v>-</v>
      </c>
      <c r="E22802" t="str">
        <v/>
      </c>
      <c r="F22802" t="str">
        <v>-</v>
      </c>
      <c r="G22802" t="str">
        <v>-</v>
      </c>
    </row>
    <row r="22803">
      <c r="B22803" t="str">
        <v>UBND Ủy ban nhân dân xã Đông Thái  tỉnh Kiên Giang</v>
      </c>
      <c r="C22803" t="str">
        <v>-</v>
      </c>
      <c r="D22803" t="str">
        <v>-</v>
      </c>
      <c r="E22803" t="str">
        <v>-</v>
      </c>
      <c r="F22803" t="str">
        <v>-</v>
      </c>
      <c r="G22803" t="str">
        <v>-</v>
      </c>
    </row>
    <row r="22804">
      <c r="B22804" t="str">
        <v>Công an xã Đông Yên  tỉnh Kiên Giang</v>
      </c>
      <c r="C22804" t="str">
        <v>-</v>
      </c>
      <c r="D22804" t="str">
        <v>-</v>
      </c>
      <c r="E22804" t="str">
        <v/>
      </c>
      <c r="F22804" t="str">
        <v>-</v>
      </c>
      <c r="G22804" t="str">
        <v>-</v>
      </c>
    </row>
    <row r="22805">
      <c r="B22805" t="str">
        <v>UBND Ủy ban nhân dân xã Đông Yên  tỉnh Kiên Giang</v>
      </c>
      <c r="C22805" t="str">
        <v>-</v>
      </c>
      <c r="D22805" t="str">
        <v>-</v>
      </c>
      <c r="E22805" t="str">
        <v>-</v>
      </c>
      <c r="F22805" t="str">
        <v>-</v>
      </c>
      <c r="G22805" t="str">
        <v>-</v>
      </c>
    </row>
    <row r="22806">
      <c r="B22806" t="str">
        <v>Công an xã Thuận Hoà  tỉnh Kiên Giang</v>
      </c>
      <c r="C22806" t="str">
        <v>-</v>
      </c>
      <c r="D22806" t="str">
        <v>-</v>
      </c>
      <c r="E22806" t="str">
        <v/>
      </c>
      <c r="F22806" t="str">
        <v>-</v>
      </c>
      <c r="G22806" t="str">
        <v>-</v>
      </c>
    </row>
    <row r="22807">
      <c r="B22807" t="str">
        <v>UBND Ủy ban nhân dân xã Thuận Hoà  tỉnh Kiên Giang</v>
      </c>
      <c r="C22807" t="str">
        <v>-</v>
      </c>
      <c r="D22807" t="str">
        <v>-</v>
      </c>
      <c r="E22807" t="str">
        <v>-</v>
      </c>
      <c r="F22807" t="str">
        <v>-</v>
      </c>
      <c r="G22807" t="str">
        <v>-</v>
      </c>
    </row>
    <row r="22808">
      <c r="B22808" t="str">
        <v>Công an xã Đông Hòa  tỉnh Kiên Giang</v>
      </c>
      <c r="C22808" t="str">
        <v>-</v>
      </c>
      <c r="D22808" t="str">
        <v>-</v>
      </c>
      <c r="E22808" t="str">
        <v/>
      </c>
      <c r="F22808" t="str">
        <v>-</v>
      </c>
      <c r="G22808" t="str">
        <v>-</v>
      </c>
    </row>
    <row r="22809">
      <c r="B22809" t="str">
        <v>UBND Ủy ban nhân dân xã Đông Hòa  tỉnh Kiên Giang</v>
      </c>
      <c r="C22809" t="str">
        <v>-</v>
      </c>
      <c r="D22809" t="str">
        <v>-</v>
      </c>
      <c r="E22809" t="str">
        <v>-</v>
      </c>
      <c r="F22809" t="str">
        <v>-</v>
      </c>
      <c r="G22809" t="str">
        <v>-</v>
      </c>
    </row>
    <row r="22810">
      <c r="B22810" t="str">
        <v>Công an xã Đông Thạnh  tỉnh Kiên Giang</v>
      </c>
      <c r="C22810" t="str">
        <v>-</v>
      </c>
      <c r="D22810" t="str">
        <v>-</v>
      </c>
      <c r="E22810" t="str">
        <v/>
      </c>
      <c r="F22810" t="str">
        <v>-</v>
      </c>
      <c r="G22810" t="str">
        <v>-</v>
      </c>
    </row>
    <row r="22811">
      <c r="B22811" t="str">
        <v>UBND Ủy ban nhân dân xã Đông Thạnh  tỉnh Kiên Giang</v>
      </c>
      <c r="C22811" t="str">
        <v>-</v>
      </c>
      <c r="D22811" t="str">
        <v>-</v>
      </c>
      <c r="E22811" t="str">
        <v>-</v>
      </c>
      <c r="F22811" t="str">
        <v>-</v>
      </c>
      <c r="G22811" t="str">
        <v>-</v>
      </c>
    </row>
    <row r="22812">
      <c r="B22812" t="str">
        <v>Công an xã Tân Thạnh  tỉnh Kiên Giang</v>
      </c>
      <c r="C22812" t="str">
        <v>-</v>
      </c>
      <c r="D22812" t="str">
        <v>-</v>
      </c>
      <c r="E22812" t="str">
        <v/>
      </c>
      <c r="F22812" t="str">
        <v>-</v>
      </c>
      <c r="G22812" t="str">
        <v>-</v>
      </c>
    </row>
    <row r="22813">
      <c r="B22813" t="str">
        <v>UBND Ủy ban nhân dân xã Tân Thạnh  tỉnh Kiên Giang</v>
      </c>
      <c r="C22813" t="str">
        <v>-</v>
      </c>
      <c r="D22813" t="str">
        <v>-</v>
      </c>
      <c r="E22813" t="str">
        <v>-</v>
      </c>
      <c r="F22813" t="str">
        <v>-</v>
      </c>
      <c r="G22813" t="str">
        <v>-</v>
      </c>
    </row>
    <row r="22814">
      <c r="B22814" t="str">
        <v>Công an xã Đông Hưng  tỉnh Kiên Giang</v>
      </c>
      <c r="C22814" t="str">
        <v>-</v>
      </c>
      <c r="D22814" t="str">
        <v>-</v>
      </c>
      <c r="E22814" t="str">
        <v/>
      </c>
      <c r="F22814" t="str">
        <v>-</v>
      </c>
      <c r="G22814" t="str">
        <v>-</v>
      </c>
    </row>
    <row r="22815">
      <c r="B22815" t="str">
        <v>UBND Ủy ban nhân dân xã Đông Hưng  tỉnh Kiên Giang</v>
      </c>
      <c r="C22815" t="str">
        <v>-</v>
      </c>
      <c r="D22815" t="str">
        <v>-</v>
      </c>
      <c r="E22815" t="str">
        <v>-</v>
      </c>
      <c r="F22815" t="str">
        <v>-</v>
      </c>
      <c r="G22815" t="str">
        <v>-</v>
      </c>
    </row>
    <row r="22816">
      <c r="B22816" t="str">
        <v>Công an xã Đông Hưng A  tỉnh Kiên Giang</v>
      </c>
      <c r="C22816" t="str">
        <v>-</v>
      </c>
      <c r="D22816" t="str">
        <v>-</v>
      </c>
      <c r="E22816" t="str">
        <v/>
      </c>
      <c r="F22816" t="str">
        <v>-</v>
      </c>
      <c r="G22816" t="str">
        <v>-</v>
      </c>
    </row>
    <row r="22817">
      <c r="B22817" t="str">
        <v>UBND Ủy ban nhân dân xã Đông Hưng A  tỉnh Kiên Giang</v>
      </c>
      <c r="C22817" t="str">
        <v>-</v>
      </c>
      <c r="D22817" t="str">
        <v>-</v>
      </c>
      <c r="E22817" t="str">
        <v>-</v>
      </c>
      <c r="F22817" t="str">
        <v>-</v>
      </c>
      <c r="G22817" t="str">
        <v>-</v>
      </c>
    </row>
    <row r="22818">
      <c r="B22818" t="str">
        <v>Công an xã Đông Hưng B  tỉnh Kiên Giang</v>
      </c>
      <c r="C22818" t="str">
        <v>-</v>
      </c>
      <c r="D22818" t="str">
        <v>-</v>
      </c>
      <c r="E22818" t="str">
        <v/>
      </c>
      <c r="F22818" t="str">
        <v>-</v>
      </c>
      <c r="G22818" t="str">
        <v>-</v>
      </c>
    </row>
    <row r="22819">
      <c r="B22819" t="str">
        <v>UBND Ủy ban nhân dân xã Đông Hưng B  tỉnh Kiên Giang</v>
      </c>
      <c r="C22819" t="str">
        <v>-</v>
      </c>
      <c r="D22819" t="str">
        <v>-</v>
      </c>
      <c r="E22819" t="str">
        <v>-</v>
      </c>
      <c r="F22819" t="str">
        <v>-</v>
      </c>
      <c r="G22819" t="str">
        <v>-</v>
      </c>
    </row>
    <row r="22820">
      <c r="B22820" t="str">
        <v>Công an xã Vân Khánh  tỉnh Kiên Giang</v>
      </c>
      <c r="C22820" t="str">
        <v>-</v>
      </c>
      <c r="D22820" t="str">
        <v>-</v>
      </c>
      <c r="E22820" t="str">
        <v/>
      </c>
      <c r="F22820" t="str">
        <v>-</v>
      </c>
      <c r="G22820" t="str">
        <v>-</v>
      </c>
    </row>
    <row r="22821">
      <c r="B22821" t="str">
        <v>UBND Ủy ban nhân dân xã Vân Khánh  tỉnh Kiên Giang</v>
      </c>
      <c r="C22821" t="str">
        <v>-</v>
      </c>
      <c r="D22821" t="str">
        <v>-</v>
      </c>
      <c r="E22821" t="str">
        <v>-</v>
      </c>
      <c r="F22821" t="str">
        <v>-</v>
      </c>
      <c r="G22821" t="str">
        <v>-</v>
      </c>
    </row>
    <row r="22822">
      <c r="B22822" t="str">
        <v>Công an xã Vân Khánh Đông  tỉnh Kiên Giang</v>
      </c>
      <c r="C22822" t="str">
        <v>-</v>
      </c>
      <c r="D22822" t="str">
        <v>-</v>
      </c>
      <c r="E22822" t="str">
        <v/>
      </c>
      <c r="F22822" t="str">
        <v>-</v>
      </c>
      <c r="G22822" t="str">
        <v>-</v>
      </c>
    </row>
    <row r="22823">
      <c r="B22823" t="str">
        <v>UBND Ủy ban nhân dân xã Vân Khánh Đông  tỉnh Kiên Giang</v>
      </c>
      <c r="C22823" t="str">
        <v>-</v>
      </c>
      <c r="D22823" t="str">
        <v>-</v>
      </c>
      <c r="E22823" t="str">
        <v>-</v>
      </c>
      <c r="F22823" t="str">
        <v>-</v>
      </c>
      <c r="G22823" t="str">
        <v>-</v>
      </c>
    </row>
    <row r="22824">
      <c r="B22824" t="str">
        <v>Công an xã Vân Khánh Tây  tỉnh Kiên Giang</v>
      </c>
      <c r="C22824" t="str">
        <v>-</v>
      </c>
      <c r="D22824" t="str">
        <v>-</v>
      </c>
      <c r="E22824" t="str">
        <v/>
      </c>
      <c r="F22824" t="str">
        <v>-</v>
      </c>
      <c r="G22824" t="str">
        <v>-</v>
      </c>
    </row>
    <row r="22825">
      <c r="B22825" t="str">
        <v>UBND Ủy ban nhân dân xã Vân Khánh Tây  tỉnh Kiên Giang</v>
      </c>
      <c r="C22825" t="str">
        <v>-</v>
      </c>
      <c r="D22825" t="str">
        <v>-</v>
      </c>
      <c r="E22825" t="str">
        <v>-</v>
      </c>
      <c r="F22825" t="str">
        <v>-</v>
      </c>
      <c r="G22825" t="str">
        <v>-</v>
      </c>
    </row>
    <row r="22826">
      <c r="B22826" t="str">
        <v>Công an xã Vĩnh Bình Bắc  tỉnh Kiên Giang</v>
      </c>
      <c r="C22826" t="str">
        <v>-</v>
      </c>
      <c r="D22826" t="str">
        <v>-</v>
      </c>
      <c r="E22826" t="str">
        <v/>
      </c>
      <c r="F22826" t="str">
        <v>-</v>
      </c>
      <c r="G22826" t="str">
        <v>-</v>
      </c>
    </row>
    <row r="22827">
      <c r="B22827" t="str">
        <v>UBND Ủy ban nhân dân xã Vĩnh Bình Bắc  tỉnh Kiên Giang</v>
      </c>
      <c r="C22827" t="str">
        <v>-</v>
      </c>
      <c r="D22827" t="str">
        <v>-</v>
      </c>
      <c r="E22827" t="str">
        <v>-</v>
      </c>
      <c r="F22827" t="str">
        <v>-</v>
      </c>
      <c r="G22827" t="str">
        <v>-</v>
      </c>
    </row>
    <row r="22828">
      <c r="B22828" t="str">
        <v>Công an xã Vĩnh Bình Nam  tỉnh Kiên Giang</v>
      </c>
      <c r="C22828" t="str">
        <v>-</v>
      </c>
      <c r="D22828" t="str">
        <v>-</v>
      </c>
      <c r="E22828" t="str">
        <v/>
      </c>
      <c r="F22828" t="str">
        <v>-</v>
      </c>
      <c r="G22828" t="str">
        <v>-</v>
      </c>
    </row>
    <row r="22829">
      <c r="B22829" t="str">
        <v>UBND Ủy ban nhân dân xã Vĩnh Bình Nam  tỉnh Kiên Giang</v>
      </c>
      <c r="C22829" t="str">
        <v>-</v>
      </c>
      <c r="D22829" t="str">
        <v>-</v>
      </c>
      <c r="E22829" t="str">
        <v>-</v>
      </c>
      <c r="F22829" t="str">
        <v>-</v>
      </c>
      <c r="G22829" t="str">
        <v>-</v>
      </c>
    </row>
    <row r="22830">
      <c r="B22830" t="str">
        <v>Công an xã Bình Minh  tỉnh Kiên Giang</v>
      </c>
      <c r="C22830" t="str">
        <v>-</v>
      </c>
      <c r="D22830" t="str">
        <v>-</v>
      </c>
      <c r="E22830" t="str">
        <v/>
      </c>
      <c r="F22830" t="str">
        <v>-</v>
      </c>
      <c r="G22830" t="str">
        <v>-</v>
      </c>
    </row>
    <row r="22831">
      <c r="B22831" t="str">
        <v>UBND Ủy ban nhân dân xã Bình Minh  tỉnh Kiên Giang</v>
      </c>
      <c r="C22831" t="str">
        <v>-</v>
      </c>
      <c r="D22831" t="str">
        <v>-</v>
      </c>
      <c r="E22831" t="str">
        <v>-</v>
      </c>
      <c r="F22831" t="str">
        <v>-</v>
      </c>
      <c r="G22831" t="str">
        <v>-</v>
      </c>
    </row>
    <row r="22832">
      <c r="B22832" t="str">
        <v>Công an xã Vĩnh Thuận  tỉnh Kiên Giang</v>
      </c>
      <c r="C22832" t="str">
        <v>-</v>
      </c>
      <c r="D22832" t="str">
        <v>-</v>
      </c>
      <c r="E22832" t="str">
        <v/>
      </c>
      <c r="F22832" t="str">
        <v>-</v>
      </c>
      <c r="G22832" t="str">
        <v>-</v>
      </c>
    </row>
    <row r="22833">
      <c r="B22833" t="str">
        <v>UBND Ủy ban nhân dân xã Vĩnh Thuận  tỉnh Kiên Giang</v>
      </c>
      <c r="C22833" t="str">
        <v>-</v>
      </c>
      <c r="D22833" t="str">
        <v>-</v>
      </c>
      <c r="E22833" t="str">
        <v>-</v>
      </c>
      <c r="F22833" t="str">
        <v>-</v>
      </c>
      <c r="G22833" t="str">
        <v>-</v>
      </c>
    </row>
    <row r="22834">
      <c r="B22834" t="str">
        <v>Công an xã Tân Thuận  tỉnh Kiên Giang</v>
      </c>
      <c r="C22834" t="str">
        <v>-</v>
      </c>
      <c r="D22834" t="str">
        <v>-</v>
      </c>
      <c r="E22834" t="str">
        <v/>
      </c>
      <c r="F22834" t="str">
        <v>-</v>
      </c>
      <c r="G22834" t="str">
        <v>-</v>
      </c>
    </row>
    <row r="22835">
      <c r="B22835" t="str">
        <v>UBND Ủy ban nhân dân xã Tân Thuận  tỉnh Kiên Giang</v>
      </c>
      <c r="C22835" t="str">
        <v>-</v>
      </c>
      <c r="D22835" t="str">
        <v>-</v>
      </c>
      <c r="E22835" t="str">
        <v>-</v>
      </c>
      <c r="F22835" t="str">
        <v>-</v>
      </c>
      <c r="G22835" t="str">
        <v>-</v>
      </c>
    </row>
    <row r="22836">
      <c r="B22836" t="str">
        <v>Công an xã Phong Đông  tỉnh Kiên Giang</v>
      </c>
      <c r="C22836" t="str">
        <v>-</v>
      </c>
      <c r="D22836" t="str">
        <v>-</v>
      </c>
      <c r="E22836" t="str">
        <v/>
      </c>
      <c r="F22836" t="str">
        <v>-</v>
      </c>
      <c r="G22836" t="str">
        <v>-</v>
      </c>
    </row>
    <row r="22837">
      <c r="B22837" t="str">
        <v>UBND Ủy ban nhân dân xã Phong Đông  tỉnh Kiên Giang</v>
      </c>
      <c r="C22837" t="str">
        <v>-</v>
      </c>
      <c r="D22837" t="str">
        <v>-</v>
      </c>
      <c r="E22837" t="str">
        <v>-</v>
      </c>
      <c r="F22837" t="str">
        <v>-</v>
      </c>
      <c r="G22837" t="str">
        <v>-</v>
      </c>
    </row>
    <row r="22838">
      <c r="B22838" t="str">
        <v>Công an xã Vĩnh Phong  tỉnh Kiên Giang</v>
      </c>
      <c r="C22838" t="str">
        <v>-</v>
      </c>
      <c r="D22838" t="str">
        <v>-</v>
      </c>
      <c r="E22838" t="str">
        <v/>
      </c>
      <c r="F22838" t="str">
        <v>-</v>
      </c>
      <c r="G22838" t="str">
        <v>-</v>
      </c>
    </row>
    <row r="22839">
      <c r="B22839" t="str">
        <v>UBND Ủy ban nhân dân xã Vĩnh Phong  tỉnh Kiên Giang</v>
      </c>
      <c r="C22839" t="str">
        <v>-</v>
      </c>
      <c r="D22839" t="str">
        <v>-</v>
      </c>
      <c r="E22839" t="str">
        <v>-</v>
      </c>
      <c r="F22839" t="str">
        <v>-</v>
      </c>
      <c r="G22839" t="str">
        <v>-</v>
      </c>
    </row>
    <row r="22840">
      <c r="B22840" t="str">
        <v>Công an xã Cửa Cạn  tỉnh Kiên Giang</v>
      </c>
      <c r="C22840" t="str">
        <v>-</v>
      </c>
      <c r="D22840" t="str">
        <v>-</v>
      </c>
      <c r="E22840" t="str">
        <v/>
      </c>
      <c r="F22840" t="str">
        <v>-</v>
      </c>
      <c r="G22840" t="str">
        <v>-</v>
      </c>
    </row>
    <row r="22841">
      <c r="B22841" t="str">
        <v>UBND Ủy ban nhân dân xã Cửa Cạn  tỉnh Kiên Giang</v>
      </c>
      <c r="C22841" t="str">
        <v>-</v>
      </c>
      <c r="D22841" t="str">
        <v>-</v>
      </c>
      <c r="E22841" t="str">
        <v>-</v>
      </c>
      <c r="F22841" t="str">
        <v>-</v>
      </c>
      <c r="G22841" t="str">
        <v>-</v>
      </c>
    </row>
    <row r="22842">
      <c r="B22842" t="str">
        <v>Công an xã Gành Dầu  tỉnh Kiên Giang</v>
      </c>
      <c r="C22842" t="str">
        <v>-</v>
      </c>
      <c r="D22842" t="str">
        <v>-</v>
      </c>
      <c r="E22842" t="str">
        <v/>
      </c>
      <c r="F22842" t="str">
        <v>-</v>
      </c>
      <c r="G22842" t="str">
        <v>-</v>
      </c>
    </row>
    <row r="22843">
      <c r="B22843" t="str">
        <v>UBND Ủy ban nhân dân xã Gành Dầu  tỉnh Kiên Giang</v>
      </c>
      <c r="C22843" t="str">
        <v>-</v>
      </c>
      <c r="D22843" t="str">
        <v>-</v>
      </c>
      <c r="E22843" t="str">
        <v>-</v>
      </c>
      <c r="F22843" t="str">
        <v>-</v>
      </c>
      <c r="G22843" t="str">
        <v>-</v>
      </c>
    </row>
    <row r="22844">
      <c r="B22844" t="str">
        <v>Công an xã Cửa Dương  tỉnh Kiên Giang</v>
      </c>
      <c r="C22844" t="str">
        <v>-</v>
      </c>
      <c r="D22844" t="str">
        <v>-</v>
      </c>
      <c r="E22844" t="str">
        <v/>
      </c>
      <c r="F22844" t="str">
        <v>-</v>
      </c>
      <c r="G22844" t="str">
        <v>-</v>
      </c>
    </row>
    <row r="22845">
      <c r="B22845" t="str">
        <v>UBND Ủy ban nhân dân xã Cửa Dương  tỉnh Kiên Giang</v>
      </c>
      <c r="C22845" t="str">
        <v>-</v>
      </c>
      <c r="D22845" t="str">
        <v>-</v>
      </c>
      <c r="E22845" t="str">
        <v>-</v>
      </c>
      <c r="F22845" t="str">
        <v>-</v>
      </c>
      <c r="G22845" t="str">
        <v>-</v>
      </c>
    </row>
    <row r="22846">
      <c r="B22846" t="str">
        <v>Công an xã Hàm Ninh  tỉnh Kiên Giang</v>
      </c>
      <c r="C22846" t="str">
        <v>-</v>
      </c>
      <c r="D22846" t="str">
        <v>-</v>
      </c>
      <c r="E22846" t="str">
        <v/>
      </c>
      <c r="F22846" t="str">
        <v>-</v>
      </c>
      <c r="G22846" t="str">
        <v>-</v>
      </c>
    </row>
    <row r="22847">
      <c r="B22847" t="str">
        <v>UBND Ủy ban nhân dân xã Hàm Ninh  tỉnh Kiên Giang</v>
      </c>
      <c r="C22847" t="str">
        <v>-</v>
      </c>
      <c r="D22847" t="str">
        <v>-</v>
      </c>
      <c r="E22847" t="str">
        <v>-</v>
      </c>
      <c r="F22847" t="str">
        <v>-</v>
      </c>
      <c r="G22847" t="str">
        <v>-</v>
      </c>
    </row>
    <row r="22848">
      <c r="B22848" t="str">
        <v>Công an xã Dương Tơ  tỉnh Kiên Giang</v>
      </c>
      <c r="C22848" t="str">
        <v>-</v>
      </c>
      <c r="D22848" t="str">
        <v>-</v>
      </c>
      <c r="E22848" t="str">
        <v/>
      </c>
      <c r="F22848" t="str">
        <v>-</v>
      </c>
      <c r="G22848" t="str">
        <v>-</v>
      </c>
    </row>
    <row r="22849">
      <c r="B22849" t="str">
        <v>UBND Ủy ban nhân dân xã Dương Tơ  tỉnh Kiên Giang</v>
      </c>
      <c r="C22849" t="str">
        <v>-</v>
      </c>
      <c r="D22849" t="str">
        <v>-</v>
      </c>
      <c r="E22849" t="str">
        <v>-</v>
      </c>
      <c r="F22849" t="str">
        <v>-</v>
      </c>
      <c r="G22849" t="str">
        <v>-</v>
      </c>
    </row>
    <row r="22850">
      <c r="B22850" t="str">
        <v>Công an xã Hòn Thơm  tỉnh Kiên Giang</v>
      </c>
      <c r="C22850" t="str">
        <v>-</v>
      </c>
      <c r="D22850" t="str">
        <v>-</v>
      </c>
      <c r="E22850" t="str">
        <v/>
      </c>
      <c r="F22850" t="str">
        <v>-</v>
      </c>
      <c r="G22850" t="str">
        <v>-</v>
      </c>
    </row>
    <row r="22851">
      <c r="B22851" t="str">
        <v>UBND Ủy ban nhân dân xã Hòn Thơm  tỉnh Kiên Giang</v>
      </c>
      <c r="C22851" t="str">
        <v>-</v>
      </c>
      <c r="D22851" t="str">
        <v>-</v>
      </c>
      <c r="E22851" t="str">
        <v>-</v>
      </c>
      <c r="F22851" t="str">
        <v>-</v>
      </c>
      <c r="G22851" t="str">
        <v>-</v>
      </c>
    </row>
    <row r="22852">
      <c r="B22852" t="str">
        <v>Công an xã Bãi Thơm  tỉnh Kiên Giang</v>
      </c>
      <c r="C22852" t="str">
        <v>-</v>
      </c>
      <c r="D22852" t="str">
        <v>-</v>
      </c>
      <c r="E22852" t="str">
        <v/>
      </c>
      <c r="F22852" t="str">
        <v>-</v>
      </c>
      <c r="G22852" t="str">
        <v>-</v>
      </c>
    </row>
    <row r="22853">
      <c r="B22853" t="str">
        <v>UBND Ủy ban nhân dân xã Bãi Thơm  tỉnh Kiên Giang</v>
      </c>
      <c r="C22853" t="str">
        <v>-</v>
      </c>
      <c r="D22853" t="str">
        <v>-</v>
      </c>
      <c r="E22853" t="str">
        <v>-</v>
      </c>
      <c r="F22853" t="str">
        <v>-</v>
      </c>
      <c r="G22853" t="str">
        <v>-</v>
      </c>
    </row>
    <row r="22854">
      <c r="B22854" t="str">
        <v>Công an xã Thổ Châu  tỉnh Kiên Giang</v>
      </c>
      <c r="C22854" t="str">
        <v>-</v>
      </c>
      <c r="D22854" t="str">
        <v>-</v>
      </c>
      <c r="E22854" t="str">
        <v/>
      </c>
      <c r="F22854" t="str">
        <v>-</v>
      </c>
      <c r="G22854" t="str">
        <v>-</v>
      </c>
    </row>
    <row r="22855">
      <c r="B22855" t="str">
        <v>UBND Ủy ban nhân dân xã Thổ Châu  tỉnh Kiên Giang</v>
      </c>
      <c r="C22855" t="str">
        <v>-</v>
      </c>
      <c r="D22855" t="str">
        <v>-</v>
      </c>
      <c r="E22855" t="str">
        <v>-</v>
      </c>
      <c r="F22855" t="str">
        <v>-</v>
      </c>
      <c r="G22855" t="str">
        <v>-</v>
      </c>
    </row>
    <row r="22856">
      <c r="B22856" t="str">
        <v>Công an xã Hòn Tre  tỉnh Kiên Giang</v>
      </c>
      <c r="C22856" t="str">
        <v>-</v>
      </c>
      <c r="D22856" t="str">
        <v>-</v>
      </c>
      <c r="E22856" t="str">
        <v/>
      </c>
      <c r="F22856" t="str">
        <v>-</v>
      </c>
      <c r="G22856" t="str">
        <v>-</v>
      </c>
    </row>
    <row r="22857">
      <c r="B22857" t="str">
        <v>UBND Ủy ban nhân dân xã Hòn Tre  tỉnh Kiên Giang</v>
      </c>
      <c r="C22857" t="str">
        <v>-</v>
      </c>
      <c r="D22857" t="str">
        <v>-</v>
      </c>
      <c r="E22857" t="str">
        <v>-</v>
      </c>
      <c r="F22857" t="str">
        <v>-</v>
      </c>
      <c r="G22857" t="str">
        <v>-</v>
      </c>
    </row>
    <row r="22858">
      <c r="B22858" t="str">
        <v>Công an xã Lại Sơn  tỉnh Kiên Giang</v>
      </c>
      <c r="C22858" t="str">
        <v>-</v>
      </c>
      <c r="D22858" t="str">
        <v>-</v>
      </c>
      <c r="E22858" t="str">
        <v/>
      </c>
      <c r="F22858" t="str">
        <v>-</v>
      </c>
      <c r="G22858" t="str">
        <v>-</v>
      </c>
    </row>
    <row r="22859">
      <c r="B22859" t="str">
        <v>UBND Ủy ban nhân dân xã Lại Sơn  tỉnh Kiên Giang</v>
      </c>
      <c r="C22859" t="str">
        <v>-</v>
      </c>
      <c r="D22859" t="str">
        <v>-</v>
      </c>
      <c r="E22859" t="str">
        <v>-</v>
      </c>
      <c r="F22859" t="str">
        <v>-</v>
      </c>
      <c r="G22859" t="str">
        <v>-</v>
      </c>
    </row>
    <row r="22860">
      <c r="B22860" t="str">
        <v>Công an xã An Sơn  tỉnh Kiên Giang</v>
      </c>
      <c r="C22860" t="str">
        <v>-</v>
      </c>
      <c r="D22860" t="str">
        <v>-</v>
      </c>
      <c r="E22860" t="str">
        <v/>
      </c>
      <c r="F22860" t="str">
        <v>-</v>
      </c>
      <c r="G22860" t="str">
        <v>-</v>
      </c>
    </row>
    <row r="22861">
      <c r="B22861" t="str">
        <v>UBND Ủy ban nhân dân xã An Sơn  tỉnh Kiên Giang</v>
      </c>
      <c r="C22861" t="str">
        <v>-</v>
      </c>
      <c r="D22861" t="str">
        <v>-</v>
      </c>
      <c r="E22861" t="str">
        <v>-</v>
      </c>
      <c r="F22861" t="str">
        <v>-</v>
      </c>
      <c r="G22861" t="str">
        <v>-</v>
      </c>
    </row>
    <row r="22862">
      <c r="B22862" t="str">
        <v>Công an xã Nam Du  tỉnh Kiên Giang</v>
      </c>
      <c r="C22862" t="str">
        <v>-</v>
      </c>
      <c r="D22862" t="str">
        <v>-</v>
      </c>
      <c r="E22862" t="str">
        <v/>
      </c>
      <c r="F22862" t="str">
        <v>-</v>
      </c>
      <c r="G22862" t="str">
        <v>-</v>
      </c>
    </row>
    <row r="22863">
      <c r="B22863" t="str">
        <v>UBND Ủy ban nhân dân xã Nam Du  tỉnh Kiên Giang</v>
      </c>
      <c r="C22863" t="str">
        <v>-</v>
      </c>
      <c r="D22863" t="str">
        <v>-</v>
      </c>
      <c r="E22863" t="str">
        <v>-</v>
      </c>
      <c r="F22863" t="str">
        <v>-</v>
      </c>
      <c r="G22863" t="str">
        <v>-</v>
      </c>
    </row>
    <row r="22864">
      <c r="B22864" t="str">
        <v>Công an xã Thạnh Yên  tỉnh Kiên Giang</v>
      </c>
      <c r="C22864" t="str">
        <v>-</v>
      </c>
      <c r="D22864" t="str">
        <v>-</v>
      </c>
      <c r="E22864" t="str">
        <v/>
      </c>
      <c r="F22864" t="str">
        <v>-</v>
      </c>
      <c r="G22864" t="str">
        <v>-</v>
      </c>
    </row>
    <row r="22865">
      <c r="B22865" t="str">
        <v>UBND Ủy ban nhân dân xã Thạnh Yên  tỉnh Kiên Giang</v>
      </c>
      <c r="C22865" t="str">
        <v>-</v>
      </c>
      <c r="D22865" t="str">
        <v>-</v>
      </c>
      <c r="E22865" t="str">
        <v>-</v>
      </c>
      <c r="F22865" t="str">
        <v>-</v>
      </c>
      <c r="G22865" t="str">
        <v>-</v>
      </c>
    </row>
    <row r="22866">
      <c r="B22866" t="str">
        <v>Công an xã Thạnh Yên A  tỉnh Kiên Giang</v>
      </c>
      <c r="C22866" t="str">
        <v>-</v>
      </c>
      <c r="D22866" t="str">
        <v>-</v>
      </c>
      <c r="E22866" t="str">
        <v/>
      </c>
      <c r="F22866" t="str">
        <v>-</v>
      </c>
      <c r="G22866" t="str">
        <v>-</v>
      </c>
    </row>
    <row r="22867">
      <c r="B22867" t="str">
        <v>UBND Ủy ban nhân dân xã Thạnh Yên A  tỉnh Kiên Giang</v>
      </c>
      <c r="C22867" t="str">
        <v>-</v>
      </c>
      <c r="D22867" t="str">
        <v>-</v>
      </c>
      <c r="E22867" t="str">
        <v>-</v>
      </c>
      <c r="F22867" t="str">
        <v>-</v>
      </c>
      <c r="G22867" t="str">
        <v>-</v>
      </c>
    </row>
    <row r="22868">
      <c r="B22868" t="str">
        <v>Công an xã An Minh Bắc  tỉnh Kiên Giang</v>
      </c>
      <c r="C22868" t="str">
        <v>-</v>
      </c>
      <c r="D22868" t="str">
        <v>-</v>
      </c>
      <c r="E22868" t="str">
        <v/>
      </c>
      <c r="F22868" t="str">
        <v>-</v>
      </c>
      <c r="G22868" t="str">
        <v>-</v>
      </c>
    </row>
    <row r="22869">
      <c r="B22869" t="str">
        <v>UBND Ủy ban nhân dân xã An Minh Bắc  tỉnh Kiên Giang</v>
      </c>
      <c r="C22869" t="str">
        <v>-</v>
      </c>
      <c r="D22869" t="str">
        <v>-</v>
      </c>
      <c r="E22869" t="str">
        <v>-</v>
      </c>
      <c r="F22869" t="str">
        <v>-</v>
      </c>
      <c r="G22869" t="str">
        <v>-</v>
      </c>
    </row>
    <row r="22870">
      <c r="B22870" t="str">
        <v>Công an xã Vĩnh Hòa  tỉnh Kiên Giang</v>
      </c>
      <c r="C22870" t="str">
        <v>-</v>
      </c>
      <c r="D22870" t="str">
        <v>-</v>
      </c>
      <c r="E22870" t="str">
        <v/>
      </c>
      <c r="F22870" t="str">
        <v>-</v>
      </c>
      <c r="G22870" t="str">
        <v>-</v>
      </c>
    </row>
    <row r="22871">
      <c r="B22871" t="str">
        <v>UBND Ủy ban nhân dân xã Vĩnh Hòa  tỉnh Kiên Giang</v>
      </c>
      <c r="C22871" t="str">
        <v>-</v>
      </c>
      <c r="D22871" t="str">
        <v>-</v>
      </c>
      <c r="E22871" t="str">
        <v>-</v>
      </c>
      <c r="F22871" t="str">
        <v>-</v>
      </c>
      <c r="G22871" t="str">
        <v>-</v>
      </c>
    </row>
    <row r="22872">
      <c r="B22872" t="str">
        <v>Công an xã Hoà Chánh  tỉnh Kiên Giang</v>
      </c>
      <c r="C22872" t="str">
        <v>-</v>
      </c>
      <c r="D22872" t="str">
        <v>-</v>
      </c>
      <c r="E22872" t="str">
        <v/>
      </c>
      <c r="F22872" t="str">
        <v>-</v>
      </c>
      <c r="G22872" t="str">
        <v>-</v>
      </c>
    </row>
    <row r="22873">
      <c r="B22873" t="str">
        <v>UBND Ủy ban nhân dân xã Hoà Chánh  tỉnh Kiên Giang</v>
      </c>
      <c r="C22873" t="str">
        <v>-</v>
      </c>
      <c r="D22873" t="str">
        <v>-</v>
      </c>
      <c r="E22873" t="str">
        <v>-</v>
      </c>
      <c r="F22873" t="str">
        <v>-</v>
      </c>
      <c r="G22873" t="str">
        <v>-</v>
      </c>
    </row>
    <row r="22874">
      <c r="B22874" t="str">
        <v>Công an xã Minh Thuận  tỉnh Kiên Giang</v>
      </c>
      <c r="C22874" t="str">
        <v>-</v>
      </c>
      <c r="D22874" t="str">
        <v>-</v>
      </c>
      <c r="E22874" t="str">
        <v/>
      </c>
      <c r="F22874" t="str">
        <v>-</v>
      </c>
      <c r="G22874" t="str">
        <v>-</v>
      </c>
    </row>
    <row r="22875">
      <c r="B22875" t="str">
        <v>UBND Ủy ban nhân dân xã Minh Thuận  tỉnh Kiên Giang</v>
      </c>
      <c r="C22875" t="str">
        <v>-</v>
      </c>
      <c r="D22875" t="str">
        <v>-</v>
      </c>
      <c r="E22875" t="str">
        <v>-</v>
      </c>
      <c r="F22875" t="str">
        <v>-</v>
      </c>
      <c r="G22875" t="str">
        <v>-</v>
      </c>
    </row>
    <row r="22876">
      <c r="B22876" t="str">
        <v>Công an xã Vĩnh Phú  tỉnh Kiên Giang</v>
      </c>
      <c r="C22876" t="str">
        <v>-</v>
      </c>
      <c r="D22876" t="str">
        <v>-</v>
      </c>
      <c r="E22876" t="str">
        <v/>
      </c>
      <c r="F22876" t="str">
        <v>-</v>
      </c>
      <c r="G22876" t="str">
        <v>-</v>
      </c>
    </row>
    <row r="22877">
      <c r="B22877" t="str">
        <v>UBND Ủy ban nhân dân xã Vĩnh Phú  tỉnh Kiên Giang</v>
      </c>
      <c r="C22877" t="str">
        <v>-</v>
      </c>
      <c r="D22877" t="str">
        <v>-</v>
      </c>
      <c r="E22877" t="str">
        <v>-</v>
      </c>
      <c r="F22877" t="str">
        <v>-</v>
      </c>
      <c r="G22877" t="str">
        <v>-</v>
      </c>
    </row>
    <row r="22878">
      <c r="B22878" t="str">
        <v>Công an xã Vĩnh Điều  tỉnh Kiên Giang</v>
      </c>
      <c r="C22878" t="str">
        <v>-</v>
      </c>
      <c r="D22878" t="str">
        <v>-</v>
      </c>
      <c r="E22878" t="str">
        <v/>
      </c>
      <c r="F22878" t="str">
        <v>-</v>
      </c>
      <c r="G22878" t="str">
        <v>-</v>
      </c>
    </row>
    <row r="22879">
      <c r="B22879" t="str">
        <v>UBND Ủy ban nhân dân xã Vĩnh Điều  tỉnh Kiên Giang</v>
      </c>
      <c r="C22879" t="str">
        <v>-</v>
      </c>
      <c r="D22879" t="str">
        <v>-</v>
      </c>
      <c r="E22879" t="str">
        <v>-</v>
      </c>
      <c r="F22879" t="str">
        <v>-</v>
      </c>
      <c r="G22879" t="str">
        <v>-</v>
      </c>
    </row>
    <row r="22880">
      <c r="B22880" t="str">
        <v>Công an xã Tân Khánh Hòa  tỉnh Kiên Giang</v>
      </c>
      <c r="C22880" t="str">
        <v>-</v>
      </c>
      <c r="D22880" t="str">
        <v>-</v>
      </c>
      <c r="E22880" t="str">
        <v/>
      </c>
      <c r="F22880" t="str">
        <v>-</v>
      </c>
      <c r="G22880" t="str">
        <v>-</v>
      </c>
    </row>
    <row r="22881">
      <c r="B22881" t="str">
        <v>UBND Ủy ban nhân dân xã Tân Khánh Hòa  tỉnh Kiên Giang</v>
      </c>
      <c r="C22881" t="str">
        <v>-</v>
      </c>
      <c r="D22881" t="str">
        <v>-</v>
      </c>
      <c r="E22881" t="str">
        <v>-</v>
      </c>
      <c r="F22881" t="str">
        <v>-</v>
      </c>
      <c r="G22881" t="str">
        <v>-</v>
      </c>
    </row>
    <row r="22882">
      <c r="B22882" t="str">
        <v>Công an xã Phú Lợi  tỉnh Kiên Giang</v>
      </c>
      <c r="C22882" t="str">
        <v>-</v>
      </c>
      <c r="D22882" t="str">
        <v>-</v>
      </c>
      <c r="E22882" t="str">
        <v/>
      </c>
      <c r="F22882" t="str">
        <v>-</v>
      </c>
      <c r="G22882" t="str">
        <v>-</v>
      </c>
    </row>
    <row r="22883">
      <c r="B22883" t="str">
        <v>UBND Ủy ban nhân dân xã Phú Lợi  tỉnh Kiên Giang</v>
      </c>
      <c r="C22883" t="str">
        <v>-</v>
      </c>
      <c r="D22883" t="str">
        <v>-</v>
      </c>
      <c r="E22883" t="str">
        <v>-</v>
      </c>
      <c r="F22883" t="str">
        <v>-</v>
      </c>
      <c r="G22883" t="str">
        <v>-</v>
      </c>
    </row>
    <row r="22884">
      <c r="B22884" t="str">
        <v>Công an xã Phú Mỹ  tỉnh Kiên Giang</v>
      </c>
      <c r="C22884" t="str">
        <v>-</v>
      </c>
      <c r="D22884" t="str">
        <v>-</v>
      </c>
      <c r="E22884" t="str">
        <v/>
      </c>
      <c r="F22884" t="str">
        <v>-</v>
      </c>
      <c r="G22884" t="str">
        <v>-</v>
      </c>
    </row>
    <row r="22885">
      <c r="B22885" t="str">
        <v>UBND Ủy ban nhân dân xã Phú Mỹ  tỉnh Kiên Giang</v>
      </c>
      <c r="C22885" t="str">
        <v>-</v>
      </c>
      <c r="D22885" t="str">
        <v>-</v>
      </c>
      <c r="E22885" t="str">
        <v>-</v>
      </c>
      <c r="F22885" t="str">
        <v>-</v>
      </c>
      <c r="G22885" t="str">
        <v>-</v>
      </c>
    </row>
    <row r="22886">
      <c r="B22886" t="str">
        <v>Công an phường Cái Khế  thành phố Cần Thơ</v>
      </c>
      <c r="C22886" t="str">
        <v>-</v>
      </c>
      <c r="D22886" t="str">
        <v>-</v>
      </c>
      <c r="E22886" t="str">
        <v/>
      </c>
      <c r="F22886" t="str">
        <v>-</v>
      </c>
      <c r="G22886" t="str">
        <v>-</v>
      </c>
    </row>
    <row r="22887">
      <c r="B22887" t="str">
        <v>UBND Ủy ban nhân dân phường Cái Khế  thành phố Cần Thơ</v>
      </c>
      <c r="C22887" t="str">
        <v>-</v>
      </c>
      <c r="D22887" t="str">
        <v>-</v>
      </c>
      <c r="E22887" t="str">
        <v>-</v>
      </c>
      <c r="F22887" t="str">
        <v>-</v>
      </c>
      <c r="G22887" t="str">
        <v>-</v>
      </c>
    </row>
    <row r="22888">
      <c r="B22888" t="str">
        <v>Công an phường An Hòa  thành phố Cần Thơ</v>
      </c>
      <c r="C22888" t="str">
        <v>-</v>
      </c>
      <c r="D22888" t="str">
        <v>-</v>
      </c>
      <c r="E22888" t="str">
        <v/>
      </c>
      <c r="F22888" t="str">
        <v>-</v>
      </c>
      <c r="G22888" t="str">
        <v>-</v>
      </c>
    </row>
    <row r="22889">
      <c r="B22889" t="str">
        <v>UBND Ủy ban nhân dân phường An Hòa  thành phố Cần Thơ</v>
      </c>
      <c r="C22889" t="str">
        <v>-</v>
      </c>
      <c r="D22889" t="str">
        <v>-</v>
      </c>
      <c r="E22889" t="str">
        <v>-</v>
      </c>
      <c r="F22889" t="str">
        <v>-</v>
      </c>
      <c r="G22889" t="str">
        <v>-</v>
      </c>
    </row>
    <row r="22890">
      <c r="B22890" t="str">
        <v>Công an phường Thới Bình  thành phố Cần Thơ</v>
      </c>
      <c r="C22890" t="str">
        <v>-</v>
      </c>
      <c r="D22890" t="str">
        <v>-</v>
      </c>
      <c r="E22890" t="str">
        <v/>
      </c>
      <c r="F22890" t="str">
        <v>-</v>
      </c>
      <c r="G22890" t="str">
        <v>-</v>
      </c>
    </row>
    <row r="22891">
      <c r="B22891" t="str">
        <v>UBND Ủy ban nhân dân phường Thới Bình  thành phố Cần Thơ</v>
      </c>
      <c r="C22891" t="str">
        <v>-</v>
      </c>
      <c r="D22891" t="str">
        <v>-</v>
      </c>
      <c r="E22891" t="str">
        <v>-</v>
      </c>
      <c r="F22891" t="str">
        <v>-</v>
      </c>
      <c r="G22891" t="str">
        <v>-</v>
      </c>
    </row>
    <row r="22892">
      <c r="B22892" t="str">
        <v>Công an phường An Nghiệp  thành phố Cần Thơ</v>
      </c>
      <c r="C22892" t="str">
        <v>-</v>
      </c>
      <c r="D22892" t="str">
        <v>-</v>
      </c>
      <c r="E22892" t="str">
        <v/>
      </c>
      <c r="F22892" t="str">
        <v>-</v>
      </c>
      <c r="G22892" t="str">
        <v>-</v>
      </c>
    </row>
    <row r="22893">
      <c r="B22893" t="str">
        <v>UBND Ủy ban nhân dân phường An Nghiệp  thành phố Cần Thơ</v>
      </c>
      <c r="C22893" t="str">
        <v>-</v>
      </c>
      <c r="D22893" t="str">
        <v>-</v>
      </c>
      <c r="E22893" t="str">
        <v>-</v>
      </c>
      <c r="F22893" t="str">
        <v>-</v>
      </c>
      <c r="G22893" t="str">
        <v>-</v>
      </c>
    </row>
    <row r="22894">
      <c r="B22894" t="str">
        <v>Công an phường An Cư  thành phố Cần Thơ</v>
      </c>
      <c r="C22894" t="str">
        <v>-</v>
      </c>
      <c r="D22894" t="str">
        <v>-</v>
      </c>
      <c r="E22894" t="str">
        <v/>
      </c>
      <c r="F22894" t="str">
        <v>-</v>
      </c>
      <c r="G22894" t="str">
        <v>-</v>
      </c>
    </row>
    <row r="22895">
      <c r="B22895" t="str">
        <v>UBND Ủy ban nhân dân phường An Cư  thành phố Cần Thơ</v>
      </c>
      <c r="C22895" t="str">
        <v>-</v>
      </c>
      <c r="D22895" t="str">
        <v>-</v>
      </c>
      <c r="E22895" t="str">
        <v>-</v>
      </c>
      <c r="F22895" t="str">
        <v>-</v>
      </c>
      <c r="G22895" t="str">
        <v>-</v>
      </c>
    </row>
    <row r="22896">
      <c r="B22896" t="str">
        <v>Công an phường An Hội  thành phố Cần Thơ</v>
      </c>
      <c r="C22896" t="str">
        <v>-</v>
      </c>
      <c r="D22896" t="str">
        <v>-</v>
      </c>
      <c r="E22896" t="str">
        <v/>
      </c>
      <c r="F22896" t="str">
        <v>-</v>
      </c>
      <c r="G22896" t="str">
        <v>-</v>
      </c>
    </row>
    <row r="22897">
      <c r="B22897" t="str">
        <v>UBND Ủy ban nhân dân phường An Hội  thành phố Cần Thơ</v>
      </c>
      <c r="C22897" t="str">
        <v>-</v>
      </c>
      <c r="D22897" t="str">
        <v>-</v>
      </c>
      <c r="E22897" t="str">
        <v>-</v>
      </c>
      <c r="F22897" t="str">
        <v>-</v>
      </c>
      <c r="G22897" t="str">
        <v>-</v>
      </c>
    </row>
    <row r="22898">
      <c r="B22898" t="str">
        <v>Công an phường Tân An  thành phố Cần Thơ</v>
      </c>
      <c r="C22898" t="str">
        <v>-</v>
      </c>
      <c r="D22898" t="str">
        <v>-</v>
      </c>
      <c r="E22898" t="str">
        <v/>
      </c>
      <c r="F22898" t="str">
        <v>-</v>
      </c>
      <c r="G22898" t="str">
        <v>-</v>
      </c>
    </row>
    <row r="22899">
      <c r="B22899" t="str">
        <v>UBND Ủy ban nhân dân phường Tân An  thành phố Cần Thơ</v>
      </c>
      <c r="C22899" t="str">
        <v>-</v>
      </c>
      <c r="D22899" t="str">
        <v>-</v>
      </c>
      <c r="E22899" t="str">
        <v>-</v>
      </c>
      <c r="F22899" t="str">
        <v>-</v>
      </c>
      <c r="G22899" t="str">
        <v>-</v>
      </c>
    </row>
    <row r="22900">
      <c r="B22900" t="str">
        <v>Công an phường An Lạc  thành phố Cần Thơ</v>
      </c>
      <c r="C22900" t="str">
        <v>-</v>
      </c>
      <c r="D22900" t="str">
        <v>-</v>
      </c>
      <c r="E22900" t="str">
        <v/>
      </c>
      <c r="F22900" t="str">
        <v>-</v>
      </c>
      <c r="G22900" t="str">
        <v>-</v>
      </c>
    </row>
    <row r="22901">
      <c r="B22901" t="str">
        <v>UBND Ủy ban nhân dân phường An Lạc  thành phố Cần Thơ</v>
      </c>
      <c r="C22901" t="str">
        <v>-</v>
      </c>
      <c r="D22901" t="str">
        <v>-</v>
      </c>
      <c r="E22901" t="str">
        <v>-</v>
      </c>
      <c r="F22901" t="str">
        <v>-</v>
      </c>
      <c r="G22901" t="str">
        <v>-</v>
      </c>
    </row>
    <row r="22902">
      <c r="B22902" t="str">
        <v>Công an phường An Phú  thành phố Cần Thơ</v>
      </c>
      <c r="C22902" t="str">
        <v>-</v>
      </c>
      <c r="D22902" t="str">
        <v>-</v>
      </c>
      <c r="E22902" t="str">
        <v/>
      </c>
      <c r="F22902" t="str">
        <v>-</v>
      </c>
      <c r="G22902" t="str">
        <v>-</v>
      </c>
    </row>
    <row r="22903">
      <c r="B22903" t="str">
        <v>UBND Ủy ban nhân dân phường An Phú  thành phố Cần Thơ</v>
      </c>
      <c r="C22903" t="str">
        <v>-</v>
      </c>
      <c r="D22903" t="str">
        <v>-</v>
      </c>
      <c r="E22903" t="str">
        <v>-</v>
      </c>
      <c r="F22903" t="str">
        <v>-</v>
      </c>
      <c r="G22903" t="str">
        <v>-</v>
      </c>
    </row>
    <row r="22904">
      <c r="B22904" t="str">
        <v>Công an phường Xuân Khánh  thành phố Cần Thơ</v>
      </c>
      <c r="C22904" t="str">
        <v>-</v>
      </c>
      <c r="D22904" t="str">
        <v>-</v>
      </c>
      <c r="E22904" t="str">
        <v/>
      </c>
      <c r="F22904" t="str">
        <v>-</v>
      </c>
      <c r="G22904" t="str">
        <v>-</v>
      </c>
    </row>
    <row r="22905">
      <c r="B22905" t="str">
        <v>UBND Ủy ban nhân dân phường Xuân Khánh  thành phố Cần Thơ</v>
      </c>
      <c r="C22905" t="str">
        <v>-</v>
      </c>
      <c r="D22905" t="str">
        <v>-</v>
      </c>
      <c r="E22905" t="str">
        <v>-</v>
      </c>
      <c r="F22905" t="str">
        <v>-</v>
      </c>
      <c r="G22905" t="str">
        <v>-</v>
      </c>
    </row>
    <row r="22906">
      <c r="B22906" t="str">
        <v>Công an phường Hưng Lợi  thành phố Cần Thơ</v>
      </c>
      <c r="C22906" t="str">
        <v>-</v>
      </c>
      <c r="D22906" t="str">
        <v>-</v>
      </c>
      <c r="E22906" t="str">
        <v/>
      </c>
      <c r="F22906" t="str">
        <v>-</v>
      </c>
      <c r="G22906" t="str">
        <v>-</v>
      </c>
    </row>
    <row r="22907">
      <c r="B22907" t="str">
        <v>UBND Ủy ban nhân dân phường Hưng Lợi  thành phố Cần Thơ</v>
      </c>
      <c r="C22907" t="str">
        <v>-</v>
      </c>
      <c r="D22907" t="str">
        <v>-</v>
      </c>
      <c r="E22907" t="str">
        <v>-</v>
      </c>
      <c r="F22907" t="str">
        <v>-</v>
      </c>
      <c r="G22907" t="str">
        <v>-</v>
      </c>
    </row>
    <row r="22908">
      <c r="B22908" t="str">
        <v>Công an phường An Khánh  thành phố Cần Thơ</v>
      </c>
      <c r="C22908" t="str">
        <v>-</v>
      </c>
      <c r="D22908" t="str">
        <v>-</v>
      </c>
      <c r="E22908" t="str">
        <v/>
      </c>
      <c r="F22908" t="str">
        <v>-</v>
      </c>
      <c r="G22908" t="str">
        <v>-</v>
      </c>
    </row>
    <row r="22909">
      <c r="B22909" t="str">
        <v>UBND Ủy ban nhân dân phường An Khánh  thành phố Cần Thơ</v>
      </c>
      <c r="C22909" t="str">
        <v>-</v>
      </c>
      <c r="D22909" t="str">
        <v>-</v>
      </c>
      <c r="E22909" t="str">
        <v>-</v>
      </c>
      <c r="F22909" t="str">
        <v>-</v>
      </c>
      <c r="G22909" t="str">
        <v>-</v>
      </c>
    </row>
    <row r="22910">
      <c r="B22910" t="str">
        <v>Công an phường An Bình  thành phố Cần Thơ</v>
      </c>
      <c r="C22910" t="str">
        <v>-</v>
      </c>
      <c r="D22910" t="str">
        <v>-</v>
      </c>
      <c r="E22910" t="str">
        <v/>
      </c>
      <c r="F22910" t="str">
        <v>-</v>
      </c>
      <c r="G22910" t="str">
        <v>-</v>
      </c>
    </row>
    <row r="22911">
      <c r="B22911" t="str">
        <v>UBND Ủy ban nhân dân phường An Bình  thành phố Cần Thơ</v>
      </c>
      <c r="C22911" t="str">
        <v>-</v>
      </c>
      <c r="D22911" t="str">
        <v>-</v>
      </c>
      <c r="E22911" t="str">
        <v>-</v>
      </c>
      <c r="F22911" t="str">
        <v>-</v>
      </c>
      <c r="G22911" t="str">
        <v>-</v>
      </c>
    </row>
    <row r="22912">
      <c r="B22912" t="str">
        <v>Công an phường Châu Văn Liêm  thành phố Cần Thơ</v>
      </c>
      <c r="C22912" t="str">
        <v>-</v>
      </c>
      <c r="D22912" t="str">
        <v>-</v>
      </c>
      <c r="E22912" t="str">
        <v/>
      </c>
      <c r="F22912" t="str">
        <v>-</v>
      </c>
      <c r="G22912" t="str">
        <v>-</v>
      </c>
    </row>
    <row r="22913">
      <c r="B22913" t="str">
        <v>UBND Ủy ban nhân dân phường Châu Văn Liêm  thành phố Cần Thơ</v>
      </c>
      <c r="C22913" t="str">
        <v>-</v>
      </c>
      <c r="D22913" t="str">
        <v>-</v>
      </c>
      <c r="E22913" t="str">
        <v>-</v>
      </c>
      <c r="F22913" t="str">
        <v>-</v>
      </c>
      <c r="G22913" t="str">
        <v>-</v>
      </c>
    </row>
    <row r="22914">
      <c r="B22914" t="str">
        <v>Công an phường Thới Hòa  thành phố Cần Thơ</v>
      </c>
      <c r="C22914" t="str">
        <v>-</v>
      </c>
      <c r="D22914" t="str">
        <v>-</v>
      </c>
      <c r="E22914" t="str">
        <v/>
      </c>
      <c r="F22914" t="str">
        <v>-</v>
      </c>
      <c r="G22914" t="str">
        <v>-</v>
      </c>
    </row>
    <row r="22915">
      <c r="B22915" t="str">
        <v>UBND Ủy ban nhân dân phường Thới Hòa  thành phố Cần Thơ</v>
      </c>
      <c r="C22915" t="str">
        <v>-</v>
      </c>
      <c r="D22915" t="str">
        <v>-</v>
      </c>
      <c r="E22915" t="str">
        <v>-</v>
      </c>
      <c r="F22915" t="str">
        <v>-</v>
      </c>
      <c r="G22915" t="str">
        <v>-</v>
      </c>
    </row>
    <row r="22916">
      <c r="B22916" t="str">
        <v>Công an phường Thới Long  thành phố Cần Thơ</v>
      </c>
      <c r="C22916" t="str">
        <v>-</v>
      </c>
      <c r="D22916" t="str">
        <v>-</v>
      </c>
      <c r="E22916" t="str">
        <v/>
      </c>
      <c r="F22916" t="str">
        <v>-</v>
      </c>
      <c r="G22916" t="str">
        <v>-</v>
      </c>
    </row>
    <row r="22917">
      <c r="B22917" t="str">
        <v>UBND Ủy ban nhân dân phường Thới Long  thành phố Cần Thơ</v>
      </c>
      <c r="C22917" t="str">
        <v>-</v>
      </c>
      <c r="D22917" t="str">
        <v>-</v>
      </c>
      <c r="E22917" t="str">
        <v>-</v>
      </c>
      <c r="F22917" t="str">
        <v>-</v>
      </c>
      <c r="G22917" t="str">
        <v>-</v>
      </c>
    </row>
    <row r="22918">
      <c r="B22918" t="str">
        <v>Công an phường Long Hưng  thành phố Cần Thơ</v>
      </c>
      <c r="C22918" t="str">
        <v>-</v>
      </c>
      <c r="D22918" t="str">
        <v>-</v>
      </c>
      <c r="E22918" t="str">
        <v/>
      </c>
      <c r="F22918" t="str">
        <v>-</v>
      </c>
      <c r="G22918" t="str">
        <v>-</v>
      </c>
    </row>
    <row r="22919">
      <c r="B22919" t="str">
        <v>UBND Ủy ban nhân dân phường Long Hưng  thành phố Cần Thơ</v>
      </c>
      <c r="C22919" t="str">
        <v>-</v>
      </c>
      <c r="D22919" t="str">
        <v>-</v>
      </c>
      <c r="E22919" t="str">
        <v>-</v>
      </c>
      <c r="F22919" t="str">
        <v>-</v>
      </c>
      <c r="G22919" t="str">
        <v>-</v>
      </c>
    </row>
    <row r="22920">
      <c r="B22920" t="str">
        <v>Công an phường Thới An  thành phố Cần Thơ</v>
      </c>
      <c r="C22920" t="str">
        <v>-</v>
      </c>
      <c r="D22920" t="str">
        <v>-</v>
      </c>
      <c r="E22920" t="str">
        <v/>
      </c>
      <c r="F22920" t="str">
        <v>-</v>
      </c>
      <c r="G22920" t="str">
        <v>-</v>
      </c>
    </row>
    <row r="22921">
      <c r="B22921" t="str">
        <v>UBND Ủy ban nhân dân phường Thới An  thành phố Cần Thơ</v>
      </c>
      <c r="C22921" t="str">
        <v>-</v>
      </c>
      <c r="D22921" t="str">
        <v>-</v>
      </c>
      <c r="E22921" t="str">
        <v>-</v>
      </c>
      <c r="F22921" t="str">
        <v>-</v>
      </c>
      <c r="G22921" t="str">
        <v>-</v>
      </c>
    </row>
    <row r="22922">
      <c r="B22922" t="str">
        <v>Công an phường Phước Thới  thành phố Cần Thơ</v>
      </c>
      <c r="C22922" t="str">
        <v>-</v>
      </c>
      <c r="D22922" t="str">
        <v>-</v>
      </c>
      <c r="E22922" t="str">
        <v/>
      </c>
      <c r="F22922" t="str">
        <v>-</v>
      </c>
      <c r="G22922" t="str">
        <v>-</v>
      </c>
    </row>
    <row r="22923">
      <c r="B22923" t="str">
        <v>UBND Ủy ban nhân dân phường Phước Thới  thành phố Cần Thơ</v>
      </c>
      <c r="C22923" t="str">
        <v>-</v>
      </c>
      <c r="D22923" t="str">
        <v>-</v>
      </c>
      <c r="E22923" t="str">
        <v>-</v>
      </c>
      <c r="F22923" t="str">
        <v>-</v>
      </c>
      <c r="G22923" t="str">
        <v>-</v>
      </c>
    </row>
    <row r="22924">
      <c r="B22924" t="str">
        <v>Công an phường Trường Lạc  thành phố Cần Thơ</v>
      </c>
      <c r="C22924" t="str">
        <v>-</v>
      </c>
      <c r="D22924" t="str">
        <v>-</v>
      </c>
      <c r="E22924" t="str">
        <v/>
      </c>
      <c r="F22924" t="str">
        <v>-</v>
      </c>
      <c r="G22924" t="str">
        <v>-</v>
      </c>
    </row>
    <row r="22925">
      <c r="B22925" t="str">
        <v>UBND Ủy ban nhân dân phường Trường Lạc  thành phố Cần Thơ</v>
      </c>
      <c r="C22925" t="str">
        <v>-</v>
      </c>
      <c r="D22925" t="str">
        <v>-</v>
      </c>
      <c r="E22925" t="str">
        <v>-</v>
      </c>
      <c r="F22925" t="str">
        <v>-</v>
      </c>
      <c r="G22925" t="str">
        <v>-</v>
      </c>
    </row>
    <row r="22926">
      <c r="B22926" t="str">
        <v>Công an phường Bình Thủy  thành phố Cần Thơ</v>
      </c>
      <c r="C22926" t="str">
        <v>-</v>
      </c>
      <c r="D22926" t="str">
        <v>-</v>
      </c>
      <c r="E22926" t="str">
        <v/>
      </c>
      <c r="F22926" t="str">
        <v>-</v>
      </c>
      <c r="G22926" t="str">
        <v>-</v>
      </c>
    </row>
    <row r="22927">
      <c r="B22927" t="str">
        <v>UBND Ủy ban nhân dân phường Bình Thủy  thành phố Cần Thơ</v>
      </c>
      <c r="C22927" t="str">
        <v>-</v>
      </c>
      <c r="D22927" t="str">
        <v>-</v>
      </c>
      <c r="E22927" t="str">
        <v>-</v>
      </c>
      <c r="F22927" t="str">
        <v>-</v>
      </c>
      <c r="G22927" t="str">
        <v>-</v>
      </c>
    </row>
    <row r="22928">
      <c r="B22928" t="str">
        <v>Công an phường Trà An  thành phố Cần Thơ</v>
      </c>
      <c r="C22928" t="str">
        <v>-</v>
      </c>
      <c r="D22928" t="str">
        <v>-</v>
      </c>
      <c r="E22928" t="str">
        <v/>
      </c>
      <c r="F22928" t="str">
        <v>-</v>
      </c>
      <c r="G22928" t="str">
        <v>-</v>
      </c>
    </row>
    <row r="22929">
      <c r="B22929" t="str">
        <v>UBND Ủy ban nhân dân phường Trà An  thành phố Cần Thơ</v>
      </c>
      <c r="C22929" t="str">
        <v>-</v>
      </c>
      <c r="D22929" t="str">
        <v>-</v>
      </c>
      <c r="E22929" t="str">
        <v>-</v>
      </c>
      <c r="F22929" t="str">
        <v>-</v>
      </c>
      <c r="G22929" t="str">
        <v>-</v>
      </c>
    </row>
    <row r="22930">
      <c r="B22930" t="str">
        <v>Công an phường Trà Nóc  thành phố Cần Thơ</v>
      </c>
      <c r="C22930" t="str">
        <v>-</v>
      </c>
      <c r="D22930" t="str">
        <v>-</v>
      </c>
      <c r="E22930" t="str">
        <v/>
      </c>
      <c r="F22930" t="str">
        <v>-</v>
      </c>
      <c r="G22930" t="str">
        <v>-</v>
      </c>
    </row>
    <row r="22931">
      <c r="B22931" t="str">
        <v>UBND Ủy ban nhân dân phường Trà Nóc  thành phố Cần Thơ</v>
      </c>
      <c r="C22931" t="str">
        <v>-</v>
      </c>
      <c r="D22931" t="str">
        <v>-</v>
      </c>
      <c r="E22931" t="str">
        <v>-</v>
      </c>
      <c r="F22931" t="str">
        <v>-</v>
      </c>
      <c r="G22931" t="str">
        <v>-</v>
      </c>
    </row>
    <row r="22932">
      <c r="B22932" t="str">
        <v>Công an phường Thới An Đông  thành phố Cần Thơ</v>
      </c>
      <c r="C22932" t="str">
        <v>-</v>
      </c>
      <c r="D22932" t="str">
        <v>-</v>
      </c>
      <c r="E22932" t="str">
        <v/>
      </c>
      <c r="F22932" t="str">
        <v>-</v>
      </c>
      <c r="G22932" t="str">
        <v>-</v>
      </c>
    </row>
    <row r="22933">
      <c r="B22933" t="str">
        <v>UBND Ủy ban nhân dân phường Thới An Đông  thành phố Cần Thơ</v>
      </c>
      <c r="C22933" t="str">
        <v>-</v>
      </c>
      <c r="D22933" t="str">
        <v>-</v>
      </c>
      <c r="E22933" t="str">
        <v>-</v>
      </c>
      <c r="F22933" t="str">
        <v>-</v>
      </c>
      <c r="G22933" t="str">
        <v>-</v>
      </c>
    </row>
    <row r="22934">
      <c r="B22934" t="str">
        <v>Công an phường An Thới  thành phố Cần Thơ</v>
      </c>
      <c r="C22934" t="str">
        <v>-</v>
      </c>
      <c r="D22934" t="str">
        <v>-</v>
      </c>
      <c r="E22934" t="str">
        <v/>
      </c>
      <c r="F22934" t="str">
        <v>-</v>
      </c>
      <c r="G22934" t="str">
        <v>-</v>
      </c>
    </row>
    <row r="22935">
      <c r="B22935" t="str">
        <v>UBND Ủy ban nhân dân phường An Thới  thành phố Cần Thơ</v>
      </c>
      <c r="C22935" t="str">
        <v>-</v>
      </c>
      <c r="D22935" t="str">
        <v>-</v>
      </c>
      <c r="E22935" t="str">
        <v>-</v>
      </c>
      <c r="F22935" t="str">
        <v>-</v>
      </c>
      <c r="G22935" t="str">
        <v>-</v>
      </c>
    </row>
    <row r="22936">
      <c r="B22936" t="str">
        <v>Công an phường Bùi Hữu Nghĩa  thành phố Cần Thơ</v>
      </c>
      <c r="C22936" t="str">
        <v>-</v>
      </c>
      <c r="D22936" t="str">
        <v>-</v>
      </c>
      <c r="E22936" t="str">
        <v/>
      </c>
      <c r="F22936" t="str">
        <v>-</v>
      </c>
      <c r="G22936" t="str">
        <v>-</v>
      </c>
    </row>
    <row r="22937">
      <c r="B22937" t="str">
        <v>UBND Ủy ban nhân dân phường Bùi Hữu Nghĩa  thành phố Cần Thơ</v>
      </c>
      <c r="C22937" t="str">
        <v>-</v>
      </c>
      <c r="D22937" t="str">
        <v>-</v>
      </c>
      <c r="E22937" t="str">
        <v>-</v>
      </c>
      <c r="F22937" t="str">
        <v>-</v>
      </c>
      <c r="G22937" t="str">
        <v>-</v>
      </c>
    </row>
    <row r="22938">
      <c r="B22938" t="str">
        <v>Công an phường Long Hòa  thành phố Cần Thơ</v>
      </c>
      <c r="C22938" t="str">
        <v>-</v>
      </c>
      <c r="D22938" t="str">
        <v>-</v>
      </c>
      <c r="E22938" t="str">
        <v/>
      </c>
      <c r="F22938" t="str">
        <v>-</v>
      </c>
      <c r="G22938" t="str">
        <v>-</v>
      </c>
    </row>
    <row r="22939">
      <c r="B22939" t="str">
        <v>UBND Ủy ban nhân dân phường Long Hòa  thành phố Cần Thơ</v>
      </c>
      <c r="C22939" t="str">
        <v>-</v>
      </c>
      <c r="D22939" t="str">
        <v>-</v>
      </c>
      <c r="E22939" t="str">
        <v>-</v>
      </c>
      <c r="F22939" t="str">
        <v>-</v>
      </c>
      <c r="G22939" t="str">
        <v>-</v>
      </c>
    </row>
    <row r="22940">
      <c r="B22940" t="str">
        <v>Công an phường Long Tuyền  thành phố Cần Thơ</v>
      </c>
      <c r="C22940" t="str">
        <v>-</v>
      </c>
      <c r="D22940" t="str">
        <v>-</v>
      </c>
      <c r="E22940" t="str">
        <v/>
      </c>
      <c r="F22940" t="str">
        <v>-</v>
      </c>
      <c r="G22940" t="str">
        <v>-</v>
      </c>
    </row>
    <row r="22941">
      <c r="B22941" t="str">
        <v>UBND Ủy ban nhân dân phường Long Tuyền  thành phố Cần Thơ</v>
      </c>
      <c r="C22941" t="str">
        <v>-</v>
      </c>
      <c r="D22941" t="str">
        <v>-</v>
      </c>
      <c r="E22941" t="str">
        <v>-</v>
      </c>
      <c r="F22941" t="str">
        <v>-</v>
      </c>
      <c r="G22941" t="str">
        <v>-</v>
      </c>
    </row>
    <row r="22942">
      <c r="B22942" t="str">
        <v>Công an phường Lê Bình  thành phố Cần Thơ</v>
      </c>
      <c r="C22942" t="str">
        <v>-</v>
      </c>
      <c r="D22942" t="str">
        <v>-</v>
      </c>
      <c r="E22942" t="str">
        <v/>
      </c>
      <c r="F22942" t="str">
        <v>-</v>
      </c>
      <c r="G22942" t="str">
        <v>-</v>
      </c>
    </row>
    <row r="22943">
      <c r="B22943" t="str">
        <v>UBND Ủy ban nhân dân phường Lê Bình  thành phố Cần Thơ</v>
      </c>
      <c r="C22943" t="str">
        <v>-</v>
      </c>
      <c r="D22943" t="str">
        <v>-</v>
      </c>
      <c r="E22943" t="str">
        <v>-</v>
      </c>
      <c r="F22943" t="str">
        <v>-</v>
      </c>
      <c r="G22943" t="str">
        <v>-</v>
      </c>
    </row>
    <row r="22944">
      <c r="B22944" t="str">
        <v>Công an phường Hưng Phú  thành phố Cần Thơ</v>
      </c>
      <c r="C22944" t="str">
        <v>-</v>
      </c>
      <c r="D22944" t="str">
        <v>-</v>
      </c>
      <c r="E22944" t="str">
        <v/>
      </c>
      <c r="F22944" t="str">
        <v>-</v>
      </c>
      <c r="G22944" t="str">
        <v>-</v>
      </c>
    </row>
    <row r="22945">
      <c r="B22945" t="str">
        <v>UBND Ủy ban nhân dân phường Hưng Phú  thành phố Cần Thơ</v>
      </c>
      <c r="C22945" t="str">
        <v>-</v>
      </c>
      <c r="D22945" t="str">
        <v>-</v>
      </c>
      <c r="E22945" t="str">
        <v>-</v>
      </c>
      <c r="F22945" t="str">
        <v>-</v>
      </c>
      <c r="G22945" t="str">
        <v>-</v>
      </c>
    </row>
    <row r="22946">
      <c r="B22946" t="str">
        <v>Công an phường Hưng Thạnh  thành phố Cần Thơ</v>
      </c>
      <c r="C22946" t="str">
        <v>-</v>
      </c>
      <c r="D22946" t="str">
        <v>-</v>
      </c>
      <c r="E22946" t="str">
        <v/>
      </c>
      <c r="F22946" t="str">
        <v>-</v>
      </c>
      <c r="G22946" t="str">
        <v>-</v>
      </c>
    </row>
    <row r="22947">
      <c r="B22947" t="str">
        <v>UBND Ủy ban nhân dân phường Hưng Thạnh  thành phố Cần Thơ</v>
      </c>
      <c r="C22947" t="str">
        <v>-</v>
      </c>
      <c r="D22947" t="str">
        <v>-</v>
      </c>
      <c r="E22947" t="str">
        <v>-</v>
      </c>
      <c r="F22947" t="str">
        <v>-</v>
      </c>
      <c r="G22947" t="str">
        <v>-</v>
      </c>
    </row>
    <row r="22948">
      <c r="B22948" t="str">
        <v>Công an phường Ba Láng  thành phố Cần Thơ</v>
      </c>
      <c r="C22948" t="str">
        <v>-</v>
      </c>
      <c r="D22948" t="str">
        <v>-</v>
      </c>
      <c r="E22948" t="str">
        <v/>
      </c>
      <c r="F22948" t="str">
        <v>-</v>
      </c>
      <c r="G22948" t="str">
        <v>-</v>
      </c>
    </row>
    <row r="22949">
      <c r="B22949" t="str">
        <v>UBND Ủy ban nhân dân phường Ba Láng  thành phố Cần Thơ</v>
      </c>
      <c r="C22949" t="str">
        <v>-</v>
      </c>
      <c r="D22949" t="str">
        <v>-</v>
      </c>
      <c r="E22949" t="str">
        <v>-</v>
      </c>
      <c r="F22949" t="str">
        <v>-</v>
      </c>
      <c r="G22949" t="str">
        <v>-</v>
      </c>
    </row>
    <row r="22950">
      <c r="B22950" t="str">
        <v>Công an phường Thường Thạnh  thành phố Cần Thơ</v>
      </c>
      <c r="C22950" t="str">
        <v>-</v>
      </c>
      <c r="D22950" t="str">
        <v>-</v>
      </c>
      <c r="E22950" t="str">
        <v/>
      </c>
      <c r="F22950" t="str">
        <v>-</v>
      </c>
      <c r="G22950" t="str">
        <v>-</v>
      </c>
    </row>
    <row r="22951">
      <c r="B22951" t="str">
        <v>UBND Ủy ban nhân dân phường Thường Thạnh  thành phố Cần Thơ</v>
      </c>
      <c r="C22951" t="str">
        <v>-</v>
      </c>
      <c r="D22951" t="str">
        <v>-</v>
      </c>
      <c r="E22951" t="str">
        <v>-</v>
      </c>
      <c r="F22951" t="str">
        <v>-</v>
      </c>
      <c r="G22951" t="str">
        <v>-</v>
      </c>
    </row>
    <row r="22952">
      <c r="B22952" t="str">
        <v>Công an phường Phú Thứ  thành phố Cần Thơ</v>
      </c>
      <c r="C22952" t="str">
        <v>-</v>
      </c>
      <c r="D22952" t="str">
        <v>-</v>
      </c>
      <c r="E22952" t="str">
        <v/>
      </c>
      <c r="F22952" t="str">
        <v>-</v>
      </c>
      <c r="G22952" t="str">
        <v>-</v>
      </c>
    </row>
    <row r="22953">
      <c r="B22953" t="str">
        <v>UBND Ủy ban nhân dân phường Phú Thứ  thành phố Cần Thơ</v>
      </c>
      <c r="C22953" t="str">
        <v>-</v>
      </c>
      <c r="D22953" t="str">
        <v>-</v>
      </c>
      <c r="E22953" t="str">
        <v>-</v>
      </c>
      <c r="F22953" t="str">
        <v>-</v>
      </c>
      <c r="G22953" t="str">
        <v>-</v>
      </c>
    </row>
    <row r="22954">
      <c r="B22954" t="str">
        <v>Công an phường Tân Phú  thành phố Cần Thơ</v>
      </c>
      <c r="C22954" t="str">
        <v>-</v>
      </c>
      <c r="D22954" t="str">
        <v>-</v>
      </c>
      <c r="E22954" t="str">
        <v/>
      </c>
      <c r="F22954" t="str">
        <v>-</v>
      </c>
      <c r="G22954" t="str">
        <v>-</v>
      </c>
    </row>
    <row r="22955">
      <c r="B22955" t="str">
        <v>UBND Ủy ban nhân dân phường Tân Phú  thành phố Cần Thơ</v>
      </c>
      <c r="C22955" t="str">
        <v>-</v>
      </c>
      <c r="D22955" t="str">
        <v>-</v>
      </c>
      <c r="E22955" t="str">
        <v>-</v>
      </c>
      <c r="F22955" t="str">
        <v>-</v>
      </c>
      <c r="G22955" t="str">
        <v>-</v>
      </c>
    </row>
    <row r="22956">
      <c r="B22956" t="str">
        <v>Công an phường Thốt Nốt  thành phố Cần Thơ</v>
      </c>
      <c r="C22956" t="str">
        <v>-</v>
      </c>
      <c r="D22956" t="str">
        <v>-</v>
      </c>
      <c r="E22956" t="str">
        <v/>
      </c>
      <c r="F22956" t="str">
        <v>-</v>
      </c>
      <c r="G22956" t="str">
        <v>-</v>
      </c>
    </row>
    <row r="22957">
      <c r="B22957" t="str">
        <v>UBND Ủy ban nhân dân phường Thốt Nốt  thành phố Cần Thơ</v>
      </c>
      <c r="C22957" t="str">
        <v>-</v>
      </c>
      <c r="D22957" t="str">
        <v>-</v>
      </c>
      <c r="E22957" t="str">
        <v>-</v>
      </c>
      <c r="F22957" t="str">
        <v>-</v>
      </c>
      <c r="G22957" t="str">
        <v>-</v>
      </c>
    </row>
    <row r="22958">
      <c r="B22958" t="str">
        <v>Công an phường Thới Thuận  thành phố Cần Thơ</v>
      </c>
      <c r="C22958" t="str">
        <v>-</v>
      </c>
      <c r="D22958" t="str">
        <v>-</v>
      </c>
      <c r="E22958" t="str">
        <v/>
      </c>
      <c r="F22958" t="str">
        <v>-</v>
      </c>
      <c r="G22958" t="str">
        <v>-</v>
      </c>
    </row>
    <row r="22959">
      <c r="B22959" t="str">
        <v>UBND Ủy ban nhân dân phường Thới Thuận  thành phố Cần Thơ</v>
      </c>
      <c r="C22959" t="str">
        <v>-</v>
      </c>
      <c r="D22959" t="str">
        <v>-</v>
      </c>
      <c r="E22959" t="str">
        <v>-</v>
      </c>
      <c r="F22959" t="str">
        <v>-</v>
      </c>
      <c r="G22959" t="str">
        <v>-</v>
      </c>
    </row>
    <row r="22960">
      <c r="B22960" t="str">
        <v>Công an phường Thuận An  thành phố Cần Thơ</v>
      </c>
      <c r="C22960" t="str">
        <v>-</v>
      </c>
      <c r="D22960" t="str">
        <v>-</v>
      </c>
      <c r="E22960" t="str">
        <v/>
      </c>
      <c r="F22960" t="str">
        <v>-</v>
      </c>
      <c r="G22960" t="str">
        <v>-</v>
      </c>
    </row>
    <row r="22961">
      <c r="B22961" t="str">
        <v>UBND Ủy ban nhân dân phường Thuận An  thành phố Cần Thơ</v>
      </c>
      <c r="C22961" t="str">
        <v>-</v>
      </c>
      <c r="D22961" t="str">
        <v>-</v>
      </c>
      <c r="E22961" t="str">
        <v>-</v>
      </c>
      <c r="F22961" t="str">
        <v>-</v>
      </c>
      <c r="G22961" t="str">
        <v>-</v>
      </c>
    </row>
    <row r="22962">
      <c r="B22962" t="str">
        <v>Công an phường Tân Lộc  thành phố Cần Thơ</v>
      </c>
      <c r="C22962" t="str">
        <v>-</v>
      </c>
      <c r="D22962" t="str">
        <v>-</v>
      </c>
      <c r="E22962" t="str">
        <v/>
      </c>
      <c r="F22962" t="str">
        <v>-</v>
      </c>
      <c r="G22962" t="str">
        <v>-</v>
      </c>
    </row>
    <row r="22963">
      <c r="B22963" t="str">
        <v>UBND Ủy ban nhân dân phường Tân Lộc  thành phố Cần Thơ</v>
      </c>
      <c r="C22963" t="str">
        <v>-</v>
      </c>
      <c r="D22963" t="str">
        <v>-</v>
      </c>
      <c r="E22963" t="str">
        <v>-</v>
      </c>
      <c r="F22963" t="str">
        <v>-</v>
      </c>
      <c r="G22963" t="str">
        <v>-</v>
      </c>
    </row>
    <row r="22964">
      <c r="B22964" t="str">
        <v>Công an phường Trung Nhứt  thành phố Cần Thơ</v>
      </c>
      <c r="C22964" t="str">
        <v>-</v>
      </c>
      <c r="D22964" t="str">
        <v>-</v>
      </c>
      <c r="E22964" t="str">
        <v/>
      </c>
      <c r="F22964" t="str">
        <v>-</v>
      </c>
      <c r="G22964" t="str">
        <v>-</v>
      </c>
    </row>
    <row r="22965">
      <c r="B22965" t="str">
        <v>UBND Ủy ban nhân dân phường Trung Nhứt  thành phố Cần Thơ</v>
      </c>
      <c r="C22965" t="str">
        <v>-</v>
      </c>
      <c r="D22965" t="str">
        <v>-</v>
      </c>
      <c r="E22965" t="str">
        <v>-</v>
      </c>
      <c r="F22965" t="str">
        <v>-</v>
      </c>
      <c r="G22965" t="str">
        <v>-</v>
      </c>
    </row>
    <row r="22966">
      <c r="B22966" t="str">
        <v>Công an phường Thạnh Hoà  thành phố Cần Thơ</v>
      </c>
      <c r="C22966" t="str">
        <v>-</v>
      </c>
      <c r="D22966" t="str">
        <v>-</v>
      </c>
      <c r="E22966" t="str">
        <v/>
      </c>
      <c r="F22966" t="str">
        <v>-</v>
      </c>
      <c r="G22966" t="str">
        <v>-</v>
      </c>
    </row>
    <row r="22967">
      <c r="B22967" t="str">
        <v>UBND Ủy ban nhân dân phường Thạnh Hoà  thành phố Cần Thơ</v>
      </c>
      <c r="C22967" t="str">
        <v>-</v>
      </c>
      <c r="D22967" t="str">
        <v>-</v>
      </c>
      <c r="E22967" t="str">
        <v>-</v>
      </c>
      <c r="F22967" t="str">
        <v>-</v>
      </c>
      <c r="G22967" t="str">
        <v>-</v>
      </c>
    </row>
    <row r="22968">
      <c r="B22968" t="str">
        <v>Công an phường Trung Kiên  thành phố Cần Thơ</v>
      </c>
      <c r="C22968" t="str">
        <v>-</v>
      </c>
      <c r="D22968" t="str">
        <v>-</v>
      </c>
      <c r="E22968" t="str">
        <v/>
      </c>
      <c r="F22968" t="str">
        <v>-</v>
      </c>
      <c r="G22968" t="str">
        <v>-</v>
      </c>
    </row>
    <row r="22969">
      <c r="B22969" t="str">
        <v>UBND Ủy ban nhân dân phường Trung Kiên  thành phố Cần Thơ</v>
      </c>
      <c r="C22969" t="str">
        <v>-</v>
      </c>
      <c r="D22969" t="str">
        <v>-</v>
      </c>
      <c r="E22969" t="str">
        <v>-</v>
      </c>
      <c r="F22969" t="str">
        <v>-</v>
      </c>
      <c r="G22969" t="str">
        <v>-</v>
      </c>
    </row>
    <row r="22970">
      <c r="B22970" t="str">
        <v>Công an phường Tân Hưng  thành phố Cần Thơ</v>
      </c>
      <c r="C22970" t="str">
        <v>-</v>
      </c>
      <c r="D22970" t="str">
        <v>-</v>
      </c>
      <c r="E22970" t="str">
        <v/>
      </c>
      <c r="F22970" t="str">
        <v>-</v>
      </c>
      <c r="G22970" t="str">
        <v>-</v>
      </c>
    </row>
    <row r="22971">
      <c r="B22971" t="str">
        <v>UBND Ủy ban nhân dân phường Tân Hưng  thành phố Cần Thơ</v>
      </c>
      <c r="C22971" t="str">
        <v>-</v>
      </c>
      <c r="D22971" t="str">
        <v>-</v>
      </c>
      <c r="E22971" t="str">
        <v>-</v>
      </c>
      <c r="F22971" t="str">
        <v>-</v>
      </c>
      <c r="G22971" t="str">
        <v>-</v>
      </c>
    </row>
    <row r="22972">
      <c r="B22972" t="str">
        <v>Công an phường Thuận Hưng  thành phố Cần Thơ</v>
      </c>
      <c r="C22972" t="str">
        <v>-</v>
      </c>
      <c r="D22972" t="str">
        <v>-</v>
      </c>
      <c r="E22972" t="str">
        <v/>
      </c>
      <c r="F22972" t="str">
        <v>-</v>
      </c>
      <c r="G22972" t="str">
        <v>-</v>
      </c>
    </row>
    <row r="22973">
      <c r="B22973" t="str">
        <v>UBND Ủy ban nhân dân phường Thuận Hưng  thành phố Cần Thơ</v>
      </c>
      <c r="C22973" t="str">
        <v>-</v>
      </c>
      <c r="D22973" t="str">
        <v>-</v>
      </c>
      <c r="E22973" t="str">
        <v>-</v>
      </c>
      <c r="F22973" t="str">
        <v>-</v>
      </c>
      <c r="G22973" t="str">
        <v>-</v>
      </c>
    </row>
    <row r="22974">
      <c r="B22974" t="str">
        <v>Công an xã Vĩnh Bình  thành phố Cần Thơ</v>
      </c>
      <c r="C22974" t="str">
        <v>-</v>
      </c>
      <c r="D22974" t="str">
        <v>-</v>
      </c>
      <c r="E22974" t="str">
        <v/>
      </c>
      <c r="F22974" t="str">
        <v>-</v>
      </c>
      <c r="G22974" t="str">
        <v>-</v>
      </c>
    </row>
    <row r="22975">
      <c r="B22975" t="str">
        <v>UBND Ủy ban nhân dân xã Vĩnh Bình  thành phố Cần Thơ</v>
      </c>
      <c r="C22975" t="str">
        <v>-</v>
      </c>
      <c r="D22975" t="str">
        <v>-</v>
      </c>
      <c r="E22975" t="str">
        <v>-</v>
      </c>
      <c r="F22975" t="str">
        <v>-</v>
      </c>
      <c r="G22975" t="str">
        <v>-</v>
      </c>
    </row>
    <row r="22976">
      <c r="B22976" t="str">
        <v>Công an xã Thạnh Mỹ  thành phố Cần Thơ</v>
      </c>
      <c r="C22976" t="str">
        <v>-</v>
      </c>
      <c r="D22976" t="str">
        <v>-</v>
      </c>
      <c r="E22976" t="str">
        <v/>
      </c>
      <c r="F22976" t="str">
        <v>-</v>
      </c>
      <c r="G22976" t="str">
        <v>-</v>
      </c>
    </row>
    <row r="22977">
      <c r="B22977" t="str">
        <v>UBND Ủy ban nhân dân xã Thạnh Mỹ  thành phố Cần Thơ</v>
      </c>
      <c r="C22977" t="str">
        <v>-</v>
      </c>
      <c r="D22977" t="str">
        <v>-</v>
      </c>
      <c r="E22977" t="str">
        <v>-</v>
      </c>
      <c r="F22977" t="str">
        <v>-</v>
      </c>
      <c r="G22977" t="str">
        <v>-</v>
      </c>
    </row>
    <row r="22978">
      <c r="B22978" t="str">
        <v>Công an xã Vĩnh Trinh  thành phố Cần Thơ</v>
      </c>
      <c r="C22978" t="str">
        <v>-</v>
      </c>
      <c r="D22978" t="str">
        <v>-</v>
      </c>
      <c r="E22978" t="str">
        <v/>
      </c>
      <c r="F22978" t="str">
        <v>-</v>
      </c>
      <c r="G22978" t="str">
        <v>-</v>
      </c>
    </row>
    <row r="22979">
      <c r="B22979" t="str">
        <v>UBND Ủy ban nhân dân xã Vĩnh Trinh  thành phố Cần Thơ</v>
      </c>
      <c r="C22979" t="str">
        <v>-</v>
      </c>
      <c r="D22979" t="str">
        <v>-</v>
      </c>
      <c r="E22979" t="str">
        <v>-</v>
      </c>
      <c r="F22979" t="str">
        <v>-</v>
      </c>
      <c r="G22979" t="str">
        <v>-</v>
      </c>
    </row>
    <row r="22980">
      <c r="B22980" t="str">
        <v>Công an xã Thạnh An  thành phố Cần Thơ</v>
      </c>
      <c r="C22980" t="str">
        <v>-</v>
      </c>
      <c r="D22980" t="str">
        <v>-</v>
      </c>
      <c r="E22980" t="str">
        <v/>
      </c>
      <c r="F22980" t="str">
        <v>-</v>
      </c>
      <c r="G22980" t="str">
        <v>-</v>
      </c>
    </row>
    <row r="22981">
      <c r="B22981" t="str">
        <v>UBND Ủy ban nhân dân xã Thạnh An  thành phố Cần Thơ</v>
      </c>
      <c r="C22981" t="str">
        <v>-</v>
      </c>
      <c r="D22981" t="str">
        <v>-</v>
      </c>
      <c r="E22981" t="str">
        <v>-</v>
      </c>
      <c r="F22981" t="str">
        <v>-</v>
      </c>
      <c r="G22981" t="str">
        <v>-</v>
      </c>
    </row>
    <row r="22982">
      <c r="B22982" t="str">
        <v>Công an xã Thạnh Tiến  thành phố Cần Thơ</v>
      </c>
      <c r="C22982" t="str">
        <v>-</v>
      </c>
      <c r="D22982" t="str">
        <v>-</v>
      </c>
      <c r="E22982" t="str">
        <v/>
      </c>
      <c r="F22982" t="str">
        <v>-</v>
      </c>
      <c r="G22982" t="str">
        <v>-</v>
      </c>
    </row>
    <row r="22983">
      <c r="B22983" t="str">
        <v>UBND Ủy ban nhân dân xã Thạnh Tiến  thành phố Cần Thơ</v>
      </c>
      <c r="C22983" t="str">
        <v>-</v>
      </c>
      <c r="D22983" t="str">
        <v>-</v>
      </c>
      <c r="E22983" t="str">
        <v>-</v>
      </c>
      <c r="F22983" t="str">
        <v>-</v>
      </c>
      <c r="G22983" t="str">
        <v>-</v>
      </c>
    </row>
    <row r="22984">
      <c r="B22984" t="str">
        <v>Công an xã Thạnh Thắng  thành phố Cần Thơ</v>
      </c>
      <c r="C22984" t="str">
        <v>-</v>
      </c>
      <c r="D22984" t="str">
        <v>-</v>
      </c>
      <c r="E22984" t="str">
        <v/>
      </c>
      <c r="F22984" t="str">
        <v>-</v>
      </c>
      <c r="G22984" t="str">
        <v>-</v>
      </c>
    </row>
    <row r="22985">
      <c r="B22985" t="str">
        <v>UBND Ủy ban nhân dân xã Thạnh Thắng  thành phố Cần Thơ</v>
      </c>
      <c r="C22985" t="str">
        <v>-</v>
      </c>
      <c r="D22985" t="str">
        <v>-</v>
      </c>
      <c r="E22985" t="str">
        <v>-</v>
      </c>
      <c r="F22985" t="str">
        <v>-</v>
      </c>
      <c r="G22985" t="str">
        <v>-</v>
      </c>
    </row>
    <row r="22986">
      <c r="B22986" t="str">
        <v>Công an xã Thạnh Lợi  thành phố Cần Thơ</v>
      </c>
      <c r="C22986" t="str">
        <v>-</v>
      </c>
      <c r="D22986" t="str">
        <v>-</v>
      </c>
      <c r="E22986" t="str">
        <v/>
      </c>
      <c r="F22986" t="str">
        <v>-</v>
      </c>
      <c r="G22986" t="str">
        <v>-</v>
      </c>
    </row>
    <row r="22987">
      <c r="B22987" t="str">
        <v>UBND Ủy ban nhân dân xã Thạnh Lợi  thành phố Cần Thơ</v>
      </c>
      <c r="C22987" t="str">
        <v>-</v>
      </c>
      <c r="D22987" t="str">
        <v>-</v>
      </c>
      <c r="E22987" t="str">
        <v>-</v>
      </c>
      <c r="F22987" t="str">
        <v>-</v>
      </c>
      <c r="G22987" t="str">
        <v>-</v>
      </c>
    </row>
    <row r="22988">
      <c r="B22988" t="str">
        <v>Công an xã Thạnh Qưới  thành phố Cần Thơ</v>
      </c>
      <c r="C22988" t="str">
        <v>-</v>
      </c>
      <c r="D22988" t="str">
        <v>-</v>
      </c>
      <c r="E22988" t="str">
        <v/>
      </c>
      <c r="F22988" t="str">
        <v>-</v>
      </c>
      <c r="G22988" t="str">
        <v>-</v>
      </c>
    </row>
    <row r="22989">
      <c r="B22989" t="str">
        <v>UBND Ủy ban nhân dân xã Thạnh Qưới  thành phố Cần Thơ</v>
      </c>
      <c r="C22989" t="str">
        <v>-</v>
      </c>
      <c r="D22989" t="str">
        <v>-</v>
      </c>
      <c r="E22989" t="str">
        <v>-</v>
      </c>
      <c r="F22989" t="str">
        <v>-</v>
      </c>
      <c r="G22989" t="str">
        <v>-</v>
      </c>
    </row>
    <row r="22990">
      <c r="B22990" t="str">
        <v>Công an xã Thạnh Lộc  thành phố Cần Thơ</v>
      </c>
      <c r="C22990" t="str">
        <v>-</v>
      </c>
      <c r="D22990" t="str">
        <v>-</v>
      </c>
      <c r="E22990" t="str">
        <v/>
      </c>
      <c r="F22990" t="str">
        <v>-</v>
      </c>
      <c r="G22990" t="str">
        <v>-</v>
      </c>
    </row>
    <row r="22991">
      <c r="B22991" t="str">
        <v>UBND Ủy ban nhân dân xã Thạnh Lộc  thành phố Cần Thơ</v>
      </c>
      <c r="C22991" t="str">
        <v>-</v>
      </c>
      <c r="D22991" t="str">
        <v>-</v>
      </c>
      <c r="E22991" t="str">
        <v>-</v>
      </c>
      <c r="F22991" t="str">
        <v>-</v>
      </c>
      <c r="G22991" t="str">
        <v>-</v>
      </c>
    </row>
    <row r="22992">
      <c r="B22992" t="str">
        <v>Công an xã Trung An  thành phố Cần Thơ</v>
      </c>
      <c r="C22992" t="str">
        <v>-</v>
      </c>
      <c r="D22992" t="str">
        <v>-</v>
      </c>
      <c r="E22992" t="str">
        <v/>
      </c>
      <c r="F22992" t="str">
        <v>-</v>
      </c>
      <c r="G22992" t="str">
        <v>-</v>
      </c>
    </row>
    <row r="22993">
      <c r="B22993" t="str">
        <v>UBND Ủy ban nhân dân xã Trung An  thành phố Cần Thơ</v>
      </c>
      <c r="C22993" t="str">
        <v>-</v>
      </c>
      <c r="D22993" t="str">
        <v>-</v>
      </c>
      <c r="E22993" t="str">
        <v>-</v>
      </c>
      <c r="F22993" t="str">
        <v>-</v>
      </c>
      <c r="G22993" t="str">
        <v>-</v>
      </c>
    </row>
    <row r="22994">
      <c r="B22994" t="str">
        <v>Công an xã Trung Thạnh  thành phố Cần Thơ</v>
      </c>
      <c r="C22994" t="str">
        <v>-</v>
      </c>
      <c r="D22994" t="str">
        <v>-</v>
      </c>
      <c r="E22994" t="str">
        <v/>
      </c>
      <c r="F22994" t="str">
        <v>-</v>
      </c>
      <c r="G22994" t="str">
        <v>-</v>
      </c>
    </row>
    <row r="22995">
      <c r="B22995" t="str">
        <v>UBND Ủy ban nhân dân xã Trung Thạnh  thành phố Cần Thơ</v>
      </c>
      <c r="C22995" t="str">
        <v>-</v>
      </c>
      <c r="D22995" t="str">
        <v>-</v>
      </c>
      <c r="E22995" t="str">
        <v>-</v>
      </c>
      <c r="F22995" t="str">
        <v>-</v>
      </c>
      <c r="G22995" t="str">
        <v>-</v>
      </c>
    </row>
    <row r="22996">
      <c r="B22996" t="str">
        <v>Công an xã Thạnh Phú  thành phố Cần Thơ</v>
      </c>
      <c r="C22996" t="str">
        <v>-</v>
      </c>
      <c r="D22996" t="str">
        <v>-</v>
      </c>
      <c r="E22996" t="str">
        <v/>
      </c>
      <c r="F22996" t="str">
        <v>-</v>
      </c>
      <c r="G22996" t="str">
        <v>-</v>
      </c>
    </row>
    <row r="22997">
      <c r="B22997" t="str">
        <v>UBND Ủy ban nhân dân xã Thạnh Phú  thành phố Cần Thơ</v>
      </c>
      <c r="C22997" t="str">
        <v>-</v>
      </c>
      <c r="D22997" t="str">
        <v>-</v>
      </c>
      <c r="E22997" t="str">
        <v>-</v>
      </c>
      <c r="F22997" t="str">
        <v>-</v>
      </c>
      <c r="G22997" t="str">
        <v>-</v>
      </c>
    </row>
    <row r="22998">
      <c r="B22998" t="str">
        <v>Công an xã Trung Hưng  thành phố Cần Thơ</v>
      </c>
      <c r="C22998" t="str">
        <v>-</v>
      </c>
      <c r="D22998" t="str">
        <v>-</v>
      </c>
      <c r="E22998" t="str">
        <v/>
      </c>
      <c r="F22998" t="str">
        <v>-</v>
      </c>
      <c r="G22998" t="str">
        <v>-</v>
      </c>
    </row>
    <row r="22999">
      <c r="B22999" t="str">
        <v>UBND Ủy ban nhân dân xã Trung Hưng  thành phố Cần Thơ</v>
      </c>
      <c r="C22999" t="str">
        <v>-</v>
      </c>
      <c r="D22999" t="str">
        <v>-</v>
      </c>
      <c r="E22999" t="str">
        <v>-</v>
      </c>
      <c r="F22999" t="str">
        <v>-</v>
      </c>
      <c r="G22999" t="str">
        <v>-</v>
      </c>
    </row>
    <row r="23000">
      <c r="B23000" t="str">
        <v>Công an xã Thới Hưng  thành phố Cần Thơ</v>
      </c>
      <c r="C23000" t="str">
        <v>-</v>
      </c>
      <c r="D23000" t="str">
        <v>-</v>
      </c>
      <c r="E23000" t="str">
        <v/>
      </c>
      <c r="F23000" t="str">
        <v>-</v>
      </c>
      <c r="G23000" t="str">
        <v>-</v>
      </c>
    </row>
    <row r="23001">
      <c r="B23001" t="str">
        <v>UBND Ủy ban nhân dân xã Thới Hưng  thành phố Cần Thơ</v>
      </c>
      <c r="C23001" t="str">
        <v>-</v>
      </c>
      <c r="D23001" t="str">
        <v>-</v>
      </c>
      <c r="E23001" t="str">
        <v>-</v>
      </c>
      <c r="F23001" t="str">
        <v>-</v>
      </c>
      <c r="G23001" t="str">
        <v>-</v>
      </c>
    </row>
    <row r="23002">
      <c r="B23002" t="str">
        <v>Công an xã Đông Hiệp  thành phố Cần Thơ</v>
      </c>
      <c r="C23002" t="str">
        <v>-</v>
      </c>
      <c r="D23002" t="str">
        <v>-</v>
      </c>
      <c r="E23002" t="str">
        <v/>
      </c>
      <c r="F23002" t="str">
        <v>-</v>
      </c>
      <c r="G23002" t="str">
        <v>-</v>
      </c>
    </row>
    <row r="23003">
      <c r="B23003" t="str">
        <v>UBND Ủy ban nhân dân xã Đông Hiệp  thành phố Cần Thơ</v>
      </c>
      <c r="C23003" t="str">
        <v>-</v>
      </c>
      <c r="D23003" t="str">
        <v>-</v>
      </c>
      <c r="E23003" t="str">
        <v>-</v>
      </c>
      <c r="F23003" t="str">
        <v>-</v>
      </c>
      <c r="G23003" t="str">
        <v>-</v>
      </c>
    </row>
    <row r="23004">
      <c r="B23004" t="str">
        <v>Công an xã Đông Thắng  thành phố Cần Thơ</v>
      </c>
      <c r="C23004" t="str">
        <v>-</v>
      </c>
      <c r="D23004" t="str">
        <v>-</v>
      </c>
      <c r="E23004" t="str">
        <v/>
      </c>
      <c r="F23004" t="str">
        <v>-</v>
      </c>
      <c r="G23004" t="str">
        <v>-</v>
      </c>
    </row>
    <row r="23005">
      <c r="B23005" t="str">
        <v>UBND Ủy ban nhân dân xã Đông Thắng  thành phố Cần Thơ</v>
      </c>
      <c r="C23005" t="str">
        <v>-</v>
      </c>
      <c r="D23005" t="str">
        <v>-</v>
      </c>
      <c r="E23005" t="str">
        <v>-</v>
      </c>
      <c r="F23005" t="str">
        <v>-</v>
      </c>
      <c r="G23005" t="str">
        <v>-</v>
      </c>
    </row>
    <row r="23006">
      <c r="B23006" t="str">
        <v>Công an xã Thới Đông  thành phố Cần Thơ</v>
      </c>
      <c r="C23006" t="str">
        <v>-</v>
      </c>
      <c r="D23006" t="str">
        <v>-</v>
      </c>
      <c r="E23006" t="str">
        <v/>
      </c>
      <c r="F23006" t="str">
        <v>-</v>
      </c>
      <c r="G23006" t="str">
        <v>-</v>
      </c>
    </row>
    <row r="23007">
      <c r="B23007" t="str">
        <v>UBND Ủy ban nhân dân xã Thới Đông  thành phố Cần Thơ</v>
      </c>
      <c r="C23007" t="str">
        <v>-</v>
      </c>
      <c r="D23007" t="str">
        <v>-</v>
      </c>
      <c r="E23007" t="str">
        <v>-</v>
      </c>
      <c r="F23007" t="str">
        <v>-</v>
      </c>
      <c r="G23007" t="str">
        <v>-</v>
      </c>
    </row>
    <row r="23008">
      <c r="B23008" t="str">
        <v>Công an xã Thới Xuân  thành phố Cần Thơ</v>
      </c>
      <c r="C23008" t="str">
        <v>-</v>
      </c>
      <c r="D23008" t="str">
        <v>-</v>
      </c>
      <c r="E23008" t="str">
        <v/>
      </c>
      <c r="F23008" t="str">
        <v>-</v>
      </c>
      <c r="G23008" t="str">
        <v>-</v>
      </c>
    </row>
    <row r="23009">
      <c r="B23009" t="str">
        <v>UBND Ủy ban nhân dân xã Thới Xuân  thành phố Cần Thơ</v>
      </c>
      <c r="C23009" t="str">
        <v>-</v>
      </c>
      <c r="D23009" t="str">
        <v>-</v>
      </c>
      <c r="E23009" t="str">
        <v>-</v>
      </c>
      <c r="F23009" t="str">
        <v>-</v>
      </c>
      <c r="G23009" t="str">
        <v>-</v>
      </c>
    </row>
    <row r="23010">
      <c r="B23010" t="str">
        <v>Công an xã Nhơn Ái  thành phố Cần Thơ</v>
      </c>
      <c r="C23010" t="str">
        <v>-</v>
      </c>
      <c r="D23010" t="str">
        <v>-</v>
      </c>
      <c r="E23010" t="str">
        <v/>
      </c>
      <c r="F23010" t="str">
        <v>-</v>
      </c>
      <c r="G23010" t="str">
        <v>-</v>
      </c>
    </row>
    <row r="23011">
      <c r="B23011" t="str">
        <v>UBND Ủy ban nhân dân xã Nhơn Ái  thành phố Cần Thơ</v>
      </c>
      <c r="C23011" t="str">
        <v>-</v>
      </c>
      <c r="D23011" t="str">
        <v>-</v>
      </c>
      <c r="E23011" t="str">
        <v>-</v>
      </c>
      <c r="F23011" t="str">
        <v>-</v>
      </c>
      <c r="G23011" t="str">
        <v>-</v>
      </c>
    </row>
    <row r="23012">
      <c r="B23012" t="str">
        <v>Công an xã Giai Xuân  thành phố Cần Thơ</v>
      </c>
      <c r="C23012" t="str">
        <v>-</v>
      </c>
      <c r="D23012" t="str">
        <v>-</v>
      </c>
      <c r="E23012" t="str">
        <v/>
      </c>
      <c r="F23012" t="str">
        <v>-</v>
      </c>
      <c r="G23012" t="str">
        <v>-</v>
      </c>
    </row>
    <row r="23013">
      <c r="B23013" t="str">
        <v>UBND Ủy ban nhân dân xã Giai Xuân  thành phố Cần Thơ</v>
      </c>
      <c r="C23013" t="str">
        <v>-</v>
      </c>
      <c r="D23013" t="str">
        <v>-</v>
      </c>
      <c r="E23013" t="str">
        <v>-</v>
      </c>
      <c r="F23013" t="str">
        <v>-</v>
      </c>
      <c r="G23013" t="str">
        <v>-</v>
      </c>
    </row>
    <row r="23014">
      <c r="B23014" t="str">
        <v>Công an xã Tân Thới  thành phố Cần Thơ</v>
      </c>
      <c r="C23014" t="str">
        <v>-</v>
      </c>
      <c r="D23014" t="str">
        <v>-</v>
      </c>
      <c r="E23014" t="str">
        <v/>
      </c>
      <c r="F23014" t="str">
        <v>-</v>
      </c>
      <c r="G23014" t="str">
        <v>-</v>
      </c>
    </row>
    <row r="23015">
      <c r="B23015" t="str">
        <v>UBND Ủy ban nhân dân xã Tân Thới  thành phố Cần Thơ</v>
      </c>
      <c r="C23015" t="str">
        <v>-</v>
      </c>
      <c r="D23015" t="str">
        <v>-</v>
      </c>
      <c r="E23015" t="str">
        <v>-</v>
      </c>
      <c r="F23015" t="str">
        <v>-</v>
      </c>
      <c r="G23015" t="str">
        <v>-</v>
      </c>
    </row>
    <row r="23016">
      <c r="B23016" t="str">
        <v>Công an xã Trường Long  thành phố Cần Thơ</v>
      </c>
      <c r="C23016" t="str">
        <v>-</v>
      </c>
      <c r="D23016" t="str">
        <v>-</v>
      </c>
      <c r="E23016" t="str">
        <v/>
      </c>
      <c r="F23016" t="str">
        <v>-</v>
      </c>
      <c r="G23016" t="str">
        <v>-</v>
      </c>
    </row>
    <row r="23017">
      <c r="B23017" t="str">
        <v>UBND Ủy ban nhân dân xã Trường Long  thành phố Cần Thơ</v>
      </c>
      <c r="C23017" t="str">
        <v>-</v>
      </c>
      <c r="D23017" t="str">
        <v>-</v>
      </c>
      <c r="E23017" t="str">
        <v>-</v>
      </c>
      <c r="F23017" t="str">
        <v>-</v>
      </c>
      <c r="G23017" t="str">
        <v>-</v>
      </c>
    </row>
    <row r="23018">
      <c r="B23018" t="str">
        <v>Công an xã Mỹ Khánh  thành phố Cần Thơ</v>
      </c>
      <c r="C23018" t="str">
        <v>-</v>
      </c>
      <c r="D23018" t="str">
        <v>-</v>
      </c>
      <c r="E23018" t="str">
        <v/>
      </c>
      <c r="F23018" t="str">
        <v>-</v>
      </c>
      <c r="G23018" t="str">
        <v>-</v>
      </c>
    </row>
    <row r="23019">
      <c r="B23019" t="str">
        <v>UBND Ủy ban nhân dân xã Mỹ Khánh  thành phố Cần Thơ</v>
      </c>
      <c r="C23019" t="str">
        <v>-</v>
      </c>
      <c r="D23019" t="str">
        <v>-</v>
      </c>
      <c r="E23019" t="str">
        <v>-</v>
      </c>
      <c r="F23019" t="str">
        <v>-</v>
      </c>
      <c r="G23019" t="str">
        <v>-</v>
      </c>
    </row>
    <row r="23020">
      <c r="B23020" t="str">
        <v>Công an xã Nhơn Nghĩa  thành phố Cần Thơ</v>
      </c>
      <c r="C23020" t="str">
        <v>-</v>
      </c>
      <c r="D23020" t="str">
        <v>-</v>
      </c>
      <c r="E23020" t="str">
        <v/>
      </c>
      <c r="F23020" t="str">
        <v>-</v>
      </c>
      <c r="G23020" t="str">
        <v>-</v>
      </c>
    </row>
    <row r="23021">
      <c r="B23021" t="str">
        <v>UBND Ủy ban nhân dân xã Nhơn Nghĩa  thành phố Cần Thơ</v>
      </c>
      <c r="C23021" t="str">
        <v>-</v>
      </c>
      <c r="D23021" t="str">
        <v>-</v>
      </c>
      <c r="E23021" t="str">
        <v>-</v>
      </c>
      <c r="F23021" t="str">
        <v>-</v>
      </c>
      <c r="G23021" t="str">
        <v>-</v>
      </c>
    </row>
    <row r="23022">
      <c r="B23022" t="str">
        <v>Công an xã Thới Thạnh  thành phố Cần Thơ</v>
      </c>
      <c r="C23022" t="str">
        <v>-</v>
      </c>
      <c r="D23022" t="str">
        <v>-</v>
      </c>
      <c r="E23022" t="str">
        <v/>
      </c>
      <c r="F23022" t="str">
        <v>-</v>
      </c>
      <c r="G23022" t="str">
        <v>-</v>
      </c>
    </row>
    <row r="23023">
      <c r="B23023" t="str">
        <v>UBND Ủy ban nhân dân xã Thới Thạnh  thành phố Cần Thơ</v>
      </c>
      <c r="C23023" t="str">
        <v>-</v>
      </c>
      <c r="D23023" t="str">
        <v>-</v>
      </c>
      <c r="E23023" t="str">
        <v>-</v>
      </c>
      <c r="F23023" t="str">
        <v>-</v>
      </c>
      <c r="G23023" t="str">
        <v>-</v>
      </c>
    </row>
    <row r="23024">
      <c r="B23024" t="str">
        <v>Công an xã Tân Thạnh  thành phố Cần Thơ</v>
      </c>
      <c r="C23024" t="str">
        <v>-</v>
      </c>
      <c r="D23024" t="str">
        <v>-</v>
      </c>
      <c r="E23024" t="str">
        <v/>
      </c>
      <c r="F23024" t="str">
        <v>-</v>
      </c>
      <c r="G23024" t="str">
        <v>-</v>
      </c>
    </row>
    <row r="23025">
      <c r="B23025" t="str">
        <v>UBND Ủy ban nhân dân xã Tân Thạnh  thành phố Cần Thơ</v>
      </c>
      <c r="C23025" t="str">
        <v>-</v>
      </c>
      <c r="D23025" t="str">
        <v>-</v>
      </c>
      <c r="E23025" t="str">
        <v>-</v>
      </c>
      <c r="F23025" t="str">
        <v>-</v>
      </c>
      <c r="G23025" t="str">
        <v>-</v>
      </c>
    </row>
    <row r="23026">
      <c r="B23026" t="str">
        <v>Công an xã Xuân Thắng  thành phố Cần Thơ</v>
      </c>
      <c r="C23026" t="str">
        <v>-</v>
      </c>
      <c r="D23026" t="str">
        <v>-</v>
      </c>
      <c r="E23026" t="str">
        <v/>
      </c>
      <c r="F23026" t="str">
        <v>-</v>
      </c>
      <c r="G23026" t="str">
        <v>-</v>
      </c>
    </row>
    <row r="23027">
      <c r="B23027" t="str">
        <v>UBND Ủy ban nhân dân xã Xuân Thắng  thành phố Cần Thơ</v>
      </c>
      <c r="C23027" t="str">
        <v>-</v>
      </c>
      <c r="D23027" t="str">
        <v>-</v>
      </c>
      <c r="E23027" t="str">
        <v>-</v>
      </c>
      <c r="F23027" t="str">
        <v>-</v>
      </c>
      <c r="G23027" t="str">
        <v>-</v>
      </c>
    </row>
    <row r="23028">
      <c r="B23028" t="str">
        <v>Công an xã Đông Bình  thành phố Cần Thơ</v>
      </c>
      <c r="C23028" t="str">
        <v>-</v>
      </c>
      <c r="D23028" t="str">
        <v>-</v>
      </c>
      <c r="E23028" t="str">
        <v/>
      </c>
      <c r="F23028" t="str">
        <v>-</v>
      </c>
      <c r="G23028" t="str">
        <v>-</v>
      </c>
    </row>
    <row r="23029">
      <c r="B23029" t="str">
        <v>UBND Ủy ban nhân dân xã Đông Bình  thành phố Cần Thơ</v>
      </c>
      <c r="C23029" t="str">
        <v>-</v>
      </c>
      <c r="D23029" t="str">
        <v>-</v>
      </c>
      <c r="E23029" t="str">
        <v>-</v>
      </c>
      <c r="F23029" t="str">
        <v>-</v>
      </c>
      <c r="G23029" t="str">
        <v>-</v>
      </c>
    </row>
    <row r="23030">
      <c r="B23030" t="str">
        <v>Công an xã Đông Thuận  thành phố Cần Thơ</v>
      </c>
      <c r="C23030" t="str">
        <v>-</v>
      </c>
      <c r="D23030" t="str">
        <v>-</v>
      </c>
      <c r="E23030" t="str">
        <v/>
      </c>
      <c r="F23030" t="str">
        <v>-</v>
      </c>
      <c r="G23030" t="str">
        <v>-</v>
      </c>
    </row>
    <row r="23031">
      <c r="B23031" t="str">
        <v>UBND Ủy ban nhân dân xã Đông Thuận  thành phố Cần Thơ</v>
      </c>
      <c r="C23031" t="str">
        <v>-</v>
      </c>
      <c r="D23031" t="str">
        <v>-</v>
      </c>
      <c r="E23031" t="str">
        <v>-</v>
      </c>
      <c r="F23031" t="str">
        <v>-</v>
      </c>
      <c r="G23031" t="str">
        <v>-</v>
      </c>
    </row>
    <row r="23032">
      <c r="B23032" t="str">
        <v>Công an xã Thới Tân  thành phố Cần Thơ</v>
      </c>
      <c r="C23032" t="str">
        <v>-</v>
      </c>
      <c r="D23032" t="str">
        <v>-</v>
      </c>
      <c r="E23032" t="str">
        <v/>
      </c>
      <c r="F23032" t="str">
        <v>-</v>
      </c>
      <c r="G23032" t="str">
        <v>-</v>
      </c>
    </row>
    <row r="23033">
      <c r="B23033" t="str">
        <v>UBND Ủy ban nhân dân xã Thới Tân  thành phố Cần Thơ</v>
      </c>
      <c r="C23033" t="str">
        <v>-</v>
      </c>
      <c r="D23033" t="str">
        <v>-</v>
      </c>
      <c r="E23033" t="str">
        <v>-</v>
      </c>
      <c r="F23033" t="str">
        <v>-</v>
      </c>
      <c r="G23033" t="str">
        <v>-</v>
      </c>
    </row>
    <row r="23034">
      <c r="B23034" t="str">
        <v>Công an xã Trường Thắng  thành phố Cần Thơ</v>
      </c>
      <c r="C23034" t="str">
        <v>-</v>
      </c>
      <c r="D23034" t="str">
        <v>-</v>
      </c>
      <c r="E23034" t="str">
        <v/>
      </c>
      <c r="F23034" t="str">
        <v>-</v>
      </c>
      <c r="G23034" t="str">
        <v>-</v>
      </c>
    </row>
    <row r="23035">
      <c r="B23035" t="str">
        <v>UBND Ủy ban nhân dân xã Trường Thắng  thành phố Cần Thơ</v>
      </c>
      <c r="C23035" t="str">
        <v>-</v>
      </c>
      <c r="D23035" t="str">
        <v>-</v>
      </c>
      <c r="E23035" t="str">
        <v>-</v>
      </c>
      <c r="F23035" t="str">
        <v>-</v>
      </c>
      <c r="G23035" t="str">
        <v>-</v>
      </c>
    </row>
    <row r="23036">
      <c r="B23036" t="str">
        <v>Công an xã Định Môn  thành phố Cần Thơ</v>
      </c>
      <c r="C23036" t="str">
        <v>-</v>
      </c>
      <c r="D23036" t="str">
        <v>-</v>
      </c>
      <c r="E23036" t="str">
        <v/>
      </c>
      <c r="F23036" t="str">
        <v>-</v>
      </c>
      <c r="G23036" t="str">
        <v>-</v>
      </c>
    </row>
    <row r="23037">
      <c r="B23037" t="str">
        <v>UBND Ủy ban nhân dân xã Định Môn  thành phố Cần Thơ</v>
      </c>
      <c r="C23037" t="str">
        <v>-</v>
      </c>
      <c r="D23037" t="str">
        <v>-</v>
      </c>
      <c r="E23037" t="str">
        <v>-</v>
      </c>
      <c r="F23037" t="str">
        <v>-</v>
      </c>
      <c r="G23037" t="str">
        <v>-</v>
      </c>
    </row>
    <row r="23038">
      <c r="B23038" t="str">
        <v>Công an xã Trường Thành  thành phố Cần Thơ</v>
      </c>
      <c r="C23038" t="str">
        <v>-</v>
      </c>
      <c r="D23038" t="str">
        <v>-</v>
      </c>
      <c r="E23038" t="str">
        <v/>
      </c>
      <c r="F23038" t="str">
        <v>-</v>
      </c>
      <c r="G23038" t="str">
        <v>-</v>
      </c>
    </row>
    <row r="23039">
      <c r="B23039" t="str">
        <v>UBND Ủy ban nhân dân xã Trường Thành  thành phố Cần Thơ</v>
      </c>
      <c r="C23039" t="str">
        <v>-</v>
      </c>
      <c r="D23039" t="str">
        <v>-</v>
      </c>
      <c r="E23039" t="str">
        <v>-</v>
      </c>
      <c r="F23039" t="str">
        <v>-</v>
      </c>
      <c r="G23039" t="str">
        <v>-</v>
      </c>
    </row>
    <row r="23040">
      <c r="B23040" t="str">
        <v>Công an xã Trường Xuân  thành phố Cần Thơ</v>
      </c>
      <c r="C23040" t="str">
        <v>-</v>
      </c>
      <c r="D23040" t="str">
        <v>-</v>
      </c>
      <c r="E23040" t="str">
        <v/>
      </c>
      <c r="F23040" t="str">
        <v>-</v>
      </c>
      <c r="G23040" t="str">
        <v>-</v>
      </c>
    </row>
    <row r="23041">
      <c r="B23041" t="str">
        <v>UBND Ủy ban nhân dân xã Trường Xuân  thành phố Cần Thơ</v>
      </c>
      <c r="C23041" t="str">
        <v>-</v>
      </c>
      <c r="D23041" t="str">
        <v>-</v>
      </c>
      <c r="E23041" t="str">
        <v>-</v>
      </c>
      <c r="F23041" t="str">
        <v>-</v>
      </c>
      <c r="G23041" t="str">
        <v>-</v>
      </c>
    </row>
    <row r="23042">
      <c r="B23042" t="str">
        <v>Công an xã Trường Xuân A  thành phố Cần Thơ</v>
      </c>
      <c r="C23042" t="str">
        <v>-</v>
      </c>
      <c r="D23042" t="str">
        <v>-</v>
      </c>
      <c r="E23042" t="str">
        <v/>
      </c>
      <c r="F23042" t="str">
        <v>-</v>
      </c>
      <c r="G23042" t="str">
        <v>-</v>
      </c>
    </row>
    <row r="23043">
      <c r="B23043" t="str">
        <v>UBND Ủy ban nhân dân xã Trường Xuân A  thành phố Cần Thơ</v>
      </c>
      <c r="C23043" t="str">
        <v>-</v>
      </c>
      <c r="D23043" t="str">
        <v>-</v>
      </c>
      <c r="E23043" t="str">
        <v>-</v>
      </c>
      <c r="F23043" t="str">
        <v>-</v>
      </c>
      <c r="G23043" t="str">
        <v>-</v>
      </c>
    </row>
    <row r="23044">
      <c r="B23044" t="str">
        <v>Công an xã Trường Xuân B  thành phố Cần Thơ</v>
      </c>
      <c r="C23044" t="str">
        <v>-</v>
      </c>
      <c r="D23044" t="str">
        <v>-</v>
      </c>
      <c r="E23044" t="str">
        <v/>
      </c>
      <c r="F23044" t="str">
        <v>-</v>
      </c>
      <c r="G23044" t="str">
        <v>-</v>
      </c>
    </row>
    <row r="23045">
      <c r="B23045" t="str">
        <v>UBND Ủy ban nhân dân xã Trường Xuân B  thành phố Cần Thơ</v>
      </c>
      <c r="C23045" t="str">
        <v>-</v>
      </c>
      <c r="D23045" t="str">
        <v>-</v>
      </c>
      <c r="E23045" t="str">
        <v>-</v>
      </c>
      <c r="F23045" t="str">
        <v>-</v>
      </c>
      <c r="G23045" t="str">
        <v>-</v>
      </c>
    </row>
    <row r="23046">
      <c r="B23046" t="str">
        <v>Công an phường I  tỉnh Hậu Giang</v>
      </c>
      <c r="C23046" t="str">
        <v>-</v>
      </c>
      <c r="D23046" t="str">
        <v>-</v>
      </c>
      <c r="E23046" t="str">
        <v/>
      </c>
      <c r="F23046" t="str">
        <v>-</v>
      </c>
      <c r="G23046" t="str">
        <v>-</v>
      </c>
    </row>
    <row r="23047">
      <c r="B23047" t="str">
        <v>UBND Ủy ban nhân dân phường I  tỉnh Hậu Giang</v>
      </c>
      <c r="C23047" t="str">
        <v>-</v>
      </c>
      <c r="D23047" t="str">
        <v>-</v>
      </c>
      <c r="E23047" t="str">
        <v>-</v>
      </c>
      <c r="F23047" t="str">
        <v>-</v>
      </c>
      <c r="G23047" t="str">
        <v>-</v>
      </c>
    </row>
    <row r="23048">
      <c r="B23048" t="str">
        <v>Công an phường III  tỉnh Hậu Giang</v>
      </c>
      <c r="C23048" t="str">
        <v>-</v>
      </c>
      <c r="D23048" t="str">
        <v>-</v>
      </c>
      <c r="E23048" t="str">
        <v/>
      </c>
      <c r="F23048" t="str">
        <v>-</v>
      </c>
      <c r="G23048" t="str">
        <v>-</v>
      </c>
    </row>
    <row r="23049">
      <c r="B23049" t="str">
        <v>UBND Ủy ban nhân dân phường III  tỉnh Hậu Giang</v>
      </c>
      <c r="C23049" t="str">
        <v>-</v>
      </c>
      <c r="D23049" t="str">
        <v>-</v>
      </c>
      <c r="E23049" t="str">
        <v>-</v>
      </c>
      <c r="F23049" t="str">
        <v>-</v>
      </c>
      <c r="G23049" t="str">
        <v>-</v>
      </c>
    </row>
    <row r="23050">
      <c r="B23050" t="str">
        <v>Công an phường IV  tỉnh Hậu Giang</v>
      </c>
      <c r="C23050" t="str">
        <v>-</v>
      </c>
      <c r="D23050" t="str">
        <v>-</v>
      </c>
      <c r="E23050" t="str">
        <v/>
      </c>
      <c r="F23050" t="str">
        <v>-</v>
      </c>
      <c r="G23050" t="str">
        <v>-</v>
      </c>
    </row>
    <row r="23051">
      <c r="B23051" t="str">
        <v>UBND Ủy ban nhân dân phường IV  tỉnh Hậu Giang</v>
      </c>
      <c r="C23051" t="str">
        <v>-</v>
      </c>
      <c r="D23051" t="str">
        <v>-</v>
      </c>
      <c r="E23051" t="str">
        <v>-</v>
      </c>
      <c r="F23051" t="str">
        <v>-</v>
      </c>
      <c r="G23051" t="str">
        <v>-</v>
      </c>
    </row>
    <row r="23052">
      <c r="B23052" t="str">
        <v>Công an phường V  tỉnh Hậu Giang</v>
      </c>
      <c r="C23052" t="str">
        <v>-</v>
      </c>
      <c r="D23052" t="str">
        <v>-</v>
      </c>
      <c r="E23052" t="str">
        <v/>
      </c>
      <c r="F23052" t="str">
        <v>-</v>
      </c>
      <c r="G23052" t="str">
        <v>-</v>
      </c>
    </row>
    <row r="23053">
      <c r="B23053" t="str">
        <v>UBND Ủy ban nhân dân phường V  tỉnh Hậu Giang</v>
      </c>
      <c r="C23053" t="str">
        <v>-</v>
      </c>
      <c r="D23053" t="str">
        <v>-</v>
      </c>
      <c r="E23053" t="str">
        <v>-</v>
      </c>
      <c r="F23053" t="str">
        <v>-</v>
      </c>
      <c r="G23053" t="str">
        <v>-</v>
      </c>
    </row>
    <row r="23054">
      <c r="B23054" t="str">
        <v>Công an phường VII  tỉnh Hậu Giang</v>
      </c>
      <c r="C23054" t="str">
        <v>-</v>
      </c>
      <c r="D23054" t="str">
        <v>-</v>
      </c>
      <c r="E23054" t="str">
        <v/>
      </c>
      <c r="F23054" t="str">
        <v>-</v>
      </c>
      <c r="G23054" t="str">
        <v>-</v>
      </c>
    </row>
    <row r="23055">
      <c r="B23055" t="str">
        <v>UBND Ủy ban nhân dân phường VII  tỉnh Hậu Giang</v>
      </c>
      <c r="C23055" t="str">
        <v>-</v>
      </c>
      <c r="D23055" t="str">
        <v>-</v>
      </c>
      <c r="E23055" t="str">
        <v>-</v>
      </c>
      <c r="F23055" t="str">
        <v>-</v>
      </c>
      <c r="G23055" t="str">
        <v>-</v>
      </c>
    </row>
    <row r="23056">
      <c r="B23056" t="str">
        <v>Công an xã Vị Tân  tỉnh Hậu Giang</v>
      </c>
      <c r="C23056" t="str">
        <v>-</v>
      </c>
      <c r="D23056" t="str">
        <v>-</v>
      </c>
      <c r="E23056" t="str">
        <v/>
      </c>
      <c r="F23056" t="str">
        <v>-</v>
      </c>
      <c r="G23056" t="str">
        <v>-</v>
      </c>
    </row>
    <row r="23057">
      <c r="B23057" t="str">
        <v>UBND Ủy ban nhân dân xã Vị Tân  tỉnh Hậu Giang</v>
      </c>
      <c r="C23057" t="str">
        <v>-</v>
      </c>
      <c r="D23057" t="str">
        <v>-</v>
      </c>
      <c r="E23057" t="str">
        <v>-</v>
      </c>
      <c r="F23057" t="str">
        <v>-</v>
      </c>
      <c r="G23057" t="str">
        <v>-</v>
      </c>
    </row>
    <row r="23058">
      <c r="B23058" t="str">
        <v>Công an xã Hoả Lựu  tỉnh Hậu Giang</v>
      </c>
      <c r="C23058" t="str">
        <v>-</v>
      </c>
      <c r="D23058" t="str">
        <v>-</v>
      </c>
      <c r="E23058" t="str">
        <v/>
      </c>
      <c r="F23058" t="str">
        <v>-</v>
      </c>
      <c r="G23058" t="str">
        <v>-</v>
      </c>
    </row>
    <row r="23059">
      <c r="B23059" t="str">
        <v>UBND Ủy ban nhân dân xã Hoả Lựu  tỉnh Hậu Giang</v>
      </c>
      <c r="C23059" t="str">
        <v>-</v>
      </c>
      <c r="D23059" t="str">
        <v>-</v>
      </c>
      <c r="E23059" t="str">
        <v>-</v>
      </c>
      <c r="F23059" t="str">
        <v>-</v>
      </c>
      <c r="G23059" t="str">
        <v>-</v>
      </c>
    </row>
    <row r="23060">
      <c r="B23060" t="str">
        <v>Công an xã Tân Tiến  tỉnh Hậu Giang</v>
      </c>
      <c r="C23060" t="str">
        <v>-</v>
      </c>
      <c r="D23060" t="str">
        <v>-</v>
      </c>
      <c r="E23060" t="str">
        <v/>
      </c>
      <c r="F23060" t="str">
        <v>-</v>
      </c>
      <c r="G23060" t="str">
        <v>-</v>
      </c>
    </row>
    <row r="23061">
      <c r="B23061" t="str">
        <v>UBND Ủy ban nhân dân xã Tân Tiến  tỉnh Hậu Giang</v>
      </c>
      <c r="C23061" t="str">
        <v>-</v>
      </c>
      <c r="D23061" t="str">
        <v>-</v>
      </c>
      <c r="E23061" t="str">
        <v>-</v>
      </c>
      <c r="F23061" t="str">
        <v>-</v>
      </c>
      <c r="G23061" t="str">
        <v>-</v>
      </c>
    </row>
    <row r="23062">
      <c r="B23062" t="str">
        <v>Công an xã Hoả Tiến  tỉnh Hậu Giang</v>
      </c>
      <c r="C23062" t="str">
        <v>-</v>
      </c>
      <c r="D23062" t="str">
        <v>-</v>
      </c>
      <c r="E23062" t="str">
        <v/>
      </c>
      <c r="F23062" t="str">
        <v>-</v>
      </c>
      <c r="G23062" t="str">
        <v>-</v>
      </c>
    </row>
    <row r="23063">
      <c r="B23063" t="str">
        <v>UBND Ủy ban nhân dân xã Hoả Tiến  tỉnh Hậu Giang</v>
      </c>
      <c r="C23063" t="str">
        <v>-</v>
      </c>
      <c r="D23063" t="str">
        <v>-</v>
      </c>
      <c r="E23063" t="str">
        <v>-</v>
      </c>
      <c r="F23063" t="str">
        <v>-</v>
      </c>
      <c r="G23063" t="str">
        <v>-</v>
      </c>
    </row>
    <row r="23064">
      <c r="B23064" t="str">
        <v>Công an phường Ngã Bảy  tỉnh Hậu Giang</v>
      </c>
      <c r="C23064" t="str">
        <v>-</v>
      </c>
      <c r="D23064" t="str">
        <v>-</v>
      </c>
      <c r="E23064" t="str">
        <v/>
      </c>
      <c r="F23064" t="str">
        <v>-</v>
      </c>
      <c r="G23064" t="str">
        <v>-</v>
      </c>
    </row>
    <row r="23065">
      <c r="B23065" t="str">
        <v>UBND Ủy ban nhân dân phường Ngã Bảy  tỉnh Hậu Giang</v>
      </c>
      <c r="C23065" t="str">
        <v>-</v>
      </c>
      <c r="D23065" t="str">
        <v>-</v>
      </c>
      <c r="E23065" t="str">
        <v>-</v>
      </c>
      <c r="F23065" t="str">
        <v>-</v>
      </c>
      <c r="G23065" t="str">
        <v>-</v>
      </c>
    </row>
    <row r="23066">
      <c r="B23066" t="str">
        <v>Công an phường Lái Hiếu  tỉnh Hậu Giang</v>
      </c>
      <c r="C23066" t="str">
        <v>-</v>
      </c>
      <c r="D23066" t="str">
        <v>-</v>
      </c>
      <c r="E23066" t="str">
        <v/>
      </c>
      <c r="F23066" t="str">
        <v>-</v>
      </c>
      <c r="G23066" t="str">
        <v>-</v>
      </c>
    </row>
    <row r="23067">
      <c r="B23067" t="str">
        <v>UBND Ủy ban nhân dân phường Lái Hiếu  tỉnh Hậu Giang</v>
      </c>
      <c r="C23067" t="str">
        <v>-</v>
      </c>
      <c r="D23067" t="str">
        <v>-</v>
      </c>
      <c r="E23067" t="str">
        <v>-</v>
      </c>
      <c r="F23067" t="str">
        <v>-</v>
      </c>
      <c r="G23067" t="str">
        <v>-</v>
      </c>
    </row>
    <row r="23068">
      <c r="B23068" t="str">
        <v>Công an phường Hiệp Thành  tỉnh Hậu Giang</v>
      </c>
      <c r="C23068" t="str">
        <v>-</v>
      </c>
      <c r="D23068" t="str">
        <v>-</v>
      </c>
      <c r="E23068" t="str">
        <v/>
      </c>
      <c r="F23068" t="str">
        <v>-</v>
      </c>
      <c r="G23068" t="str">
        <v>-</v>
      </c>
    </row>
    <row r="23069">
      <c r="B23069" t="str">
        <v>UBND Ủy ban nhân dân phường Hiệp Thành  tỉnh Hậu Giang</v>
      </c>
      <c r="C23069" t="str">
        <v>-</v>
      </c>
      <c r="D23069" t="str">
        <v>-</v>
      </c>
      <c r="E23069" t="str">
        <v>-</v>
      </c>
      <c r="F23069" t="str">
        <v>-</v>
      </c>
      <c r="G23069" t="str">
        <v>-</v>
      </c>
    </row>
    <row r="23070">
      <c r="B23070" t="str">
        <v>Công an xã Hiệp Lợi  tỉnh Hậu Giang</v>
      </c>
      <c r="C23070" t="str">
        <v>-</v>
      </c>
      <c r="D23070" t="str">
        <v>-</v>
      </c>
      <c r="E23070" t="str">
        <v/>
      </c>
      <c r="F23070" t="str">
        <v>-</v>
      </c>
      <c r="G23070" t="str">
        <v>-</v>
      </c>
    </row>
    <row r="23071">
      <c r="B23071" t="str">
        <v>UBND Ủy ban nhân dân xã Hiệp Lợi  tỉnh Hậu Giang</v>
      </c>
      <c r="C23071" t="str">
        <v>-</v>
      </c>
      <c r="D23071" t="str">
        <v>-</v>
      </c>
      <c r="E23071" t="str">
        <v>-</v>
      </c>
      <c r="F23071" t="str">
        <v>-</v>
      </c>
      <c r="G23071" t="str">
        <v>-</v>
      </c>
    </row>
    <row r="23072">
      <c r="B23072" t="str">
        <v>Công an xã Đại Thành  tỉnh Hậu Giang</v>
      </c>
      <c r="C23072" t="str">
        <v>-</v>
      </c>
      <c r="D23072" t="str">
        <v>-</v>
      </c>
      <c r="E23072" t="str">
        <v/>
      </c>
      <c r="F23072" t="str">
        <v>-</v>
      </c>
      <c r="G23072" t="str">
        <v>-</v>
      </c>
    </row>
    <row r="23073">
      <c r="B23073" t="str">
        <v>UBND Ủy ban nhân dân xã Đại Thành  tỉnh Hậu Giang</v>
      </c>
      <c r="C23073" t="str">
        <v>-</v>
      </c>
      <c r="D23073" t="str">
        <v>-</v>
      </c>
      <c r="E23073" t="str">
        <v>-</v>
      </c>
      <c r="F23073" t="str">
        <v>-</v>
      </c>
      <c r="G23073" t="str">
        <v>-</v>
      </c>
    </row>
    <row r="23074">
      <c r="B23074" t="str">
        <v>Công an xã Tân Thành  tỉnh Hậu Giang</v>
      </c>
      <c r="C23074" t="str">
        <v>-</v>
      </c>
      <c r="D23074" t="str">
        <v>-</v>
      </c>
      <c r="E23074" t="str">
        <v/>
      </c>
      <c r="F23074" t="str">
        <v>-</v>
      </c>
      <c r="G23074" t="str">
        <v>-</v>
      </c>
    </row>
    <row r="23075">
      <c r="B23075" t="str">
        <v>UBND Ủy ban nhân dân xã Tân Thành  tỉnh Hậu Giang</v>
      </c>
      <c r="C23075" t="str">
        <v>-</v>
      </c>
      <c r="D23075" t="str">
        <v>-</v>
      </c>
      <c r="E23075" t="str">
        <v>-</v>
      </c>
      <c r="F23075" t="str">
        <v>-</v>
      </c>
      <c r="G23075" t="str">
        <v>-</v>
      </c>
    </row>
    <row r="23076">
      <c r="B23076" t="str">
        <v>Công an xã Tân Hoà  tỉnh Hậu Giang</v>
      </c>
      <c r="C23076" t="str">
        <v>-</v>
      </c>
      <c r="D23076" t="str">
        <v>-</v>
      </c>
      <c r="E23076" t="str">
        <v/>
      </c>
      <c r="F23076" t="str">
        <v>-</v>
      </c>
      <c r="G23076" t="str">
        <v>-</v>
      </c>
    </row>
    <row r="23077">
      <c r="B23077" t="str">
        <v>UBND Ủy ban nhân dân xã Tân Hoà  tỉnh Hậu Giang</v>
      </c>
      <c r="C23077" t="str">
        <v>-</v>
      </c>
      <c r="D23077" t="str">
        <v>-</v>
      </c>
      <c r="E23077" t="str">
        <v>-</v>
      </c>
      <c r="F23077" t="str">
        <v>-</v>
      </c>
      <c r="G23077" t="str">
        <v>-</v>
      </c>
    </row>
    <row r="23078">
      <c r="B23078" t="str">
        <v>Công an xã Trường Long Tây  tỉnh Hậu Giang</v>
      </c>
      <c r="C23078" t="str">
        <v>-</v>
      </c>
      <c r="D23078" t="str">
        <v>-</v>
      </c>
      <c r="E23078" t="str">
        <v/>
      </c>
      <c r="F23078" t="str">
        <v>-</v>
      </c>
      <c r="G23078" t="str">
        <v>-</v>
      </c>
    </row>
    <row r="23079">
      <c r="B23079" t="str">
        <v>UBND Ủy ban nhân dân xã Trường Long Tây  tỉnh Hậu Giang</v>
      </c>
      <c r="C23079" t="str">
        <v>-</v>
      </c>
      <c r="D23079" t="str">
        <v>-</v>
      </c>
      <c r="E23079" t="str">
        <v>-</v>
      </c>
      <c r="F23079" t="str">
        <v>-</v>
      </c>
      <c r="G23079" t="str">
        <v>-</v>
      </c>
    </row>
    <row r="23080">
      <c r="B23080" t="str">
        <v>Công an xã Trường Long A  tỉnh Hậu Giang</v>
      </c>
      <c r="C23080" t="str">
        <v>-</v>
      </c>
      <c r="D23080" t="str">
        <v>-</v>
      </c>
      <c r="E23080" t="str">
        <v/>
      </c>
      <c r="F23080" t="str">
        <v>-</v>
      </c>
      <c r="G23080" t="str">
        <v>-</v>
      </c>
    </row>
    <row r="23081">
      <c r="B23081" t="str">
        <v>UBND Ủy ban nhân dân xã Trường Long A  tỉnh Hậu Giang</v>
      </c>
      <c r="C23081" t="str">
        <v>-</v>
      </c>
      <c r="D23081" t="str">
        <v>-</v>
      </c>
      <c r="E23081" t="str">
        <v>-</v>
      </c>
      <c r="F23081" t="str">
        <v>-</v>
      </c>
      <c r="G23081" t="str">
        <v>-</v>
      </c>
    </row>
    <row r="23082">
      <c r="B23082" t="str">
        <v>Công an xã Nhơn Nghĩa A  tỉnh Hậu Giang</v>
      </c>
      <c r="C23082" t="str">
        <v>-</v>
      </c>
      <c r="D23082" t="str">
        <v>-</v>
      </c>
      <c r="E23082" t="str">
        <v/>
      </c>
      <c r="F23082" t="str">
        <v>-</v>
      </c>
      <c r="G23082" t="str">
        <v>-</v>
      </c>
    </row>
    <row r="23083">
      <c r="B23083" t="str">
        <v>UBND Ủy ban nhân dân xã Nhơn Nghĩa A  tỉnh Hậu Giang</v>
      </c>
      <c r="C23083" t="str">
        <v>-</v>
      </c>
      <c r="D23083" t="str">
        <v>-</v>
      </c>
      <c r="E23083" t="str">
        <v>-</v>
      </c>
      <c r="F23083" t="str">
        <v>-</v>
      </c>
      <c r="G23083" t="str">
        <v>-</v>
      </c>
    </row>
    <row r="23084">
      <c r="B23084" t="str">
        <v>Công an xã Thạnh Xuân  tỉnh Hậu Giang</v>
      </c>
      <c r="C23084" t="str">
        <v>-</v>
      </c>
      <c r="D23084" t="str">
        <v>-</v>
      </c>
      <c r="E23084" t="str">
        <v/>
      </c>
      <c r="F23084" t="str">
        <v>-</v>
      </c>
      <c r="G23084" t="str">
        <v>-</v>
      </c>
    </row>
    <row r="23085">
      <c r="B23085" t="str">
        <v>UBND Ủy ban nhân dân xã Thạnh Xuân  tỉnh Hậu Giang</v>
      </c>
      <c r="C23085" t="str">
        <v>-</v>
      </c>
      <c r="D23085" t="str">
        <v>-</v>
      </c>
      <c r="E23085" t="str">
        <v>-</v>
      </c>
      <c r="F23085" t="str">
        <v>-</v>
      </c>
      <c r="G23085" t="str">
        <v>-</v>
      </c>
    </row>
    <row r="23086">
      <c r="B23086" t="str">
        <v>Công an xã Tân Phú Thạnh  tỉnh Hậu Giang</v>
      </c>
      <c r="C23086" t="str">
        <v>-</v>
      </c>
      <c r="D23086" t="str">
        <v>-</v>
      </c>
      <c r="E23086" t="str">
        <v/>
      </c>
      <c r="F23086" t="str">
        <v>-</v>
      </c>
      <c r="G23086" t="str">
        <v>-</v>
      </c>
    </row>
    <row r="23087">
      <c r="B23087" t="str">
        <v>UBND Ủy ban nhân dân xã Tân Phú Thạnh  tỉnh Hậu Giang</v>
      </c>
      <c r="C23087" t="str">
        <v>-</v>
      </c>
      <c r="D23087" t="str">
        <v>-</v>
      </c>
      <c r="E23087" t="str">
        <v>-</v>
      </c>
      <c r="F23087" t="str">
        <v>-</v>
      </c>
      <c r="G23087" t="str">
        <v>-</v>
      </c>
    </row>
    <row r="23088">
      <c r="B23088" t="str">
        <v>Công an xã Đông Thạnh  tỉnh Hậu Giang</v>
      </c>
      <c r="C23088" t="str">
        <v>-</v>
      </c>
      <c r="D23088" t="str">
        <v>-</v>
      </c>
      <c r="E23088" t="str">
        <v/>
      </c>
      <c r="F23088" t="str">
        <v>-</v>
      </c>
      <c r="G23088" t="str">
        <v>-</v>
      </c>
    </row>
    <row r="23089">
      <c r="B23089" t="str">
        <v>UBND Ủy ban nhân dân xã Đông Thạnh  tỉnh Hậu Giang</v>
      </c>
      <c r="C23089" t="str">
        <v>-</v>
      </c>
      <c r="D23089" t="str">
        <v>-</v>
      </c>
      <c r="E23089" t="str">
        <v>-</v>
      </c>
      <c r="F23089" t="str">
        <v>-</v>
      </c>
      <c r="G23089" t="str">
        <v>-</v>
      </c>
    </row>
    <row r="23090">
      <c r="B23090" t="str">
        <v>Công an xã Phú An  tỉnh Hậu Giang</v>
      </c>
      <c r="C23090" t="str">
        <v>-</v>
      </c>
      <c r="D23090" t="str">
        <v>-</v>
      </c>
      <c r="E23090" t="str">
        <v/>
      </c>
      <c r="F23090" t="str">
        <v>-</v>
      </c>
      <c r="G23090" t="str">
        <v>-</v>
      </c>
    </row>
    <row r="23091">
      <c r="B23091" t="str">
        <v>UBND Ủy ban nhân dân xã Phú An  tỉnh Hậu Giang</v>
      </c>
      <c r="C23091" t="str">
        <v>-</v>
      </c>
      <c r="D23091" t="str">
        <v>-</v>
      </c>
      <c r="E23091" t="str">
        <v>-</v>
      </c>
      <c r="F23091" t="str">
        <v>-</v>
      </c>
      <c r="G23091" t="str">
        <v>-</v>
      </c>
    </row>
    <row r="23092">
      <c r="B23092" t="str">
        <v>Công an xã Đông Phú  tỉnh Hậu Giang</v>
      </c>
      <c r="C23092" t="str">
        <v>-</v>
      </c>
      <c r="D23092" t="str">
        <v>-</v>
      </c>
      <c r="E23092" t="str">
        <v/>
      </c>
      <c r="F23092" t="str">
        <v>-</v>
      </c>
      <c r="G23092" t="str">
        <v>-</v>
      </c>
    </row>
    <row r="23093">
      <c r="B23093" t="str">
        <v>UBND Ủy ban nhân dân xã Đông Phú  tỉnh Hậu Giang</v>
      </c>
      <c r="C23093" t="str">
        <v>-</v>
      </c>
      <c r="D23093" t="str">
        <v>-</v>
      </c>
      <c r="E23093" t="str">
        <v>-</v>
      </c>
      <c r="F23093" t="str">
        <v>-</v>
      </c>
      <c r="G23093" t="str">
        <v>-</v>
      </c>
    </row>
    <row r="23094">
      <c r="B23094" t="str">
        <v>Công an xã Phú Hữu  tỉnh Hậu Giang</v>
      </c>
      <c r="C23094" t="str">
        <v>-</v>
      </c>
      <c r="D23094" t="str">
        <v>-</v>
      </c>
      <c r="E23094" t="str">
        <v/>
      </c>
      <c r="F23094" t="str">
        <v>-</v>
      </c>
      <c r="G23094" t="str">
        <v>-</v>
      </c>
    </row>
    <row r="23095">
      <c r="B23095" t="str">
        <v>UBND Ủy ban nhân dân xã Phú Hữu  tỉnh Hậu Giang</v>
      </c>
      <c r="C23095" t="str">
        <v>-</v>
      </c>
      <c r="D23095" t="str">
        <v>-</v>
      </c>
      <c r="E23095" t="str">
        <v>-</v>
      </c>
      <c r="F23095" t="str">
        <v>-</v>
      </c>
      <c r="G23095" t="str">
        <v>-</v>
      </c>
    </row>
    <row r="23096">
      <c r="B23096" t="str">
        <v>Công an xã Phú Tân  tỉnh Hậu Giang</v>
      </c>
      <c r="C23096" t="str">
        <v>-</v>
      </c>
      <c r="D23096" t="str">
        <v>-</v>
      </c>
      <c r="E23096" t="str">
        <v/>
      </c>
      <c r="F23096" t="str">
        <v>-</v>
      </c>
      <c r="G23096" t="str">
        <v>-</v>
      </c>
    </row>
    <row r="23097">
      <c r="B23097" t="str">
        <v>UBND Ủy ban nhân dân xã Phú Tân  tỉnh Hậu Giang</v>
      </c>
      <c r="C23097" t="str">
        <v>-</v>
      </c>
      <c r="D23097" t="str">
        <v>-</v>
      </c>
      <c r="E23097" t="str">
        <v>-</v>
      </c>
      <c r="F23097" t="str">
        <v>-</v>
      </c>
      <c r="G23097" t="str">
        <v>-</v>
      </c>
    </row>
    <row r="23098">
      <c r="B23098" t="str">
        <v>Công an xã Đông Phước  tỉnh Hậu Giang</v>
      </c>
      <c r="C23098" t="str">
        <v>-</v>
      </c>
      <c r="D23098" t="str">
        <v>-</v>
      </c>
      <c r="E23098" t="str">
        <v/>
      </c>
      <c r="F23098" t="str">
        <v>-</v>
      </c>
      <c r="G23098" t="str">
        <v>-</v>
      </c>
    </row>
    <row r="23099">
      <c r="B23099" t="str">
        <v>UBND Ủy ban nhân dân xã Đông Phước  tỉnh Hậu Giang</v>
      </c>
      <c r="C23099" t="str">
        <v>-</v>
      </c>
      <c r="D23099" t="str">
        <v>-</v>
      </c>
      <c r="E23099" t="str">
        <v>-</v>
      </c>
      <c r="F23099" t="str">
        <v>-</v>
      </c>
      <c r="G23099" t="str">
        <v>-</v>
      </c>
    </row>
    <row r="23100">
      <c r="B23100" t="str">
        <v>Công an xã Đông Phước A  tỉnh Hậu Giang</v>
      </c>
      <c r="C23100" t="str">
        <v>-</v>
      </c>
      <c r="D23100" t="str">
        <v>-</v>
      </c>
      <c r="E23100" t="str">
        <v/>
      </c>
      <c r="F23100" t="str">
        <v>-</v>
      </c>
      <c r="G23100" t="str">
        <v>-</v>
      </c>
    </row>
    <row r="23101">
      <c r="B23101" t="str">
        <v>UBND Ủy ban nhân dân xã Đông Phước A  tỉnh Hậu Giang</v>
      </c>
      <c r="C23101" t="str">
        <v>-</v>
      </c>
      <c r="D23101" t="str">
        <v>-</v>
      </c>
      <c r="E23101" t="str">
        <v>-</v>
      </c>
      <c r="F23101" t="str">
        <v>-</v>
      </c>
      <c r="G23101" t="str">
        <v>-</v>
      </c>
    </row>
    <row r="23102">
      <c r="B23102" t="str">
        <v>Công an xã Tân Bình  tỉnh Hậu Giang</v>
      </c>
      <c r="C23102" t="str">
        <v>-</v>
      </c>
      <c r="D23102" t="str">
        <v>-</v>
      </c>
      <c r="E23102" t="str">
        <v/>
      </c>
      <c r="F23102" t="str">
        <v>-</v>
      </c>
      <c r="G23102" t="str">
        <v>-</v>
      </c>
    </row>
    <row r="23103">
      <c r="B23103" t="str">
        <v>UBND Ủy ban nhân dân xã Tân Bình  tỉnh Hậu Giang</v>
      </c>
      <c r="C23103" t="str">
        <v>-</v>
      </c>
      <c r="D23103" t="str">
        <v>-</v>
      </c>
      <c r="E23103" t="str">
        <v>-</v>
      </c>
      <c r="F23103" t="str">
        <v>-</v>
      </c>
      <c r="G23103" t="str">
        <v>-</v>
      </c>
    </row>
    <row r="23104">
      <c r="B23104" t="str">
        <v>Công an xã Bình Thành  tỉnh Hậu Giang</v>
      </c>
      <c r="C23104" t="str">
        <v>-</v>
      </c>
      <c r="D23104" t="str">
        <v>-</v>
      </c>
      <c r="E23104" t="str">
        <v/>
      </c>
      <c r="F23104" t="str">
        <v>-</v>
      </c>
      <c r="G23104" t="str">
        <v>-</v>
      </c>
    </row>
    <row r="23105">
      <c r="B23105" t="str">
        <v>UBND Ủy ban nhân dân xã Bình Thành  tỉnh Hậu Giang</v>
      </c>
      <c r="C23105" t="str">
        <v>-</v>
      </c>
      <c r="D23105" t="str">
        <v>-</v>
      </c>
      <c r="E23105" t="str">
        <v>-</v>
      </c>
      <c r="F23105" t="str">
        <v>-</v>
      </c>
      <c r="G23105" t="str">
        <v>-</v>
      </c>
    </row>
    <row r="23106">
      <c r="B23106" t="str">
        <v>Công an xã Thạnh Hòa  tỉnh Hậu Giang</v>
      </c>
      <c r="C23106" t="str">
        <v>-</v>
      </c>
      <c r="D23106" t="str">
        <v>-</v>
      </c>
      <c r="E23106" t="str">
        <v/>
      </c>
      <c r="F23106" t="str">
        <v>-</v>
      </c>
      <c r="G23106" t="str">
        <v>-</v>
      </c>
    </row>
    <row r="23107">
      <c r="B23107" t="str">
        <v>UBND Ủy ban nhân dân xã Thạnh Hòa  tỉnh Hậu Giang</v>
      </c>
      <c r="C23107" t="str">
        <v>-</v>
      </c>
      <c r="D23107" t="str">
        <v>-</v>
      </c>
      <c r="E23107" t="str">
        <v>-</v>
      </c>
      <c r="F23107" t="str">
        <v>-</v>
      </c>
      <c r="G23107" t="str">
        <v>-</v>
      </c>
    </row>
    <row r="23108">
      <c r="B23108" t="str">
        <v>Công an xã Long Thạnh  tỉnh Hậu Giang</v>
      </c>
      <c r="C23108" t="str">
        <v>-</v>
      </c>
      <c r="D23108" t="str">
        <v>-</v>
      </c>
      <c r="E23108" t="str">
        <v/>
      </c>
      <c r="F23108" t="str">
        <v>-</v>
      </c>
      <c r="G23108" t="str">
        <v>-</v>
      </c>
    </row>
    <row r="23109">
      <c r="B23109" t="str">
        <v>UBND Ủy ban nhân dân xã Long Thạnh  tỉnh Hậu Giang</v>
      </c>
      <c r="C23109" t="str">
        <v>-</v>
      </c>
      <c r="D23109" t="str">
        <v>-</v>
      </c>
      <c r="E23109" t="str">
        <v>-</v>
      </c>
      <c r="F23109" t="str">
        <v>-</v>
      </c>
      <c r="G23109" t="str">
        <v>-</v>
      </c>
    </row>
    <row r="23110">
      <c r="B23110" t="str">
        <v>Công an xã Phụng Hiệp  tỉnh Hậu Giang</v>
      </c>
      <c r="C23110" t="str">
        <v>-</v>
      </c>
      <c r="D23110" t="str">
        <v>-</v>
      </c>
      <c r="E23110" t="str">
        <v/>
      </c>
      <c r="F23110" t="str">
        <v>-</v>
      </c>
      <c r="G23110" t="str">
        <v>-</v>
      </c>
    </row>
    <row r="23111">
      <c r="B23111" t="str">
        <v>UBND Ủy ban nhân dân xã Phụng Hiệp  tỉnh Hậu Giang</v>
      </c>
      <c r="C23111" t="str">
        <v>-</v>
      </c>
      <c r="D23111" t="str">
        <v>-</v>
      </c>
      <c r="E23111" t="str">
        <v>-</v>
      </c>
      <c r="F23111" t="str">
        <v>-</v>
      </c>
      <c r="G23111" t="str">
        <v>-</v>
      </c>
    </row>
    <row r="23112">
      <c r="B23112" t="str">
        <v>Công an xã Hòa Mỹ  tỉnh Hậu Giang</v>
      </c>
      <c r="C23112" t="str">
        <v>-</v>
      </c>
      <c r="D23112" t="str">
        <v>-</v>
      </c>
      <c r="E23112" t="str">
        <v/>
      </c>
      <c r="F23112" t="str">
        <v>-</v>
      </c>
      <c r="G23112" t="str">
        <v>-</v>
      </c>
    </row>
    <row r="23113">
      <c r="B23113" t="str">
        <v>UBND Ủy ban nhân dân xã Hòa Mỹ  tỉnh Hậu Giang</v>
      </c>
      <c r="C23113" t="str">
        <v>-</v>
      </c>
      <c r="D23113" t="str">
        <v>-</v>
      </c>
      <c r="E23113" t="str">
        <v>-</v>
      </c>
      <c r="F23113" t="str">
        <v>-</v>
      </c>
      <c r="G23113" t="str">
        <v>-</v>
      </c>
    </row>
    <row r="23114">
      <c r="B23114" t="str">
        <v>Công an xã Hòa An  tỉnh Hậu Giang</v>
      </c>
      <c r="C23114" t="str">
        <v>-</v>
      </c>
      <c r="D23114" t="str">
        <v>-</v>
      </c>
      <c r="E23114" t="str">
        <v/>
      </c>
      <c r="F23114" t="str">
        <v>-</v>
      </c>
      <c r="G23114" t="str">
        <v>-</v>
      </c>
    </row>
    <row r="23115">
      <c r="B23115" t="str">
        <v>UBND Ủy ban nhân dân xã Hòa An  tỉnh Hậu Giang</v>
      </c>
      <c r="C23115" t="str">
        <v>-</v>
      </c>
      <c r="D23115" t="str">
        <v>-</v>
      </c>
      <c r="E23115" t="str">
        <v>-</v>
      </c>
      <c r="F23115" t="str">
        <v>-</v>
      </c>
      <c r="G23115" t="str">
        <v>-</v>
      </c>
    </row>
    <row r="23116">
      <c r="B23116" t="str">
        <v>Công an xã Phương Bình  tỉnh Hậu Giang</v>
      </c>
      <c r="C23116" t="str">
        <v>-</v>
      </c>
      <c r="D23116" t="str">
        <v>-</v>
      </c>
      <c r="E23116" t="str">
        <v/>
      </c>
      <c r="F23116" t="str">
        <v>-</v>
      </c>
      <c r="G23116" t="str">
        <v>-</v>
      </c>
    </row>
    <row r="23117">
      <c r="B23117" t="str">
        <v>UBND Ủy ban nhân dân xã Phương Bình  tỉnh Hậu Giang</v>
      </c>
      <c r="C23117" t="str">
        <v>-</v>
      </c>
      <c r="D23117" t="str">
        <v>-</v>
      </c>
      <c r="E23117" t="str">
        <v>-</v>
      </c>
      <c r="F23117" t="str">
        <v>-</v>
      </c>
      <c r="G23117" t="str">
        <v>-</v>
      </c>
    </row>
    <row r="23118">
      <c r="B23118" t="str">
        <v>Công an xã Hiệp Hưng  tỉnh Hậu Giang</v>
      </c>
      <c r="C23118" t="str">
        <v>-</v>
      </c>
      <c r="D23118" t="str">
        <v>-</v>
      </c>
      <c r="E23118" t="str">
        <v/>
      </c>
      <c r="F23118" t="str">
        <v>-</v>
      </c>
      <c r="G23118" t="str">
        <v>-</v>
      </c>
    </row>
    <row r="23119">
      <c r="B23119" t="str">
        <v>UBND Ủy ban nhân dân xã Hiệp Hưng  tỉnh Hậu Giang</v>
      </c>
      <c r="C23119" t="str">
        <v>-</v>
      </c>
      <c r="D23119" t="str">
        <v>-</v>
      </c>
      <c r="E23119" t="str">
        <v>-</v>
      </c>
      <c r="F23119" t="str">
        <v>-</v>
      </c>
      <c r="G23119" t="str">
        <v>-</v>
      </c>
    </row>
    <row r="23120">
      <c r="B23120" t="str">
        <v>Công an xã Tân Phước Hưng  tỉnh Hậu Giang</v>
      </c>
      <c r="C23120" t="str">
        <v>-</v>
      </c>
      <c r="D23120" t="str">
        <v>-</v>
      </c>
      <c r="E23120" t="str">
        <v/>
      </c>
      <c r="F23120" t="str">
        <v>-</v>
      </c>
      <c r="G23120" t="str">
        <v>-</v>
      </c>
    </row>
    <row r="23121">
      <c r="B23121" t="str">
        <v>UBND Ủy ban nhân dân xã Tân Phước Hưng  tỉnh Hậu Giang</v>
      </c>
      <c r="C23121" t="str">
        <v>-</v>
      </c>
      <c r="D23121" t="str">
        <v>-</v>
      </c>
      <c r="E23121" t="str">
        <v>-</v>
      </c>
      <c r="F23121" t="str">
        <v>-</v>
      </c>
      <c r="G23121" t="str">
        <v>-</v>
      </c>
    </row>
    <row r="23122">
      <c r="B23122" t="str">
        <v>Công an xã Phương Phú  tỉnh Hậu Giang</v>
      </c>
      <c r="C23122" t="str">
        <v>-</v>
      </c>
      <c r="D23122" t="str">
        <v>-</v>
      </c>
      <c r="E23122" t="str">
        <v/>
      </c>
      <c r="F23122" t="str">
        <v>-</v>
      </c>
      <c r="G23122" t="str">
        <v>-</v>
      </c>
    </row>
    <row r="23123">
      <c r="B23123" t="str">
        <v>UBND Ủy ban nhân dân xã Phương Phú  tỉnh Hậu Giang</v>
      </c>
      <c r="C23123" t="str">
        <v>-</v>
      </c>
      <c r="D23123" t="str">
        <v>-</v>
      </c>
      <c r="E23123" t="str">
        <v>-</v>
      </c>
      <c r="F23123" t="str">
        <v>-</v>
      </c>
      <c r="G23123" t="str">
        <v>-</v>
      </c>
    </row>
    <row r="23124">
      <c r="B23124" t="str">
        <v>Công an xã Tân Long  tỉnh Hậu Giang</v>
      </c>
      <c r="C23124" t="str">
        <v>-</v>
      </c>
      <c r="D23124" t="str">
        <v>-</v>
      </c>
      <c r="E23124" t="str">
        <v/>
      </c>
      <c r="F23124" t="str">
        <v>-</v>
      </c>
      <c r="G23124" t="str">
        <v>-</v>
      </c>
    </row>
    <row r="23125">
      <c r="B23125" t="str">
        <v>UBND Ủy ban nhân dân xã Tân Long  tỉnh Hậu Giang</v>
      </c>
      <c r="C23125" t="str">
        <v>-</v>
      </c>
      <c r="D23125" t="str">
        <v>-</v>
      </c>
      <c r="E23125" t="str">
        <v>-</v>
      </c>
      <c r="F23125" t="str">
        <v>-</v>
      </c>
      <c r="G23125" t="str">
        <v>-</v>
      </c>
    </row>
    <row r="23126">
      <c r="B23126" t="str">
        <v>Công an xã Vị Trung  tỉnh Hậu Giang</v>
      </c>
      <c r="C23126" t="str">
        <v>-</v>
      </c>
      <c r="D23126" t="str">
        <v>-</v>
      </c>
      <c r="E23126" t="str">
        <v/>
      </c>
      <c r="F23126" t="str">
        <v>-</v>
      </c>
      <c r="G23126" t="str">
        <v>-</v>
      </c>
    </row>
    <row r="23127">
      <c r="B23127" t="str">
        <v>UBND Ủy ban nhân dân xã Vị Trung  tỉnh Hậu Giang</v>
      </c>
      <c r="C23127" t="str">
        <v>-</v>
      </c>
      <c r="D23127" t="str">
        <v>-</v>
      </c>
      <c r="E23127" t="str">
        <v>-</v>
      </c>
      <c r="F23127" t="str">
        <v>-</v>
      </c>
      <c r="G23127" t="str">
        <v>-</v>
      </c>
    </row>
    <row r="23128">
      <c r="B23128" t="str">
        <v>Công an xã Vị Thuỷ  tỉnh Hậu Giang</v>
      </c>
      <c r="C23128" t="str">
        <v>-</v>
      </c>
      <c r="D23128" t="str">
        <v>-</v>
      </c>
      <c r="E23128" t="str">
        <v/>
      </c>
      <c r="F23128" t="str">
        <v>-</v>
      </c>
      <c r="G23128" t="str">
        <v>-</v>
      </c>
    </row>
    <row r="23129">
      <c r="B23129" t="str">
        <v>UBND Ủy ban nhân dân xã Vị Thuỷ  tỉnh Hậu Giang</v>
      </c>
      <c r="C23129" t="str">
        <v>-</v>
      </c>
      <c r="D23129" t="str">
        <v>-</v>
      </c>
      <c r="E23129" t="str">
        <v>-</v>
      </c>
      <c r="F23129" t="str">
        <v>-</v>
      </c>
      <c r="G23129" t="str">
        <v>-</v>
      </c>
    </row>
    <row r="23130">
      <c r="B23130" t="str">
        <v>Công an xã Vị Thắng  tỉnh Hậu Giang</v>
      </c>
      <c r="C23130" t="str">
        <v>-</v>
      </c>
      <c r="D23130" t="str">
        <v>-</v>
      </c>
      <c r="E23130" t="str">
        <v/>
      </c>
      <c r="F23130" t="str">
        <v>-</v>
      </c>
      <c r="G23130" t="str">
        <v>-</v>
      </c>
    </row>
    <row r="23131">
      <c r="B23131" t="str">
        <v>UBND Ủy ban nhân dân xã Vị Thắng  tỉnh Hậu Giang</v>
      </c>
      <c r="C23131" t="str">
        <v>-</v>
      </c>
      <c r="D23131" t="str">
        <v>-</v>
      </c>
      <c r="E23131" t="str">
        <v>-</v>
      </c>
      <c r="F23131" t="str">
        <v>-</v>
      </c>
      <c r="G23131" t="str">
        <v>-</v>
      </c>
    </row>
    <row r="23132">
      <c r="B23132" t="str">
        <v>Công an xã Vĩnh Thuận Tây  tỉnh Hậu Giang</v>
      </c>
      <c r="C23132" t="str">
        <v>-</v>
      </c>
      <c r="D23132" t="str">
        <v>-</v>
      </c>
      <c r="E23132" t="str">
        <v/>
      </c>
      <c r="F23132" t="str">
        <v>-</v>
      </c>
      <c r="G23132" t="str">
        <v>-</v>
      </c>
    </row>
    <row r="23133">
      <c r="B23133" t="str">
        <v>UBND Ủy ban nhân dân xã Vĩnh Thuận Tây  tỉnh Hậu Giang</v>
      </c>
      <c r="C23133" t="str">
        <v>-</v>
      </c>
      <c r="D23133" t="str">
        <v>-</v>
      </c>
      <c r="E23133" t="str">
        <v>-</v>
      </c>
      <c r="F23133" t="str">
        <v>-</v>
      </c>
      <c r="G23133" t="str">
        <v>-</v>
      </c>
    </row>
    <row r="23134">
      <c r="B23134" t="str">
        <v>Công an xã Vĩnh Trung  tỉnh Hậu Giang</v>
      </c>
      <c r="C23134" t="str">
        <v>-</v>
      </c>
      <c r="D23134" t="str">
        <v>-</v>
      </c>
      <c r="E23134" t="str">
        <v/>
      </c>
      <c r="F23134" t="str">
        <v>-</v>
      </c>
      <c r="G23134" t="str">
        <v>-</v>
      </c>
    </row>
    <row r="23135">
      <c r="B23135" t="str">
        <v>UBND Ủy ban nhân dân xã Vĩnh Trung  tỉnh Hậu Giang</v>
      </c>
      <c r="C23135" t="str">
        <v>-</v>
      </c>
      <c r="D23135" t="str">
        <v>-</v>
      </c>
      <c r="E23135" t="str">
        <v>-</v>
      </c>
      <c r="F23135" t="str">
        <v>-</v>
      </c>
      <c r="G23135" t="str">
        <v>-</v>
      </c>
    </row>
    <row r="23136">
      <c r="B23136" t="str">
        <v>Công an xã Vĩnh Tường  tỉnh Hậu Giang</v>
      </c>
      <c r="C23136" t="str">
        <v>-</v>
      </c>
      <c r="D23136" t="str">
        <v>-</v>
      </c>
      <c r="E23136" t="str">
        <v/>
      </c>
      <c r="F23136" t="str">
        <v>-</v>
      </c>
      <c r="G23136" t="str">
        <v>-</v>
      </c>
    </row>
    <row r="23137">
      <c r="B23137" t="str">
        <v>UBND Ủy ban nhân dân xã Vĩnh Tường  tỉnh Hậu Giang</v>
      </c>
      <c r="C23137" t="str">
        <v>-</v>
      </c>
      <c r="D23137" t="str">
        <v>-</v>
      </c>
      <c r="E23137" t="str">
        <v>-</v>
      </c>
      <c r="F23137" t="str">
        <v>-</v>
      </c>
      <c r="G23137" t="str">
        <v>-</v>
      </c>
    </row>
    <row r="23138">
      <c r="B23138" t="str">
        <v>Công an xã Vị Đông  tỉnh Hậu Giang</v>
      </c>
      <c r="C23138" t="str">
        <v>-</v>
      </c>
      <c r="D23138" t="str">
        <v>-</v>
      </c>
      <c r="E23138" t="str">
        <v/>
      </c>
      <c r="F23138" t="str">
        <v>-</v>
      </c>
      <c r="G23138" t="str">
        <v>-</v>
      </c>
    </row>
    <row r="23139">
      <c r="B23139" t="str">
        <v>UBND Ủy ban nhân dân xã Vị Đông  tỉnh Hậu Giang</v>
      </c>
      <c r="C23139" t="str">
        <v>-</v>
      </c>
      <c r="D23139" t="str">
        <v>-</v>
      </c>
      <c r="E23139" t="str">
        <v>-</v>
      </c>
      <c r="F23139" t="str">
        <v>-</v>
      </c>
      <c r="G23139" t="str">
        <v>-</v>
      </c>
    </row>
    <row r="23140">
      <c r="B23140" t="str">
        <v>Công an xã Vị Thanh  tỉnh Hậu Giang</v>
      </c>
      <c r="C23140" t="str">
        <v>-</v>
      </c>
      <c r="D23140" t="str">
        <v>-</v>
      </c>
      <c r="E23140" t="str">
        <v/>
      </c>
      <c r="F23140" t="str">
        <v>-</v>
      </c>
      <c r="G23140" t="str">
        <v>-</v>
      </c>
    </row>
    <row r="23141">
      <c r="B23141" t="str">
        <v>UBND Ủy ban nhân dân xã Vị Thanh  tỉnh Hậu Giang</v>
      </c>
      <c r="C23141" t="str">
        <v>-</v>
      </c>
      <c r="D23141" t="str">
        <v>-</v>
      </c>
      <c r="E23141" t="str">
        <v>-</v>
      </c>
      <c r="F23141" t="str">
        <v>-</v>
      </c>
      <c r="G23141" t="str">
        <v>-</v>
      </c>
    </row>
    <row r="23142">
      <c r="B23142" t="str">
        <v>Công an xã Vị Bình  tỉnh Hậu Giang</v>
      </c>
      <c r="C23142" t="str">
        <v>-</v>
      </c>
      <c r="D23142" t="str">
        <v>-</v>
      </c>
      <c r="E23142" t="str">
        <v/>
      </c>
      <c r="F23142" t="str">
        <v>-</v>
      </c>
      <c r="G23142" t="str">
        <v>-</v>
      </c>
    </row>
    <row r="23143">
      <c r="B23143" t="str">
        <v>UBND Ủy ban nhân dân xã Vị Bình  tỉnh Hậu Giang</v>
      </c>
      <c r="C23143" t="str">
        <v>-</v>
      </c>
      <c r="D23143" t="str">
        <v>-</v>
      </c>
      <c r="E23143" t="str">
        <v>-</v>
      </c>
      <c r="F23143" t="str">
        <v>-</v>
      </c>
      <c r="G23143" t="str">
        <v>-</v>
      </c>
    </row>
    <row r="23144">
      <c r="B23144" t="str">
        <v>Công an xã Thuận Hưng  tỉnh Hậu Giang</v>
      </c>
      <c r="C23144" t="str">
        <v>-</v>
      </c>
      <c r="D23144" t="str">
        <v>-</v>
      </c>
      <c r="E23144" t="str">
        <v/>
      </c>
      <c r="F23144" t="str">
        <v>-</v>
      </c>
      <c r="G23144" t="str">
        <v>-</v>
      </c>
    </row>
    <row r="23145">
      <c r="B23145" t="str">
        <v>UBND Ủy ban nhân dân xã Thuận Hưng  tỉnh Hậu Giang</v>
      </c>
      <c r="C23145" t="str">
        <v>-</v>
      </c>
      <c r="D23145" t="str">
        <v>-</v>
      </c>
      <c r="E23145" t="str">
        <v>-</v>
      </c>
      <c r="F23145" t="str">
        <v>-</v>
      </c>
      <c r="G23145" t="str">
        <v>-</v>
      </c>
    </row>
    <row r="23146">
      <c r="B23146" t="str">
        <v>Công an xã Thuận Hòa  tỉnh Hậu Giang</v>
      </c>
      <c r="C23146" t="str">
        <v>-</v>
      </c>
      <c r="D23146" t="str">
        <v>-</v>
      </c>
      <c r="E23146" t="str">
        <v/>
      </c>
      <c r="F23146" t="str">
        <v>-</v>
      </c>
      <c r="G23146" t="str">
        <v>-</v>
      </c>
    </row>
    <row r="23147">
      <c r="B23147" t="str">
        <v>UBND Ủy ban nhân dân xã Thuận Hòa  tỉnh Hậu Giang</v>
      </c>
      <c r="C23147" t="str">
        <v>-</v>
      </c>
      <c r="D23147" t="str">
        <v>-</v>
      </c>
      <c r="E23147" t="str">
        <v>-</v>
      </c>
      <c r="F23147" t="str">
        <v>-</v>
      </c>
      <c r="G23147" t="str">
        <v>-</v>
      </c>
    </row>
    <row r="23148">
      <c r="B23148" t="str">
        <v>Công an xã Vĩnh Thuận Đông  tỉnh Hậu Giang</v>
      </c>
      <c r="C23148" t="str">
        <v>-</v>
      </c>
      <c r="D23148" t="str">
        <v>-</v>
      </c>
      <c r="E23148" t="str">
        <v/>
      </c>
      <c r="F23148" t="str">
        <v>-</v>
      </c>
      <c r="G23148" t="str">
        <v>-</v>
      </c>
    </row>
    <row r="23149">
      <c r="B23149" t="str">
        <v>UBND Ủy ban nhân dân xã Vĩnh Thuận Đông  tỉnh Hậu Giang</v>
      </c>
      <c r="C23149" t="str">
        <v>-</v>
      </c>
      <c r="D23149" t="str">
        <v>-</v>
      </c>
      <c r="E23149" t="str">
        <v>-</v>
      </c>
      <c r="F23149" t="str">
        <v>-</v>
      </c>
      <c r="G23149" t="str">
        <v>-</v>
      </c>
    </row>
    <row r="23150">
      <c r="B23150" t="str">
        <v>Công an xã Vĩnh Viễn  tỉnh Hậu Giang</v>
      </c>
      <c r="C23150" t="str">
        <v>-</v>
      </c>
      <c r="D23150" t="str">
        <v>-</v>
      </c>
      <c r="E23150" t="str">
        <v/>
      </c>
      <c r="F23150" t="str">
        <v>-</v>
      </c>
      <c r="G23150" t="str">
        <v>-</v>
      </c>
    </row>
    <row r="23151">
      <c r="B23151" t="str">
        <v>UBND Ủy ban nhân dân xã Vĩnh Viễn  tỉnh Hậu Giang</v>
      </c>
      <c r="C23151" t="str">
        <v>-</v>
      </c>
      <c r="D23151" t="str">
        <v>-</v>
      </c>
      <c r="E23151" t="str">
        <v>-</v>
      </c>
      <c r="F23151" t="str">
        <v>-</v>
      </c>
      <c r="G23151" t="str">
        <v>-</v>
      </c>
    </row>
    <row r="23152">
      <c r="B23152" t="str">
        <v>Công an xã Vĩnh Viễn A  tỉnh Hậu Giang</v>
      </c>
      <c r="C23152" t="str">
        <v>-</v>
      </c>
      <c r="D23152" t="str">
        <v>-</v>
      </c>
      <c r="E23152" t="str">
        <v/>
      </c>
      <c r="F23152" t="str">
        <v>-</v>
      </c>
      <c r="G23152" t="str">
        <v>-</v>
      </c>
    </row>
    <row r="23153">
      <c r="B23153" t="str">
        <v>UBND Ủy ban nhân dân xã Vĩnh Viễn A  tỉnh Hậu Giang</v>
      </c>
      <c r="C23153" t="str">
        <v>-</v>
      </c>
      <c r="D23153" t="str">
        <v>-</v>
      </c>
      <c r="E23153" t="str">
        <v>-</v>
      </c>
      <c r="F23153" t="str">
        <v>-</v>
      </c>
      <c r="G23153" t="str">
        <v>-</v>
      </c>
    </row>
    <row r="23154">
      <c r="B23154" t="str">
        <v>Công an xã Lương Tâm  tỉnh Hậu Giang</v>
      </c>
      <c r="C23154" t="str">
        <v>-</v>
      </c>
      <c r="D23154" t="str">
        <v>-</v>
      </c>
      <c r="E23154" t="str">
        <v/>
      </c>
      <c r="F23154" t="str">
        <v>-</v>
      </c>
      <c r="G23154" t="str">
        <v>-</v>
      </c>
    </row>
    <row r="23155">
      <c r="B23155" t="str">
        <v>UBND Ủy ban nhân dân xã Lương Tâm  tỉnh Hậu Giang</v>
      </c>
      <c r="C23155" t="str">
        <v>-</v>
      </c>
      <c r="D23155" t="str">
        <v>-</v>
      </c>
      <c r="E23155" t="str">
        <v>-</v>
      </c>
      <c r="F23155" t="str">
        <v>-</v>
      </c>
      <c r="G23155" t="str">
        <v>-</v>
      </c>
    </row>
    <row r="23156">
      <c r="B23156" t="str">
        <v>Công an xã Lương Nghĩa  tỉnh Hậu Giang</v>
      </c>
      <c r="C23156" t="str">
        <v>-</v>
      </c>
      <c r="D23156" t="str">
        <v>-</v>
      </c>
      <c r="E23156" t="str">
        <v/>
      </c>
      <c r="F23156" t="str">
        <v>-</v>
      </c>
      <c r="G23156" t="str">
        <v>-</v>
      </c>
    </row>
    <row r="23157">
      <c r="B23157" t="str">
        <v>UBND Ủy ban nhân dân xã Lương Nghĩa  tỉnh Hậu Giang</v>
      </c>
      <c r="C23157" t="str">
        <v>-</v>
      </c>
      <c r="D23157" t="str">
        <v>-</v>
      </c>
      <c r="E23157" t="str">
        <v>-</v>
      </c>
      <c r="F23157" t="str">
        <v>-</v>
      </c>
      <c r="G23157" t="str">
        <v>-</v>
      </c>
    </row>
    <row r="23158">
      <c r="B23158" t="str">
        <v>Công an xã Xà Phiên  tỉnh Hậu Giang</v>
      </c>
      <c r="C23158" t="str">
        <v>-</v>
      </c>
      <c r="D23158" t="str">
        <v>-</v>
      </c>
      <c r="E23158" t="str">
        <v/>
      </c>
      <c r="F23158" t="str">
        <v>-</v>
      </c>
      <c r="G23158" t="str">
        <v>-</v>
      </c>
    </row>
    <row r="23159">
      <c r="B23159" t="str">
        <v>UBND Ủy ban nhân dân xã Xà Phiên  tỉnh Hậu Giang</v>
      </c>
      <c r="C23159" t="str">
        <v>-</v>
      </c>
      <c r="D23159" t="str">
        <v>-</v>
      </c>
      <c r="E23159" t="str">
        <v>-</v>
      </c>
      <c r="F23159" t="str">
        <v>-</v>
      </c>
      <c r="G23159" t="str">
        <v>-</v>
      </c>
    </row>
    <row r="23160">
      <c r="B23160" t="str">
        <v>Công an phường Thuận An  tỉnh Hậu Giang</v>
      </c>
      <c r="C23160" t="str">
        <v>-</v>
      </c>
      <c r="D23160" t="str">
        <v>-</v>
      </c>
      <c r="E23160" t="str">
        <v/>
      </c>
      <c r="F23160" t="str">
        <v>-</v>
      </c>
      <c r="G23160" t="str">
        <v>-</v>
      </c>
    </row>
    <row r="23161">
      <c r="B23161" t="str">
        <v>UBND Ủy ban nhân dân phường Thuận An  tỉnh Hậu Giang</v>
      </c>
      <c r="C23161" t="str">
        <v>-</v>
      </c>
      <c r="D23161" t="str">
        <v>-</v>
      </c>
      <c r="E23161" t="str">
        <v>-</v>
      </c>
      <c r="F23161" t="str">
        <v>-</v>
      </c>
      <c r="G23161" t="str">
        <v>-</v>
      </c>
    </row>
    <row r="23162">
      <c r="B23162" t="str">
        <v>Công an phường Trà Lồng  tỉnh Hậu Giang</v>
      </c>
      <c r="C23162" t="str">
        <v>-</v>
      </c>
      <c r="D23162" t="str">
        <v>-</v>
      </c>
      <c r="E23162" t="str">
        <v/>
      </c>
      <c r="F23162" t="str">
        <v>-</v>
      </c>
      <c r="G23162" t="str">
        <v>-</v>
      </c>
    </row>
    <row r="23163">
      <c r="B23163" t="str">
        <v>UBND Ủy ban nhân dân phường Trà Lồng  tỉnh Hậu Giang</v>
      </c>
      <c r="C23163" t="str">
        <v>-</v>
      </c>
      <c r="D23163" t="str">
        <v>-</v>
      </c>
      <c r="E23163" t="str">
        <v>-</v>
      </c>
      <c r="F23163" t="str">
        <v>-</v>
      </c>
      <c r="G23163" t="str">
        <v>-</v>
      </c>
    </row>
    <row r="23164">
      <c r="B23164" t="str">
        <v>Công an phường Bình Thạnh  tỉnh Hậu Giang</v>
      </c>
      <c r="C23164" t="str">
        <v>-</v>
      </c>
      <c r="D23164" t="str">
        <v>-</v>
      </c>
      <c r="E23164" t="str">
        <v/>
      </c>
      <c r="F23164" t="str">
        <v>-</v>
      </c>
      <c r="G23164" t="str">
        <v>-</v>
      </c>
    </row>
    <row r="23165">
      <c r="B23165" t="str">
        <v>UBND Ủy ban nhân dân phường Bình Thạnh  tỉnh Hậu Giang</v>
      </c>
      <c r="C23165" t="str">
        <v>-</v>
      </c>
      <c r="D23165" t="str">
        <v>-</v>
      </c>
      <c r="E23165" t="str">
        <v>-</v>
      </c>
      <c r="F23165" t="str">
        <v>-</v>
      </c>
      <c r="G23165" t="str">
        <v>-</v>
      </c>
    </row>
    <row r="23166">
      <c r="B23166" t="str">
        <v>Công an xã Long Bình  tỉnh Hậu Giang</v>
      </c>
      <c r="C23166" t="str">
        <v>-</v>
      </c>
      <c r="D23166" t="str">
        <v>-</v>
      </c>
      <c r="E23166" t="str">
        <v/>
      </c>
      <c r="F23166" t="str">
        <v>-</v>
      </c>
      <c r="G23166" t="str">
        <v>-</v>
      </c>
    </row>
    <row r="23167">
      <c r="B23167" t="str">
        <v>UBND Ủy ban nhân dân xã Long Bình  tỉnh Hậu Giang</v>
      </c>
      <c r="C23167" t="str">
        <v>-</v>
      </c>
      <c r="D23167" t="str">
        <v>-</v>
      </c>
      <c r="E23167" t="str">
        <v>-</v>
      </c>
      <c r="F23167" t="str">
        <v>-</v>
      </c>
      <c r="G23167" t="str">
        <v>-</v>
      </c>
    </row>
    <row r="23168">
      <c r="B23168" t="str">
        <v>Công an phường Vĩnh Tường  tỉnh Hậu Giang</v>
      </c>
      <c r="C23168" t="str">
        <v>-</v>
      </c>
      <c r="D23168" t="str">
        <v>-</v>
      </c>
      <c r="E23168" t="str">
        <v/>
      </c>
      <c r="F23168" t="str">
        <v>-</v>
      </c>
      <c r="G23168" t="str">
        <v>-</v>
      </c>
    </row>
    <row r="23169">
      <c r="B23169" t="str">
        <v>UBND Ủy ban nhân dân phường Vĩnh Tường  tỉnh Hậu Giang</v>
      </c>
      <c r="C23169" t="str">
        <v>-</v>
      </c>
      <c r="D23169" t="str">
        <v>-</v>
      </c>
      <c r="E23169" t="str">
        <v>-</v>
      </c>
      <c r="F23169" t="str">
        <v>-</v>
      </c>
      <c r="G23169" t="str">
        <v>-</v>
      </c>
    </row>
    <row r="23170">
      <c r="B23170" t="str">
        <v>Công an xã Long Trị  tỉnh Hậu Giang</v>
      </c>
      <c r="C23170" t="str">
        <v>-</v>
      </c>
      <c r="D23170" t="str">
        <v>-</v>
      </c>
      <c r="E23170" t="str">
        <v/>
      </c>
      <c r="F23170" t="str">
        <v>-</v>
      </c>
      <c r="G23170" t="str">
        <v>-</v>
      </c>
    </row>
    <row r="23171">
      <c r="B23171" t="str">
        <v>UBND Ủy ban nhân dân xã Long Trị  tỉnh Hậu Giang</v>
      </c>
      <c r="C23171" t="str">
        <v>-</v>
      </c>
      <c r="D23171" t="str">
        <v>-</v>
      </c>
      <c r="E23171" t="str">
        <v>-</v>
      </c>
      <c r="F23171" t="str">
        <v>-</v>
      </c>
      <c r="G23171" t="str">
        <v>-</v>
      </c>
    </row>
    <row r="23172">
      <c r="B23172" t="str">
        <v>Công an xã Long Trị A  tỉnh Hậu Giang</v>
      </c>
      <c r="C23172" t="str">
        <v>-</v>
      </c>
      <c r="D23172" t="str">
        <v>-</v>
      </c>
      <c r="E23172" t="str">
        <v/>
      </c>
      <c r="F23172" t="str">
        <v>-</v>
      </c>
      <c r="G23172" t="str">
        <v>-</v>
      </c>
    </row>
    <row r="23173">
      <c r="B23173" t="str">
        <v>UBND Ủy ban nhân dân xã Long Trị A  tỉnh Hậu Giang</v>
      </c>
      <c r="C23173" t="str">
        <v>-</v>
      </c>
      <c r="D23173" t="str">
        <v>-</v>
      </c>
      <c r="E23173" t="str">
        <v>-</v>
      </c>
      <c r="F23173" t="str">
        <v>-</v>
      </c>
      <c r="G23173" t="str">
        <v>-</v>
      </c>
    </row>
    <row r="23174">
      <c r="B23174" t="str">
        <v>Công an xã Long Phú  tỉnh Hậu Giang</v>
      </c>
      <c r="C23174" t="str">
        <v>-</v>
      </c>
      <c r="D23174" t="str">
        <v>-</v>
      </c>
      <c r="E23174" t="str">
        <v/>
      </c>
      <c r="F23174" t="str">
        <v>-</v>
      </c>
      <c r="G23174" t="str">
        <v>-</v>
      </c>
    </row>
    <row r="23175">
      <c r="B23175" t="str">
        <v>UBND Ủy ban nhân dân xã Long Phú  tỉnh Hậu Giang</v>
      </c>
      <c r="C23175" t="str">
        <v>-</v>
      </c>
      <c r="D23175" t="str">
        <v>-</v>
      </c>
      <c r="E23175" t="str">
        <v>-</v>
      </c>
      <c r="F23175" t="str">
        <v>-</v>
      </c>
      <c r="G23175" t="str">
        <v>-</v>
      </c>
    </row>
    <row r="23176">
      <c r="B23176" t="str">
        <v>Công an xã Tân Phú  tỉnh Hậu Giang</v>
      </c>
      <c r="C23176" t="str">
        <v>-</v>
      </c>
      <c r="D23176" t="str">
        <v>-</v>
      </c>
      <c r="E23176" t="str">
        <v/>
      </c>
      <c r="F23176" t="str">
        <v>-</v>
      </c>
      <c r="G23176" t="str">
        <v>-</v>
      </c>
    </row>
    <row r="23177">
      <c r="B23177" t="str">
        <v>UBND Ủy ban nhân dân xã Tân Phú  tỉnh Hậu Giang</v>
      </c>
      <c r="C23177" t="str">
        <v>-</v>
      </c>
      <c r="D23177" t="str">
        <v>-</v>
      </c>
      <c r="E23177" t="str">
        <v>-</v>
      </c>
      <c r="F23177" t="str">
        <v>-</v>
      </c>
      <c r="G23177" t="str">
        <v>-</v>
      </c>
    </row>
    <row r="23178">
      <c r="B23178" t="str">
        <v>Công an phường 5  tỉnh Sóc Trăng</v>
      </c>
      <c r="C23178" t="str">
        <v>-</v>
      </c>
      <c r="D23178" t="str">
        <v>-</v>
      </c>
      <c r="E23178" t="str">
        <v/>
      </c>
      <c r="F23178" t="str">
        <v>-</v>
      </c>
      <c r="G23178" t="str">
        <v>-</v>
      </c>
    </row>
    <row r="23179">
      <c r="B23179" t="str">
        <v>UBND Ủy ban nhân dân phường 5  tỉnh Sóc Trăng</v>
      </c>
      <c r="C23179" t="str">
        <v>-</v>
      </c>
      <c r="D23179" t="str">
        <v>-</v>
      </c>
      <c r="E23179" t="str">
        <v>-</v>
      </c>
      <c r="F23179" t="str">
        <v>-</v>
      </c>
      <c r="G23179" t="str">
        <v>-</v>
      </c>
    </row>
    <row r="23180">
      <c r="B23180" t="str">
        <v>Công an phường 7  tỉnh Sóc Trăng</v>
      </c>
      <c r="C23180" t="str">
        <v>-</v>
      </c>
      <c r="D23180" t="str">
        <v>-</v>
      </c>
      <c r="E23180" t="str">
        <v/>
      </c>
      <c r="F23180" t="str">
        <v>-</v>
      </c>
      <c r="G23180" t="str">
        <v>-</v>
      </c>
    </row>
    <row r="23181">
      <c r="B23181" t="str">
        <v>UBND Ủy ban nhân dân phường 7  tỉnh Sóc Trăng</v>
      </c>
      <c r="C23181" t="str">
        <v>-</v>
      </c>
      <c r="D23181" t="str">
        <v>-</v>
      </c>
      <c r="E23181" t="str">
        <v>-</v>
      </c>
      <c r="F23181" t="str">
        <v>-</v>
      </c>
      <c r="G23181" t="str">
        <v>-</v>
      </c>
    </row>
    <row r="23182">
      <c r="B23182" t="str">
        <v>Công an phường 8  tỉnh Sóc Trăng</v>
      </c>
      <c r="C23182" t="str">
        <v>-</v>
      </c>
      <c r="D23182" t="str">
        <v>-</v>
      </c>
      <c r="E23182" t="str">
        <v/>
      </c>
      <c r="F23182" t="str">
        <v>-</v>
      </c>
      <c r="G23182" t="str">
        <v>-</v>
      </c>
    </row>
    <row r="23183">
      <c r="B23183" t="str">
        <v>UBND Ủy ban nhân dân phường 8  tỉnh Sóc Trăng</v>
      </c>
      <c r="C23183" t="str">
        <v>-</v>
      </c>
      <c r="D23183" t="str">
        <v>-</v>
      </c>
      <c r="E23183" t="str">
        <v>-</v>
      </c>
      <c r="F23183" t="str">
        <v>-</v>
      </c>
      <c r="G23183" t="str">
        <v>-</v>
      </c>
    </row>
    <row r="23184">
      <c r="B23184" t="str">
        <v>Công an phường 6  tỉnh Sóc Trăng</v>
      </c>
      <c r="C23184" t="str">
        <v>-</v>
      </c>
      <c r="D23184" t="str">
        <v>-</v>
      </c>
      <c r="E23184" t="str">
        <v/>
      </c>
      <c r="F23184" t="str">
        <v>-</v>
      </c>
      <c r="G23184" t="str">
        <v>-</v>
      </c>
    </row>
    <row r="23185">
      <c r="B23185" t="str">
        <v>UBND Ủy ban nhân dân phường 6  tỉnh Sóc Trăng</v>
      </c>
      <c r="C23185" t="str">
        <v>-</v>
      </c>
      <c r="D23185" t="str">
        <v>-</v>
      </c>
      <c r="E23185" t="str">
        <v>-</v>
      </c>
      <c r="F23185" t="str">
        <v>-</v>
      </c>
      <c r="G23185" t="str">
        <v>-</v>
      </c>
    </row>
    <row r="23186">
      <c r="B23186" t="str">
        <v>Công an phường 2  tỉnh Sóc Trăng</v>
      </c>
      <c r="C23186" t="str">
        <v>-</v>
      </c>
      <c r="D23186" t="str">
        <v>-</v>
      </c>
      <c r="E23186" t="str">
        <v/>
      </c>
      <c r="F23186" t="str">
        <v>-</v>
      </c>
      <c r="G23186" t="str">
        <v>-</v>
      </c>
    </row>
    <row r="23187">
      <c r="B23187" t="str">
        <v>UBND Ủy ban nhân dân phường 2  tỉnh Sóc Trăng</v>
      </c>
      <c r="C23187" t="str">
        <v>-</v>
      </c>
      <c r="D23187" t="str">
        <v>-</v>
      </c>
      <c r="E23187" t="str">
        <v>-</v>
      </c>
      <c r="F23187" t="str">
        <v>-</v>
      </c>
      <c r="G23187" t="str">
        <v>-</v>
      </c>
    </row>
    <row r="23188">
      <c r="B23188" t="str">
        <v>Công an phường 1  tỉnh Sóc Trăng</v>
      </c>
      <c r="C23188" t="str">
        <v>-</v>
      </c>
      <c r="D23188" t="str">
        <v>-</v>
      </c>
      <c r="E23188" t="str">
        <v/>
      </c>
      <c r="F23188" t="str">
        <v>-</v>
      </c>
      <c r="G23188" t="str">
        <v>-</v>
      </c>
    </row>
    <row r="23189">
      <c r="B23189" t="str">
        <v>UBND Ủy ban nhân dân phường 1  tỉnh Sóc Trăng</v>
      </c>
      <c r="C23189" t="str">
        <v>-</v>
      </c>
      <c r="D23189" t="str">
        <v>-</v>
      </c>
      <c r="E23189" t="str">
        <v>-</v>
      </c>
      <c r="F23189" t="str">
        <v>-</v>
      </c>
      <c r="G23189" t="str">
        <v>-</v>
      </c>
    </row>
    <row r="23190">
      <c r="B23190" t="str">
        <v>Công an phường 4  tỉnh Sóc Trăng</v>
      </c>
      <c r="C23190" t="str">
        <v>-</v>
      </c>
      <c r="D23190" t="str">
        <v>-</v>
      </c>
      <c r="E23190" t="str">
        <v/>
      </c>
      <c r="F23190" t="str">
        <v>-</v>
      </c>
      <c r="G23190" t="str">
        <v>-</v>
      </c>
    </row>
    <row r="23191">
      <c r="B23191" t="str">
        <v>UBND Ủy ban nhân dân phường 4  tỉnh Sóc Trăng</v>
      </c>
      <c r="C23191" t="str">
        <v>-</v>
      </c>
      <c r="D23191" t="str">
        <v>-</v>
      </c>
      <c r="E23191" t="str">
        <v>-</v>
      </c>
      <c r="F23191" t="str">
        <v>-</v>
      </c>
      <c r="G23191" t="str">
        <v>-</v>
      </c>
    </row>
    <row r="23192">
      <c r="B23192" t="str">
        <v>Công an phường 3  tỉnh Sóc Trăng</v>
      </c>
      <c r="C23192" t="str">
        <v>-</v>
      </c>
      <c r="D23192" t="str">
        <v>-</v>
      </c>
      <c r="E23192" t="str">
        <v/>
      </c>
      <c r="F23192" t="str">
        <v>-</v>
      </c>
      <c r="G23192" t="str">
        <v>-</v>
      </c>
    </row>
    <row r="23193">
      <c r="B23193" t="str">
        <v>UBND Ủy ban nhân dân phường 3  tỉnh Sóc Trăng</v>
      </c>
      <c r="C23193" t="str">
        <v>-</v>
      </c>
      <c r="D23193" t="str">
        <v>-</v>
      </c>
      <c r="E23193" t="str">
        <v>-</v>
      </c>
      <c r="F23193" t="str">
        <v>-</v>
      </c>
      <c r="G23193" t="str">
        <v>-</v>
      </c>
    </row>
    <row r="23194">
      <c r="B23194" t="str">
        <v>Công an phường 9  tỉnh Sóc Trăng</v>
      </c>
      <c r="C23194" t="str">
        <v>-</v>
      </c>
      <c r="D23194" t="str">
        <v>-</v>
      </c>
      <c r="E23194" t="str">
        <v/>
      </c>
      <c r="F23194" t="str">
        <v>-</v>
      </c>
      <c r="G23194" t="str">
        <v>-</v>
      </c>
    </row>
    <row r="23195">
      <c r="B23195" t="str">
        <v>UBND Ủy ban nhân dân phường 9  tỉnh Sóc Trăng</v>
      </c>
      <c r="C23195" t="str">
        <v>-</v>
      </c>
      <c r="D23195" t="str">
        <v>-</v>
      </c>
      <c r="E23195" t="str">
        <v>-</v>
      </c>
      <c r="F23195" t="str">
        <v>-</v>
      </c>
      <c r="G23195" t="str">
        <v>-</v>
      </c>
    </row>
    <row r="23196">
      <c r="B23196" t="str">
        <v>Công an phường 10  tỉnh Sóc Trăng</v>
      </c>
      <c r="C23196" t="str">
        <v>-</v>
      </c>
      <c r="D23196" t="str">
        <v>-</v>
      </c>
      <c r="E23196" t="str">
        <v/>
      </c>
      <c r="F23196" t="str">
        <v>-</v>
      </c>
      <c r="G23196" t="str">
        <v>-</v>
      </c>
    </row>
    <row r="23197">
      <c r="B23197" t="str">
        <v>UBND Ủy ban nhân dân phường 10  tỉnh Sóc Trăng</v>
      </c>
      <c r="C23197" t="str">
        <v>-</v>
      </c>
      <c r="D23197" t="str">
        <v>-</v>
      </c>
      <c r="E23197" t="str">
        <v>-</v>
      </c>
      <c r="F23197" t="str">
        <v>-</v>
      </c>
      <c r="G23197" t="str">
        <v>-</v>
      </c>
    </row>
    <row r="23198">
      <c r="B23198" t="str">
        <v>Công an xã Hồ Đắc Kiện  tỉnh Sóc Trăng</v>
      </c>
      <c r="C23198" t="str">
        <v>-</v>
      </c>
      <c r="D23198" t="str">
        <v>-</v>
      </c>
      <c r="E23198" t="str">
        <v/>
      </c>
      <c r="F23198" t="str">
        <v>-</v>
      </c>
      <c r="G23198" t="str">
        <v>-</v>
      </c>
    </row>
    <row r="23199">
      <c r="B23199" t="str">
        <v>UBND Ủy ban nhân dân xã Hồ Đắc Kiện  tỉnh Sóc Trăng</v>
      </c>
      <c r="C23199" t="str">
        <v>-</v>
      </c>
      <c r="D23199" t="str">
        <v>-</v>
      </c>
      <c r="E23199" t="str">
        <v>-</v>
      </c>
      <c r="F23199" t="str">
        <v>-</v>
      </c>
      <c r="G23199" t="str">
        <v>-</v>
      </c>
    </row>
    <row r="23200">
      <c r="B23200" t="str">
        <v>Công an xã Phú Tâm  tỉnh Sóc Trăng</v>
      </c>
      <c r="C23200" t="str">
        <v>-</v>
      </c>
      <c r="D23200" t="str">
        <v>-</v>
      </c>
      <c r="E23200" t="str">
        <v/>
      </c>
      <c r="F23200" t="str">
        <v>-</v>
      </c>
      <c r="G23200" t="str">
        <v>-</v>
      </c>
    </row>
    <row r="23201">
      <c r="B23201" t="str">
        <v>UBND Ủy ban nhân dân xã Phú Tâm  tỉnh Sóc Trăng</v>
      </c>
      <c r="C23201" t="str">
        <v>-</v>
      </c>
      <c r="D23201" t="str">
        <v>-</v>
      </c>
      <c r="E23201" t="str">
        <v>-</v>
      </c>
      <c r="F23201" t="str">
        <v>-</v>
      </c>
      <c r="G23201" t="str">
        <v>-</v>
      </c>
    </row>
    <row r="23202">
      <c r="B23202" t="str">
        <v>Công an xã Thuận Hòa  tỉnh Sóc Trăng</v>
      </c>
      <c r="C23202" t="str">
        <v>-</v>
      </c>
      <c r="D23202" t="str">
        <v>-</v>
      </c>
      <c r="E23202" t="str">
        <v/>
      </c>
      <c r="F23202" t="str">
        <v>-</v>
      </c>
      <c r="G23202" t="str">
        <v>-</v>
      </c>
    </row>
    <row r="23203">
      <c r="B23203" t="str">
        <v>UBND Ủy ban nhân dân xã Thuận Hòa  tỉnh Sóc Trăng</v>
      </c>
      <c r="C23203" t="str">
        <v>-</v>
      </c>
      <c r="D23203" t="str">
        <v>-</v>
      </c>
      <c r="E23203" t="str">
        <v>-</v>
      </c>
      <c r="F23203" t="str">
        <v>-</v>
      </c>
      <c r="G23203" t="str">
        <v>-</v>
      </c>
    </row>
    <row r="23204">
      <c r="B23204" t="str">
        <v>Công an xã Phú Tân  tỉnh Sóc Trăng</v>
      </c>
      <c r="C23204" t="str">
        <v>-</v>
      </c>
      <c r="D23204" t="str">
        <v>-</v>
      </c>
      <c r="E23204" t="str">
        <v/>
      </c>
      <c r="F23204" t="str">
        <v>-</v>
      </c>
      <c r="G23204" t="str">
        <v>-</v>
      </c>
    </row>
    <row r="23205">
      <c r="B23205" t="str">
        <v>UBND Ủy ban nhân dân xã Phú Tân  tỉnh Sóc Trăng</v>
      </c>
      <c r="C23205" t="str">
        <v>-</v>
      </c>
      <c r="D23205" t="str">
        <v>-</v>
      </c>
      <c r="E23205" t="str">
        <v>-</v>
      </c>
      <c r="F23205" t="str">
        <v>-</v>
      </c>
      <c r="G23205" t="str">
        <v>-</v>
      </c>
    </row>
    <row r="23206">
      <c r="B23206" t="str">
        <v>Công an xã Thiện Mỹ  tỉnh Sóc Trăng</v>
      </c>
      <c r="C23206" t="str">
        <v>-</v>
      </c>
      <c r="D23206" t="str">
        <v>-</v>
      </c>
      <c r="E23206" t="str">
        <v/>
      </c>
      <c r="F23206" t="str">
        <v>-</v>
      </c>
      <c r="G23206" t="str">
        <v>-</v>
      </c>
    </row>
    <row r="23207">
      <c r="B23207" t="str">
        <v>UBND Ủy ban nhân dân xã Thiện Mỹ  tỉnh Sóc Trăng</v>
      </c>
      <c r="C23207" t="str">
        <v>-</v>
      </c>
      <c r="D23207" t="str">
        <v>-</v>
      </c>
      <c r="E23207" t="str">
        <v>-</v>
      </c>
      <c r="F23207" t="str">
        <v>-</v>
      </c>
      <c r="G23207" t="str">
        <v>-</v>
      </c>
    </row>
    <row r="23208">
      <c r="B23208" t="str">
        <v>Công an xã An Hiệp  tỉnh Sóc Trăng</v>
      </c>
      <c r="C23208" t="str">
        <v>-</v>
      </c>
      <c r="D23208" t="str">
        <v>-</v>
      </c>
      <c r="E23208" t="str">
        <v/>
      </c>
      <c r="F23208" t="str">
        <v>-</v>
      </c>
      <c r="G23208" t="str">
        <v>-</v>
      </c>
    </row>
    <row r="23209">
      <c r="B23209" t="str">
        <v>UBND Ủy ban nhân dân xã An Hiệp  tỉnh Sóc Trăng</v>
      </c>
      <c r="C23209" t="str">
        <v>-</v>
      </c>
      <c r="D23209" t="str">
        <v>-</v>
      </c>
      <c r="E23209" t="str">
        <v>-</v>
      </c>
      <c r="F23209" t="str">
        <v>-</v>
      </c>
      <c r="G23209" t="str">
        <v>-</v>
      </c>
    </row>
    <row r="23210">
      <c r="B23210" t="str">
        <v>Công an xã An Ninh  tỉnh Sóc Trăng</v>
      </c>
      <c r="C23210" t="str">
        <v>-</v>
      </c>
      <c r="D23210" t="str">
        <v>-</v>
      </c>
      <c r="E23210" t="str">
        <v/>
      </c>
      <c r="F23210" t="str">
        <v>-</v>
      </c>
      <c r="G23210" t="str">
        <v>-</v>
      </c>
    </row>
    <row r="23211">
      <c r="B23211" t="str">
        <v>UBND Ủy ban nhân dân xã An Ninh  tỉnh Sóc Trăng</v>
      </c>
      <c r="C23211" t="str">
        <v>-</v>
      </c>
      <c r="D23211" t="str">
        <v>-</v>
      </c>
      <c r="E23211" t="str">
        <v>-</v>
      </c>
      <c r="F23211" t="str">
        <v>-</v>
      </c>
      <c r="G23211" t="str">
        <v>-</v>
      </c>
    </row>
    <row r="23212">
      <c r="B23212" t="str">
        <v>Công an xã Xuân Hòa  tỉnh Sóc Trăng</v>
      </c>
      <c r="C23212" t="str">
        <v>-</v>
      </c>
      <c r="D23212" t="str">
        <v>-</v>
      </c>
      <c r="E23212" t="str">
        <v/>
      </c>
      <c r="F23212" t="str">
        <v>-</v>
      </c>
      <c r="G23212" t="str">
        <v>-</v>
      </c>
    </row>
    <row r="23213">
      <c r="B23213" t="str">
        <v>UBND Ủy ban nhân dân xã Xuân Hòa  tỉnh Sóc Trăng</v>
      </c>
      <c r="C23213" t="str">
        <v>-</v>
      </c>
      <c r="D23213" t="str">
        <v>-</v>
      </c>
      <c r="E23213" t="str">
        <v>-</v>
      </c>
      <c r="F23213" t="str">
        <v>-</v>
      </c>
      <c r="G23213" t="str">
        <v>-</v>
      </c>
    </row>
    <row r="23214">
      <c r="B23214" t="str">
        <v>Công an xã Phong Nẫm  tỉnh Sóc Trăng</v>
      </c>
      <c r="C23214" t="str">
        <v>-</v>
      </c>
      <c r="D23214" t="str">
        <v>-</v>
      </c>
      <c r="E23214" t="str">
        <v/>
      </c>
      <c r="F23214" t="str">
        <v>-</v>
      </c>
      <c r="G23214" t="str">
        <v>-</v>
      </c>
    </row>
    <row r="23215">
      <c r="B23215" t="str">
        <v>UBND Ủy ban nhân dân xã Phong Nẫm  tỉnh Sóc Trăng</v>
      </c>
      <c r="C23215" t="str">
        <v>-</v>
      </c>
      <c r="D23215" t="str">
        <v>-</v>
      </c>
      <c r="E23215" t="str">
        <v>-</v>
      </c>
      <c r="F23215" t="str">
        <v>-</v>
      </c>
      <c r="G23215" t="str">
        <v>-</v>
      </c>
    </row>
    <row r="23216">
      <c r="B23216" t="str">
        <v>Công an xã An Lạc Tây  tỉnh Sóc Trăng</v>
      </c>
      <c r="C23216" t="str">
        <v>-</v>
      </c>
      <c r="D23216" t="str">
        <v>-</v>
      </c>
      <c r="E23216" t="str">
        <v/>
      </c>
      <c r="F23216" t="str">
        <v>-</v>
      </c>
      <c r="G23216" t="str">
        <v>-</v>
      </c>
    </row>
    <row r="23217">
      <c r="B23217" t="str">
        <v>UBND Ủy ban nhân dân xã An Lạc Tây  tỉnh Sóc Trăng</v>
      </c>
      <c r="C23217" t="str">
        <v>-</v>
      </c>
      <c r="D23217" t="str">
        <v>-</v>
      </c>
      <c r="E23217" t="str">
        <v>-</v>
      </c>
      <c r="F23217" t="str">
        <v>-</v>
      </c>
      <c r="G23217" t="str">
        <v>-</v>
      </c>
    </row>
    <row r="23218">
      <c r="B23218" t="str">
        <v>Công an xã Trinh Phú  tỉnh Sóc Trăng</v>
      </c>
      <c r="C23218" t="str">
        <v>-</v>
      </c>
      <c r="D23218" t="str">
        <v>-</v>
      </c>
      <c r="E23218" t="str">
        <v/>
      </c>
      <c r="F23218" t="str">
        <v>-</v>
      </c>
      <c r="G23218" t="str">
        <v>-</v>
      </c>
    </row>
    <row r="23219">
      <c r="B23219" t="str">
        <v>UBND Ủy ban nhân dân xã Trinh Phú  tỉnh Sóc Trăng</v>
      </c>
      <c r="C23219" t="str">
        <v>-</v>
      </c>
      <c r="D23219" t="str">
        <v>-</v>
      </c>
      <c r="E23219" t="str">
        <v>-</v>
      </c>
      <c r="F23219" t="str">
        <v>-</v>
      </c>
      <c r="G23219" t="str">
        <v>-</v>
      </c>
    </row>
    <row r="23220">
      <c r="B23220" t="str">
        <v>Công an xã Ba Trinh  tỉnh Sóc Trăng</v>
      </c>
      <c r="C23220" t="str">
        <v>-</v>
      </c>
      <c r="D23220" t="str">
        <v>-</v>
      </c>
      <c r="E23220" t="str">
        <v/>
      </c>
      <c r="F23220" t="str">
        <v>-</v>
      </c>
      <c r="G23220" t="str">
        <v>-</v>
      </c>
    </row>
    <row r="23221">
      <c r="B23221" t="str">
        <v>UBND Ủy ban nhân dân xã Ba Trinh  tỉnh Sóc Trăng</v>
      </c>
      <c r="C23221" t="str">
        <v>-</v>
      </c>
      <c r="D23221" t="str">
        <v>-</v>
      </c>
      <c r="E23221" t="str">
        <v>-</v>
      </c>
      <c r="F23221" t="str">
        <v>-</v>
      </c>
      <c r="G23221" t="str">
        <v>-</v>
      </c>
    </row>
    <row r="23222">
      <c r="B23222" t="str">
        <v>Công an xã Thới An Hội  tỉnh Sóc Trăng</v>
      </c>
      <c r="C23222" t="str">
        <v>-</v>
      </c>
      <c r="D23222" t="str">
        <v>-</v>
      </c>
      <c r="E23222" t="str">
        <v/>
      </c>
      <c r="F23222" t="str">
        <v>-</v>
      </c>
      <c r="G23222" t="str">
        <v>-</v>
      </c>
    </row>
    <row r="23223">
      <c r="B23223" t="str">
        <v>UBND Ủy ban nhân dân xã Thới An Hội  tỉnh Sóc Trăng</v>
      </c>
      <c r="C23223" t="str">
        <v>-</v>
      </c>
      <c r="D23223" t="str">
        <v>-</v>
      </c>
      <c r="E23223" t="str">
        <v>-</v>
      </c>
      <c r="F23223" t="str">
        <v>-</v>
      </c>
      <c r="G23223" t="str">
        <v>-</v>
      </c>
    </row>
    <row r="23224">
      <c r="B23224" t="str">
        <v>Công an xã Nhơn Mỹ  tỉnh Sóc Trăng</v>
      </c>
      <c r="C23224" t="str">
        <v>-</v>
      </c>
      <c r="D23224" t="str">
        <v>-</v>
      </c>
      <c r="E23224" t="str">
        <v/>
      </c>
      <c r="F23224" t="str">
        <v>-</v>
      </c>
      <c r="G23224" t="str">
        <v>-</v>
      </c>
    </row>
    <row r="23225">
      <c r="B23225" t="str">
        <v>UBND Ủy ban nhân dân xã Nhơn Mỹ  tỉnh Sóc Trăng</v>
      </c>
      <c r="C23225" t="str">
        <v>-</v>
      </c>
      <c r="D23225" t="str">
        <v>-</v>
      </c>
      <c r="E23225" t="str">
        <v>-</v>
      </c>
      <c r="F23225" t="str">
        <v>-</v>
      </c>
      <c r="G23225" t="str">
        <v>-</v>
      </c>
    </row>
    <row r="23226">
      <c r="B23226" t="str">
        <v>Công an xã Kế Thành  tỉnh Sóc Trăng</v>
      </c>
      <c r="C23226" t="str">
        <v>-</v>
      </c>
      <c r="D23226" t="str">
        <v>-</v>
      </c>
      <c r="E23226" t="str">
        <v/>
      </c>
      <c r="F23226" t="str">
        <v>-</v>
      </c>
      <c r="G23226" t="str">
        <v>-</v>
      </c>
    </row>
    <row r="23227">
      <c r="B23227" t="str">
        <v>UBND Ủy ban nhân dân xã Kế Thành  tỉnh Sóc Trăng</v>
      </c>
      <c r="C23227" t="str">
        <v>-</v>
      </c>
      <c r="D23227" t="str">
        <v>-</v>
      </c>
      <c r="E23227" t="str">
        <v>-</v>
      </c>
      <c r="F23227" t="str">
        <v>-</v>
      </c>
      <c r="G23227" t="str">
        <v>-</v>
      </c>
    </row>
    <row r="23228">
      <c r="B23228" t="str">
        <v>Công an xã Kế An  tỉnh Sóc Trăng</v>
      </c>
      <c r="C23228" t="str">
        <v>-</v>
      </c>
      <c r="D23228" t="str">
        <v>-</v>
      </c>
      <c r="E23228" t="str">
        <v/>
      </c>
      <c r="F23228" t="str">
        <v>-</v>
      </c>
      <c r="G23228" t="str">
        <v>-</v>
      </c>
    </row>
    <row r="23229">
      <c r="B23229" t="str">
        <v>UBND Ủy ban nhân dân xã Kế An  tỉnh Sóc Trăng</v>
      </c>
      <c r="C23229" t="str">
        <v>-</v>
      </c>
      <c r="D23229" t="str">
        <v>-</v>
      </c>
      <c r="E23229" t="str">
        <v>-</v>
      </c>
      <c r="F23229" t="str">
        <v>-</v>
      </c>
      <c r="G23229" t="str">
        <v>-</v>
      </c>
    </row>
    <row r="23230">
      <c r="B23230" t="str">
        <v>Công an xã Đại Hải  tỉnh Sóc Trăng</v>
      </c>
      <c r="C23230" t="str">
        <v>-</v>
      </c>
      <c r="D23230" t="str">
        <v>-</v>
      </c>
      <c r="E23230" t="str">
        <v/>
      </c>
      <c r="F23230" t="str">
        <v>-</v>
      </c>
      <c r="G23230" t="str">
        <v>-</v>
      </c>
    </row>
    <row r="23231">
      <c r="B23231" t="str">
        <v>UBND Ủy ban nhân dân xã Đại Hải  tỉnh Sóc Trăng</v>
      </c>
      <c r="C23231" t="str">
        <v>-</v>
      </c>
      <c r="D23231" t="str">
        <v>-</v>
      </c>
      <c r="E23231" t="str">
        <v>-</v>
      </c>
      <c r="F23231" t="str">
        <v>-</v>
      </c>
      <c r="G23231" t="str">
        <v>-</v>
      </c>
    </row>
    <row r="23232">
      <c r="B23232" t="str">
        <v>Công an xã An Mỹ  tỉnh Sóc Trăng</v>
      </c>
      <c r="C23232" t="str">
        <v>-</v>
      </c>
      <c r="D23232" t="str">
        <v>-</v>
      </c>
      <c r="E23232" t="str">
        <v/>
      </c>
      <c r="F23232" t="str">
        <v>-</v>
      </c>
      <c r="G23232" t="str">
        <v>-</v>
      </c>
    </row>
    <row r="23233">
      <c r="B23233" t="str">
        <v>UBND Ủy ban nhân dân xã An Mỹ  tỉnh Sóc Trăng</v>
      </c>
      <c r="C23233" t="str">
        <v>-</v>
      </c>
      <c r="D23233" t="str">
        <v>-</v>
      </c>
      <c r="E23233" t="str">
        <v>-</v>
      </c>
      <c r="F23233" t="str">
        <v>-</v>
      </c>
      <c r="G23233" t="str">
        <v>-</v>
      </c>
    </row>
    <row r="23234">
      <c r="B23234" t="str">
        <v>Công an xã Long Hưng  tỉnh Sóc Trăng</v>
      </c>
      <c r="C23234" t="str">
        <v>-</v>
      </c>
      <c r="D23234" t="str">
        <v>-</v>
      </c>
      <c r="E23234" t="str">
        <v/>
      </c>
      <c r="F23234" t="str">
        <v>-</v>
      </c>
      <c r="G23234" t="str">
        <v>-</v>
      </c>
    </row>
    <row r="23235">
      <c r="B23235" t="str">
        <v>UBND Ủy ban nhân dân xã Long Hưng  tỉnh Sóc Trăng</v>
      </c>
      <c r="C23235" t="str">
        <v>-</v>
      </c>
      <c r="D23235" t="str">
        <v>-</v>
      </c>
      <c r="E23235" t="str">
        <v>-</v>
      </c>
      <c r="F23235" t="str">
        <v>-</v>
      </c>
      <c r="G23235" t="str">
        <v>-</v>
      </c>
    </row>
    <row r="23236">
      <c r="B23236" t="str">
        <v>Công an xã Hưng Phú  tỉnh Sóc Trăng</v>
      </c>
      <c r="C23236" t="str">
        <v>-</v>
      </c>
      <c r="D23236" t="str">
        <v>-</v>
      </c>
      <c r="E23236" t="str">
        <v/>
      </c>
      <c r="F23236" t="str">
        <v>-</v>
      </c>
      <c r="G23236" t="str">
        <v>-</v>
      </c>
    </row>
    <row r="23237">
      <c r="B23237" t="str">
        <v>UBND Ủy ban nhân dân xã Hưng Phú  tỉnh Sóc Trăng</v>
      </c>
      <c r="C23237" t="str">
        <v>-</v>
      </c>
      <c r="D23237" t="str">
        <v>-</v>
      </c>
      <c r="E23237" t="str">
        <v>-</v>
      </c>
      <c r="F23237" t="str">
        <v>-</v>
      </c>
      <c r="G23237" t="str">
        <v>-</v>
      </c>
    </row>
    <row r="23238">
      <c r="B23238" t="str">
        <v>Công an xã Mỹ Hương  tỉnh Sóc Trăng</v>
      </c>
      <c r="C23238" t="str">
        <v>-</v>
      </c>
      <c r="D23238" t="str">
        <v>-</v>
      </c>
      <c r="E23238" t="str">
        <v/>
      </c>
      <c r="F23238" t="str">
        <v>-</v>
      </c>
      <c r="G23238" t="str">
        <v>-</v>
      </c>
    </row>
    <row r="23239">
      <c r="B23239" t="str">
        <v>UBND Ủy ban nhân dân xã Mỹ Hương  tỉnh Sóc Trăng</v>
      </c>
      <c r="C23239" t="str">
        <v>-</v>
      </c>
      <c r="D23239" t="str">
        <v>-</v>
      </c>
      <c r="E23239" t="str">
        <v>-</v>
      </c>
      <c r="F23239" t="str">
        <v>-</v>
      </c>
      <c r="G23239" t="str">
        <v>-</v>
      </c>
    </row>
    <row r="23240">
      <c r="B23240" t="str">
        <v>Công an xã Mỹ Tú  tỉnh Sóc Trăng</v>
      </c>
      <c r="C23240" t="str">
        <v>-</v>
      </c>
      <c r="D23240" t="str">
        <v>-</v>
      </c>
      <c r="E23240" t="str">
        <v/>
      </c>
      <c r="F23240" t="str">
        <v>-</v>
      </c>
      <c r="G23240" t="str">
        <v>-</v>
      </c>
    </row>
    <row r="23241">
      <c r="B23241" t="str">
        <v>UBND Ủy ban nhân dân xã Mỹ Tú  tỉnh Sóc Trăng</v>
      </c>
      <c r="C23241" t="str">
        <v>-</v>
      </c>
      <c r="D23241" t="str">
        <v>-</v>
      </c>
      <c r="E23241" t="str">
        <v>-</v>
      </c>
      <c r="F23241" t="str">
        <v>-</v>
      </c>
      <c r="G23241" t="str">
        <v>-</v>
      </c>
    </row>
    <row r="23242">
      <c r="B23242" t="str">
        <v>Công an xã Mỹ Phước  tỉnh Sóc Trăng</v>
      </c>
      <c r="C23242" t="str">
        <v>-</v>
      </c>
      <c r="D23242" t="str">
        <v>-</v>
      </c>
      <c r="E23242" t="str">
        <v/>
      </c>
      <c r="F23242" t="str">
        <v>-</v>
      </c>
      <c r="G23242" t="str">
        <v>-</v>
      </c>
    </row>
    <row r="23243">
      <c r="B23243" t="str">
        <v>UBND Ủy ban nhân dân xã Mỹ Phước  tỉnh Sóc Trăng</v>
      </c>
      <c r="C23243" t="str">
        <v>-</v>
      </c>
      <c r="D23243" t="str">
        <v>-</v>
      </c>
      <c r="E23243" t="str">
        <v>-</v>
      </c>
      <c r="F23243" t="str">
        <v>-</v>
      </c>
      <c r="G23243" t="str">
        <v>-</v>
      </c>
    </row>
    <row r="23244">
      <c r="B23244" t="str">
        <v>Công an xã Thuận Hưng  tỉnh Sóc Trăng</v>
      </c>
      <c r="C23244" t="str">
        <v>-</v>
      </c>
      <c r="D23244" t="str">
        <v>-</v>
      </c>
      <c r="E23244" t="str">
        <v/>
      </c>
      <c r="F23244" t="str">
        <v>-</v>
      </c>
      <c r="G23244" t="str">
        <v>-</v>
      </c>
    </row>
    <row r="23245">
      <c r="B23245" t="str">
        <v>UBND Ủy ban nhân dân xã Thuận Hưng  tỉnh Sóc Trăng</v>
      </c>
      <c r="C23245" t="str">
        <v>-</v>
      </c>
      <c r="D23245" t="str">
        <v>-</v>
      </c>
      <c r="E23245" t="str">
        <v>-</v>
      </c>
      <c r="F23245" t="str">
        <v>-</v>
      </c>
      <c r="G23245" t="str">
        <v>-</v>
      </c>
    </row>
    <row r="23246">
      <c r="B23246" t="str">
        <v>Công an xã Mỹ Thuận  tỉnh Sóc Trăng</v>
      </c>
      <c r="C23246" t="str">
        <v>-</v>
      </c>
      <c r="D23246" t="str">
        <v>-</v>
      </c>
      <c r="E23246" t="str">
        <v/>
      </c>
      <c r="F23246" t="str">
        <v>-</v>
      </c>
      <c r="G23246" t="str">
        <v>-</v>
      </c>
    </row>
    <row r="23247">
      <c r="B23247" t="str">
        <v>UBND Ủy ban nhân dân xã Mỹ Thuận  tỉnh Sóc Trăng</v>
      </c>
      <c r="C23247" t="str">
        <v>-</v>
      </c>
      <c r="D23247" t="str">
        <v>-</v>
      </c>
      <c r="E23247" t="str">
        <v>-</v>
      </c>
      <c r="F23247" t="str">
        <v>-</v>
      </c>
      <c r="G23247" t="str">
        <v>-</v>
      </c>
    </row>
    <row r="23248">
      <c r="B23248" t="str">
        <v>Công an xã Phú Mỹ  tỉnh Sóc Trăng</v>
      </c>
      <c r="C23248" t="str">
        <v>-</v>
      </c>
      <c r="D23248" t="str">
        <v>-</v>
      </c>
      <c r="E23248" t="str">
        <v/>
      </c>
      <c r="F23248" t="str">
        <v>-</v>
      </c>
      <c r="G23248" t="str">
        <v>-</v>
      </c>
    </row>
    <row r="23249">
      <c r="B23249" t="str">
        <v>UBND Ủy ban nhân dân xã Phú Mỹ  tỉnh Sóc Trăng</v>
      </c>
      <c r="C23249" t="str">
        <v>-</v>
      </c>
      <c r="D23249" t="str">
        <v>-</v>
      </c>
      <c r="E23249" t="str">
        <v>-</v>
      </c>
      <c r="F23249" t="str">
        <v>-</v>
      </c>
      <c r="G23249" t="str">
        <v>-</v>
      </c>
    </row>
    <row r="23250">
      <c r="B23250" t="str">
        <v>Công an xã An Thạnh 1  tỉnh Sóc Trăng</v>
      </c>
      <c r="C23250" t="str">
        <v>-</v>
      </c>
      <c r="D23250" t="str">
        <v>-</v>
      </c>
      <c r="E23250" t="str">
        <v/>
      </c>
      <c r="F23250" t="str">
        <v>-</v>
      </c>
      <c r="G23250" t="str">
        <v>-</v>
      </c>
    </row>
    <row r="23251">
      <c r="B23251" t="str">
        <v>UBND Ủy ban nhân dân xã An Thạnh 1  tỉnh Sóc Trăng</v>
      </c>
      <c r="C23251" t="str">
        <v>-</v>
      </c>
      <c r="D23251" t="str">
        <v>-</v>
      </c>
      <c r="E23251" t="str">
        <v>-</v>
      </c>
      <c r="F23251" t="str">
        <v>-</v>
      </c>
      <c r="G23251" t="str">
        <v>-</v>
      </c>
    </row>
    <row r="23252">
      <c r="B23252" t="str">
        <v>Công an xã An Thạnh Tây  tỉnh Sóc Trăng</v>
      </c>
      <c r="C23252" t="str">
        <v>-</v>
      </c>
      <c r="D23252" t="str">
        <v>-</v>
      </c>
      <c r="E23252" t="str">
        <v/>
      </c>
      <c r="F23252" t="str">
        <v>-</v>
      </c>
      <c r="G23252" t="str">
        <v>-</v>
      </c>
    </row>
    <row r="23253">
      <c r="B23253" t="str">
        <v>UBND Ủy ban nhân dân xã An Thạnh Tây  tỉnh Sóc Trăng</v>
      </c>
      <c r="C23253" t="str">
        <v>-</v>
      </c>
      <c r="D23253" t="str">
        <v>-</v>
      </c>
      <c r="E23253" t="str">
        <v>-</v>
      </c>
      <c r="F23253" t="str">
        <v>-</v>
      </c>
      <c r="G23253" t="str">
        <v>-</v>
      </c>
    </row>
    <row r="23254">
      <c r="B23254" t="str">
        <v>Công an xã An Thạnh Đông  tỉnh Sóc Trăng</v>
      </c>
      <c r="C23254" t="str">
        <v>-</v>
      </c>
      <c r="D23254" t="str">
        <v>-</v>
      </c>
      <c r="E23254" t="str">
        <v/>
      </c>
      <c r="F23254" t="str">
        <v>-</v>
      </c>
      <c r="G23254" t="str">
        <v>-</v>
      </c>
    </row>
    <row r="23255">
      <c r="B23255" t="str">
        <v>UBND Ủy ban nhân dân xã An Thạnh Đông  tỉnh Sóc Trăng</v>
      </c>
      <c r="C23255" t="str">
        <v>-</v>
      </c>
      <c r="D23255" t="str">
        <v>-</v>
      </c>
      <c r="E23255" t="str">
        <v>-</v>
      </c>
      <c r="F23255" t="str">
        <v>-</v>
      </c>
      <c r="G23255" t="str">
        <v>-</v>
      </c>
    </row>
    <row r="23256">
      <c r="B23256" t="str">
        <v>Công an xã Đại Ân 1  tỉnh Sóc Trăng</v>
      </c>
      <c r="C23256" t="str">
        <v>-</v>
      </c>
      <c r="D23256" t="str">
        <v>-</v>
      </c>
      <c r="E23256" t="str">
        <v/>
      </c>
      <c r="F23256" t="str">
        <v>-</v>
      </c>
      <c r="G23256" t="str">
        <v>-</v>
      </c>
    </row>
    <row r="23257">
      <c r="B23257" t="str">
        <v>UBND Ủy ban nhân dân xã Đại Ân 1  tỉnh Sóc Trăng</v>
      </c>
      <c r="C23257" t="str">
        <v>-</v>
      </c>
      <c r="D23257" t="str">
        <v>-</v>
      </c>
      <c r="E23257" t="str">
        <v>-</v>
      </c>
      <c r="F23257" t="str">
        <v>-</v>
      </c>
      <c r="G23257" t="str">
        <v>-</v>
      </c>
    </row>
    <row r="23258">
      <c r="B23258" t="str">
        <v>Công an xã An Thạnh 2  tỉnh Sóc Trăng</v>
      </c>
      <c r="C23258" t="str">
        <v>-</v>
      </c>
      <c r="D23258" t="str">
        <v>-</v>
      </c>
      <c r="E23258" t="str">
        <v/>
      </c>
      <c r="F23258" t="str">
        <v>-</v>
      </c>
      <c r="G23258" t="str">
        <v>-</v>
      </c>
    </row>
    <row r="23259">
      <c r="B23259" t="str">
        <v>UBND Ủy ban nhân dân xã An Thạnh 2  tỉnh Sóc Trăng</v>
      </c>
      <c r="C23259" t="str">
        <v>-</v>
      </c>
      <c r="D23259" t="str">
        <v>-</v>
      </c>
      <c r="E23259" t="str">
        <v>-</v>
      </c>
      <c r="F23259" t="str">
        <v>-</v>
      </c>
      <c r="G23259" t="str">
        <v>-</v>
      </c>
    </row>
    <row r="23260">
      <c r="B23260" t="str">
        <v>Công an xã An Thạnh 3  tỉnh Sóc Trăng</v>
      </c>
      <c r="C23260" t="str">
        <v>-</v>
      </c>
      <c r="D23260" t="str">
        <v>-</v>
      </c>
      <c r="E23260" t="str">
        <v/>
      </c>
      <c r="F23260" t="str">
        <v>-</v>
      </c>
      <c r="G23260" t="str">
        <v>-</v>
      </c>
    </row>
    <row r="23261">
      <c r="B23261" t="str">
        <v>UBND Ủy ban nhân dân xã An Thạnh 3  tỉnh Sóc Trăng</v>
      </c>
      <c r="C23261" t="str">
        <v>-</v>
      </c>
      <c r="D23261" t="str">
        <v>-</v>
      </c>
      <c r="E23261" t="str">
        <v>-</v>
      </c>
      <c r="F23261" t="str">
        <v>-</v>
      </c>
      <c r="G23261" t="str">
        <v>-</v>
      </c>
    </row>
    <row r="23262">
      <c r="B23262" t="str">
        <v>Công an xã An Thạnh Nam  tỉnh Sóc Trăng</v>
      </c>
      <c r="C23262" t="str">
        <v>-</v>
      </c>
      <c r="D23262" t="str">
        <v>-</v>
      </c>
      <c r="E23262" t="str">
        <v/>
      </c>
      <c r="F23262" t="str">
        <v>-</v>
      </c>
      <c r="G23262" t="str">
        <v>-</v>
      </c>
    </row>
    <row r="23263">
      <c r="B23263" t="str">
        <v>UBND Ủy ban nhân dân xã An Thạnh Nam  tỉnh Sóc Trăng</v>
      </c>
      <c r="C23263" t="str">
        <v>-</v>
      </c>
      <c r="D23263" t="str">
        <v>-</v>
      </c>
      <c r="E23263" t="str">
        <v>-</v>
      </c>
      <c r="F23263" t="str">
        <v>-</v>
      </c>
      <c r="G23263" t="str">
        <v>-</v>
      </c>
    </row>
    <row r="23264">
      <c r="B23264" t="str">
        <v>Công an xã Song Phụng  tỉnh Sóc Trăng</v>
      </c>
      <c r="C23264" t="str">
        <v>-</v>
      </c>
      <c r="D23264" t="str">
        <v>-</v>
      </c>
      <c r="E23264" t="str">
        <v/>
      </c>
      <c r="F23264" t="str">
        <v>-</v>
      </c>
      <c r="G23264" t="str">
        <v>-</v>
      </c>
    </row>
    <row r="23265">
      <c r="B23265" t="str">
        <v>UBND Ủy ban nhân dân xã Song Phụng  tỉnh Sóc Trăng</v>
      </c>
      <c r="C23265" t="str">
        <v>-</v>
      </c>
      <c r="D23265" t="str">
        <v>-</v>
      </c>
      <c r="E23265" t="str">
        <v>-</v>
      </c>
      <c r="F23265" t="str">
        <v>-</v>
      </c>
      <c r="G23265" t="str">
        <v>-</v>
      </c>
    </row>
    <row r="23266">
      <c r="B23266" t="str">
        <v>Công an xã Hậu Thạnh  tỉnh Sóc Trăng</v>
      </c>
      <c r="C23266" t="str">
        <v>-</v>
      </c>
      <c r="D23266" t="str">
        <v>-</v>
      </c>
      <c r="E23266" t="str">
        <v/>
      </c>
      <c r="F23266" t="str">
        <v>-</v>
      </c>
      <c r="G23266" t="str">
        <v>-</v>
      </c>
    </row>
    <row r="23267">
      <c r="B23267" t="str">
        <v>UBND Ủy ban nhân dân xã Hậu Thạnh  tỉnh Sóc Trăng</v>
      </c>
      <c r="C23267" t="str">
        <v>-</v>
      </c>
      <c r="D23267" t="str">
        <v>-</v>
      </c>
      <c r="E23267" t="str">
        <v>-</v>
      </c>
      <c r="F23267" t="str">
        <v>-</v>
      </c>
      <c r="G23267" t="str">
        <v>-</v>
      </c>
    </row>
    <row r="23268">
      <c r="B23268" t="str">
        <v>Công an xã Long Đức  tỉnh Sóc Trăng</v>
      </c>
      <c r="C23268" t="str">
        <v>-</v>
      </c>
      <c r="D23268" t="str">
        <v>-</v>
      </c>
      <c r="E23268" t="str">
        <v/>
      </c>
      <c r="F23268" t="str">
        <v>-</v>
      </c>
      <c r="G23268" t="str">
        <v>-</v>
      </c>
    </row>
    <row r="23269">
      <c r="B23269" t="str">
        <v>UBND Ủy ban nhân dân xã Long Đức  tỉnh Sóc Trăng</v>
      </c>
      <c r="C23269" t="str">
        <v>-</v>
      </c>
      <c r="D23269" t="str">
        <v>-</v>
      </c>
      <c r="E23269" t="str">
        <v>-</v>
      </c>
      <c r="F23269" t="str">
        <v>-</v>
      </c>
      <c r="G23269" t="str">
        <v>-</v>
      </c>
    </row>
    <row r="23270">
      <c r="B23270" t="str">
        <v>Công an xã Trường Khánh  tỉnh Sóc Trăng</v>
      </c>
      <c r="C23270" t="str">
        <v>-</v>
      </c>
      <c r="D23270" t="str">
        <v>-</v>
      </c>
      <c r="E23270" t="str">
        <v/>
      </c>
      <c r="F23270" t="str">
        <v>-</v>
      </c>
      <c r="G23270" t="str">
        <v>-</v>
      </c>
    </row>
    <row r="23271">
      <c r="B23271" t="str">
        <v>UBND Ủy ban nhân dân xã Trường Khánh  tỉnh Sóc Trăng</v>
      </c>
      <c r="C23271" t="str">
        <v>-</v>
      </c>
      <c r="D23271" t="str">
        <v>-</v>
      </c>
      <c r="E23271" t="str">
        <v>-</v>
      </c>
      <c r="F23271" t="str">
        <v>-</v>
      </c>
      <c r="G23271" t="str">
        <v>-</v>
      </c>
    </row>
    <row r="23272">
      <c r="B23272" t="str">
        <v>Công an xã Phú Hữu  tỉnh Sóc Trăng</v>
      </c>
      <c r="C23272" t="str">
        <v>-</v>
      </c>
      <c r="D23272" t="str">
        <v>-</v>
      </c>
      <c r="E23272" t="str">
        <v/>
      </c>
      <c r="F23272" t="str">
        <v>-</v>
      </c>
      <c r="G23272" t="str">
        <v>-</v>
      </c>
    </row>
    <row r="23273">
      <c r="B23273" t="str">
        <v>UBND Ủy ban nhân dân xã Phú Hữu  tỉnh Sóc Trăng</v>
      </c>
      <c r="C23273" t="str">
        <v>-</v>
      </c>
      <c r="D23273" t="str">
        <v>-</v>
      </c>
      <c r="E23273" t="str">
        <v>-</v>
      </c>
      <c r="F23273" t="str">
        <v>-</v>
      </c>
      <c r="G23273" t="str">
        <v>-</v>
      </c>
    </row>
    <row r="23274">
      <c r="B23274" t="str">
        <v>Công an xã Tân Hưng  tỉnh Sóc Trăng</v>
      </c>
      <c r="C23274" t="str">
        <v>-</v>
      </c>
      <c r="D23274" t="str">
        <v>-</v>
      </c>
      <c r="E23274" t="str">
        <v/>
      </c>
      <c r="F23274" t="str">
        <v>-</v>
      </c>
      <c r="G23274" t="str">
        <v>-</v>
      </c>
    </row>
    <row r="23275">
      <c r="B23275" t="str">
        <v>UBND Ủy ban nhân dân xã Tân Hưng  tỉnh Sóc Trăng</v>
      </c>
      <c r="C23275" t="str">
        <v>-</v>
      </c>
      <c r="D23275" t="str">
        <v>-</v>
      </c>
      <c r="E23275" t="str">
        <v>-</v>
      </c>
      <c r="F23275" t="str">
        <v>-</v>
      </c>
      <c r="G23275" t="str">
        <v>-</v>
      </c>
    </row>
    <row r="23276">
      <c r="B23276" t="str">
        <v>Công an xã Châu Khánh  tỉnh Sóc Trăng</v>
      </c>
      <c r="C23276" t="str">
        <v>-</v>
      </c>
      <c r="D23276" t="str">
        <v>-</v>
      </c>
      <c r="E23276" t="str">
        <v/>
      </c>
      <c r="F23276" t="str">
        <v>-</v>
      </c>
      <c r="G23276" t="str">
        <v>-</v>
      </c>
    </row>
    <row r="23277">
      <c r="B23277" t="str">
        <v>UBND Ủy ban nhân dân xã Châu Khánh  tỉnh Sóc Trăng</v>
      </c>
      <c r="C23277" t="str">
        <v>-</v>
      </c>
      <c r="D23277" t="str">
        <v>-</v>
      </c>
      <c r="E23277" t="str">
        <v>-</v>
      </c>
      <c r="F23277" t="str">
        <v>-</v>
      </c>
      <c r="G23277" t="str">
        <v>-</v>
      </c>
    </row>
    <row r="23278">
      <c r="B23278" t="str">
        <v>Công an xã Tân Thạnh  tỉnh Sóc Trăng</v>
      </c>
      <c r="C23278" t="str">
        <v>-</v>
      </c>
      <c r="D23278" t="str">
        <v>-</v>
      </c>
      <c r="E23278" t="str">
        <v/>
      </c>
      <c r="F23278" t="str">
        <v>-</v>
      </c>
      <c r="G23278" t="str">
        <v>-</v>
      </c>
    </row>
    <row r="23279">
      <c r="B23279" t="str">
        <v>UBND Ủy ban nhân dân xã Tân Thạnh  tỉnh Sóc Trăng</v>
      </c>
      <c r="C23279" t="str">
        <v>-</v>
      </c>
      <c r="D23279" t="str">
        <v>-</v>
      </c>
      <c r="E23279" t="str">
        <v>-</v>
      </c>
      <c r="F23279" t="str">
        <v>-</v>
      </c>
      <c r="G23279" t="str">
        <v>-</v>
      </c>
    </row>
    <row r="23280">
      <c r="B23280" t="str">
        <v>Công an xã Long Phú  tỉnh Sóc Trăng</v>
      </c>
      <c r="C23280" t="str">
        <v>-</v>
      </c>
      <c r="D23280" t="str">
        <v>-</v>
      </c>
      <c r="E23280" t="str">
        <v/>
      </c>
      <c r="F23280" t="str">
        <v>-</v>
      </c>
      <c r="G23280" t="str">
        <v>-</v>
      </c>
    </row>
    <row r="23281">
      <c r="B23281" t="str">
        <v>UBND Ủy ban nhân dân xã Long Phú  tỉnh Sóc Trăng</v>
      </c>
      <c r="C23281" t="str">
        <v>-</v>
      </c>
      <c r="D23281" t="str">
        <v>-</v>
      </c>
      <c r="E23281" t="str">
        <v>-</v>
      </c>
      <c r="F23281" t="str">
        <v>-</v>
      </c>
      <c r="G23281" t="str">
        <v>-</v>
      </c>
    </row>
    <row r="23282">
      <c r="B23282" t="str">
        <v>Công an xã Đại Tâm  tỉnh Sóc Trăng</v>
      </c>
      <c r="C23282" t="str">
        <v>-</v>
      </c>
      <c r="D23282" t="str">
        <v>-</v>
      </c>
      <c r="E23282" t="str">
        <v/>
      </c>
      <c r="F23282" t="str">
        <v>-</v>
      </c>
      <c r="G23282" t="str">
        <v>-</v>
      </c>
    </row>
    <row r="23283">
      <c r="B23283" t="str">
        <v>UBND Ủy ban nhân dân xã Đại Tâm  tỉnh Sóc Trăng</v>
      </c>
      <c r="C23283" t="str">
        <v>-</v>
      </c>
      <c r="D23283" t="str">
        <v>-</v>
      </c>
      <c r="E23283" t="str">
        <v>-</v>
      </c>
      <c r="F23283" t="str">
        <v>-</v>
      </c>
      <c r="G23283" t="str">
        <v>-</v>
      </c>
    </row>
    <row r="23284">
      <c r="B23284" t="str">
        <v>Công an xã Tham Đôn  tỉnh Sóc Trăng</v>
      </c>
      <c r="C23284" t="str">
        <v>-</v>
      </c>
      <c r="D23284" t="str">
        <v>-</v>
      </c>
      <c r="E23284" t="str">
        <v/>
      </c>
      <c r="F23284" t="str">
        <v>-</v>
      </c>
      <c r="G23284" t="str">
        <v>-</v>
      </c>
    </row>
    <row r="23285">
      <c r="B23285" t="str">
        <v>UBND Ủy ban nhân dân xã Tham Đôn  tỉnh Sóc Trăng</v>
      </c>
      <c r="C23285" t="str">
        <v>-</v>
      </c>
      <c r="D23285" t="str">
        <v>-</v>
      </c>
      <c r="E23285" t="str">
        <v>-</v>
      </c>
      <c r="F23285" t="str">
        <v>-</v>
      </c>
      <c r="G23285" t="str">
        <v>-</v>
      </c>
    </row>
    <row r="23286">
      <c r="B23286" t="str">
        <v>Công an xã Thạnh Phú  tỉnh Sóc Trăng</v>
      </c>
      <c r="C23286" t="str">
        <v>-</v>
      </c>
      <c r="D23286" t="str">
        <v>-</v>
      </c>
      <c r="E23286" t="str">
        <v/>
      </c>
      <c r="F23286" t="str">
        <v>-</v>
      </c>
      <c r="G23286" t="str">
        <v>-</v>
      </c>
    </row>
    <row r="23287">
      <c r="B23287" t="str">
        <v>UBND Ủy ban nhân dân xã Thạnh Phú  tỉnh Sóc Trăng</v>
      </c>
      <c r="C23287" t="str">
        <v>-</v>
      </c>
      <c r="D23287" t="str">
        <v>-</v>
      </c>
      <c r="E23287" t="str">
        <v>-</v>
      </c>
      <c r="F23287" t="str">
        <v>-</v>
      </c>
      <c r="G23287" t="str">
        <v>-</v>
      </c>
    </row>
    <row r="23288">
      <c r="B23288" t="str">
        <v>Công an xã Ngọc Đông  tỉnh Sóc Trăng</v>
      </c>
      <c r="C23288" t="str">
        <v>-</v>
      </c>
      <c r="D23288" t="str">
        <v>-</v>
      </c>
      <c r="E23288" t="str">
        <v/>
      </c>
      <c r="F23288" t="str">
        <v>-</v>
      </c>
      <c r="G23288" t="str">
        <v>-</v>
      </c>
    </row>
    <row r="23289">
      <c r="B23289" t="str">
        <v>UBND Ủy ban nhân dân xã Ngọc Đông  tỉnh Sóc Trăng</v>
      </c>
      <c r="C23289" t="str">
        <v>-</v>
      </c>
      <c r="D23289" t="str">
        <v>-</v>
      </c>
      <c r="E23289" t="str">
        <v>-</v>
      </c>
      <c r="F23289" t="str">
        <v>-</v>
      </c>
      <c r="G23289" t="str">
        <v>-</v>
      </c>
    </row>
    <row r="23290">
      <c r="B23290" t="str">
        <v>Công an xã Thạnh Quới  tỉnh Sóc Trăng</v>
      </c>
      <c r="C23290" t="str">
        <v>-</v>
      </c>
      <c r="D23290" t="str">
        <v>-</v>
      </c>
      <c r="E23290" t="str">
        <v/>
      </c>
      <c r="F23290" t="str">
        <v>-</v>
      </c>
      <c r="G23290" t="str">
        <v>-</v>
      </c>
    </row>
    <row r="23291">
      <c r="B23291" t="str">
        <v>UBND Ủy ban nhân dân xã Thạnh Quới  tỉnh Sóc Trăng</v>
      </c>
      <c r="C23291" t="str">
        <v>-</v>
      </c>
      <c r="D23291" t="str">
        <v>-</v>
      </c>
      <c r="E23291" t="str">
        <v>-</v>
      </c>
      <c r="F23291" t="str">
        <v>-</v>
      </c>
      <c r="G23291" t="str">
        <v>-</v>
      </c>
    </row>
    <row r="23292">
      <c r="B23292" t="str">
        <v>Công an xã Hòa Tú 1  tỉnh Sóc Trăng</v>
      </c>
      <c r="C23292" t="str">
        <v>-</v>
      </c>
      <c r="D23292" t="str">
        <v>-</v>
      </c>
      <c r="E23292" t="str">
        <v/>
      </c>
      <c r="F23292" t="str">
        <v>-</v>
      </c>
      <c r="G23292" t="str">
        <v>-</v>
      </c>
    </row>
    <row r="23293">
      <c r="B23293" t="str">
        <v>UBND Ủy ban nhân dân xã Hòa Tú 1  tỉnh Sóc Trăng</v>
      </c>
      <c r="C23293" t="str">
        <v>-</v>
      </c>
      <c r="D23293" t="str">
        <v>-</v>
      </c>
      <c r="E23293" t="str">
        <v>-</v>
      </c>
      <c r="F23293" t="str">
        <v>-</v>
      </c>
      <c r="G23293" t="str">
        <v>-</v>
      </c>
    </row>
    <row r="23294">
      <c r="B23294" t="str">
        <v>Công an xã Gia Hòa 1  tỉnh Sóc Trăng</v>
      </c>
      <c r="C23294" t="str">
        <v>-</v>
      </c>
      <c r="D23294" t="str">
        <v>-</v>
      </c>
      <c r="E23294" t="str">
        <v/>
      </c>
      <c r="F23294" t="str">
        <v>-</v>
      </c>
      <c r="G23294" t="str">
        <v>-</v>
      </c>
    </row>
    <row r="23295">
      <c r="B23295" t="str">
        <v>UBND Ủy ban nhân dân xã Gia Hòa 1  tỉnh Sóc Trăng</v>
      </c>
      <c r="C23295" t="str">
        <v>-</v>
      </c>
      <c r="D23295" t="str">
        <v>-</v>
      </c>
      <c r="E23295" t="str">
        <v>-</v>
      </c>
      <c r="F23295" t="str">
        <v>-</v>
      </c>
      <c r="G23295" t="str">
        <v>-</v>
      </c>
    </row>
    <row r="23296">
      <c r="B23296" t="str">
        <v>Công an xã Ngọc Tố  tỉnh Sóc Trăng</v>
      </c>
      <c r="C23296" t="str">
        <v>-</v>
      </c>
      <c r="D23296" t="str">
        <v>-</v>
      </c>
      <c r="E23296" t="str">
        <v/>
      </c>
      <c r="F23296" t="str">
        <v>-</v>
      </c>
      <c r="G23296" t="str">
        <v>-</v>
      </c>
    </row>
    <row r="23297">
      <c r="B23297" t="str">
        <v>UBND Ủy ban nhân dân xã Ngọc Tố  tỉnh Sóc Trăng</v>
      </c>
      <c r="C23297" t="str">
        <v>-</v>
      </c>
      <c r="D23297" t="str">
        <v>-</v>
      </c>
      <c r="E23297" t="str">
        <v>-</v>
      </c>
      <c r="F23297" t="str">
        <v>-</v>
      </c>
      <c r="G23297" t="str">
        <v>-</v>
      </c>
    </row>
    <row r="23298">
      <c r="B23298" t="str">
        <v>Công an xã Gia Hòa 2  tỉnh Sóc Trăng</v>
      </c>
      <c r="C23298" t="str">
        <v>-</v>
      </c>
      <c r="D23298" t="str">
        <v>-</v>
      </c>
      <c r="E23298" t="str">
        <v/>
      </c>
      <c r="F23298" t="str">
        <v>-</v>
      </c>
      <c r="G23298" t="str">
        <v>-</v>
      </c>
    </row>
    <row r="23299">
      <c r="B23299" t="str">
        <v>UBND Ủy ban nhân dân xã Gia Hòa 2  tỉnh Sóc Trăng</v>
      </c>
      <c r="C23299" t="str">
        <v>-</v>
      </c>
      <c r="D23299" t="str">
        <v>-</v>
      </c>
      <c r="E23299" t="str">
        <v>-</v>
      </c>
      <c r="F23299" t="str">
        <v>-</v>
      </c>
      <c r="G23299" t="str">
        <v>-</v>
      </c>
    </row>
    <row r="23300">
      <c r="B23300" t="str">
        <v>Công an xã Hòa Tú II  tỉnh Sóc Trăng</v>
      </c>
      <c r="C23300" t="str">
        <v>-</v>
      </c>
      <c r="D23300" t="str">
        <v>-</v>
      </c>
      <c r="E23300" t="str">
        <v/>
      </c>
      <c r="F23300" t="str">
        <v>-</v>
      </c>
      <c r="G23300" t="str">
        <v>-</v>
      </c>
    </row>
    <row r="23301">
      <c r="B23301" t="str">
        <v>UBND Ủy ban nhân dân xã Hòa Tú II  tỉnh Sóc Trăng</v>
      </c>
      <c r="C23301" t="str">
        <v>-</v>
      </c>
      <c r="D23301" t="str">
        <v>-</v>
      </c>
      <c r="E23301" t="str">
        <v>-</v>
      </c>
      <c r="F23301" t="str">
        <v>-</v>
      </c>
      <c r="G23301" t="str">
        <v>-</v>
      </c>
    </row>
    <row r="23302">
      <c r="B23302" t="str">
        <v>Công an phường 1  tỉnh Sóc Trăng</v>
      </c>
      <c r="C23302" t="str">
        <v>-</v>
      </c>
      <c r="D23302" t="str">
        <v>-</v>
      </c>
      <c r="E23302" t="str">
        <v/>
      </c>
      <c r="F23302" t="str">
        <v>-</v>
      </c>
      <c r="G23302" t="str">
        <v>-</v>
      </c>
    </row>
    <row r="23303">
      <c r="B23303" t="str">
        <v>UBND Ủy ban nhân dân phường 1  tỉnh Sóc Trăng</v>
      </c>
      <c r="C23303" t="str">
        <v>-</v>
      </c>
      <c r="D23303" t="str">
        <v>-</v>
      </c>
      <c r="E23303" t="str">
        <v>-</v>
      </c>
      <c r="F23303" t="str">
        <v>-</v>
      </c>
      <c r="G23303" t="str">
        <v>-</v>
      </c>
    </row>
    <row r="23304">
      <c r="B23304" t="str">
        <v>Công an phường 2  tỉnh Sóc Trăng</v>
      </c>
      <c r="C23304" t="str">
        <v>-</v>
      </c>
      <c r="D23304" t="str">
        <v>-</v>
      </c>
      <c r="E23304" t="str">
        <v/>
      </c>
      <c r="F23304" t="str">
        <v>-</v>
      </c>
      <c r="G23304" t="str">
        <v>-</v>
      </c>
    </row>
    <row r="23305">
      <c r="B23305" t="str">
        <v>UBND Ủy ban nhân dân phường 2  tỉnh Sóc Trăng</v>
      </c>
      <c r="C23305" t="str">
        <v>-</v>
      </c>
      <c r="D23305" t="str">
        <v>-</v>
      </c>
      <c r="E23305" t="str">
        <v>-</v>
      </c>
      <c r="F23305" t="str">
        <v>-</v>
      </c>
      <c r="G23305" t="str">
        <v>-</v>
      </c>
    </row>
    <row r="23306">
      <c r="B23306" t="str">
        <v>Công an xã Vĩnh Quới  tỉnh Sóc Trăng</v>
      </c>
      <c r="C23306" t="str">
        <v>-</v>
      </c>
      <c r="D23306" t="str">
        <v>-</v>
      </c>
      <c r="E23306" t="str">
        <v/>
      </c>
      <c r="F23306" t="str">
        <v>-</v>
      </c>
      <c r="G23306" t="str">
        <v>-</v>
      </c>
    </row>
    <row r="23307">
      <c r="B23307" t="str">
        <v>UBND Ủy ban nhân dân xã Vĩnh Quới  tỉnh Sóc Trăng</v>
      </c>
      <c r="C23307" t="str">
        <v>-</v>
      </c>
      <c r="D23307" t="str">
        <v>-</v>
      </c>
      <c r="E23307" t="str">
        <v>-</v>
      </c>
      <c r="F23307" t="str">
        <v>-</v>
      </c>
      <c r="G23307" t="str">
        <v>-</v>
      </c>
    </row>
    <row r="23308">
      <c r="B23308" t="str">
        <v>Công an xã Tân Long  tỉnh Sóc Trăng</v>
      </c>
      <c r="C23308" t="str">
        <v>-</v>
      </c>
      <c r="D23308" t="str">
        <v>-</v>
      </c>
      <c r="E23308" t="str">
        <v/>
      </c>
      <c r="F23308" t="str">
        <v>-</v>
      </c>
      <c r="G23308" t="str">
        <v>-</v>
      </c>
    </row>
    <row r="23309">
      <c r="B23309" t="str">
        <v>UBND Ủy ban nhân dân xã Tân Long  tỉnh Sóc Trăng</v>
      </c>
      <c r="C23309" t="str">
        <v>-</v>
      </c>
      <c r="D23309" t="str">
        <v>-</v>
      </c>
      <c r="E23309" t="str">
        <v>-</v>
      </c>
      <c r="F23309" t="str">
        <v>-</v>
      </c>
      <c r="G23309" t="str">
        <v>-</v>
      </c>
    </row>
    <row r="23310">
      <c r="B23310" t="str">
        <v>Công an xã Long Bình  tỉnh Sóc Trăng</v>
      </c>
      <c r="C23310" t="str">
        <v>-</v>
      </c>
      <c r="D23310" t="str">
        <v>-</v>
      </c>
      <c r="E23310" t="str">
        <v/>
      </c>
      <c r="F23310" t="str">
        <v>-</v>
      </c>
      <c r="G23310" t="str">
        <v>-</v>
      </c>
    </row>
    <row r="23311">
      <c r="B23311" t="str">
        <v>UBND Ủy ban nhân dân xã Long Bình  tỉnh Sóc Trăng</v>
      </c>
      <c r="C23311" t="str">
        <v>-</v>
      </c>
      <c r="D23311" t="str">
        <v>-</v>
      </c>
      <c r="E23311" t="str">
        <v>-</v>
      </c>
      <c r="F23311" t="str">
        <v>-</v>
      </c>
      <c r="G23311" t="str">
        <v>-</v>
      </c>
    </row>
    <row r="23312">
      <c r="B23312" t="str">
        <v>Công an phường 3  tỉnh Sóc Trăng</v>
      </c>
      <c r="C23312" t="str">
        <v>-</v>
      </c>
      <c r="D23312" t="str">
        <v>-</v>
      </c>
      <c r="E23312" t="str">
        <v/>
      </c>
      <c r="F23312" t="str">
        <v>-</v>
      </c>
      <c r="G23312" t="str">
        <v>-</v>
      </c>
    </row>
    <row r="23313">
      <c r="B23313" t="str">
        <v>UBND Ủy ban nhân dân phường 3  tỉnh Sóc Trăng</v>
      </c>
      <c r="C23313" t="str">
        <v>-</v>
      </c>
      <c r="D23313" t="str">
        <v>-</v>
      </c>
      <c r="E23313" t="str">
        <v>-</v>
      </c>
      <c r="F23313" t="str">
        <v>-</v>
      </c>
      <c r="G23313" t="str">
        <v>-</v>
      </c>
    </row>
    <row r="23314">
      <c r="B23314" t="str">
        <v>Công an xã Mỹ Bình  tỉnh Sóc Trăng</v>
      </c>
      <c r="C23314" t="str">
        <v>-</v>
      </c>
      <c r="D23314" t="str">
        <v>-</v>
      </c>
      <c r="E23314" t="str">
        <v/>
      </c>
      <c r="F23314" t="str">
        <v>-</v>
      </c>
      <c r="G23314" t="str">
        <v>-</v>
      </c>
    </row>
    <row r="23315">
      <c r="B23315" t="str">
        <v>UBND Ủy ban nhân dân xã Mỹ Bình  tỉnh Sóc Trăng</v>
      </c>
      <c r="C23315" t="str">
        <v>-</v>
      </c>
      <c r="D23315" t="str">
        <v>-</v>
      </c>
      <c r="E23315" t="str">
        <v>-</v>
      </c>
      <c r="F23315" t="str">
        <v>-</v>
      </c>
      <c r="G23315" t="str">
        <v>-</v>
      </c>
    </row>
    <row r="23316">
      <c r="B23316" t="str">
        <v>Công an xã Mỹ Quới  tỉnh Sóc Trăng</v>
      </c>
      <c r="C23316" t="str">
        <v>-</v>
      </c>
      <c r="D23316" t="str">
        <v>-</v>
      </c>
      <c r="E23316" t="str">
        <v/>
      </c>
      <c r="F23316" t="str">
        <v>-</v>
      </c>
      <c r="G23316" t="str">
        <v>-</v>
      </c>
    </row>
    <row r="23317">
      <c r="B23317" t="str">
        <v>UBND Ủy ban nhân dân xã Mỹ Quới  tỉnh Sóc Trăng</v>
      </c>
      <c r="C23317" t="str">
        <v>-</v>
      </c>
      <c r="D23317" t="str">
        <v>-</v>
      </c>
      <c r="E23317" t="str">
        <v>-</v>
      </c>
      <c r="F23317" t="str">
        <v>-</v>
      </c>
      <c r="G23317" t="str">
        <v>-</v>
      </c>
    </row>
    <row r="23318">
      <c r="B23318" t="str">
        <v>Công an xã Lâm Tân  tỉnh Sóc Trăng</v>
      </c>
      <c r="C23318" t="str">
        <v>-</v>
      </c>
      <c r="D23318" t="str">
        <v>-</v>
      </c>
      <c r="E23318" t="str">
        <v/>
      </c>
      <c r="F23318" t="str">
        <v>-</v>
      </c>
      <c r="G23318" t="str">
        <v>-</v>
      </c>
    </row>
    <row r="23319">
      <c r="B23319" t="str">
        <v>UBND Ủy ban nhân dân xã Lâm Tân  tỉnh Sóc Trăng</v>
      </c>
      <c r="C23319" t="str">
        <v>-</v>
      </c>
      <c r="D23319" t="str">
        <v>-</v>
      </c>
      <c r="E23319" t="str">
        <v>-</v>
      </c>
      <c r="F23319" t="str">
        <v>-</v>
      </c>
      <c r="G23319" t="str">
        <v>-</v>
      </c>
    </row>
    <row r="23320">
      <c r="B23320" t="str">
        <v>Công an xã Thạnh Tân  tỉnh Sóc Trăng</v>
      </c>
      <c r="C23320" t="str">
        <v>-</v>
      </c>
      <c r="D23320" t="str">
        <v>-</v>
      </c>
      <c r="E23320" t="str">
        <v/>
      </c>
      <c r="F23320" t="str">
        <v>-</v>
      </c>
      <c r="G23320" t="str">
        <v>-</v>
      </c>
    </row>
    <row r="23321">
      <c r="B23321" t="str">
        <v>UBND Ủy ban nhân dân xã Thạnh Tân  tỉnh Sóc Trăng</v>
      </c>
      <c r="C23321" t="str">
        <v>-</v>
      </c>
      <c r="D23321" t="str">
        <v>-</v>
      </c>
      <c r="E23321" t="str">
        <v>-</v>
      </c>
      <c r="F23321" t="str">
        <v>-</v>
      </c>
      <c r="G23321" t="str">
        <v>-</v>
      </c>
    </row>
    <row r="23322">
      <c r="B23322" t="str">
        <v>Công an xã Lâm Kiết  tỉnh Sóc Trăng</v>
      </c>
      <c r="C23322" t="str">
        <v>-</v>
      </c>
      <c r="D23322" t="str">
        <v>-</v>
      </c>
      <c r="E23322" t="str">
        <v/>
      </c>
      <c r="F23322" t="str">
        <v>-</v>
      </c>
      <c r="G23322" t="str">
        <v>-</v>
      </c>
    </row>
    <row r="23323">
      <c r="B23323" t="str">
        <v>UBND Ủy ban nhân dân xã Lâm Kiết  tỉnh Sóc Trăng</v>
      </c>
      <c r="C23323" t="str">
        <v>-</v>
      </c>
      <c r="D23323" t="str">
        <v>-</v>
      </c>
      <c r="E23323" t="str">
        <v>-</v>
      </c>
      <c r="F23323" t="str">
        <v>-</v>
      </c>
      <c r="G23323" t="str">
        <v>-</v>
      </c>
    </row>
    <row r="23324">
      <c r="B23324" t="str">
        <v>Công an xã Tuân Tức  tỉnh Sóc Trăng</v>
      </c>
      <c r="C23324" t="str">
        <v>-</v>
      </c>
      <c r="D23324" t="str">
        <v>-</v>
      </c>
      <c r="E23324" t="str">
        <v/>
      </c>
      <c r="F23324" t="str">
        <v>-</v>
      </c>
      <c r="G23324" t="str">
        <v>-</v>
      </c>
    </row>
    <row r="23325">
      <c r="B23325" t="str">
        <v>UBND Ủy ban nhân dân xã Tuân Tức  tỉnh Sóc Trăng</v>
      </c>
      <c r="C23325" t="str">
        <v>-</v>
      </c>
      <c r="D23325" t="str">
        <v>-</v>
      </c>
      <c r="E23325" t="str">
        <v>-</v>
      </c>
      <c r="F23325" t="str">
        <v>-</v>
      </c>
      <c r="G23325" t="str">
        <v>-</v>
      </c>
    </row>
    <row r="23326">
      <c r="B23326" t="str">
        <v>Công an xã Vĩnh Thành  tỉnh Sóc Trăng</v>
      </c>
      <c r="C23326" t="str">
        <v>-</v>
      </c>
      <c r="D23326" t="str">
        <v>-</v>
      </c>
      <c r="E23326" t="str">
        <v/>
      </c>
      <c r="F23326" t="str">
        <v>-</v>
      </c>
      <c r="G23326" t="str">
        <v>-</v>
      </c>
    </row>
    <row r="23327">
      <c r="B23327" t="str">
        <v>UBND Ủy ban nhân dân xã Vĩnh Thành  tỉnh Sóc Trăng</v>
      </c>
      <c r="C23327" t="str">
        <v>-</v>
      </c>
      <c r="D23327" t="str">
        <v>-</v>
      </c>
      <c r="E23327" t="str">
        <v>-</v>
      </c>
      <c r="F23327" t="str">
        <v>-</v>
      </c>
      <c r="G23327" t="str">
        <v>-</v>
      </c>
    </row>
    <row r="23328">
      <c r="B23328" t="str">
        <v>Công an xã Thạnh Trị  tỉnh Sóc Trăng</v>
      </c>
      <c r="C23328" t="str">
        <v>-</v>
      </c>
      <c r="D23328" t="str">
        <v>-</v>
      </c>
      <c r="E23328" t="str">
        <v/>
      </c>
      <c r="F23328" t="str">
        <v>-</v>
      </c>
      <c r="G23328" t="str">
        <v>-</v>
      </c>
    </row>
    <row r="23329">
      <c r="B23329" t="str">
        <v>UBND Ủy ban nhân dân xã Thạnh Trị  tỉnh Sóc Trăng</v>
      </c>
      <c r="C23329" t="str">
        <v>-</v>
      </c>
      <c r="D23329" t="str">
        <v>-</v>
      </c>
      <c r="E23329" t="str">
        <v>-</v>
      </c>
      <c r="F23329" t="str">
        <v>-</v>
      </c>
      <c r="G23329" t="str">
        <v>-</v>
      </c>
    </row>
    <row r="23330">
      <c r="B23330" t="str">
        <v>Công an xã Vĩnh Lợi  tỉnh Sóc Trăng</v>
      </c>
      <c r="C23330" t="str">
        <v>-</v>
      </c>
      <c r="D23330" t="str">
        <v>-</v>
      </c>
      <c r="E23330" t="str">
        <v/>
      </c>
      <c r="F23330" t="str">
        <v>-</v>
      </c>
      <c r="G23330" t="str">
        <v>-</v>
      </c>
    </row>
    <row r="23331">
      <c r="B23331" t="str">
        <v>UBND Ủy ban nhân dân xã Vĩnh Lợi  tỉnh Sóc Trăng</v>
      </c>
      <c r="C23331" t="str">
        <v>-</v>
      </c>
      <c r="D23331" t="str">
        <v>-</v>
      </c>
      <c r="E23331" t="str">
        <v>-</v>
      </c>
      <c r="F23331" t="str">
        <v>-</v>
      </c>
      <c r="G23331" t="str">
        <v>-</v>
      </c>
    </row>
    <row r="23332">
      <c r="B23332" t="str">
        <v>Công an xã Châu Hưng  tỉnh Sóc Trăng</v>
      </c>
      <c r="C23332" t="str">
        <v>-</v>
      </c>
      <c r="D23332" t="str">
        <v>-</v>
      </c>
      <c r="E23332" t="str">
        <v/>
      </c>
      <c r="F23332" t="str">
        <v>-</v>
      </c>
      <c r="G23332" t="str">
        <v>-</v>
      </c>
    </row>
    <row r="23333">
      <c r="B23333" t="str">
        <v>UBND Ủy ban nhân dân xã Châu Hưng  tỉnh Sóc Trăng</v>
      </c>
      <c r="C23333" t="str">
        <v>-</v>
      </c>
      <c r="D23333" t="str">
        <v>-</v>
      </c>
      <c r="E23333" t="str">
        <v>-</v>
      </c>
      <c r="F23333" t="str">
        <v>-</v>
      </c>
      <c r="G23333" t="str">
        <v>-</v>
      </c>
    </row>
    <row r="23334">
      <c r="B23334" t="str">
        <v>Công an phường 1  tỉnh Sóc Trăng</v>
      </c>
      <c r="C23334" t="str">
        <v>-</v>
      </c>
      <c r="D23334" t="str">
        <v>-</v>
      </c>
      <c r="E23334" t="str">
        <v/>
      </c>
      <c r="F23334" t="str">
        <v>-</v>
      </c>
      <c r="G23334" t="str">
        <v>-</v>
      </c>
    </row>
    <row r="23335">
      <c r="B23335" t="str">
        <v>UBND Ủy ban nhân dân phường 1  tỉnh Sóc Trăng</v>
      </c>
      <c r="C23335" t="str">
        <v>-</v>
      </c>
      <c r="D23335" t="str">
        <v>-</v>
      </c>
      <c r="E23335" t="str">
        <v>-</v>
      </c>
      <c r="F23335" t="str">
        <v>-</v>
      </c>
      <c r="G23335" t="str">
        <v>-</v>
      </c>
    </row>
    <row r="23336">
      <c r="B23336" t="str">
        <v>Công an xã Hòa Đông  tỉnh Sóc Trăng</v>
      </c>
      <c r="C23336" t="str">
        <v>-</v>
      </c>
      <c r="D23336" t="str">
        <v>-</v>
      </c>
      <c r="E23336" t="str">
        <v/>
      </c>
      <c r="F23336" t="str">
        <v>-</v>
      </c>
      <c r="G23336" t="str">
        <v>-</v>
      </c>
    </row>
    <row r="23337">
      <c r="B23337" t="str">
        <v>UBND Ủy ban nhân dân xã Hòa Đông  tỉnh Sóc Trăng</v>
      </c>
      <c r="C23337" t="str">
        <v>-</v>
      </c>
      <c r="D23337" t="str">
        <v>-</v>
      </c>
      <c r="E23337" t="str">
        <v>-</v>
      </c>
      <c r="F23337" t="str">
        <v>-</v>
      </c>
      <c r="G23337" t="str">
        <v>-</v>
      </c>
    </row>
    <row r="23338">
      <c r="B23338" t="str">
        <v>Công an phường Khánh Hòa  tỉnh Sóc Trăng</v>
      </c>
      <c r="C23338" t="str">
        <v>-</v>
      </c>
      <c r="D23338" t="str">
        <v>-</v>
      </c>
      <c r="E23338" t="str">
        <v/>
      </c>
      <c r="F23338" t="str">
        <v>-</v>
      </c>
      <c r="G23338" t="str">
        <v>-</v>
      </c>
    </row>
    <row r="23339">
      <c r="B23339" t="str">
        <v>UBND Ủy ban nhân dân phường Khánh Hòa  tỉnh Sóc Trăng</v>
      </c>
      <c r="C23339" t="str">
        <v>-</v>
      </c>
      <c r="D23339" t="str">
        <v>-</v>
      </c>
      <c r="E23339" t="str">
        <v>-</v>
      </c>
      <c r="F23339" t="str">
        <v>-</v>
      </c>
      <c r="G23339" t="str">
        <v>-</v>
      </c>
    </row>
    <row r="23340">
      <c r="B23340" t="str">
        <v>Công an xã Vĩnh Hiệp  tỉnh Sóc Trăng</v>
      </c>
      <c r="C23340" t="str">
        <v>-</v>
      </c>
      <c r="D23340" t="str">
        <v>-</v>
      </c>
      <c r="E23340" t="str">
        <v/>
      </c>
      <c r="F23340" t="str">
        <v>-</v>
      </c>
      <c r="G23340" t="str">
        <v>-</v>
      </c>
    </row>
    <row r="23341">
      <c r="B23341" t="str">
        <v>UBND Ủy ban nhân dân xã Vĩnh Hiệp  tỉnh Sóc Trăng</v>
      </c>
      <c r="C23341" t="str">
        <v>-</v>
      </c>
      <c r="D23341" t="str">
        <v>-</v>
      </c>
      <c r="E23341" t="str">
        <v>-</v>
      </c>
      <c r="F23341" t="str">
        <v>-</v>
      </c>
      <c r="G23341" t="str">
        <v>-</v>
      </c>
    </row>
    <row r="23342">
      <c r="B23342" t="str">
        <v>Công an xã Vĩnh Hải  tỉnh Sóc Trăng</v>
      </c>
      <c r="C23342" t="str">
        <v>-</v>
      </c>
      <c r="D23342" t="str">
        <v>-</v>
      </c>
      <c r="E23342" t="str">
        <v/>
      </c>
      <c r="F23342" t="str">
        <v>-</v>
      </c>
      <c r="G23342" t="str">
        <v>-</v>
      </c>
    </row>
    <row r="23343">
      <c r="B23343" t="str">
        <v>UBND Ủy ban nhân dân xã Vĩnh Hải  tỉnh Sóc Trăng</v>
      </c>
      <c r="C23343" t="str">
        <v>-</v>
      </c>
      <c r="D23343" t="str">
        <v>-</v>
      </c>
      <c r="E23343" t="str">
        <v>-</v>
      </c>
      <c r="F23343" t="str">
        <v>-</v>
      </c>
      <c r="G23343" t="str">
        <v>-</v>
      </c>
    </row>
    <row r="23344">
      <c r="B23344" t="str">
        <v>Công an xã Lạc Hòa  tỉnh Sóc Trăng</v>
      </c>
      <c r="C23344" t="str">
        <v>-</v>
      </c>
      <c r="D23344" t="str">
        <v>-</v>
      </c>
      <c r="E23344" t="str">
        <v/>
      </c>
      <c r="F23344" t="str">
        <v>-</v>
      </c>
      <c r="G23344" t="str">
        <v>-</v>
      </c>
    </row>
    <row r="23345">
      <c r="B23345" t="str">
        <v>UBND Ủy ban nhân dân xã Lạc Hòa  tỉnh Sóc Trăng</v>
      </c>
      <c r="C23345" t="str">
        <v>-</v>
      </c>
      <c r="D23345" t="str">
        <v>-</v>
      </c>
      <c r="E23345" t="str">
        <v>-</v>
      </c>
      <c r="F23345" t="str">
        <v>-</v>
      </c>
      <c r="G23345" t="str">
        <v>-</v>
      </c>
    </row>
    <row r="23346">
      <c r="B23346" t="str">
        <v>Công an phường 2  tỉnh Sóc Trăng</v>
      </c>
      <c r="C23346" t="str">
        <v>-</v>
      </c>
      <c r="D23346" t="str">
        <v>-</v>
      </c>
      <c r="E23346" t="str">
        <v/>
      </c>
      <c r="F23346" t="str">
        <v>-</v>
      </c>
      <c r="G23346" t="str">
        <v>-</v>
      </c>
    </row>
    <row r="23347">
      <c r="B23347" t="str">
        <v>UBND Ủy ban nhân dân phường 2  tỉnh Sóc Trăng</v>
      </c>
      <c r="C23347" t="str">
        <v>-</v>
      </c>
      <c r="D23347" t="str">
        <v>-</v>
      </c>
      <c r="E23347" t="str">
        <v>-</v>
      </c>
      <c r="F23347" t="str">
        <v>-</v>
      </c>
      <c r="G23347" t="str">
        <v>-</v>
      </c>
    </row>
    <row r="23348">
      <c r="B23348" t="str">
        <v>Công an phường Vĩnh Phước  tỉnh Sóc Trăng</v>
      </c>
      <c r="C23348" t="str">
        <v>-</v>
      </c>
      <c r="D23348" t="str">
        <v>-</v>
      </c>
      <c r="E23348" t="str">
        <v/>
      </c>
      <c r="F23348" t="str">
        <v>-</v>
      </c>
      <c r="G23348" t="str">
        <v>-</v>
      </c>
    </row>
    <row r="23349">
      <c r="B23349" t="str">
        <v>UBND Ủy ban nhân dân phường Vĩnh Phước  tỉnh Sóc Trăng</v>
      </c>
      <c r="C23349" t="str">
        <v>-</v>
      </c>
      <c r="D23349" t="str">
        <v>-</v>
      </c>
      <c r="E23349" t="str">
        <v>-</v>
      </c>
      <c r="F23349" t="str">
        <v>-</v>
      </c>
      <c r="G23349" t="str">
        <v>-</v>
      </c>
    </row>
    <row r="23350">
      <c r="B23350" t="str">
        <v>Công an xã Vĩnh Tân  tỉnh Sóc Trăng</v>
      </c>
      <c r="C23350" t="str">
        <v>-</v>
      </c>
      <c r="D23350" t="str">
        <v>-</v>
      </c>
      <c r="E23350" t="str">
        <v/>
      </c>
      <c r="F23350" t="str">
        <v>-</v>
      </c>
      <c r="G23350" t="str">
        <v>-</v>
      </c>
    </row>
    <row r="23351">
      <c r="B23351" t="str">
        <v>UBND Ủy ban nhân dân xã Vĩnh Tân  tỉnh Sóc Trăng</v>
      </c>
      <c r="C23351" t="str">
        <v>-</v>
      </c>
      <c r="D23351" t="str">
        <v>-</v>
      </c>
      <c r="E23351" t="str">
        <v>-</v>
      </c>
      <c r="F23351" t="str">
        <v>-</v>
      </c>
      <c r="G23351" t="str">
        <v>-</v>
      </c>
    </row>
    <row r="23352">
      <c r="B23352" t="str">
        <v>Công an xã Lai Hòa  tỉnh Sóc Trăng</v>
      </c>
      <c r="C23352" t="str">
        <v>-</v>
      </c>
      <c r="D23352" t="str">
        <v>-</v>
      </c>
      <c r="E23352" t="str">
        <v/>
      </c>
      <c r="F23352" t="str">
        <v>-</v>
      </c>
      <c r="G23352" t="str">
        <v>-</v>
      </c>
    </row>
    <row r="23353">
      <c r="B23353" t="str">
        <v>UBND Ủy ban nhân dân xã Lai Hòa  tỉnh Sóc Trăng</v>
      </c>
      <c r="C23353" t="str">
        <v>-</v>
      </c>
      <c r="D23353" t="str">
        <v>-</v>
      </c>
      <c r="E23353" t="str">
        <v>-</v>
      </c>
      <c r="F23353" t="str">
        <v>-</v>
      </c>
      <c r="G23353" t="str">
        <v>-</v>
      </c>
    </row>
    <row r="23354">
      <c r="B23354" t="str">
        <v>Công an xã Đại Ân  2  tỉnh Sóc Trăng</v>
      </c>
      <c r="C23354" t="str">
        <v>-</v>
      </c>
      <c r="D23354" t="str">
        <v>-</v>
      </c>
      <c r="E23354" t="str">
        <v/>
      </c>
      <c r="F23354" t="str">
        <v>-</v>
      </c>
      <c r="G23354" t="str">
        <v>-</v>
      </c>
    </row>
    <row r="23355">
      <c r="B23355" t="str">
        <v>UBND Ủy ban nhân dân xã Đại Ân  2  tỉnh Sóc Trăng</v>
      </c>
      <c r="C23355" t="str">
        <v>-</v>
      </c>
      <c r="D23355" t="str">
        <v>-</v>
      </c>
      <c r="E23355" t="str">
        <v>-</v>
      </c>
      <c r="F23355" t="str">
        <v>-</v>
      </c>
      <c r="G23355" t="str">
        <v>-</v>
      </c>
    </row>
    <row r="23356">
      <c r="B23356" t="str">
        <v>Công an xã Liêu Tú  tỉnh Sóc Trăng</v>
      </c>
      <c r="C23356" t="str">
        <v>-</v>
      </c>
      <c r="D23356" t="str">
        <v>-</v>
      </c>
      <c r="E23356" t="str">
        <v/>
      </c>
      <c r="F23356" t="str">
        <v>-</v>
      </c>
      <c r="G23356" t="str">
        <v>-</v>
      </c>
    </row>
    <row r="23357">
      <c r="B23357" t="str">
        <v>UBND Ủy ban nhân dân xã Liêu Tú  tỉnh Sóc Trăng</v>
      </c>
      <c r="C23357" t="str">
        <v>-</v>
      </c>
      <c r="D23357" t="str">
        <v>-</v>
      </c>
      <c r="E23357" t="str">
        <v>-</v>
      </c>
      <c r="F23357" t="str">
        <v>-</v>
      </c>
      <c r="G23357" t="str">
        <v>-</v>
      </c>
    </row>
    <row r="23358">
      <c r="B23358" t="str">
        <v>Công an xã Lịch Hội Thượng  tỉnh Sóc Trăng</v>
      </c>
      <c r="C23358" t="str">
        <v>-</v>
      </c>
      <c r="D23358" t="str">
        <v>-</v>
      </c>
      <c r="E23358" t="str">
        <v/>
      </c>
      <c r="F23358" t="str">
        <v>-</v>
      </c>
      <c r="G23358" t="str">
        <v>-</v>
      </c>
    </row>
    <row r="23359">
      <c r="B23359" t="str">
        <v>UBND Ủy ban nhân dân xã Lịch Hội Thượng  tỉnh Sóc Trăng</v>
      </c>
      <c r="C23359" t="str">
        <v>-</v>
      </c>
      <c r="D23359" t="str">
        <v>-</v>
      </c>
      <c r="E23359" t="str">
        <v>-</v>
      </c>
      <c r="F23359" t="str">
        <v>-</v>
      </c>
      <c r="G23359" t="str">
        <v>-</v>
      </c>
    </row>
    <row r="23360">
      <c r="B23360" t="str">
        <v>Công an xã Trung Bình  tỉnh Sóc Trăng</v>
      </c>
      <c r="C23360" t="str">
        <v>-</v>
      </c>
      <c r="D23360" t="str">
        <v>-</v>
      </c>
      <c r="E23360" t="str">
        <v/>
      </c>
      <c r="F23360" t="str">
        <v>-</v>
      </c>
      <c r="G23360" t="str">
        <v>-</v>
      </c>
    </row>
    <row r="23361">
      <c r="B23361" t="str">
        <v>UBND Ủy ban nhân dân xã Trung Bình  tỉnh Sóc Trăng</v>
      </c>
      <c r="C23361" t="str">
        <v>-</v>
      </c>
      <c r="D23361" t="str">
        <v>-</v>
      </c>
      <c r="E23361" t="str">
        <v>-</v>
      </c>
      <c r="F23361" t="str">
        <v>-</v>
      </c>
      <c r="G23361" t="str">
        <v>-</v>
      </c>
    </row>
    <row r="23362">
      <c r="B23362" t="str">
        <v>Công an xã Tài Văn  tỉnh Sóc Trăng</v>
      </c>
      <c r="C23362" t="str">
        <v>-</v>
      </c>
      <c r="D23362" t="str">
        <v>-</v>
      </c>
      <c r="E23362" t="str">
        <v/>
      </c>
      <c r="F23362" t="str">
        <v>-</v>
      </c>
      <c r="G23362" t="str">
        <v>-</v>
      </c>
    </row>
    <row r="23363">
      <c r="B23363" t="str">
        <v>UBND Ủy ban nhân dân xã Tài Văn  tỉnh Sóc Trăng</v>
      </c>
      <c r="C23363" t="str">
        <v>-</v>
      </c>
      <c r="D23363" t="str">
        <v>-</v>
      </c>
      <c r="E23363" t="str">
        <v>-</v>
      </c>
      <c r="F23363" t="str">
        <v>-</v>
      </c>
      <c r="G23363" t="str">
        <v>-</v>
      </c>
    </row>
    <row r="23364">
      <c r="B23364" t="str">
        <v>Công an xã Viên An  tỉnh Sóc Trăng</v>
      </c>
      <c r="C23364" t="str">
        <v>-</v>
      </c>
      <c r="D23364" t="str">
        <v>-</v>
      </c>
      <c r="E23364" t="str">
        <v/>
      </c>
      <c r="F23364" t="str">
        <v>-</v>
      </c>
      <c r="G23364" t="str">
        <v>-</v>
      </c>
    </row>
    <row r="23365">
      <c r="B23365" t="str">
        <v>UBND Ủy ban nhân dân xã Viên An  tỉnh Sóc Trăng</v>
      </c>
      <c r="C23365" t="str">
        <v>-</v>
      </c>
      <c r="D23365" t="str">
        <v>-</v>
      </c>
      <c r="E23365" t="str">
        <v>-</v>
      </c>
      <c r="F23365" t="str">
        <v>-</v>
      </c>
      <c r="G23365" t="str">
        <v>-</v>
      </c>
    </row>
    <row r="23366">
      <c r="B23366" t="str">
        <v>Công an xã Thạnh Thới An  tỉnh Sóc Trăng</v>
      </c>
      <c r="C23366" t="str">
        <v>-</v>
      </c>
      <c r="D23366" t="str">
        <v>-</v>
      </c>
      <c r="E23366" t="str">
        <v/>
      </c>
      <c r="F23366" t="str">
        <v>-</v>
      </c>
      <c r="G23366" t="str">
        <v>-</v>
      </c>
    </row>
    <row r="23367">
      <c r="B23367" t="str">
        <v>UBND Ủy ban nhân dân xã Thạnh Thới An  tỉnh Sóc Trăng</v>
      </c>
      <c r="C23367" t="str">
        <v>-</v>
      </c>
      <c r="D23367" t="str">
        <v>-</v>
      </c>
      <c r="E23367" t="str">
        <v>-</v>
      </c>
      <c r="F23367" t="str">
        <v>-</v>
      </c>
      <c r="G23367" t="str">
        <v>-</v>
      </c>
    </row>
    <row r="23368">
      <c r="B23368" t="str">
        <v>Công an xã Thạnh Thới Thuận  tỉnh Sóc Trăng</v>
      </c>
      <c r="C23368" t="str">
        <v>-</v>
      </c>
      <c r="D23368" t="str">
        <v>-</v>
      </c>
      <c r="E23368" t="str">
        <v/>
      </c>
      <c r="F23368" t="str">
        <v>-</v>
      </c>
      <c r="G23368" t="str">
        <v>-</v>
      </c>
    </row>
    <row r="23369">
      <c r="B23369" t="str">
        <v>UBND Ủy ban nhân dân xã Thạnh Thới Thuận  tỉnh Sóc Trăng</v>
      </c>
      <c r="C23369" t="str">
        <v>-</v>
      </c>
      <c r="D23369" t="str">
        <v>-</v>
      </c>
      <c r="E23369" t="str">
        <v>-</v>
      </c>
      <c r="F23369" t="str">
        <v>-</v>
      </c>
      <c r="G23369" t="str">
        <v>-</v>
      </c>
    </row>
    <row r="23370">
      <c r="B23370" t="str">
        <v>Công an xã Viên Bình  tỉnh Sóc Trăng</v>
      </c>
      <c r="C23370" t="str">
        <v>-</v>
      </c>
      <c r="D23370" t="str">
        <v>-</v>
      </c>
      <c r="E23370" t="str">
        <v/>
      </c>
      <c r="F23370" t="str">
        <v>-</v>
      </c>
      <c r="G23370" t="str">
        <v>-</v>
      </c>
    </row>
    <row r="23371">
      <c r="B23371" t="str">
        <v>UBND Ủy ban nhân dân xã Viên Bình  tỉnh Sóc Trăng</v>
      </c>
      <c r="C23371" t="str">
        <v>-</v>
      </c>
      <c r="D23371" t="str">
        <v>-</v>
      </c>
      <c r="E23371" t="str">
        <v>-</v>
      </c>
      <c r="F23371" t="str">
        <v>-</v>
      </c>
      <c r="G23371" t="str">
        <v>-</v>
      </c>
    </row>
    <row r="23372">
      <c r="B23372" t="str">
        <v>Công an phường 2  tỉnh Bạc Liêu</v>
      </c>
      <c r="C23372" t="str">
        <v>-</v>
      </c>
      <c r="D23372" t="str">
        <v>-</v>
      </c>
      <c r="E23372" t="str">
        <v/>
      </c>
      <c r="F23372" t="str">
        <v>-</v>
      </c>
      <c r="G23372" t="str">
        <v>-</v>
      </c>
    </row>
    <row r="23373">
      <c r="B23373" t="str">
        <v>UBND Ủy ban nhân dân phường 2  tỉnh Bạc Liêu</v>
      </c>
      <c r="C23373" t="str">
        <v>-</v>
      </c>
      <c r="D23373" t="str">
        <v>-</v>
      </c>
      <c r="E23373" t="str">
        <v>-</v>
      </c>
      <c r="F23373" t="str">
        <v>-</v>
      </c>
      <c r="G23373" t="str">
        <v>-</v>
      </c>
    </row>
    <row r="23374">
      <c r="B23374" t="str">
        <v>Công an phường 3  tỉnh Bạc Liêu</v>
      </c>
      <c r="C23374" t="str">
        <v>-</v>
      </c>
      <c r="D23374" t="str">
        <v>-</v>
      </c>
      <c r="E23374" t="str">
        <v/>
      </c>
      <c r="F23374" t="str">
        <v>-</v>
      </c>
      <c r="G23374" t="str">
        <v>-</v>
      </c>
    </row>
    <row r="23375">
      <c r="B23375" t="str">
        <v>UBND Ủy ban nhân dân phường 3  tỉnh Bạc Liêu</v>
      </c>
      <c r="C23375" t="str">
        <v>-</v>
      </c>
      <c r="D23375" t="str">
        <v>-</v>
      </c>
      <c r="E23375" t="str">
        <v>-</v>
      </c>
      <c r="F23375" t="str">
        <v>-</v>
      </c>
      <c r="G23375" t="str">
        <v>-</v>
      </c>
    </row>
    <row r="23376">
      <c r="B23376" t="str">
        <v>Công an phường 5  tỉnh Bạc Liêu</v>
      </c>
      <c r="C23376" t="str">
        <v>-</v>
      </c>
      <c r="D23376" t="str">
        <v>-</v>
      </c>
      <c r="E23376" t="str">
        <v/>
      </c>
      <c r="F23376" t="str">
        <v>-</v>
      </c>
      <c r="G23376" t="str">
        <v>-</v>
      </c>
    </row>
    <row r="23377">
      <c r="B23377" t="str">
        <v>UBND Ủy ban nhân dân phường 5  tỉnh Bạc Liêu</v>
      </c>
      <c r="C23377" t="str">
        <v>-</v>
      </c>
      <c r="D23377" t="str">
        <v>-</v>
      </c>
      <c r="E23377" t="str">
        <v>-</v>
      </c>
      <c r="F23377" t="str">
        <v>-</v>
      </c>
      <c r="G23377" t="str">
        <v>-</v>
      </c>
    </row>
    <row r="23378">
      <c r="B23378" t="str">
        <v>Công an phường 7  tỉnh Bạc Liêu</v>
      </c>
      <c r="C23378" t="str">
        <v>-</v>
      </c>
      <c r="D23378" t="str">
        <v>-</v>
      </c>
      <c r="E23378" t="str">
        <v/>
      </c>
      <c r="F23378" t="str">
        <v>-</v>
      </c>
      <c r="G23378" t="str">
        <v>-</v>
      </c>
    </row>
    <row r="23379">
      <c r="B23379" t="str">
        <v>UBND Ủy ban nhân dân phường 7  tỉnh Bạc Liêu</v>
      </c>
      <c r="C23379" t="str">
        <v>-</v>
      </c>
      <c r="D23379" t="str">
        <v>-</v>
      </c>
      <c r="E23379" t="str">
        <v>-</v>
      </c>
      <c r="F23379" t="str">
        <v>-</v>
      </c>
      <c r="G23379" t="str">
        <v>-</v>
      </c>
    </row>
    <row r="23380">
      <c r="B23380" t="str">
        <v>Công an phường 1  tỉnh Bạc Liêu</v>
      </c>
      <c r="C23380" t="str">
        <v>-</v>
      </c>
      <c r="D23380" t="str">
        <v>-</v>
      </c>
      <c r="E23380" t="str">
        <v/>
      </c>
      <c r="F23380" t="str">
        <v>-</v>
      </c>
      <c r="G23380" t="str">
        <v>-</v>
      </c>
    </row>
    <row r="23381">
      <c r="B23381" t="str">
        <v>UBND Ủy ban nhân dân phường 1  tỉnh Bạc Liêu</v>
      </c>
      <c r="C23381" t="str">
        <v>-</v>
      </c>
      <c r="D23381" t="str">
        <v>-</v>
      </c>
      <c r="E23381" t="str">
        <v>-</v>
      </c>
      <c r="F23381" t="str">
        <v>-</v>
      </c>
      <c r="G23381" t="str">
        <v>-</v>
      </c>
    </row>
    <row r="23382">
      <c r="B23382" t="str">
        <v>Công an phường 8  tỉnh Bạc Liêu</v>
      </c>
      <c r="C23382" t="str">
        <v>-</v>
      </c>
      <c r="D23382" t="str">
        <v>-</v>
      </c>
      <c r="E23382" t="str">
        <v/>
      </c>
      <c r="F23382" t="str">
        <v>-</v>
      </c>
      <c r="G23382" t="str">
        <v>-</v>
      </c>
    </row>
    <row r="23383">
      <c r="B23383" t="str">
        <v>UBND Ủy ban nhân dân phường 8  tỉnh Bạc Liêu</v>
      </c>
      <c r="C23383" t="str">
        <v>-</v>
      </c>
      <c r="D23383" t="str">
        <v>-</v>
      </c>
      <c r="E23383" t="str">
        <v>-</v>
      </c>
      <c r="F23383" t="str">
        <v>-</v>
      </c>
      <c r="G23383" t="str">
        <v>-</v>
      </c>
    </row>
    <row r="23384">
      <c r="B23384" t="str">
        <v>Công an phường Nhà Mát  tỉnh Bạc Liêu</v>
      </c>
      <c r="C23384" t="str">
        <v>-</v>
      </c>
      <c r="D23384" t="str">
        <v>-</v>
      </c>
      <c r="E23384" t="str">
        <v/>
      </c>
      <c r="F23384" t="str">
        <v>-</v>
      </c>
      <c r="G23384" t="str">
        <v>-</v>
      </c>
    </row>
    <row r="23385">
      <c r="B23385" t="str">
        <v>UBND Ủy ban nhân dân phường Nhà Mát  tỉnh Bạc Liêu</v>
      </c>
      <c r="C23385" t="str">
        <v>-</v>
      </c>
      <c r="D23385" t="str">
        <v>-</v>
      </c>
      <c r="E23385" t="str">
        <v>-</v>
      </c>
      <c r="F23385" t="str">
        <v>-</v>
      </c>
      <c r="G23385" t="str">
        <v>-</v>
      </c>
    </row>
    <row r="23386">
      <c r="B23386" t="str">
        <v>Công an xã Vĩnh Trạch  tỉnh Bạc Liêu</v>
      </c>
      <c r="C23386" t="str">
        <v>-</v>
      </c>
      <c r="D23386" t="str">
        <v>-</v>
      </c>
      <c r="E23386" t="str">
        <v/>
      </c>
      <c r="F23386" t="str">
        <v>-</v>
      </c>
      <c r="G23386" t="str">
        <v>-</v>
      </c>
    </row>
    <row r="23387">
      <c r="B23387" t="str">
        <v>UBND Ủy ban nhân dân xã Vĩnh Trạch  tỉnh Bạc Liêu</v>
      </c>
      <c r="C23387" t="str">
        <v>-</v>
      </c>
      <c r="D23387" t="str">
        <v>-</v>
      </c>
      <c r="E23387" t="str">
        <v>-</v>
      </c>
      <c r="F23387" t="str">
        <v>-</v>
      </c>
      <c r="G23387" t="str">
        <v>-</v>
      </c>
    </row>
    <row r="23388">
      <c r="B23388" t="str">
        <v>Công an xã Vĩnh Trạch Đông  tỉnh Bạc Liêu</v>
      </c>
      <c r="C23388" t="str">
        <v>-</v>
      </c>
      <c r="D23388" t="str">
        <v>-</v>
      </c>
      <c r="E23388" t="str">
        <v/>
      </c>
      <c r="F23388" t="str">
        <v>-</v>
      </c>
      <c r="G23388" t="str">
        <v>-</v>
      </c>
    </row>
    <row r="23389">
      <c r="B23389" t="str">
        <v>UBND Ủy ban nhân dân xã Vĩnh Trạch Đông  tỉnh Bạc Liêu</v>
      </c>
      <c r="C23389" t="str">
        <v>-</v>
      </c>
      <c r="D23389" t="str">
        <v>-</v>
      </c>
      <c r="E23389" t="str">
        <v>-</v>
      </c>
      <c r="F23389" t="str">
        <v>-</v>
      </c>
      <c r="G23389" t="str">
        <v>-</v>
      </c>
    </row>
    <row r="23390">
      <c r="B23390" t="str">
        <v>Công an xã Hiệp Thành  tỉnh Bạc Liêu</v>
      </c>
      <c r="C23390" t="str">
        <v>-</v>
      </c>
      <c r="D23390" t="str">
        <v>-</v>
      </c>
      <c r="E23390" t="str">
        <v/>
      </c>
      <c r="F23390" t="str">
        <v>-</v>
      </c>
      <c r="G23390" t="str">
        <v>-</v>
      </c>
    </row>
    <row r="23391">
      <c r="B23391" t="str">
        <v>UBND Ủy ban nhân dân xã Hiệp Thành  tỉnh Bạc Liêu</v>
      </c>
      <c r="C23391" t="str">
        <v>-</v>
      </c>
      <c r="D23391" t="str">
        <v>-</v>
      </c>
      <c r="E23391" t="str">
        <v>-</v>
      </c>
      <c r="F23391" t="str">
        <v>-</v>
      </c>
      <c r="G23391" t="str">
        <v>-</v>
      </c>
    </row>
    <row r="23392">
      <c r="B23392" t="str">
        <v>Công an xã Ninh Quới  tỉnh Bạc Liêu</v>
      </c>
      <c r="C23392" t="str">
        <v>-</v>
      </c>
      <c r="D23392" t="str">
        <v>-</v>
      </c>
      <c r="E23392" t="str">
        <v/>
      </c>
      <c r="F23392" t="str">
        <v>-</v>
      </c>
      <c r="G23392" t="str">
        <v>-</v>
      </c>
    </row>
    <row r="23393">
      <c r="B23393" t="str">
        <v>UBND Ủy ban nhân dân xã Ninh Quới  tỉnh Bạc Liêu</v>
      </c>
      <c r="C23393" t="str">
        <v>-</v>
      </c>
      <c r="D23393" t="str">
        <v>-</v>
      </c>
      <c r="E23393" t="str">
        <v>-</v>
      </c>
      <c r="F23393" t="str">
        <v>-</v>
      </c>
      <c r="G23393" t="str">
        <v>-</v>
      </c>
    </row>
    <row r="23394">
      <c r="B23394" t="str">
        <v>Công an xã Ninh Quới A  tỉnh Bạc Liêu</v>
      </c>
      <c r="C23394" t="str">
        <v>-</v>
      </c>
      <c r="D23394" t="str">
        <v>-</v>
      </c>
      <c r="E23394" t="str">
        <v/>
      </c>
      <c r="F23394" t="str">
        <v>-</v>
      </c>
      <c r="G23394" t="str">
        <v>-</v>
      </c>
    </row>
    <row r="23395">
      <c r="B23395" t="str">
        <v>UBND Ủy ban nhân dân xã Ninh Quới A  tỉnh Bạc Liêu</v>
      </c>
      <c r="C23395" t="str">
        <v>-</v>
      </c>
      <c r="D23395" t="str">
        <v>-</v>
      </c>
      <c r="E23395" t="str">
        <v>-</v>
      </c>
      <c r="F23395" t="str">
        <v>-</v>
      </c>
      <c r="G23395" t="str">
        <v>-</v>
      </c>
    </row>
    <row r="23396">
      <c r="B23396" t="str">
        <v>Công an xã Ninh Hòa  tỉnh Bạc Liêu</v>
      </c>
      <c r="C23396" t="str">
        <v>-</v>
      </c>
      <c r="D23396" t="str">
        <v>-</v>
      </c>
      <c r="E23396" t="str">
        <v/>
      </c>
      <c r="F23396" t="str">
        <v>-</v>
      </c>
      <c r="G23396" t="str">
        <v>-</v>
      </c>
    </row>
    <row r="23397">
      <c r="B23397" t="str">
        <v>UBND Ủy ban nhân dân xã Ninh Hòa  tỉnh Bạc Liêu</v>
      </c>
      <c r="C23397" t="str">
        <v>-</v>
      </c>
      <c r="D23397" t="str">
        <v>-</v>
      </c>
      <c r="E23397" t="str">
        <v>-</v>
      </c>
      <c r="F23397" t="str">
        <v>-</v>
      </c>
      <c r="G23397" t="str">
        <v>-</v>
      </c>
    </row>
    <row r="23398">
      <c r="B23398" t="str">
        <v>Công an xã Lộc Ninh  tỉnh Bạc Liêu</v>
      </c>
      <c r="C23398" t="str">
        <v>-</v>
      </c>
      <c r="D23398" t="str">
        <v>-</v>
      </c>
      <c r="E23398" t="str">
        <v/>
      </c>
      <c r="F23398" t="str">
        <v>-</v>
      </c>
      <c r="G23398" t="str">
        <v>-</v>
      </c>
    </row>
    <row r="23399">
      <c r="B23399" t="str">
        <v>UBND Ủy ban nhân dân xã Lộc Ninh  tỉnh Bạc Liêu</v>
      </c>
      <c r="C23399" t="str">
        <v>-</v>
      </c>
      <c r="D23399" t="str">
        <v>-</v>
      </c>
      <c r="E23399" t="str">
        <v>-</v>
      </c>
      <c r="F23399" t="str">
        <v>-</v>
      </c>
      <c r="G23399" t="str">
        <v>-</v>
      </c>
    </row>
    <row r="23400">
      <c r="B23400" t="str">
        <v>Công an xã Vĩnh Lộc  tỉnh Bạc Liêu</v>
      </c>
      <c r="C23400" t="str">
        <v>-</v>
      </c>
      <c r="D23400" t="str">
        <v>-</v>
      </c>
      <c r="E23400" t="str">
        <v/>
      </c>
      <c r="F23400" t="str">
        <v>-</v>
      </c>
      <c r="G23400" t="str">
        <v>-</v>
      </c>
    </row>
    <row r="23401">
      <c r="B23401" t="str">
        <v>UBND Ủy ban nhân dân xã Vĩnh Lộc  tỉnh Bạc Liêu</v>
      </c>
      <c r="C23401" t="str">
        <v>-</v>
      </c>
      <c r="D23401" t="str">
        <v>-</v>
      </c>
      <c r="E23401" t="str">
        <v>-</v>
      </c>
      <c r="F23401" t="str">
        <v>-</v>
      </c>
      <c r="G23401" t="str">
        <v>-</v>
      </c>
    </row>
    <row r="23402">
      <c r="B23402" t="str">
        <v>Công an xã Vĩnh Lộc A  tỉnh Bạc Liêu</v>
      </c>
      <c r="C23402" t="str">
        <v>-</v>
      </c>
      <c r="D23402" t="str">
        <v>-</v>
      </c>
      <c r="E23402" t="str">
        <v/>
      </c>
      <c r="F23402" t="str">
        <v>-</v>
      </c>
      <c r="G23402" t="str">
        <v>-</v>
      </c>
    </row>
    <row r="23403">
      <c r="B23403" t="str">
        <v>UBND Ủy ban nhân dân xã Vĩnh Lộc A  tỉnh Bạc Liêu</v>
      </c>
      <c r="C23403" t="str">
        <v>-</v>
      </c>
      <c r="D23403" t="str">
        <v>-</v>
      </c>
      <c r="E23403" t="str">
        <v>-</v>
      </c>
      <c r="F23403" t="str">
        <v>-</v>
      </c>
      <c r="G23403" t="str">
        <v>-</v>
      </c>
    </row>
    <row r="23404">
      <c r="B23404" t="str">
        <v>Công an xã Ninh Thạnh Lợi A  tỉnh Bạc Liêu</v>
      </c>
      <c r="C23404" t="str">
        <v>-</v>
      </c>
      <c r="D23404" t="str">
        <v>-</v>
      </c>
      <c r="E23404" t="str">
        <v/>
      </c>
      <c r="F23404" t="str">
        <v>-</v>
      </c>
      <c r="G23404" t="str">
        <v>-</v>
      </c>
    </row>
    <row r="23405">
      <c r="B23405" t="str">
        <v>UBND Ủy ban nhân dân xã Ninh Thạnh Lợi A  tỉnh Bạc Liêu</v>
      </c>
      <c r="C23405" t="str">
        <v>-</v>
      </c>
      <c r="D23405" t="str">
        <v>-</v>
      </c>
      <c r="E23405" t="str">
        <v>-</v>
      </c>
      <c r="F23405" t="str">
        <v>-</v>
      </c>
      <c r="G23405" t="str">
        <v>-</v>
      </c>
    </row>
    <row r="23406">
      <c r="B23406" t="str">
        <v>Công an xã Ninh Thạnh Lợi  tỉnh Bạc Liêu</v>
      </c>
      <c r="C23406" t="str">
        <v>-</v>
      </c>
      <c r="D23406" t="str">
        <v>-</v>
      </c>
      <c r="E23406" t="str">
        <v/>
      </c>
      <c r="F23406" t="str">
        <v>-</v>
      </c>
      <c r="G23406" t="str">
        <v>-</v>
      </c>
    </row>
    <row r="23407">
      <c r="B23407" t="str">
        <v>UBND Ủy ban nhân dân xã Ninh Thạnh Lợi  tỉnh Bạc Liêu</v>
      </c>
      <c r="C23407" t="str">
        <v>-</v>
      </c>
      <c r="D23407" t="str">
        <v>-</v>
      </c>
      <c r="E23407" t="str">
        <v>-</v>
      </c>
      <c r="F23407" t="str">
        <v>-</v>
      </c>
      <c r="G23407" t="str">
        <v>-</v>
      </c>
    </row>
    <row r="23408">
      <c r="B23408" t="str">
        <v>Công an xã Vĩnh Phú Đông  tỉnh Bạc Liêu</v>
      </c>
      <c r="C23408" t="str">
        <v>-</v>
      </c>
      <c r="D23408" t="str">
        <v>-</v>
      </c>
      <c r="E23408" t="str">
        <v/>
      </c>
      <c r="F23408" t="str">
        <v>-</v>
      </c>
      <c r="G23408" t="str">
        <v>-</v>
      </c>
    </row>
    <row r="23409">
      <c r="B23409" t="str">
        <v>UBND Ủy ban nhân dân xã Vĩnh Phú Đông  tỉnh Bạc Liêu</v>
      </c>
      <c r="C23409" t="str">
        <v>-</v>
      </c>
      <c r="D23409" t="str">
        <v>-</v>
      </c>
      <c r="E23409" t="str">
        <v>-</v>
      </c>
      <c r="F23409" t="str">
        <v>-</v>
      </c>
      <c r="G23409" t="str">
        <v>-</v>
      </c>
    </row>
    <row r="23410">
      <c r="B23410" t="str">
        <v>Công an xã Vĩnh Phú Tây  tỉnh Bạc Liêu</v>
      </c>
      <c r="C23410" t="str">
        <v>-</v>
      </c>
      <c r="D23410" t="str">
        <v>-</v>
      </c>
      <c r="E23410" t="str">
        <v/>
      </c>
      <c r="F23410" t="str">
        <v>-</v>
      </c>
      <c r="G23410" t="str">
        <v>-</v>
      </c>
    </row>
    <row r="23411">
      <c r="B23411" t="str">
        <v>UBND Ủy ban nhân dân xã Vĩnh Phú Tây  tỉnh Bạc Liêu</v>
      </c>
      <c r="C23411" t="str">
        <v>-</v>
      </c>
      <c r="D23411" t="str">
        <v>-</v>
      </c>
      <c r="E23411" t="str">
        <v>-</v>
      </c>
      <c r="F23411" t="str">
        <v>-</v>
      </c>
      <c r="G23411" t="str">
        <v>-</v>
      </c>
    </row>
    <row r="23412">
      <c r="B23412" t="str">
        <v>Công an xã Phước Long  tỉnh Bạc Liêu</v>
      </c>
      <c r="C23412" t="str">
        <v>-</v>
      </c>
      <c r="D23412" t="str">
        <v>-</v>
      </c>
      <c r="E23412" t="str">
        <v/>
      </c>
      <c r="F23412" t="str">
        <v>-</v>
      </c>
      <c r="G23412" t="str">
        <v>-</v>
      </c>
    </row>
    <row r="23413">
      <c r="B23413" t="str">
        <v>UBND Ủy ban nhân dân xã Phước Long  tỉnh Bạc Liêu</v>
      </c>
      <c r="C23413" t="str">
        <v>-</v>
      </c>
      <c r="D23413" t="str">
        <v>-</v>
      </c>
      <c r="E23413" t="str">
        <v>-</v>
      </c>
      <c r="F23413" t="str">
        <v>-</v>
      </c>
      <c r="G23413" t="str">
        <v>-</v>
      </c>
    </row>
    <row r="23414">
      <c r="B23414" t="str">
        <v>Công an xã Hưng Phú  tỉnh Bạc Liêu</v>
      </c>
      <c r="C23414" t="str">
        <v>-</v>
      </c>
      <c r="D23414" t="str">
        <v>-</v>
      </c>
      <c r="E23414" t="str">
        <v/>
      </c>
      <c r="F23414" t="str">
        <v>-</v>
      </c>
      <c r="G23414" t="str">
        <v>-</v>
      </c>
    </row>
    <row r="23415">
      <c r="B23415" t="str">
        <v>UBND Ủy ban nhân dân xã Hưng Phú  tỉnh Bạc Liêu</v>
      </c>
      <c r="C23415" t="str">
        <v>-</v>
      </c>
      <c r="D23415" t="str">
        <v>-</v>
      </c>
      <c r="E23415" t="str">
        <v>-</v>
      </c>
      <c r="F23415" t="str">
        <v>-</v>
      </c>
      <c r="G23415" t="str">
        <v>-</v>
      </c>
    </row>
    <row r="23416">
      <c r="B23416" t="str">
        <v>Công an xã Vĩnh Thanh  tỉnh Bạc Liêu</v>
      </c>
      <c r="C23416" t="str">
        <v>-</v>
      </c>
      <c r="D23416" t="str">
        <v>-</v>
      </c>
      <c r="E23416" t="str">
        <v/>
      </c>
      <c r="F23416" t="str">
        <v>-</v>
      </c>
      <c r="G23416" t="str">
        <v>-</v>
      </c>
    </row>
    <row r="23417">
      <c r="B23417" t="str">
        <v>UBND Ủy ban nhân dân xã Vĩnh Thanh  tỉnh Bạc Liêu</v>
      </c>
      <c r="C23417" t="str">
        <v>-</v>
      </c>
      <c r="D23417" t="str">
        <v>-</v>
      </c>
      <c r="E23417" t="str">
        <v>-</v>
      </c>
      <c r="F23417" t="str">
        <v>-</v>
      </c>
      <c r="G23417" t="str">
        <v>-</v>
      </c>
    </row>
    <row r="23418">
      <c r="B23418" t="str">
        <v>Công an xã Phong Thạnh Tây A  tỉnh Bạc Liêu</v>
      </c>
      <c r="C23418" t="str">
        <v>-</v>
      </c>
      <c r="D23418" t="str">
        <v>-</v>
      </c>
      <c r="E23418" t="str">
        <v/>
      </c>
      <c r="F23418" t="str">
        <v>-</v>
      </c>
      <c r="G23418" t="str">
        <v>-</v>
      </c>
    </row>
    <row r="23419">
      <c r="B23419" t="str">
        <v>UBND Ủy ban nhân dân xã Phong Thạnh Tây A  tỉnh Bạc Liêu</v>
      </c>
      <c r="C23419" t="str">
        <v>-</v>
      </c>
      <c r="D23419" t="str">
        <v>-</v>
      </c>
      <c r="E23419" t="str">
        <v>-</v>
      </c>
      <c r="F23419" t="str">
        <v>-</v>
      </c>
      <c r="G23419" t="str">
        <v>-</v>
      </c>
    </row>
    <row r="23420">
      <c r="B23420" t="str">
        <v>Công an xã Phong Thạnh Tây B  tỉnh Bạc Liêu</v>
      </c>
      <c r="C23420" t="str">
        <v>-</v>
      </c>
      <c r="D23420" t="str">
        <v>-</v>
      </c>
      <c r="E23420" t="str">
        <v/>
      </c>
      <c r="F23420" t="str">
        <v>-</v>
      </c>
      <c r="G23420" t="str">
        <v>-</v>
      </c>
    </row>
    <row r="23421">
      <c r="B23421" t="str">
        <v>UBND Ủy ban nhân dân xã Phong Thạnh Tây B  tỉnh Bạc Liêu</v>
      </c>
      <c r="C23421" t="str">
        <v>-</v>
      </c>
      <c r="D23421" t="str">
        <v>-</v>
      </c>
      <c r="E23421" t="str">
        <v>-</v>
      </c>
      <c r="F23421" t="str">
        <v>-</v>
      </c>
      <c r="G23421" t="str">
        <v>-</v>
      </c>
    </row>
    <row r="23422">
      <c r="B23422" t="str">
        <v>Công an xã Vĩnh Hưng  tỉnh Bạc Liêu</v>
      </c>
      <c r="C23422" t="str">
        <v>-</v>
      </c>
      <c r="D23422" t="str">
        <v>-</v>
      </c>
      <c r="E23422" t="str">
        <v/>
      </c>
      <c r="F23422" t="str">
        <v>-</v>
      </c>
      <c r="G23422" t="str">
        <v>-</v>
      </c>
    </row>
    <row r="23423">
      <c r="B23423" t="str">
        <v>UBND Ủy ban nhân dân xã Vĩnh Hưng  tỉnh Bạc Liêu</v>
      </c>
      <c r="C23423" t="str">
        <v>-</v>
      </c>
      <c r="D23423" t="str">
        <v>-</v>
      </c>
      <c r="E23423" t="str">
        <v>-</v>
      </c>
      <c r="F23423" t="str">
        <v>-</v>
      </c>
      <c r="G23423" t="str">
        <v>-</v>
      </c>
    </row>
    <row r="23424">
      <c r="B23424" t="str">
        <v>Công an xã Vĩnh Hưng A  tỉnh Bạc Liêu</v>
      </c>
      <c r="C23424" t="str">
        <v>-</v>
      </c>
      <c r="D23424" t="str">
        <v>-</v>
      </c>
      <c r="E23424" t="str">
        <v/>
      </c>
      <c r="F23424" t="str">
        <v>-</v>
      </c>
      <c r="G23424" t="str">
        <v>-</v>
      </c>
    </row>
    <row r="23425">
      <c r="B23425" t="str">
        <v>UBND Ủy ban nhân dân xã Vĩnh Hưng A  tỉnh Bạc Liêu</v>
      </c>
      <c r="C23425" t="str">
        <v>-</v>
      </c>
      <c r="D23425" t="str">
        <v>-</v>
      </c>
      <c r="E23425" t="str">
        <v>-</v>
      </c>
      <c r="F23425" t="str">
        <v>-</v>
      </c>
      <c r="G23425" t="str">
        <v>-</v>
      </c>
    </row>
    <row r="23426">
      <c r="B23426" t="str">
        <v>Công an xã Châu Hưng A  tỉnh Bạc Liêu</v>
      </c>
      <c r="C23426" t="str">
        <v>-</v>
      </c>
      <c r="D23426" t="str">
        <v>-</v>
      </c>
      <c r="E23426" t="str">
        <v/>
      </c>
      <c r="F23426" t="str">
        <v>-</v>
      </c>
      <c r="G23426" t="str">
        <v>-</v>
      </c>
    </row>
    <row r="23427">
      <c r="B23427" t="str">
        <v>UBND Ủy ban nhân dân xã Châu Hưng A  tỉnh Bạc Liêu</v>
      </c>
      <c r="C23427" t="str">
        <v>-</v>
      </c>
      <c r="D23427" t="str">
        <v>-</v>
      </c>
      <c r="E23427" t="str">
        <v>-</v>
      </c>
      <c r="F23427" t="str">
        <v>-</v>
      </c>
      <c r="G23427" t="str">
        <v>-</v>
      </c>
    </row>
    <row r="23428">
      <c r="B23428" t="str">
        <v>Công an xã Hưng Thành  tỉnh Bạc Liêu</v>
      </c>
      <c r="C23428" t="str">
        <v>-</v>
      </c>
      <c r="D23428" t="str">
        <v>-</v>
      </c>
      <c r="E23428" t="str">
        <v/>
      </c>
      <c r="F23428" t="str">
        <v>-</v>
      </c>
      <c r="G23428" t="str">
        <v>-</v>
      </c>
    </row>
    <row r="23429">
      <c r="B23429" t="str">
        <v>UBND Ủy ban nhân dân xã Hưng Thành  tỉnh Bạc Liêu</v>
      </c>
      <c r="C23429" t="str">
        <v>-</v>
      </c>
      <c r="D23429" t="str">
        <v>-</v>
      </c>
      <c r="E23429" t="str">
        <v>-</v>
      </c>
      <c r="F23429" t="str">
        <v>-</v>
      </c>
      <c r="G23429" t="str">
        <v>-</v>
      </c>
    </row>
    <row r="23430">
      <c r="B23430" t="str">
        <v>Công an xã Hưng Hội  tỉnh Bạc Liêu</v>
      </c>
      <c r="C23430" t="str">
        <v>-</v>
      </c>
      <c r="D23430" t="str">
        <v>-</v>
      </c>
      <c r="E23430" t="str">
        <v/>
      </c>
      <c r="F23430" t="str">
        <v>-</v>
      </c>
      <c r="G23430" t="str">
        <v>-</v>
      </c>
    </row>
    <row r="23431">
      <c r="B23431" t="str">
        <v>UBND Ủy ban nhân dân xã Hưng Hội  tỉnh Bạc Liêu</v>
      </c>
      <c r="C23431" t="str">
        <v>-</v>
      </c>
      <c r="D23431" t="str">
        <v>-</v>
      </c>
      <c r="E23431" t="str">
        <v>-</v>
      </c>
      <c r="F23431" t="str">
        <v>-</v>
      </c>
      <c r="G23431" t="str">
        <v>-</v>
      </c>
    </row>
    <row r="23432">
      <c r="B23432" t="str">
        <v>Công an xã Châu Thới  tỉnh Bạc Liêu</v>
      </c>
      <c r="C23432" t="str">
        <v>-</v>
      </c>
      <c r="D23432" t="str">
        <v>-</v>
      </c>
      <c r="E23432" t="str">
        <v/>
      </c>
      <c r="F23432" t="str">
        <v>-</v>
      </c>
      <c r="G23432" t="str">
        <v>-</v>
      </c>
    </row>
    <row r="23433">
      <c r="B23433" t="str">
        <v>UBND Ủy ban nhân dân xã Châu Thới  tỉnh Bạc Liêu</v>
      </c>
      <c r="C23433" t="str">
        <v>-</v>
      </c>
      <c r="D23433" t="str">
        <v>-</v>
      </c>
      <c r="E23433" t="str">
        <v>-</v>
      </c>
      <c r="F23433" t="str">
        <v>-</v>
      </c>
      <c r="G23433" t="str">
        <v>-</v>
      </c>
    </row>
    <row r="23434">
      <c r="B23434" t="str">
        <v>Công an xã Long Thạnh  tỉnh Bạc Liêu</v>
      </c>
      <c r="C23434" t="str">
        <v>-</v>
      </c>
      <c r="D23434" t="str">
        <v>-</v>
      </c>
      <c r="E23434" t="str">
        <v/>
      </c>
      <c r="F23434" t="str">
        <v>-</v>
      </c>
      <c r="G23434" t="str">
        <v>-</v>
      </c>
    </row>
    <row r="23435">
      <c r="B23435" t="str">
        <v>UBND Ủy ban nhân dân xã Long Thạnh  tỉnh Bạc Liêu</v>
      </c>
      <c r="C23435" t="str">
        <v>-</v>
      </c>
      <c r="D23435" t="str">
        <v>-</v>
      </c>
      <c r="E23435" t="str">
        <v>-</v>
      </c>
      <c r="F23435" t="str">
        <v>-</v>
      </c>
      <c r="G23435" t="str">
        <v>-</v>
      </c>
    </row>
    <row r="23436">
      <c r="B23436" t="str">
        <v>Công an phường 1  tỉnh Bạc Liêu</v>
      </c>
      <c r="C23436" t="str">
        <v>-</v>
      </c>
      <c r="D23436" t="str">
        <v>-</v>
      </c>
      <c r="E23436" t="str">
        <v/>
      </c>
      <c r="F23436" t="str">
        <v>-</v>
      </c>
      <c r="G23436" t="str">
        <v>-</v>
      </c>
    </row>
    <row r="23437">
      <c r="B23437" t="str">
        <v>UBND Ủy ban nhân dân phường 1  tỉnh Bạc Liêu</v>
      </c>
      <c r="C23437" t="str">
        <v>-</v>
      </c>
      <c r="D23437" t="str">
        <v>-</v>
      </c>
      <c r="E23437" t="str">
        <v>-</v>
      </c>
      <c r="F23437" t="str">
        <v>-</v>
      </c>
      <c r="G23437" t="str">
        <v>-</v>
      </c>
    </row>
    <row r="23438">
      <c r="B23438" t="str">
        <v>Công an phường Hộ Phòng  tỉnh Bạc Liêu</v>
      </c>
      <c r="C23438" t="str">
        <v>-</v>
      </c>
      <c r="D23438" t="str">
        <v>-</v>
      </c>
      <c r="E23438" t="str">
        <v/>
      </c>
      <c r="F23438" t="str">
        <v>-</v>
      </c>
      <c r="G23438" t="str">
        <v>-</v>
      </c>
    </row>
    <row r="23439">
      <c r="B23439" t="str">
        <v>UBND Ủy ban nhân dân phường Hộ Phòng  tỉnh Bạc Liêu</v>
      </c>
      <c r="C23439" t="str">
        <v>-</v>
      </c>
      <c r="D23439" t="str">
        <v>-</v>
      </c>
      <c r="E23439" t="str">
        <v>-</v>
      </c>
      <c r="F23439" t="str">
        <v>-</v>
      </c>
      <c r="G23439" t="str">
        <v>-</v>
      </c>
    </row>
    <row r="23440">
      <c r="B23440" t="str">
        <v>Công an xã Phong Thạnh Đông  tỉnh Bạc Liêu</v>
      </c>
      <c r="C23440" t="str">
        <v>-</v>
      </c>
      <c r="D23440" t="str">
        <v>-</v>
      </c>
      <c r="E23440" t="str">
        <v/>
      </c>
      <c r="F23440" t="str">
        <v>-</v>
      </c>
      <c r="G23440" t="str">
        <v>-</v>
      </c>
    </row>
    <row r="23441">
      <c r="B23441" t="str">
        <v>UBND Ủy ban nhân dân xã Phong Thạnh Đông  tỉnh Bạc Liêu</v>
      </c>
      <c r="C23441" t="str">
        <v>-</v>
      </c>
      <c r="D23441" t="str">
        <v>-</v>
      </c>
      <c r="E23441" t="str">
        <v>-</v>
      </c>
      <c r="F23441" t="str">
        <v>-</v>
      </c>
      <c r="G23441" t="str">
        <v>-</v>
      </c>
    </row>
    <row r="23442">
      <c r="B23442" t="str">
        <v>Công an phường Láng Tròn  tỉnh Bạc Liêu</v>
      </c>
      <c r="C23442" t="str">
        <v>-</v>
      </c>
      <c r="D23442" t="str">
        <v>-</v>
      </c>
      <c r="E23442" t="str">
        <v/>
      </c>
      <c r="F23442" t="str">
        <v>-</v>
      </c>
      <c r="G23442" t="str">
        <v>-</v>
      </c>
    </row>
    <row r="23443">
      <c r="B23443" t="str">
        <v>UBND Ủy ban nhân dân phường Láng Tròn  tỉnh Bạc Liêu</v>
      </c>
      <c r="C23443" t="str">
        <v>-</v>
      </c>
      <c r="D23443" t="str">
        <v>-</v>
      </c>
      <c r="E23443" t="str">
        <v>-</v>
      </c>
      <c r="F23443" t="str">
        <v>-</v>
      </c>
      <c r="G23443" t="str">
        <v>-</v>
      </c>
    </row>
    <row r="23444">
      <c r="B23444" t="str">
        <v>Công an xã Phong Tân  tỉnh Bạc Liêu</v>
      </c>
      <c r="C23444" t="str">
        <v>-</v>
      </c>
      <c r="D23444" t="str">
        <v>-</v>
      </c>
      <c r="E23444" t="str">
        <v/>
      </c>
      <c r="F23444" t="str">
        <v>-</v>
      </c>
      <c r="G23444" t="str">
        <v>-</v>
      </c>
    </row>
    <row r="23445">
      <c r="B23445" t="str">
        <v>UBND Ủy ban nhân dân xã Phong Tân  tỉnh Bạc Liêu</v>
      </c>
      <c r="C23445" t="str">
        <v>-</v>
      </c>
      <c r="D23445" t="str">
        <v>-</v>
      </c>
      <c r="E23445" t="str">
        <v>-</v>
      </c>
      <c r="F23445" t="str">
        <v>-</v>
      </c>
      <c r="G23445" t="str">
        <v>-</v>
      </c>
    </row>
    <row r="23446">
      <c r="B23446" t="str">
        <v>Công an xã Tân Phong  tỉnh Bạc Liêu</v>
      </c>
      <c r="C23446" t="str">
        <v>-</v>
      </c>
      <c r="D23446" t="str">
        <v>-</v>
      </c>
      <c r="E23446" t="str">
        <v/>
      </c>
      <c r="F23446" t="str">
        <v>-</v>
      </c>
      <c r="G23446" t="str">
        <v>-</v>
      </c>
    </row>
    <row r="23447">
      <c r="B23447" t="str">
        <v>UBND Ủy ban nhân dân xã Tân Phong  tỉnh Bạc Liêu</v>
      </c>
      <c r="C23447" t="str">
        <v>-</v>
      </c>
      <c r="D23447" t="str">
        <v>-</v>
      </c>
      <c r="E23447" t="str">
        <v>-</v>
      </c>
      <c r="F23447" t="str">
        <v>-</v>
      </c>
      <c r="G23447" t="str">
        <v>-</v>
      </c>
    </row>
    <row r="23448">
      <c r="B23448" t="str">
        <v>Công an xã Phong Thạnh  tỉnh Bạc Liêu</v>
      </c>
      <c r="C23448" t="str">
        <v>-</v>
      </c>
      <c r="D23448" t="str">
        <v>-</v>
      </c>
      <c r="E23448" t="str">
        <v/>
      </c>
      <c r="F23448" t="str">
        <v>-</v>
      </c>
      <c r="G23448" t="str">
        <v>-</v>
      </c>
    </row>
    <row r="23449">
      <c r="B23449" t="str">
        <v>UBND Ủy ban nhân dân xã Phong Thạnh  tỉnh Bạc Liêu</v>
      </c>
      <c r="C23449" t="str">
        <v>-</v>
      </c>
      <c r="D23449" t="str">
        <v>-</v>
      </c>
      <c r="E23449" t="str">
        <v>-</v>
      </c>
      <c r="F23449" t="str">
        <v>-</v>
      </c>
      <c r="G23449" t="str">
        <v>-</v>
      </c>
    </row>
    <row r="23450">
      <c r="B23450" t="str">
        <v>Công an xã Phong Thạnh A  tỉnh Bạc Liêu</v>
      </c>
      <c r="C23450" t="str">
        <v>-</v>
      </c>
      <c r="D23450" t="str">
        <v>-</v>
      </c>
      <c r="E23450" t="str">
        <v/>
      </c>
      <c r="F23450" t="str">
        <v>-</v>
      </c>
      <c r="G23450" t="str">
        <v>-</v>
      </c>
    </row>
    <row r="23451">
      <c r="B23451" t="str">
        <v>UBND Ủy ban nhân dân xã Phong Thạnh A  tỉnh Bạc Liêu</v>
      </c>
      <c r="C23451" t="str">
        <v>-</v>
      </c>
      <c r="D23451" t="str">
        <v>-</v>
      </c>
      <c r="E23451" t="str">
        <v>-</v>
      </c>
      <c r="F23451" t="str">
        <v>-</v>
      </c>
      <c r="G23451" t="str">
        <v>-</v>
      </c>
    </row>
    <row r="23452">
      <c r="B23452" t="str">
        <v>Công an xã Phong Thạnh Tây  tỉnh Bạc Liêu</v>
      </c>
      <c r="C23452" t="str">
        <v>-</v>
      </c>
      <c r="D23452" t="str">
        <v>-</v>
      </c>
      <c r="E23452" t="str">
        <v/>
      </c>
      <c r="F23452" t="str">
        <v>-</v>
      </c>
      <c r="G23452" t="str">
        <v>-</v>
      </c>
    </row>
    <row r="23453">
      <c r="B23453" t="str">
        <v>UBND Ủy ban nhân dân xã Phong Thạnh Tây  tỉnh Bạc Liêu</v>
      </c>
      <c r="C23453" t="str">
        <v>-</v>
      </c>
      <c r="D23453" t="str">
        <v>-</v>
      </c>
      <c r="E23453" t="str">
        <v>-</v>
      </c>
      <c r="F23453" t="str">
        <v>-</v>
      </c>
      <c r="G23453" t="str">
        <v>-</v>
      </c>
    </row>
    <row r="23454">
      <c r="B23454" t="str">
        <v>Công an xã Tân Thạnh  tỉnh Bạc Liêu</v>
      </c>
      <c r="C23454" t="str">
        <v>-</v>
      </c>
      <c r="D23454" t="str">
        <v>-</v>
      </c>
      <c r="E23454" t="str">
        <v/>
      </c>
      <c r="F23454" t="str">
        <v>-</v>
      </c>
      <c r="G23454" t="str">
        <v>-</v>
      </c>
    </row>
    <row r="23455">
      <c r="B23455" t="str">
        <v>UBND Ủy ban nhân dân xã Tân Thạnh  tỉnh Bạc Liêu</v>
      </c>
      <c r="C23455" t="str">
        <v>-</v>
      </c>
      <c r="D23455" t="str">
        <v>-</v>
      </c>
      <c r="E23455" t="str">
        <v>-</v>
      </c>
      <c r="F23455" t="str">
        <v>-</v>
      </c>
      <c r="G23455" t="str">
        <v>-</v>
      </c>
    </row>
    <row r="23456">
      <c r="B23456" t="str">
        <v>Công an xã Long Điền Đông  tỉnh Bạc Liêu</v>
      </c>
      <c r="C23456" t="str">
        <v>-</v>
      </c>
      <c r="D23456" t="str">
        <v>-</v>
      </c>
      <c r="E23456" t="str">
        <v/>
      </c>
      <c r="F23456" t="str">
        <v>-</v>
      </c>
      <c r="G23456" t="str">
        <v>-</v>
      </c>
    </row>
    <row r="23457">
      <c r="B23457" t="str">
        <v>UBND Ủy ban nhân dân xã Long Điền Đông  tỉnh Bạc Liêu</v>
      </c>
      <c r="C23457" t="str">
        <v>-</v>
      </c>
      <c r="D23457" t="str">
        <v>-</v>
      </c>
      <c r="E23457" t="str">
        <v>-</v>
      </c>
      <c r="F23457" t="str">
        <v>-</v>
      </c>
      <c r="G23457" t="str">
        <v>-</v>
      </c>
    </row>
    <row r="23458">
      <c r="B23458" t="str">
        <v>Công an xã Long Điền Đông A  tỉnh Bạc Liêu</v>
      </c>
      <c r="C23458" t="str">
        <v>-</v>
      </c>
      <c r="D23458" t="str">
        <v>-</v>
      </c>
      <c r="E23458" t="str">
        <v/>
      </c>
      <c r="F23458" t="str">
        <v>-</v>
      </c>
      <c r="G23458" t="str">
        <v>-</v>
      </c>
    </row>
    <row r="23459">
      <c r="B23459" t="str">
        <v>UBND Ủy ban nhân dân xã Long Điền Đông A  tỉnh Bạc Liêu</v>
      </c>
      <c r="C23459" t="str">
        <v>-</v>
      </c>
      <c r="D23459" t="str">
        <v>-</v>
      </c>
      <c r="E23459" t="str">
        <v>-</v>
      </c>
      <c r="F23459" t="str">
        <v>-</v>
      </c>
      <c r="G23459" t="str">
        <v>-</v>
      </c>
    </row>
    <row r="23460">
      <c r="B23460" t="str">
        <v>Công an xã Long Điền  tỉnh Bạc Liêu</v>
      </c>
      <c r="C23460" t="str">
        <v>-</v>
      </c>
      <c r="D23460" t="str">
        <v>-</v>
      </c>
      <c r="E23460" t="str">
        <v/>
      </c>
      <c r="F23460" t="str">
        <v>-</v>
      </c>
      <c r="G23460" t="str">
        <v>-</v>
      </c>
    </row>
    <row r="23461">
      <c r="B23461" t="str">
        <v>UBND Ủy ban nhân dân xã Long Điền  tỉnh Bạc Liêu</v>
      </c>
      <c r="C23461" t="str">
        <v>-</v>
      </c>
      <c r="D23461" t="str">
        <v>-</v>
      </c>
      <c r="E23461" t="str">
        <v>-</v>
      </c>
      <c r="F23461" t="str">
        <v>-</v>
      </c>
      <c r="G23461" t="str">
        <v>-</v>
      </c>
    </row>
    <row r="23462">
      <c r="B23462" t="str">
        <v>Công an xã Long Điền Tây  tỉnh Bạc Liêu</v>
      </c>
      <c r="C23462" t="str">
        <v>-</v>
      </c>
      <c r="D23462" t="str">
        <v>-</v>
      </c>
      <c r="E23462" t="str">
        <v/>
      </c>
      <c r="F23462" t="str">
        <v>-</v>
      </c>
      <c r="G23462" t="str">
        <v>-</v>
      </c>
    </row>
    <row r="23463">
      <c r="B23463" t="str">
        <v>UBND Ủy ban nhân dân xã Long Điền Tây  tỉnh Bạc Liêu</v>
      </c>
      <c r="C23463" t="str">
        <v>-</v>
      </c>
      <c r="D23463" t="str">
        <v>-</v>
      </c>
      <c r="E23463" t="str">
        <v>-</v>
      </c>
      <c r="F23463" t="str">
        <v>-</v>
      </c>
      <c r="G23463" t="str">
        <v>-</v>
      </c>
    </row>
    <row r="23464">
      <c r="B23464" t="str">
        <v>Công an xã Điền Hải  tỉnh Bạc Liêu</v>
      </c>
      <c r="C23464" t="str">
        <v>-</v>
      </c>
      <c r="D23464" t="str">
        <v>-</v>
      </c>
      <c r="E23464" t="str">
        <v/>
      </c>
      <c r="F23464" t="str">
        <v>-</v>
      </c>
      <c r="G23464" t="str">
        <v>-</v>
      </c>
    </row>
    <row r="23465">
      <c r="B23465" t="str">
        <v>UBND Ủy ban nhân dân xã Điền Hải  tỉnh Bạc Liêu</v>
      </c>
      <c r="C23465" t="str">
        <v>-</v>
      </c>
      <c r="D23465" t="str">
        <v>-</v>
      </c>
      <c r="E23465" t="str">
        <v>-</v>
      </c>
      <c r="F23465" t="str">
        <v>-</v>
      </c>
      <c r="G23465" t="str">
        <v>-</v>
      </c>
    </row>
    <row r="23466">
      <c r="B23466" t="str">
        <v>Công an xã An Trạch  tỉnh Bạc Liêu</v>
      </c>
      <c r="C23466" t="str">
        <v>-</v>
      </c>
      <c r="D23466" t="str">
        <v>-</v>
      </c>
      <c r="E23466" t="str">
        <v/>
      </c>
      <c r="F23466" t="str">
        <v>-</v>
      </c>
      <c r="G23466" t="str">
        <v>-</v>
      </c>
    </row>
    <row r="23467">
      <c r="B23467" t="str">
        <v>UBND Ủy ban nhân dân xã An Trạch  tỉnh Bạc Liêu</v>
      </c>
      <c r="C23467" t="str">
        <v>-</v>
      </c>
      <c r="D23467" t="str">
        <v>-</v>
      </c>
      <c r="E23467" t="str">
        <v>-</v>
      </c>
      <c r="F23467" t="str">
        <v>-</v>
      </c>
      <c r="G23467" t="str">
        <v>-</v>
      </c>
    </row>
    <row r="23468">
      <c r="B23468" t="str">
        <v>Công an xã An Trạch A  tỉnh Bạc Liêu</v>
      </c>
      <c r="C23468" t="str">
        <v>-</v>
      </c>
      <c r="D23468" t="str">
        <v>-</v>
      </c>
      <c r="E23468" t="str">
        <v/>
      </c>
      <c r="F23468" t="str">
        <v>-</v>
      </c>
      <c r="G23468" t="str">
        <v>-</v>
      </c>
    </row>
    <row r="23469">
      <c r="B23469" t="str">
        <v>UBND Ủy ban nhân dân xã An Trạch A  tỉnh Bạc Liêu</v>
      </c>
      <c r="C23469" t="str">
        <v>-</v>
      </c>
      <c r="D23469" t="str">
        <v>-</v>
      </c>
      <c r="E23469" t="str">
        <v>-</v>
      </c>
      <c r="F23469" t="str">
        <v>-</v>
      </c>
      <c r="G23469" t="str">
        <v>-</v>
      </c>
    </row>
    <row r="23470">
      <c r="B23470" t="str">
        <v>Công an xã An Phúc  tỉnh Bạc Liêu</v>
      </c>
      <c r="C23470" t="str">
        <v>-</v>
      </c>
      <c r="D23470" t="str">
        <v>-</v>
      </c>
      <c r="E23470" t="str">
        <v/>
      </c>
      <c r="F23470" t="str">
        <v>-</v>
      </c>
      <c r="G23470" t="str">
        <v>-</v>
      </c>
    </row>
    <row r="23471">
      <c r="B23471" t="str">
        <v>UBND Ủy ban nhân dân xã An Phúc  tỉnh Bạc Liêu</v>
      </c>
      <c r="C23471" t="str">
        <v>-</v>
      </c>
      <c r="D23471" t="str">
        <v>-</v>
      </c>
      <c r="E23471" t="str">
        <v>-</v>
      </c>
      <c r="F23471" t="str">
        <v>-</v>
      </c>
      <c r="G23471" t="str">
        <v>-</v>
      </c>
    </row>
    <row r="23472">
      <c r="B23472" t="str">
        <v>Công an xã Định Thành  tỉnh Bạc Liêu</v>
      </c>
      <c r="C23472" t="str">
        <v>-</v>
      </c>
      <c r="D23472" t="str">
        <v>-</v>
      </c>
      <c r="E23472" t="str">
        <v/>
      </c>
      <c r="F23472" t="str">
        <v>-</v>
      </c>
      <c r="G23472" t="str">
        <v>-</v>
      </c>
    </row>
    <row r="23473">
      <c r="B23473" t="str">
        <v>UBND Ủy ban nhân dân xã Định Thành  tỉnh Bạc Liêu</v>
      </c>
      <c r="C23473" t="str">
        <v>-</v>
      </c>
      <c r="D23473" t="str">
        <v>-</v>
      </c>
      <c r="E23473" t="str">
        <v>-</v>
      </c>
      <c r="F23473" t="str">
        <v>-</v>
      </c>
      <c r="G23473" t="str">
        <v>-</v>
      </c>
    </row>
    <row r="23474">
      <c r="B23474" t="str">
        <v>Công an xã Định Thành A  tỉnh Bạc Liêu</v>
      </c>
      <c r="C23474" t="str">
        <v>-</v>
      </c>
      <c r="D23474" t="str">
        <v>-</v>
      </c>
      <c r="E23474" t="str">
        <v/>
      </c>
      <c r="F23474" t="str">
        <v>-</v>
      </c>
      <c r="G23474" t="str">
        <v>-</v>
      </c>
    </row>
    <row r="23475">
      <c r="B23475" t="str">
        <v>UBND Ủy ban nhân dân xã Định Thành A  tỉnh Bạc Liêu</v>
      </c>
      <c r="C23475" t="str">
        <v>-</v>
      </c>
      <c r="D23475" t="str">
        <v>-</v>
      </c>
      <c r="E23475" t="str">
        <v>-</v>
      </c>
      <c r="F23475" t="str">
        <v>-</v>
      </c>
      <c r="G23475" t="str">
        <v>-</v>
      </c>
    </row>
    <row r="23476">
      <c r="B23476" t="str">
        <v>Công an xã Minh Diệu  tỉnh Bạc Liêu</v>
      </c>
      <c r="C23476" t="str">
        <v>-</v>
      </c>
      <c r="D23476" t="str">
        <v>-</v>
      </c>
      <c r="E23476" t="str">
        <v/>
      </c>
      <c r="F23476" t="str">
        <v>-</v>
      </c>
      <c r="G23476" t="str">
        <v>-</v>
      </c>
    </row>
    <row r="23477">
      <c r="B23477" t="str">
        <v>UBND Ủy ban nhân dân xã Minh Diệu  tỉnh Bạc Liêu</v>
      </c>
      <c r="C23477" t="str">
        <v>-</v>
      </c>
      <c r="D23477" t="str">
        <v>-</v>
      </c>
      <c r="E23477" t="str">
        <v>-</v>
      </c>
      <c r="F23477" t="str">
        <v>-</v>
      </c>
      <c r="G23477" t="str">
        <v>-</v>
      </c>
    </row>
    <row r="23478">
      <c r="B23478" t="str">
        <v>Công an xã Vĩnh Bình  tỉnh Bạc Liêu</v>
      </c>
      <c r="C23478" t="str">
        <v>-</v>
      </c>
      <c r="D23478" t="str">
        <v>-</v>
      </c>
      <c r="E23478" t="str">
        <v/>
      </c>
      <c r="F23478" t="str">
        <v>-</v>
      </c>
      <c r="G23478" t="str">
        <v>-</v>
      </c>
    </row>
    <row r="23479">
      <c r="B23479" t="str">
        <v>UBND Ủy ban nhân dân xã Vĩnh Bình  tỉnh Bạc Liêu</v>
      </c>
      <c r="C23479" t="str">
        <v>-</v>
      </c>
      <c r="D23479" t="str">
        <v>-</v>
      </c>
      <c r="E23479" t="str">
        <v>-</v>
      </c>
      <c r="F23479" t="str">
        <v>-</v>
      </c>
      <c r="G23479" t="str">
        <v>-</v>
      </c>
    </row>
    <row r="23480">
      <c r="B23480" t="str">
        <v>Công an xã Vĩnh Mỹ B  tỉnh Bạc Liêu</v>
      </c>
      <c r="C23480" t="str">
        <v>-</v>
      </c>
      <c r="D23480" t="str">
        <v>-</v>
      </c>
      <c r="E23480" t="str">
        <v/>
      </c>
      <c r="F23480" t="str">
        <v>-</v>
      </c>
      <c r="G23480" t="str">
        <v>-</v>
      </c>
    </row>
    <row r="23481">
      <c r="B23481" t="str">
        <v>UBND Ủy ban nhân dân xã Vĩnh Mỹ B  tỉnh Bạc Liêu</v>
      </c>
      <c r="C23481" t="str">
        <v>-</v>
      </c>
      <c r="D23481" t="str">
        <v>-</v>
      </c>
      <c r="E23481" t="str">
        <v>-</v>
      </c>
      <c r="F23481" t="str">
        <v>-</v>
      </c>
      <c r="G23481" t="str">
        <v>-</v>
      </c>
    </row>
    <row r="23482">
      <c r="B23482" t="str">
        <v>Công an xã Vĩnh Hậu  tỉnh Bạc Liêu</v>
      </c>
      <c r="C23482" t="str">
        <v>-</v>
      </c>
      <c r="D23482" t="str">
        <v>-</v>
      </c>
      <c r="E23482" t="str">
        <v/>
      </c>
      <c r="F23482" t="str">
        <v>-</v>
      </c>
      <c r="G23482" t="str">
        <v>-</v>
      </c>
    </row>
    <row r="23483">
      <c r="B23483" t="str">
        <v>UBND Ủy ban nhân dân xã Vĩnh Hậu  tỉnh Bạc Liêu</v>
      </c>
      <c r="C23483" t="str">
        <v>-</v>
      </c>
      <c r="D23483" t="str">
        <v>-</v>
      </c>
      <c r="E23483" t="str">
        <v>-</v>
      </c>
      <c r="F23483" t="str">
        <v>-</v>
      </c>
      <c r="G23483" t="str">
        <v>-</v>
      </c>
    </row>
    <row r="23484">
      <c r="B23484" t="str">
        <v>Công an xã Vĩnh Hậu A  tỉnh Bạc Liêu</v>
      </c>
      <c r="C23484" t="str">
        <v>-</v>
      </c>
      <c r="D23484" t="str">
        <v>-</v>
      </c>
      <c r="E23484" t="str">
        <v/>
      </c>
      <c r="F23484" t="str">
        <v>-</v>
      </c>
      <c r="G23484" t="str">
        <v>-</v>
      </c>
    </row>
    <row r="23485">
      <c r="B23485" t="str">
        <v>UBND Ủy ban nhân dân xã Vĩnh Hậu A  tỉnh Bạc Liêu</v>
      </c>
      <c r="C23485" t="str">
        <v>-</v>
      </c>
      <c r="D23485" t="str">
        <v>-</v>
      </c>
      <c r="E23485" t="str">
        <v>-</v>
      </c>
      <c r="F23485" t="str">
        <v>-</v>
      </c>
      <c r="G23485" t="str">
        <v>-</v>
      </c>
    </row>
    <row r="23486">
      <c r="B23486" t="str">
        <v>Công an xã Vĩnh Mỹ A  tỉnh Bạc Liêu</v>
      </c>
      <c r="C23486" t="str">
        <v>-</v>
      </c>
      <c r="D23486" t="str">
        <v>-</v>
      </c>
      <c r="E23486" t="str">
        <v/>
      </c>
      <c r="F23486" t="str">
        <v>-</v>
      </c>
      <c r="G23486" t="str">
        <v>-</v>
      </c>
    </row>
    <row r="23487">
      <c r="B23487" t="str">
        <v>UBND Ủy ban nhân dân xã Vĩnh Mỹ A  tỉnh Bạc Liêu</v>
      </c>
      <c r="C23487" t="str">
        <v>-</v>
      </c>
      <c r="D23487" t="str">
        <v>-</v>
      </c>
      <c r="E23487" t="str">
        <v>-</v>
      </c>
      <c r="F23487" t="str">
        <v>-</v>
      </c>
      <c r="G23487" t="str">
        <v>-</v>
      </c>
    </row>
    <row r="23488">
      <c r="B23488" t="str">
        <v>Công an xã Vĩnh Thịnh  tỉnh Bạc Liêu</v>
      </c>
      <c r="C23488" t="str">
        <v>-</v>
      </c>
      <c r="D23488" t="str">
        <v>-</v>
      </c>
      <c r="E23488" t="str">
        <v/>
      </c>
      <c r="F23488" t="str">
        <v>-</v>
      </c>
      <c r="G23488" t="str">
        <v>-</v>
      </c>
    </row>
    <row r="23489">
      <c r="B23489" t="str">
        <v>UBND Ủy ban nhân dân xã Vĩnh Thịnh  tỉnh Bạc Liêu</v>
      </c>
      <c r="C23489" t="str">
        <v>-</v>
      </c>
      <c r="D23489" t="str">
        <v>-</v>
      </c>
      <c r="E23489" t="str">
        <v>-</v>
      </c>
      <c r="F23489" t="str">
        <v>-</v>
      </c>
      <c r="G23489" t="str">
        <v>-</v>
      </c>
    </row>
    <row r="23490">
      <c r="B23490" t="str">
        <v>Công an phường 9  tỉnh Cà Mau</v>
      </c>
      <c r="C23490" t="str">
        <v>-</v>
      </c>
      <c r="D23490" t="str">
        <v>-</v>
      </c>
      <c r="E23490" t="str">
        <v/>
      </c>
      <c r="F23490" t="str">
        <v>-</v>
      </c>
      <c r="G23490" t="str">
        <v>-</v>
      </c>
    </row>
    <row r="23491">
      <c r="B23491" t="str">
        <v>UBND Ủy ban nhân dân phường 9  tỉnh Cà Mau</v>
      </c>
      <c r="C23491" t="str">
        <v>-</v>
      </c>
      <c r="D23491" t="str">
        <v>-</v>
      </c>
      <c r="E23491" t="str">
        <v>-</v>
      </c>
      <c r="F23491" t="str">
        <v>-</v>
      </c>
      <c r="G23491" t="str">
        <v>-</v>
      </c>
    </row>
    <row r="23492">
      <c r="B23492" t="str">
        <v>Công an phường 4  tỉnh Cà Mau</v>
      </c>
      <c r="C23492" t="str">
        <v>-</v>
      </c>
      <c r="D23492" t="str">
        <v>-</v>
      </c>
      <c r="E23492" t="str">
        <v/>
      </c>
      <c r="F23492" t="str">
        <v>-</v>
      </c>
      <c r="G23492" t="str">
        <v>-</v>
      </c>
    </row>
    <row r="23493">
      <c r="B23493" t="str">
        <v>UBND Ủy ban nhân dân phường 4  tỉnh Cà Mau</v>
      </c>
      <c r="C23493" t="str">
        <v>-</v>
      </c>
      <c r="D23493" t="str">
        <v>-</v>
      </c>
      <c r="E23493" t="str">
        <v>-</v>
      </c>
      <c r="F23493" t="str">
        <v>-</v>
      </c>
      <c r="G23493" t="str">
        <v>-</v>
      </c>
    </row>
    <row r="23494">
      <c r="B23494" t="str">
        <v>Công an phường 1  tỉnh Cà Mau</v>
      </c>
      <c r="C23494" t="str">
        <v>-</v>
      </c>
      <c r="D23494" t="str">
        <v>-</v>
      </c>
      <c r="E23494" t="str">
        <v/>
      </c>
      <c r="F23494" t="str">
        <v>-</v>
      </c>
      <c r="G23494" t="str">
        <v>-</v>
      </c>
    </row>
    <row r="23495">
      <c r="B23495" t="str">
        <v>UBND Ủy ban nhân dân phường 1  tỉnh Cà Mau</v>
      </c>
      <c r="C23495" t="str">
        <v>-</v>
      </c>
      <c r="D23495" t="str">
        <v>-</v>
      </c>
      <c r="E23495" t="str">
        <v>-</v>
      </c>
      <c r="F23495" t="str">
        <v>-</v>
      </c>
      <c r="G23495" t="str">
        <v>-</v>
      </c>
    </row>
    <row r="23496">
      <c r="B23496" t="str">
        <v>Công an phường 5  tỉnh Cà Mau</v>
      </c>
      <c r="C23496" t="str">
        <v>-</v>
      </c>
      <c r="D23496" t="str">
        <v>-</v>
      </c>
      <c r="E23496" t="str">
        <v/>
      </c>
      <c r="F23496" t="str">
        <v>-</v>
      </c>
      <c r="G23496" t="str">
        <v>-</v>
      </c>
    </row>
    <row r="23497">
      <c r="B23497" t="str">
        <v>UBND Ủy ban nhân dân phường 5  tỉnh Cà Mau</v>
      </c>
      <c r="C23497" t="str">
        <v>-</v>
      </c>
      <c r="D23497" t="str">
        <v>-</v>
      </c>
      <c r="E23497" t="str">
        <v>-</v>
      </c>
      <c r="F23497" t="str">
        <v>-</v>
      </c>
      <c r="G23497" t="str">
        <v>-</v>
      </c>
    </row>
    <row r="23498">
      <c r="B23498" t="str">
        <v>Công an phường 2  tỉnh Cà Mau</v>
      </c>
      <c r="C23498" t="str">
        <v>-</v>
      </c>
      <c r="D23498" t="str">
        <v>-</v>
      </c>
      <c r="E23498" t="str">
        <v/>
      </c>
      <c r="F23498" t="str">
        <v>-</v>
      </c>
      <c r="G23498" t="str">
        <v>-</v>
      </c>
    </row>
    <row r="23499">
      <c r="B23499" t="str">
        <v>UBND Ủy ban nhân dân phường 2  tỉnh Cà Mau</v>
      </c>
      <c r="C23499" t="str">
        <v>-</v>
      </c>
      <c r="D23499" t="str">
        <v>-</v>
      </c>
      <c r="E23499" t="str">
        <v>-</v>
      </c>
      <c r="F23499" t="str">
        <v>-</v>
      </c>
      <c r="G23499" t="str">
        <v>-</v>
      </c>
    </row>
    <row r="23500">
      <c r="B23500" t="str">
        <v>Công an phường 8  tỉnh Cà Mau</v>
      </c>
      <c r="C23500" t="str">
        <v>-</v>
      </c>
      <c r="D23500" t="str">
        <v>-</v>
      </c>
      <c r="E23500" t="str">
        <v/>
      </c>
      <c r="F23500" t="str">
        <v>-</v>
      </c>
      <c r="G23500" t="str">
        <v>-</v>
      </c>
    </row>
    <row r="23501">
      <c r="B23501" t="str">
        <v>UBND Ủy ban nhân dân phường 8  tỉnh Cà Mau</v>
      </c>
      <c r="C23501" t="str">
        <v>-</v>
      </c>
      <c r="D23501" t="str">
        <v>-</v>
      </c>
      <c r="E23501" t="str">
        <v>-</v>
      </c>
      <c r="F23501" t="str">
        <v>-</v>
      </c>
      <c r="G23501" t="str">
        <v>-</v>
      </c>
    </row>
    <row r="23502">
      <c r="B23502" t="str">
        <v>Công an phường 6  tỉnh Cà Mau</v>
      </c>
      <c r="C23502" t="str">
        <v>-</v>
      </c>
      <c r="D23502" t="str">
        <v>-</v>
      </c>
      <c r="E23502" t="str">
        <v/>
      </c>
      <c r="F23502" t="str">
        <v>-</v>
      </c>
      <c r="G23502" t="str">
        <v>-</v>
      </c>
    </row>
    <row r="23503">
      <c r="B23503" t="str">
        <v>UBND Ủy ban nhân dân phường 6  tỉnh Cà Mau</v>
      </c>
      <c r="C23503" t="str">
        <v>-</v>
      </c>
      <c r="D23503" t="str">
        <v>-</v>
      </c>
      <c r="E23503" t="str">
        <v>-</v>
      </c>
      <c r="F23503" t="str">
        <v>-</v>
      </c>
      <c r="G23503" t="str">
        <v>-</v>
      </c>
    </row>
    <row r="23504">
      <c r="B23504" t="str">
        <v>Công an phường 7  tỉnh Cà Mau</v>
      </c>
      <c r="C23504" t="str">
        <v>-</v>
      </c>
      <c r="D23504" t="str">
        <v>-</v>
      </c>
      <c r="E23504" t="str">
        <v/>
      </c>
      <c r="F23504" t="str">
        <v>-</v>
      </c>
      <c r="G23504" t="str">
        <v>-</v>
      </c>
    </row>
    <row r="23505">
      <c r="B23505" t="str">
        <v>UBND Ủy ban nhân dân phường 7  tỉnh Cà Mau</v>
      </c>
      <c r="C23505" t="str">
        <v>-</v>
      </c>
      <c r="D23505" t="str">
        <v>-</v>
      </c>
      <c r="E23505" t="str">
        <v>-</v>
      </c>
      <c r="F23505" t="str">
        <v>-</v>
      </c>
      <c r="G23505" t="str">
        <v>-</v>
      </c>
    </row>
    <row r="23506">
      <c r="B23506" t="str">
        <v>Công an phường Tân Xuyên  tỉnh Cà Mau</v>
      </c>
      <c r="C23506" t="str">
        <v>-</v>
      </c>
      <c r="D23506" t="str">
        <v>-</v>
      </c>
      <c r="E23506" t="str">
        <v/>
      </c>
      <c r="F23506" t="str">
        <v>-</v>
      </c>
      <c r="G23506" t="str">
        <v>-</v>
      </c>
    </row>
    <row r="23507">
      <c r="B23507" t="str">
        <v>UBND Ủy ban nhân dân phường Tân Xuyên  tỉnh Cà Mau</v>
      </c>
      <c r="C23507" t="str">
        <v>-</v>
      </c>
      <c r="D23507" t="str">
        <v>-</v>
      </c>
      <c r="E23507" t="str">
        <v>-</v>
      </c>
      <c r="F23507" t="str">
        <v>-</v>
      </c>
      <c r="G23507" t="str">
        <v>-</v>
      </c>
    </row>
    <row r="23508">
      <c r="B23508" t="str">
        <v>Công an xã An Xuyên  tỉnh Cà Mau</v>
      </c>
      <c r="C23508" t="str">
        <v>-</v>
      </c>
      <c r="D23508" t="str">
        <v>-</v>
      </c>
      <c r="E23508" t="str">
        <v/>
      </c>
      <c r="F23508" t="str">
        <v>-</v>
      </c>
      <c r="G23508" t="str">
        <v>-</v>
      </c>
    </row>
    <row r="23509">
      <c r="B23509" t="str">
        <v>UBND Ủy ban nhân dân xã An Xuyên  tỉnh Cà Mau</v>
      </c>
      <c r="C23509" t="str">
        <v>-</v>
      </c>
      <c r="D23509" t="str">
        <v>-</v>
      </c>
      <c r="E23509" t="str">
        <v>-</v>
      </c>
      <c r="F23509" t="str">
        <v>-</v>
      </c>
      <c r="G23509" t="str">
        <v>-</v>
      </c>
    </row>
    <row r="23510">
      <c r="B23510" t="str">
        <v>Công an phường Tân Thành  tỉnh Cà Mau</v>
      </c>
      <c r="C23510" t="str">
        <v>-</v>
      </c>
      <c r="D23510" t="str">
        <v>-</v>
      </c>
      <c r="E23510" t="str">
        <v/>
      </c>
      <c r="F23510" t="str">
        <v>-</v>
      </c>
      <c r="G23510" t="str">
        <v>-</v>
      </c>
    </row>
    <row r="23511">
      <c r="B23511" t="str">
        <v>UBND Ủy ban nhân dân phường Tân Thành  tỉnh Cà Mau</v>
      </c>
      <c r="C23511" t="str">
        <v>-</v>
      </c>
      <c r="D23511" t="str">
        <v>-</v>
      </c>
      <c r="E23511" t="str">
        <v>-</v>
      </c>
      <c r="F23511" t="str">
        <v>-</v>
      </c>
      <c r="G23511" t="str">
        <v>-</v>
      </c>
    </row>
    <row r="23512">
      <c r="B23512" t="str">
        <v>Công an xã Tân Thành  tỉnh Cà Mau</v>
      </c>
      <c r="C23512" t="str">
        <v>-</v>
      </c>
      <c r="D23512" t="str">
        <v>-</v>
      </c>
      <c r="E23512" t="str">
        <v/>
      </c>
      <c r="F23512" t="str">
        <v>-</v>
      </c>
      <c r="G23512" t="str">
        <v>-</v>
      </c>
    </row>
    <row r="23513">
      <c r="B23513" t="str">
        <v>UBND Ủy ban nhân dân xã Tân Thành  tỉnh Cà Mau</v>
      </c>
      <c r="C23513" t="str">
        <v>-</v>
      </c>
      <c r="D23513" t="str">
        <v>-</v>
      </c>
      <c r="E23513" t="str">
        <v>-</v>
      </c>
      <c r="F23513" t="str">
        <v>-</v>
      </c>
      <c r="G23513" t="str">
        <v>-</v>
      </c>
    </row>
    <row r="23514">
      <c r="B23514" t="str">
        <v>Công an xã Tắc Vân  tỉnh Cà Mau</v>
      </c>
      <c r="C23514" t="str">
        <v>-</v>
      </c>
      <c r="D23514" t="str">
        <v>-</v>
      </c>
      <c r="E23514" t="str">
        <v/>
      </c>
      <c r="F23514" t="str">
        <v>-</v>
      </c>
      <c r="G23514" t="str">
        <v>-</v>
      </c>
    </row>
    <row r="23515">
      <c r="B23515" t="str">
        <v>UBND Ủy ban nhân dân xã Tắc Vân  tỉnh Cà Mau</v>
      </c>
      <c r="C23515" t="str">
        <v>-</v>
      </c>
      <c r="D23515" t="str">
        <v>-</v>
      </c>
      <c r="E23515" t="str">
        <v>-</v>
      </c>
      <c r="F23515" t="str">
        <v>-</v>
      </c>
      <c r="G23515" t="str">
        <v>-</v>
      </c>
    </row>
    <row r="23516">
      <c r="B23516" t="str">
        <v>Công an xã Lý Văn Lâm  tỉnh Cà Mau</v>
      </c>
      <c r="C23516" t="str">
        <v>-</v>
      </c>
      <c r="D23516" t="str">
        <v>-</v>
      </c>
      <c r="E23516" t="str">
        <v/>
      </c>
      <c r="F23516" t="str">
        <v>-</v>
      </c>
      <c r="G23516" t="str">
        <v>-</v>
      </c>
    </row>
    <row r="23517">
      <c r="B23517" t="str">
        <v>UBND Ủy ban nhân dân xã Lý Văn Lâm  tỉnh Cà Mau</v>
      </c>
      <c r="C23517" t="str">
        <v>-</v>
      </c>
      <c r="D23517" t="str">
        <v>-</v>
      </c>
      <c r="E23517" t="str">
        <v>-</v>
      </c>
      <c r="F23517" t="str">
        <v>-</v>
      </c>
      <c r="G23517" t="str">
        <v>-</v>
      </c>
    </row>
    <row r="23518">
      <c r="B23518" t="str">
        <v>Công an xã Định Bình  tỉnh Cà Mau</v>
      </c>
      <c r="C23518" t="str">
        <v>-</v>
      </c>
      <c r="D23518" t="str">
        <v>-</v>
      </c>
      <c r="E23518" t="str">
        <v/>
      </c>
      <c r="F23518" t="str">
        <v>-</v>
      </c>
      <c r="G23518" t="str">
        <v>-</v>
      </c>
    </row>
    <row r="23519">
      <c r="B23519" t="str">
        <v>UBND Ủy ban nhân dân xã Định Bình  tỉnh Cà Mau</v>
      </c>
      <c r="C23519" t="str">
        <v>-</v>
      </c>
      <c r="D23519" t="str">
        <v>-</v>
      </c>
      <c r="E23519" t="str">
        <v>-</v>
      </c>
      <c r="F23519" t="str">
        <v>-</v>
      </c>
      <c r="G23519" t="str">
        <v>-</v>
      </c>
    </row>
    <row r="23520">
      <c r="B23520" t="str">
        <v>Công an xã Hòa Thành  tỉnh Cà Mau</v>
      </c>
      <c r="C23520" t="str">
        <v>-</v>
      </c>
      <c r="D23520" t="str">
        <v>-</v>
      </c>
      <c r="E23520" t="str">
        <v/>
      </c>
      <c r="F23520" t="str">
        <v>-</v>
      </c>
      <c r="G23520" t="str">
        <v>-</v>
      </c>
    </row>
    <row r="23521">
      <c r="B23521" t="str">
        <v>UBND Ủy ban nhân dân xã Hòa Thành  tỉnh Cà Mau</v>
      </c>
      <c r="C23521" t="str">
        <v>-</v>
      </c>
      <c r="D23521" t="str">
        <v>-</v>
      </c>
      <c r="E23521" t="str">
        <v>-</v>
      </c>
      <c r="F23521" t="str">
        <v>-</v>
      </c>
      <c r="G23521" t="str">
        <v>-</v>
      </c>
    </row>
    <row r="23522">
      <c r="B23522" t="str">
        <v>Công an xã Hòa Tân  tỉnh Cà Mau</v>
      </c>
      <c r="C23522" t="str">
        <v>-</v>
      </c>
      <c r="D23522" t="str">
        <v>-</v>
      </c>
      <c r="E23522" t="str">
        <v/>
      </c>
      <c r="F23522" t="str">
        <v>-</v>
      </c>
      <c r="G23522" t="str">
        <v>-</v>
      </c>
    </row>
    <row r="23523">
      <c r="B23523" t="str">
        <v>UBND Ủy ban nhân dân xã Hòa Tân  tỉnh Cà Mau</v>
      </c>
      <c r="C23523" t="str">
        <v>-</v>
      </c>
      <c r="D23523" t="str">
        <v>-</v>
      </c>
      <c r="E23523" t="str">
        <v>-</v>
      </c>
      <c r="F23523" t="str">
        <v>-</v>
      </c>
      <c r="G23523" t="str">
        <v>-</v>
      </c>
    </row>
    <row r="23524">
      <c r="B23524" t="str">
        <v>Công an xã Khánh Hòa  tỉnh Cà Mau</v>
      </c>
      <c r="C23524" t="str">
        <v>-</v>
      </c>
      <c r="D23524" t="str">
        <v>-</v>
      </c>
      <c r="E23524" t="str">
        <v/>
      </c>
      <c r="F23524" t="str">
        <v>-</v>
      </c>
      <c r="G23524" t="str">
        <v>-</v>
      </c>
    </row>
    <row r="23525">
      <c r="B23525" t="str">
        <v>UBND Ủy ban nhân dân xã Khánh Hòa  tỉnh Cà Mau</v>
      </c>
      <c r="C23525" t="str">
        <v>-</v>
      </c>
      <c r="D23525" t="str">
        <v>-</v>
      </c>
      <c r="E23525" t="str">
        <v>-</v>
      </c>
      <c r="F23525" t="str">
        <v>-</v>
      </c>
      <c r="G23525" t="str">
        <v>-</v>
      </c>
    </row>
    <row r="23526">
      <c r="B23526" t="str">
        <v>Công an xã Khánh Thuận  tỉnh Cà Mau</v>
      </c>
      <c r="C23526" t="str">
        <v>-</v>
      </c>
      <c r="D23526" t="str">
        <v>-</v>
      </c>
      <c r="E23526" t="str">
        <v/>
      </c>
      <c r="F23526" t="str">
        <v>-</v>
      </c>
      <c r="G23526" t="str">
        <v>-</v>
      </c>
    </row>
    <row r="23527">
      <c r="B23527" t="str">
        <v>UBND Ủy ban nhân dân xã Khánh Thuận  tỉnh Cà Mau</v>
      </c>
      <c r="C23527" t="str">
        <v>-</v>
      </c>
      <c r="D23527" t="str">
        <v>-</v>
      </c>
      <c r="E23527" t="str">
        <v>-</v>
      </c>
      <c r="F23527" t="str">
        <v>-</v>
      </c>
      <c r="G23527" t="str">
        <v>-</v>
      </c>
    </row>
    <row r="23528">
      <c r="B23528" t="str">
        <v>Công an xã Khánh Tiến  tỉnh Cà Mau</v>
      </c>
      <c r="C23528" t="str">
        <v>-</v>
      </c>
      <c r="D23528" t="str">
        <v>-</v>
      </c>
      <c r="E23528" t="str">
        <v/>
      </c>
      <c r="F23528" t="str">
        <v>-</v>
      </c>
      <c r="G23528" t="str">
        <v>-</v>
      </c>
    </row>
    <row r="23529">
      <c r="B23529" t="str">
        <v>UBND Ủy ban nhân dân xã Khánh Tiến  tỉnh Cà Mau</v>
      </c>
      <c r="C23529" t="str">
        <v>-</v>
      </c>
      <c r="D23529" t="str">
        <v>-</v>
      </c>
      <c r="E23529" t="str">
        <v>-</v>
      </c>
      <c r="F23529" t="str">
        <v>-</v>
      </c>
      <c r="G23529" t="str">
        <v>-</v>
      </c>
    </row>
    <row r="23530">
      <c r="B23530" t="str">
        <v>Công an xã Nguyễn Phích  tỉnh Cà Mau</v>
      </c>
      <c r="C23530" t="str">
        <v>-</v>
      </c>
      <c r="D23530" t="str">
        <v>-</v>
      </c>
      <c r="E23530" t="str">
        <v/>
      </c>
      <c r="F23530" t="str">
        <v>-</v>
      </c>
      <c r="G23530" t="str">
        <v>-</v>
      </c>
    </row>
    <row r="23531">
      <c r="B23531" t="str">
        <v>UBND Ủy ban nhân dân xã Nguyễn Phích  tỉnh Cà Mau</v>
      </c>
      <c r="C23531" t="str">
        <v>-</v>
      </c>
      <c r="D23531" t="str">
        <v>-</v>
      </c>
      <c r="E23531" t="str">
        <v>-</v>
      </c>
      <c r="F23531" t="str">
        <v>-</v>
      </c>
      <c r="G23531" t="str">
        <v>-</v>
      </c>
    </row>
    <row r="23532">
      <c r="B23532" t="str">
        <v>Công an xã Khánh Lâm  tỉnh Cà Mau</v>
      </c>
      <c r="C23532" t="str">
        <v>-</v>
      </c>
      <c r="D23532" t="str">
        <v>-</v>
      </c>
      <c r="E23532" t="str">
        <v/>
      </c>
      <c r="F23532" t="str">
        <v>-</v>
      </c>
      <c r="G23532" t="str">
        <v>-</v>
      </c>
    </row>
    <row r="23533">
      <c r="B23533" t="str">
        <v>UBND Ủy ban nhân dân xã Khánh Lâm  tỉnh Cà Mau</v>
      </c>
      <c r="C23533" t="str">
        <v>-</v>
      </c>
      <c r="D23533" t="str">
        <v>-</v>
      </c>
      <c r="E23533" t="str">
        <v>-</v>
      </c>
      <c r="F23533" t="str">
        <v>-</v>
      </c>
      <c r="G23533" t="str">
        <v>-</v>
      </c>
    </row>
    <row r="23534">
      <c r="B23534" t="str">
        <v>Công an xã Khánh An  tỉnh Cà Mau</v>
      </c>
      <c r="C23534" t="str">
        <v>-</v>
      </c>
      <c r="D23534" t="str">
        <v>-</v>
      </c>
      <c r="E23534" t="str">
        <v/>
      </c>
      <c r="F23534" t="str">
        <v>-</v>
      </c>
      <c r="G23534" t="str">
        <v>-</v>
      </c>
    </row>
    <row r="23535">
      <c r="B23535" t="str">
        <v>UBND Ủy ban nhân dân xã Khánh An  tỉnh Cà Mau</v>
      </c>
      <c r="C23535" t="str">
        <v>-</v>
      </c>
      <c r="D23535" t="str">
        <v>-</v>
      </c>
      <c r="E23535" t="str">
        <v>-</v>
      </c>
      <c r="F23535" t="str">
        <v>-</v>
      </c>
      <c r="G23535" t="str">
        <v>-</v>
      </c>
    </row>
    <row r="23536">
      <c r="B23536" t="str">
        <v>Công an xã Khánh Hội  tỉnh Cà Mau</v>
      </c>
      <c r="C23536" t="str">
        <v>-</v>
      </c>
      <c r="D23536" t="str">
        <v>-</v>
      </c>
      <c r="E23536" t="str">
        <v/>
      </c>
      <c r="F23536" t="str">
        <v>-</v>
      </c>
      <c r="G23536" t="str">
        <v>-</v>
      </c>
    </row>
    <row r="23537">
      <c r="B23537" t="str">
        <v>UBND Ủy ban nhân dân xã Khánh Hội  tỉnh Cà Mau</v>
      </c>
      <c r="C23537" t="str">
        <v>-</v>
      </c>
      <c r="D23537" t="str">
        <v>-</v>
      </c>
      <c r="E23537" t="str">
        <v>-</v>
      </c>
      <c r="F23537" t="str">
        <v>-</v>
      </c>
      <c r="G23537" t="str">
        <v>-</v>
      </c>
    </row>
    <row r="23538">
      <c r="B23538" t="str">
        <v>Công an xã Biển Bạch  tỉnh Cà Mau</v>
      </c>
      <c r="C23538" t="str">
        <v>-</v>
      </c>
      <c r="D23538" t="str">
        <v>-</v>
      </c>
      <c r="E23538" t="str">
        <v/>
      </c>
      <c r="F23538" t="str">
        <v>-</v>
      </c>
      <c r="G23538" t="str">
        <v>-</v>
      </c>
    </row>
    <row r="23539">
      <c r="B23539" t="str">
        <v>UBND Ủy ban nhân dân xã Biển Bạch  tỉnh Cà Mau</v>
      </c>
      <c r="C23539" t="str">
        <v>-</v>
      </c>
      <c r="D23539" t="str">
        <v>-</v>
      </c>
      <c r="E23539" t="str">
        <v>-</v>
      </c>
      <c r="F23539" t="str">
        <v>-</v>
      </c>
      <c r="G23539" t="str">
        <v>-</v>
      </c>
    </row>
    <row r="23540">
      <c r="B23540" t="str">
        <v>Công an xã Tân Bằng  tỉnh Cà Mau</v>
      </c>
      <c r="C23540" t="str">
        <v>-</v>
      </c>
      <c r="D23540" t="str">
        <v>-</v>
      </c>
      <c r="E23540" t="str">
        <v/>
      </c>
      <c r="F23540" t="str">
        <v>-</v>
      </c>
      <c r="G23540" t="str">
        <v>-</v>
      </c>
    </row>
    <row r="23541">
      <c r="B23541" t="str">
        <v>UBND Ủy ban nhân dân xã Tân Bằng  tỉnh Cà Mau</v>
      </c>
      <c r="C23541" t="str">
        <v>-</v>
      </c>
      <c r="D23541" t="str">
        <v>-</v>
      </c>
      <c r="E23541" t="str">
        <v>-</v>
      </c>
      <c r="F23541" t="str">
        <v>-</v>
      </c>
      <c r="G23541" t="str">
        <v>-</v>
      </c>
    </row>
    <row r="23542">
      <c r="B23542" t="str">
        <v>Công an xã Trí Phải  tỉnh Cà Mau</v>
      </c>
      <c r="C23542" t="str">
        <v>-</v>
      </c>
      <c r="D23542" t="str">
        <v>-</v>
      </c>
      <c r="E23542" t="str">
        <v/>
      </c>
      <c r="F23542" t="str">
        <v>-</v>
      </c>
      <c r="G23542" t="str">
        <v>-</v>
      </c>
    </row>
    <row r="23543">
      <c r="B23543" t="str">
        <v>UBND Ủy ban nhân dân xã Trí Phải  tỉnh Cà Mau</v>
      </c>
      <c r="C23543" t="str">
        <v>-</v>
      </c>
      <c r="D23543" t="str">
        <v>-</v>
      </c>
      <c r="E23543" t="str">
        <v>-</v>
      </c>
      <c r="F23543" t="str">
        <v>-</v>
      </c>
      <c r="G23543" t="str">
        <v>-</v>
      </c>
    </row>
    <row r="23544">
      <c r="B23544" t="str">
        <v>Công an xã Trí Lực  tỉnh Cà Mau</v>
      </c>
      <c r="C23544" t="str">
        <v>-</v>
      </c>
      <c r="D23544" t="str">
        <v>-</v>
      </c>
      <c r="E23544" t="str">
        <v/>
      </c>
      <c r="F23544" t="str">
        <v>-</v>
      </c>
      <c r="G23544" t="str">
        <v>-</v>
      </c>
    </row>
    <row r="23545">
      <c r="B23545" t="str">
        <v>UBND Ủy ban nhân dân xã Trí Lực  tỉnh Cà Mau</v>
      </c>
      <c r="C23545" t="str">
        <v>-</v>
      </c>
      <c r="D23545" t="str">
        <v>-</v>
      </c>
      <c r="E23545" t="str">
        <v>-</v>
      </c>
      <c r="F23545" t="str">
        <v>-</v>
      </c>
      <c r="G23545" t="str">
        <v>-</v>
      </c>
    </row>
    <row r="23546">
      <c r="B23546" t="str">
        <v>Công an xã Biển Bạch Đông  tỉnh Cà Mau</v>
      </c>
      <c r="C23546" t="str">
        <v>-</v>
      </c>
      <c r="D23546" t="str">
        <v>-</v>
      </c>
      <c r="E23546" t="str">
        <v/>
      </c>
      <c r="F23546" t="str">
        <v>-</v>
      </c>
      <c r="G23546" t="str">
        <v>-</v>
      </c>
    </row>
    <row r="23547">
      <c r="B23547" t="str">
        <v>UBND Ủy ban nhân dân xã Biển Bạch Đông  tỉnh Cà Mau</v>
      </c>
      <c r="C23547" t="str">
        <v>-</v>
      </c>
      <c r="D23547" t="str">
        <v>-</v>
      </c>
      <c r="E23547" t="str">
        <v>-</v>
      </c>
      <c r="F23547" t="str">
        <v>-</v>
      </c>
      <c r="G23547" t="str">
        <v>-</v>
      </c>
    </row>
    <row r="23548">
      <c r="B23548" t="str">
        <v>Công an xã Thới Bình  tỉnh Cà Mau</v>
      </c>
      <c r="C23548" t="str">
        <v>-</v>
      </c>
      <c r="D23548" t="str">
        <v>-</v>
      </c>
      <c r="E23548" t="str">
        <v/>
      </c>
      <c r="F23548" t="str">
        <v>-</v>
      </c>
      <c r="G23548" t="str">
        <v>-</v>
      </c>
    </row>
    <row r="23549">
      <c r="B23549" t="str">
        <v>UBND Ủy ban nhân dân xã Thới Bình  tỉnh Cà Mau</v>
      </c>
      <c r="C23549" t="str">
        <v>-</v>
      </c>
      <c r="D23549" t="str">
        <v>-</v>
      </c>
      <c r="E23549" t="str">
        <v>-</v>
      </c>
      <c r="F23549" t="str">
        <v>-</v>
      </c>
      <c r="G23549" t="str">
        <v>-</v>
      </c>
    </row>
    <row r="23550">
      <c r="B23550" t="str">
        <v>Công an xã Tân Phú  tỉnh Cà Mau</v>
      </c>
      <c r="C23550" t="str">
        <v>-</v>
      </c>
      <c r="D23550" t="str">
        <v>-</v>
      </c>
      <c r="E23550" t="str">
        <v/>
      </c>
      <c r="F23550" t="str">
        <v>-</v>
      </c>
      <c r="G23550" t="str">
        <v>-</v>
      </c>
    </row>
    <row r="23551">
      <c r="B23551" t="str">
        <v>UBND Ủy ban nhân dân xã Tân Phú  tỉnh Cà Mau</v>
      </c>
      <c r="C23551" t="str">
        <v>-</v>
      </c>
      <c r="D23551" t="str">
        <v>-</v>
      </c>
      <c r="E23551" t="str">
        <v>-</v>
      </c>
      <c r="F23551" t="str">
        <v>-</v>
      </c>
      <c r="G23551" t="str">
        <v>-</v>
      </c>
    </row>
    <row r="23552">
      <c r="B23552" t="str">
        <v>Công an xã Tân Lộc Bắc  tỉnh Cà Mau</v>
      </c>
      <c r="C23552" t="str">
        <v>-</v>
      </c>
      <c r="D23552" t="str">
        <v>-</v>
      </c>
      <c r="E23552" t="str">
        <v/>
      </c>
      <c r="F23552" t="str">
        <v>-</v>
      </c>
      <c r="G23552" t="str">
        <v>-</v>
      </c>
    </row>
    <row r="23553">
      <c r="B23553" t="str">
        <v>UBND Ủy ban nhân dân xã Tân Lộc Bắc  tỉnh Cà Mau</v>
      </c>
      <c r="C23553" t="str">
        <v>-</v>
      </c>
      <c r="D23553" t="str">
        <v>-</v>
      </c>
      <c r="E23553" t="str">
        <v>-</v>
      </c>
      <c r="F23553" t="str">
        <v>-</v>
      </c>
      <c r="G23553" t="str">
        <v>-</v>
      </c>
    </row>
    <row r="23554">
      <c r="B23554" t="str">
        <v>Công an xã Tân Lộc  tỉnh Cà Mau</v>
      </c>
      <c r="C23554" t="str">
        <v>-</v>
      </c>
      <c r="D23554" t="str">
        <v>-</v>
      </c>
      <c r="E23554" t="str">
        <v/>
      </c>
      <c r="F23554" t="str">
        <v>-</v>
      </c>
      <c r="G23554" t="str">
        <v>-</v>
      </c>
    </row>
    <row r="23555">
      <c r="B23555" t="str">
        <v>UBND Ủy ban nhân dân xã Tân Lộc  tỉnh Cà Mau</v>
      </c>
      <c r="C23555" t="str">
        <v>-</v>
      </c>
      <c r="D23555" t="str">
        <v>-</v>
      </c>
      <c r="E23555" t="str">
        <v>-</v>
      </c>
      <c r="F23555" t="str">
        <v>-</v>
      </c>
      <c r="G23555" t="str">
        <v>-</v>
      </c>
    </row>
    <row r="23556">
      <c r="B23556" t="str">
        <v>Công an xã Tân Lộc Đông  tỉnh Cà Mau</v>
      </c>
      <c r="C23556" t="str">
        <v>-</v>
      </c>
      <c r="D23556" t="str">
        <v>-</v>
      </c>
      <c r="E23556" t="str">
        <v/>
      </c>
      <c r="F23556" t="str">
        <v>-</v>
      </c>
      <c r="G23556" t="str">
        <v>-</v>
      </c>
    </row>
    <row r="23557">
      <c r="B23557" t="str">
        <v>UBND Ủy ban nhân dân xã Tân Lộc Đông  tỉnh Cà Mau</v>
      </c>
      <c r="C23557" t="str">
        <v>-</v>
      </c>
      <c r="D23557" t="str">
        <v>-</v>
      </c>
      <c r="E23557" t="str">
        <v>-</v>
      </c>
      <c r="F23557" t="str">
        <v>-</v>
      </c>
      <c r="G23557" t="str">
        <v>-</v>
      </c>
    </row>
    <row r="23558">
      <c r="B23558" t="str">
        <v>Công an xã Hồ Thị Kỷ  tỉnh Cà Mau</v>
      </c>
      <c r="C23558" t="str">
        <v>-</v>
      </c>
      <c r="D23558" t="str">
        <v>-</v>
      </c>
      <c r="E23558" t="str">
        <v/>
      </c>
      <c r="F23558" t="str">
        <v>-</v>
      </c>
      <c r="G23558" t="str">
        <v>-</v>
      </c>
    </row>
    <row r="23559">
      <c r="B23559" t="str">
        <v>UBND Ủy ban nhân dân xã Hồ Thị Kỷ  tỉnh Cà Mau</v>
      </c>
      <c r="C23559" t="str">
        <v>-</v>
      </c>
      <c r="D23559" t="str">
        <v>-</v>
      </c>
      <c r="E23559" t="str">
        <v>-</v>
      </c>
      <c r="F23559" t="str">
        <v>-</v>
      </c>
      <c r="G23559" t="str">
        <v>-</v>
      </c>
    </row>
    <row r="23560">
      <c r="B23560" t="str">
        <v>Công an xã Khánh Bình Tây Bắc  tỉnh Cà Mau</v>
      </c>
      <c r="C23560" t="str">
        <v>-</v>
      </c>
      <c r="D23560" t="str">
        <v>-</v>
      </c>
      <c r="E23560" t="str">
        <v/>
      </c>
      <c r="F23560" t="str">
        <v>-</v>
      </c>
      <c r="G23560" t="str">
        <v>-</v>
      </c>
    </row>
    <row r="23561">
      <c r="B23561" t="str">
        <v>UBND Ủy ban nhân dân xã Khánh Bình Tây Bắc  tỉnh Cà Mau</v>
      </c>
      <c r="C23561" t="str">
        <v>-</v>
      </c>
      <c r="D23561" t="str">
        <v>-</v>
      </c>
      <c r="E23561" t="str">
        <v>-</v>
      </c>
      <c r="F23561" t="str">
        <v>-</v>
      </c>
      <c r="G23561" t="str">
        <v>-</v>
      </c>
    </row>
    <row r="23562">
      <c r="B23562" t="str">
        <v>Công an xã Khánh Bình Tây  tỉnh Cà Mau</v>
      </c>
      <c r="C23562" t="str">
        <v>-</v>
      </c>
      <c r="D23562" t="str">
        <v>-</v>
      </c>
      <c r="E23562" t="str">
        <v/>
      </c>
      <c r="F23562" t="str">
        <v>-</v>
      </c>
      <c r="G23562" t="str">
        <v>-</v>
      </c>
    </row>
    <row r="23563">
      <c r="B23563" t="str">
        <v>UBND Ủy ban nhân dân xã Khánh Bình Tây  tỉnh Cà Mau</v>
      </c>
      <c r="C23563" t="str">
        <v>-</v>
      </c>
      <c r="D23563" t="str">
        <v>-</v>
      </c>
      <c r="E23563" t="str">
        <v>-</v>
      </c>
      <c r="F23563" t="str">
        <v>-</v>
      </c>
      <c r="G23563" t="str">
        <v>-</v>
      </c>
    </row>
    <row r="23564">
      <c r="B23564" t="str">
        <v>Công an xã Trần Hợi  tỉnh Cà Mau</v>
      </c>
      <c r="C23564" t="str">
        <v>-</v>
      </c>
      <c r="D23564" t="str">
        <v>-</v>
      </c>
      <c r="E23564" t="str">
        <v/>
      </c>
      <c r="F23564" t="str">
        <v>-</v>
      </c>
      <c r="G23564" t="str">
        <v>-</v>
      </c>
    </row>
    <row r="23565">
      <c r="B23565" t="str">
        <v>UBND Ủy ban nhân dân xã Trần Hợi  tỉnh Cà Mau</v>
      </c>
      <c r="C23565" t="str">
        <v>-</v>
      </c>
      <c r="D23565" t="str">
        <v>-</v>
      </c>
      <c r="E23565" t="str">
        <v>-</v>
      </c>
      <c r="F23565" t="str">
        <v>-</v>
      </c>
      <c r="G23565" t="str">
        <v>-</v>
      </c>
    </row>
    <row r="23566">
      <c r="B23566" t="str">
        <v>Công an xã Khánh Lộc  tỉnh Cà Mau</v>
      </c>
      <c r="C23566" t="str">
        <v>-</v>
      </c>
      <c r="D23566" t="str">
        <v>-</v>
      </c>
      <c r="E23566" t="str">
        <v/>
      </c>
      <c r="F23566" t="str">
        <v>-</v>
      </c>
      <c r="G23566" t="str">
        <v>-</v>
      </c>
    </row>
    <row r="23567">
      <c r="B23567" t="str">
        <v>UBND Ủy ban nhân dân xã Khánh Lộc  tỉnh Cà Mau</v>
      </c>
      <c r="C23567" t="str">
        <v>-</v>
      </c>
      <c r="D23567" t="str">
        <v>-</v>
      </c>
      <c r="E23567" t="str">
        <v>-</v>
      </c>
      <c r="F23567" t="str">
        <v>-</v>
      </c>
      <c r="G23567" t="str">
        <v>-</v>
      </c>
    </row>
    <row r="23568">
      <c r="B23568" t="str">
        <v>Công an xã Khánh Bình  tỉnh Cà Mau</v>
      </c>
      <c r="C23568" t="str">
        <v>-</v>
      </c>
      <c r="D23568" t="str">
        <v>-</v>
      </c>
      <c r="E23568" t="str">
        <v/>
      </c>
      <c r="F23568" t="str">
        <v>-</v>
      </c>
      <c r="G23568" t="str">
        <v>-</v>
      </c>
    </row>
    <row r="23569">
      <c r="B23569" t="str">
        <v>UBND Ủy ban nhân dân xã Khánh Bình  tỉnh Cà Mau</v>
      </c>
      <c r="C23569" t="str">
        <v>-</v>
      </c>
      <c r="D23569" t="str">
        <v>-</v>
      </c>
      <c r="E23569" t="str">
        <v>-</v>
      </c>
      <c r="F23569" t="str">
        <v>-</v>
      </c>
      <c r="G23569" t="str">
        <v>-</v>
      </c>
    </row>
    <row r="23570">
      <c r="B23570" t="str">
        <v>Công an xã Khánh Hưng  tỉnh Cà Mau</v>
      </c>
      <c r="C23570" t="str">
        <v>-</v>
      </c>
      <c r="D23570" t="str">
        <v>-</v>
      </c>
      <c r="E23570" t="str">
        <v/>
      </c>
      <c r="F23570" t="str">
        <v>-</v>
      </c>
      <c r="G23570" t="str">
        <v>-</v>
      </c>
    </row>
    <row r="23571">
      <c r="B23571" t="str">
        <v>UBND Ủy ban nhân dân xã Khánh Hưng  tỉnh Cà Mau</v>
      </c>
      <c r="C23571" t="str">
        <v>-</v>
      </c>
      <c r="D23571" t="str">
        <v>-</v>
      </c>
      <c r="E23571" t="str">
        <v>-</v>
      </c>
      <c r="F23571" t="str">
        <v>-</v>
      </c>
      <c r="G23571" t="str">
        <v>-</v>
      </c>
    </row>
    <row r="23572">
      <c r="B23572" t="str">
        <v>Công an xã Khánh Bình Đông  tỉnh Cà Mau</v>
      </c>
      <c r="C23572" t="str">
        <v>-</v>
      </c>
      <c r="D23572" t="str">
        <v>-</v>
      </c>
      <c r="E23572" t="str">
        <v/>
      </c>
      <c r="F23572" t="str">
        <v>-</v>
      </c>
      <c r="G23572" t="str">
        <v>-</v>
      </c>
    </row>
    <row r="23573">
      <c r="B23573" t="str">
        <v>UBND Ủy ban nhân dân xã Khánh Bình Đông  tỉnh Cà Mau</v>
      </c>
      <c r="C23573" t="str">
        <v>-</v>
      </c>
      <c r="D23573" t="str">
        <v>-</v>
      </c>
      <c r="E23573" t="str">
        <v>-</v>
      </c>
      <c r="F23573" t="str">
        <v>-</v>
      </c>
      <c r="G23573" t="str">
        <v>-</v>
      </c>
    </row>
    <row r="23574">
      <c r="B23574" t="str">
        <v>Công an xã Khánh Hải  tỉnh Cà Mau</v>
      </c>
      <c r="C23574" t="str">
        <v>-</v>
      </c>
      <c r="D23574" t="str">
        <v>-</v>
      </c>
      <c r="E23574" t="str">
        <v/>
      </c>
      <c r="F23574" t="str">
        <v>-</v>
      </c>
      <c r="G23574" t="str">
        <v>-</v>
      </c>
    </row>
    <row r="23575">
      <c r="B23575" t="str">
        <v>UBND Ủy ban nhân dân xã Khánh Hải  tỉnh Cà Mau</v>
      </c>
      <c r="C23575" t="str">
        <v>-</v>
      </c>
      <c r="D23575" t="str">
        <v>-</v>
      </c>
      <c r="E23575" t="str">
        <v>-</v>
      </c>
      <c r="F23575" t="str">
        <v>-</v>
      </c>
      <c r="G23575" t="str">
        <v>-</v>
      </c>
    </row>
    <row r="23576">
      <c r="B23576" t="str">
        <v>Công an xã Lợi An  tỉnh Cà Mau</v>
      </c>
      <c r="C23576" t="str">
        <v>-</v>
      </c>
      <c r="D23576" t="str">
        <v>-</v>
      </c>
      <c r="E23576" t="str">
        <v/>
      </c>
      <c r="F23576" t="str">
        <v>-</v>
      </c>
      <c r="G23576" t="str">
        <v>-</v>
      </c>
    </row>
    <row r="23577">
      <c r="B23577" t="str">
        <v>UBND Ủy ban nhân dân xã Lợi An  tỉnh Cà Mau</v>
      </c>
      <c r="C23577" t="str">
        <v>-</v>
      </c>
      <c r="D23577" t="str">
        <v>-</v>
      </c>
      <c r="E23577" t="str">
        <v>-</v>
      </c>
      <c r="F23577" t="str">
        <v>-</v>
      </c>
      <c r="G23577" t="str">
        <v>-</v>
      </c>
    </row>
    <row r="23578">
      <c r="B23578" t="str">
        <v>Công an xã Phong Điền  tỉnh Cà Mau</v>
      </c>
      <c r="C23578" t="str">
        <v>-</v>
      </c>
      <c r="D23578" t="str">
        <v>-</v>
      </c>
      <c r="E23578" t="str">
        <v/>
      </c>
      <c r="F23578" t="str">
        <v>-</v>
      </c>
      <c r="G23578" t="str">
        <v>-</v>
      </c>
    </row>
    <row r="23579">
      <c r="B23579" t="str">
        <v>UBND Ủy ban nhân dân xã Phong Điền  tỉnh Cà Mau</v>
      </c>
      <c r="C23579" t="str">
        <v>-</v>
      </c>
      <c r="D23579" t="str">
        <v>-</v>
      </c>
      <c r="E23579" t="str">
        <v>-</v>
      </c>
      <c r="F23579" t="str">
        <v>-</v>
      </c>
      <c r="G23579" t="str">
        <v>-</v>
      </c>
    </row>
    <row r="23580">
      <c r="B23580" t="str">
        <v>Công an xã Phong Lạc  tỉnh Cà Mau</v>
      </c>
      <c r="C23580" t="str">
        <v>-</v>
      </c>
      <c r="D23580" t="str">
        <v>-</v>
      </c>
      <c r="E23580" t="str">
        <v/>
      </c>
      <c r="F23580" t="str">
        <v>-</v>
      </c>
      <c r="G23580" t="str">
        <v>-</v>
      </c>
    </row>
    <row r="23581">
      <c r="B23581" t="str">
        <v>UBND Ủy ban nhân dân xã Phong Lạc  tỉnh Cà Mau</v>
      </c>
      <c r="C23581" t="str">
        <v>-</v>
      </c>
      <c r="D23581" t="str">
        <v>-</v>
      </c>
      <c r="E23581" t="str">
        <v>-</v>
      </c>
      <c r="F23581" t="str">
        <v>-</v>
      </c>
      <c r="G23581" t="str">
        <v>-</v>
      </c>
    </row>
    <row r="23582">
      <c r="B23582" t="str">
        <v>Công an xã Thạnh Phú  tỉnh Cà Mau</v>
      </c>
      <c r="C23582" t="str">
        <v>-</v>
      </c>
      <c r="D23582" t="str">
        <v>-</v>
      </c>
      <c r="E23582" t="str">
        <v/>
      </c>
      <c r="F23582" t="str">
        <v>-</v>
      </c>
      <c r="G23582" t="str">
        <v>-</v>
      </c>
    </row>
    <row r="23583">
      <c r="B23583" t="str">
        <v>UBND Ủy ban nhân dân xã Thạnh Phú  tỉnh Cà Mau</v>
      </c>
      <c r="C23583" t="str">
        <v>-</v>
      </c>
      <c r="D23583" t="str">
        <v>-</v>
      </c>
      <c r="E23583" t="str">
        <v>-</v>
      </c>
      <c r="F23583" t="str">
        <v>-</v>
      </c>
      <c r="G23583" t="str">
        <v>-</v>
      </c>
    </row>
    <row r="23584">
      <c r="B23584" t="str">
        <v>Công an xã Lương Thế Trân  tỉnh Cà Mau</v>
      </c>
      <c r="C23584" t="str">
        <v>-</v>
      </c>
      <c r="D23584" t="str">
        <v>-</v>
      </c>
      <c r="E23584" t="str">
        <v/>
      </c>
      <c r="F23584" t="str">
        <v>-</v>
      </c>
      <c r="G23584" t="str">
        <v>-</v>
      </c>
    </row>
    <row r="23585">
      <c r="B23585" t="str">
        <v>UBND Ủy ban nhân dân xã Lương Thế Trân  tỉnh Cà Mau</v>
      </c>
      <c r="C23585" t="str">
        <v>-</v>
      </c>
      <c r="D23585" t="str">
        <v>-</v>
      </c>
      <c r="E23585" t="str">
        <v>-</v>
      </c>
      <c r="F23585" t="str">
        <v>-</v>
      </c>
      <c r="G23585" t="str">
        <v>-</v>
      </c>
    </row>
    <row r="23586">
      <c r="B23586" t="str">
        <v>Công an xã Phú Hưng  tỉnh Cà Mau</v>
      </c>
      <c r="C23586" t="str">
        <v>-</v>
      </c>
      <c r="D23586" t="str">
        <v>-</v>
      </c>
      <c r="E23586" t="str">
        <v/>
      </c>
      <c r="F23586" t="str">
        <v>-</v>
      </c>
      <c r="G23586" t="str">
        <v>-</v>
      </c>
    </row>
    <row r="23587">
      <c r="B23587" t="str">
        <v>UBND Ủy ban nhân dân xã Phú Hưng  tỉnh Cà Mau</v>
      </c>
      <c r="C23587" t="str">
        <v>-</v>
      </c>
      <c r="D23587" t="str">
        <v>-</v>
      </c>
      <c r="E23587" t="str">
        <v>-</v>
      </c>
      <c r="F23587" t="str">
        <v>-</v>
      </c>
      <c r="G23587" t="str">
        <v>-</v>
      </c>
    </row>
    <row r="23588">
      <c r="B23588" t="str">
        <v>Công an xã Tân Hưng  tỉnh Cà Mau</v>
      </c>
      <c r="C23588" t="str">
        <v>-</v>
      </c>
      <c r="D23588" t="str">
        <v>-</v>
      </c>
      <c r="E23588" t="str">
        <v/>
      </c>
      <c r="F23588" t="str">
        <v>-</v>
      </c>
      <c r="G23588" t="str">
        <v>-</v>
      </c>
    </row>
    <row r="23589">
      <c r="B23589" t="str">
        <v>UBND Ủy ban nhân dân xã Tân Hưng  tỉnh Cà Mau</v>
      </c>
      <c r="C23589" t="str">
        <v>-</v>
      </c>
      <c r="D23589" t="str">
        <v>-</v>
      </c>
      <c r="E23589" t="str">
        <v>-</v>
      </c>
      <c r="F23589" t="str">
        <v>-</v>
      </c>
      <c r="G23589" t="str">
        <v>-</v>
      </c>
    </row>
    <row r="23590">
      <c r="B23590" t="str">
        <v>Công an xã Hưng Mỹ  tỉnh Cà Mau</v>
      </c>
      <c r="C23590" t="str">
        <v>-</v>
      </c>
      <c r="D23590" t="str">
        <v>-</v>
      </c>
      <c r="E23590" t="str">
        <v/>
      </c>
      <c r="F23590" t="str">
        <v>-</v>
      </c>
      <c r="G23590" t="str">
        <v>-</v>
      </c>
    </row>
    <row r="23591">
      <c r="B23591" t="str">
        <v>UBND Ủy ban nhân dân xã Hưng Mỹ  tỉnh Cà Mau</v>
      </c>
      <c r="C23591" t="str">
        <v>-</v>
      </c>
      <c r="D23591" t="str">
        <v>-</v>
      </c>
      <c r="E23591" t="str">
        <v>-</v>
      </c>
      <c r="F23591" t="str">
        <v>-</v>
      </c>
      <c r="G23591" t="str">
        <v>-</v>
      </c>
    </row>
    <row r="23592">
      <c r="B23592" t="str">
        <v>Công an xã Hoà Mỹ  tỉnh Cà Mau</v>
      </c>
      <c r="C23592" t="str">
        <v>-</v>
      </c>
      <c r="D23592" t="str">
        <v>-</v>
      </c>
      <c r="E23592" t="str">
        <v/>
      </c>
      <c r="F23592" t="str">
        <v>-</v>
      </c>
      <c r="G23592" t="str">
        <v>-</v>
      </c>
    </row>
    <row r="23593">
      <c r="B23593" t="str">
        <v>UBND Ủy ban nhân dân xã Hoà Mỹ  tỉnh Cà Mau</v>
      </c>
      <c r="C23593" t="str">
        <v>-</v>
      </c>
      <c r="D23593" t="str">
        <v>-</v>
      </c>
      <c r="E23593" t="str">
        <v>-</v>
      </c>
      <c r="F23593" t="str">
        <v>-</v>
      </c>
      <c r="G23593" t="str">
        <v>-</v>
      </c>
    </row>
    <row r="23594">
      <c r="B23594" t="str">
        <v>Công an xã Đông Hưng  tỉnh Cà Mau</v>
      </c>
      <c r="C23594" t="str">
        <v>-</v>
      </c>
      <c r="D23594" t="str">
        <v>-</v>
      </c>
      <c r="E23594" t="str">
        <v/>
      </c>
      <c r="F23594" t="str">
        <v>-</v>
      </c>
      <c r="G23594" t="str">
        <v>-</v>
      </c>
    </row>
    <row r="23595">
      <c r="B23595" t="str">
        <v>UBND Ủy ban nhân dân xã Đông Hưng  tỉnh Cà Mau</v>
      </c>
      <c r="C23595" t="str">
        <v>-</v>
      </c>
      <c r="D23595" t="str">
        <v>-</v>
      </c>
      <c r="E23595" t="str">
        <v>-</v>
      </c>
      <c r="F23595" t="str">
        <v>-</v>
      </c>
      <c r="G23595" t="str">
        <v>-</v>
      </c>
    </row>
    <row r="23596">
      <c r="B23596" t="str">
        <v>Công an xã Đông Thới  tỉnh Cà Mau</v>
      </c>
      <c r="C23596" t="str">
        <v>-</v>
      </c>
      <c r="D23596" t="str">
        <v>-</v>
      </c>
      <c r="E23596" t="str">
        <v/>
      </c>
      <c r="F23596" t="str">
        <v>-</v>
      </c>
      <c r="G23596" t="str">
        <v>-</v>
      </c>
    </row>
    <row r="23597">
      <c r="B23597" t="str">
        <v>UBND Ủy ban nhân dân xã Đông Thới  tỉnh Cà Mau</v>
      </c>
      <c r="C23597" t="str">
        <v>-</v>
      </c>
      <c r="D23597" t="str">
        <v>-</v>
      </c>
      <c r="E23597" t="str">
        <v>-</v>
      </c>
      <c r="F23597" t="str">
        <v>-</v>
      </c>
      <c r="G23597" t="str">
        <v>-</v>
      </c>
    </row>
    <row r="23598">
      <c r="B23598" t="str">
        <v>Công an xã Tân Hưng Đông  tỉnh Cà Mau</v>
      </c>
      <c r="C23598" t="str">
        <v>-</v>
      </c>
      <c r="D23598" t="str">
        <v>-</v>
      </c>
      <c r="E23598" t="str">
        <v/>
      </c>
      <c r="F23598" t="str">
        <v>-</v>
      </c>
      <c r="G23598" t="str">
        <v>-</v>
      </c>
    </row>
    <row r="23599">
      <c r="B23599" t="str">
        <v>UBND Ủy ban nhân dân xã Tân Hưng Đông  tỉnh Cà Mau</v>
      </c>
      <c r="C23599" t="str">
        <v>-</v>
      </c>
      <c r="D23599" t="str">
        <v>-</v>
      </c>
      <c r="E23599" t="str">
        <v>-</v>
      </c>
      <c r="F23599" t="str">
        <v>-</v>
      </c>
      <c r="G23599" t="str">
        <v>-</v>
      </c>
    </row>
    <row r="23600">
      <c r="B23600" t="str">
        <v>Công an xã Trần Thới  tỉnh Cà Mau</v>
      </c>
      <c r="C23600" t="str">
        <v>-</v>
      </c>
      <c r="D23600" t="str">
        <v>-</v>
      </c>
      <c r="E23600" t="str">
        <v/>
      </c>
      <c r="F23600" t="str">
        <v>-</v>
      </c>
      <c r="G23600" t="str">
        <v>-</v>
      </c>
    </row>
    <row r="23601">
      <c r="B23601" t="str">
        <v>UBND Ủy ban nhân dân xã Trần Thới  tỉnh Cà Mau</v>
      </c>
      <c r="C23601" t="str">
        <v>-</v>
      </c>
      <c r="D23601" t="str">
        <v>-</v>
      </c>
      <c r="E23601" t="str">
        <v>-</v>
      </c>
      <c r="F23601" t="str">
        <v>-</v>
      </c>
      <c r="G23601" t="str">
        <v>-</v>
      </c>
    </row>
    <row r="23602">
      <c r="B23602" t="str">
        <v>Công an xã Tạ An Khương  tỉnh Cà Mau</v>
      </c>
      <c r="C23602" t="str">
        <v>-</v>
      </c>
      <c r="D23602" t="str">
        <v>-</v>
      </c>
      <c r="E23602" t="str">
        <v/>
      </c>
      <c r="F23602" t="str">
        <v>-</v>
      </c>
      <c r="G23602" t="str">
        <v>-</v>
      </c>
    </row>
    <row r="23603">
      <c r="B23603" t="str">
        <v>UBND Ủy ban nhân dân xã Tạ An Khương  tỉnh Cà Mau</v>
      </c>
      <c r="C23603" t="str">
        <v>-</v>
      </c>
      <c r="D23603" t="str">
        <v>-</v>
      </c>
      <c r="E23603" t="str">
        <v>-</v>
      </c>
      <c r="F23603" t="str">
        <v>-</v>
      </c>
      <c r="G23603" t="str">
        <v>-</v>
      </c>
    </row>
    <row r="23604">
      <c r="B23604" t="str">
        <v>Công an xã Tạ An Khương  Đông  tỉnh Cà Mau</v>
      </c>
      <c r="C23604" t="str">
        <v>-</v>
      </c>
      <c r="D23604" t="str">
        <v>-</v>
      </c>
      <c r="E23604" t="str">
        <v/>
      </c>
      <c r="F23604" t="str">
        <v>-</v>
      </c>
      <c r="G23604" t="str">
        <v>-</v>
      </c>
    </row>
    <row r="23605">
      <c r="B23605" t="str">
        <v>UBND Ủy ban nhân dân xã Tạ An Khương  Đông  tỉnh Cà Mau</v>
      </c>
      <c r="C23605" t="str">
        <v>-</v>
      </c>
      <c r="D23605" t="str">
        <v>-</v>
      </c>
      <c r="E23605" t="str">
        <v>-</v>
      </c>
      <c r="F23605" t="str">
        <v>-</v>
      </c>
      <c r="G23605" t="str">
        <v>-</v>
      </c>
    </row>
    <row r="23606">
      <c r="B23606" t="str">
        <v>Công an xã Trần Phán  tỉnh Cà Mau</v>
      </c>
      <c r="C23606" t="str">
        <v>-</v>
      </c>
      <c r="D23606" t="str">
        <v>-</v>
      </c>
      <c r="E23606" t="str">
        <v/>
      </c>
      <c r="F23606" t="str">
        <v>-</v>
      </c>
      <c r="G23606" t="str">
        <v>-</v>
      </c>
    </row>
    <row r="23607">
      <c r="B23607" t="str">
        <v>UBND Ủy ban nhân dân xã Trần Phán  tỉnh Cà Mau</v>
      </c>
      <c r="C23607" t="str">
        <v>-</v>
      </c>
      <c r="D23607" t="str">
        <v>-</v>
      </c>
      <c r="E23607" t="str">
        <v>-</v>
      </c>
      <c r="F23607" t="str">
        <v>-</v>
      </c>
      <c r="G23607" t="str">
        <v>-</v>
      </c>
    </row>
    <row r="23608">
      <c r="B23608" t="str">
        <v>Công an xã Tân Trung  tỉnh Cà Mau</v>
      </c>
      <c r="C23608" t="str">
        <v>-</v>
      </c>
      <c r="D23608" t="str">
        <v>-</v>
      </c>
      <c r="E23608" t="str">
        <v/>
      </c>
      <c r="F23608" t="str">
        <v>-</v>
      </c>
      <c r="G23608" t="str">
        <v>-</v>
      </c>
    </row>
    <row r="23609">
      <c r="B23609" t="str">
        <v>UBND Ủy ban nhân dân xã Tân Trung  tỉnh Cà Mau</v>
      </c>
      <c r="C23609" t="str">
        <v>-</v>
      </c>
      <c r="D23609" t="str">
        <v>-</v>
      </c>
      <c r="E23609" t="str">
        <v>-</v>
      </c>
      <c r="F23609" t="str">
        <v>-</v>
      </c>
      <c r="G23609" t="str">
        <v>-</v>
      </c>
    </row>
    <row r="23610">
      <c r="B23610" t="str">
        <v>Công an xã Tân Đức  tỉnh Cà Mau</v>
      </c>
      <c r="C23610" t="str">
        <v>-</v>
      </c>
      <c r="D23610" t="str">
        <v>-</v>
      </c>
      <c r="E23610" t="str">
        <v/>
      </c>
      <c r="F23610" t="str">
        <v>-</v>
      </c>
      <c r="G23610" t="str">
        <v>-</v>
      </c>
    </row>
    <row r="23611">
      <c r="B23611" t="str">
        <v>UBND Ủy ban nhân dân xã Tân Đức  tỉnh Cà Mau</v>
      </c>
      <c r="C23611" t="str">
        <v>-</v>
      </c>
      <c r="D23611" t="str">
        <v>-</v>
      </c>
      <c r="E23611" t="str">
        <v>-</v>
      </c>
      <c r="F23611" t="str">
        <v>-</v>
      </c>
      <c r="G23611" t="str">
        <v>-</v>
      </c>
    </row>
    <row r="23612">
      <c r="B23612" t="str">
        <v>Công an xã Tân Thuận  tỉnh Cà Mau</v>
      </c>
      <c r="C23612" t="str">
        <v>-</v>
      </c>
      <c r="D23612" t="str">
        <v>-</v>
      </c>
      <c r="E23612" t="str">
        <v/>
      </c>
      <c r="F23612" t="str">
        <v>-</v>
      </c>
      <c r="G23612" t="str">
        <v>-</v>
      </c>
    </row>
    <row r="23613">
      <c r="B23613" t="str">
        <v>UBND Ủy ban nhân dân xã Tân Thuận  tỉnh Cà Mau</v>
      </c>
      <c r="C23613" t="str">
        <v>-</v>
      </c>
      <c r="D23613" t="str">
        <v>-</v>
      </c>
      <c r="E23613" t="str">
        <v>-</v>
      </c>
      <c r="F23613" t="str">
        <v>-</v>
      </c>
      <c r="G23613" t="str">
        <v>-</v>
      </c>
    </row>
    <row r="23614">
      <c r="B23614" t="str">
        <v>Công an xã Tạ An Khương  Nam  tỉnh Cà Mau</v>
      </c>
      <c r="C23614" t="str">
        <v>-</v>
      </c>
      <c r="D23614" t="str">
        <v>-</v>
      </c>
      <c r="E23614" t="str">
        <v/>
      </c>
      <c r="F23614" t="str">
        <v>-</v>
      </c>
      <c r="G23614" t="str">
        <v>-</v>
      </c>
    </row>
    <row r="23615">
      <c r="B23615" t="str">
        <v>UBND Ủy ban nhân dân xã Tạ An Khương  Nam  tỉnh Cà Mau</v>
      </c>
      <c r="C23615" t="str">
        <v>-</v>
      </c>
      <c r="D23615" t="str">
        <v>-</v>
      </c>
      <c r="E23615" t="str">
        <v>-</v>
      </c>
      <c r="F23615" t="str">
        <v>-</v>
      </c>
      <c r="G23615" t="str">
        <v>-</v>
      </c>
    </row>
    <row r="23616">
      <c r="B23616" t="str">
        <v>Công an xã Tân Duyệt  tỉnh Cà Mau</v>
      </c>
      <c r="C23616" t="str">
        <v>-</v>
      </c>
      <c r="D23616" t="str">
        <v>-</v>
      </c>
      <c r="E23616" t="str">
        <v/>
      </c>
      <c r="F23616" t="str">
        <v>-</v>
      </c>
      <c r="G23616" t="str">
        <v>-</v>
      </c>
    </row>
    <row r="23617">
      <c r="B23617" t="str">
        <v>UBND Ủy ban nhân dân xã Tân Duyệt  tỉnh Cà Mau</v>
      </c>
      <c r="C23617" t="str">
        <v>-</v>
      </c>
      <c r="D23617" t="str">
        <v>-</v>
      </c>
      <c r="E23617" t="str">
        <v>-</v>
      </c>
      <c r="F23617" t="str">
        <v>-</v>
      </c>
      <c r="G23617" t="str">
        <v>-</v>
      </c>
    </row>
    <row r="23618">
      <c r="B23618" t="str">
        <v>Công an xã Tân Dân  tỉnh Cà Mau</v>
      </c>
      <c r="C23618" t="str">
        <v>-</v>
      </c>
      <c r="D23618" t="str">
        <v>-</v>
      </c>
      <c r="E23618" t="str">
        <v/>
      </c>
      <c r="F23618" t="str">
        <v>-</v>
      </c>
      <c r="G23618" t="str">
        <v>-</v>
      </c>
    </row>
    <row r="23619">
      <c r="B23619" t="str">
        <v>UBND Ủy ban nhân dân xã Tân Dân  tỉnh Cà Mau</v>
      </c>
      <c r="C23619" t="str">
        <v>-</v>
      </c>
      <c r="D23619" t="str">
        <v>-</v>
      </c>
      <c r="E23619" t="str">
        <v>-</v>
      </c>
      <c r="F23619" t="str">
        <v>-</v>
      </c>
      <c r="G23619" t="str">
        <v>-</v>
      </c>
    </row>
    <row r="23620">
      <c r="B23620" t="str">
        <v>Công an xã Tân Tiến  tỉnh Cà Mau</v>
      </c>
      <c r="C23620" t="str">
        <v>-</v>
      </c>
      <c r="D23620" t="str">
        <v>-</v>
      </c>
      <c r="E23620" t="str">
        <v/>
      </c>
      <c r="F23620" t="str">
        <v>-</v>
      </c>
      <c r="G23620" t="str">
        <v>-</v>
      </c>
    </row>
    <row r="23621">
      <c r="B23621" t="str">
        <v>UBND Ủy ban nhân dân xã Tân Tiến  tỉnh Cà Mau</v>
      </c>
      <c r="C23621" t="str">
        <v>-</v>
      </c>
      <c r="D23621" t="str">
        <v>-</v>
      </c>
      <c r="E23621" t="str">
        <v>-</v>
      </c>
      <c r="F23621" t="str">
        <v>-</v>
      </c>
      <c r="G23621" t="str">
        <v>-</v>
      </c>
    </row>
    <row r="23622">
      <c r="B23622" t="str">
        <v>Công an xã Quách Phẩm Bắc  tỉnh Cà Mau</v>
      </c>
      <c r="C23622" t="str">
        <v>-</v>
      </c>
      <c r="D23622" t="str">
        <v>-</v>
      </c>
      <c r="E23622" t="str">
        <v/>
      </c>
      <c r="F23622" t="str">
        <v>-</v>
      </c>
      <c r="G23622" t="str">
        <v>-</v>
      </c>
    </row>
    <row r="23623">
      <c r="B23623" t="str">
        <v>UBND Ủy ban nhân dân xã Quách Phẩm Bắc  tỉnh Cà Mau</v>
      </c>
      <c r="C23623" t="str">
        <v>-</v>
      </c>
      <c r="D23623" t="str">
        <v>-</v>
      </c>
      <c r="E23623" t="str">
        <v>-</v>
      </c>
      <c r="F23623" t="str">
        <v>-</v>
      </c>
      <c r="G23623" t="str">
        <v>-</v>
      </c>
    </row>
    <row r="23624">
      <c r="B23624" t="str">
        <v>Công an xã Quách Phẩm  tỉnh Cà Mau</v>
      </c>
      <c r="C23624" t="str">
        <v>-</v>
      </c>
      <c r="D23624" t="str">
        <v>-</v>
      </c>
      <c r="E23624" t="str">
        <v/>
      </c>
      <c r="F23624" t="str">
        <v>-</v>
      </c>
      <c r="G23624" t="str">
        <v>-</v>
      </c>
    </row>
    <row r="23625">
      <c r="B23625" t="str">
        <v>UBND Ủy ban nhân dân xã Quách Phẩm  tỉnh Cà Mau</v>
      </c>
      <c r="C23625" t="str">
        <v>-</v>
      </c>
      <c r="D23625" t="str">
        <v>-</v>
      </c>
      <c r="E23625" t="str">
        <v>-</v>
      </c>
      <c r="F23625" t="str">
        <v>-</v>
      </c>
      <c r="G23625" t="str">
        <v>-</v>
      </c>
    </row>
    <row r="23626">
      <c r="B23626" t="str">
        <v>Công an xã Thanh Tùng  tỉnh Cà Mau</v>
      </c>
      <c r="C23626" t="str">
        <v>-</v>
      </c>
      <c r="D23626" t="str">
        <v>-</v>
      </c>
      <c r="E23626" t="str">
        <v/>
      </c>
      <c r="F23626" t="str">
        <v>-</v>
      </c>
      <c r="G23626" t="str">
        <v>-</v>
      </c>
    </row>
    <row r="23627">
      <c r="B23627" t="str">
        <v>UBND Ủy ban nhân dân xã Thanh Tùng  tỉnh Cà Mau</v>
      </c>
      <c r="C23627" t="str">
        <v>-</v>
      </c>
      <c r="D23627" t="str">
        <v>-</v>
      </c>
      <c r="E23627" t="str">
        <v>-</v>
      </c>
      <c r="F23627" t="str">
        <v>-</v>
      </c>
      <c r="G23627" t="str">
        <v>-</v>
      </c>
    </row>
    <row r="23628">
      <c r="B23628" t="str">
        <v>Công an xã Ngọc Chánh  tỉnh Cà Mau</v>
      </c>
      <c r="C23628" t="str">
        <v>-</v>
      </c>
      <c r="D23628" t="str">
        <v>-</v>
      </c>
      <c r="E23628" t="str">
        <v/>
      </c>
      <c r="F23628" t="str">
        <v>-</v>
      </c>
      <c r="G23628" t="str">
        <v>-</v>
      </c>
    </row>
    <row r="23629">
      <c r="B23629" t="str">
        <v>UBND Ủy ban nhân dân xã Ngọc Chánh  tỉnh Cà Mau</v>
      </c>
      <c r="C23629" t="str">
        <v>-</v>
      </c>
      <c r="D23629" t="str">
        <v>-</v>
      </c>
      <c r="E23629" t="str">
        <v>-</v>
      </c>
      <c r="F23629" t="str">
        <v>-</v>
      </c>
      <c r="G23629" t="str">
        <v>-</v>
      </c>
    </row>
    <row r="23630">
      <c r="B23630" t="str">
        <v>Công an xã Nguyễn Huân  tỉnh Cà Mau</v>
      </c>
      <c r="C23630" t="str">
        <v>-</v>
      </c>
      <c r="D23630" t="str">
        <v>-</v>
      </c>
      <c r="E23630" t="str">
        <v/>
      </c>
      <c r="F23630" t="str">
        <v>-</v>
      </c>
      <c r="G23630" t="str">
        <v>-</v>
      </c>
    </row>
    <row r="23631">
      <c r="B23631" t="str">
        <v>UBND Ủy ban nhân dân xã Nguyễn Huân  tỉnh Cà Mau</v>
      </c>
      <c r="C23631" t="str">
        <v>-</v>
      </c>
      <c r="D23631" t="str">
        <v>-</v>
      </c>
      <c r="E23631" t="str">
        <v>-</v>
      </c>
      <c r="F23631" t="str">
        <v>-</v>
      </c>
      <c r="G23631" t="str">
        <v>-</v>
      </c>
    </row>
    <row r="23632">
      <c r="B23632" t="str">
        <v>Công an xã Hàm Rồng  tỉnh Cà Mau</v>
      </c>
      <c r="C23632" t="str">
        <v>-</v>
      </c>
      <c r="D23632" t="str">
        <v>-</v>
      </c>
      <c r="E23632" t="str">
        <v/>
      </c>
      <c r="F23632" t="str">
        <v>-</v>
      </c>
      <c r="G23632" t="str">
        <v>-</v>
      </c>
    </row>
    <row r="23633">
      <c r="B23633" t="str">
        <v>UBND Ủy ban nhân dân xã Hàm Rồng  tỉnh Cà Mau</v>
      </c>
      <c r="C23633" t="str">
        <v>-</v>
      </c>
      <c r="D23633" t="str">
        <v>-</v>
      </c>
      <c r="E23633" t="str">
        <v>-</v>
      </c>
      <c r="F23633" t="str">
        <v>-</v>
      </c>
      <c r="G23633" t="str">
        <v>-</v>
      </c>
    </row>
    <row r="23634">
      <c r="B23634" t="str">
        <v>Công an xã Hiệp Tùng  tỉnh Cà Mau</v>
      </c>
      <c r="C23634" t="str">
        <v>-</v>
      </c>
      <c r="D23634" t="str">
        <v>-</v>
      </c>
      <c r="E23634" t="str">
        <v/>
      </c>
      <c r="F23634" t="str">
        <v>-</v>
      </c>
      <c r="G23634" t="str">
        <v>-</v>
      </c>
    </row>
    <row r="23635">
      <c r="B23635" t="str">
        <v>UBND Ủy ban nhân dân xã Hiệp Tùng  tỉnh Cà Mau</v>
      </c>
      <c r="C23635" t="str">
        <v>-</v>
      </c>
      <c r="D23635" t="str">
        <v>-</v>
      </c>
      <c r="E23635" t="str">
        <v>-</v>
      </c>
      <c r="F23635" t="str">
        <v>-</v>
      </c>
      <c r="G23635" t="str">
        <v>-</v>
      </c>
    </row>
    <row r="23636">
      <c r="B23636" t="str">
        <v>Công an xã Đất Mới  tỉnh Cà Mau</v>
      </c>
      <c r="C23636" t="str">
        <v>-</v>
      </c>
      <c r="D23636" t="str">
        <v>-</v>
      </c>
      <c r="E23636" t="str">
        <v/>
      </c>
      <c r="F23636" t="str">
        <v>-</v>
      </c>
      <c r="G23636" t="str">
        <v>-</v>
      </c>
    </row>
    <row r="23637">
      <c r="B23637" t="str">
        <v>UBND Ủy ban nhân dân xã Đất Mới  tỉnh Cà Mau</v>
      </c>
      <c r="C23637" t="str">
        <v>-</v>
      </c>
      <c r="D23637" t="str">
        <v>-</v>
      </c>
      <c r="E23637" t="str">
        <v>-</v>
      </c>
      <c r="F23637" t="str">
        <v>-</v>
      </c>
      <c r="G23637" t="str">
        <v>-</v>
      </c>
    </row>
    <row r="23638">
      <c r="B23638" t="str">
        <v>Công an xã Lâm Hải  tỉnh Cà Mau</v>
      </c>
      <c r="C23638" t="str">
        <v>-</v>
      </c>
      <c r="D23638" t="str">
        <v>-</v>
      </c>
      <c r="E23638" t="str">
        <v/>
      </c>
      <c r="F23638" t="str">
        <v>-</v>
      </c>
      <c r="G23638" t="str">
        <v>-</v>
      </c>
    </row>
    <row r="23639">
      <c r="B23639" t="str">
        <v>UBND Ủy ban nhân dân xã Lâm Hải  tỉnh Cà Mau</v>
      </c>
      <c r="C23639" t="str">
        <v>-</v>
      </c>
      <c r="D23639" t="str">
        <v>-</v>
      </c>
      <c r="E23639" t="str">
        <v>-</v>
      </c>
      <c r="F23639" t="str">
        <v>-</v>
      </c>
      <c r="G23639" t="str">
        <v>-</v>
      </c>
    </row>
    <row r="23640">
      <c r="B23640" t="str">
        <v>Công an xã Hàng Vịnh  tỉnh Cà Mau</v>
      </c>
      <c r="C23640" t="str">
        <v>-</v>
      </c>
      <c r="D23640" t="str">
        <v>-</v>
      </c>
      <c r="E23640" t="str">
        <v/>
      </c>
      <c r="F23640" t="str">
        <v>-</v>
      </c>
      <c r="G23640" t="str">
        <v>-</v>
      </c>
    </row>
    <row r="23641">
      <c r="B23641" t="str">
        <v>UBND Ủy ban nhân dân xã Hàng Vịnh  tỉnh Cà Mau</v>
      </c>
      <c r="C23641" t="str">
        <v>-</v>
      </c>
      <c r="D23641" t="str">
        <v>-</v>
      </c>
      <c r="E23641" t="str">
        <v>-</v>
      </c>
      <c r="F23641" t="str">
        <v>-</v>
      </c>
      <c r="G23641" t="str">
        <v>-</v>
      </c>
    </row>
    <row r="23642">
      <c r="B23642" t="str">
        <v>Công an xã Tam Giang  tỉnh Cà Mau</v>
      </c>
      <c r="C23642" t="str">
        <v>-</v>
      </c>
      <c r="D23642" t="str">
        <v>-</v>
      </c>
      <c r="E23642" t="str">
        <v/>
      </c>
      <c r="F23642" t="str">
        <v>-</v>
      </c>
      <c r="G23642" t="str">
        <v>-</v>
      </c>
    </row>
    <row r="23643">
      <c r="B23643" t="str">
        <v>UBND Ủy ban nhân dân xã Tam Giang  tỉnh Cà Mau</v>
      </c>
      <c r="C23643" t="str">
        <v>-</v>
      </c>
      <c r="D23643" t="str">
        <v>-</v>
      </c>
      <c r="E23643" t="str">
        <v>-</v>
      </c>
      <c r="F23643" t="str">
        <v>-</v>
      </c>
      <c r="G23643" t="str">
        <v>-</v>
      </c>
    </row>
    <row r="23644">
      <c r="B23644" t="str">
        <v>Công an xã Tam Giang Đông  tỉnh Cà Mau</v>
      </c>
      <c r="C23644" t="str">
        <v>-</v>
      </c>
      <c r="D23644" t="str">
        <v>-</v>
      </c>
      <c r="E23644" t="str">
        <v/>
      </c>
      <c r="F23644" t="str">
        <v>-</v>
      </c>
      <c r="G23644" t="str">
        <v>-</v>
      </c>
    </row>
    <row r="23645">
      <c r="B23645" t="str">
        <v>UBND Ủy ban nhân dân xã Tam Giang Đông  tỉnh Cà Mau</v>
      </c>
      <c r="C23645" t="str">
        <v>-</v>
      </c>
      <c r="D23645" t="str">
        <v>-</v>
      </c>
      <c r="E23645" t="str">
        <v>-</v>
      </c>
      <c r="F23645" t="str">
        <v>-</v>
      </c>
      <c r="G23645" t="str">
        <v>-</v>
      </c>
    </row>
    <row r="23646">
      <c r="B23646" t="str">
        <v>Công an xã Phú Thuận  tỉnh Cà Mau</v>
      </c>
      <c r="C23646" t="str">
        <v>-</v>
      </c>
      <c r="D23646" t="str">
        <v>-</v>
      </c>
      <c r="E23646" t="str">
        <v/>
      </c>
      <c r="F23646" t="str">
        <v>-</v>
      </c>
      <c r="G23646" t="str">
        <v>-</v>
      </c>
    </row>
    <row r="23647">
      <c r="B23647" t="str">
        <v>UBND Ủy ban nhân dân xã Phú Thuận  tỉnh Cà Mau</v>
      </c>
      <c r="C23647" t="str">
        <v>-</v>
      </c>
      <c r="D23647" t="str">
        <v>-</v>
      </c>
      <c r="E23647" t="str">
        <v>-</v>
      </c>
      <c r="F23647" t="str">
        <v>-</v>
      </c>
      <c r="G23647" t="str">
        <v>-</v>
      </c>
    </row>
    <row r="23648">
      <c r="B23648" t="str">
        <v>Công an xã Phú Mỹ  tỉnh Cà Mau</v>
      </c>
      <c r="C23648" t="str">
        <v>-</v>
      </c>
      <c r="D23648" t="str">
        <v>-</v>
      </c>
      <c r="E23648" t="str">
        <v/>
      </c>
      <c r="F23648" t="str">
        <v>-</v>
      </c>
      <c r="G23648" t="str">
        <v>-</v>
      </c>
    </row>
    <row r="23649">
      <c r="B23649" t="str">
        <v>UBND Ủy ban nhân dân xã Phú Mỹ  tỉnh Cà Mau</v>
      </c>
      <c r="C23649" t="str">
        <v>-</v>
      </c>
      <c r="D23649" t="str">
        <v>-</v>
      </c>
      <c r="E23649" t="str">
        <v>-</v>
      </c>
      <c r="F23649" t="str">
        <v>-</v>
      </c>
      <c r="G23649" t="str">
        <v>-</v>
      </c>
    </row>
    <row r="23650">
      <c r="B23650" t="str">
        <v>Công an xã Phú Tân  tỉnh Cà Mau</v>
      </c>
      <c r="C23650" t="str">
        <v>-</v>
      </c>
      <c r="D23650" t="str">
        <v>-</v>
      </c>
      <c r="E23650" t="str">
        <v/>
      </c>
      <c r="F23650" t="str">
        <v>-</v>
      </c>
      <c r="G23650" t="str">
        <v>-</v>
      </c>
    </row>
    <row r="23651">
      <c r="B23651" t="str">
        <v>UBND Ủy ban nhân dân xã Phú Tân  tỉnh Cà Mau</v>
      </c>
      <c r="C23651" t="str">
        <v>-</v>
      </c>
      <c r="D23651" t="str">
        <v>-</v>
      </c>
      <c r="E23651" t="str">
        <v>-</v>
      </c>
      <c r="F23651" t="str">
        <v>-</v>
      </c>
      <c r="G23651" t="str">
        <v>-</v>
      </c>
    </row>
    <row r="23652">
      <c r="B23652" t="str">
        <v>Công an xã Tân Hải  tỉnh Cà Mau</v>
      </c>
      <c r="C23652" t="str">
        <v>-</v>
      </c>
      <c r="D23652" t="str">
        <v>-</v>
      </c>
      <c r="E23652" t="str">
        <v/>
      </c>
      <c r="F23652" t="str">
        <v>-</v>
      </c>
      <c r="G23652" t="str">
        <v>-</v>
      </c>
    </row>
    <row r="23653">
      <c r="B23653" t="str">
        <v>UBND Ủy ban nhân dân xã Tân Hải  tỉnh Cà Mau</v>
      </c>
      <c r="C23653" t="str">
        <v>-</v>
      </c>
      <c r="D23653" t="str">
        <v>-</v>
      </c>
      <c r="E23653" t="str">
        <v>-</v>
      </c>
      <c r="F23653" t="str">
        <v>-</v>
      </c>
      <c r="G23653" t="str">
        <v>-</v>
      </c>
    </row>
    <row r="23654">
      <c r="B23654" t="str">
        <v>Công an xã Việt Thắng  tỉnh Cà Mau</v>
      </c>
      <c r="C23654" t="str">
        <v>-</v>
      </c>
      <c r="D23654" t="str">
        <v>-</v>
      </c>
      <c r="E23654" t="str">
        <v/>
      </c>
      <c r="F23654" t="str">
        <v>-</v>
      </c>
      <c r="G23654" t="str">
        <v>-</v>
      </c>
    </row>
    <row r="23655">
      <c r="B23655" t="str">
        <v>UBND Ủy ban nhân dân xã Việt Thắng  tỉnh Cà Mau</v>
      </c>
      <c r="C23655" t="str">
        <v>-</v>
      </c>
      <c r="D23655" t="str">
        <v>-</v>
      </c>
      <c r="E23655" t="str">
        <v>-</v>
      </c>
      <c r="F23655" t="str">
        <v>-</v>
      </c>
      <c r="G23655" t="str">
        <v>-</v>
      </c>
    </row>
    <row r="23656">
      <c r="B23656" t="str">
        <v>Công an xã Tân Hưng Tây  tỉnh Cà Mau</v>
      </c>
      <c r="C23656" t="str">
        <v>-</v>
      </c>
      <c r="D23656" t="str">
        <v>-</v>
      </c>
      <c r="E23656" t="str">
        <v/>
      </c>
      <c r="F23656" t="str">
        <v>-</v>
      </c>
      <c r="G23656" t="str">
        <v>-</v>
      </c>
    </row>
    <row r="23657">
      <c r="B23657" t="str">
        <v>UBND Ủy ban nhân dân xã Tân Hưng Tây  tỉnh Cà Mau</v>
      </c>
      <c r="C23657" t="str">
        <v>-</v>
      </c>
      <c r="D23657" t="str">
        <v>-</v>
      </c>
      <c r="E23657" t="str">
        <v>-</v>
      </c>
      <c r="F23657" t="str">
        <v>-</v>
      </c>
      <c r="G23657" t="str">
        <v>-</v>
      </c>
    </row>
    <row r="23658">
      <c r="B23658" t="str">
        <v>Công an xã Rạch Chèo  tỉnh Cà Mau</v>
      </c>
      <c r="C23658" t="str">
        <v>-</v>
      </c>
      <c r="D23658" t="str">
        <v>-</v>
      </c>
      <c r="E23658" t="str">
        <v/>
      </c>
      <c r="F23658" t="str">
        <v>-</v>
      </c>
      <c r="G23658" t="str">
        <v>-</v>
      </c>
    </row>
    <row r="23659">
      <c r="B23659" t="str">
        <v>UBND Ủy ban nhân dân xã Rạch Chèo  tỉnh Cà Mau</v>
      </c>
      <c r="C23659" t="str">
        <v>-</v>
      </c>
      <c r="D23659" t="str">
        <v>-</v>
      </c>
      <c r="E23659" t="str">
        <v>-</v>
      </c>
      <c r="F23659" t="str">
        <v>-</v>
      </c>
      <c r="G23659" t="str">
        <v>-</v>
      </c>
    </row>
    <row r="23660">
      <c r="B23660" t="str">
        <v>Công an xã Nguyễn Việt Khái  tỉnh Cà Mau</v>
      </c>
      <c r="C23660" t="str">
        <v>-</v>
      </c>
      <c r="D23660" t="str">
        <v>-</v>
      </c>
      <c r="E23660" t="str">
        <v/>
      </c>
      <c r="F23660" t="str">
        <v>-</v>
      </c>
      <c r="G23660" t="str">
        <v>-</v>
      </c>
    </row>
    <row r="23661">
      <c r="B23661" t="str">
        <v>UBND Ủy ban nhân dân xã Nguyễn Việt Khái  tỉnh Cà Mau</v>
      </c>
      <c r="C23661" t="str">
        <v>-</v>
      </c>
      <c r="D23661" t="str">
        <v>-</v>
      </c>
      <c r="E23661" t="str">
        <v>-</v>
      </c>
      <c r="F23661" t="str">
        <v>-</v>
      </c>
      <c r="G23661" t="str">
        <v>-</v>
      </c>
    </row>
    <row r="23662">
      <c r="B23662" t="str">
        <v>Công an xã Tam Giang Tây  tỉnh Cà Mau</v>
      </c>
      <c r="C23662" t="str">
        <v>-</v>
      </c>
      <c r="D23662" t="str">
        <v>-</v>
      </c>
      <c r="E23662" t="str">
        <v/>
      </c>
      <c r="F23662" t="str">
        <v>-</v>
      </c>
      <c r="G23662" t="str">
        <v>-</v>
      </c>
    </row>
    <row r="23663">
      <c r="B23663" t="str">
        <v>UBND Ủy ban nhân dân xã Tam Giang Tây  tỉnh Cà Mau</v>
      </c>
      <c r="C23663" t="str">
        <v>-</v>
      </c>
      <c r="D23663" t="str">
        <v>-</v>
      </c>
      <c r="E23663" t="str">
        <v>-</v>
      </c>
      <c r="F23663" t="str">
        <v>-</v>
      </c>
      <c r="G23663" t="str">
        <v>-</v>
      </c>
    </row>
    <row r="23664">
      <c r="B23664" t="str">
        <v>Công an xã Tân Ân Tây  tỉnh Cà Mau</v>
      </c>
      <c r="C23664" t="str">
        <v>-</v>
      </c>
      <c r="D23664" t="str">
        <v>-</v>
      </c>
      <c r="E23664" t="str">
        <v/>
      </c>
      <c r="F23664" t="str">
        <v>-</v>
      </c>
      <c r="G23664" t="str">
        <v>-</v>
      </c>
    </row>
    <row r="23665">
      <c r="B23665" t="str">
        <v>UBND Ủy ban nhân dân xã Tân Ân Tây  tỉnh Cà Mau</v>
      </c>
      <c r="C23665" t="str">
        <v>-</v>
      </c>
      <c r="D23665" t="str">
        <v>-</v>
      </c>
      <c r="E23665" t="str">
        <v>-</v>
      </c>
      <c r="F23665" t="str">
        <v>-</v>
      </c>
      <c r="G23665" t="str">
        <v>-</v>
      </c>
    </row>
    <row r="23666">
      <c r="B23666" t="str">
        <v>Công an xã Viên An Đông  tỉnh Cà Mau</v>
      </c>
      <c r="C23666" t="str">
        <v>-</v>
      </c>
      <c r="D23666" t="str">
        <v>-</v>
      </c>
      <c r="E23666" t="str">
        <v/>
      </c>
      <c r="F23666" t="str">
        <v>-</v>
      </c>
      <c r="G23666" t="str">
        <v>-</v>
      </c>
    </row>
    <row r="23667">
      <c r="B23667" t="str">
        <v>UBND Ủy ban nhân dân xã Viên An Đông  tỉnh Cà Mau</v>
      </c>
      <c r="C23667" t="str">
        <v>-</v>
      </c>
      <c r="D23667" t="str">
        <v>-</v>
      </c>
      <c r="E23667" t="str">
        <v>-</v>
      </c>
      <c r="F23667" t="str">
        <v>-</v>
      </c>
      <c r="G23667" t="str">
        <v>-</v>
      </c>
    </row>
    <row r="23668">
      <c r="B23668" t="str">
        <v>Công an xã Viên An  tỉnh Cà Mau</v>
      </c>
      <c r="C23668" t="str">
        <v>-</v>
      </c>
      <c r="D23668" t="str">
        <v>-</v>
      </c>
      <c r="E23668" t="str">
        <v/>
      </c>
      <c r="F23668" t="str">
        <v>-</v>
      </c>
      <c r="G23668" t="str">
        <v>-</v>
      </c>
    </row>
    <row r="23669">
      <c r="B23669" t="str">
        <v>UBND Ủy ban nhân dân xã Viên An  tỉnh Cà Mau</v>
      </c>
      <c r="C23669" t="str">
        <v>-</v>
      </c>
      <c r="D23669" t="str">
        <v>-</v>
      </c>
      <c r="E23669" t="str">
        <v>-</v>
      </c>
      <c r="F23669" t="str">
        <v>-</v>
      </c>
      <c r="G23669" t="str">
        <v>-</v>
      </c>
    </row>
    <row r="23670">
      <c r="B23670" t="str">
        <v>Công an xã Tân Ân  tỉnh Cà Mau</v>
      </c>
      <c r="C23670" t="str">
        <v>-</v>
      </c>
      <c r="D23670" t="str">
        <v>-</v>
      </c>
      <c r="E23670" t="str">
        <v/>
      </c>
      <c r="F23670" t="str">
        <v>-</v>
      </c>
      <c r="G23670" t="str">
        <v>-</v>
      </c>
    </row>
    <row r="23671">
      <c r="B23671" t="str">
        <v>UBND Ủy ban nhân dân xã Tân Ân  tỉnh Cà Mau</v>
      </c>
      <c r="C23671" t="str">
        <v>-</v>
      </c>
      <c r="D23671" t="str">
        <v>-</v>
      </c>
      <c r="E23671" t="str">
        <v>-</v>
      </c>
      <c r="F23671" t="str">
        <v>-</v>
      </c>
      <c r="G23671" t="str">
        <v>-</v>
      </c>
    </row>
    <row r="23672">
      <c r="B23672" t="str">
        <v>Công an xã Đất Mũi  tỉnh Cà Mau</v>
      </c>
      <c r="C23672" t="str">
        <v>-</v>
      </c>
      <c r="D23672" t="str">
        <v>-</v>
      </c>
      <c r="E23672" t="str">
        <v/>
      </c>
      <c r="F23672" t="str">
        <v>-</v>
      </c>
      <c r="G23672" t="str">
        <v>-</v>
      </c>
    </row>
    <row r="23673">
      <c r="B23673" t="str">
        <v>UBND Ủy ban nhân dân xã Đất Mũi  tỉnh Cà Mau</v>
      </c>
      <c r="C23673" t="str">
        <v>-</v>
      </c>
      <c r="D23673" t="str">
        <v>-</v>
      </c>
      <c r="E23673" t="str">
        <v>-</v>
      </c>
      <c r="F23673" t="str">
        <v>-</v>
      </c>
      <c r="G23673" t="str">
        <v>-</v>
      </c>
    </row>
    <row r="23674">
      <c r="B23674" t="str">
        <v>Công an  thị xã Ba Đồn  tỉnh Quảng Bình</v>
      </c>
      <c r="C23674" t="str">
        <v>-</v>
      </c>
      <c r="D23674" t="str">
        <v>-</v>
      </c>
      <c r="E23674" t="str">
        <v/>
      </c>
      <c r="F23674" t="str">
        <v>-</v>
      </c>
      <c r="G23674" t="str">
        <v>-</v>
      </c>
    </row>
    <row r="23675">
      <c r="B23675" t="str">
        <v>UBND Ủy ban nhân dân  thị xã Ba Đồn  tỉnh Quảng Bình</v>
      </c>
      <c r="C23675" t="str">
        <v>-</v>
      </c>
      <c r="D23675" t="str">
        <v>-</v>
      </c>
      <c r="E23675" t="str">
        <v>-</v>
      </c>
      <c r="F23675" t="str">
        <v>-</v>
      </c>
      <c r="G23675" t="str">
        <v>-</v>
      </c>
    </row>
    <row r="23676">
      <c r="B23676" t="str">
        <v>Công an  thị xã Quảng Trị  tỉnh Quảng Trị</v>
      </c>
      <c r="C23676" t="str">
        <v>-</v>
      </c>
      <c r="D23676" t="str">
        <v>-</v>
      </c>
      <c r="E23676" t="str">
        <v/>
      </c>
      <c r="F23676" t="str">
        <v>-</v>
      </c>
      <c r="G23676" t="str">
        <v>-</v>
      </c>
    </row>
    <row r="23677">
      <c r="B23677" t="str">
        <v>UBND Ủy ban nhân dân  thị xã Quảng Trị  tỉnh Quảng Trị</v>
      </c>
      <c r="C23677" t="str">
        <v>-</v>
      </c>
      <c r="D23677" t="str">
        <v>-</v>
      </c>
      <c r="E23677" t="str">
        <v>-</v>
      </c>
      <c r="F23677" t="str">
        <v>-</v>
      </c>
      <c r="G23677" t="str">
        <v>-</v>
      </c>
    </row>
    <row r="23678">
      <c r="B23678" t="str">
        <v>Công an  thị xã Hương Thủy  tỉnh Thừa Thiên Huế</v>
      </c>
      <c r="C23678" t="str">
        <v>-</v>
      </c>
      <c r="D23678" t="str">
        <v>-</v>
      </c>
      <c r="E23678" t="str">
        <v/>
      </c>
      <c r="F23678" t="str">
        <v>-</v>
      </c>
      <c r="G23678" t="str">
        <v>-</v>
      </c>
    </row>
    <row r="23679">
      <c r="B23679" t="str">
        <v>UBND Ủy ban nhân dân  thị xã Hương Thủy  tỉnh Thừa Thiên Huế</v>
      </c>
      <c r="C23679" t="str">
        <v>-</v>
      </c>
      <c r="D23679" t="str">
        <v>-</v>
      </c>
      <c r="E23679" t="str">
        <v>-</v>
      </c>
      <c r="F23679" t="str">
        <v>-</v>
      </c>
      <c r="G23679" t="str">
        <v>-</v>
      </c>
    </row>
    <row r="23680">
      <c r="B23680" t="str">
        <v>Công an  thị xã Hương Trà  tỉnh Thừa Thiên Huế</v>
      </c>
      <c r="C23680" t="str">
        <v>-</v>
      </c>
      <c r="D23680" t="str">
        <v>-</v>
      </c>
      <c r="E23680" t="str">
        <v/>
      </c>
      <c r="F23680" t="str">
        <v>-</v>
      </c>
      <c r="G23680" t="str">
        <v>-</v>
      </c>
    </row>
    <row r="23681">
      <c r="B23681" t="str">
        <v>UBND Ủy ban nhân dân  thị xã Hương Trà  tỉnh Thừa Thiên Huế</v>
      </c>
      <c r="C23681" t="str">
        <v>-</v>
      </c>
      <c r="D23681" t="str">
        <v>-</v>
      </c>
      <c r="E23681" t="str">
        <v>-</v>
      </c>
      <c r="F23681" t="str">
        <v>-</v>
      </c>
      <c r="G23681" t="str">
        <v>-</v>
      </c>
    </row>
    <row r="23682">
      <c r="B23682" t="str">
        <v>Công an  thị xã Điện Bàn  tỉnh Quảng Nam</v>
      </c>
      <c r="C23682" t="str">
        <v>-</v>
      </c>
      <c r="D23682" t="str">
        <v>-</v>
      </c>
      <c r="E23682" t="str">
        <v/>
      </c>
      <c r="F23682" t="str">
        <v>-</v>
      </c>
      <c r="G23682" t="str">
        <v>-</v>
      </c>
    </row>
    <row r="23683">
      <c r="B23683" t="str">
        <v>UBND Ủy ban nhân dân  thị xã Điện Bàn  tỉnh Quảng Nam</v>
      </c>
      <c r="C23683" t="str">
        <v>-</v>
      </c>
      <c r="D23683" t="str">
        <v>-</v>
      </c>
      <c r="E23683" t="str">
        <v>-</v>
      </c>
      <c r="F23683" t="str">
        <v>-</v>
      </c>
      <c r="G23683" t="str">
        <v>-</v>
      </c>
    </row>
    <row r="23684">
      <c r="B23684" t="str">
        <v>Công an  thị xã An Nhơn  tỉnh Bình Định</v>
      </c>
      <c r="C23684" t="str">
        <v>-</v>
      </c>
      <c r="D23684" t="str">
        <v>-</v>
      </c>
      <c r="E23684" t="str">
        <v/>
      </c>
      <c r="F23684" t="str">
        <v>-</v>
      </c>
      <c r="G23684" t="str">
        <v>-</v>
      </c>
    </row>
    <row r="23685">
      <c r="B23685" t="str">
        <v>UBND Ủy ban nhân dân  thị xã An Nhơn  tỉnh Bình Định</v>
      </c>
      <c r="C23685" t="str">
        <v>-</v>
      </c>
      <c r="D23685" t="str">
        <v>-</v>
      </c>
      <c r="E23685" t="str">
        <v>-</v>
      </c>
      <c r="F23685" t="str">
        <v>-</v>
      </c>
      <c r="G23685" t="str">
        <v>-</v>
      </c>
    </row>
    <row r="23686">
      <c r="B23686" t="str">
        <v>Công an  thị xã Sông Cầu  tỉnh Phú Yên</v>
      </c>
      <c r="C23686" t="str">
        <v>-</v>
      </c>
      <c r="D23686" t="str">
        <v>-</v>
      </c>
      <c r="E23686" t="str">
        <v/>
      </c>
      <c r="F23686" t="str">
        <v>-</v>
      </c>
      <c r="G23686" t="str">
        <v>-</v>
      </c>
    </row>
    <row r="23687">
      <c r="B23687" t="str">
        <v>UBND Ủy ban nhân dân  thị xã Sông Cầu  tỉnh Phú Yên</v>
      </c>
      <c r="C23687" t="str">
        <v>-</v>
      </c>
      <c r="D23687" t="str">
        <v>-</v>
      </c>
      <c r="E23687" t="str">
        <v>-</v>
      </c>
      <c r="F23687" t="str">
        <v>-</v>
      </c>
      <c r="G23687" t="str">
        <v>-</v>
      </c>
    </row>
    <row r="23688">
      <c r="B23688" t="str">
        <v>Công an  thị xã Ninh Hòa  tỉnh Khánh Hòa</v>
      </c>
      <c r="C23688" t="str">
        <v>-</v>
      </c>
      <c r="D23688" t="str">
        <v>-</v>
      </c>
      <c r="E23688" t="str">
        <v/>
      </c>
      <c r="F23688" t="str">
        <v>-</v>
      </c>
      <c r="G23688" t="str">
        <v>-</v>
      </c>
    </row>
    <row r="23689">
      <c r="B23689" t="str">
        <v>UBND Ủy ban nhân dân  thị xã Ninh Hòa  tỉnh Khánh Hòa</v>
      </c>
      <c r="C23689" t="str">
        <v>-</v>
      </c>
      <c r="D23689" t="str">
        <v>-</v>
      </c>
      <c r="E23689" t="str">
        <v>-</v>
      </c>
      <c r="F23689" t="str">
        <v>-</v>
      </c>
      <c r="G23689" t="str">
        <v>-</v>
      </c>
    </row>
    <row r="23690">
      <c r="B23690" t="str">
        <v>Công an  thị xã La Gi  tỉnh Bình Thuận</v>
      </c>
      <c r="C23690" t="str">
        <v>-</v>
      </c>
      <c r="D23690" t="str">
        <v>-</v>
      </c>
      <c r="E23690" t="str">
        <v/>
      </c>
      <c r="F23690" t="str">
        <v>-</v>
      </c>
      <c r="G23690" t="str">
        <v>-</v>
      </c>
    </row>
    <row r="23691">
      <c r="B23691" t="str">
        <v>UBND Ủy ban nhân dân  thị xã La Gi  tỉnh Bình Thuận</v>
      </c>
      <c r="C23691" t="str">
        <v>-</v>
      </c>
      <c r="D23691" t="str">
        <v>-</v>
      </c>
      <c r="E23691" t="str">
        <v>-</v>
      </c>
      <c r="F23691" t="str">
        <v>-</v>
      </c>
      <c r="G23691" t="str">
        <v>-</v>
      </c>
    </row>
    <row r="23692">
      <c r="B23692" t="str">
        <v>Công an  thị xã An Khê  tỉnh Gia Lai</v>
      </c>
      <c r="C23692" t="str">
        <v>-</v>
      </c>
      <c r="D23692" t="str">
        <v>-</v>
      </c>
      <c r="E23692" t="str">
        <v/>
      </c>
      <c r="F23692" t="str">
        <v>-</v>
      </c>
      <c r="G23692" t="str">
        <v>-</v>
      </c>
    </row>
    <row r="23693">
      <c r="B23693" t="str">
        <v>UBND Ủy ban nhân dân  thị xã An Khê  tỉnh Gia Lai</v>
      </c>
      <c r="C23693" t="str">
        <v>-</v>
      </c>
      <c r="D23693" t="str">
        <v>-</v>
      </c>
      <c r="E23693" t="str">
        <v>-</v>
      </c>
      <c r="F23693" t="str">
        <v>-</v>
      </c>
      <c r="G23693" t="str">
        <v>-</v>
      </c>
    </row>
    <row r="23694">
      <c r="B23694" t="str">
        <v>Công an  thị xã Ayun Pa  tỉnh Gia Lai</v>
      </c>
      <c r="C23694" t="str">
        <v>-</v>
      </c>
      <c r="D23694" t="str">
        <v>-</v>
      </c>
      <c r="E23694" t="str">
        <v/>
      </c>
      <c r="F23694" t="str">
        <v>-</v>
      </c>
      <c r="G23694" t="str">
        <v>-</v>
      </c>
    </row>
    <row r="23695">
      <c r="B23695" t="str">
        <v>UBND Ủy ban nhân dân  thị xã Ayun Pa  tỉnh Gia Lai</v>
      </c>
      <c r="C23695" t="str">
        <v>-</v>
      </c>
      <c r="D23695" t="str">
        <v>-</v>
      </c>
      <c r="E23695" t="str">
        <v>-</v>
      </c>
      <c r="F23695" t="str">
        <v>-</v>
      </c>
      <c r="G23695" t="str">
        <v>-</v>
      </c>
    </row>
    <row r="23696">
      <c r="B23696" t="str">
        <v>Công an  thị xã Buôn Hồ  tỉnh Đắk Lắk</v>
      </c>
      <c r="C23696" t="str">
        <v>-</v>
      </c>
      <c r="D23696" t="str">
        <v>-</v>
      </c>
      <c r="E23696" t="str">
        <v/>
      </c>
      <c r="F23696" t="str">
        <v>-</v>
      </c>
      <c r="G23696" t="str">
        <v>-</v>
      </c>
    </row>
    <row r="23697">
      <c r="B23697" t="str">
        <v>UBND Ủy ban nhân dân  thị xã Buôn Hồ  tỉnh Đắk Lắk</v>
      </c>
      <c r="C23697" t="str">
        <v>-</v>
      </c>
      <c r="D23697" t="str">
        <v>-</v>
      </c>
      <c r="E23697" t="str">
        <v>-</v>
      </c>
      <c r="F23697" t="str">
        <v>-</v>
      </c>
      <c r="G23697" t="str">
        <v>-</v>
      </c>
    </row>
    <row r="23698">
      <c r="B23698" t="str">
        <v>Công an  thị xã Gia Nghĩa  tỉnh Đắk Nông</v>
      </c>
      <c r="C23698" t="str">
        <v>-</v>
      </c>
      <c r="D23698" t="str">
        <v>-</v>
      </c>
      <c r="E23698" t="str">
        <v/>
      </c>
      <c r="F23698" t="str">
        <v>-</v>
      </c>
      <c r="G23698" t="str">
        <v>-</v>
      </c>
    </row>
    <row r="23699">
      <c r="B23699" t="str">
        <v>UBND Ủy ban nhân dân  thị xã Gia Nghĩa  tỉnh Đắk Nông</v>
      </c>
      <c r="C23699" t="str">
        <v>-</v>
      </c>
      <c r="D23699" t="str">
        <v>-</v>
      </c>
      <c r="E23699" t="str">
        <v>-</v>
      </c>
      <c r="F23699" t="str">
        <v>-</v>
      </c>
      <c r="G23699" t="str">
        <v>-</v>
      </c>
    </row>
    <row r="23700">
      <c r="B23700" t="str">
        <v>Công an  thị xã Phước Long  tỉnh Bình Phước</v>
      </c>
      <c r="C23700" t="str">
        <v>-</v>
      </c>
      <c r="D23700" t="str">
        <v>-</v>
      </c>
      <c r="E23700" t="str">
        <v/>
      </c>
      <c r="F23700" t="str">
        <v>-</v>
      </c>
      <c r="G23700" t="str">
        <v>-</v>
      </c>
    </row>
    <row r="23701">
      <c r="B23701" t="str">
        <v>UBND Ủy ban nhân dân  thị xã Phước Long  tỉnh Bình Phước</v>
      </c>
      <c r="C23701" t="str">
        <v>-</v>
      </c>
      <c r="D23701" t="str">
        <v>-</v>
      </c>
      <c r="E23701" t="str">
        <v>-</v>
      </c>
      <c r="F23701" t="str">
        <v>-</v>
      </c>
      <c r="G23701" t="str">
        <v>-</v>
      </c>
    </row>
    <row r="23702">
      <c r="B23702" t="str">
        <v>Công an  thị xã Đồng Xoài  tỉnh Bình Phước</v>
      </c>
      <c r="C23702" t="str">
        <v>-</v>
      </c>
      <c r="D23702" t="str">
        <v>-</v>
      </c>
      <c r="E23702" t="str">
        <v/>
      </c>
      <c r="F23702" t="str">
        <v>-</v>
      </c>
      <c r="G23702" t="str">
        <v>-</v>
      </c>
    </row>
    <row r="23703">
      <c r="B23703" t="str">
        <v>UBND Ủy ban nhân dân  thị xã Đồng Xoài  tỉnh Bình Phước</v>
      </c>
      <c r="C23703" t="str">
        <v>-</v>
      </c>
      <c r="D23703" t="str">
        <v>-</v>
      </c>
      <c r="E23703" t="str">
        <v>-</v>
      </c>
      <c r="F23703" t="str">
        <v>-</v>
      </c>
      <c r="G23703" t="str">
        <v>-</v>
      </c>
    </row>
    <row r="23704">
      <c r="B23704" t="str">
        <v>Công an  thị xã Bình Long  tỉnh Bình Phước</v>
      </c>
      <c r="C23704" t="str">
        <v>-</v>
      </c>
      <c r="D23704" t="str">
        <v>-</v>
      </c>
      <c r="E23704" t="str">
        <v/>
      </c>
      <c r="F23704" t="str">
        <v>-</v>
      </c>
      <c r="G23704" t="str">
        <v>-</v>
      </c>
    </row>
    <row r="23705">
      <c r="B23705" t="str">
        <v>UBND Ủy ban nhân dân  thị xã Bình Long  tỉnh Bình Phước</v>
      </c>
      <c r="C23705" t="str">
        <v>-</v>
      </c>
      <c r="D23705" t="str">
        <v>-</v>
      </c>
      <c r="E23705" t="str">
        <v>-</v>
      </c>
      <c r="F23705" t="str">
        <v>-</v>
      </c>
      <c r="G23705" t="str">
        <v>-</v>
      </c>
    </row>
    <row r="23706">
      <c r="B23706" t="str">
        <v>Công an  thị xã Bến Cát  tỉnh Bình Dương</v>
      </c>
      <c r="C23706" t="str">
        <v>-</v>
      </c>
      <c r="D23706" t="str">
        <v>-</v>
      </c>
      <c r="E23706" t="str">
        <v/>
      </c>
      <c r="F23706" t="str">
        <v>-</v>
      </c>
      <c r="G23706" t="str">
        <v>-</v>
      </c>
    </row>
    <row r="23707">
      <c r="B23707" t="str">
        <v>UBND Ủy ban nhân dân  thị xã Bến Cát  tỉnh Bình Dương</v>
      </c>
      <c r="C23707" t="str">
        <v>-</v>
      </c>
      <c r="D23707" t="str">
        <v>-</v>
      </c>
      <c r="E23707" t="str">
        <v>-</v>
      </c>
      <c r="F23707" t="str">
        <v>-</v>
      </c>
      <c r="G23707" t="str">
        <v>-</v>
      </c>
    </row>
    <row r="23708">
      <c r="B23708" t="str">
        <v>Công an  thị xã Tân Uyên  tỉnh Bình Dương</v>
      </c>
      <c r="C23708" t="str">
        <v>-</v>
      </c>
      <c r="D23708" t="str">
        <v>-</v>
      </c>
      <c r="E23708" t="str">
        <v/>
      </c>
      <c r="F23708" t="str">
        <v>-</v>
      </c>
      <c r="G23708" t="str">
        <v>-</v>
      </c>
    </row>
    <row r="23709">
      <c r="B23709" t="str">
        <v>UBND Ủy ban nhân dân  thị xã Tân Uyên  tỉnh Bình Dương</v>
      </c>
      <c r="C23709" t="str">
        <v>-</v>
      </c>
      <c r="D23709" t="str">
        <v>-</v>
      </c>
      <c r="E23709" t="str">
        <v>-</v>
      </c>
      <c r="F23709" t="str">
        <v>-</v>
      </c>
      <c r="G23709" t="str">
        <v>-</v>
      </c>
    </row>
    <row r="23710">
      <c r="B23710" t="str">
        <v>Công an  thị xã Dĩ An  tỉnh Bình Dương</v>
      </c>
      <c r="C23710" t="str">
        <v>-</v>
      </c>
      <c r="D23710" t="str">
        <v>-</v>
      </c>
      <c r="E23710" t="str">
        <v/>
      </c>
      <c r="F23710" t="str">
        <v>-</v>
      </c>
      <c r="G23710" t="str">
        <v>-</v>
      </c>
    </row>
    <row r="23711">
      <c r="B23711" t="str">
        <v>UBND Ủy ban nhân dân  thị xã Dĩ An  tỉnh Bình Dương</v>
      </c>
      <c r="C23711" t="str">
        <v>-</v>
      </c>
      <c r="D23711" t="str">
        <v>-</v>
      </c>
      <c r="E23711" t="str">
        <v>-</v>
      </c>
      <c r="F23711" t="str">
        <v>-</v>
      </c>
      <c r="G23711" t="str">
        <v>-</v>
      </c>
    </row>
    <row r="23712">
      <c r="B23712" t="str">
        <v>Công an  thị xã Thuận An  tỉnh Bình Dương</v>
      </c>
      <c r="C23712" t="str">
        <v>-</v>
      </c>
      <c r="D23712" t="str">
        <v>-</v>
      </c>
      <c r="E23712" t="str">
        <v/>
      </c>
      <c r="F23712" t="str">
        <v>-</v>
      </c>
      <c r="G23712" t="str">
        <v>-</v>
      </c>
    </row>
    <row r="23713">
      <c r="B23713" t="str">
        <v>UBND Ủy ban nhân dân  thị xã Thuận An  tỉnh Bình Dương</v>
      </c>
      <c r="C23713" t="str">
        <v>-</v>
      </c>
      <c r="D23713" t="str">
        <v>-</v>
      </c>
      <c r="E23713" t="str">
        <v>-</v>
      </c>
      <c r="F23713" t="str">
        <v>-</v>
      </c>
      <c r="G23713" t="str">
        <v>-</v>
      </c>
    </row>
    <row r="23714">
      <c r="B23714" t="str">
        <v>Công an  thị xã Long Khánh  tỉnh Đồng Nai</v>
      </c>
      <c r="C23714" t="str">
        <v>-</v>
      </c>
      <c r="D23714" t="str">
        <v>-</v>
      </c>
      <c r="E23714" t="str">
        <v/>
      </c>
      <c r="F23714" t="str">
        <v>-</v>
      </c>
      <c r="G23714" t="str">
        <v>-</v>
      </c>
    </row>
    <row r="23715">
      <c r="B23715" t="str">
        <v>UBND Ủy ban nhân dân  thị xã Long Khánh  tỉnh Đồng Nai</v>
      </c>
      <c r="C23715" t="str">
        <v>-</v>
      </c>
      <c r="D23715" t="str">
        <v>-</v>
      </c>
      <c r="E23715" t="str">
        <v>-</v>
      </c>
      <c r="F23715" t="str">
        <v>-</v>
      </c>
      <c r="G23715" t="str">
        <v>-</v>
      </c>
    </row>
    <row r="23716">
      <c r="B23716" t="str">
        <v>Công an  thị xã Kiến Tường  tỉnh Long An</v>
      </c>
      <c r="C23716" t="str">
        <v>-</v>
      </c>
      <c r="D23716" t="str">
        <v>-</v>
      </c>
      <c r="E23716" t="str">
        <v/>
      </c>
      <c r="F23716" t="str">
        <v>-</v>
      </c>
      <c r="G23716" t="str">
        <v>-</v>
      </c>
    </row>
    <row r="23717">
      <c r="B23717" t="str">
        <v>UBND Ủy ban nhân dân  thị xã Kiến Tường  tỉnh Long An</v>
      </c>
      <c r="C23717" t="str">
        <v>-</v>
      </c>
      <c r="D23717" t="str">
        <v>-</v>
      </c>
      <c r="E23717" t="str">
        <v>-</v>
      </c>
      <c r="F23717" t="str">
        <v>-</v>
      </c>
      <c r="G23717" t="str">
        <v>-</v>
      </c>
    </row>
    <row r="23718">
      <c r="B23718" t="str">
        <v>Công an  thị xã Gò Công  tỉnh Tiền Giang</v>
      </c>
      <c r="C23718" t="str">
        <v>-</v>
      </c>
      <c r="D23718" t="str">
        <v>-</v>
      </c>
      <c r="E23718" t="str">
        <v/>
      </c>
      <c r="F23718" t="str">
        <v>-</v>
      </c>
      <c r="G23718" t="str">
        <v>-</v>
      </c>
    </row>
    <row r="23719">
      <c r="B23719" t="str">
        <v>UBND Ủy ban nhân dân  thị xã Gò Công  tỉnh Tiền Giang</v>
      </c>
      <c r="C23719" t="str">
        <v>-</v>
      </c>
      <c r="D23719" t="str">
        <v>-</v>
      </c>
      <c r="E23719" t="str">
        <v>-</v>
      </c>
      <c r="F23719" t="str">
        <v>-</v>
      </c>
      <c r="G23719" t="str">
        <v>-</v>
      </c>
    </row>
    <row r="23720">
      <c r="B23720" t="str">
        <v>Công an  thị xã Cai Lậy  tỉnh Tiền Giang</v>
      </c>
      <c r="C23720" t="str">
        <v>-</v>
      </c>
      <c r="D23720" t="str">
        <v>-</v>
      </c>
      <c r="E23720" t="str">
        <v/>
      </c>
      <c r="F23720" t="str">
        <v>-</v>
      </c>
      <c r="G23720" t="str">
        <v>-</v>
      </c>
    </row>
    <row r="23721">
      <c r="B23721" t="str">
        <v>UBND Ủy ban nhân dân  thị xã Cai Lậy  tỉnh Tiền Giang</v>
      </c>
      <c r="C23721" t="str">
        <v>-</v>
      </c>
      <c r="D23721" t="str">
        <v>-</v>
      </c>
      <c r="E23721" t="str">
        <v>-</v>
      </c>
      <c r="F23721" t="str">
        <v>-</v>
      </c>
      <c r="G23721" t="str">
        <v>-</v>
      </c>
    </row>
    <row r="23722">
      <c r="B23722" t="str">
        <v>Công an  thị xã Duyên Hải  tỉnh Trà Vinh</v>
      </c>
      <c r="C23722" t="str">
        <v>-</v>
      </c>
      <c r="D23722" t="str">
        <v>-</v>
      </c>
      <c r="E23722" t="str">
        <v/>
      </c>
      <c r="F23722" t="str">
        <v>-</v>
      </c>
      <c r="G23722" t="str">
        <v>-</v>
      </c>
    </row>
    <row r="23723">
      <c r="B23723" t="str">
        <v>UBND Ủy ban nhân dân  thị xã Duyên Hải  tỉnh Trà Vinh</v>
      </c>
      <c r="C23723" t="str">
        <v>-</v>
      </c>
      <c r="D23723" t="str">
        <v>-</v>
      </c>
      <c r="E23723" t="str">
        <v>-</v>
      </c>
      <c r="F23723" t="str">
        <v>-</v>
      </c>
      <c r="G23723" t="str">
        <v>-</v>
      </c>
    </row>
    <row r="23724">
      <c r="B23724" t="str">
        <v>Công an  thị xã Bình Minh  tỉnh Vĩnh Long</v>
      </c>
      <c r="C23724" t="str">
        <v>-</v>
      </c>
      <c r="D23724" t="str">
        <v>-</v>
      </c>
      <c r="E23724" t="str">
        <v/>
      </c>
      <c r="F23724" t="str">
        <v>-</v>
      </c>
      <c r="G23724" t="str">
        <v>-</v>
      </c>
    </row>
    <row r="23725">
      <c r="B23725" t="str">
        <v>UBND Ủy ban nhân dân  thị xã Bình Minh  tỉnh Vĩnh Long</v>
      </c>
      <c r="C23725" t="str">
        <v>-</v>
      </c>
      <c r="D23725" t="str">
        <v>-</v>
      </c>
      <c r="E23725" t="str">
        <v>-</v>
      </c>
      <c r="F23725" t="str">
        <v>-</v>
      </c>
      <c r="G23725" t="str">
        <v>-</v>
      </c>
    </row>
    <row r="23726">
      <c r="B23726" t="str">
        <v>Công an  thị xã Hồng Ngự  tỉnh Đồng Tháp</v>
      </c>
      <c r="C23726" t="str">
        <v>-</v>
      </c>
      <c r="D23726" t="str">
        <v>-</v>
      </c>
      <c r="E23726" t="str">
        <v/>
      </c>
      <c r="F23726" t="str">
        <v>-</v>
      </c>
      <c r="G23726" t="str">
        <v>-</v>
      </c>
    </row>
    <row r="23727">
      <c r="B23727" t="str">
        <v>UBND Ủy ban nhân dân  thị xã Hồng Ngự  tỉnh Đồng Tháp</v>
      </c>
      <c r="C23727" t="str">
        <v>-</v>
      </c>
      <c r="D23727" t="str">
        <v>-</v>
      </c>
      <c r="E23727" t="str">
        <v>-</v>
      </c>
      <c r="F23727" t="str">
        <v>-</v>
      </c>
      <c r="G23727" t="str">
        <v>-</v>
      </c>
    </row>
    <row r="23728">
      <c r="B23728" t="str">
        <v>Công an  thị xã Tân Châu  tỉnh An Giang</v>
      </c>
      <c r="C23728" t="str">
        <v>-</v>
      </c>
      <c r="D23728" t="str">
        <v>-</v>
      </c>
      <c r="E23728" t="str">
        <v/>
      </c>
      <c r="F23728" t="str">
        <v>-</v>
      </c>
      <c r="G23728" t="str">
        <v>-</v>
      </c>
    </row>
    <row r="23729">
      <c r="B23729" t="str">
        <v>UBND Ủy ban nhân dân  thị xã Tân Châu  tỉnh An Giang</v>
      </c>
      <c r="C23729" t="str">
        <v>-</v>
      </c>
      <c r="D23729" t="str">
        <v>-</v>
      </c>
      <c r="E23729" t="str">
        <v>-</v>
      </c>
      <c r="F23729" t="str">
        <v>-</v>
      </c>
      <c r="G23729" t="str">
        <v>-</v>
      </c>
    </row>
    <row r="23730">
      <c r="B23730" t="str">
        <v>Công an  thị xã Hà Tiên  tỉnh Kiên Giang</v>
      </c>
      <c r="C23730" t="str">
        <v>-</v>
      </c>
      <c r="D23730" t="str">
        <v>-</v>
      </c>
      <c r="E23730" t="str">
        <v/>
      </c>
      <c r="F23730" t="str">
        <v>-</v>
      </c>
      <c r="G23730" t="str">
        <v>-</v>
      </c>
    </row>
    <row r="23731">
      <c r="B23731" t="str">
        <v>UBND Ủy ban nhân dân  thị xã Hà Tiên  tỉnh Kiên Giang</v>
      </c>
      <c r="C23731" t="str">
        <v>-</v>
      </c>
      <c r="D23731" t="str">
        <v>-</v>
      </c>
      <c r="E23731" t="str">
        <v>-</v>
      </c>
      <c r="F23731" t="str">
        <v>-</v>
      </c>
      <c r="G23731" t="str">
        <v>-</v>
      </c>
    </row>
    <row r="23732">
      <c r="B23732" t="str">
        <v>Công an  thị xã Ngã Bảy  tỉnh Hậu Giang</v>
      </c>
      <c r="C23732" t="str">
        <v>-</v>
      </c>
      <c r="D23732" t="str">
        <v>-</v>
      </c>
      <c r="E23732" t="str">
        <v/>
      </c>
      <c r="F23732" t="str">
        <v>-</v>
      </c>
      <c r="G23732" t="str">
        <v>-</v>
      </c>
    </row>
    <row r="23733">
      <c r="B23733" t="str">
        <v>UBND Ủy ban nhân dân  thị xã Ngã Bảy  tỉnh Hậu Giang</v>
      </c>
      <c r="C23733" t="str">
        <v>-</v>
      </c>
      <c r="D23733" t="str">
        <v>-</v>
      </c>
      <c r="E23733" t="str">
        <v>-</v>
      </c>
      <c r="F23733" t="str">
        <v>-</v>
      </c>
      <c r="G23733" t="str">
        <v>-</v>
      </c>
    </row>
    <row r="23734">
      <c r="B23734" t="str">
        <v>Công an  thị xã Long Mỹ  tỉnh Hậu Giang</v>
      </c>
      <c r="C23734" t="str">
        <v>-</v>
      </c>
      <c r="D23734" t="str">
        <v>-</v>
      </c>
      <c r="E23734" t="str">
        <v/>
      </c>
      <c r="F23734" t="str">
        <v>-</v>
      </c>
      <c r="G23734" t="str">
        <v>-</v>
      </c>
    </row>
    <row r="23735">
      <c r="B23735" t="str">
        <v>UBND Ủy ban nhân dân  thị xã Long Mỹ  tỉnh Hậu Giang</v>
      </c>
      <c r="C23735" t="str">
        <v>-</v>
      </c>
      <c r="D23735" t="str">
        <v>-</v>
      </c>
      <c r="E23735" t="str">
        <v>-</v>
      </c>
      <c r="F23735" t="str">
        <v>-</v>
      </c>
      <c r="G23735" t="str">
        <v>-</v>
      </c>
    </row>
    <row r="23736">
      <c r="B23736" t="str">
        <v>Công an  thị xã Ngã Năm  tỉnh Sóc Trăng</v>
      </c>
      <c r="C23736" t="str">
        <v>-</v>
      </c>
      <c r="D23736" t="str">
        <v>-</v>
      </c>
      <c r="E23736" t="str">
        <v/>
      </c>
      <c r="F23736" t="str">
        <v>-</v>
      </c>
      <c r="G23736" t="str">
        <v>-</v>
      </c>
    </row>
    <row r="23737">
      <c r="B23737" t="str">
        <v>UBND Ủy ban nhân dân  thị xã Ngã Năm  tỉnh Sóc Trăng</v>
      </c>
      <c r="C23737" t="str">
        <v>-</v>
      </c>
      <c r="D23737" t="str">
        <v>-</v>
      </c>
      <c r="E23737" t="str">
        <v>-</v>
      </c>
      <c r="F23737" t="str">
        <v>-</v>
      </c>
      <c r="G23737" t="str">
        <v>-</v>
      </c>
    </row>
    <row r="23738">
      <c r="B23738" t="str">
        <v>Công an  thị xã Vĩnh Châu  tỉnh Sóc Trăng</v>
      </c>
      <c r="C23738" t="str">
        <v>-</v>
      </c>
      <c r="D23738" t="str">
        <v>-</v>
      </c>
      <c r="E23738" t="str">
        <v/>
      </c>
      <c r="F23738" t="str">
        <v>-</v>
      </c>
      <c r="G23738" t="str">
        <v>-</v>
      </c>
    </row>
    <row r="23739">
      <c r="B23739" t="str">
        <v>UBND Ủy ban nhân dân  thị xã Vĩnh Châu  tỉnh Sóc Trăng</v>
      </c>
      <c r="C23739" t="str">
        <v>-</v>
      </c>
      <c r="D23739" t="str">
        <v>-</v>
      </c>
      <c r="E23739" t="str">
        <v>-</v>
      </c>
      <c r="F23739" t="str">
        <v>-</v>
      </c>
      <c r="G23739" t="str">
        <v>-</v>
      </c>
    </row>
    <row r="23740">
      <c r="B23740" t="str">
        <v>Công an  thị xã Giá Rai  tỉnh Bạc Liêu</v>
      </c>
      <c r="C23740" t="str">
        <v>-</v>
      </c>
      <c r="D23740" t="str">
        <v>-</v>
      </c>
      <c r="E23740" t="str">
        <v/>
      </c>
      <c r="F23740" t="str">
        <v>-</v>
      </c>
      <c r="G23740" t="str">
        <v>-</v>
      </c>
    </row>
    <row r="23741">
      <c r="B23741" t="str">
        <v>UBND Ủy ban nhân dân  thị xã Giá Rai  tỉnh Bạc Liêu</v>
      </c>
      <c r="C23741" t="str">
        <v>-</v>
      </c>
      <c r="D23741" t="str">
        <v>-</v>
      </c>
      <c r="E23741" t="str">
        <v>-</v>
      </c>
      <c r="F23741" t="str">
        <v>-</v>
      </c>
      <c r="G23741" t="str">
        <v>-</v>
      </c>
    </row>
    <row r="23742">
      <c r="B23742" t="str">
        <v>Công an thị trấn Quy Đạt  tỉnh Quảng Bình</v>
      </c>
      <c r="C23742" t="str">
        <v>-</v>
      </c>
      <c r="D23742" t="str">
        <v>-</v>
      </c>
      <c r="E23742" t="str">
        <v/>
      </c>
      <c r="F23742" t="str">
        <v>-</v>
      </c>
      <c r="G23742" t="str">
        <v>-</v>
      </c>
    </row>
    <row r="23743">
      <c r="B23743" t="str">
        <v>UBND Ủy ban nhân dân thị trấn Quy Đạt  tỉnh Quảng Bình</v>
      </c>
      <c r="C23743" t="str">
        <v>-</v>
      </c>
      <c r="D23743" t="str">
        <v>-</v>
      </c>
      <c r="E23743" t="str">
        <v>-</v>
      </c>
      <c r="F23743" t="str">
        <v>-</v>
      </c>
      <c r="G23743" t="str">
        <v>-</v>
      </c>
    </row>
    <row r="23744">
      <c r="B23744" t="str">
        <v>Công an thị trấn Đồng Lê  tỉnh Quảng Bình</v>
      </c>
      <c r="C23744" t="str">
        <v>-</v>
      </c>
      <c r="D23744" t="str">
        <v>-</v>
      </c>
      <c r="E23744" t="str">
        <v/>
      </c>
      <c r="F23744" t="str">
        <v>-</v>
      </c>
      <c r="G23744" t="str">
        <v>-</v>
      </c>
    </row>
    <row r="23745">
      <c r="B23745" t="str">
        <v>UBND Ủy ban nhân dân thị trấn Đồng Lê  tỉnh Quảng Bình</v>
      </c>
      <c r="C23745" t="str">
        <v>-</v>
      </c>
      <c r="D23745" t="str">
        <v>-</v>
      </c>
      <c r="E23745" t="str">
        <v>-</v>
      </c>
      <c r="F23745" t="str">
        <v>-</v>
      </c>
      <c r="G23745" t="str">
        <v>-</v>
      </c>
    </row>
    <row r="23746">
      <c r="B23746" t="str">
        <v>Công an thị trấn Hoàn Lão  tỉnh Quảng Bình</v>
      </c>
      <c r="C23746" t="str">
        <v>-</v>
      </c>
      <c r="D23746" t="str">
        <v>-</v>
      </c>
      <c r="E23746" t="str">
        <v/>
      </c>
      <c r="F23746" t="str">
        <v>-</v>
      </c>
      <c r="G23746" t="str">
        <v>-</v>
      </c>
    </row>
    <row r="23747">
      <c r="B23747" t="str">
        <v>UBND Ủy ban nhân dân thị trấn Hoàn Lão  tỉnh Quảng Bình</v>
      </c>
      <c r="C23747" t="str">
        <v>-</v>
      </c>
      <c r="D23747" t="str">
        <v>-</v>
      </c>
      <c r="E23747" t="str">
        <v>-</v>
      </c>
      <c r="F23747" t="str">
        <v>-</v>
      </c>
      <c r="G23747" t="str">
        <v>-</v>
      </c>
    </row>
    <row r="23748">
      <c r="B23748" t="str">
        <v>Công an thị trấn NT Việt Trung  tỉnh Quảng Bình</v>
      </c>
      <c r="C23748" t="str">
        <v>-</v>
      </c>
      <c r="D23748" t="str">
        <v>-</v>
      </c>
      <c r="E23748" t="str">
        <v/>
      </c>
      <c r="F23748" t="str">
        <v>-</v>
      </c>
      <c r="G23748" t="str">
        <v>-</v>
      </c>
    </row>
    <row r="23749">
      <c r="B23749" t="str">
        <v>UBND Ủy ban nhân dân thị trấn NT Việt Trung  tỉnh Quảng Bình</v>
      </c>
      <c r="C23749" t="str">
        <v>-</v>
      </c>
      <c r="D23749" t="str">
        <v>-</v>
      </c>
      <c r="E23749" t="str">
        <v>-</v>
      </c>
      <c r="F23749" t="str">
        <v>-</v>
      </c>
      <c r="G23749" t="str">
        <v>-</v>
      </c>
    </row>
    <row r="23750">
      <c r="B23750" t="str">
        <v>Công an thị trấn Quán Hàu  tỉnh Quảng Bình</v>
      </c>
      <c r="C23750" t="str">
        <v>-</v>
      </c>
      <c r="D23750" t="str">
        <v>-</v>
      </c>
      <c r="E23750" t="str">
        <v/>
      </c>
      <c r="F23750" t="str">
        <v>-</v>
      </c>
      <c r="G23750" t="str">
        <v>-</v>
      </c>
    </row>
    <row r="23751">
      <c r="B23751" t="str">
        <v>UBND Ủy ban nhân dân thị trấn Quán Hàu  tỉnh Quảng Bình</v>
      </c>
      <c r="C23751" t="str">
        <v>-</v>
      </c>
      <c r="D23751" t="str">
        <v>-</v>
      </c>
      <c r="E23751" t="str">
        <v>-</v>
      </c>
      <c r="F23751" t="str">
        <v>-</v>
      </c>
      <c r="G23751" t="str">
        <v>-</v>
      </c>
    </row>
    <row r="23752">
      <c r="B23752" t="str">
        <v>Công an thị trấn NT Lệ Ninh  tỉnh Quảng Bình</v>
      </c>
      <c r="C23752" t="str">
        <v>-</v>
      </c>
      <c r="D23752" t="str">
        <v>-</v>
      </c>
      <c r="E23752" t="str">
        <v/>
      </c>
      <c r="F23752" t="str">
        <v>-</v>
      </c>
      <c r="G23752" t="str">
        <v>-</v>
      </c>
    </row>
    <row r="23753">
      <c r="B23753" t="str">
        <v>UBND Ủy ban nhân dân thị trấn NT Lệ Ninh  tỉnh Quảng Bình</v>
      </c>
      <c r="C23753" t="str">
        <v>-</v>
      </c>
      <c r="D23753" t="str">
        <v>-</v>
      </c>
      <c r="E23753" t="str">
        <v>-</v>
      </c>
      <c r="F23753" t="str">
        <v>-</v>
      </c>
      <c r="G23753" t="str">
        <v>-</v>
      </c>
    </row>
    <row r="23754">
      <c r="B23754" t="str">
        <v>Công an thị trấn Kiến Giang  tỉnh Quảng Bình</v>
      </c>
      <c r="C23754" t="str">
        <v>-</v>
      </c>
      <c r="D23754" t="str">
        <v>-</v>
      </c>
      <c r="E23754" t="str">
        <v/>
      </c>
      <c r="F23754" t="str">
        <v>-</v>
      </c>
      <c r="G23754" t="str">
        <v>-</v>
      </c>
    </row>
    <row r="23755">
      <c r="B23755" t="str">
        <v>UBND Ủy ban nhân dân thị trấn Kiến Giang  tỉnh Quảng Bình</v>
      </c>
      <c r="C23755" t="str">
        <v>-</v>
      </c>
      <c r="D23755" t="str">
        <v>-</v>
      </c>
      <c r="E23755" t="str">
        <v>-</v>
      </c>
      <c r="F23755" t="str">
        <v>-</v>
      </c>
      <c r="G23755" t="str">
        <v>-</v>
      </c>
    </row>
    <row r="23756">
      <c r="B23756" t="str">
        <v>Công an thị trấn Hồ Xá  tỉnh Quảng Trị</v>
      </c>
      <c r="C23756" t="str">
        <v>-</v>
      </c>
      <c r="D23756" t="str">
        <v>-</v>
      </c>
      <c r="E23756" t="str">
        <v/>
      </c>
      <c r="F23756" t="str">
        <v>-</v>
      </c>
      <c r="G23756" t="str">
        <v>-</v>
      </c>
    </row>
    <row r="23757">
      <c r="B23757" t="str">
        <v>UBND Ủy ban nhân dân thị trấn Hồ Xá  tỉnh Quảng Trị</v>
      </c>
      <c r="C23757" t="str">
        <v>-</v>
      </c>
      <c r="D23757" t="str">
        <v>-</v>
      </c>
      <c r="E23757" t="str">
        <v>-</v>
      </c>
      <c r="F23757" t="str">
        <v>-</v>
      </c>
      <c r="G23757" t="str">
        <v>-</v>
      </c>
    </row>
    <row r="23758">
      <c r="B23758" t="str">
        <v>Công an thị trấn Bến Quan  tỉnh Quảng Trị</v>
      </c>
      <c r="C23758" t="str">
        <v>-</v>
      </c>
      <c r="D23758" t="str">
        <v>-</v>
      </c>
      <c r="E23758" t="str">
        <v/>
      </c>
      <c r="F23758" t="str">
        <v>-</v>
      </c>
      <c r="G23758" t="str">
        <v>-</v>
      </c>
    </row>
    <row r="23759">
      <c r="B23759" t="str">
        <v>UBND Ủy ban nhân dân thị trấn Bến Quan  tỉnh Quảng Trị</v>
      </c>
      <c r="C23759" t="str">
        <v>-</v>
      </c>
      <c r="D23759" t="str">
        <v>-</v>
      </c>
      <c r="E23759" t="str">
        <v>-</v>
      </c>
      <c r="F23759" t="str">
        <v>-</v>
      </c>
      <c r="G23759" t="str">
        <v>-</v>
      </c>
    </row>
    <row r="23760">
      <c r="B23760" t="str">
        <v>Công an thị trấn Cửa Tùng  tỉnh Quảng Trị</v>
      </c>
      <c r="C23760" t="str">
        <v>-</v>
      </c>
      <c r="D23760" t="str">
        <v>-</v>
      </c>
      <c r="E23760" t="str">
        <v/>
      </c>
      <c r="F23760" t="str">
        <v>-</v>
      </c>
      <c r="G23760" t="str">
        <v>-</v>
      </c>
    </row>
    <row r="23761">
      <c r="B23761" t="str">
        <v>UBND Ủy ban nhân dân thị trấn Cửa Tùng  tỉnh Quảng Trị</v>
      </c>
      <c r="C23761" t="str">
        <v>-</v>
      </c>
      <c r="D23761" t="str">
        <v>-</v>
      </c>
      <c r="E23761" t="str">
        <v>-</v>
      </c>
      <c r="F23761" t="str">
        <v>-</v>
      </c>
      <c r="G23761" t="str">
        <v>-</v>
      </c>
    </row>
    <row r="23762">
      <c r="B23762" t="str">
        <v>Công an thị trấn Khe Sanh  tỉnh Quảng Trị</v>
      </c>
      <c r="C23762" t="str">
        <v>-</v>
      </c>
      <c r="D23762" t="str">
        <v>-</v>
      </c>
      <c r="E23762" t="str">
        <v/>
      </c>
      <c r="F23762" t="str">
        <v>-</v>
      </c>
      <c r="G23762" t="str">
        <v>-</v>
      </c>
    </row>
    <row r="23763">
      <c r="B23763" t="str">
        <v>UBND Ủy ban nhân dân thị trấn Khe Sanh  tỉnh Quảng Trị</v>
      </c>
      <c r="C23763" t="str">
        <v>-</v>
      </c>
      <c r="D23763" t="str">
        <v>-</v>
      </c>
      <c r="E23763" t="str">
        <v>-</v>
      </c>
      <c r="F23763" t="str">
        <v>-</v>
      </c>
      <c r="G23763" t="str">
        <v>-</v>
      </c>
    </row>
    <row r="23764">
      <c r="B23764" t="str">
        <v>Công an thị trấn Lao Bảo  tỉnh Quảng Trị</v>
      </c>
      <c r="C23764" t="str">
        <v>-</v>
      </c>
      <c r="D23764" t="str">
        <v>-</v>
      </c>
      <c r="E23764" t="str">
        <v/>
      </c>
      <c r="F23764" t="str">
        <v>-</v>
      </c>
      <c r="G23764" t="str">
        <v>-</v>
      </c>
    </row>
    <row r="23765">
      <c r="B23765" t="str">
        <v>UBND Ủy ban nhân dân thị trấn Lao Bảo  tỉnh Quảng Trị</v>
      </c>
      <c r="C23765" t="str">
        <v>-</v>
      </c>
      <c r="D23765" t="str">
        <v>-</v>
      </c>
      <c r="E23765" t="str">
        <v>-</v>
      </c>
      <c r="F23765" t="str">
        <v>-</v>
      </c>
      <c r="G23765" t="str">
        <v>-</v>
      </c>
    </row>
    <row r="23766">
      <c r="B23766" t="str">
        <v>Công an thị trấn Gio Linh  tỉnh Quảng Trị</v>
      </c>
      <c r="C23766" t="str">
        <v>-</v>
      </c>
      <c r="D23766" t="str">
        <v>-</v>
      </c>
      <c r="E23766" t="str">
        <v/>
      </c>
      <c r="F23766" t="str">
        <v>-</v>
      </c>
      <c r="G23766" t="str">
        <v>-</v>
      </c>
    </row>
    <row r="23767">
      <c r="B23767" t="str">
        <v>UBND Ủy ban nhân dân thị trấn Gio Linh  tỉnh Quảng Trị</v>
      </c>
      <c r="C23767" t="str">
        <v>-</v>
      </c>
      <c r="D23767" t="str">
        <v>-</v>
      </c>
      <c r="E23767" t="str">
        <v>-</v>
      </c>
      <c r="F23767" t="str">
        <v>-</v>
      </c>
      <c r="G23767" t="str">
        <v>-</v>
      </c>
    </row>
    <row r="23768">
      <c r="B23768" t="str">
        <v>Công an thị trấn Cửa Việt  tỉnh Quảng Trị</v>
      </c>
      <c r="C23768" t="str">
        <v>-</v>
      </c>
      <c r="D23768" t="str">
        <v>-</v>
      </c>
      <c r="E23768" t="str">
        <v/>
      </c>
      <c r="F23768" t="str">
        <v>-</v>
      </c>
      <c r="G23768" t="str">
        <v>-</v>
      </c>
    </row>
    <row r="23769">
      <c r="B23769" t="str">
        <v>UBND Ủy ban nhân dân thị trấn Cửa Việt  tỉnh Quảng Trị</v>
      </c>
      <c r="C23769" t="str">
        <v>-</v>
      </c>
      <c r="D23769" t="str">
        <v>-</v>
      </c>
      <c r="E23769" t="str">
        <v>-</v>
      </c>
      <c r="F23769" t="str">
        <v>-</v>
      </c>
      <c r="G23769" t="str">
        <v>-</v>
      </c>
    </row>
    <row r="23770">
      <c r="B23770" t="str">
        <v>Công an thị trấn Krông Klang  tỉnh Quảng Trị</v>
      </c>
      <c r="C23770" t="str">
        <v>-</v>
      </c>
      <c r="D23770" t="str">
        <v>-</v>
      </c>
      <c r="E23770" t="str">
        <v/>
      </c>
      <c r="F23770" t="str">
        <v>-</v>
      </c>
      <c r="G23770" t="str">
        <v>-</v>
      </c>
    </row>
    <row r="23771">
      <c r="B23771" t="str">
        <v>UBND Ủy ban nhân dân thị trấn Krông Klang  tỉnh Quảng Trị</v>
      </c>
      <c r="C23771" t="str">
        <v>-</v>
      </c>
      <c r="D23771" t="str">
        <v>-</v>
      </c>
      <c r="E23771" t="str">
        <v>-</v>
      </c>
      <c r="F23771" t="str">
        <v>-</v>
      </c>
      <c r="G23771" t="str">
        <v>-</v>
      </c>
    </row>
    <row r="23772">
      <c r="B23772" t="str">
        <v>Công an thị trấn Cam Lộ  tỉnh Quảng Trị</v>
      </c>
      <c r="C23772" t="str">
        <v>-</v>
      </c>
      <c r="D23772" t="str">
        <v>-</v>
      </c>
      <c r="E23772" t="str">
        <v/>
      </c>
      <c r="F23772" t="str">
        <v>-</v>
      </c>
      <c r="G23772" t="str">
        <v>-</v>
      </c>
    </row>
    <row r="23773">
      <c r="B23773" t="str">
        <v>UBND Ủy ban nhân dân thị trấn Cam Lộ  tỉnh Quảng Trị</v>
      </c>
      <c r="C23773" t="str">
        <v>-</v>
      </c>
      <c r="D23773" t="str">
        <v>-</v>
      </c>
      <c r="E23773" t="str">
        <v>-</v>
      </c>
      <c r="F23773" t="str">
        <v>-</v>
      </c>
      <c r="G23773" t="str">
        <v>-</v>
      </c>
    </row>
    <row r="23774">
      <c r="B23774" t="str">
        <v>Công an thị trấn Ái Tử  tỉnh Quảng Trị</v>
      </c>
      <c r="C23774" t="str">
        <v>-</v>
      </c>
      <c r="D23774" t="str">
        <v>-</v>
      </c>
      <c r="E23774" t="str">
        <v/>
      </c>
      <c r="F23774" t="str">
        <v>-</v>
      </c>
      <c r="G23774" t="str">
        <v>-</v>
      </c>
    </row>
    <row r="23775">
      <c r="B23775" t="str">
        <v>UBND Ủy ban nhân dân thị trấn Ái Tử  tỉnh Quảng Trị</v>
      </c>
      <c r="C23775" t="str">
        <v>-</v>
      </c>
      <c r="D23775" t="str">
        <v>-</v>
      </c>
      <c r="E23775" t="str">
        <v>-</v>
      </c>
      <c r="F23775" t="str">
        <v>-</v>
      </c>
      <c r="G23775" t="str">
        <v>-</v>
      </c>
    </row>
    <row r="23776">
      <c r="B23776" t="str">
        <v>Công an thị trấn Hải Lăng  tỉnh Quảng Trị</v>
      </c>
      <c r="C23776" t="str">
        <v>-</v>
      </c>
      <c r="D23776" t="str">
        <v>-</v>
      </c>
      <c r="E23776" t="str">
        <v/>
      </c>
      <c r="F23776" t="str">
        <v>-</v>
      </c>
      <c r="G23776" t="str">
        <v>-</v>
      </c>
    </row>
    <row r="23777">
      <c r="B23777" t="str">
        <v>UBND Ủy ban nhân dân thị trấn Hải Lăng  tỉnh Quảng Trị</v>
      </c>
      <c r="C23777" t="str">
        <v>-</v>
      </c>
      <c r="D23777" t="str">
        <v>-</v>
      </c>
      <c r="E23777" t="str">
        <v>-</v>
      </c>
      <c r="F23777" t="str">
        <v>-</v>
      </c>
      <c r="G23777" t="str">
        <v>-</v>
      </c>
    </row>
    <row r="23778">
      <c r="B23778" t="str">
        <v>Công an thị trấn Phong Điền  tỉnh Thừa Thiên Huế</v>
      </c>
      <c r="C23778" t="str">
        <v>-</v>
      </c>
      <c r="D23778" t="str">
        <v>-</v>
      </c>
      <c r="E23778" t="str">
        <v/>
      </c>
      <c r="F23778" t="str">
        <v>-</v>
      </c>
      <c r="G23778" t="str">
        <v>-</v>
      </c>
    </row>
    <row r="23779">
      <c r="B23779" t="str">
        <v>UBND Ủy ban nhân dân thị trấn Phong Điền  tỉnh Thừa Thiên Huế</v>
      </c>
      <c r="C23779" t="str">
        <v>-</v>
      </c>
      <c r="D23779" t="str">
        <v>-</v>
      </c>
      <c r="E23779" t="str">
        <v>-</v>
      </c>
      <c r="F23779" t="str">
        <v>-</v>
      </c>
      <c r="G23779" t="str">
        <v>-</v>
      </c>
    </row>
    <row r="23780">
      <c r="B23780" t="str">
        <v>Công an thị trấn Sịa  tỉnh Thừa Thiên Huế</v>
      </c>
      <c r="C23780" t="str">
        <v>-</v>
      </c>
      <c r="D23780" t="str">
        <v>-</v>
      </c>
      <c r="E23780" t="str">
        <v/>
      </c>
      <c r="F23780" t="str">
        <v>-</v>
      </c>
      <c r="G23780" t="str">
        <v>-</v>
      </c>
    </row>
    <row r="23781">
      <c r="B23781" t="str">
        <v>UBND Ủy ban nhân dân thị trấn Sịa  tỉnh Thừa Thiên Huế</v>
      </c>
      <c r="C23781" t="str">
        <v>-</v>
      </c>
      <c r="D23781" t="str">
        <v>-</v>
      </c>
      <c r="E23781" t="str">
        <v>-</v>
      </c>
      <c r="F23781" t="str">
        <v>-</v>
      </c>
      <c r="G23781" t="str">
        <v>-</v>
      </c>
    </row>
    <row r="23782">
      <c r="B23782" t="str">
        <v>Công an thị trấn Thuận An  tỉnh Thừa Thiên Huế</v>
      </c>
      <c r="C23782" t="str">
        <v>-</v>
      </c>
      <c r="D23782" t="str">
        <v>-</v>
      </c>
      <c r="E23782" t="str">
        <v/>
      </c>
      <c r="F23782" t="str">
        <v>-</v>
      </c>
      <c r="G23782" t="str">
        <v>-</v>
      </c>
    </row>
    <row r="23783">
      <c r="B23783" t="str">
        <v>UBND Ủy ban nhân dân thị trấn Thuận An  tỉnh Thừa Thiên Huế</v>
      </c>
      <c r="C23783" t="str">
        <v>-</v>
      </c>
      <c r="D23783" t="str">
        <v>-</v>
      </c>
      <c r="E23783" t="str">
        <v>-</v>
      </c>
      <c r="F23783" t="str">
        <v>-</v>
      </c>
      <c r="G23783" t="str">
        <v>-</v>
      </c>
    </row>
    <row r="23784">
      <c r="B23784" t="str">
        <v>Công an thị trấn Phú Đa  tỉnh Thừa Thiên Huế</v>
      </c>
      <c r="C23784" t="str">
        <v>-</v>
      </c>
      <c r="D23784" t="str">
        <v>-</v>
      </c>
      <c r="E23784" t="str">
        <v/>
      </c>
      <c r="F23784" t="str">
        <v>-</v>
      </c>
      <c r="G23784" t="str">
        <v>-</v>
      </c>
    </row>
    <row r="23785">
      <c r="B23785" t="str">
        <v>UBND Ủy ban nhân dân thị trấn Phú Đa  tỉnh Thừa Thiên Huế</v>
      </c>
      <c r="C23785" t="str">
        <v>-</v>
      </c>
      <c r="D23785" t="str">
        <v>-</v>
      </c>
      <c r="E23785" t="str">
        <v>-</v>
      </c>
      <c r="F23785" t="str">
        <v>-</v>
      </c>
      <c r="G23785" t="str">
        <v>-</v>
      </c>
    </row>
    <row r="23786">
      <c r="B23786" t="str">
        <v>Công an thị trấn A Lưới  tỉnh Thừa Thiên Huế</v>
      </c>
      <c r="C23786" t="str">
        <v>-</v>
      </c>
      <c r="D23786" t="str">
        <v>-</v>
      </c>
      <c r="E23786" t="str">
        <v/>
      </c>
      <c r="F23786" t="str">
        <v>-</v>
      </c>
      <c r="G23786" t="str">
        <v>-</v>
      </c>
    </row>
    <row r="23787">
      <c r="B23787" t="str">
        <v>UBND Ủy ban nhân dân thị trấn A Lưới  tỉnh Thừa Thiên Huế</v>
      </c>
      <c r="C23787" t="str">
        <v>-</v>
      </c>
      <c r="D23787" t="str">
        <v>-</v>
      </c>
      <c r="E23787" t="str">
        <v>-</v>
      </c>
      <c r="F23787" t="str">
        <v>-</v>
      </c>
      <c r="G23787" t="str">
        <v>-</v>
      </c>
    </row>
    <row r="23788">
      <c r="B23788" t="str">
        <v>Công an thị trấn Phú Lộc  tỉnh Thừa Thiên Huế</v>
      </c>
      <c r="C23788" t="str">
        <v>-</v>
      </c>
      <c r="D23788" t="str">
        <v>-</v>
      </c>
      <c r="E23788" t="str">
        <v/>
      </c>
      <c r="F23788" t="str">
        <v>-</v>
      </c>
      <c r="G23788" t="str">
        <v>-</v>
      </c>
    </row>
    <row r="23789">
      <c r="B23789" t="str">
        <v>UBND Ủy ban nhân dân thị trấn Phú Lộc  tỉnh Thừa Thiên Huế</v>
      </c>
      <c r="C23789" t="str">
        <v>-</v>
      </c>
      <c r="D23789" t="str">
        <v>-</v>
      </c>
      <c r="E23789" t="str">
        <v>-</v>
      </c>
      <c r="F23789" t="str">
        <v>-</v>
      </c>
      <c r="G23789" t="str">
        <v>-</v>
      </c>
    </row>
    <row r="23790">
      <c r="B23790" t="str">
        <v>Công an thị trấn Lăng Cô  tỉnh Thừa Thiên Huế</v>
      </c>
      <c r="C23790" t="str">
        <v>-</v>
      </c>
      <c r="D23790" t="str">
        <v>-</v>
      </c>
      <c r="E23790" t="str">
        <v/>
      </c>
      <c r="F23790" t="str">
        <v>-</v>
      </c>
      <c r="G23790" t="str">
        <v>-</v>
      </c>
    </row>
    <row r="23791">
      <c r="B23791" t="str">
        <v>UBND Ủy ban nhân dân thị trấn Lăng Cô  tỉnh Thừa Thiên Huế</v>
      </c>
      <c r="C23791" t="str">
        <v>-</v>
      </c>
      <c r="D23791" t="str">
        <v>-</v>
      </c>
      <c r="E23791" t="str">
        <v>-</v>
      </c>
      <c r="F23791" t="str">
        <v>-</v>
      </c>
      <c r="G23791" t="str">
        <v>-</v>
      </c>
    </row>
    <row r="23792">
      <c r="B23792" t="str">
        <v>Công an thị trấn Khe Tre  tỉnh Thừa Thiên Huế</v>
      </c>
      <c r="C23792" t="str">
        <v>-</v>
      </c>
      <c r="D23792" t="str">
        <v>-</v>
      </c>
      <c r="E23792" t="str">
        <v/>
      </c>
      <c r="F23792" t="str">
        <v>-</v>
      </c>
      <c r="G23792" t="str">
        <v>-</v>
      </c>
    </row>
    <row r="23793">
      <c r="B23793" t="str">
        <v>UBND Ủy ban nhân dân thị trấn Khe Tre  tỉnh Thừa Thiên Huế</v>
      </c>
      <c r="C23793" t="str">
        <v>-</v>
      </c>
      <c r="D23793" t="str">
        <v>-</v>
      </c>
      <c r="E23793" t="str">
        <v>-</v>
      </c>
      <c r="F23793" t="str">
        <v>-</v>
      </c>
      <c r="G23793" t="str">
        <v>-</v>
      </c>
    </row>
    <row r="23794">
      <c r="B23794" t="str">
        <v>Công an thị trấn P Rao  tỉnh Quảng Nam</v>
      </c>
      <c r="C23794" t="str">
        <v>-</v>
      </c>
      <c r="D23794" t="str">
        <v>-</v>
      </c>
      <c r="E23794" t="str">
        <v/>
      </c>
      <c r="F23794" t="str">
        <v>-</v>
      </c>
      <c r="G23794" t="str">
        <v>-</v>
      </c>
    </row>
    <row r="23795">
      <c r="B23795" t="str">
        <v>UBND Ủy ban nhân dân thị trấn P Rao  tỉnh Quảng Nam</v>
      </c>
      <c r="C23795" t="str">
        <v>-</v>
      </c>
      <c r="D23795" t="str">
        <v>-</v>
      </c>
      <c r="E23795" t="str">
        <v>-</v>
      </c>
      <c r="F23795" t="str">
        <v>-</v>
      </c>
      <c r="G23795" t="str">
        <v>-</v>
      </c>
    </row>
    <row r="23796">
      <c r="B23796" t="str">
        <v>Công an thị trấn Ái Nghĩa  tỉnh Quảng Nam</v>
      </c>
      <c r="C23796" t="str">
        <v>-</v>
      </c>
      <c r="D23796" t="str">
        <v>-</v>
      </c>
      <c r="E23796" t="str">
        <v/>
      </c>
      <c r="F23796" t="str">
        <v>-</v>
      </c>
      <c r="G23796" t="str">
        <v>-</v>
      </c>
    </row>
    <row r="23797">
      <c r="B23797" t="str">
        <v>UBND Ủy ban nhân dân thị trấn Ái Nghĩa  tỉnh Quảng Nam</v>
      </c>
      <c r="C23797" t="str">
        <v>-</v>
      </c>
      <c r="D23797" t="str">
        <v>-</v>
      </c>
      <c r="E23797" t="str">
        <v>-</v>
      </c>
      <c r="F23797" t="str">
        <v>-</v>
      </c>
      <c r="G23797" t="str">
        <v>-</v>
      </c>
    </row>
    <row r="23798">
      <c r="B23798" t="str">
        <v>Công an thị trấn Nam Phước  tỉnh Quảng Nam</v>
      </c>
      <c r="C23798" t="str">
        <v>-</v>
      </c>
      <c r="D23798" t="str">
        <v>-</v>
      </c>
      <c r="E23798" t="str">
        <v/>
      </c>
      <c r="F23798" t="str">
        <v>-</v>
      </c>
      <c r="G23798" t="str">
        <v>-</v>
      </c>
    </row>
    <row r="23799">
      <c r="B23799" t="str">
        <v>UBND Ủy ban nhân dân thị trấn Nam Phước  tỉnh Quảng Nam</v>
      </c>
      <c r="C23799" t="str">
        <v>-</v>
      </c>
      <c r="D23799" t="str">
        <v>-</v>
      </c>
      <c r="E23799" t="str">
        <v>-</v>
      </c>
      <c r="F23799" t="str">
        <v>-</v>
      </c>
      <c r="G23799" t="str">
        <v>-</v>
      </c>
    </row>
    <row r="23800">
      <c r="B23800" t="str">
        <v>Công an thị trấn Đông Phú  tỉnh Quảng Nam</v>
      </c>
      <c r="C23800" t="str">
        <v>-</v>
      </c>
      <c r="D23800" t="str">
        <v>-</v>
      </c>
      <c r="E23800" t="str">
        <v/>
      </c>
      <c r="F23800" t="str">
        <v>-</v>
      </c>
      <c r="G23800" t="str">
        <v>-</v>
      </c>
    </row>
    <row r="23801">
      <c r="B23801" t="str">
        <v>UBND Ủy ban nhân dân thị trấn Đông Phú  tỉnh Quảng Nam</v>
      </c>
      <c r="C23801" t="str">
        <v>-</v>
      </c>
      <c r="D23801" t="str">
        <v>-</v>
      </c>
      <c r="E23801" t="str">
        <v>-</v>
      </c>
      <c r="F23801" t="str">
        <v>-</v>
      </c>
      <c r="G23801" t="str">
        <v>-</v>
      </c>
    </row>
    <row r="23802">
      <c r="B23802" t="str">
        <v>Công an thị trấn Thạnh Mỹ  tỉnh Quảng Nam</v>
      </c>
      <c r="C23802" t="str">
        <v>-</v>
      </c>
      <c r="D23802" t="str">
        <v>-</v>
      </c>
      <c r="E23802" t="str">
        <v/>
      </c>
      <c r="F23802" t="str">
        <v>-</v>
      </c>
      <c r="G23802" t="str">
        <v>-</v>
      </c>
    </row>
    <row r="23803">
      <c r="B23803" t="str">
        <v>UBND Ủy ban nhân dân thị trấn Thạnh Mỹ  tỉnh Quảng Nam</v>
      </c>
      <c r="C23803" t="str">
        <v>-</v>
      </c>
      <c r="D23803" t="str">
        <v>-</v>
      </c>
      <c r="E23803" t="str">
        <v>-</v>
      </c>
      <c r="F23803" t="str">
        <v>-</v>
      </c>
      <c r="G23803" t="str">
        <v>-</v>
      </c>
    </row>
    <row r="23804">
      <c r="B23804" t="str">
        <v>Công an thị trấn Khâm Đức  tỉnh Quảng Nam</v>
      </c>
      <c r="C23804" t="str">
        <v>-</v>
      </c>
      <c r="D23804" t="str">
        <v>-</v>
      </c>
      <c r="E23804" t="str">
        <v/>
      </c>
      <c r="F23804" t="str">
        <v>-</v>
      </c>
      <c r="G23804" t="str">
        <v>-</v>
      </c>
    </row>
    <row r="23805">
      <c r="B23805" t="str">
        <v>UBND Ủy ban nhân dân thị trấn Khâm Đức  tỉnh Quảng Nam</v>
      </c>
      <c r="C23805" t="str">
        <v>-</v>
      </c>
      <c r="D23805" t="str">
        <v>-</v>
      </c>
      <c r="E23805" t="str">
        <v>-</v>
      </c>
      <c r="F23805" t="str">
        <v>-</v>
      </c>
      <c r="G23805" t="str">
        <v>-</v>
      </c>
    </row>
    <row r="23806">
      <c r="B23806" t="str">
        <v>Công an thị trấn Tân An  tỉnh Quảng Nam</v>
      </c>
      <c r="C23806" t="str">
        <v>-</v>
      </c>
      <c r="D23806" t="str">
        <v>-</v>
      </c>
      <c r="E23806" t="str">
        <v/>
      </c>
      <c r="F23806" t="str">
        <v>-</v>
      </c>
      <c r="G23806" t="str">
        <v>-</v>
      </c>
    </row>
    <row r="23807">
      <c r="B23807" t="str">
        <v>UBND Ủy ban nhân dân thị trấn Tân An  tỉnh Quảng Nam</v>
      </c>
      <c r="C23807" t="str">
        <v>-</v>
      </c>
      <c r="D23807" t="str">
        <v>-</v>
      </c>
      <c r="E23807" t="str">
        <v>-</v>
      </c>
      <c r="F23807" t="str">
        <v>-</v>
      </c>
      <c r="G23807" t="str">
        <v>-</v>
      </c>
    </row>
    <row r="23808">
      <c r="B23808" t="str">
        <v>Công an thị trấn Hà Lam  tỉnh Quảng Nam</v>
      </c>
      <c r="C23808" t="str">
        <v>-</v>
      </c>
      <c r="D23808" t="str">
        <v>-</v>
      </c>
      <c r="E23808" t="str">
        <v/>
      </c>
      <c r="F23808" t="str">
        <v>-</v>
      </c>
      <c r="G23808" t="str">
        <v>-</v>
      </c>
    </row>
    <row r="23809">
      <c r="B23809" t="str">
        <v>UBND Ủy ban nhân dân thị trấn Hà Lam  tỉnh Quảng Nam</v>
      </c>
      <c r="C23809" t="str">
        <v>-</v>
      </c>
      <c r="D23809" t="str">
        <v>-</v>
      </c>
      <c r="E23809" t="str">
        <v>-</v>
      </c>
      <c r="F23809" t="str">
        <v>-</v>
      </c>
      <c r="G23809" t="str">
        <v>-</v>
      </c>
    </row>
    <row r="23810">
      <c r="B23810" t="str">
        <v>Công an thị trấn Tiên Kỳ  tỉnh Quảng Nam</v>
      </c>
      <c r="C23810" t="str">
        <v>-</v>
      </c>
      <c r="D23810" t="str">
        <v>-</v>
      </c>
      <c r="E23810" t="str">
        <v/>
      </c>
      <c r="F23810" t="str">
        <v>-</v>
      </c>
      <c r="G23810" t="str">
        <v>-</v>
      </c>
    </row>
    <row r="23811">
      <c r="B23811" t="str">
        <v>UBND Ủy ban nhân dân thị trấn Tiên Kỳ  tỉnh Quảng Nam</v>
      </c>
      <c r="C23811" t="str">
        <v>-</v>
      </c>
      <c r="D23811" t="str">
        <v>-</v>
      </c>
      <c r="E23811" t="str">
        <v>-</v>
      </c>
      <c r="F23811" t="str">
        <v>-</v>
      </c>
      <c r="G23811" t="str">
        <v>-</v>
      </c>
    </row>
    <row r="23812">
      <c r="B23812" t="str">
        <v>Công an thị trấn Trà My  tỉnh Quảng Nam</v>
      </c>
      <c r="C23812" t="str">
        <v>-</v>
      </c>
      <c r="D23812" t="str">
        <v>-</v>
      </c>
      <c r="E23812" t="str">
        <v/>
      </c>
      <c r="F23812" t="str">
        <v>-</v>
      </c>
      <c r="G23812" t="str">
        <v>-</v>
      </c>
    </row>
    <row r="23813">
      <c r="B23813" t="str">
        <v>UBND Ủy ban nhân dân thị trấn Trà My  tỉnh Quảng Nam</v>
      </c>
      <c r="C23813" t="str">
        <v>-</v>
      </c>
      <c r="D23813" t="str">
        <v>-</v>
      </c>
      <c r="E23813" t="str">
        <v>-</v>
      </c>
      <c r="F23813" t="str">
        <v>-</v>
      </c>
      <c r="G23813" t="str">
        <v>-</v>
      </c>
    </row>
    <row r="23814">
      <c r="B23814" t="str">
        <v>Công an thị trấn Núi Thành  tỉnh Quảng Nam</v>
      </c>
      <c r="C23814" t="str">
        <v>-</v>
      </c>
      <c r="D23814" t="str">
        <v>-</v>
      </c>
      <c r="E23814" t="str">
        <v/>
      </c>
      <c r="F23814" t="str">
        <v>-</v>
      </c>
      <c r="G23814" t="str">
        <v>-</v>
      </c>
    </row>
    <row r="23815">
      <c r="B23815" t="str">
        <v>UBND Ủy ban nhân dân thị trấn Núi Thành  tỉnh Quảng Nam</v>
      </c>
      <c r="C23815" t="str">
        <v>-</v>
      </c>
      <c r="D23815" t="str">
        <v>-</v>
      </c>
      <c r="E23815" t="str">
        <v>-</v>
      </c>
      <c r="F23815" t="str">
        <v>-</v>
      </c>
      <c r="G23815" t="str">
        <v>-</v>
      </c>
    </row>
    <row r="23816">
      <c r="B23816" t="str">
        <v>Công an thị trấn Phú Thịnh  tỉnh Quảng Nam</v>
      </c>
      <c r="C23816" t="str">
        <v>-</v>
      </c>
      <c r="D23816" t="str">
        <v>-</v>
      </c>
      <c r="E23816" t="str">
        <v/>
      </c>
      <c r="F23816" t="str">
        <v>-</v>
      </c>
      <c r="G23816" t="str">
        <v>-</v>
      </c>
    </row>
    <row r="23817">
      <c r="B23817" t="str">
        <v>UBND Ủy ban nhân dân thị trấn Phú Thịnh  tỉnh Quảng Nam</v>
      </c>
      <c r="C23817" t="str">
        <v>-</v>
      </c>
      <c r="D23817" t="str">
        <v>-</v>
      </c>
      <c r="E23817" t="str">
        <v>-</v>
      </c>
      <c r="F23817" t="str">
        <v>-</v>
      </c>
      <c r="G23817" t="str">
        <v>-</v>
      </c>
    </row>
    <row r="23818">
      <c r="B23818" t="str">
        <v>Công an thị trấn Châu Ổ  tỉnh Quảng Ngãi</v>
      </c>
      <c r="C23818" t="str">
        <v>-</v>
      </c>
      <c r="D23818" t="str">
        <v>-</v>
      </c>
      <c r="E23818" t="str">
        <v/>
      </c>
      <c r="F23818" t="str">
        <v>-</v>
      </c>
      <c r="G23818" t="str">
        <v>-</v>
      </c>
    </row>
    <row r="23819">
      <c r="B23819" t="str">
        <v>UBND Ủy ban nhân dân thị trấn Châu Ổ  tỉnh Quảng Ngãi</v>
      </c>
      <c r="C23819" t="str">
        <v>-</v>
      </c>
      <c r="D23819" t="str">
        <v>-</v>
      </c>
      <c r="E23819" t="str">
        <v>-</v>
      </c>
      <c r="F23819" t="str">
        <v>-</v>
      </c>
      <c r="G23819" t="str">
        <v>-</v>
      </c>
    </row>
    <row r="23820">
      <c r="B23820" t="str">
        <v>Công an thị trấn Trà Xuân  tỉnh Quảng Ngãi</v>
      </c>
      <c r="C23820" t="str">
        <v>-</v>
      </c>
      <c r="D23820" t="str">
        <v>-</v>
      </c>
      <c r="E23820" t="str">
        <v/>
      </c>
      <c r="F23820" t="str">
        <v>-</v>
      </c>
      <c r="G23820" t="str">
        <v>-</v>
      </c>
    </row>
    <row r="23821">
      <c r="B23821" t="str">
        <v>UBND Ủy ban nhân dân thị trấn Trà Xuân  tỉnh Quảng Ngãi</v>
      </c>
      <c r="C23821" t="str">
        <v>-</v>
      </c>
      <c r="D23821" t="str">
        <v>-</v>
      </c>
      <c r="E23821" t="str">
        <v>-</v>
      </c>
      <c r="F23821" t="str">
        <v>-</v>
      </c>
      <c r="G23821" t="str">
        <v>-</v>
      </c>
    </row>
    <row r="23822">
      <c r="B23822" t="str">
        <v>Công an thị trấn La Hà  tỉnh Quảng Ngãi</v>
      </c>
      <c r="C23822" t="str">
        <v>-</v>
      </c>
      <c r="D23822" t="str">
        <v>-</v>
      </c>
      <c r="E23822" t="str">
        <v/>
      </c>
      <c r="F23822" t="str">
        <v>-</v>
      </c>
      <c r="G23822" t="str">
        <v>-</v>
      </c>
    </row>
    <row r="23823">
      <c r="B23823" t="str">
        <v>UBND Ủy ban nhân dân thị trấn La Hà  tỉnh Quảng Ngãi</v>
      </c>
      <c r="C23823" t="str">
        <v>-</v>
      </c>
      <c r="D23823" t="str">
        <v>-</v>
      </c>
      <c r="E23823" t="str">
        <v>-</v>
      </c>
      <c r="F23823" t="str">
        <v>-</v>
      </c>
      <c r="G23823" t="str">
        <v>-</v>
      </c>
    </row>
    <row r="23824">
      <c r="B23824" t="str">
        <v>Công an thị trấn Sông Vệ  tỉnh Quảng Ngãi</v>
      </c>
      <c r="C23824" t="str">
        <v>-</v>
      </c>
      <c r="D23824" t="str">
        <v>-</v>
      </c>
      <c r="E23824" t="str">
        <v/>
      </c>
      <c r="F23824" t="str">
        <v>-</v>
      </c>
      <c r="G23824" t="str">
        <v>-</v>
      </c>
    </row>
    <row r="23825">
      <c r="B23825" t="str">
        <v>UBND Ủy ban nhân dân thị trấn Sông Vệ  tỉnh Quảng Ngãi</v>
      </c>
      <c r="C23825" t="str">
        <v>-</v>
      </c>
      <c r="D23825" t="str">
        <v>-</v>
      </c>
      <c r="E23825" t="str">
        <v>-</v>
      </c>
      <c r="F23825" t="str">
        <v>-</v>
      </c>
      <c r="G23825" t="str">
        <v>-</v>
      </c>
    </row>
    <row r="23826">
      <c r="B23826" t="str">
        <v>Công an thị trấn Di Lăng  tỉnh Quảng Ngãi</v>
      </c>
      <c r="C23826" t="str">
        <v>-</v>
      </c>
      <c r="D23826" t="str">
        <v>-</v>
      </c>
      <c r="E23826" t="str">
        <v/>
      </c>
      <c r="F23826" t="str">
        <v>-</v>
      </c>
      <c r="G23826" t="str">
        <v>-</v>
      </c>
    </row>
    <row r="23827">
      <c r="B23827" t="str">
        <v>UBND Ủy ban nhân dân thị trấn Di Lăng  tỉnh Quảng Ngãi</v>
      </c>
      <c r="C23827" t="str">
        <v>-</v>
      </c>
      <c r="D23827" t="str">
        <v>-</v>
      </c>
      <c r="E23827" t="str">
        <v>-</v>
      </c>
      <c r="F23827" t="str">
        <v>-</v>
      </c>
      <c r="G23827" t="str">
        <v>-</v>
      </c>
    </row>
    <row r="23828">
      <c r="B23828" t="str">
        <v>Công an thị trấn Chợ Chùa  tỉnh Quảng Ngãi</v>
      </c>
      <c r="C23828" t="str">
        <v>-</v>
      </c>
      <c r="D23828" t="str">
        <v>-</v>
      </c>
      <c r="E23828" t="str">
        <v/>
      </c>
      <c r="F23828" t="str">
        <v>-</v>
      </c>
      <c r="G23828" t="str">
        <v>-</v>
      </c>
    </row>
    <row r="23829">
      <c r="B23829" t="str">
        <v>UBND Ủy ban nhân dân thị trấn Chợ Chùa  tỉnh Quảng Ngãi</v>
      </c>
      <c r="C23829" t="str">
        <v>-</v>
      </c>
      <c r="D23829" t="str">
        <v>-</v>
      </c>
      <c r="E23829" t="str">
        <v>-</v>
      </c>
      <c r="F23829" t="str">
        <v>-</v>
      </c>
      <c r="G23829" t="str">
        <v>-</v>
      </c>
    </row>
    <row r="23830">
      <c r="B23830" t="str">
        <v>Công an thị trấn Mộ Đức  tỉnh Quảng Ngãi</v>
      </c>
      <c r="C23830" t="str">
        <v>-</v>
      </c>
      <c r="D23830" t="str">
        <v>-</v>
      </c>
      <c r="E23830" t="str">
        <v/>
      </c>
      <c r="F23830" t="str">
        <v>-</v>
      </c>
      <c r="G23830" t="str">
        <v>-</v>
      </c>
    </row>
    <row r="23831">
      <c r="B23831" t="str">
        <v>UBND Ủy ban nhân dân thị trấn Mộ Đức  tỉnh Quảng Ngãi</v>
      </c>
      <c r="C23831" t="str">
        <v>-</v>
      </c>
      <c r="D23831" t="str">
        <v>-</v>
      </c>
      <c r="E23831" t="str">
        <v>-</v>
      </c>
      <c r="F23831" t="str">
        <v>-</v>
      </c>
      <c r="G23831" t="str">
        <v>-</v>
      </c>
    </row>
    <row r="23832">
      <c r="B23832" t="str">
        <v>Công an thị trấn Đức Phổ  tỉnh Quảng Ngãi</v>
      </c>
      <c r="C23832" t="str">
        <v>-</v>
      </c>
      <c r="D23832" t="str">
        <v>-</v>
      </c>
      <c r="E23832" t="str">
        <v/>
      </c>
      <c r="F23832" t="str">
        <v>-</v>
      </c>
      <c r="G23832" t="str">
        <v>-</v>
      </c>
    </row>
    <row r="23833">
      <c r="B23833" t="str">
        <v>UBND Ủy ban nhân dân thị trấn Đức Phổ  tỉnh Quảng Ngãi</v>
      </c>
      <c r="C23833" t="str">
        <v>-</v>
      </c>
      <c r="D23833" t="str">
        <v>-</v>
      </c>
      <c r="E23833" t="str">
        <v>-</v>
      </c>
      <c r="F23833" t="str">
        <v>-</v>
      </c>
      <c r="G23833" t="str">
        <v>-</v>
      </c>
    </row>
    <row r="23834">
      <c r="B23834" t="str">
        <v>Công an thị trấn Ba Tơ  tỉnh Quảng Ngãi</v>
      </c>
      <c r="C23834" t="str">
        <v>-</v>
      </c>
      <c r="D23834" t="str">
        <v>-</v>
      </c>
      <c r="E23834" t="str">
        <v/>
      </c>
      <c r="F23834" t="str">
        <v>-</v>
      </c>
      <c r="G23834" t="str">
        <v>-</v>
      </c>
    </row>
    <row r="23835">
      <c r="B23835" t="str">
        <v>UBND Ủy ban nhân dân thị trấn Ba Tơ  tỉnh Quảng Ngãi</v>
      </c>
      <c r="C23835" t="str">
        <v>-</v>
      </c>
      <c r="D23835" t="str">
        <v>-</v>
      </c>
      <c r="E23835" t="str">
        <v>-</v>
      </c>
      <c r="F23835" t="str">
        <v>-</v>
      </c>
      <c r="G23835" t="str">
        <v>-</v>
      </c>
    </row>
    <row r="23836">
      <c r="B23836" t="str">
        <v>Công an thị trấn An Lão  tỉnh Bình Định</v>
      </c>
      <c r="C23836" t="str">
        <v>-</v>
      </c>
      <c r="D23836" t="str">
        <v>-</v>
      </c>
      <c r="E23836" t="str">
        <v/>
      </c>
      <c r="F23836" t="str">
        <v>-</v>
      </c>
      <c r="G23836" t="str">
        <v>-</v>
      </c>
    </row>
    <row r="23837">
      <c r="B23837" t="str">
        <v>UBND Ủy ban nhân dân thị trấn An Lão  tỉnh Bình Định</v>
      </c>
      <c r="C23837" t="str">
        <v>-</v>
      </c>
      <c r="D23837" t="str">
        <v>-</v>
      </c>
      <c r="E23837" t="str">
        <v>-</v>
      </c>
      <c r="F23837" t="str">
        <v>-</v>
      </c>
      <c r="G23837" t="str">
        <v>-</v>
      </c>
    </row>
    <row r="23838">
      <c r="B23838" t="str">
        <v>Công an thị trấn  Tam Quan  tỉnh Bình Định</v>
      </c>
      <c r="C23838" t="str">
        <v>-</v>
      </c>
      <c r="D23838" t="str">
        <v>-</v>
      </c>
      <c r="E23838" t="str">
        <v/>
      </c>
      <c r="F23838" t="str">
        <v>-</v>
      </c>
      <c r="G23838" t="str">
        <v>-</v>
      </c>
    </row>
    <row r="23839">
      <c r="B23839" t="str">
        <v>UBND Ủy ban nhân dân thị trấn  Tam Quan  tỉnh Bình Định</v>
      </c>
      <c r="C23839" t="str">
        <v>-</v>
      </c>
      <c r="D23839" t="str">
        <v>-</v>
      </c>
      <c r="E23839" t="str">
        <v>-</v>
      </c>
      <c r="F23839" t="str">
        <v>-</v>
      </c>
      <c r="G23839" t="str">
        <v>-</v>
      </c>
    </row>
    <row r="23840">
      <c r="B23840" t="str">
        <v>Công an thị trấn Bồng Sơn  tỉnh Bình Định</v>
      </c>
      <c r="C23840" t="str">
        <v>-</v>
      </c>
      <c r="D23840" t="str">
        <v>-</v>
      </c>
      <c r="E23840" t="str">
        <v/>
      </c>
      <c r="F23840" t="str">
        <v>-</v>
      </c>
      <c r="G23840" t="str">
        <v>-</v>
      </c>
    </row>
    <row r="23841">
      <c r="B23841" t="str">
        <v>UBND Ủy ban nhân dân thị trấn Bồng Sơn  tỉnh Bình Định</v>
      </c>
      <c r="C23841" t="str">
        <v>-</v>
      </c>
      <c r="D23841" t="str">
        <v>-</v>
      </c>
      <c r="E23841" t="str">
        <v>-</v>
      </c>
      <c r="F23841" t="str">
        <v>-</v>
      </c>
      <c r="G23841" t="str">
        <v>-</v>
      </c>
    </row>
    <row r="23842">
      <c r="B23842" t="str">
        <v>Công an thị trấn Tăng Bạt Hổ  tỉnh Bình Định</v>
      </c>
      <c r="C23842" t="str">
        <v>-</v>
      </c>
      <c r="D23842" t="str">
        <v>-</v>
      </c>
      <c r="E23842" t="str">
        <v/>
      </c>
      <c r="F23842" t="str">
        <v>-</v>
      </c>
      <c r="G23842" t="str">
        <v>-</v>
      </c>
    </row>
    <row r="23843">
      <c r="B23843" t="str">
        <v>UBND Ủy ban nhân dân thị trấn Tăng Bạt Hổ  tỉnh Bình Định</v>
      </c>
      <c r="C23843" t="str">
        <v>-</v>
      </c>
      <c r="D23843" t="str">
        <v>-</v>
      </c>
      <c r="E23843" t="str">
        <v>-</v>
      </c>
      <c r="F23843" t="str">
        <v>-</v>
      </c>
      <c r="G23843" t="str">
        <v>-</v>
      </c>
    </row>
    <row r="23844">
      <c r="B23844" t="str">
        <v>Công an thị trấn Phù Mỹ  tỉnh Bình Định</v>
      </c>
      <c r="C23844" t="str">
        <v>-</v>
      </c>
      <c r="D23844" t="str">
        <v>-</v>
      </c>
      <c r="E23844" t="str">
        <v/>
      </c>
      <c r="F23844" t="str">
        <v>-</v>
      </c>
      <c r="G23844" t="str">
        <v>-</v>
      </c>
    </row>
    <row r="23845">
      <c r="B23845" t="str">
        <v>UBND Ủy ban nhân dân thị trấn Phù Mỹ  tỉnh Bình Định</v>
      </c>
      <c r="C23845" t="str">
        <v>-</v>
      </c>
      <c r="D23845" t="str">
        <v>-</v>
      </c>
      <c r="E23845" t="str">
        <v>-</v>
      </c>
      <c r="F23845" t="str">
        <v>-</v>
      </c>
      <c r="G23845" t="str">
        <v>-</v>
      </c>
    </row>
    <row r="23846">
      <c r="B23846" t="str">
        <v>Công an thị trấn Bình Dương  tỉnh Bình Định</v>
      </c>
      <c r="C23846" t="str">
        <v>-</v>
      </c>
      <c r="D23846" t="str">
        <v>-</v>
      </c>
      <c r="E23846" t="str">
        <v/>
      </c>
      <c r="F23846" t="str">
        <v>-</v>
      </c>
      <c r="G23846" t="str">
        <v>-</v>
      </c>
    </row>
    <row r="23847">
      <c r="B23847" t="str">
        <v>UBND Ủy ban nhân dân thị trấn Bình Dương  tỉnh Bình Định</v>
      </c>
      <c r="C23847" t="str">
        <v>-</v>
      </c>
      <c r="D23847" t="str">
        <v>-</v>
      </c>
      <c r="E23847" t="str">
        <v>-</v>
      </c>
      <c r="F23847" t="str">
        <v>-</v>
      </c>
      <c r="G23847" t="str">
        <v>-</v>
      </c>
    </row>
    <row r="23848">
      <c r="B23848" t="str">
        <v>Công an thị trấn Vĩnh Thạnh  tỉnh Bình Định</v>
      </c>
      <c r="C23848" t="str">
        <v>-</v>
      </c>
      <c r="D23848" t="str">
        <v>-</v>
      </c>
      <c r="E23848" t="str">
        <v/>
      </c>
      <c r="F23848" t="str">
        <v>-</v>
      </c>
      <c r="G23848" t="str">
        <v>-</v>
      </c>
    </row>
    <row r="23849">
      <c r="B23849" t="str">
        <v>UBND Ủy ban nhân dân thị trấn Vĩnh Thạnh  tỉnh Bình Định</v>
      </c>
      <c r="C23849" t="str">
        <v>-</v>
      </c>
      <c r="D23849" t="str">
        <v>-</v>
      </c>
      <c r="E23849" t="str">
        <v>-</v>
      </c>
      <c r="F23849" t="str">
        <v>-</v>
      </c>
      <c r="G23849" t="str">
        <v>-</v>
      </c>
    </row>
    <row r="23850">
      <c r="B23850" t="str">
        <v>Công an thị trấn Phú Phong  tỉnh Bình Định</v>
      </c>
      <c r="C23850" t="str">
        <v>-</v>
      </c>
      <c r="D23850" t="str">
        <v>-</v>
      </c>
      <c r="E23850" t="str">
        <v/>
      </c>
      <c r="F23850" t="str">
        <v>-</v>
      </c>
      <c r="G23850" t="str">
        <v>-</v>
      </c>
    </row>
    <row r="23851">
      <c r="B23851" t="str">
        <v>UBND Ủy ban nhân dân thị trấn Phú Phong  tỉnh Bình Định</v>
      </c>
      <c r="C23851" t="str">
        <v>-</v>
      </c>
      <c r="D23851" t="str">
        <v>-</v>
      </c>
      <c r="E23851" t="str">
        <v>-</v>
      </c>
      <c r="F23851" t="str">
        <v>-</v>
      </c>
      <c r="G23851" t="str">
        <v>-</v>
      </c>
    </row>
    <row r="23852">
      <c r="B23852" t="str">
        <v>Công an thị trấn Ngô Mây  tỉnh Bình Định</v>
      </c>
      <c r="C23852" t="str">
        <v>-</v>
      </c>
      <c r="D23852" t="str">
        <v>-</v>
      </c>
      <c r="E23852" t="str">
        <v/>
      </c>
      <c r="F23852" t="str">
        <v>-</v>
      </c>
      <c r="G23852" t="str">
        <v>-</v>
      </c>
    </row>
    <row r="23853">
      <c r="B23853" t="str">
        <v>UBND Ủy ban nhân dân thị trấn Ngô Mây  tỉnh Bình Định</v>
      </c>
      <c r="C23853" t="str">
        <v>-</v>
      </c>
      <c r="D23853" t="str">
        <v>-</v>
      </c>
      <c r="E23853" t="str">
        <v>-</v>
      </c>
      <c r="F23853" t="str">
        <v>-</v>
      </c>
      <c r="G23853" t="str">
        <v>-</v>
      </c>
    </row>
    <row r="23854">
      <c r="B23854" t="str">
        <v>Công an thị trấn Tuy Phước  tỉnh Bình Định</v>
      </c>
      <c r="C23854" t="str">
        <v>-</v>
      </c>
      <c r="D23854" t="str">
        <v>-</v>
      </c>
      <c r="E23854" t="str">
        <v/>
      </c>
      <c r="F23854" t="str">
        <v>-</v>
      </c>
      <c r="G23854" t="str">
        <v>-</v>
      </c>
    </row>
    <row r="23855">
      <c r="B23855" t="str">
        <v>UBND Ủy ban nhân dân thị trấn Tuy Phước  tỉnh Bình Định</v>
      </c>
      <c r="C23855" t="str">
        <v>-</v>
      </c>
      <c r="D23855" t="str">
        <v>-</v>
      </c>
      <c r="E23855" t="str">
        <v>-</v>
      </c>
      <c r="F23855" t="str">
        <v>-</v>
      </c>
      <c r="G23855" t="str">
        <v>-</v>
      </c>
    </row>
    <row r="23856">
      <c r="B23856" t="str">
        <v>Công an thị trấn Diêu Trì  tỉnh Bình Định</v>
      </c>
      <c r="C23856" t="str">
        <v>-</v>
      </c>
      <c r="D23856" t="str">
        <v>-</v>
      </c>
      <c r="E23856" t="str">
        <v/>
      </c>
      <c r="F23856" t="str">
        <v>-</v>
      </c>
      <c r="G23856" t="str">
        <v>-</v>
      </c>
    </row>
    <row r="23857">
      <c r="B23857" t="str">
        <v>UBND Ủy ban nhân dân thị trấn Diêu Trì  tỉnh Bình Định</v>
      </c>
      <c r="C23857" t="str">
        <v>-</v>
      </c>
      <c r="D23857" t="str">
        <v>-</v>
      </c>
      <c r="E23857" t="str">
        <v>-</v>
      </c>
      <c r="F23857" t="str">
        <v>-</v>
      </c>
      <c r="G23857" t="str">
        <v>-</v>
      </c>
    </row>
    <row r="23858">
      <c r="B23858" t="str">
        <v>Công an thị trấn Vân Canh  tỉnh Bình Định</v>
      </c>
      <c r="C23858" t="str">
        <v>-</v>
      </c>
      <c r="D23858" t="str">
        <v>-</v>
      </c>
      <c r="E23858" t="str">
        <v/>
      </c>
      <c r="F23858" t="str">
        <v>-</v>
      </c>
      <c r="G23858" t="str">
        <v>-</v>
      </c>
    </row>
    <row r="23859">
      <c r="B23859" t="str">
        <v>UBND Ủy ban nhân dân thị trấn Vân Canh  tỉnh Bình Định</v>
      </c>
      <c r="C23859" t="str">
        <v>-</v>
      </c>
      <c r="D23859" t="str">
        <v>-</v>
      </c>
      <c r="E23859" t="str">
        <v>-</v>
      </c>
      <c r="F23859" t="str">
        <v>-</v>
      </c>
      <c r="G23859" t="str">
        <v>-</v>
      </c>
    </row>
    <row r="23860">
      <c r="B23860" t="str">
        <v>Công an thị trấn La Hai  tỉnh Phú Yên</v>
      </c>
      <c r="C23860" t="str">
        <v>-</v>
      </c>
      <c r="D23860" t="str">
        <v>-</v>
      </c>
      <c r="E23860" t="str">
        <v/>
      </c>
      <c r="F23860" t="str">
        <v>-</v>
      </c>
      <c r="G23860" t="str">
        <v>-</v>
      </c>
    </row>
    <row r="23861">
      <c r="B23861" t="str">
        <v>UBND Ủy ban nhân dân thị trấn La Hai  tỉnh Phú Yên</v>
      </c>
      <c r="C23861" t="str">
        <v>-</v>
      </c>
      <c r="D23861" t="str">
        <v>-</v>
      </c>
      <c r="E23861" t="str">
        <v>-</v>
      </c>
      <c r="F23861" t="str">
        <v>-</v>
      </c>
      <c r="G23861" t="str">
        <v>-</v>
      </c>
    </row>
    <row r="23862">
      <c r="B23862" t="str">
        <v>Công an thị trấn Chí Thạnh  tỉnh Phú Yên</v>
      </c>
      <c r="C23862" t="str">
        <v>-</v>
      </c>
      <c r="D23862" t="str">
        <v>-</v>
      </c>
      <c r="E23862" t="str">
        <v/>
      </c>
      <c r="F23862" t="str">
        <v>-</v>
      </c>
      <c r="G23862" t="str">
        <v>-</v>
      </c>
    </row>
    <row r="23863">
      <c r="B23863" t="str">
        <v>UBND Ủy ban nhân dân thị trấn Chí Thạnh  tỉnh Phú Yên</v>
      </c>
      <c r="C23863" t="str">
        <v>-</v>
      </c>
      <c r="D23863" t="str">
        <v>-</v>
      </c>
      <c r="E23863" t="str">
        <v>-</v>
      </c>
      <c r="F23863" t="str">
        <v>-</v>
      </c>
      <c r="G23863" t="str">
        <v>-</v>
      </c>
    </row>
    <row r="23864">
      <c r="B23864" t="str">
        <v>Công an thị trấn Củng Sơn  tỉnh Phú Yên</v>
      </c>
      <c r="C23864" t="str">
        <v>-</v>
      </c>
      <c r="D23864" t="str">
        <v>-</v>
      </c>
      <c r="E23864" t="str">
        <v/>
      </c>
      <c r="F23864" t="str">
        <v>-</v>
      </c>
      <c r="G23864" t="str">
        <v>-</v>
      </c>
    </row>
    <row r="23865">
      <c r="B23865" t="str">
        <v>UBND Ủy ban nhân dân thị trấn Củng Sơn  tỉnh Phú Yên</v>
      </c>
      <c r="C23865" t="str">
        <v>-</v>
      </c>
      <c r="D23865" t="str">
        <v>-</v>
      </c>
      <c r="E23865" t="str">
        <v>-</v>
      </c>
      <c r="F23865" t="str">
        <v>-</v>
      </c>
      <c r="G23865" t="str">
        <v>-</v>
      </c>
    </row>
    <row r="23866">
      <c r="B23866" t="str">
        <v>Công an thị trấn Hai Riêng  tỉnh Phú Yên</v>
      </c>
      <c r="C23866" t="str">
        <v>-</v>
      </c>
      <c r="D23866" t="str">
        <v>-</v>
      </c>
      <c r="E23866" t="str">
        <v/>
      </c>
      <c r="F23866" t="str">
        <v>-</v>
      </c>
      <c r="G23866" t="str">
        <v>-</v>
      </c>
    </row>
    <row r="23867">
      <c r="B23867" t="str">
        <v>UBND Ủy ban nhân dân thị trấn Hai Riêng  tỉnh Phú Yên</v>
      </c>
      <c r="C23867" t="str">
        <v>-</v>
      </c>
      <c r="D23867" t="str">
        <v>-</v>
      </c>
      <c r="E23867" t="str">
        <v>-</v>
      </c>
      <c r="F23867" t="str">
        <v>-</v>
      </c>
      <c r="G23867" t="str">
        <v>-</v>
      </c>
    </row>
    <row r="23868">
      <c r="B23868" t="str">
        <v>Công an thị trấn Phú Thứ  tỉnh Phú Yên</v>
      </c>
      <c r="C23868" t="str">
        <v>-</v>
      </c>
      <c r="D23868" t="str">
        <v>-</v>
      </c>
      <c r="E23868" t="str">
        <v/>
      </c>
      <c r="F23868" t="str">
        <v>-</v>
      </c>
      <c r="G23868" t="str">
        <v>-</v>
      </c>
    </row>
    <row r="23869">
      <c r="B23869" t="str">
        <v>UBND Ủy ban nhân dân thị trấn Phú Thứ  tỉnh Phú Yên</v>
      </c>
      <c r="C23869" t="str">
        <v>-</v>
      </c>
      <c r="D23869" t="str">
        <v>-</v>
      </c>
      <c r="E23869" t="str">
        <v>-</v>
      </c>
      <c r="F23869" t="str">
        <v>-</v>
      </c>
      <c r="G23869" t="str">
        <v>-</v>
      </c>
    </row>
    <row r="23870">
      <c r="B23870" t="str">
        <v>Công an thị trấn Phú Hoà  tỉnh Phú Yên</v>
      </c>
      <c r="C23870" t="str">
        <v>-</v>
      </c>
      <c r="D23870" t="str">
        <v>-</v>
      </c>
      <c r="E23870" t="str">
        <v/>
      </c>
      <c r="F23870" t="str">
        <v>-</v>
      </c>
      <c r="G23870" t="str">
        <v>-</v>
      </c>
    </row>
    <row r="23871">
      <c r="B23871" t="str">
        <v>UBND Ủy ban nhân dân thị trấn Phú Hoà  tỉnh Phú Yên</v>
      </c>
      <c r="C23871" t="str">
        <v>-</v>
      </c>
      <c r="D23871" t="str">
        <v>-</v>
      </c>
      <c r="E23871" t="str">
        <v>-</v>
      </c>
      <c r="F23871" t="str">
        <v>-</v>
      </c>
      <c r="G23871" t="str">
        <v>-</v>
      </c>
    </row>
    <row r="23872">
      <c r="B23872" t="str">
        <v>Công an thị trấn Hoà Vinh  tỉnh Phú Yên</v>
      </c>
      <c r="C23872" t="str">
        <v>-</v>
      </c>
      <c r="D23872" t="str">
        <v>-</v>
      </c>
      <c r="E23872" t="str">
        <v/>
      </c>
      <c r="F23872" t="str">
        <v>-</v>
      </c>
      <c r="G23872" t="str">
        <v>-</v>
      </c>
    </row>
    <row r="23873">
      <c r="B23873" t="str">
        <v>UBND Ủy ban nhân dân thị trấn Hoà Vinh  tỉnh Phú Yên</v>
      </c>
      <c r="C23873" t="str">
        <v>-</v>
      </c>
      <c r="D23873" t="str">
        <v>-</v>
      </c>
      <c r="E23873" t="str">
        <v>-</v>
      </c>
      <c r="F23873" t="str">
        <v>-</v>
      </c>
      <c r="G23873" t="str">
        <v>-</v>
      </c>
    </row>
    <row r="23874">
      <c r="B23874" t="str">
        <v>Công an thị trấn Hoà Hiệp Trung  tỉnh Phú Yên</v>
      </c>
      <c r="C23874" t="str">
        <v>-</v>
      </c>
      <c r="D23874" t="str">
        <v>-</v>
      </c>
      <c r="E23874" t="str">
        <v/>
      </c>
      <c r="F23874" t="str">
        <v>-</v>
      </c>
      <c r="G23874" t="str">
        <v>-</v>
      </c>
    </row>
    <row r="23875">
      <c r="B23875" t="str">
        <v>UBND Ủy ban nhân dân thị trấn Hoà Hiệp Trung  tỉnh Phú Yên</v>
      </c>
      <c r="C23875" t="str">
        <v>-</v>
      </c>
      <c r="D23875" t="str">
        <v>-</v>
      </c>
      <c r="E23875" t="str">
        <v>-</v>
      </c>
      <c r="F23875" t="str">
        <v>-</v>
      </c>
      <c r="G23875" t="str">
        <v>-</v>
      </c>
    </row>
    <row r="23876">
      <c r="B23876" t="str">
        <v>Công an thị trấn Cam Đức  tỉnh Khánh Hòa</v>
      </c>
      <c r="C23876" t="str">
        <v>-</v>
      </c>
      <c r="D23876" t="str">
        <v>-</v>
      </c>
      <c r="E23876" t="str">
        <v/>
      </c>
      <c r="F23876" t="str">
        <v>-</v>
      </c>
      <c r="G23876" t="str">
        <v>-</v>
      </c>
    </row>
    <row r="23877">
      <c r="B23877" t="str">
        <v>UBND Ủy ban nhân dân thị trấn Cam Đức  tỉnh Khánh Hòa</v>
      </c>
      <c r="C23877" t="str">
        <v>-</v>
      </c>
      <c r="D23877" t="str">
        <v>-</v>
      </c>
      <c r="E23877" t="str">
        <v>-</v>
      </c>
      <c r="F23877" t="str">
        <v>-</v>
      </c>
      <c r="G23877" t="str">
        <v>-</v>
      </c>
    </row>
    <row r="23878">
      <c r="B23878" t="str">
        <v>Công an thị trấn Vạn Giã  tỉnh Khánh Hòa</v>
      </c>
      <c r="C23878" t="str">
        <v>-</v>
      </c>
      <c r="D23878" t="str">
        <v>-</v>
      </c>
      <c r="E23878" t="str">
        <v/>
      </c>
      <c r="F23878" t="str">
        <v>-</v>
      </c>
      <c r="G23878" t="str">
        <v>-</v>
      </c>
    </row>
    <row r="23879">
      <c r="B23879" t="str">
        <v>UBND Ủy ban nhân dân thị trấn Vạn Giã  tỉnh Khánh Hòa</v>
      </c>
      <c r="C23879" t="str">
        <v>-</v>
      </c>
      <c r="D23879" t="str">
        <v>-</v>
      </c>
      <c r="E23879" t="str">
        <v>-</v>
      </c>
      <c r="F23879" t="str">
        <v>-</v>
      </c>
      <c r="G23879" t="str">
        <v>-</v>
      </c>
    </row>
    <row r="23880">
      <c r="B23880" t="str">
        <v>Công an thị trấn Khánh Vĩnh  tỉnh Khánh Hòa</v>
      </c>
      <c r="C23880" t="str">
        <v>-</v>
      </c>
      <c r="D23880" t="str">
        <v>-</v>
      </c>
      <c r="E23880" t="str">
        <v/>
      </c>
      <c r="F23880" t="str">
        <v>-</v>
      </c>
      <c r="G23880" t="str">
        <v>-</v>
      </c>
    </row>
    <row r="23881">
      <c r="B23881" t="str">
        <v>UBND Ủy ban nhân dân thị trấn Khánh Vĩnh  tỉnh Khánh Hòa</v>
      </c>
      <c r="C23881" t="str">
        <v>-</v>
      </c>
      <c r="D23881" t="str">
        <v>-</v>
      </c>
      <c r="E23881" t="str">
        <v>-</v>
      </c>
      <c r="F23881" t="str">
        <v>-</v>
      </c>
      <c r="G23881" t="str">
        <v>-</v>
      </c>
    </row>
    <row r="23882">
      <c r="B23882" t="str">
        <v>Công an thị trấn Diên Khánh  tỉnh Khánh Hòa</v>
      </c>
      <c r="C23882" t="str">
        <v>-</v>
      </c>
      <c r="D23882" t="str">
        <v>-</v>
      </c>
      <c r="E23882" t="str">
        <v/>
      </c>
      <c r="F23882" t="str">
        <v>-</v>
      </c>
      <c r="G23882" t="str">
        <v>-</v>
      </c>
    </row>
    <row r="23883">
      <c r="B23883" t="str">
        <v>UBND Ủy ban nhân dân thị trấn Diên Khánh  tỉnh Khánh Hòa</v>
      </c>
      <c r="C23883" t="str">
        <v>-</v>
      </c>
      <c r="D23883" t="str">
        <v>-</v>
      </c>
      <c r="E23883" t="str">
        <v>-</v>
      </c>
      <c r="F23883" t="str">
        <v>-</v>
      </c>
      <c r="G23883" t="str">
        <v>-</v>
      </c>
    </row>
    <row r="23884">
      <c r="B23884" t="str">
        <v>Công an thị trấn Tô Hạp  tỉnh Khánh Hòa</v>
      </c>
      <c r="C23884" t="str">
        <v>-</v>
      </c>
      <c r="D23884" t="str">
        <v>-</v>
      </c>
      <c r="E23884" t="str">
        <v/>
      </c>
      <c r="F23884" t="str">
        <v>-</v>
      </c>
      <c r="G23884" t="str">
        <v>-</v>
      </c>
    </row>
    <row r="23885">
      <c r="B23885" t="str">
        <v>UBND Ủy ban nhân dân thị trấn Tô Hạp  tỉnh Khánh Hòa</v>
      </c>
      <c r="C23885" t="str">
        <v>-</v>
      </c>
      <c r="D23885" t="str">
        <v>-</v>
      </c>
      <c r="E23885" t="str">
        <v>-</v>
      </c>
      <c r="F23885" t="str">
        <v>-</v>
      </c>
      <c r="G23885" t="str">
        <v>-</v>
      </c>
    </row>
    <row r="23886">
      <c r="B23886" t="str">
        <v>Công an thị trấn Trường Sa  tỉnh Khánh Hòa</v>
      </c>
      <c r="C23886" t="str">
        <v>-</v>
      </c>
      <c r="D23886" t="str">
        <v>-</v>
      </c>
      <c r="E23886" t="str">
        <v/>
      </c>
      <c r="F23886" t="str">
        <v>-</v>
      </c>
      <c r="G23886" t="str">
        <v>-</v>
      </c>
    </row>
    <row r="23887">
      <c r="B23887" t="str">
        <v>UBND Ủy ban nhân dân thị trấn Trường Sa  tỉnh Khánh Hòa</v>
      </c>
      <c r="C23887" t="str">
        <v>-</v>
      </c>
      <c r="D23887" t="str">
        <v>-</v>
      </c>
      <c r="E23887" t="str">
        <v>-</v>
      </c>
      <c r="F23887" t="str">
        <v>-</v>
      </c>
      <c r="G23887" t="str">
        <v>-</v>
      </c>
    </row>
    <row r="23888">
      <c r="B23888" t="str">
        <v>Công an thị trấn Tân Sơn  tỉnh Ninh Thuận</v>
      </c>
      <c r="C23888" t="str">
        <v>-</v>
      </c>
      <c r="D23888" t="str">
        <v>-</v>
      </c>
      <c r="E23888" t="str">
        <v/>
      </c>
      <c r="F23888" t="str">
        <v>-</v>
      </c>
      <c r="G23888" t="str">
        <v>-</v>
      </c>
    </row>
    <row r="23889">
      <c r="B23889" t="str">
        <v>UBND Ủy ban nhân dân thị trấn Tân Sơn  tỉnh Ninh Thuận</v>
      </c>
      <c r="C23889" t="str">
        <v>-</v>
      </c>
      <c r="D23889" t="str">
        <v>-</v>
      </c>
      <c r="E23889" t="str">
        <v>-</v>
      </c>
      <c r="F23889" t="str">
        <v>-</v>
      </c>
      <c r="G23889" t="str">
        <v>-</v>
      </c>
    </row>
    <row r="23890">
      <c r="B23890" t="str">
        <v>Công an thị trấn Khánh Hải  tỉnh Ninh Thuận</v>
      </c>
      <c r="C23890" t="str">
        <v>-</v>
      </c>
      <c r="D23890" t="str">
        <v>-</v>
      </c>
      <c r="E23890" t="str">
        <v/>
      </c>
      <c r="F23890" t="str">
        <v>-</v>
      </c>
      <c r="G23890" t="str">
        <v>-</v>
      </c>
    </row>
    <row r="23891">
      <c r="B23891" t="str">
        <v>UBND Ủy ban nhân dân thị trấn Khánh Hải  tỉnh Ninh Thuận</v>
      </c>
      <c r="C23891" t="str">
        <v>-</v>
      </c>
      <c r="D23891" t="str">
        <v>-</v>
      </c>
      <c r="E23891" t="str">
        <v>-</v>
      </c>
      <c r="F23891" t="str">
        <v>-</v>
      </c>
      <c r="G23891" t="str">
        <v>-</v>
      </c>
    </row>
    <row r="23892">
      <c r="B23892" t="str">
        <v>Công an thị trấn Phước Dân  tỉnh Ninh Thuận</v>
      </c>
      <c r="C23892" t="str">
        <v>-</v>
      </c>
      <c r="D23892" t="str">
        <v>-</v>
      </c>
      <c r="E23892" t="str">
        <v/>
      </c>
      <c r="F23892" t="str">
        <v>-</v>
      </c>
      <c r="G23892" t="str">
        <v>-</v>
      </c>
    </row>
    <row r="23893">
      <c r="B23893" t="str">
        <v>UBND Ủy ban nhân dân thị trấn Phước Dân  tỉnh Ninh Thuận</v>
      </c>
      <c r="C23893" t="str">
        <v>-</v>
      </c>
      <c r="D23893" t="str">
        <v>-</v>
      </c>
      <c r="E23893" t="str">
        <v>-</v>
      </c>
      <c r="F23893" t="str">
        <v>-</v>
      </c>
      <c r="G23893" t="str">
        <v>-</v>
      </c>
    </row>
    <row r="23894">
      <c r="B23894" t="str">
        <v>Công an thị trấn Liên Hương  tỉnh Bình Thuận</v>
      </c>
      <c r="C23894" t="str">
        <v>-</v>
      </c>
      <c r="D23894" t="str">
        <v>-</v>
      </c>
      <c r="E23894" t="str">
        <v/>
      </c>
      <c r="F23894" t="str">
        <v>-</v>
      </c>
      <c r="G23894" t="str">
        <v>-</v>
      </c>
    </row>
    <row r="23895">
      <c r="B23895" t="str">
        <v>UBND Ủy ban nhân dân thị trấn Liên Hương  tỉnh Bình Thuận</v>
      </c>
      <c r="C23895" t="str">
        <v>-</v>
      </c>
      <c r="D23895" t="str">
        <v>-</v>
      </c>
      <c r="E23895" t="str">
        <v>-</v>
      </c>
      <c r="F23895" t="str">
        <v>-</v>
      </c>
      <c r="G23895" t="str">
        <v>-</v>
      </c>
    </row>
    <row r="23896">
      <c r="B23896" t="str">
        <v>Công an thị trấn Phan Rí Cửa  tỉnh Bình Thuận</v>
      </c>
      <c r="C23896" t="str">
        <v>-</v>
      </c>
      <c r="D23896" t="str">
        <v>-</v>
      </c>
      <c r="E23896" t="str">
        <v/>
      </c>
      <c r="F23896" t="str">
        <v>-</v>
      </c>
      <c r="G23896" t="str">
        <v>-</v>
      </c>
    </row>
    <row r="23897">
      <c r="B23897" t="str">
        <v>UBND Ủy ban nhân dân thị trấn Phan Rí Cửa  tỉnh Bình Thuận</v>
      </c>
      <c r="C23897" t="str">
        <v>-</v>
      </c>
      <c r="D23897" t="str">
        <v>-</v>
      </c>
      <c r="E23897" t="str">
        <v>-</v>
      </c>
      <c r="F23897" t="str">
        <v>-</v>
      </c>
      <c r="G23897" t="str">
        <v>-</v>
      </c>
    </row>
    <row r="23898">
      <c r="B23898" t="str">
        <v>Công an thị trấn Chợ Lầu  tỉnh Bình Thuận</v>
      </c>
      <c r="C23898" t="str">
        <v>-</v>
      </c>
      <c r="D23898" t="str">
        <v>-</v>
      </c>
      <c r="E23898" t="str">
        <v/>
      </c>
      <c r="F23898" t="str">
        <v>-</v>
      </c>
      <c r="G23898" t="str">
        <v>-</v>
      </c>
    </row>
    <row r="23899">
      <c r="B23899" t="str">
        <v>UBND Ủy ban nhân dân thị trấn Chợ Lầu  tỉnh Bình Thuận</v>
      </c>
      <c r="C23899" t="str">
        <v>-</v>
      </c>
      <c r="D23899" t="str">
        <v>-</v>
      </c>
      <c r="E23899" t="str">
        <v>-</v>
      </c>
      <c r="F23899" t="str">
        <v>-</v>
      </c>
      <c r="G23899" t="str">
        <v>-</v>
      </c>
    </row>
    <row r="23900">
      <c r="B23900" t="str">
        <v>Công an thị trấn Lương Sơn  tỉnh Bình Thuận</v>
      </c>
      <c r="C23900" t="str">
        <v>-</v>
      </c>
      <c r="D23900" t="str">
        <v>-</v>
      </c>
      <c r="E23900" t="str">
        <v/>
      </c>
      <c r="F23900" t="str">
        <v>-</v>
      </c>
      <c r="G23900" t="str">
        <v>-</v>
      </c>
    </row>
    <row r="23901">
      <c r="B23901" t="str">
        <v>UBND Ủy ban nhân dân thị trấn Lương Sơn  tỉnh Bình Thuận</v>
      </c>
      <c r="C23901" t="str">
        <v>-</v>
      </c>
      <c r="D23901" t="str">
        <v>-</v>
      </c>
      <c r="E23901" t="str">
        <v>-</v>
      </c>
      <c r="F23901" t="str">
        <v>-</v>
      </c>
      <c r="G23901" t="str">
        <v>-</v>
      </c>
    </row>
    <row r="23902">
      <c r="B23902" t="str">
        <v>Công an thị trấn Ma Lâm  tỉnh Bình Thuận</v>
      </c>
      <c r="C23902" t="str">
        <v>-</v>
      </c>
      <c r="D23902" t="str">
        <v>-</v>
      </c>
      <c r="E23902" t="str">
        <v/>
      </c>
      <c r="F23902" t="str">
        <v>-</v>
      </c>
      <c r="G23902" t="str">
        <v>-</v>
      </c>
    </row>
    <row r="23903">
      <c r="B23903" t="str">
        <v>UBND Ủy ban nhân dân thị trấn Ma Lâm  tỉnh Bình Thuận</v>
      </c>
      <c r="C23903" t="str">
        <v>-</v>
      </c>
      <c r="D23903" t="str">
        <v>-</v>
      </c>
      <c r="E23903" t="str">
        <v>-</v>
      </c>
      <c r="F23903" t="str">
        <v>-</v>
      </c>
      <c r="G23903" t="str">
        <v>-</v>
      </c>
    </row>
    <row r="23904">
      <c r="B23904" t="str">
        <v>Công an thị trấn Phú Long  tỉnh Bình Thuận</v>
      </c>
      <c r="C23904" t="str">
        <v>-</v>
      </c>
      <c r="D23904" t="str">
        <v>-</v>
      </c>
      <c r="E23904" t="str">
        <v/>
      </c>
      <c r="F23904" t="str">
        <v>-</v>
      </c>
      <c r="G23904" t="str">
        <v>-</v>
      </c>
    </row>
    <row r="23905">
      <c r="B23905" t="str">
        <v>UBND Ủy ban nhân dân thị trấn Phú Long  tỉnh Bình Thuận</v>
      </c>
      <c r="C23905" t="str">
        <v>-</v>
      </c>
      <c r="D23905" t="str">
        <v>-</v>
      </c>
      <c r="E23905" t="str">
        <v>-</v>
      </c>
      <c r="F23905" t="str">
        <v>-</v>
      </c>
      <c r="G23905" t="str">
        <v>-</v>
      </c>
    </row>
    <row r="23906">
      <c r="B23906" t="str">
        <v>Công an thị trấn Thuận Nam  tỉnh Bình Thuận</v>
      </c>
      <c r="C23906" t="str">
        <v>-</v>
      </c>
      <c r="D23906" t="str">
        <v>-</v>
      </c>
      <c r="E23906" t="str">
        <v/>
      </c>
      <c r="F23906" t="str">
        <v>-</v>
      </c>
      <c r="G23906" t="str">
        <v>-</v>
      </c>
    </row>
    <row r="23907">
      <c r="B23907" t="str">
        <v>UBND Ủy ban nhân dân thị trấn Thuận Nam  tỉnh Bình Thuận</v>
      </c>
      <c r="C23907" t="str">
        <v>-</v>
      </c>
      <c r="D23907" t="str">
        <v>-</v>
      </c>
      <c r="E23907" t="str">
        <v>-</v>
      </c>
      <c r="F23907" t="str">
        <v>-</v>
      </c>
      <c r="G23907" t="str">
        <v>-</v>
      </c>
    </row>
    <row r="23908">
      <c r="B23908" t="str">
        <v>Công an thị trấn Lạc Tánh  tỉnh Bình Thuận</v>
      </c>
      <c r="C23908" t="str">
        <v>-</v>
      </c>
      <c r="D23908" t="str">
        <v>-</v>
      </c>
      <c r="E23908" t="str">
        <v/>
      </c>
      <c r="F23908" t="str">
        <v>-</v>
      </c>
      <c r="G23908" t="str">
        <v>-</v>
      </c>
    </row>
    <row r="23909">
      <c r="B23909" t="str">
        <v>UBND Ủy ban nhân dân thị trấn Lạc Tánh  tỉnh Bình Thuận</v>
      </c>
      <c r="C23909" t="str">
        <v>-</v>
      </c>
      <c r="D23909" t="str">
        <v>-</v>
      </c>
      <c r="E23909" t="str">
        <v>-</v>
      </c>
      <c r="F23909" t="str">
        <v>-</v>
      </c>
      <c r="G23909" t="str">
        <v>-</v>
      </c>
    </row>
    <row r="23910">
      <c r="B23910" t="str">
        <v>Công an thị trấn Võ Xu  tỉnh Bình Thuận</v>
      </c>
      <c r="C23910" t="str">
        <v>-</v>
      </c>
      <c r="D23910" t="str">
        <v>-</v>
      </c>
      <c r="E23910" t="str">
        <v/>
      </c>
      <c r="F23910" t="str">
        <v>-</v>
      </c>
      <c r="G23910" t="str">
        <v>-</v>
      </c>
    </row>
    <row r="23911">
      <c r="B23911" t="str">
        <v>UBND Ủy ban nhân dân thị trấn Võ Xu  tỉnh Bình Thuận</v>
      </c>
      <c r="C23911" t="str">
        <v>-</v>
      </c>
      <c r="D23911" t="str">
        <v>-</v>
      </c>
      <c r="E23911" t="str">
        <v>-</v>
      </c>
      <c r="F23911" t="str">
        <v>-</v>
      </c>
      <c r="G23911" t="str">
        <v>-</v>
      </c>
    </row>
    <row r="23912">
      <c r="B23912" t="str">
        <v>Công an thị trấn Đức Tài  tỉnh Bình Thuận</v>
      </c>
      <c r="C23912" t="str">
        <v>-</v>
      </c>
      <c r="D23912" t="str">
        <v>-</v>
      </c>
      <c r="E23912" t="str">
        <v/>
      </c>
      <c r="F23912" t="str">
        <v>-</v>
      </c>
      <c r="G23912" t="str">
        <v>-</v>
      </c>
    </row>
    <row r="23913">
      <c r="B23913" t="str">
        <v>UBND Ủy ban nhân dân thị trấn Đức Tài  tỉnh Bình Thuận</v>
      </c>
      <c r="C23913" t="str">
        <v>-</v>
      </c>
      <c r="D23913" t="str">
        <v>-</v>
      </c>
      <c r="E23913" t="str">
        <v>-</v>
      </c>
      <c r="F23913" t="str">
        <v>-</v>
      </c>
      <c r="G23913" t="str">
        <v>-</v>
      </c>
    </row>
    <row r="23914">
      <c r="B23914" t="str">
        <v>Công an thị trấn Tân Minh  tỉnh Bình Thuận</v>
      </c>
      <c r="C23914" t="str">
        <v>-</v>
      </c>
      <c r="D23914" t="str">
        <v>-</v>
      </c>
      <c r="E23914" t="str">
        <v/>
      </c>
      <c r="F23914" t="str">
        <v>-</v>
      </c>
      <c r="G23914" t="str">
        <v>-</v>
      </c>
    </row>
    <row r="23915">
      <c r="B23915" t="str">
        <v>UBND Ủy ban nhân dân thị trấn Tân Minh  tỉnh Bình Thuận</v>
      </c>
      <c r="C23915" t="str">
        <v>-</v>
      </c>
      <c r="D23915" t="str">
        <v>-</v>
      </c>
      <c r="E23915" t="str">
        <v>-</v>
      </c>
      <c r="F23915" t="str">
        <v>-</v>
      </c>
      <c r="G23915" t="str">
        <v>-</v>
      </c>
    </row>
    <row r="23916">
      <c r="B23916" t="str">
        <v>Công an thị trấn Tân Nghĩa  tỉnh Bình Thuận</v>
      </c>
      <c r="C23916" t="str">
        <v>-</v>
      </c>
      <c r="D23916" t="str">
        <v>-</v>
      </c>
      <c r="E23916" t="str">
        <v/>
      </c>
      <c r="F23916" t="str">
        <v>-</v>
      </c>
      <c r="G23916" t="str">
        <v>-</v>
      </c>
    </row>
    <row r="23917">
      <c r="B23917" t="str">
        <v>UBND Ủy ban nhân dân thị trấn Tân Nghĩa  tỉnh Bình Thuận</v>
      </c>
      <c r="C23917" t="str">
        <v>-</v>
      </c>
      <c r="D23917" t="str">
        <v>-</v>
      </c>
      <c r="E23917" t="str">
        <v>-</v>
      </c>
      <c r="F23917" t="str">
        <v>-</v>
      </c>
      <c r="G23917" t="str">
        <v>-</v>
      </c>
    </row>
    <row r="23918">
      <c r="B23918" t="str">
        <v>Công an thị trấn Đắk Glei  tỉnh Kon Tum</v>
      </c>
      <c r="C23918" t="str">
        <v>-</v>
      </c>
      <c r="D23918" t="str">
        <v>-</v>
      </c>
      <c r="E23918" t="str">
        <v/>
      </c>
      <c r="F23918" t="str">
        <v>-</v>
      </c>
      <c r="G23918" t="str">
        <v>-</v>
      </c>
    </row>
    <row r="23919">
      <c r="B23919" t="str">
        <v>UBND Ủy ban nhân dân thị trấn Đắk Glei  tỉnh Kon Tum</v>
      </c>
      <c r="C23919" t="str">
        <v>-</v>
      </c>
      <c r="D23919" t="str">
        <v>-</v>
      </c>
      <c r="E23919" t="str">
        <v>-</v>
      </c>
      <c r="F23919" t="str">
        <v>-</v>
      </c>
      <c r="G23919" t="str">
        <v>-</v>
      </c>
    </row>
    <row r="23920">
      <c r="B23920" t="str">
        <v>Công an thị trấn Plei Kần  tỉnh Kon Tum</v>
      </c>
      <c r="C23920" t="str">
        <v>-</v>
      </c>
      <c r="D23920" t="str">
        <v>-</v>
      </c>
      <c r="E23920" t="str">
        <v/>
      </c>
      <c r="F23920" t="str">
        <v>-</v>
      </c>
      <c r="G23920" t="str">
        <v>-</v>
      </c>
    </row>
    <row r="23921">
      <c r="B23921" t="str">
        <v>UBND Ủy ban nhân dân thị trấn Plei Kần  tỉnh Kon Tum</v>
      </c>
      <c r="C23921" t="str">
        <v>-</v>
      </c>
      <c r="D23921" t="str">
        <v>-</v>
      </c>
      <c r="E23921" t="str">
        <v>-</v>
      </c>
      <c r="F23921" t="str">
        <v>-</v>
      </c>
      <c r="G23921" t="str">
        <v>-</v>
      </c>
    </row>
    <row r="23922">
      <c r="B23922" t="str">
        <v>Công an thị trấn Đắk Tô  tỉnh Kon Tum</v>
      </c>
      <c r="C23922" t="str">
        <v>-</v>
      </c>
      <c r="D23922" t="str">
        <v>-</v>
      </c>
      <c r="E23922" t="str">
        <v/>
      </c>
      <c r="F23922" t="str">
        <v>-</v>
      </c>
      <c r="G23922" t="str">
        <v>-</v>
      </c>
    </row>
    <row r="23923">
      <c r="B23923" t="str">
        <v>UBND Ủy ban nhân dân thị trấn Đắk Tô  tỉnh Kon Tum</v>
      </c>
      <c r="C23923" t="str">
        <v>-</v>
      </c>
      <c r="D23923" t="str">
        <v>-</v>
      </c>
      <c r="E23923" t="str">
        <v>-</v>
      </c>
      <c r="F23923" t="str">
        <v>-</v>
      </c>
      <c r="G23923" t="str">
        <v>-</v>
      </c>
    </row>
    <row r="23924">
      <c r="B23924" t="str">
        <v>Công an thị trấn Đắk Rve  tỉnh Kon Tum</v>
      </c>
      <c r="C23924" t="str">
        <v>-</v>
      </c>
      <c r="D23924" t="str">
        <v>-</v>
      </c>
      <c r="E23924" t="str">
        <v/>
      </c>
      <c r="F23924" t="str">
        <v>-</v>
      </c>
      <c r="G23924" t="str">
        <v>-</v>
      </c>
    </row>
    <row r="23925">
      <c r="B23925" t="str">
        <v>UBND Ủy ban nhân dân thị trấn Đắk Rve  tỉnh Kon Tum</v>
      </c>
      <c r="C23925" t="str">
        <v>-</v>
      </c>
      <c r="D23925" t="str">
        <v>-</v>
      </c>
      <c r="E23925" t="str">
        <v>-</v>
      </c>
      <c r="F23925" t="str">
        <v>-</v>
      </c>
      <c r="G23925" t="str">
        <v>-</v>
      </c>
    </row>
    <row r="23926">
      <c r="B23926" t="str">
        <v>Công an thị trấn Đắk Hà  tỉnh Kon Tum</v>
      </c>
      <c r="C23926" t="str">
        <v>-</v>
      </c>
      <c r="D23926" t="str">
        <v>-</v>
      </c>
      <c r="E23926" t="str">
        <v/>
      </c>
      <c r="F23926" t="str">
        <v>-</v>
      </c>
      <c r="G23926" t="str">
        <v>-</v>
      </c>
    </row>
    <row r="23927">
      <c r="B23927" t="str">
        <v>UBND Ủy ban nhân dân thị trấn Đắk Hà  tỉnh Kon Tum</v>
      </c>
      <c r="C23927" t="str">
        <v>-</v>
      </c>
      <c r="D23927" t="str">
        <v>-</v>
      </c>
      <c r="E23927" t="str">
        <v>-</v>
      </c>
      <c r="F23927" t="str">
        <v>-</v>
      </c>
      <c r="G23927" t="str">
        <v>-</v>
      </c>
    </row>
    <row r="23928">
      <c r="B23928" t="str">
        <v>Công an thị trấn Sa Thầy  tỉnh Kon Tum</v>
      </c>
      <c r="C23928" t="str">
        <v>-</v>
      </c>
      <c r="D23928" t="str">
        <v>-</v>
      </c>
      <c r="E23928" t="str">
        <v/>
      </c>
      <c r="F23928" t="str">
        <v>-</v>
      </c>
      <c r="G23928" t="str">
        <v>-</v>
      </c>
    </row>
    <row r="23929">
      <c r="B23929" t="str">
        <v>UBND Ủy ban nhân dân thị trấn Sa Thầy  tỉnh Kon Tum</v>
      </c>
      <c r="C23929" t="str">
        <v>-</v>
      </c>
      <c r="D23929" t="str">
        <v>-</v>
      </c>
      <c r="E23929" t="str">
        <v>-</v>
      </c>
      <c r="F23929" t="str">
        <v>-</v>
      </c>
      <c r="G23929" t="str">
        <v>-</v>
      </c>
    </row>
    <row r="23930">
      <c r="B23930" t="str">
        <v>Công an thị trấn KBang  tỉnh Gia Lai</v>
      </c>
      <c r="C23930" t="str">
        <v>-</v>
      </c>
      <c r="D23930" t="str">
        <v>-</v>
      </c>
      <c r="E23930" t="str">
        <v/>
      </c>
      <c r="F23930" t="str">
        <v>-</v>
      </c>
      <c r="G23930" t="str">
        <v>-</v>
      </c>
    </row>
    <row r="23931">
      <c r="B23931" t="str">
        <v>UBND Ủy ban nhân dân thị trấn KBang  tỉnh Gia Lai</v>
      </c>
      <c r="C23931" t="str">
        <v>-</v>
      </c>
      <c r="D23931" t="str">
        <v>-</v>
      </c>
      <c r="E23931" t="str">
        <v>-</v>
      </c>
      <c r="F23931" t="str">
        <v>-</v>
      </c>
      <c r="G23931" t="str">
        <v>-</v>
      </c>
    </row>
    <row r="23932">
      <c r="B23932" t="str">
        <v>Công an thị trấn Đăk Đoa  tỉnh Gia Lai</v>
      </c>
      <c r="C23932" t="str">
        <v>-</v>
      </c>
      <c r="D23932" t="str">
        <v>-</v>
      </c>
      <c r="E23932" t="str">
        <v/>
      </c>
      <c r="F23932" t="str">
        <v>-</v>
      </c>
      <c r="G23932" t="str">
        <v>-</v>
      </c>
    </row>
    <row r="23933">
      <c r="B23933" t="str">
        <v>UBND Ủy ban nhân dân thị trấn Đăk Đoa  tỉnh Gia Lai</v>
      </c>
      <c r="C23933" t="str">
        <v>-</v>
      </c>
      <c r="D23933" t="str">
        <v>-</v>
      </c>
      <c r="E23933" t="str">
        <v>-</v>
      </c>
      <c r="F23933" t="str">
        <v>-</v>
      </c>
      <c r="G23933" t="str">
        <v>-</v>
      </c>
    </row>
    <row r="23934">
      <c r="B23934" t="str">
        <v>Công an thị trấn Phú Hòa  tỉnh Gia Lai</v>
      </c>
      <c r="C23934" t="str">
        <v>-</v>
      </c>
      <c r="D23934" t="str">
        <v>-</v>
      </c>
      <c r="E23934" t="str">
        <v/>
      </c>
      <c r="F23934" t="str">
        <v>-</v>
      </c>
      <c r="G23934" t="str">
        <v>-</v>
      </c>
    </row>
    <row r="23935">
      <c r="B23935" t="str">
        <v>UBND Ủy ban nhân dân thị trấn Phú Hòa  tỉnh Gia Lai</v>
      </c>
      <c r="C23935" t="str">
        <v>-</v>
      </c>
      <c r="D23935" t="str">
        <v>-</v>
      </c>
      <c r="E23935" t="str">
        <v>-</v>
      </c>
      <c r="F23935" t="str">
        <v>-</v>
      </c>
      <c r="G23935" t="str">
        <v>-</v>
      </c>
    </row>
    <row r="23936">
      <c r="B23936" t="str">
        <v>Công an thị trấn Ia Ly  tỉnh Gia Lai</v>
      </c>
      <c r="C23936" t="str">
        <v>-</v>
      </c>
      <c r="D23936" t="str">
        <v>-</v>
      </c>
      <c r="E23936" t="str">
        <v/>
      </c>
      <c r="F23936" t="str">
        <v>-</v>
      </c>
      <c r="G23936" t="str">
        <v>-</v>
      </c>
    </row>
    <row r="23937">
      <c r="B23937" t="str">
        <v>UBND Ủy ban nhân dân thị trấn Ia Ly  tỉnh Gia Lai</v>
      </c>
      <c r="C23937" t="str">
        <v>-</v>
      </c>
      <c r="D23937" t="str">
        <v>-</v>
      </c>
      <c r="E23937" t="str">
        <v>-</v>
      </c>
      <c r="F23937" t="str">
        <v>-</v>
      </c>
      <c r="G23937" t="str">
        <v>-</v>
      </c>
    </row>
    <row r="23938">
      <c r="B23938" t="str">
        <v>Công an thị trấn Ia Kha  tỉnh Gia Lai</v>
      </c>
      <c r="C23938" t="str">
        <v>-</v>
      </c>
      <c r="D23938" t="str">
        <v>-</v>
      </c>
      <c r="E23938" t="str">
        <v/>
      </c>
      <c r="F23938" t="str">
        <v>-</v>
      </c>
      <c r="G23938" t="str">
        <v>-</v>
      </c>
    </row>
    <row r="23939">
      <c r="B23939" t="str">
        <v>UBND Ủy ban nhân dân thị trấn Ia Kha  tỉnh Gia Lai</v>
      </c>
      <c r="C23939" t="str">
        <v>-</v>
      </c>
      <c r="D23939" t="str">
        <v>-</v>
      </c>
      <c r="E23939" t="str">
        <v>-</v>
      </c>
      <c r="F23939" t="str">
        <v>-</v>
      </c>
      <c r="G23939" t="str">
        <v>-</v>
      </c>
    </row>
    <row r="23940">
      <c r="B23940" t="str">
        <v>Công an thị trấn Kon Dơng  tỉnh Gia Lai</v>
      </c>
      <c r="C23940" t="str">
        <v>-</v>
      </c>
      <c r="D23940" t="str">
        <v>-</v>
      </c>
      <c r="E23940" t="str">
        <v/>
      </c>
      <c r="F23940" t="str">
        <v>-</v>
      </c>
      <c r="G23940" t="str">
        <v>-</v>
      </c>
    </row>
    <row r="23941">
      <c r="B23941" t="str">
        <v>UBND Ủy ban nhân dân thị trấn Kon Dơng  tỉnh Gia Lai</v>
      </c>
      <c r="C23941" t="str">
        <v>-</v>
      </c>
      <c r="D23941" t="str">
        <v>-</v>
      </c>
      <c r="E23941" t="str">
        <v>-</v>
      </c>
      <c r="F23941" t="str">
        <v>-</v>
      </c>
      <c r="G23941" t="str">
        <v>-</v>
      </c>
    </row>
    <row r="23942">
      <c r="B23942" t="str">
        <v>Công an thị trấn Kông Chro  tỉnh Gia Lai</v>
      </c>
      <c r="C23942" t="str">
        <v>-</v>
      </c>
      <c r="D23942" t="str">
        <v>-</v>
      </c>
      <c r="E23942" t="str">
        <v/>
      </c>
      <c r="F23942" t="str">
        <v>-</v>
      </c>
      <c r="G23942" t="str">
        <v>-</v>
      </c>
    </row>
    <row r="23943">
      <c r="B23943" t="str">
        <v>UBND Ủy ban nhân dân thị trấn Kông Chro  tỉnh Gia Lai</v>
      </c>
      <c r="C23943" t="str">
        <v>-</v>
      </c>
      <c r="D23943" t="str">
        <v>-</v>
      </c>
      <c r="E23943" t="str">
        <v>-</v>
      </c>
      <c r="F23943" t="str">
        <v>-</v>
      </c>
      <c r="G23943" t="str">
        <v>-</v>
      </c>
    </row>
    <row r="23944">
      <c r="B23944" t="str">
        <v>Công an thị trấn Chư Ty  tỉnh Gia Lai</v>
      </c>
      <c r="C23944" t="str">
        <v>-</v>
      </c>
      <c r="D23944" t="str">
        <v>-</v>
      </c>
      <c r="E23944" t="str">
        <v/>
      </c>
      <c r="F23944" t="str">
        <v>-</v>
      </c>
      <c r="G23944" t="str">
        <v>-</v>
      </c>
    </row>
    <row r="23945">
      <c r="B23945" t="str">
        <v>UBND Ủy ban nhân dân thị trấn Chư Ty  tỉnh Gia Lai</v>
      </c>
      <c r="C23945" t="str">
        <v>-</v>
      </c>
      <c r="D23945" t="str">
        <v>-</v>
      </c>
      <c r="E23945" t="str">
        <v>-</v>
      </c>
      <c r="F23945" t="str">
        <v>-</v>
      </c>
      <c r="G23945" t="str">
        <v>-</v>
      </c>
    </row>
    <row r="23946">
      <c r="B23946" t="str">
        <v>Công an thị trấn Chư Prông  tỉnh Gia Lai</v>
      </c>
      <c r="C23946" t="str">
        <v>-</v>
      </c>
      <c r="D23946" t="str">
        <v>-</v>
      </c>
      <c r="E23946" t="str">
        <v/>
      </c>
      <c r="F23946" t="str">
        <v>-</v>
      </c>
      <c r="G23946" t="str">
        <v>-</v>
      </c>
    </row>
    <row r="23947">
      <c r="B23947" t="str">
        <v>UBND Ủy ban nhân dân thị trấn Chư Prông  tỉnh Gia Lai</v>
      </c>
      <c r="C23947" t="str">
        <v>-</v>
      </c>
      <c r="D23947" t="str">
        <v>-</v>
      </c>
      <c r="E23947" t="str">
        <v>-</v>
      </c>
      <c r="F23947" t="str">
        <v>-</v>
      </c>
      <c r="G23947" t="str">
        <v>-</v>
      </c>
    </row>
    <row r="23948">
      <c r="B23948" t="str">
        <v>Công an thị trấn Chư Sê  tỉnh Gia Lai</v>
      </c>
      <c r="C23948" t="str">
        <v>-</v>
      </c>
      <c r="D23948" t="str">
        <v>-</v>
      </c>
      <c r="E23948" t="str">
        <v/>
      </c>
      <c r="F23948" t="str">
        <v>-</v>
      </c>
      <c r="G23948" t="str">
        <v>-</v>
      </c>
    </row>
    <row r="23949">
      <c r="B23949" t="str">
        <v>UBND Ủy ban nhân dân thị trấn Chư Sê  tỉnh Gia Lai</v>
      </c>
      <c r="C23949" t="str">
        <v>-</v>
      </c>
      <c r="D23949" t="str">
        <v>-</v>
      </c>
      <c r="E23949" t="str">
        <v>-</v>
      </c>
      <c r="F23949" t="str">
        <v>-</v>
      </c>
      <c r="G23949" t="str">
        <v>-</v>
      </c>
    </row>
    <row r="23950">
      <c r="B23950" t="str">
        <v>Công an thị trấn Đak Pơ  tỉnh Gia Lai</v>
      </c>
      <c r="C23950" t="str">
        <v>-</v>
      </c>
      <c r="D23950" t="str">
        <v>-</v>
      </c>
      <c r="E23950" t="str">
        <v/>
      </c>
      <c r="F23950" t="str">
        <v>-</v>
      </c>
      <c r="G23950" t="str">
        <v>-</v>
      </c>
    </row>
    <row r="23951">
      <c r="B23951" t="str">
        <v>UBND Ủy ban nhân dân thị trấn Đak Pơ  tỉnh Gia Lai</v>
      </c>
      <c r="C23951" t="str">
        <v>-</v>
      </c>
      <c r="D23951" t="str">
        <v>-</v>
      </c>
      <c r="E23951" t="str">
        <v>-</v>
      </c>
      <c r="F23951" t="str">
        <v>-</v>
      </c>
      <c r="G23951" t="str">
        <v>-</v>
      </c>
    </row>
    <row r="23952">
      <c r="B23952" t="str">
        <v>Công an thị trấn Phú Túc  tỉnh Gia Lai</v>
      </c>
      <c r="C23952" t="str">
        <v>-</v>
      </c>
      <c r="D23952" t="str">
        <v>-</v>
      </c>
      <c r="E23952" t="str">
        <v/>
      </c>
      <c r="F23952" t="str">
        <v>-</v>
      </c>
      <c r="G23952" t="str">
        <v>-</v>
      </c>
    </row>
    <row r="23953">
      <c r="B23953" t="str">
        <v>UBND Ủy ban nhân dân thị trấn Phú Túc  tỉnh Gia Lai</v>
      </c>
      <c r="C23953" t="str">
        <v>-</v>
      </c>
      <c r="D23953" t="str">
        <v>-</v>
      </c>
      <c r="E23953" t="str">
        <v>-</v>
      </c>
      <c r="F23953" t="str">
        <v>-</v>
      </c>
      <c r="G23953" t="str">
        <v>-</v>
      </c>
    </row>
    <row r="23954">
      <c r="B23954" t="str">
        <v>Công an thị trấn Phú Thiện  tỉnh Gia Lai</v>
      </c>
      <c r="C23954" t="str">
        <v>-</v>
      </c>
      <c r="D23954" t="str">
        <v>-</v>
      </c>
      <c r="E23954" t="str">
        <v/>
      </c>
      <c r="F23954" t="str">
        <v>-</v>
      </c>
      <c r="G23954" t="str">
        <v>-</v>
      </c>
    </row>
    <row r="23955">
      <c r="B23955" t="str">
        <v>UBND Ủy ban nhân dân thị trấn Phú Thiện  tỉnh Gia Lai</v>
      </c>
      <c r="C23955" t="str">
        <v>-</v>
      </c>
      <c r="D23955" t="str">
        <v>-</v>
      </c>
      <c r="E23955" t="str">
        <v>-</v>
      </c>
      <c r="F23955" t="str">
        <v>-</v>
      </c>
      <c r="G23955" t="str">
        <v>-</v>
      </c>
    </row>
    <row r="23956">
      <c r="B23956" t="str">
        <v>Công an thị trấn Nhơn Hoà  tỉnh Gia Lai</v>
      </c>
      <c r="C23956" t="str">
        <v>-</v>
      </c>
      <c r="D23956" t="str">
        <v>-</v>
      </c>
      <c r="E23956" t="str">
        <v/>
      </c>
      <c r="F23956" t="str">
        <v>-</v>
      </c>
      <c r="G23956" t="str">
        <v>-</v>
      </c>
    </row>
    <row r="23957">
      <c r="B23957" t="str">
        <v>UBND Ủy ban nhân dân thị trấn Nhơn Hoà  tỉnh Gia Lai</v>
      </c>
      <c r="C23957" t="str">
        <v>-</v>
      </c>
      <c r="D23957" t="str">
        <v>-</v>
      </c>
      <c r="E23957" t="str">
        <v>-</v>
      </c>
      <c r="F23957" t="str">
        <v>-</v>
      </c>
      <c r="G23957" t="str">
        <v>-</v>
      </c>
    </row>
    <row r="23958">
      <c r="B23958" t="str">
        <v>Công an thị trấn Ea Drăng  tỉnh Đắk Lắk</v>
      </c>
      <c r="C23958" t="str">
        <v>-</v>
      </c>
      <c r="D23958" t="str">
        <v>-</v>
      </c>
      <c r="E23958" t="str">
        <v/>
      </c>
      <c r="F23958" t="str">
        <v>-</v>
      </c>
      <c r="G23958" t="str">
        <v>-</v>
      </c>
    </row>
    <row r="23959">
      <c r="B23959" t="str">
        <v>UBND Ủy ban nhân dân thị trấn Ea Drăng  tỉnh Đắk Lắk</v>
      </c>
      <c r="C23959" t="str">
        <v>-</v>
      </c>
      <c r="D23959" t="str">
        <v>-</v>
      </c>
      <c r="E23959" t="str">
        <v>-</v>
      </c>
      <c r="F23959" t="str">
        <v>-</v>
      </c>
      <c r="G23959" t="str">
        <v>-</v>
      </c>
    </row>
    <row r="23960">
      <c r="B23960" t="str">
        <v>Công an thị trấn Ea Súp  tỉnh Đắk Lắk</v>
      </c>
      <c r="C23960" t="str">
        <v>-</v>
      </c>
      <c r="D23960" t="str">
        <v>-</v>
      </c>
      <c r="E23960" t="str">
        <v/>
      </c>
      <c r="F23960" t="str">
        <v>-</v>
      </c>
      <c r="G23960" t="str">
        <v>-</v>
      </c>
    </row>
    <row r="23961">
      <c r="B23961" t="str">
        <v>UBND Ủy ban nhân dân thị trấn Ea Súp  tỉnh Đắk Lắk</v>
      </c>
      <c r="C23961" t="str">
        <v>-</v>
      </c>
      <c r="D23961" t="str">
        <v>-</v>
      </c>
      <c r="E23961" t="str">
        <v>-</v>
      </c>
      <c r="F23961" t="str">
        <v>-</v>
      </c>
      <c r="G23961" t="str">
        <v>-</v>
      </c>
    </row>
    <row r="23962">
      <c r="B23962" t="str">
        <v>Công an thị trấn Ea Pốk  tỉnh Đắk Lắk</v>
      </c>
      <c r="C23962" t="str">
        <v>-</v>
      </c>
      <c r="D23962" t="str">
        <v>-</v>
      </c>
      <c r="E23962" t="str">
        <v/>
      </c>
      <c r="F23962" t="str">
        <v>-</v>
      </c>
      <c r="G23962" t="str">
        <v>-</v>
      </c>
    </row>
    <row r="23963">
      <c r="B23963" t="str">
        <v>UBND Ủy ban nhân dân thị trấn Ea Pốk  tỉnh Đắk Lắk</v>
      </c>
      <c r="C23963" t="str">
        <v>-</v>
      </c>
      <c r="D23963" t="str">
        <v>-</v>
      </c>
      <c r="E23963" t="str">
        <v>-</v>
      </c>
      <c r="F23963" t="str">
        <v>-</v>
      </c>
      <c r="G23963" t="str">
        <v>-</v>
      </c>
    </row>
    <row r="23964">
      <c r="B23964" t="str">
        <v>Công an thị trấn Quảng Phú  tỉnh Đắk Lắk</v>
      </c>
      <c r="C23964" t="str">
        <v>-</v>
      </c>
      <c r="D23964" t="str">
        <v>-</v>
      </c>
      <c r="E23964" t="str">
        <v/>
      </c>
      <c r="F23964" t="str">
        <v>-</v>
      </c>
      <c r="G23964" t="str">
        <v>-</v>
      </c>
    </row>
    <row r="23965">
      <c r="B23965" t="str">
        <v>UBND Ủy ban nhân dân thị trấn Quảng Phú  tỉnh Đắk Lắk</v>
      </c>
      <c r="C23965" t="str">
        <v>-</v>
      </c>
      <c r="D23965" t="str">
        <v>-</v>
      </c>
      <c r="E23965" t="str">
        <v>-</v>
      </c>
      <c r="F23965" t="str">
        <v>-</v>
      </c>
      <c r="G23965" t="str">
        <v>-</v>
      </c>
    </row>
    <row r="23966">
      <c r="B23966" t="str">
        <v>Công an thị trấn Krông Năng  tỉnh Đắk Lắk</v>
      </c>
      <c r="C23966" t="str">
        <v>-</v>
      </c>
      <c r="D23966" t="str">
        <v>-</v>
      </c>
      <c r="E23966" t="str">
        <v/>
      </c>
      <c r="F23966" t="str">
        <v>-</v>
      </c>
      <c r="G23966" t="str">
        <v>-</v>
      </c>
    </row>
    <row r="23967">
      <c r="B23967" t="str">
        <v>UBND Ủy ban nhân dân thị trấn Krông Năng  tỉnh Đắk Lắk</v>
      </c>
      <c r="C23967" t="str">
        <v>-</v>
      </c>
      <c r="D23967" t="str">
        <v>-</v>
      </c>
      <c r="E23967" t="str">
        <v>-</v>
      </c>
      <c r="F23967" t="str">
        <v>-</v>
      </c>
      <c r="G23967" t="str">
        <v>-</v>
      </c>
    </row>
    <row r="23968">
      <c r="B23968" t="str">
        <v>Công an thị trấn Ea Kar  tỉnh Đắk Lắk</v>
      </c>
      <c r="C23968" t="str">
        <v>-</v>
      </c>
      <c r="D23968" t="str">
        <v>-</v>
      </c>
      <c r="E23968" t="str">
        <v/>
      </c>
      <c r="F23968" t="str">
        <v>-</v>
      </c>
      <c r="G23968" t="str">
        <v>-</v>
      </c>
    </row>
    <row r="23969">
      <c r="B23969" t="str">
        <v>UBND Ủy ban nhân dân thị trấn Ea Kar  tỉnh Đắk Lắk</v>
      </c>
      <c r="C23969" t="str">
        <v>-</v>
      </c>
      <c r="D23969" t="str">
        <v>-</v>
      </c>
      <c r="E23969" t="str">
        <v>-</v>
      </c>
      <c r="F23969" t="str">
        <v>-</v>
      </c>
      <c r="G23969" t="str">
        <v>-</v>
      </c>
    </row>
    <row r="23970">
      <c r="B23970" t="str">
        <v>Công an thị trấn Ea Knốp  tỉnh Đắk Lắk</v>
      </c>
      <c r="C23970" t="str">
        <v>-</v>
      </c>
      <c r="D23970" t="str">
        <v>-</v>
      </c>
      <c r="E23970" t="str">
        <v/>
      </c>
      <c r="F23970" t="str">
        <v>-</v>
      </c>
      <c r="G23970" t="str">
        <v>-</v>
      </c>
    </row>
    <row r="23971">
      <c r="B23971" t="str">
        <v>UBND Ủy ban nhân dân thị trấn Ea Knốp  tỉnh Đắk Lắk</v>
      </c>
      <c r="C23971" t="str">
        <v>-</v>
      </c>
      <c r="D23971" t="str">
        <v>-</v>
      </c>
      <c r="E23971" t="str">
        <v>-</v>
      </c>
      <c r="F23971" t="str">
        <v>-</v>
      </c>
      <c r="G23971" t="str">
        <v>-</v>
      </c>
    </row>
    <row r="23972">
      <c r="B23972" t="str">
        <v>Công an thị trấn M'Đrắk  tỉnh Đắk Lắk</v>
      </c>
      <c r="C23972" t="str">
        <v>-</v>
      </c>
      <c r="D23972" t="str">
        <v>-</v>
      </c>
      <c r="E23972" t="str">
        <v/>
      </c>
      <c r="F23972" t="str">
        <v>-</v>
      </c>
      <c r="G23972" t="str">
        <v>-</v>
      </c>
    </row>
    <row r="23973">
      <c r="B23973" t="str">
        <v>UBND Ủy ban nhân dân thị trấn M'Đrắk  tỉnh Đắk Lắk</v>
      </c>
      <c r="C23973" t="str">
        <v>-</v>
      </c>
      <c r="D23973" t="str">
        <v>-</v>
      </c>
      <c r="E23973" t="str">
        <v>-</v>
      </c>
      <c r="F23973" t="str">
        <v>-</v>
      </c>
      <c r="G23973" t="str">
        <v>-</v>
      </c>
    </row>
    <row r="23974">
      <c r="B23974" t="str">
        <v>Công an thị trấn Krông Kmar  tỉnh Đắk Lắk</v>
      </c>
      <c r="C23974" t="str">
        <v>-</v>
      </c>
      <c r="D23974" t="str">
        <v>-</v>
      </c>
      <c r="E23974" t="str">
        <v/>
      </c>
      <c r="F23974" t="str">
        <v>-</v>
      </c>
      <c r="G23974" t="str">
        <v>-</v>
      </c>
    </row>
    <row r="23975">
      <c r="B23975" t="str">
        <v>UBND Ủy ban nhân dân thị trấn Krông Kmar  tỉnh Đắk Lắk</v>
      </c>
      <c r="C23975" t="str">
        <v>-</v>
      </c>
      <c r="D23975" t="str">
        <v>-</v>
      </c>
      <c r="E23975" t="str">
        <v>-</v>
      </c>
      <c r="F23975" t="str">
        <v>-</v>
      </c>
      <c r="G23975" t="str">
        <v>-</v>
      </c>
    </row>
    <row r="23976">
      <c r="B23976" t="str">
        <v>Công an thị trấn Phước An  tỉnh Đắk Lắk</v>
      </c>
      <c r="C23976" t="str">
        <v>-</v>
      </c>
      <c r="D23976" t="str">
        <v>-</v>
      </c>
      <c r="E23976" t="str">
        <v/>
      </c>
      <c r="F23976" t="str">
        <v>-</v>
      </c>
      <c r="G23976" t="str">
        <v>-</v>
      </c>
    </row>
    <row r="23977">
      <c r="B23977" t="str">
        <v>UBND Ủy ban nhân dân thị trấn Phước An  tỉnh Đắk Lắk</v>
      </c>
      <c r="C23977" t="str">
        <v>-</v>
      </c>
      <c r="D23977" t="str">
        <v>-</v>
      </c>
      <c r="E23977" t="str">
        <v>-</v>
      </c>
      <c r="F23977" t="str">
        <v>-</v>
      </c>
      <c r="G23977" t="str">
        <v>-</v>
      </c>
    </row>
    <row r="23978">
      <c r="B23978" t="str">
        <v>Công an thị trấn Buôn Trấp  tỉnh Đắk Lắk</v>
      </c>
      <c r="C23978" t="str">
        <v>-</v>
      </c>
      <c r="D23978" t="str">
        <v>-</v>
      </c>
      <c r="E23978" t="str">
        <v/>
      </c>
      <c r="F23978" t="str">
        <v>-</v>
      </c>
      <c r="G23978" t="str">
        <v>-</v>
      </c>
    </row>
    <row r="23979">
      <c r="B23979" t="str">
        <v>UBND Ủy ban nhân dân thị trấn Buôn Trấp  tỉnh Đắk Lắk</v>
      </c>
      <c r="C23979" t="str">
        <v>-</v>
      </c>
      <c r="D23979" t="str">
        <v>-</v>
      </c>
      <c r="E23979" t="str">
        <v>-</v>
      </c>
      <c r="F23979" t="str">
        <v>-</v>
      </c>
      <c r="G23979" t="str">
        <v>-</v>
      </c>
    </row>
    <row r="23980">
      <c r="B23980" t="str">
        <v>Công an thị trấn Liên Sơn  tỉnh Đắk Lắk</v>
      </c>
      <c r="C23980" t="str">
        <v>-</v>
      </c>
      <c r="D23980" t="str">
        <v>-</v>
      </c>
      <c r="E23980" t="str">
        <v/>
      </c>
      <c r="F23980" t="str">
        <v>-</v>
      </c>
      <c r="G23980" t="str">
        <v>-</v>
      </c>
    </row>
    <row r="23981">
      <c r="B23981" t="str">
        <v>UBND Ủy ban nhân dân thị trấn Liên Sơn  tỉnh Đắk Lắk</v>
      </c>
      <c r="C23981" t="str">
        <v>-</v>
      </c>
      <c r="D23981" t="str">
        <v>-</v>
      </c>
      <c r="E23981" t="str">
        <v>-</v>
      </c>
      <c r="F23981" t="str">
        <v>-</v>
      </c>
      <c r="G23981" t="str">
        <v>-</v>
      </c>
    </row>
    <row r="23982">
      <c r="B23982" t="str">
        <v>Công an thị trấn Ea T'Ling  tỉnh Đắk Nông</v>
      </c>
      <c r="C23982" t="str">
        <v>-</v>
      </c>
      <c r="D23982" t="str">
        <v>-</v>
      </c>
      <c r="E23982" t="str">
        <v/>
      </c>
      <c r="F23982" t="str">
        <v>-</v>
      </c>
      <c r="G23982" t="str">
        <v>-</v>
      </c>
    </row>
    <row r="23983">
      <c r="B23983" t="str">
        <v>UBND Ủy ban nhân dân thị trấn Ea T'Ling  tỉnh Đắk Nông</v>
      </c>
      <c r="C23983" t="str">
        <v>-</v>
      </c>
      <c r="D23983" t="str">
        <v>-</v>
      </c>
      <c r="E23983" t="str">
        <v>-</v>
      </c>
      <c r="F23983" t="str">
        <v>-</v>
      </c>
      <c r="G23983" t="str">
        <v>-</v>
      </c>
    </row>
    <row r="23984">
      <c r="B23984" t="str">
        <v>Công an thị trấn Đắk Mil  tỉnh Đắk Nông</v>
      </c>
      <c r="C23984" t="str">
        <v>-</v>
      </c>
      <c r="D23984" t="str">
        <v>-</v>
      </c>
      <c r="E23984" t="str">
        <v/>
      </c>
      <c r="F23984" t="str">
        <v>-</v>
      </c>
      <c r="G23984" t="str">
        <v>-</v>
      </c>
    </row>
    <row r="23985">
      <c r="B23985" t="str">
        <v>UBND Ủy ban nhân dân thị trấn Đắk Mil  tỉnh Đắk Nông</v>
      </c>
      <c r="C23985" t="str">
        <v>-</v>
      </c>
      <c r="D23985" t="str">
        <v>-</v>
      </c>
      <c r="E23985" t="str">
        <v>-</v>
      </c>
      <c r="F23985" t="str">
        <v>-</v>
      </c>
      <c r="G23985" t="str">
        <v>-</v>
      </c>
    </row>
    <row r="23986">
      <c r="B23986" t="str">
        <v>Công an thị trấn Đắk Mâm  tỉnh Đắk Nông</v>
      </c>
      <c r="C23986" t="str">
        <v>-</v>
      </c>
      <c r="D23986" t="str">
        <v>-</v>
      </c>
      <c r="E23986" t="str">
        <v/>
      </c>
      <c r="F23986" t="str">
        <v>-</v>
      </c>
      <c r="G23986" t="str">
        <v>-</v>
      </c>
    </row>
    <row r="23987">
      <c r="B23987" t="str">
        <v>UBND Ủy ban nhân dân thị trấn Đắk Mâm  tỉnh Đắk Nông</v>
      </c>
      <c r="C23987" t="str">
        <v>-</v>
      </c>
      <c r="D23987" t="str">
        <v>-</v>
      </c>
      <c r="E23987" t="str">
        <v>-</v>
      </c>
      <c r="F23987" t="str">
        <v>-</v>
      </c>
      <c r="G23987" t="str">
        <v>-</v>
      </c>
    </row>
    <row r="23988">
      <c r="B23988" t="str">
        <v>Công an thị trấn Đức An  tỉnh Đắk Nông</v>
      </c>
      <c r="C23988" t="str">
        <v>-</v>
      </c>
      <c r="D23988" t="str">
        <v>-</v>
      </c>
      <c r="E23988" t="str">
        <v/>
      </c>
      <c r="F23988" t="str">
        <v>-</v>
      </c>
      <c r="G23988" t="str">
        <v>-</v>
      </c>
    </row>
    <row r="23989">
      <c r="B23989" t="str">
        <v>UBND Ủy ban nhân dân thị trấn Đức An  tỉnh Đắk Nông</v>
      </c>
      <c r="C23989" t="str">
        <v>-</v>
      </c>
      <c r="D23989" t="str">
        <v>-</v>
      </c>
      <c r="E23989" t="str">
        <v>-</v>
      </c>
      <c r="F23989" t="str">
        <v>-</v>
      </c>
      <c r="G23989" t="str">
        <v>-</v>
      </c>
    </row>
    <row r="23990">
      <c r="B23990" t="str">
        <v>Công an thị trấn Kiến Đức  tỉnh Đắk Nông</v>
      </c>
      <c r="C23990" t="str">
        <v>-</v>
      </c>
      <c r="D23990" t="str">
        <v>-</v>
      </c>
      <c r="E23990" t="str">
        <v/>
      </c>
      <c r="F23990" t="str">
        <v>-</v>
      </c>
      <c r="G23990" t="str">
        <v>-</v>
      </c>
    </row>
    <row r="23991">
      <c r="B23991" t="str">
        <v>UBND Ủy ban nhân dân thị trấn Kiến Đức  tỉnh Đắk Nông</v>
      </c>
      <c r="C23991" t="str">
        <v>-</v>
      </c>
      <c r="D23991" t="str">
        <v>-</v>
      </c>
      <c r="E23991" t="str">
        <v>-</v>
      </c>
      <c r="F23991" t="str">
        <v>-</v>
      </c>
      <c r="G23991" t="str">
        <v>-</v>
      </c>
    </row>
    <row r="23992">
      <c r="B23992" t="str">
        <v>Công an thị trấn Lạc Dương  tỉnh Lâm Đồng</v>
      </c>
      <c r="C23992" t="str">
        <v>-</v>
      </c>
      <c r="D23992" t="str">
        <v>-</v>
      </c>
      <c r="E23992" t="str">
        <v/>
      </c>
      <c r="F23992" t="str">
        <v>-</v>
      </c>
      <c r="G23992" t="str">
        <v>-</v>
      </c>
    </row>
    <row r="23993">
      <c r="B23993" t="str">
        <v>UBND Ủy ban nhân dân thị trấn Lạc Dương  tỉnh Lâm Đồng</v>
      </c>
      <c r="C23993" t="str">
        <v>-</v>
      </c>
      <c r="D23993" t="str">
        <v>-</v>
      </c>
      <c r="E23993" t="str">
        <v>-</v>
      </c>
      <c r="F23993" t="str">
        <v>-</v>
      </c>
      <c r="G23993" t="str">
        <v>-</v>
      </c>
    </row>
    <row r="23994">
      <c r="B23994" t="str">
        <v>Công an thị trấn Nam Ban  tỉnh Lâm Đồng</v>
      </c>
      <c r="C23994" t="str">
        <v>-</v>
      </c>
      <c r="D23994" t="str">
        <v>-</v>
      </c>
      <c r="E23994" t="str">
        <v/>
      </c>
      <c r="F23994" t="str">
        <v>-</v>
      </c>
      <c r="G23994" t="str">
        <v>-</v>
      </c>
    </row>
    <row r="23995">
      <c r="B23995" t="str">
        <v>UBND Ủy ban nhân dân thị trấn Nam Ban  tỉnh Lâm Đồng</v>
      </c>
      <c r="C23995" t="str">
        <v>-</v>
      </c>
      <c r="D23995" t="str">
        <v>-</v>
      </c>
      <c r="E23995" t="str">
        <v>-</v>
      </c>
      <c r="F23995" t="str">
        <v>-</v>
      </c>
      <c r="G23995" t="str">
        <v>-</v>
      </c>
    </row>
    <row r="23996">
      <c r="B23996" t="str">
        <v>Công an thị trấn Đinh Văn  tỉnh Lâm Đồng</v>
      </c>
      <c r="C23996" t="str">
        <v>-</v>
      </c>
      <c r="D23996" t="str">
        <v>-</v>
      </c>
      <c r="E23996" t="str">
        <v/>
      </c>
      <c r="F23996" t="str">
        <v>-</v>
      </c>
      <c r="G23996" t="str">
        <v>-</v>
      </c>
    </row>
    <row r="23997">
      <c r="B23997" t="str">
        <v>UBND Ủy ban nhân dân thị trấn Đinh Văn  tỉnh Lâm Đồng</v>
      </c>
      <c r="C23997" t="str">
        <v>-</v>
      </c>
      <c r="D23997" t="str">
        <v>-</v>
      </c>
      <c r="E23997" t="str">
        <v>-</v>
      </c>
      <c r="F23997" t="str">
        <v>-</v>
      </c>
      <c r="G23997" t="str">
        <v>-</v>
      </c>
    </row>
    <row r="23998">
      <c r="B23998" t="str">
        <v>Công an thị trấn D'Ran  tỉnh Lâm Đồng</v>
      </c>
      <c r="C23998" t="str">
        <v>-</v>
      </c>
      <c r="D23998" t="str">
        <v>-</v>
      </c>
      <c r="E23998" t="str">
        <v/>
      </c>
      <c r="F23998" t="str">
        <v>-</v>
      </c>
      <c r="G23998" t="str">
        <v>-</v>
      </c>
    </row>
    <row r="23999">
      <c r="B23999" t="str">
        <v>UBND Ủy ban nhân dân thị trấn D'Ran  tỉnh Lâm Đồng</v>
      </c>
      <c r="C23999" t="str">
        <v>-</v>
      </c>
      <c r="D23999" t="str">
        <v>-</v>
      </c>
      <c r="E23999" t="str">
        <v>-</v>
      </c>
      <c r="F23999" t="str">
        <v>-</v>
      </c>
      <c r="G23999" t="str">
        <v>-</v>
      </c>
    </row>
    <row r="24000">
      <c r="B24000" t="str">
        <v>Công an thị trấn Thạnh Mỹ  tỉnh Lâm Đồng</v>
      </c>
      <c r="C24000" t="str">
        <v>-</v>
      </c>
      <c r="D24000" t="str">
        <v>-</v>
      </c>
      <c r="E24000" t="str">
        <v/>
      </c>
      <c r="F24000" t="str">
        <v>-</v>
      </c>
      <c r="G24000" t="str">
        <v>-</v>
      </c>
    </row>
    <row r="24001">
      <c r="B24001" t="str">
        <v>UBND Ủy ban nhân dân thị trấn Thạnh Mỹ  tỉnh Lâm Đồng</v>
      </c>
      <c r="C24001" t="str">
        <v>-</v>
      </c>
      <c r="D24001" t="str">
        <v>-</v>
      </c>
      <c r="E24001" t="str">
        <v>-</v>
      </c>
      <c r="F24001" t="str">
        <v>-</v>
      </c>
      <c r="G24001" t="str">
        <v>-</v>
      </c>
    </row>
    <row r="24002">
      <c r="B24002" t="str">
        <v>Công an thị trấn Liên Nghĩa  tỉnh Lâm Đồng</v>
      </c>
      <c r="C24002" t="str">
        <v>-</v>
      </c>
      <c r="D24002" t="str">
        <v>-</v>
      </c>
      <c r="E24002" t="str">
        <v/>
      </c>
      <c r="F24002" t="str">
        <v>-</v>
      </c>
      <c r="G24002" t="str">
        <v>-</v>
      </c>
    </row>
    <row r="24003">
      <c r="B24003" t="str">
        <v>UBND Ủy ban nhân dân thị trấn Liên Nghĩa  tỉnh Lâm Đồng</v>
      </c>
      <c r="C24003" t="str">
        <v>-</v>
      </c>
      <c r="D24003" t="str">
        <v>-</v>
      </c>
      <c r="E24003" t="str">
        <v>-</v>
      </c>
      <c r="F24003" t="str">
        <v>-</v>
      </c>
      <c r="G24003" t="str">
        <v>-</v>
      </c>
    </row>
    <row r="24004">
      <c r="B24004" t="str">
        <v>Công an thị trấn Di Linh  tỉnh Lâm Đồng</v>
      </c>
      <c r="C24004" t="str">
        <v>-</v>
      </c>
      <c r="D24004" t="str">
        <v>-</v>
      </c>
      <c r="E24004" t="str">
        <v/>
      </c>
      <c r="F24004" t="str">
        <v>-</v>
      </c>
      <c r="G24004" t="str">
        <v>-</v>
      </c>
    </row>
    <row r="24005">
      <c r="B24005" t="str">
        <v>UBND Ủy ban nhân dân thị trấn Di Linh  tỉnh Lâm Đồng</v>
      </c>
      <c r="C24005" t="str">
        <v>-</v>
      </c>
      <c r="D24005" t="str">
        <v>-</v>
      </c>
      <c r="E24005" t="str">
        <v>-</v>
      </c>
      <c r="F24005" t="str">
        <v>-</v>
      </c>
      <c r="G24005" t="str">
        <v>-</v>
      </c>
    </row>
    <row r="24006">
      <c r="B24006" t="str">
        <v>Công an thị trấn Lộc Thắng  tỉnh Lâm Đồng</v>
      </c>
      <c r="C24006" t="str">
        <v>-</v>
      </c>
      <c r="D24006" t="str">
        <v>-</v>
      </c>
      <c r="E24006" t="str">
        <v/>
      </c>
      <c r="F24006" t="str">
        <v>-</v>
      </c>
      <c r="G24006" t="str">
        <v>-</v>
      </c>
    </row>
    <row r="24007">
      <c r="B24007" t="str">
        <v>UBND Ủy ban nhân dân thị trấn Lộc Thắng  tỉnh Lâm Đồng</v>
      </c>
      <c r="C24007" t="str">
        <v>-</v>
      </c>
      <c r="D24007" t="str">
        <v>-</v>
      </c>
      <c r="E24007" t="str">
        <v>-</v>
      </c>
      <c r="F24007" t="str">
        <v>-</v>
      </c>
      <c r="G24007" t="str">
        <v>-</v>
      </c>
    </row>
    <row r="24008">
      <c r="B24008" t="str">
        <v>Công an thị trấn Đạ M'ri  tỉnh Lâm Đồng</v>
      </c>
      <c r="C24008" t="str">
        <v>-</v>
      </c>
      <c r="D24008" t="str">
        <v>-</v>
      </c>
      <c r="E24008" t="str">
        <v/>
      </c>
      <c r="F24008" t="str">
        <v>-</v>
      </c>
      <c r="G24008" t="str">
        <v>-</v>
      </c>
    </row>
    <row r="24009">
      <c r="B24009" t="str">
        <v>UBND Ủy ban nhân dân thị trấn Đạ M'ri  tỉnh Lâm Đồng</v>
      </c>
      <c r="C24009" t="str">
        <v>-</v>
      </c>
      <c r="D24009" t="str">
        <v>-</v>
      </c>
      <c r="E24009" t="str">
        <v>-</v>
      </c>
      <c r="F24009" t="str">
        <v>-</v>
      </c>
      <c r="G24009" t="str">
        <v>-</v>
      </c>
    </row>
    <row r="24010">
      <c r="B24010" t="str">
        <v>Công an thị trấn Ma Đa Guôi  tỉnh Lâm Đồng</v>
      </c>
      <c r="C24010" t="str">
        <v>-</v>
      </c>
      <c r="D24010" t="str">
        <v>-</v>
      </c>
      <c r="E24010" t="str">
        <v/>
      </c>
      <c r="F24010" t="str">
        <v>-</v>
      </c>
      <c r="G24010" t="str">
        <v>-</v>
      </c>
    </row>
    <row r="24011">
      <c r="B24011" t="str">
        <v>UBND Ủy ban nhân dân thị trấn Ma Đa Guôi  tỉnh Lâm Đồng</v>
      </c>
      <c r="C24011" t="str">
        <v>-</v>
      </c>
      <c r="D24011" t="str">
        <v>-</v>
      </c>
      <c r="E24011" t="str">
        <v>-</v>
      </c>
      <c r="F24011" t="str">
        <v>-</v>
      </c>
      <c r="G24011" t="str">
        <v>-</v>
      </c>
    </row>
    <row r="24012">
      <c r="B24012" t="str">
        <v>Công an thị trấn Đạ Tẻh  tỉnh Lâm Đồng</v>
      </c>
      <c r="C24012" t="str">
        <v>-</v>
      </c>
      <c r="D24012" t="str">
        <v>-</v>
      </c>
      <c r="E24012" t="str">
        <v/>
      </c>
      <c r="F24012" t="str">
        <v>-</v>
      </c>
      <c r="G24012" t="str">
        <v>-</v>
      </c>
    </row>
    <row r="24013">
      <c r="B24013" t="str">
        <v>UBND Ủy ban nhân dân thị trấn Đạ Tẻh  tỉnh Lâm Đồng</v>
      </c>
      <c r="C24013" t="str">
        <v>-</v>
      </c>
      <c r="D24013" t="str">
        <v>-</v>
      </c>
      <c r="E24013" t="str">
        <v>-</v>
      </c>
      <c r="F24013" t="str">
        <v>-</v>
      </c>
      <c r="G24013" t="str">
        <v>-</v>
      </c>
    </row>
    <row r="24014">
      <c r="B24014" t="str">
        <v>Công an thị trấn Cát Tiên  tỉnh Lâm Đồng</v>
      </c>
      <c r="C24014" t="str">
        <v>-</v>
      </c>
      <c r="D24014" t="str">
        <v>-</v>
      </c>
      <c r="E24014" t="str">
        <v/>
      </c>
      <c r="F24014" t="str">
        <v>-</v>
      </c>
      <c r="G24014" t="str">
        <v>-</v>
      </c>
    </row>
    <row r="24015">
      <c r="B24015" t="str">
        <v>UBND Ủy ban nhân dân thị trấn Cát Tiên  tỉnh Lâm Đồng</v>
      </c>
      <c r="C24015" t="str">
        <v>-</v>
      </c>
      <c r="D24015" t="str">
        <v>-</v>
      </c>
      <c r="E24015" t="str">
        <v>-</v>
      </c>
      <c r="F24015" t="str">
        <v>-</v>
      </c>
      <c r="G24015" t="str">
        <v>-</v>
      </c>
    </row>
    <row r="24016">
      <c r="B24016" t="str">
        <v>Công an thị trấn Lộc Ninh  tỉnh Bình Phước</v>
      </c>
      <c r="C24016" t="str">
        <v>-</v>
      </c>
      <c r="D24016" t="str">
        <v>-</v>
      </c>
      <c r="E24016" t="str">
        <v/>
      </c>
      <c r="F24016" t="str">
        <v>-</v>
      </c>
      <c r="G24016" t="str">
        <v>-</v>
      </c>
    </row>
    <row r="24017">
      <c r="B24017" t="str">
        <v>UBND Ủy ban nhân dân thị trấn Lộc Ninh  tỉnh Bình Phước</v>
      </c>
      <c r="C24017" t="str">
        <v>-</v>
      </c>
      <c r="D24017" t="str">
        <v>-</v>
      </c>
      <c r="E24017" t="str">
        <v>-</v>
      </c>
      <c r="F24017" t="str">
        <v>-</v>
      </c>
      <c r="G24017" t="str">
        <v>-</v>
      </c>
    </row>
    <row r="24018">
      <c r="B24018" t="str">
        <v>Công an thị trấn Thanh Bình  tỉnh Bình Phước</v>
      </c>
      <c r="C24018" t="str">
        <v>-</v>
      </c>
      <c r="D24018" t="str">
        <v>-</v>
      </c>
      <c r="E24018" t="str">
        <v/>
      </c>
      <c r="F24018" t="str">
        <v>-</v>
      </c>
      <c r="G24018" t="str">
        <v>-</v>
      </c>
    </row>
    <row r="24019">
      <c r="B24019" t="str">
        <v>UBND Ủy ban nhân dân thị trấn Thanh Bình  tỉnh Bình Phước</v>
      </c>
      <c r="C24019" t="str">
        <v>-</v>
      </c>
      <c r="D24019" t="str">
        <v>-</v>
      </c>
      <c r="E24019" t="str">
        <v>-</v>
      </c>
      <c r="F24019" t="str">
        <v>-</v>
      </c>
      <c r="G24019" t="str">
        <v>-</v>
      </c>
    </row>
    <row r="24020">
      <c r="B24020" t="str">
        <v>Công an thị trấn Tân Phú  tỉnh Bình Phước</v>
      </c>
      <c r="C24020" t="str">
        <v>-</v>
      </c>
      <c r="D24020" t="str">
        <v>-</v>
      </c>
      <c r="E24020" t="str">
        <v/>
      </c>
      <c r="F24020" t="str">
        <v>-</v>
      </c>
      <c r="G24020" t="str">
        <v>-</v>
      </c>
    </row>
    <row r="24021">
      <c r="B24021" t="str">
        <v>UBND Ủy ban nhân dân thị trấn Tân Phú  tỉnh Bình Phước</v>
      </c>
      <c r="C24021" t="str">
        <v>-</v>
      </c>
      <c r="D24021" t="str">
        <v>-</v>
      </c>
      <c r="E24021" t="str">
        <v>-</v>
      </c>
      <c r="F24021" t="str">
        <v>-</v>
      </c>
      <c r="G24021" t="str">
        <v>-</v>
      </c>
    </row>
    <row r="24022">
      <c r="B24022" t="str">
        <v>Công an thị trấn Đức Phong  tỉnh Bình Phước</v>
      </c>
      <c r="C24022" t="str">
        <v>-</v>
      </c>
      <c r="D24022" t="str">
        <v>-</v>
      </c>
      <c r="E24022" t="str">
        <v/>
      </c>
      <c r="F24022" t="str">
        <v>-</v>
      </c>
      <c r="G24022" t="str">
        <v>-</v>
      </c>
    </row>
    <row r="24023">
      <c r="B24023" t="str">
        <v>UBND Ủy ban nhân dân thị trấn Đức Phong  tỉnh Bình Phước</v>
      </c>
      <c r="C24023" t="str">
        <v>-</v>
      </c>
      <c r="D24023" t="str">
        <v>-</v>
      </c>
      <c r="E24023" t="str">
        <v>-</v>
      </c>
      <c r="F24023" t="str">
        <v>-</v>
      </c>
      <c r="G24023" t="str">
        <v>-</v>
      </c>
    </row>
    <row r="24024">
      <c r="B24024" t="str">
        <v>Công an thị trấn Chơn Thành  tỉnh Bình Phước</v>
      </c>
      <c r="C24024" t="str">
        <v>-</v>
      </c>
      <c r="D24024" t="str">
        <v>-</v>
      </c>
      <c r="E24024" t="str">
        <v/>
      </c>
      <c r="F24024" t="str">
        <v>-</v>
      </c>
      <c r="G24024" t="str">
        <v>-</v>
      </c>
    </row>
    <row r="24025">
      <c r="B24025" t="str">
        <v>UBND Ủy ban nhân dân thị trấn Chơn Thành  tỉnh Bình Phước</v>
      </c>
      <c r="C24025" t="str">
        <v>-</v>
      </c>
      <c r="D24025" t="str">
        <v>-</v>
      </c>
      <c r="E24025" t="str">
        <v>-</v>
      </c>
      <c r="F24025" t="str">
        <v>-</v>
      </c>
      <c r="G24025" t="str">
        <v>-</v>
      </c>
    </row>
    <row r="24026">
      <c r="B24026" t="str">
        <v>Công an thị trấn Tân Biên  tỉnh Tây Ninh</v>
      </c>
      <c r="C24026" t="str">
        <v>-</v>
      </c>
      <c r="D24026" t="str">
        <v>-</v>
      </c>
      <c r="E24026" t="str">
        <v/>
      </c>
      <c r="F24026" t="str">
        <v>-</v>
      </c>
      <c r="G24026" t="str">
        <v>-</v>
      </c>
    </row>
    <row r="24027">
      <c r="B24027" t="str">
        <v>UBND Ủy ban nhân dân thị trấn Tân Biên  tỉnh Tây Ninh</v>
      </c>
      <c r="C24027" t="str">
        <v>-</v>
      </c>
      <c r="D24027" t="str">
        <v>-</v>
      </c>
      <c r="E24027" t="str">
        <v>-</v>
      </c>
      <c r="F24027" t="str">
        <v>-</v>
      </c>
      <c r="G24027" t="str">
        <v>-</v>
      </c>
    </row>
    <row r="24028">
      <c r="B24028" t="str">
        <v>Công an thị trấn Tân Châu  tỉnh Tây Ninh</v>
      </c>
      <c r="C24028" t="str">
        <v>-</v>
      </c>
      <c r="D24028" t="str">
        <v>-</v>
      </c>
      <c r="E24028" t="str">
        <v/>
      </c>
      <c r="F24028" t="str">
        <v>-</v>
      </c>
      <c r="G24028" t="str">
        <v>-</v>
      </c>
    </row>
    <row r="24029">
      <c r="B24029" t="str">
        <v>UBND Ủy ban nhân dân thị trấn Tân Châu  tỉnh Tây Ninh</v>
      </c>
      <c r="C24029" t="str">
        <v>-</v>
      </c>
      <c r="D24029" t="str">
        <v>-</v>
      </c>
      <c r="E24029" t="str">
        <v>-</v>
      </c>
      <c r="F24029" t="str">
        <v>-</v>
      </c>
      <c r="G24029" t="str">
        <v>-</v>
      </c>
    </row>
    <row r="24030">
      <c r="B24030" t="str">
        <v>Công an thị trấn Dương Minh Châu  tỉnh Tây Ninh</v>
      </c>
      <c r="C24030" t="str">
        <v>-</v>
      </c>
      <c r="D24030" t="str">
        <v>-</v>
      </c>
      <c r="E24030" t="str">
        <v/>
      </c>
      <c r="F24030" t="str">
        <v>-</v>
      </c>
      <c r="G24030" t="str">
        <v>-</v>
      </c>
    </row>
    <row r="24031">
      <c r="B24031" t="str">
        <v>UBND Ủy ban nhân dân thị trấn Dương Minh Châu  tỉnh Tây Ninh</v>
      </c>
      <c r="C24031" t="str">
        <v>-</v>
      </c>
      <c r="D24031" t="str">
        <v>-</v>
      </c>
      <c r="E24031" t="str">
        <v>-</v>
      </c>
      <c r="F24031" t="str">
        <v>-</v>
      </c>
      <c r="G24031" t="str">
        <v>-</v>
      </c>
    </row>
    <row r="24032">
      <c r="B24032" t="str">
        <v>Công an thị trấn Châu Thành  tỉnh Tây Ninh</v>
      </c>
      <c r="C24032" t="str">
        <v>-</v>
      </c>
      <c r="D24032" t="str">
        <v>-</v>
      </c>
      <c r="E24032" t="str">
        <v/>
      </c>
      <c r="F24032" t="str">
        <v>-</v>
      </c>
      <c r="G24032" t="str">
        <v>-</v>
      </c>
    </row>
    <row r="24033">
      <c r="B24033" t="str">
        <v>UBND Ủy ban nhân dân thị trấn Châu Thành  tỉnh Tây Ninh</v>
      </c>
      <c r="C24033" t="str">
        <v>-</v>
      </c>
      <c r="D24033" t="str">
        <v>-</v>
      </c>
      <c r="E24033" t="str">
        <v>-</v>
      </c>
      <c r="F24033" t="str">
        <v>-</v>
      </c>
      <c r="G24033" t="str">
        <v>-</v>
      </c>
    </row>
    <row r="24034">
      <c r="B24034" t="str">
        <v>Công an thị trấn Hòa Thành  tỉnh Tây Ninh</v>
      </c>
      <c r="C24034" t="str">
        <v>-</v>
      </c>
      <c r="D24034" t="str">
        <v>-</v>
      </c>
      <c r="E24034" t="str">
        <v/>
      </c>
      <c r="F24034" t="str">
        <v>-</v>
      </c>
      <c r="G24034" t="str">
        <v>-</v>
      </c>
    </row>
    <row r="24035">
      <c r="B24035" t="str">
        <v>UBND Ủy ban nhân dân thị trấn Hòa Thành  tỉnh Tây Ninh</v>
      </c>
      <c r="C24035" t="str">
        <v>-</v>
      </c>
      <c r="D24035" t="str">
        <v>-</v>
      </c>
      <c r="E24035" t="str">
        <v>-</v>
      </c>
      <c r="F24035" t="str">
        <v>-</v>
      </c>
      <c r="G24035" t="str">
        <v>-</v>
      </c>
    </row>
    <row r="24036">
      <c r="B24036" t="str">
        <v>Công an thị trấn Gò Dầu  tỉnh Tây Ninh</v>
      </c>
      <c r="C24036" t="str">
        <v>-</v>
      </c>
      <c r="D24036" t="str">
        <v>-</v>
      </c>
      <c r="E24036" t="str">
        <v/>
      </c>
      <c r="F24036" t="str">
        <v>-</v>
      </c>
      <c r="G24036" t="str">
        <v>-</v>
      </c>
    </row>
    <row r="24037">
      <c r="B24037" t="str">
        <v>UBND Ủy ban nhân dân thị trấn Gò Dầu  tỉnh Tây Ninh</v>
      </c>
      <c r="C24037" t="str">
        <v>-</v>
      </c>
      <c r="D24037" t="str">
        <v>-</v>
      </c>
      <c r="E24037" t="str">
        <v>-</v>
      </c>
      <c r="F24037" t="str">
        <v>-</v>
      </c>
      <c r="G24037" t="str">
        <v>-</v>
      </c>
    </row>
    <row r="24038">
      <c r="B24038" t="str">
        <v>Công an thị trấn Bến Cầu  tỉnh Tây Ninh</v>
      </c>
      <c r="C24038" t="str">
        <v>-</v>
      </c>
      <c r="D24038" t="str">
        <v>-</v>
      </c>
      <c r="E24038" t="str">
        <v/>
      </c>
      <c r="F24038" t="str">
        <v>-</v>
      </c>
      <c r="G24038" t="str">
        <v>-</v>
      </c>
    </row>
    <row r="24039">
      <c r="B24039" t="str">
        <v>UBND Ủy ban nhân dân thị trấn Bến Cầu  tỉnh Tây Ninh</v>
      </c>
      <c r="C24039" t="str">
        <v>-</v>
      </c>
      <c r="D24039" t="str">
        <v>-</v>
      </c>
      <c r="E24039" t="str">
        <v>-</v>
      </c>
      <c r="F24039" t="str">
        <v>-</v>
      </c>
      <c r="G24039" t="str">
        <v>-</v>
      </c>
    </row>
    <row r="24040">
      <c r="B24040" t="str">
        <v>Công an thị trấn Trảng Bàng  tỉnh Tây Ninh</v>
      </c>
      <c r="C24040" t="str">
        <v>-</v>
      </c>
      <c r="D24040" t="str">
        <v>-</v>
      </c>
      <c r="E24040" t="str">
        <v/>
      </c>
      <c r="F24040" t="str">
        <v>-</v>
      </c>
      <c r="G24040" t="str">
        <v>-</v>
      </c>
    </row>
    <row r="24041">
      <c r="B24041" t="str">
        <v>UBND Ủy ban nhân dân thị trấn Trảng Bàng  tỉnh Tây Ninh</v>
      </c>
      <c r="C24041" t="str">
        <v>-</v>
      </c>
      <c r="D24041" t="str">
        <v>-</v>
      </c>
      <c r="E24041" t="str">
        <v>-</v>
      </c>
      <c r="F24041" t="str">
        <v>-</v>
      </c>
      <c r="G24041" t="str">
        <v>-</v>
      </c>
    </row>
    <row r="24042">
      <c r="B24042" t="str">
        <v>Công an thị trấn Dầu Tiếng  tỉnh Bình Dương</v>
      </c>
      <c r="C24042" t="str">
        <v>-</v>
      </c>
      <c r="D24042" t="str">
        <v>-</v>
      </c>
      <c r="E24042" t="str">
        <v/>
      </c>
      <c r="F24042" t="str">
        <v>-</v>
      </c>
      <c r="G24042" t="str">
        <v>-</v>
      </c>
    </row>
    <row r="24043">
      <c r="B24043" t="str">
        <v>UBND Ủy ban nhân dân thị trấn Dầu Tiếng  tỉnh Bình Dương</v>
      </c>
      <c r="C24043" t="str">
        <v>-</v>
      </c>
      <c r="D24043" t="str">
        <v>-</v>
      </c>
      <c r="E24043" t="str">
        <v>-</v>
      </c>
      <c r="F24043" t="str">
        <v>-</v>
      </c>
      <c r="G24043" t="str">
        <v>-</v>
      </c>
    </row>
    <row r="24044">
      <c r="B24044" t="str">
        <v>Công an thị trấn Phước Vĩnh  tỉnh Bình Dương</v>
      </c>
      <c r="C24044" t="str">
        <v>-</v>
      </c>
      <c r="D24044" t="str">
        <v>-</v>
      </c>
      <c r="E24044" t="str">
        <v/>
      </c>
      <c r="F24044" t="str">
        <v>-</v>
      </c>
      <c r="G24044" t="str">
        <v>-</v>
      </c>
    </row>
    <row r="24045">
      <c r="B24045" t="str">
        <v>UBND Ủy ban nhân dân thị trấn Phước Vĩnh  tỉnh Bình Dương</v>
      </c>
      <c r="C24045" t="str">
        <v>-</v>
      </c>
      <c r="D24045" t="str">
        <v>-</v>
      </c>
      <c r="E24045" t="str">
        <v>-</v>
      </c>
      <c r="F24045" t="str">
        <v>-</v>
      </c>
      <c r="G24045" t="str">
        <v>-</v>
      </c>
    </row>
    <row r="24046">
      <c r="B24046" t="str">
        <v>Công an thị trấn Tân Phú  tỉnh Đồng Nai</v>
      </c>
      <c r="C24046" t="str">
        <v>-</v>
      </c>
      <c r="D24046" t="str">
        <v>-</v>
      </c>
      <c r="E24046" t="str">
        <v/>
      </c>
      <c r="F24046" t="str">
        <v>-</v>
      </c>
      <c r="G24046" t="str">
        <v>-</v>
      </c>
    </row>
    <row r="24047">
      <c r="B24047" t="str">
        <v>UBND Ủy ban nhân dân thị trấn Tân Phú  tỉnh Đồng Nai</v>
      </c>
      <c r="C24047" t="str">
        <v>-</v>
      </c>
      <c r="D24047" t="str">
        <v>-</v>
      </c>
      <c r="E24047" t="str">
        <v>-</v>
      </c>
      <c r="F24047" t="str">
        <v>-</v>
      </c>
      <c r="G24047" t="str">
        <v>-</v>
      </c>
    </row>
    <row r="24048">
      <c r="B24048" t="str">
        <v>Công an thị trấn Vĩnh An  tỉnh Đồng Nai</v>
      </c>
      <c r="C24048" t="str">
        <v>-</v>
      </c>
      <c r="D24048" t="str">
        <v>-</v>
      </c>
      <c r="E24048" t="str">
        <v/>
      </c>
      <c r="F24048" t="str">
        <v>-</v>
      </c>
      <c r="G24048" t="str">
        <v>-</v>
      </c>
    </row>
    <row r="24049">
      <c r="B24049" t="str">
        <v>UBND Ủy ban nhân dân thị trấn Vĩnh An  tỉnh Đồng Nai</v>
      </c>
      <c r="C24049" t="str">
        <v>-</v>
      </c>
      <c r="D24049" t="str">
        <v>-</v>
      </c>
      <c r="E24049" t="str">
        <v>-</v>
      </c>
      <c r="F24049" t="str">
        <v>-</v>
      </c>
      <c r="G24049" t="str">
        <v>-</v>
      </c>
    </row>
    <row r="24050">
      <c r="B24050" t="str">
        <v>Công an thị trấn Định Quán  tỉnh Đồng Nai</v>
      </c>
      <c r="C24050" t="str">
        <v>-</v>
      </c>
      <c r="D24050" t="str">
        <v>-</v>
      </c>
      <c r="E24050" t="str">
        <v/>
      </c>
      <c r="F24050" t="str">
        <v>-</v>
      </c>
      <c r="G24050" t="str">
        <v>-</v>
      </c>
    </row>
    <row r="24051">
      <c r="B24051" t="str">
        <v>UBND Ủy ban nhân dân thị trấn Định Quán  tỉnh Đồng Nai</v>
      </c>
      <c r="C24051" t="str">
        <v>-</v>
      </c>
      <c r="D24051" t="str">
        <v>-</v>
      </c>
      <c r="E24051" t="str">
        <v>-</v>
      </c>
      <c r="F24051" t="str">
        <v>-</v>
      </c>
      <c r="G24051" t="str">
        <v>-</v>
      </c>
    </row>
    <row r="24052">
      <c r="B24052" t="str">
        <v>Công an thị trấn Trảng Bom  tỉnh Đồng Nai</v>
      </c>
      <c r="C24052" t="str">
        <v>-</v>
      </c>
      <c r="D24052" t="str">
        <v>-</v>
      </c>
      <c r="E24052" t="str">
        <v/>
      </c>
      <c r="F24052" t="str">
        <v>-</v>
      </c>
      <c r="G24052" t="str">
        <v>-</v>
      </c>
    </row>
    <row r="24053">
      <c r="B24053" t="str">
        <v>UBND Ủy ban nhân dân thị trấn Trảng Bom  tỉnh Đồng Nai</v>
      </c>
      <c r="C24053" t="str">
        <v>-</v>
      </c>
      <c r="D24053" t="str">
        <v>-</v>
      </c>
      <c r="E24053" t="str">
        <v>-</v>
      </c>
      <c r="F24053" t="str">
        <v>-</v>
      </c>
      <c r="G24053" t="str">
        <v>-</v>
      </c>
    </row>
    <row r="24054">
      <c r="B24054" t="str">
        <v>Công an thị trấn Long Thành  tỉnh Đồng Nai</v>
      </c>
      <c r="C24054" t="str">
        <v>-</v>
      </c>
      <c r="D24054" t="str">
        <v>-</v>
      </c>
      <c r="E24054" t="str">
        <v/>
      </c>
      <c r="F24054" t="str">
        <v>-</v>
      </c>
      <c r="G24054" t="str">
        <v>-</v>
      </c>
    </row>
    <row r="24055">
      <c r="B24055" t="str">
        <v>UBND Ủy ban nhân dân thị trấn Long Thành  tỉnh Đồng Nai</v>
      </c>
      <c r="C24055" t="str">
        <v>-</v>
      </c>
      <c r="D24055" t="str">
        <v>-</v>
      </c>
      <c r="E24055" t="str">
        <v>-</v>
      </c>
      <c r="F24055" t="str">
        <v>-</v>
      </c>
      <c r="G24055" t="str">
        <v>-</v>
      </c>
    </row>
    <row r="24056">
      <c r="B24056" t="str">
        <v>Công an thị trấn Gia Ray  tỉnh Đồng Nai</v>
      </c>
      <c r="C24056" t="str">
        <v>-</v>
      </c>
      <c r="D24056" t="str">
        <v>-</v>
      </c>
      <c r="E24056" t="str">
        <v/>
      </c>
      <c r="F24056" t="str">
        <v>-</v>
      </c>
      <c r="G24056" t="str">
        <v>-</v>
      </c>
    </row>
    <row r="24057">
      <c r="B24057" t="str">
        <v>UBND Ủy ban nhân dân thị trấn Gia Ray  tỉnh Đồng Nai</v>
      </c>
      <c r="C24057" t="str">
        <v>-</v>
      </c>
      <c r="D24057" t="str">
        <v>-</v>
      </c>
      <c r="E24057" t="str">
        <v>-</v>
      </c>
      <c r="F24057" t="str">
        <v>-</v>
      </c>
      <c r="G24057" t="str">
        <v>-</v>
      </c>
    </row>
    <row r="24058">
      <c r="B24058" t="str">
        <v>Công an thị trấn Ngãi Giao  tỉnh Bà Rịa - Vũng Tàu</v>
      </c>
      <c r="C24058" t="str">
        <v>-</v>
      </c>
      <c r="D24058" t="str">
        <v>-</v>
      </c>
      <c r="E24058" t="str">
        <v/>
      </c>
      <c r="F24058" t="str">
        <v>-</v>
      </c>
      <c r="G24058" t="str">
        <v>-</v>
      </c>
    </row>
    <row r="24059">
      <c r="B24059" t="str">
        <v>UBND Ủy ban nhân dân thị trấn Ngãi Giao  tỉnh Bà Rịa - Vũng Tàu</v>
      </c>
      <c r="C24059" t="str">
        <v>-</v>
      </c>
      <c r="D24059" t="str">
        <v>-</v>
      </c>
      <c r="E24059" t="str">
        <v>-</v>
      </c>
      <c r="F24059" t="str">
        <v>-</v>
      </c>
      <c r="G24059" t="str">
        <v>-</v>
      </c>
    </row>
    <row r="24060">
      <c r="B24060" t="str">
        <v>Công an thị trấn Phước Bửu  tỉnh Bà Rịa - Vũng Tàu</v>
      </c>
      <c r="C24060" t="str">
        <v>-</v>
      </c>
      <c r="D24060" t="str">
        <v>-</v>
      </c>
      <c r="E24060" t="str">
        <v/>
      </c>
      <c r="F24060" t="str">
        <v>-</v>
      </c>
      <c r="G24060" t="str">
        <v>-</v>
      </c>
    </row>
    <row r="24061">
      <c r="B24061" t="str">
        <v>UBND Ủy ban nhân dân thị trấn Phước Bửu  tỉnh Bà Rịa - Vũng Tàu</v>
      </c>
      <c r="C24061" t="str">
        <v>-</v>
      </c>
      <c r="D24061" t="str">
        <v>-</v>
      </c>
      <c r="E24061" t="str">
        <v>-</v>
      </c>
      <c r="F24061" t="str">
        <v>-</v>
      </c>
      <c r="G24061" t="str">
        <v>-</v>
      </c>
    </row>
    <row r="24062">
      <c r="B24062" t="str">
        <v>Công an thị trấn Long Điền  tỉnh Bà Rịa - Vũng Tàu</v>
      </c>
      <c r="C24062" t="str">
        <v>-</v>
      </c>
      <c r="D24062" t="str">
        <v>-</v>
      </c>
      <c r="E24062" t="str">
        <v/>
      </c>
      <c r="F24062" t="str">
        <v>-</v>
      </c>
      <c r="G24062" t="str">
        <v>-</v>
      </c>
    </row>
    <row r="24063">
      <c r="B24063" t="str">
        <v>UBND Ủy ban nhân dân thị trấn Long Điền  tỉnh Bà Rịa - Vũng Tàu</v>
      </c>
      <c r="C24063" t="str">
        <v>-</v>
      </c>
      <c r="D24063" t="str">
        <v>-</v>
      </c>
      <c r="E24063" t="str">
        <v>-</v>
      </c>
      <c r="F24063" t="str">
        <v>-</v>
      </c>
      <c r="G24063" t="str">
        <v>-</v>
      </c>
    </row>
    <row r="24064">
      <c r="B24064" t="str">
        <v>Công an thị trấn Long Hải  tỉnh Bà Rịa - Vũng Tàu</v>
      </c>
      <c r="C24064" t="str">
        <v>-</v>
      </c>
      <c r="D24064" t="str">
        <v>-</v>
      </c>
      <c r="E24064" t="str">
        <v/>
      </c>
      <c r="F24064" t="str">
        <v>-</v>
      </c>
      <c r="G24064" t="str">
        <v>-</v>
      </c>
    </row>
    <row r="24065">
      <c r="B24065" t="str">
        <v>UBND Ủy ban nhân dân thị trấn Long Hải  tỉnh Bà Rịa - Vũng Tàu</v>
      </c>
      <c r="C24065" t="str">
        <v>-</v>
      </c>
      <c r="D24065" t="str">
        <v>-</v>
      </c>
      <c r="E24065" t="str">
        <v>-</v>
      </c>
      <c r="F24065" t="str">
        <v>-</v>
      </c>
      <c r="G24065" t="str">
        <v>-</v>
      </c>
    </row>
    <row r="24066">
      <c r="B24066" t="str">
        <v>Công an thị trấn Đất Đỏ  tỉnh Bà Rịa - Vũng Tàu</v>
      </c>
      <c r="C24066" t="str">
        <v>-</v>
      </c>
      <c r="D24066" t="str">
        <v>-</v>
      </c>
      <c r="E24066" t="str">
        <v/>
      </c>
      <c r="F24066" t="str">
        <v>-</v>
      </c>
      <c r="G24066" t="str">
        <v>-</v>
      </c>
    </row>
    <row r="24067">
      <c r="B24067" t="str">
        <v>UBND Ủy ban nhân dân thị trấn Đất Đỏ  tỉnh Bà Rịa - Vũng Tàu</v>
      </c>
      <c r="C24067" t="str">
        <v>-</v>
      </c>
      <c r="D24067" t="str">
        <v>-</v>
      </c>
      <c r="E24067" t="str">
        <v>-</v>
      </c>
      <c r="F24067" t="str">
        <v>-</v>
      </c>
      <c r="G24067" t="str">
        <v>-</v>
      </c>
    </row>
    <row r="24068">
      <c r="B24068" t="str">
        <v>Công an thị trấn Phước Hải  tỉnh Bà Rịa - Vũng Tàu</v>
      </c>
      <c r="C24068" t="str">
        <v>-</v>
      </c>
      <c r="D24068" t="str">
        <v>-</v>
      </c>
      <c r="E24068" t="str">
        <v/>
      </c>
      <c r="F24068" t="str">
        <v>-</v>
      </c>
      <c r="G24068" t="str">
        <v>-</v>
      </c>
    </row>
    <row r="24069">
      <c r="B24069" t="str">
        <v>UBND Ủy ban nhân dân thị trấn Phước Hải  tỉnh Bà Rịa - Vũng Tàu</v>
      </c>
      <c r="C24069" t="str">
        <v>-</v>
      </c>
      <c r="D24069" t="str">
        <v>-</v>
      </c>
      <c r="E24069" t="str">
        <v>-</v>
      </c>
      <c r="F24069" t="str">
        <v>-</v>
      </c>
      <c r="G24069" t="str">
        <v>-</v>
      </c>
    </row>
    <row r="24070">
      <c r="B24070" t="str">
        <v>Công an thị trấn Phú Mỹ  tỉnh Bà Rịa - Vũng Tàu</v>
      </c>
      <c r="C24070" t="str">
        <v>-</v>
      </c>
      <c r="D24070" t="str">
        <v>-</v>
      </c>
      <c r="E24070" t="str">
        <v/>
      </c>
      <c r="F24070" t="str">
        <v>-</v>
      </c>
      <c r="G24070" t="str">
        <v>-</v>
      </c>
    </row>
    <row r="24071">
      <c r="B24071" t="str">
        <v>UBND Ủy ban nhân dân thị trấn Phú Mỹ  tỉnh Bà Rịa - Vũng Tàu</v>
      </c>
      <c r="C24071" t="str">
        <v>-</v>
      </c>
      <c r="D24071" t="str">
        <v>-</v>
      </c>
      <c r="E24071" t="str">
        <v>-</v>
      </c>
      <c r="F24071" t="str">
        <v>-</v>
      </c>
      <c r="G24071" t="str">
        <v>-</v>
      </c>
    </row>
    <row r="24072">
      <c r="B24072" t="str">
        <v>Công an thị trấn Củ Chi thành phố Hồ Chí Minh</v>
      </c>
      <c r="C24072" t="str">
        <v>-</v>
      </c>
      <c r="D24072" t="str">
        <v>-</v>
      </c>
      <c r="E24072" t="str">
        <v/>
      </c>
      <c r="F24072" t="str">
        <v>-</v>
      </c>
      <c r="G24072" t="str">
        <v>-</v>
      </c>
    </row>
    <row r="24073">
      <c r="B24073" t="str">
        <v>UBND Ủy ban nhân dân thị trấn Củ Chi thành phố Hồ Chí Minh</v>
      </c>
      <c r="C24073" t="str">
        <v>-</v>
      </c>
      <c r="D24073" t="str">
        <v>-</v>
      </c>
      <c r="E24073" t="str">
        <v>-</v>
      </c>
      <c r="F24073" t="str">
        <v>-</v>
      </c>
      <c r="G24073" t="str">
        <v>-</v>
      </c>
    </row>
    <row r="24074">
      <c r="B24074" t="str">
        <v>Công an thị trấn Hóc Môn thành phố Hồ Chí Minh</v>
      </c>
      <c r="C24074" t="str">
        <v>-</v>
      </c>
      <c r="D24074" t="str">
        <v>-</v>
      </c>
      <c r="E24074" t="str">
        <v/>
      </c>
      <c r="F24074" t="str">
        <v>-</v>
      </c>
      <c r="G24074" t="str">
        <v>-</v>
      </c>
    </row>
    <row r="24075">
      <c r="B24075" t="str">
        <v>UBND Ủy ban nhân dân thị trấn Hóc Môn thành phố Hồ Chí Minh</v>
      </c>
      <c r="C24075" t="str">
        <v>-</v>
      </c>
      <c r="D24075" t="str">
        <v>-</v>
      </c>
      <c r="E24075" t="str">
        <v>-</v>
      </c>
      <c r="F24075" t="str">
        <v>-</v>
      </c>
      <c r="G24075" t="str">
        <v>-</v>
      </c>
    </row>
    <row r="24076">
      <c r="B24076" t="str">
        <v>Công an thị trấn Tân Túc thành phố Hồ Chí Minh</v>
      </c>
      <c r="C24076" t="str">
        <v>-</v>
      </c>
      <c r="D24076" t="str">
        <v>-</v>
      </c>
      <c r="E24076" t="str">
        <v/>
      </c>
      <c r="F24076" t="str">
        <v>-</v>
      </c>
      <c r="G24076" t="str">
        <v>-</v>
      </c>
    </row>
    <row r="24077">
      <c r="B24077" t="str">
        <v>UBND Ủy ban nhân dân thị trấn Tân Túc thành phố Hồ Chí Minh</v>
      </c>
      <c r="C24077" t="str">
        <v>-</v>
      </c>
      <c r="D24077" t="str">
        <v>-</v>
      </c>
      <c r="E24077" t="str">
        <v>-</v>
      </c>
      <c r="F24077" t="str">
        <v>-</v>
      </c>
      <c r="G24077" t="str">
        <v>-</v>
      </c>
    </row>
    <row r="24078">
      <c r="B24078" t="str">
        <v>Công an thị trấn Nhà Bè thành phố Hồ Chí Minh</v>
      </c>
      <c r="C24078" t="str">
        <v>-</v>
      </c>
      <c r="D24078" t="str">
        <v>-</v>
      </c>
      <c r="E24078" t="str">
        <v/>
      </c>
      <c r="F24078" t="str">
        <v>-</v>
      </c>
      <c r="G24078" t="str">
        <v>-</v>
      </c>
    </row>
    <row r="24079">
      <c r="B24079" t="str">
        <v>UBND Ủy ban nhân dân thị trấn Nhà Bè thành phố Hồ Chí Minh</v>
      </c>
      <c r="C24079" t="str">
        <v>-</v>
      </c>
      <c r="D24079" t="str">
        <v>-</v>
      </c>
      <c r="E24079" t="str">
        <v>-</v>
      </c>
      <c r="F24079" t="str">
        <v>-</v>
      </c>
      <c r="G24079" t="str">
        <v>-</v>
      </c>
    </row>
    <row r="24080">
      <c r="B24080" t="str">
        <v>Công an thị trấn Cần Thạnh thành phố Hồ Chí Minh</v>
      </c>
      <c r="C24080" t="str">
        <v>-</v>
      </c>
      <c r="D24080" t="str">
        <v>-</v>
      </c>
      <c r="E24080" t="str">
        <v/>
      </c>
      <c r="F24080" t="str">
        <v>-</v>
      </c>
      <c r="G24080" t="str">
        <v>-</v>
      </c>
    </row>
    <row r="24081">
      <c r="B24081" t="str">
        <v>UBND Ủy ban nhân dân thị trấn Cần Thạnh thành phố Hồ Chí Minh</v>
      </c>
      <c r="C24081" t="str">
        <v>-</v>
      </c>
      <c r="D24081" t="str">
        <v>-</v>
      </c>
      <c r="E24081" t="str">
        <v>-</v>
      </c>
      <c r="F24081" t="str">
        <v>-</v>
      </c>
      <c r="G24081" t="str">
        <v>-</v>
      </c>
    </row>
    <row r="24082">
      <c r="B24082" t="str">
        <v>Công an thị trấn Tân Hưng  tỉnh Long An</v>
      </c>
      <c r="C24082" t="str">
        <v>-</v>
      </c>
      <c r="D24082" t="str">
        <v>-</v>
      </c>
      <c r="E24082" t="str">
        <v/>
      </c>
      <c r="F24082" t="str">
        <v>-</v>
      </c>
      <c r="G24082" t="str">
        <v>-</v>
      </c>
    </row>
    <row r="24083">
      <c r="B24083" t="str">
        <v>UBND Ủy ban nhân dân thị trấn Tân Hưng  tỉnh Long An</v>
      </c>
      <c r="C24083" t="str">
        <v>-</v>
      </c>
      <c r="D24083" t="str">
        <v>-</v>
      </c>
      <c r="E24083" t="str">
        <v>-</v>
      </c>
      <c r="F24083" t="str">
        <v>-</v>
      </c>
      <c r="G24083" t="str">
        <v>-</v>
      </c>
    </row>
    <row r="24084">
      <c r="B24084" t="str">
        <v>Công an thị trấn Vĩnh Hưng  tỉnh Long An</v>
      </c>
      <c r="C24084" t="str">
        <v>-</v>
      </c>
      <c r="D24084" t="str">
        <v>-</v>
      </c>
      <c r="E24084" t="str">
        <v/>
      </c>
      <c r="F24084" t="str">
        <v>-</v>
      </c>
      <c r="G24084" t="str">
        <v>-</v>
      </c>
    </row>
    <row r="24085">
      <c r="B24085" t="str">
        <v>UBND Ủy ban nhân dân thị trấn Vĩnh Hưng  tỉnh Long An</v>
      </c>
      <c r="C24085" t="str">
        <v>-</v>
      </c>
      <c r="D24085" t="str">
        <v>-</v>
      </c>
      <c r="E24085" t="str">
        <v>-</v>
      </c>
      <c r="F24085" t="str">
        <v>-</v>
      </c>
      <c r="G24085" t="str">
        <v>-</v>
      </c>
    </row>
    <row r="24086">
      <c r="B24086" t="str">
        <v>Công an thị trấn Tân Thạnh  tỉnh Long An</v>
      </c>
      <c r="C24086" t="str">
        <v>-</v>
      </c>
      <c r="D24086" t="str">
        <v>-</v>
      </c>
      <c r="E24086" t="str">
        <v/>
      </c>
      <c r="F24086" t="str">
        <v>-</v>
      </c>
      <c r="G24086" t="str">
        <v>-</v>
      </c>
    </row>
    <row r="24087">
      <c r="B24087" t="str">
        <v>UBND Ủy ban nhân dân thị trấn Tân Thạnh  tỉnh Long An</v>
      </c>
      <c r="C24087" t="str">
        <v>-</v>
      </c>
      <c r="D24087" t="str">
        <v>-</v>
      </c>
      <c r="E24087" t="str">
        <v>-</v>
      </c>
      <c r="F24087" t="str">
        <v>-</v>
      </c>
      <c r="G24087" t="str">
        <v>-</v>
      </c>
    </row>
    <row r="24088">
      <c r="B24088" t="str">
        <v>Công an thị trấn Thạnh Hóa  tỉnh Long An</v>
      </c>
      <c r="C24088" t="str">
        <v>-</v>
      </c>
      <c r="D24088" t="str">
        <v>-</v>
      </c>
      <c r="E24088" t="str">
        <v/>
      </c>
      <c r="F24088" t="str">
        <v>-</v>
      </c>
      <c r="G24088" t="str">
        <v>-</v>
      </c>
    </row>
    <row r="24089">
      <c r="B24089" t="str">
        <v>UBND Ủy ban nhân dân thị trấn Thạnh Hóa  tỉnh Long An</v>
      </c>
      <c r="C24089" t="str">
        <v>-</v>
      </c>
      <c r="D24089" t="str">
        <v>-</v>
      </c>
      <c r="E24089" t="str">
        <v>-</v>
      </c>
      <c r="F24089" t="str">
        <v>-</v>
      </c>
      <c r="G24089" t="str">
        <v>-</v>
      </c>
    </row>
    <row r="24090">
      <c r="B24090" t="str">
        <v>Công an thị trấn Đông Thành  tỉnh Long An</v>
      </c>
      <c r="C24090" t="str">
        <v>-</v>
      </c>
      <c r="D24090" t="str">
        <v>-</v>
      </c>
      <c r="E24090" t="str">
        <v/>
      </c>
      <c r="F24090" t="str">
        <v>-</v>
      </c>
      <c r="G24090" t="str">
        <v>-</v>
      </c>
    </row>
    <row r="24091">
      <c r="B24091" t="str">
        <v>UBND Ủy ban nhân dân thị trấn Đông Thành  tỉnh Long An</v>
      </c>
      <c r="C24091" t="str">
        <v>-</v>
      </c>
      <c r="D24091" t="str">
        <v>-</v>
      </c>
      <c r="E24091" t="str">
        <v>-</v>
      </c>
      <c r="F24091" t="str">
        <v>-</v>
      </c>
      <c r="G24091" t="str">
        <v>-</v>
      </c>
    </row>
    <row r="24092">
      <c r="B24092" t="str">
        <v>Công an thị trấn Hậu Nghĩa  tỉnh Long An</v>
      </c>
      <c r="C24092" t="str">
        <v>-</v>
      </c>
      <c r="D24092" t="str">
        <v>-</v>
      </c>
      <c r="E24092" t="str">
        <v/>
      </c>
      <c r="F24092" t="str">
        <v>-</v>
      </c>
      <c r="G24092" t="str">
        <v>-</v>
      </c>
    </row>
    <row r="24093">
      <c r="B24093" t="str">
        <v>UBND Ủy ban nhân dân thị trấn Hậu Nghĩa  tỉnh Long An</v>
      </c>
      <c r="C24093" t="str">
        <v>-</v>
      </c>
      <c r="D24093" t="str">
        <v>-</v>
      </c>
      <c r="E24093" t="str">
        <v>-</v>
      </c>
      <c r="F24093" t="str">
        <v>-</v>
      </c>
      <c r="G24093" t="str">
        <v>-</v>
      </c>
    </row>
    <row r="24094">
      <c r="B24094" t="str">
        <v>Công an thị trấn Hiệp Hòa  tỉnh Long An</v>
      </c>
      <c r="C24094" t="str">
        <v>-</v>
      </c>
      <c r="D24094" t="str">
        <v>-</v>
      </c>
      <c r="E24094" t="str">
        <v/>
      </c>
      <c r="F24094" t="str">
        <v>-</v>
      </c>
      <c r="G24094" t="str">
        <v>-</v>
      </c>
    </row>
    <row r="24095">
      <c r="B24095" t="str">
        <v>UBND Ủy ban nhân dân thị trấn Hiệp Hòa  tỉnh Long An</v>
      </c>
      <c r="C24095" t="str">
        <v>-</v>
      </c>
      <c r="D24095" t="str">
        <v>-</v>
      </c>
      <c r="E24095" t="str">
        <v>-</v>
      </c>
      <c r="F24095" t="str">
        <v>-</v>
      </c>
      <c r="G24095" t="str">
        <v>-</v>
      </c>
    </row>
    <row r="24096">
      <c r="B24096" t="str">
        <v>Công an thị trấn Đức Hòa  tỉnh Long An</v>
      </c>
      <c r="C24096" t="str">
        <v>-</v>
      </c>
      <c r="D24096" t="str">
        <v>-</v>
      </c>
      <c r="E24096" t="str">
        <v/>
      </c>
      <c r="F24096" t="str">
        <v>-</v>
      </c>
      <c r="G24096" t="str">
        <v>-</v>
      </c>
    </row>
    <row r="24097">
      <c r="B24097" t="str">
        <v>UBND Ủy ban nhân dân thị trấn Đức Hòa  tỉnh Long An</v>
      </c>
      <c r="C24097" t="str">
        <v>-</v>
      </c>
      <c r="D24097" t="str">
        <v>-</v>
      </c>
      <c r="E24097" t="str">
        <v>-</v>
      </c>
      <c r="F24097" t="str">
        <v>-</v>
      </c>
      <c r="G24097" t="str">
        <v>-</v>
      </c>
    </row>
    <row r="24098">
      <c r="B24098" t="str">
        <v>Công an thị trấn Bến Lức  tỉnh Long An</v>
      </c>
      <c r="C24098" t="str">
        <v>-</v>
      </c>
      <c r="D24098" t="str">
        <v>-</v>
      </c>
      <c r="E24098" t="str">
        <v/>
      </c>
      <c r="F24098" t="str">
        <v>-</v>
      </c>
      <c r="G24098" t="str">
        <v>-</v>
      </c>
    </row>
    <row r="24099">
      <c r="B24099" t="str">
        <v>UBND Ủy ban nhân dân thị trấn Bến Lức  tỉnh Long An</v>
      </c>
      <c r="C24099" t="str">
        <v>-</v>
      </c>
      <c r="D24099" t="str">
        <v>-</v>
      </c>
      <c r="E24099" t="str">
        <v>-</v>
      </c>
      <c r="F24099" t="str">
        <v>-</v>
      </c>
      <c r="G24099" t="str">
        <v>-</v>
      </c>
    </row>
    <row r="24100">
      <c r="B24100" t="str">
        <v>Công an thị trấn Thủ Thừa  tỉnh Long An</v>
      </c>
      <c r="C24100" t="str">
        <v>-</v>
      </c>
      <c r="D24100" t="str">
        <v>-</v>
      </c>
      <c r="E24100" t="str">
        <v/>
      </c>
      <c r="F24100" t="str">
        <v>-</v>
      </c>
      <c r="G24100" t="str">
        <v>-</v>
      </c>
    </row>
    <row r="24101">
      <c r="B24101" t="str">
        <v>UBND Ủy ban nhân dân thị trấn Thủ Thừa  tỉnh Long An</v>
      </c>
      <c r="C24101" t="str">
        <v>-</v>
      </c>
      <c r="D24101" t="str">
        <v>-</v>
      </c>
      <c r="E24101" t="str">
        <v>-</v>
      </c>
      <c r="F24101" t="str">
        <v>-</v>
      </c>
      <c r="G24101" t="str">
        <v>-</v>
      </c>
    </row>
    <row r="24102">
      <c r="B24102" t="str">
        <v>Công an thị trấn Tân Trụ  tỉnh Long An</v>
      </c>
      <c r="C24102" t="str">
        <v>-</v>
      </c>
      <c r="D24102" t="str">
        <v>-</v>
      </c>
      <c r="E24102" t="str">
        <v/>
      </c>
      <c r="F24102" t="str">
        <v>-</v>
      </c>
      <c r="G24102" t="str">
        <v>-</v>
      </c>
    </row>
    <row r="24103">
      <c r="B24103" t="str">
        <v>UBND Ủy ban nhân dân thị trấn Tân Trụ  tỉnh Long An</v>
      </c>
      <c r="C24103" t="str">
        <v>-</v>
      </c>
      <c r="D24103" t="str">
        <v>-</v>
      </c>
      <c r="E24103" t="str">
        <v>-</v>
      </c>
      <c r="F24103" t="str">
        <v>-</v>
      </c>
      <c r="G24103" t="str">
        <v>-</v>
      </c>
    </row>
    <row r="24104">
      <c r="B24104" t="str">
        <v>Công an thị trấn Cần Đước  tỉnh Long An</v>
      </c>
      <c r="C24104" t="str">
        <v>-</v>
      </c>
      <c r="D24104" t="str">
        <v>-</v>
      </c>
      <c r="E24104" t="str">
        <v/>
      </c>
      <c r="F24104" t="str">
        <v>-</v>
      </c>
      <c r="G24104" t="str">
        <v>-</v>
      </c>
    </row>
    <row r="24105">
      <c r="B24105" t="str">
        <v>UBND Ủy ban nhân dân thị trấn Cần Đước  tỉnh Long An</v>
      </c>
      <c r="C24105" t="str">
        <v>-</v>
      </c>
      <c r="D24105" t="str">
        <v>-</v>
      </c>
      <c r="E24105" t="str">
        <v>-</v>
      </c>
      <c r="F24105" t="str">
        <v>-</v>
      </c>
      <c r="G24105" t="str">
        <v>-</v>
      </c>
    </row>
    <row r="24106">
      <c r="B24106" t="str">
        <v>Công an thị trấn Cần Giuộc  tỉnh Long An</v>
      </c>
      <c r="C24106" t="str">
        <v>-</v>
      </c>
      <c r="D24106" t="str">
        <v>-</v>
      </c>
      <c r="E24106" t="str">
        <v/>
      </c>
      <c r="F24106" t="str">
        <v>-</v>
      </c>
      <c r="G24106" t="str">
        <v>-</v>
      </c>
    </row>
    <row r="24107">
      <c r="B24107" t="str">
        <v>UBND Ủy ban nhân dân thị trấn Cần Giuộc  tỉnh Long An</v>
      </c>
      <c r="C24107" t="str">
        <v>-</v>
      </c>
      <c r="D24107" t="str">
        <v>-</v>
      </c>
      <c r="E24107" t="str">
        <v>-</v>
      </c>
      <c r="F24107" t="str">
        <v>-</v>
      </c>
      <c r="G24107" t="str">
        <v>-</v>
      </c>
    </row>
    <row r="24108">
      <c r="B24108" t="str">
        <v>Công an thị trấn Tầm Vu  tỉnh Long An</v>
      </c>
      <c r="C24108" t="str">
        <v>-</v>
      </c>
      <c r="D24108" t="str">
        <v>-</v>
      </c>
      <c r="E24108" t="str">
        <v/>
      </c>
      <c r="F24108" t="str">
        <v>-</v>
      </c>
      <c r="G24108" t="str">
        <v>-</v>
      </c>
    </row>
    <row r="24109">
      <c r="B24109" t="str">
        <v>UBND Ủy ban nhân dân thị trấn Tầm Vu  tỉnh Long An</v>
      </c>
      <c r="C24109" t="str">
        <v>-</v>
      </c>
      <c r="D24109" t="str">
        <v>-</v>
      </c>
      <c r="E24109" t="str">
        <v>-</v>
      </c>
      <c r="F24109" t="str">
        <v>-</v>
      </c>
      <c r="G24109" t="str">
        <v>-</v>
      </c>
    </row>
    <row r="24110">
      <c r="B24110" t="str">
        <v>Công an thị trấn Mỹ Phước  tỉnh Tiền Giang</v>
      </c>
      <c r="C24110" t="str">
        <v>-</v>
      </c>
      <c r="D24110" t="str">
        <v>-</v>
      </c>
      <c r="E24110" t="str">
        <v/>
      </c>
      <c r="F24110" t="str">
        <v>-</v>
      </c>
      <c r="G24110" t="str">
        <v>-</v>
      </c>
    </row>
    <row r="24111">
      <c r="B24111" t="str">
        <v>UBND Ủy ban nhân dân thị trấn Mỹ Phước  tỉnh Tiền Giang</v>
      </c>
      <c r="C24111" t="str">
        <v>-</v>
      </c>
      <c r="D24111" t="str">
        <v>-</v>
      </c>
      <c r="E24111" t="str">
        <v>-</v>
      </c>
      <c r="F24111" t="str">
        <v>-</v>
      </c>
      <c r="G24111" t="str">
        <v>-</v>
      </c>
    </row>
    <row r="24112">
      <c r="B24112" t="str">
        <v>Công an thị trấn Cái Bè  tỉnh Tiền Giang</v>
      </c>
      <c r="C24112" t="str">
        <v>-</v>
      </c>
      <c r="D24112" t="str">
        <v>-</v>
      </c>
      <c r="E24112" t="str">
        <v/>
      </c>
      <c r="F24112" t="str">
        <v>-</v>
      </c>
      <c r="G24112" t="str">
        <v>-</v>
      </c>
    </row>
    <row r="24113">
      <c r="B24113" t="str">
        <v>UBND Ủy ban nhân dân thị trấn Cái Bè  tỉnh Tiền Giang</v>
      </c>
      <c r="C24113" t="str">
        <v>-</v>
      </c>
      <c r="D24113" t="str">
        <v>-</v>
      </c>
      <c r="E24113" t="str">
        <v>-</v>
      </c>
      <c r="F24113" t="str">
        <v>-</v>
      </c>
      <c r="G24113" t="str">
        <v>-</v>
      </c>
    </row>
    <row r="24114">
      <c r="B24114" t="str">
        <v>Công an thị trấn Tân Hiệp  tỉnh Tiền Giang</v>
      </c>
      <c r="C24114" t="str">
        <v>-</v>
      </c>
      <c r="D24114" t="str">
        <v>-</v>
      </c>
      <c r="E24114" t="str">
        <v/>
      </c>
      <c r="F24114" t="str">
        <v>-</v>
      </c>
      <c r="G24114" t="str">
        <v>-</v>
      </c>
    </row>
    <row r="24115">
      <c r="B24115" t="str">
        <v>UBND Ủy ban nhân dân thị trấn Tân Hiệp  tỉnh Tiền Giang</v>
      </c>
      <c r="C24115" t="str">
        <v>-</v>
      </c>
      <c r="D24115" t="str">
        <v>-</v>
      </c>
      <c r="E24115" t="str">
        <v>-</v>
      </c>
      <c r="F24115" t="str">
        <v>-</v>
      </c>
      <c r="G24115" t="str">
        <v>-</v>
      </c>
    </row>
    <row r="24116">
      <c r="B24116" t="str">
        <v>Công an thị trấn Chợ Gạo  tỉnh Tiền Giang</v>
      </c>
      <c r="C24116" t="str">
        <v>-</v>
      </c>
      <c r="D24116" t="str">
        <v>-</v>
      </c>
      <c r="E24116" t="str">
        <v/>
      </c>
      <c r="F24116" t="str">
        <v>-</v>
      </c>
      <c r="G24116" t="str">
        <v>-</v>
      </c>
    </row>
    <row r="24117">
      <c r="B24117" t="str">
        <v>UBND Ủy ban nhân dân thị trấn Chợ Gạo  tỉnh Tiền Giang</v>
      </c>
      <c r="C24117" t="str">
        <v>-</v>
      </c>
      <c r="D24117" t="str">
        <v>-</v>
      </c>
      <c r="E24117" t="str">
        <v>-</v>
      </c>
      <c r="F24117" t="str">
        <v>-</v>
      </c>
      <c r="G24117" t="str">
        <v>-</v>
      </c>
    </row>
    <row r="24118">
      <c r="B24118" t="str">
        <v>Công an thị trấn Vĩnh Bình  tỉnh Tiền Giang</v>
      </c>
      <c r="C24118" t="str">
        <v>-</v>
      </c>
      <c r="D24118" t="str">
        <v>-</v>
      </c>
      <c r="E24118" t="str">
        <v/>
      </c>
      <c r="F24118" t="str">
        <v>-</v>
      </c>
      <c r="G24118" t="str">
        <v>-</v>
      </c>
    </row>
    <row r="24119">
      <c r="B24119" t="str">
        <v>UBND Ủy ban nhân dân thị trấn Vĩnh Bình  tỉnh Tiền Giang</v>
      </c>
      <c r="C24119" t="str">
        <v>-</v>
      </c>
      <c r="D24119" t="str">
        <v>-</v>
      </c>
      <c r="E24119" t="str">
        <v>-</v>
      </c>
      <c r="F24119" t="str">
        <v>-</v>
      </c>
      <c r="G24119" t="str">
        <v>-</v>
      </c>
    </row>
    <row r="24120">
      <c r="B24120" t="str">
        <v>Công an thị trấn Tân Hòa  tỉnh Tiền Giang</v>
      </c>
      <c r="C24120" t="str">
        <v>-</v>
      </c>
      <c r="D24120" t="str">
        <v>-</v>
      </c>
      <c r="E24120" t="str">
        <v/>
      </c>
      <c r="F24120" t="str">
        <v>-</v>
      </c>
      <c r="G24120" t="str">
        <v>-</v>
      </c>
    </row>
    <row r="24121">
      <c r="B24121" t="str">
        <v>UBND Ủy ban nhân dân thị trấn Tân Hòa  tỉnh Tiền Giang</v>
      </c>
      <c r="C24121" t="str">
        <v>-</v>
      </c>
      <c r="D24121" t="str">
        <v>-</v>
      </c>
      <c r="E24121" t="str">
        <v>-</v>
      </c>
      <c r="F24121" t="str">
        <v>-</v>
      </c>
      <c r="G24121" t="str">
        <v>-</v>
      </c>
    </row>
    <row r="24122">
      <c r="B24122" t="str">
        <v>Công an thị trấn Vàm Láng  tỉnh Tiền Giang</v>
      </c>
      <c r="C24122" t="str">
        <v>-</v>
      </c>
      <c r="D24122" t="str">
        <v>-</v>
      </c>
      <c r="E24122" t="str">
        <v/>
      </c>
      <c r="F24122" t="str">
        <v>-</v>
      </c>
      <c r="G24122" t="str">
        <v>-</v>
      </c>
    </row>
    <row r="24123">
      <c r="B24123" t="str">
        <v>UBND Ủy ban nhân dân thị trấn Vàm Láng  tỉnh Tiền Giang</v>
      </c>
      <c r="C24123" t="str">
        <v>-</v>
      </c>
      <c r="D24123" t="str">
        <v>-</v>
      </c>
      <c r="E24123" t="str">
        <v>-</v>
      </c>
      <c r="F24123" t="str">
        <v>-</v>
      </c>
      <c r="G24123" t="str">
        <v>-</v>
      </c>
    </row>
    <row r="24124">
      <c r="B24124" t="str">
        <v>Công an thị trấn Châu Thành  tỉnh Bến Tre</v>
      </c>
      <c r="C24124" t="str">
        <v>-</v>
      </c>
      <c r="D24124" t="str">
        <v>-</v>
      </c>
      <c r="E24124" t="str">
        <v/>
      </c>
      <c r="F24124" t="str">
        <v>-</v>
      </c>
      <c r="G24124" t="str">
        <v>-</v>
      </c>
    </row>
    <row r="24125">
      <c r="B24125" t="str">
        <v>UBND Ủy ban nhân dân thị trấn Châu Thành  tỉnh Bến Tre</v>
      </c>
      <c r="C24125" t="str">
        <v>-</v>
      </c>
      <c r="D24125" t="str">
        <v>-</v>
      </c>
      <c r="E24125" t="str">
        <v>-</v>
      </c>
      <c r="F24125" t="str">
        <v>-</v>
      </c>
      <c r="G24125" t="str">
        <v>-</v>
      </c>
    </row>
    <row r="24126">
      <c r="B24126" t="str">
        <v>Công an thị trấn Chợ Lách  tỉnh Bến Tre</v>
      </c>
      <c r="C24126" t="str">
        <v>-</v>
      </c>
      <c r="D24126" t="str">
        <v>-</v>
      </c>
      <c r="E24126" t="str">
        <v/>
      </c>
      <c r="F24126" t="str">
        <v>-</v>
      </c>
      <c r="G24126" t="str">
        <v>-</v>
      </c>
    </row>
    <row r="24127">
      <c r="B24127" t="str">
        <v>UBND Ủy ban nhân dân thị trấn Chợ Lách  tỉnh Bến Tre</v>
      </c>
      <c r="C24127" t="str">
        <v>-</v>
      </c>
      <c r="D24127" t="str">
        <v>-</v>
      </c>
      <c r="E24127" t="str">
        <v>-</v>
      </c>
      <c r="F24127" t="str">
        <v>-</v>
      </c>
      <c r="G24127" t="str">
        <v>-</v>
      </c>
    </row>
    <row r="24128">
      <c r="B24128" t="str">
        <v>Công an thị trấn Mỏ Cày  tỉnh Bến Tre</v>
      </c>
      <c r="C24128" t="str">
        <v>-</v>
      </c>
      <c r="D24128" t="str">
        <v>-</v>
      </c>
      <c r="E24128" t="str">
        <v/>
      </c>
      <c r="F24128" t="str">
        <v>-</v>
      </c>
      <c r="G24128" t="str">
        <v>-</v>
      </c>
    </row>
    <row r="24129">
      <c r="B24129" t="str">
        <v>UBND Ủy ban nhân dân thị trấn Mỏ Cày  tỉnh Bến Tre</v>
      </c>
      <c r="C24129" t="str">
        <v>-</v>
      </c>
      <c r="D24129" t="str">
        <v>-</v>
      </c>
      <c r="E24129" t="str">
        <v>-</v>
      </c>
      <c r="F24129" t="str">
        <v>-</v>
      </c>
      <c r="G24129" t="str">
        <v>-</v>
      </c>
    </row>
    <row r="24130">
      <c r="B24130" t="str">
        <v>Công an thị trấn Giồng Trôm  tỉnh Bến Tre</v>
      </c>
      <c r="C24130" t="str">
        <v>-</v>
      </c>
      <c r="D24130" t="str">
        <v>-</v>
      </c>
      <c r="E24130" t="str">
        <v/>
      </c>
      <c r="F24130" t="str">
        <v>-</v>
      </c>
      <c r="G24130" t="str">
        <v>-</v>
      </c>
    </row>
    <row r="24131">
      <c r="B24131" t="str">
        <v>UBND Ủy ban nhân dân thị trấn Giồng Trôm  tỉnh Bến Tre</v>
      </c>
      <c r="C24131" t="str">
        <v>-</v>
      </c>
      <c r="D24131" t="str">
        <v>-</v>
      </c>
      <c r="E24131" t="str">
        <v>-</v>
      </c>
      <c r="F24131" t="str">
        <v>-</v>
      </c>
      <c r="G24131" t="str">
        <v>-</v>
      </c>
    </row>
    <row r="24132">
      <c r="B24132" t="str">
        <v>Công an thị trấn Bình Đại  tỉnh Bến Tre</v>
      </c>
      <c r="C24132" t="str">
        <v>-</v>
      </c>
      <c r="D24132" t="str">
        <v>-</v>
      </c>
      <c r="E24132" t="str">
        <v/>
      </c>
      <c r="F24132" t="str">
        <v>-</v>
      </c>
      <c r="G24132" t="str">
        <v>-</v>
      </c>
    </row>
    <row r="24133">
      <c r="B24133" t="str">
        <v>UBND Ủy ban nhân dân thị trấn Bình Đại  tỉnh Bến Tre</v>
      </c>
      <c r="C24133" t="str">
        <v>-</v>
      </c>
      <c r="D24133" t="str">
        <v>-</v>
      </c>
      <c r="E24133" t="str">
        <v>-</v>
      </c>
      <c r="F24133" t="str">
        <v>-</v>
      </c>
      <c r="G24133" t="str">
        <v>-</v>
      </c>
    </row>
    <row r="24134">
      <c r="B24134" t="str">
        <v>Công an thị trấn Ba Tri  tỉnh Bến Tre</v>
      </c>
      <c r="C24134" t="str">
        <v>-</v>
      </c>
      <c r="D24134" t="str">
        <v>-</v>
      </c>
      <c r="E24134" t="str">
        <v/>
      </c>
      <c r="F24134" t="str">
        <v>-</v>
      </c>
      <c r="G24134" t="str">
        <v>-</v>
      </c>
    </row>
    <row r="24135">
      <c r="B24135" t="str">
        <v>UBND Ủy ban nhân dân thị trấn Ba Tri  tỉnh Bến Tre</v>
      </c>
      <c r="C24135" t="str">
        <v>-</v>
      </c>
      <c r="D24135" t="str">
        <v>-</v>
      </c>
      <c r="E24135" t="str">
        <v>-</v>
      </c>
      <c r="F24135" t="str">
        <v>-</v>
      </c>
      <c r="G24135" t="str">
        <v>-</v>
      </c>
    </row>
    <row r="24136">
      <c r="B24136" t="str">
        <v>Công an thị trấn Thạnh Phú  tỉnh Bến Tre</v>
      </c>
      <c r="C24136" t="str">
        <v>-</v>
      </c>
      <c r="D24136" t="str">
        <v>-</v>
      </c>
      <c r="E24136" t="str">
        <v/>
      </c>
      <c r="F24136" t="str">
        <v>-</v>
      </c>
      <c r="G24136" t="str">
        <v>-</v>
      </c>
    </row>
    <row r="24137">
      <c r="B24137" t="str">
        <v>UBND Ủy ban nhân dân thị trấn Thạnh Phú  tỉnh Bến Tre</v>
      </c>
      <c r="C24137" t="str">
        <v>-</v>
      </c>
      <c r="D24137" t="str">
        <v>-</v>
      </c>
      <c r="E24137" t="str">
        <v>-</v>
      </c>
      <c r="F24137" t="str">
        <v>-</v>
      </c>
      <c r="G24137" t="str">
        <v>-</v>
      </c>
    </row>
    <row r="24138">
      <c r="B24138" t="str">
        <v>Công an thị trấn Càng Long  tỉnh Trà Vinh</v>
      </c>
      <c r="C24138" t="str">
        <v>-</v>
      </c>
      <c r="D24138" t="str">
        <v>-</v>
      </c>
      <c r="E24138" t="str">
        <v/>
      </c>
      <c r="F24138" t="str">
        <v>-</v>
      </c>
      <c r="G24138" t="str">
        <v>-</v>
      </c>
    </row>
    <row r="24139">
      <c r="B24139" t="str">
        <v>UBND Ủy ban nhân dân thị trấn Càng Long  tỉnh Trà Vinh</v>
      </c>
      <c r="C24139" t="str">
        <v>-</v>
      </c>
      <c r="D24139" t="str">
        <v>-</v>
      </c>
      <c r="E24139" t="str">
        <v>-</v>
      </c>
      <c r="F24139" t="str">
        <v>-</v>
      </c>
      <c r="G24139" t="str">
        <v>-</v>
      </c>
    </row>
    <row r="24140">
      <c r="B24140" t="str">
        <v>Công an thị trấn Cầu Kè  tỉnh Trà Vinh</v>
      </c>
      <c r="C24140" t="str">
        <v>-</v>
      </c>
      <c r="D24140" t="str">
        <v>-</v>
      </c>
      <c r="E24140" t="str">
        <v/>
      </c>
      <c r="F24140" t="str">
        <v>-</v>
      </c>
      <c r="G24140" t="str">
        <v>-</v>
      </c>
    </row>
    <row r="24141">
      <c r="B24141" t="str">
        <v>UBND Ủy ban nhân dân thị trấn Cầu Kè  tỉnh Trà Vinh</v>
      </c>
      <c r="C24141" t="str">
        <v>-</v>
      </c>
      <c r="D24141" t="str">
        <v>-</v>
      </c>
      <c r="E24141" t="str">
        <v>-</v>
      </c>
      <c r="F24141" t="str">
        <v>-</v>
      </c>
      <c r="G24141" t="str">
        <v>-</v>
      </c>
    </row>
    <row r="24142">
      <c r="B24142" t="str">
        <v>Công an thị trấn Tiểu Cần  tỉnh Trà Vinh</v>
      </c>
      <c r="C24142" t="str">
        <v>-</v>
      </c>
      <c r="D24142" t="str">
        <v>-</v>
      </c>
      <c r="E24142" t="str">
        <v/>
      </c>
      <c r="F24142" t="str">
        <v>-</v>
      </c>
      <c r="G24142" t="str">
        <v>-</v>
      </c>
    </row>
    <row r="24143">
      <c r="B24143" t="str">
        <v>UBND Ủy ban nhân dân thị trấn Tiểu Cần  tỉnh Trà Vinh</v>
      </c>
      <c r="C24143" t="str">
        <v>-</v>
      </c>
      <c r="D24143" t="str">
        <v>-</v>
      </c>
      <c r="E24143" t="str">
        <v>-</v>
      </c>
      <c r="F24143" t="str">
        <v>-</v>
      </c>
      <c r="G24143" t="str">
        <v>-</v>
      </c>
    </row>
    <row r="24144">
      <c r="B24144" t="str">
        <v>Công an thị trấn Cầu Quan  tỉnh Trà Vinh</v>
      </c>
      <c r="C24144" t="str">
        <v>-</v>
      </c>
      <c r="D24144" t="str">
        <v>-</v>
      </c>
      <c r="E24144" t="str">
        <v/>
      </c>
      <c r="F24144" t="str">
        <v>-</v>
      </c>
      <c r="G24144" t="str">
        <v>-</v>
      </c>
    </row>
    <row r="24145">
      <c r="B24145" t="str">
        <v>UBND Ủy ban nhân dân thị trấn Cầu Quan  tỉnh Trà Vinh</v>
      </c>
      <c r="C24145" t="str">
        <v>-</v>
      </c>
      <c r="D24145" t="str">
        <v>-</v>
      </c>
      <c r="E24145" t="str">
        <v>-</v>
      </c>
      <c r="F24145" t="str">
        <v>-</v>
      </c>
      <c r="G24145" t="str">
        <v>-</v>
      </c>
    </row>
    <row r="24146">
      <c r="B24146" t="str">
        <v>Công an thị trấn Châu Thành  tỉnh Trà Vinh</v>
      </c>
      <c r="C24146" t="str">
        <v>-</v>
      </c>
      <c r="D24146" t="str">
        <v>-</v>
      </c>
      <c r="E24146" t="str">
        <v/>
      </c>
      <c r="F24146" t="str">
        <v>-</v>
      </c>
      <c r="G24146" t="str">
        <v>-</v>
      </c>
    </row>
    <row r="24147">
      <c r="B24147" t="str">
        <v>UBND Ủy ban nhân dân thị trấn Châu Thành  tỉnh Trà Vinh</v>
      </c>
      <c r="C24147" t="str">
        <v>-</v>
      </c>
      <c r="D24147" t="str">
        <v>-</v>
      </c>
      <c r="E24147" t="str">
        <v>-</v>
      </c>
      <c r="F24147" t="str">
        <v>-</v>
      </c>
      <c r="G24147" t="str">
        <v>-</v>
      </c>
    </row>
    <row r="24148">
      <c r="B24148" t="str">
        <v>Công an thị trấn Cầu Ngang  tỉnh Trà Vinh</v>
      </c>
      <c r="C24148" t="str">
        <v>-</v>
      </c>
      <c r="D24148" t="str">
        <v>-</v>
      </c>
      <c r="E24148" t="str">
        <v/>
      </c>
      <c r="F24148" t="str">
        <v>-</v>
      </c>
      <c r="G24148" t="str">
        <v>-</v>
      </c>
    </row>
    <row r="24149">
      <c r="B24149" t="str">
        <v>UBND Ủy ban nhân dân thị trấn Cầu Ngang  tỉnh Trà Vinh</v>
      </c>
      <c r="C24149" t="str">
        <v>-</v>
      </c>
      <c r="D24149" t="str">
        <v>-</v>
      </c>
      <c r="E24149" t="str">
        <v>-</v>
      </c>
      <c r="F24149" t="str">
        <v>-</v>
      </c>
      <c r="G24149" t="str">
        <v>-</v>
      </c>
    </row>
    <row r="24150">
      <c r="B24150" t="str">
        <v>Công an thị trấn Mỹ Long  tỉnh Trà Vinh</v>
      </c>
      <c r="C24150" t="str">
        <v>-</v>
      </c>
      <c r="D24150" t="str">
        <v>-</v>
      </c>
      <c r="E24150" t="str">
        <v/>
      </c>
      <c r="F24150" t="str">
        <v>-</v>
      </c>
      <c r="G24150" t="str">
        <v>-</v>
      </c>
    </row>
    <row r="24151">
      <c r="B24151" t="str">
        <v>UBND Ủy ban nhân dân thị trấn Mỹ Long  tỉnh Trà Vinh</v>
      </c>
      <c r="C24151" t="str">
        <v>-</v>
      </c>
      <c r="D24151" t="str">
        <v>-</v>
      </c>
      <c r="E24151" t="str">
        <v>-</v>
      </c>
      <c r="F24151" t="str">
        <v>-</v>
      </c>
      <c r="G24151" t="str">
        <v>-</v>
      </c>
    </row>
    <row r="24152">
      <c r="B24152" t="str">
        <v>Công an thị trấn Trà Cú  tỉnh Trà Vinh</v>
      </c>
      <c r="C24152" t="str">
        <v>-</v>
      </c>
      <c r="D24152" t="str">
        <v>-</v>
      </c>
      <c r="E24152" t="str">
        <v/>
      </c>
      <c r="F24152" t="str">
        <v>-</v>
      </c>
      <c r="G24152" t="str">
        <v>-</v>
      </c>
    </row>
    <row r="24153">
      <c r="B24153" t="str">
        <v>UBND Ủy ban nhân dân thị trấn Trà Cú  tỉnh Trà Vinh</v>
      </c>
      <c r="C24153" t="str">
        <v>-</v>
      </c>
      <c r="D24153" t="str">
        <v>-</v>
      </c>
      <c r="E24153" t="str">
        <v>-</v>
      </c>
      <c r="F24153" t="str">
        <v>-</v>
      </c>
      <c r="G24153" t="str">
        <v>-</v>
      </c>
    </row>
    <row r="24154">
      <c r="B24154" t="str">
        <v>Công an thị trấn Định An  tỉnh Trà Vinh</v>
      </c>
      <c r="C24154" t="str">
        <v>-</v>
      </c>
      <c r="D24154" t="str">
        <v>-</v>
      </c>
      <c r="E24154" t="str">
        <v/>
      </c>
      <c r="F24154" t="str">
        <v>-</v>
      </c>
      <c r="G24154" t="str">
        <v>-</v>
      </c>
    </row>
    <row r="24155">
      <c r="B24155" t="str">
        <v>UBND Ủy ban nhân dân thị trấn Định An  tỉnh Trà Vinh</v>
      </c>
      <c r="C24155" t="str">
        <v>-</v>
      </c>
      <c r="D24155" t="str">
        <v>-</v>
      </c>
      <c r="E24155" t="str">
        <v>-</v>
      </c>
      <c r="F24155" t="str">
        <v>-</v>
      </c>
      <c r="G24155" t="str">
        <v>-</v>
      </c>
    </row>
    <row r="24156">
      <c r="B24156" t="str">
        <v>Công an thị trấn Long Thành  tỉnh Trà Vinh</v>
      </c>
      <c r="C24156" t="str">
        <v>-</v>
      </c>
      <c r="D24156" t="str">
        <v>-</v>
      </c>
      <c r="E24156" t="str">
        <v/>
      </c>
      <c r="F24156" t="str">
        <v>-</v>
      </c>
      <c r="G24156" t="str">
        <v>-</v>
      </c>
    </row>
    <row r="24157">
      <c r="B24157" t="str">
        <v>UBND Ủy ban nhân dân thị trấn Long Thành  tỉnh Trà Vinh</v>
      </c>
      <c r="C24157" t="str">
        <v>-</v>
      </c>
      <c r="D24157" t="str">
        <v>-</v>
      </c>
      <c r="E24157" t="str">
        <v>-</v>
      </c>
      <c r="F24157" t="str">
        <v>-</v>
      </c>
      <c r="G24157" t="str">
        <v>-</v>
      </c>
    </row>
    <row r="24158">
      <c r="B24158" t="str">
        <v>Công an thị trấn Long Hồ  tỉnh Vĩnh Long</v>
      </c>
      <c r="C24158" t="str">
        <v>-</v>
      </c>
      <c r="D24158" t="str">
        <v>-</v>
      </c>
      <c r="E24158" t="str">
        <v/>
      </c>
      <c r="F24158" t="str">
        <v>-</v>
      </c>
      <c r="G24158" t="str">
        <v>-</v>
      </c>
    </row>
    <row r="24159">
      <c r="B24159" t="str">
        <v>UBND Ủy ban nhân dân thị trấn Long Hồ  tỉnh Vĩnh Long</v>
      </c>
      <c r="C24159" t="str">
        <v>-</v>
      </c>
      <c r="D24159" t="str">
        <v>-</v>
      </c>
      <c r="E24159" t="str">
        <v>-</v>
      </c>
      <c r="F24159" t="str">
        <v>-</v>
      </c>
      <c r="G24159" t="str">
        <v>-</v>
      </c>
    </row>
    <row r="24160">
      <c r="B24160" t="str">
        <v>Công an thị trấn Cái Nhum  tỉnh Vĩnh Long</v>
      </c>
      <c r="C24160" t="str">
        <v>-</v>
      </c>
      <c r="D24160" t="str">
        <v>-</v>
      </c>
      <c r="E24160" t="str">
        <v/>
      </c>
      <c r="F24160" t="str">
        <v>-</v>
      </c>
      <c r="G24160" t="str">
        <v>-</v>
      </c>
    </row>
    <row r="24161">
      <c r="B24161" t="str">
        <v>UBND Ủy ban nhân dân thị trấn Cái Nhum  tỉnh Vĩnh Long</v>
      </c>
      <c r="C24161" t="str">
        <v>-</v>
      </c>
      <c r="D24161" t="str">
        <v>-</v>
      </c>
      <c r="E24161" t="str">
        <v>-</v>
      </c>
      <c r="F24161" t="str">
        <v>-</v>
      </c>
      <c r="G24161" t="str">
        <v>-</v>
      </c>
    </row>
    <row r="24162">
      <c r="B24162" t="str">
        <v>Công an thị trấn Vũng Liêm  tỉnh Vĩnh Long</v>
      </c>
      <c r="C24162" t="str">
        <v>-</v>
      </c>
      <c r="D24162" t="str">
        <v>-</v>
      </c>
      <c r="E24162" t="str">
        <v/>
      </c>
      <c r="F24162" t="str">
        <v>-</v>
      </c>
      <c r="G24162" t="str">
        <v>-</v>
      </c>
    </row>
    <row r="24163">
      <c r="B24163" t="str">
        <v>UBND Ủy ban nhân dân thị trấn Vũng Liêm  tỉnh Vĩnh Long</v>
      </c>
      <c r="C24163" t="str">
        <v>-</v>
      </c>
      <c r="D24163" t="str">
        <v>-</v>
      </c>
      <c r="E24163" t="str">
        <v>-</v>
      </c>
      <c r="F24163" t="str">
        <v>-</v>
      </c>
      <c r="G24163" t="str">
        <v>-</v>
      </c>
    </row>
    <row r="24164">
      <c r="B24164" t="str">
        <v>Công an thị trấn Tam Bình  tỉnh Vĩnh Long</v>
      </c>
      <c r="C24164" t="str">
        <v>-</v>
      </c>
      <c r="D24164" t="str">
        <v>-</v>
      </c>
      <c r="E24164" t="str">
        <v/>
      </c>
      <c r="F24164" t="str">
        <v>-</v>
      </c>
      <c r="G24164" t="str">
        <v>-</v>
      </c>
    </row>
    <row r="24165">
      <c r="B24165" t="str">
        <v>UBND Ủy ban nhân dân thị trấn Tam Bình  tỉnh Vĩnh Long</v>
      </c>
      <c r="C24165" t="str">
        <v>-</v>
      </c>
      <c r="D24165" t="str">
        <v>-</v>
      </c>
      <c r="E24165" t="str">
        <v>-</v>
      </c>
      <c r="F24165" t="str">
        <v>-</v>
      </c>
      <c r="G24165" t="str">
        <v>-</v>
      </c>
    </row>
    <row r="24166">
      <c r="B24166" t="str">
        <v>Công an thị trấn Trà Ôn  tỉnh Vĩnh Long</v>
      </c>
      <c r="C24166" t="str">
        <v>-</v>
      </c>
      <c r="D24166" t="str">
        <v>-</v>
      </c>
      <c r="E24166" t="str">
        <v/>
      </c>
      <c r="F24166" t="str">
        <v>-</v>
      </c>
      <c r="G24166" t="str">
        <v>-</v>
      </c>
    </row>
    <row r="24167">
      <c r="B24167" t="str">
        <v>UBND Ủy ban nhân dân thị trấn Trà Ôn  tỉnh Vĩnh Long</v>
      </c>
      <c r="C24167" t="str">
        <v>-</v>
      </c>
      <c r="D24167" t="str">
        <v>-</v>
      </c>
      <c r="E24167" t="str">
        <v>-</v>
      </c>
      <c r="F24167" t="str">
        <v>-</v>
      </c>
      <c r="G24167" t="str">
        <v>-</v>
      </c>
    </row>
    <row r="24168">
      <c r="B24168" t="str">
        <v>Công an thị trấn Sa Rài  tỉnh Đồng Tháp</v>
      </c>
      <c r="C24168" t="str">
        <v>-</v>
      </c>
      <c r="D24168" t="str">
        <v>-</v>
      </c>
      <c r="E24168" t="str">
        <v/>
      </c>
      <c r="F24168" t="str">
        <v>-</v>
      </c>
      <c r="G24168" t="str">
        <v>-</v>
      </c>
    </row>
    <row r="24169">
      <c r="B24169" t="str">
        <v>UBND Ủy ban nhân dân thị trấn Sa Rài  tỉnh Đồng Tháp</v>
      </c>
      <c r="C24169" t="str">
        <v>-</v>
      </c>
      <c r="D24169" t="str">
        <v>-</v>
      </c>
      <c r="E24169" t="str">
        <v>-</v>
      </c>
      <c r="F24169" t="str">
        <v>-</v>
      </c>
      <c r="G24169" t="str">
        <v>-</v>
      </c>
    </row>
    <row r="24170">
      <c r="B24170" t="str">
        <v>Công an thị trấn Tràm Chim  tỉnh Đồng Tháp</v>
      </c>
      <c r="C24170" t="str">
        <v>-</v>
      </c>
      <c r="D24170" t="str">
        <v>-</v>
      </c>
      <c r="E24170" t="str">
        <v/>
      </c>
      <c r="F24170" t="str">
        <v>-</v>
      </c>
      <c r="G24170" t="str">
        <v>-</v>
      </c>
    </row>
    <row r="24171">
      <c r="B24171" t="str">
        <v>UBND Ủy ban nhân dân thị trấn Tràm Chim  tỉnh Đồng Tháp</v>
      </c>
      <c r="C24171" t="str">
        <v>-</v>
      </c>
      <c r="D24171" t="str">
        <v>-</v>
      </c>
      <c r="E24171" t="str">
        <v>-</v>
      </c>
      <c r="F24171" t="str">
        <v>-</v>
      </c>
      <c r="G24171" t="str">
        <v>-</v>
      </c>
    </row>
    <row r="24172">
      <c r="B24172" t="str">
        <v>Công an thị trấn Mỹ An  tỉnh Đồng Tháp</v>
      </c>
      <c r="C24172" t="str">
        <v>-</v>
      </c>
      <c r="D24172" t="str">
        <v>-</v>
      </c>
      <c r="E24172" t="str">
        <v/>
      </c>
      <c r="F24172" t="str">
        <v>-</v>
      </c>
      <c r="G24172" t="str">
        <v>-</v>
      </c>
    </row>
    <row r="24173">
      <c r="B24173" t="str">
        <v>UBND Ủy ban nhân dân thị trấn Mỹ An  tỉnh Đồng Tháp</v>
      </c>
      <c r="C24173" t="str">
        <v>-</v>
      </c>
      <c r="D24173" t="str">
        <v>-</v>
      </c>
      <c r="E24173" t="str">
        <v>-</v>
      </c>
      <c r="F24173" t="str">
        <v>-</v>
      </c>
      <c r="G24173" t="str">
        <v>-</v>
      </c>
    </row>
    <row r="24174">
      <c r="B24174" t="str">
        <v>Công an thị trấn Mỹ Thọ  tỉnh Đồng Tháp</v>
      </c>
      <c r="C24174" t="str">
        <v>-</v>
      </c>
      <c r="D24174" t="str">
        <v>-</v>
      </c>
      <c r="E24174" t="str">
        <v/>
      </c>
      <c r="F24174" t="str">
        <v>-</v>
      </c>
      <c r="G24174" t="str">
        <v>-</v>
      </c>
    </row>
    <row r="24175">
      <c r="B24175" t="str">
        <v>UBND Ủy ban nhân dân thị trấn Mỹ Thọ  tỉnh Đồng Tháp</v>
      </c>
      <c r="C24175" t="str">
        <v>-</v>
      </c>
      <c r="D24175" t="str">
        <v>-</v>
      </c>
      <c r="E24175" t="str">
        <v>-</v>
      </c>
      <c r="F24175" t="str">
        <v>-</v>
      </c>
      <c r="G24175" t="str">
        <v>-</v>
      </c>
    </row>
    <row r="24176">
      <c r="B24176" t="str">
        <v>Công an thị trấn Thanh Bình  tỉnh Đồng Tháp</v>
      </c>
      <c r="C24176" t="str">
        <v>-</v>
      </c>
      <c r="D24176" t="str">
        <v>-</v>
      </c>
      <c r="E24176" t="str">
        <v/>
      </c>
      <c r="F24176" t="str">
        <v>-</v>
      </c>
      <c r="G24176" t="str">
        <v>-</v>
      </c>
    </row>
    <row r="24177">
      <c r="B24177" t="str">
        <v>UBND Ủy ban nhân dân thị trấn Thanh Bình  tỉnh Đồng Tháp</v>
      </c>
      <c r="C24177" t="str">
        <v>-</v>
      </c>
      <c r="D24177" t="str">
        <v>-</v>
      </c>
      <c r="E24177" t="str">
        <v>-</v>
      </c>
      <c r="F24177" t="str">
        <v>-</v>
      </c>
      <c r="G24177" t="str">
        <v>-</v>
      </c>
    </row>
    <row r="24178">
      <c r="B24178" t="str">
        <v>Công an thị trấn Lấp Vò  tỉnh Đồng Tháp</v>
      </c>
      <c r="C24178" t="str">
        <v>-</v>
      </c>
      <c r="D24178" t="str">
        <v>-</v>
      </c>
      <c r="E24178" t="str">
        <v/>
      </c>
      <c r="F24178" t="str">
        <v>-</v>
      </c>
      <c r="G24178" t="str">
        <v>-</v>
      </c>
    </row>
    <row r="24179">
      <c r="B24179" t="str">
        <v>UBND Ủy ban nhân dân thị trấn Lấp Vò  tỉnh Đồng Tháp</v>
      </c>
      <c r="C24179" t="str">
        <v>-</v>
      </c>
      <c r="D24179" t="str">
        <v>-</v>
      </c>
      <c r="E24179" t="str">
        <v>-</v>
      </c>
      <c r="F24179" t="str">
        <v>-</v>
      </c>
      <c r="G24179" t="str">
        <v>-</v>
      </c>
    </row>
    <row r="24180">
      <c r="B24180" t="str">
        <v>Công an thị trấn Lai Vung  tỉnh Đồng Tháp</v>
      </c>
      <c r="C24180" t="str">
        <v>-</v>
      </c>
      <c r="D24180" t="str">
        <v>-</v>
      </c>
      <c r="E24180" t="str">
        <v/>
      </c>
      <c r="F24180" t="str">
        <v>-</v>
      </c>
      <c r="G24180" t="str">
        <v>-</v>
      </c>
    </row>
    <row r="24181">
      <c r="B24181" t="str">
        <v>UBND Ủy ban nhân dân thị trấn Lai Vung  tỉnh Đồng Tháp</v>
      </c>
      <c r="C24181" t="str">
        <v>-</v>
      </c>
      <c r="D24181" t="str">
        <v>-</v>
      </c>
      <c r="E24181" t="str">
        <v>-</v>
      </c>
      <c r="F24181" t="str">
        <v>-</v>
      </c>
      <c r="G24181" t="str">
        <v>-</v>
      </c>
    </row>
    <row r="24182">
      <c r="B24182" t="str">
        <v>Công an thị trấn Cái Tàu Hạ  tỉnh Đồng Tháp</v>
      </c>
      <c r="C24182" t="str">
        <v>-</v>
      </c>
      <c r="D24182" t="str">
        <v>-</v>
      </c>
      <c r="E24182" t="str">
        <v/>
      </c>
      <c r="F24182" t="str">
        <v>-</v>
      </c>
      <c r="G24182" t="str">
        <v>-</v>
      </c>
    </row>
    <row r="24183">
      <c r="B24183" t="str">
        <v>UBND Ủy ban nhân dân thị trấn Cái Tàu Hạ  tỉnh Đồng Tháp</v>
      </c>
      <c r="C24183" t="str">
        <v>-</v>
      </c>
      <c r="D24183" t="str">
        <v>-</v>
      </c>
      <c r="E24183" t="str">
        <v>-</v>
      </c>
      <c r="F24183" t="str">
        <v>-</v>
      </c>
      <c r="G24183" t="str">
        <v>-</v>
      </c>
    </row>
    <row r="24184">
      <c r="B24184" t="str">
        <v>Công an thị trấn An Phú  tỉnh An Giang</v>
      </c>
      <c r="C24184" t="str">
        <v>-</v>
      </c>
      <c r="D24184" t="str">
        <v>-</v>
      </c>
      <c r="E24184" t="str">
        <v/>
      </c>
      <c r="F24184" t="str">
        <v>-</v>
      </c>
      <c r="G24184" t="str">
        <v>-</v>
      </c>
    </row>
    <row r="24185">
      <c r="B24185" t="str">
        <v>UBND Ủy ban nhân dân thị trấn An Phú  tỉnh An Giang</v>
      </c>
      <c r="C24185" t="str">
        <v>-</v>
      </c>
      <c r="D24185" t="str">
        <v>-</v>
      </c>
      <c r="E24185" t="str">
        <v>-</v>
      </c>
      <c r="F24185" t="str">
        <v>-</v>
      </c>
      <c r="G24185" t="str">
        <v>-</v>
      </c>
    </row>
    <row r="24186">
      <c r="B24186" t="str">
        <v>Công an thị trấn Long Bình  tỉnh An Giang</v>
      </c>
      <c r="C24186" t="str">
        <v>-</v>
      </c>
      <c r="D24186" t="str">
        <v>-</v>
      </c>
      <c r="E24186" t="str">
        <v/>
      </c>
      <c r="F24186" t="str">
        <v>-</v>
      </c>
      <c r="G24186" t="str">
        <v>-</v>
      </c>
    </row>
    <row r="24187">
      <c r="B24187" t="str">
        <v>UBND Ủy ban nhân dân thị trấn Long Bình  tỉnh An Giang</v>
      </c>
      <c r="C24187" t="str">
        <v>-</v>
      </c>
      <c r="D24187" t="str">
        <v>-</v>
      </c>
      <c r="E24187" t="str">
        <v>-</v>
      </c>
      <c r="F24187" t="str">
        <v>-</v>
      </c>
      <c r="G24187" t="str">
        <v>-</v>
      </c>
    </row>
    <row r="24188">
      <c r="B24188" t="str">
        <v>Công an thị trấn Phú Mỹ  tỉnh An Giang</v>
      </c>
      <c r="C24188" t="str">
        <v>-</v>
      </c>
      <c r="D24188" t="str">
        <v>-</v>
      </c>
      <c r="E24188" t="str">
        <v/>
      </c>
      <c r="F24188" t="str">
        <v>-</v>
      </c>
      <c r="G24188" t="str">
        <v>-</v>
      </c>
    </row>
    <row r="24189">
      <c r="B24189" t="str">
        <v>UBND Ủy ban nhân dân thị trấn Phú Mỹ  tỉnh An Giang</v>
      </c>
      <c r="C24189" t="str">
        <v>-</v>
      </c>
      <c r="D24189" t="str">
        <v>-</v>
      </c>
      <c r="E24189" t="str">
        <v>-</v>
      </c>
      <c r="F24189" t="str">
        <v>-</v>
      </c>
      <c r="G24189" t="str">
        <v>-</v>
      </c>
    </row>
    <row r="24190">
      <c r="B24190" t="str">
        <v>Công an thị trấn Chợ Vàm  tỉnh An Giang</v>
      </c>
      <c r="C24190" t="str">
        <v>-</v>
      </c>
      <c r="D24190" t="str">
        <v>-</v>
      </c>
      <c r="E24190" t="str">
        <v/>
      </c>
      <c r="F24190" t="str">
        <v>-</v>
      </c>
      <c r="G24190" t="str">
        <v>-</v>
      </c>
    </row>
    <row r="24191">
      <c r="B24191" t="str">
        <v>UBND Ủy ban nhân dân thị trấn Chợ Vàm  tỉnh An Giang</v>
      </c>
      <c r="C24191" t="str">
        <v>-</v>
      </c>
      <c r="D24191" t="str">
        <v>-</v>
      </c>
      <c r="E24191" t="str">
        <v>-</v>
      </c>
      <c r="F24191" t="str">
        <v>-</v>
      </c>
      <c r="G24191" t="str">
        <v>-</v>
      </c>
    </row>
    <row r="24192">
      <c r="B24192" t="str">
        <v>Công an thị trấn Cái Dầu  tỉnh An Giang</v>
      </c>
      <c r="C24192" t="str">
        <v>-</v>
      </c>
      <c r="D24192" t="str">
        <v>-</v>
      </c>
      <c r="E24192" t="str">
        <v/>
      </c>
      <c r="F24192" t="str">
        <v>-</v>
      </c>
      <c r="G24192" t="str">
        <v>-</v>
      </c>
    </row>
    <row r="24193">
      <c r="B24193" t="str">
        <v>UBND Ủy ban nhân dân thị trấn Cái Dầu  tỉnh An Giang</v>
      </c>
      <c r="C24193" t="str">
        <v>-</v>
      </c>
      <c r="D24193" t="str">
        <v>-</v>
      </c>
      <c r="E24193" t="str">
        <v>-</v>
      </c>
      <c r="F24193" t="str">
        <v>-</v>
      </c>
      <c r="G24193" t="str">
        <v>-</v>
      </c>
    </row>
    <row r="24194">
      <c r="B24194" t="str">
        <v>Công an thị trấn Nhà Bàng  tỉnh An Giang</v>
      </c>
      <c r="C24194" t="str">
        <v>-</v>
      </c>
      <c r="D24194" t="str">
        <v>-</v>
      </c>
      <c r="E24194" t="str">
        <v/>
      </c>
      <c r="F24194" t="str">
        <v>-</v>
      </c>
      <c r="G24194" t="str">
        <v>-</v>
      </c>
    </row>
    <row r="24195">
      <c r="B24195" t="str">
        <v>UBND Ủy ban nhân dân thị trấn Nhà Bàng  tỉnh An Giang</v>
      </c>
      <c r="C24195" t="str">
        <v>-</v>
      </c>
      <c r="D24195" t="str">
        <v>-</v>
      </c>
      <c r="E24195" t="str">
        <v>-</v>
      </c>
      <c r="F24195" t="str">
        <v>-</v>
      </c>
      <c r="G24195" t="str">
        <v>-</v>
      </c>
    </row>
    <row r="24196">
      <c r="B24196" t="str">
        <v>Công an thị trấn Chi Lăng  tỉnh An Giang</v>
      </c>
      <c r="C24196" t="str">
        <v>-</v>
      </c>
      <c r="D24196" t="str">
        <v>-</v>
      </c>
      <c r="E24196" t="str">
        <v/>
      </c>
      <c r="F24196" t="str">
        <v>-</v>
      </c>
      <c r="G24196" t="str">
        <v>-</v>
      </c>
    </row>
    <row r="24197">
      <c r="B24197" t="str">
        <v>UBND Ủy ban nhân dân thị trấn Chi Lăng  tỉnh An Giang</v>
      </c>
      <c r="C24197" t="str">
        <v>-</v>
      </c>
      <c r="D24197" t="str">
        <v>-</v>
      </c>
      <c r="E24197" t="str">
        <v>-</v>
      </c>
      <c r="F24197" t="str">
        <v>-</v>
      </c>
      <c r="G24197" t="str">
        <v>-</v>
      </c>
    </row>
    <row r="24198">
      <c r="B24198" t="str">
        <v>Công an thị trấn Tịnh Biên  tỉnh An Giang</v>
      </c>
      <c r="C24198" t="str">
        <v>-</v>
      </c>
      <c r="D24198" t="str">
        <v>-</v>
      </c>
      <c r="E24198" t="str">
        <v/>
      </c>
      <c r="F24198" t="str">
        <v>-</v>
      </c>
      <c r="G24198" t="str">
        <v>-</v>
      </c>
    </row>
    <row r="24199">
      <c r="B24199" t="str">
        <v>UBND Ủy ban nhân dân thị trấn Tịnh Biên  tỉnh An Giang</v>
      </c>
      <c r="C24199" t="str">
        <v>-</v>
      </c>
      <c r="D24199" t="str">
        <v>-</v>
      </c>
      <c r="E24199" t="str">
        <v>-</v>
      </c>
      <c r="F24199" t="str">
        <v>-</v>
      </c>
      <c r="G24199" t="str">
        <v>-</v>
      </c>
    </row>
    <row r="24200">
      <c r="B24200" t="str">
        <v>Công an thị trấn Tri Tôn  tỉnh An Giang</v>
      </c>
      <c r="C24200" t="str">
        <v>-</v>
      </c>
      <c r="D24200" t="str">
        <v>-</v>
      </c>
      <c r="E24200" t="str">
        <v/>
      </c>
      <c r="F24200" t="str">
        <v>-</v>
      </c>
      <c r="G24200" t="str">
        <v>-</v>
      </c>
    </row>
    <row r="24201">
      <c r="B24201" t="str">
        <v>UBND Ủy ban nhân dân thị trấn Tri Tôn  tỉnh An Giang</v>
      </c>
      <c r="C24201" t="str">
        <v>-</v>
      </c>
      <c r="D24201" t="str">
        <v>-</v>
      </c>
      <c r="E24201" t="str">
        <v>-</v>
      </c>
      <c r="F24201" t="str">
        <v>-</v>
      </c>
      <c r="G24201" t="str">
        <v>-</v>
      </c>
    </row>
    <row r="24202">
      <c r="B24202" t="str">
        <v>Công an thị trấn Ba Chúc  tỉnh An Giang</v>
      </c>
      <c r="C24202" t="str">
        <v>-</v>
      </c>
      <c r="D24202" t="str">
        <v>-</v>
      </c>
      <c r="E24202" t="str">
        <v/>
      </c>
      <c r="F24202" t="str">
        <v>-</v>
      </c>
      <c r="G24202" t="str">
        <v>-</v>
      </c>
    </row>
    <row r="24203">
      <c r="B24203" t="str">
        <v>UBND Ủy ban nhân dân thị trấn Ba Chúc  tỉnh An Giang</v>
      </c>
      <c r="C24203" t="str">
        <v>-</v>
      </c>
      <c r="D24203" t="str">
        <v>-</v>
      </c>
      <c r="E24203" t="str">
        <v>-</v>
      </c>
      <c r="F24203" t="str">
        <v>-</v>
      </c>
      <c r="G24203" t="str">
        <v>-</v>
      </c>
    </row>
    <row r="24204">
      <c r="B24204" t="str">
        <v>Công an thị trấn An Châu  tỉnh An Giang</v>
      </c>
      <c r="C24204" t="str">
        <v>-</v>
      </c>
      <c r="D24204" t="str">
        <v>-</v>
      </c>
      <c r="E24204" t="str">
        <v/>
      </c>
      <c r="F24204" t="str">
        <v>-</v>
      </c>
      <c r="G24204" t="str">
        <v>-</v>
      </c>
    </row>
    <row r="24205">
      <c r="B24205" t="str">
        <v>UBND Ủy ban nhân dân thị trấn An Châu  tỉnh An Giang</v>
      </c>
      <c r="C24205" t="str">
        <v>-</v>
      </c>
      <c r="D24205" t="str">
        <v>-</v>
      </c>
      <c r="E24205" t="str">
        <v>-</v>
      </c>
      <c r="F24205" t="str">
        <v>-</v>
      </c>
      <c r="G24205" t="str">
        <v>-</v>
      </c>
    </row>
    <row r="24206">
      <c r="B24206" t="str">
        <v>Công an thị trấn Chợ Mới  tỉnh An Giang</v>
      </c>
      <c r="C24206" t="str">
        <v>-</v>
      </c>
      <c r="D24206" t="str">
        <v>-</v>
      </c>
      <c r="E24206" t="str">
        <v/>
      </c>
      <c r="F24206" t="str">
        <v>-</v>
      </c>
      <c r="G24206" t="str">
        <v>-</v>
      </c>
    </row>
    <row r="24207">
      <c r="B24207" t="str">
        <v>UBND Ủy ban nhân dân thị trấn Chợ Mới  tỉnh An Giang</v>
      </c>
      <c r="C24207" t="str">
        <v>-</v>
      </c>
      <c r="D24207" t="str">
        <v>-</v>
      </c>
      <c r="E24207" t="str">
        <v>-</v>
      </c>
      <c r="F24207" t="str">
        <v>-</v>
      </c>
      <c r="G24207" t="str">
        <v>-</v>
      </c>
    </row>
    <row r="24208">
      <c r="B24208" t="str">
        <v>Công an thị trấn Mỹ Luông  tỉnh An Giang</v>
      </c>
      <c r="C24208" t="str">
        <v>-</v>
      </c>
      <c r="D24208" t="str">
        <v>-</v>
      </c>
      <c r="E24208" t="str">
        <v/>
      </c>
      <c r="F24208" t="str">
        <v>-</v>
      </c>
      <c r="G24208" t="str">
        <v>-</v>
      </c>
    </row>
    <row r="24209">
      <c r="B24209" t="str">
        <v>UBND Ủy ban nhân dân thị trấn Mỹ Luông  tỉnh An Giang</v>
      </c>
      <c r="C24209" t="str">
        <v>-</v>
      </c>
      <c r="D24209" t="str">
        <v>-</v>
      </c>
      <c r="E24209" t="str">
        <v>-</v>
      </c>
      <c r="F24209" t="str">
        <v>-</v>
      </c>
      <c r="G24209" t="str">
        <v>-</v>
      </c>
    </row>
    <row r="24210">
      <c r="B24210" t="str">
        <v>Công an thị trấn Núi Sập  tỉnh An Giang</v>
      </c>
      <c r="C24210" t="str">
        <v>-</v>
      </c>
      <c r="D24210" t="str">
        <v>-</v>
      </c>
      <c r="E24210" t="str">
        <v/>
      </c>
      <c r="F24210" t="str">
        <v>-</v>
      </c>
      <c r="G24210" t="str">
        <v>-</v>
      </c>
    </row>
    <row r="24211">
      <c r="B24211" t="str">
        <v>UBND Ủy ban nhân dân thị trấn Núi Sập  tỉnh An Giang</v>
      </c>
      <c r="C24211" t="str">
        <v>-</v>
      </c>
      <c r="D24211" t="str">
        <v>-</v>
      </c>
      <c r="E24211" t="str">
        <v>-</v>
      </c>
      <c r="F24211" t="str">
        <v>-</v>
      </c>
      <c r="G24211" t="str">
        <v>-</v>
      </c>
    </row>
    <row r="24212">
      <c r="B24212" t="str">
        <v>Công an thị trấn Phú Hoà  tỉnh An Giang</v>
      </c>
      <c r="C24212" t="str">
        <v>-</v>
      </c>
      <c r="D24212" t="str">
        <v>-</v>
      </c>
      <c r="E24212" t="str">
        <v/>
      </c>
      <c r="F24212" t="str">
        <v>-</v>
      </c>
      <c r="G24212" t="str">
        <v>-</v>
      </c>
    </row>
    <row r="24213">
      <c r="B24213" t="str">
        <v>UBND Ủy ban nhân dân thị trấn Phú Hoà  tỉnh An Giang</v>
      </c>
      <c r="C24213" t="str">
        <v>-</v>
      </c>
      <c r="D24213" t="str">
        <v>-</v>
      </c>
      <c r="E24213" t="str">
        <v>-</v>
      </c>
      <c r="F24213" t="str">
        <v>-</v>
      </c>
      <c r="G24213" t="str">
        <v>-</v>
      </c>
    </row>
    <row r="24214">
      <c r="B24214" t="str">
        <v>Công an thị trấn Óc Eo  tỉnh An Giang</v>
      </c>
      <c r="C24214" t="str">
        <v>-</v>
      </c>
      <c r="D24214" t="str">
        <v>-</v>
      </c>
      <c r="E24214" t="str">
        <v/>
      </c>
      <c r="F24214" t="str">
        <v>-</v>
      </c>
      <c r="G24214" t="str">
        <v>-</v>
      </c>
    </row>
    <row r="24215">
      <c r="B24215" t="str">
        <v>UBND Ủy ban nhân dân thị trấn Óc Eo  tỉnh An Giang</v>
      </c>
      <c r="C24215" t="str">
        <v>-</v>
      </c>
      <c r="D24215" t="str">
        <v>-</v>
      </c>
      <c r="E24215" t="str">
        <v>-</v>
      </c>
      <c r="F24215" t="str">
        <v>-</v>
      </c>
      <c r="G24215" t="str">
        <v>-</v>
      </c>
    </row>
    <row r="24216">
      <c r="B24216" t="str">
        <v>Công an thị trấn Kiên Lương  tỉnh Kiên Giang</v>
      </c>
      <c r="C24216" t="str">
        <v>-</v>
      </c>
      <c r="D24216" t="str">
        <v>-</v>
      </c>
      <c r="E24216" t="str">
        <v/>
      </c>
      <c r="F24216" t="str">
        <v>-</v>
      </c>
      <c r="G24216" t="str">
        <v>-</v>
      </c>
    </row>
    <row r="24217">
      <c r="B24217" t="str">
        <v>UBND Ủy ban nhân dân thị trấn Kiên Lương  tỉnh Kiên Giang</v>
      </c>
      <c r="C24217" t="str">
        <v>-</v>
      </c>
      <c r="D24217" t="str">
        <v>-</v>
      </c>
      <c r="E24217" t="str">
        <v>-</v>
      </c>
      <c r="F24217" t="str">
        <v>-</v>
      </c>
      <c r="G24217" t="str">
        <v>-</v>
      </c>
    </row>
    <row r="24218">
      <c r="B24218" t="str">
        <v>Công an thị trấn Hòn Đất  tỉnh Kiên Giang</v>
      </c>
      <c r="C24218" t="str">
        <v>-</v>
      </c>
      <c r="D24218" t="str">
        <v>-</v>
      </c>
      <c r="E24218" t="str">
        <v/>
      </c>
      <c r="F24218" t="str">
        <v>-</v>
      </c>
      <c r="G24218" t="str">
        <v>-</v>
      </c>
    </row>
    <row r="24219">
      <c r="B24219" t="str">
        <v>UBND Ủy ban nhân dân thị trấn Hòn Đất  tỉnh Kiên Giang</v>
      </c>
      <c r="C24219" t="str">
        <v>-</v>
      </c>
      <c r="D24219" t="str">
        <v>-</v>
      </c>
      <c r="E24219" t="str">
        <v>-</v>
      </c>
      <c r="F24219" t="str">
        <v>-</v>
      </c>
      <c r="G24219" t="str">
        <v>-</v>
      </c>
    </row>
    <row r="24220">
      <c r="B24220" t="str">
        <v>Công an thị trấn Sóc Sơn  tỉnh Kiên Giang</v>
      </c>
      <c r="C24220" t="str">
        <v>-</v>
      </c>
      <c r="D24220" t="str">
        <v>-</v>
      </c>
      <c r="E24220" t="str">
        <v/>
      </c>
      <c r="F24220" t="str">
        <v>-</v>
      </c>
      <c r="G24220" t="str">
        <v>-</v>
      </c>
    </row>
    <row r="24221">
      <c r="B24221" t="str">
        <v>UBND Ủy ban nhân dân thị trấn Sóc Sơn  tỉnh Kiên Giang</v>
      </c>
      <c r="C24221" t="str">
        <v>-</v>
      </c>
      <c r="D24221" t="str">
        <v>-</v>
      </c>
      <c r="E24221" t="str">
        <v>-</v>
      </c>
      <c r="F24221" t="str">
        <v>-</v>
      </c>
      <c r="G24221" t="str">
        <v>-</v>
      </c>
    </row>
    <row r="24222">
      <c r="B24222" t="str">
        <v>Công an thị trấn Tân Hiệp  tỉnh Kiên Giang</v>
      </c>
      <c r="C24222" t="str">
        <v>-</v>
      </c>
      <c r="D24222" t="str">
        <v>-</v>
      </c>
      <c r="E24222" t="str">
        <v/>
      </c>
      <c r="F24222" t="str">
        <v>-</v>
      </c>
      <c r="G24222" t="str">
        <v>-</v>
      </c>
    </row>
    <row r="24223">
      <c r="B24223" t="str">
        <v>UBND Ủy ban nhân dân thị trấn Tân Hiệp  tỉnh Kiên Giang</v>
      </c>
      <c r="C24223" t="str">
        <v>-</v>
      </c>
      <c r="D24223" t="str">
        <v>-</v>
      </c>
      <c r="E24223" t="str">
        <v>-</v>
      </c>
      <c r="F24223" t="str">
        <v>-</v>
      </c>
      <c r="G24223" t="str">
        <v>-</v>
      </c>
    </row>
    <row r="24224">
      <c r="B24224" t="str">
        <v>Công an thị trấn Minh Lương  tỉnh Kiên Giang</v>
      </c>
      <c r="C24224" t="str">
        <v>-</v>
      </c>
      <c r="D24224" t="str">
        <v>-</v>
      </c>
      <c r="E24224" t="str">
        <v/>
      </c>
      <c r="F24224" t="str">
        <v>-</v>
      </c>
      <c r="G24224" t="str">
        <v>-</v>
      </c>
    </row>
    <row r="24225">
      <c r="B24225" t="str">
        <v>UBND Ủy ban nhân dân thị trấn Minh Lương  tỉnh Kiên Giang</v>
      </c>
      <c r="C24225" t="str">
        <v>-</v>
      </c>
      <c r="D24225" t="str">
        <v>-</v>
      </c>
      <c r="E24225" t="str">
        <v>-</v>
      </c>
      <c r="F24225" t="str">
        <v>-</v>
      </c>
      <c r="G24225" t="str">
        <v>-</v>
      </c>
    </row>
    <row r="24226">
      <c r="B24226" t="str">
        <v>Công an thị trấn Giồng Riềng  tỉnh Kiên Giang</v>
      </c>
      <c r="C24226" t="str">
        <v>-</v>
      </c>
      <c r="D24226" t="str">
        <v>-</v>
      </c>
      <c r="E24226" t="str">
        <v/>
      </c>
      <c r="F24226" t="str">
        <v>-</v>
      </c>
      <c r="G24226" t="str">
        <v>-</v>
      </c>
    </row>
    <row r="24227">
      <c r="B24227" t="str">
        <v>UBND Ủy ban nhân dân thị trấn Giồng Riềng  tỉnh Kiên Giang</v>
      </c>
      <c r="C24227" t="str">
        <v>-</v>
      </c>
      <c r="D24227" t="str">
        <v>-</v>
      </c>
      <c r="E24227" t="str">
        <v>-</v>
      </c>
      <c r="F24227" t="str">
        <v>-</v>
      </c>
      <c r="G24227" t="str">
        <v>-</v>
      </c>
    </row>
    <row r="24228">
      <c r="B24228" t="str">
        <v>Công an thị trấn Gò Quao  tỉnh Kiên Giang</v>
      </c>
      <c r="C24228" t="str">
        <v>-</v>
      </c>
      <c r="D24228" t="str">
        <v>-</v>
      </c>
      <c r="E24228" t="str">
        <v/>
      </c>
      <c r="F24228" t="str">
        <v>-</v>
      </c>
      <c r="G24228" t="str">
        <v>-</v>
      </c>
    </row>
    <row r="24229">
      <c r="B24229" t="str">
        <v>UBND Ủy ban nhân dân thị trấn Gò Quao  tỉnh Kiên Giang</v>
      </c>
      <c r="C24229" t="str">
        <v>-</v>
      </c>
      <c r="D24229" t="str">
        <v>-</v>
      </c>
      <c r="E24229" t="str">
        <v>-</v>
      </c>
      <c r="F24229" t="str">
        <v>-</v>
      </c>
      <c r="G24229" t="str">
        <v>-</v>
      </c>
    </row>
    <row r="24230">
      <c r="B24230" t="str">
        <v>Công an thị trấn Thứ Ba  tỉnh Kiên Giang</v>
      </c>
      <c r="C24230" t="str">
        <v>-</v>
      </c>
      <c r="D24230" t="str">
        <v>-</v>
      </c>
      <c r="E24230" t="str">
        <v/>
      </c>
      <c r="F24230" t="str">
        <v>-</v>
      </c>
      <c r="G24230" t="str">
        <v>-</v>
      </c>
    </row>
    <row r="24231">
      <c r="B24231" t="str">
        <v>UBND Ủy ban nhân dân thị trấn Thứ Ba  tỉnh Kiên Giang</v>
      </c>
      <c r="C24231" t="str">
        <v>-</v>
      </c>
      <c r="D24231" t="str">
        <v>-</v>
      </c>
      <c r="E24231" t="str">
        <v>-</v>
      </c>
      <c r="F24231" t="str">
        <v>-</v>
      </c>
      <c r="G24231" t="str">
        <v>-</v>
      </c>
    </row>
    <row r="24232">
      <c r="B24232" t="str">
        <v>Công an thị trấn Thứ Mười Một  tỉnh Kiên Giang</v>
      </c>
      <c r="C24232" t="str">
        <v>-</v>
      </c>
      <c r="D24232" t="str">
        <v>-</v>
      </c>
      <c r="E24232" t="str">
        <v/>
      </c>
      <c r="F24232" t="str">
        <v>-</v>
      </c>
      <c r="G24232" t="str">
        <v>-</v>
      </c>
    </row>
    <row r="24233">
      <c r="B24233" t="str">
        <v>UBND Ủy ban nhân dân thị trấn Thứ Mười Một  tỉnh Kiên Giang</v>
      </c>
      <c r="C24233" t="str">
        <v>-</v>
      </c>
      <c r="D24233" t="str">
        <v>-</v>
      </c>
      <c r="E24233" t="str">
        <v>-</v>
      </c>
      <c r="F24233" t="str">
        <v>-</v>
      </c>
      <c r="G24233" t="str">
        <v>-</v>
      </c>
    </row>
    <row r="24234">
      <c r="B24234" t="str">
        <v>Công an thị trấn Vĩnh Thuận  tỉnh Kiên Giang</v>
      </c>
      <c r="C24234" t="str">
        <v>-</v>
      </c>
      <c r="D24234" t="str">
        <v>-</v>
      </c>
      <c r="E24234" t="str">
        <v/>
      </c>
      <c r="F24234" t="str">
        <v>-</v>
      </c>
      <c r="G24234" t="str">
        <v>-</v>
      </c>
    </row>
    <row r="24235">
      <c r="B24235" t="str">
        <v>UBND Ủy ban nhân dân thị trấn Vĩnh Thuận  tỉnh Kiên Giang</v>
      </c>
      <c r="C24235" t="str">
        <v>-</v>
      </c>
      <c r="D24235" t="str">
        <v>-</v>
      </c>
      <c r="E24235" t="str">
        <v>-</v>
      </c>
      <c r="F24235" t="str">
        <v>-</v>
      </c>
      <c r="G24235" t="str">
        <v>-</v>
      </c>
    </row>
    <row r="24236">
      <c r="B24236" t="str">
        <v>Công an thị trấn Dương Đông  tỉnh Kiên Giang</v>
      </c>
      <c r="C24236" t="str">
        <v>-</v>
      </c>
      <c r="D24236" t="str">
        <v>-</v>
      </c>
      <c r="E24236" t="str">
        <v/>
      </c>
      <c r="F24236" t="str">
        <v>-</v>
      </c>
      <c r="G24236" t="str">
        <v>-</v>
      </c>
    </row>
    <row r="24237">
      <c r="B24237" t="str">
        <v>UBND Ủy ban nhân dân thị trấn Dương Đông  tỉnh Kiên Giang</v>
      </c>
      <c r="C24237" t="str">
        <v>-</v>
      </c>
      <c r="D24237" t="str">
        <v>-</v>
      </c>
      <c r="E24237" t="str">
        <v>-</v>
      </c>
      <c r="F24237" t="str">
        <v>-</v>
      </c>
      <c r="G24237" t="str">
        <v>-</v>
      </c>
    </row>
    <row r="24238">
      <c r="B24238" t="str">
        <v>Công an thị trấn An Thới  tỉnh Kiên Giang</v>
      </c>
      <c r="C24238" t="str">
        <v>-</v>
      </c>
      <c r="D24238" t="str">
        <v>-</v>
      </c>
      <c r="E24238" t="str">
        <v/>
      </c>
      <c r="F24238" t="str">
        <v>-</v>
      </c>
      <c r="G24238" t="str">
        <v>-</v>
      </c>
    </row>
    <row r="24239">
      <c r="B24239" t="str">
        <v>UBND Ủy ban nhân dân thị trấn An Thới  tỉnh Kiên Giang</v>
      </c>
      <c r="C24239" t="str">
        <v>-</v>
      </c>
      <c r="D24239" t="str">
        <v>-</v>
      </c>
      <c r="E24239" t="str">
        <v>-</v>
      </c>
      <c r="F24239" t="str">
        <v>-</v>
      </c>
      <c r="G24239" t="str">
        <v>-</v>
      </c>
    </row>
    <row r="24240">
      <c r="B24240" t="str">
        <v>Công an thị trấn Thanh An  thành phố Cần Thơ</v>
      </c>
      <c r="C24240" t="str">
        <v>-</v>
      </c>
      <c r="D24240" t="str">
        <v>-</v>
      </c>
      <c r="E24240" t="str">
        <v/>
      </c>
      <c r="F24240" t="str">
        <v>-</v>
      </c>
      <c r="G24240" t="str">
        <v>-</v>
      </c>
    </row>
    <row r="24241">
      <c r="B24241" t="str">
        <v>UBND Ủy ban nhân dân thị trấn Thanh An  thành phố Cần Thơ</v>
      </c>
      <c r="C24241" t="str">
        <v>-</v>
      </c>
      <c r="D24241" t="str">
        <v>-</v>
      </c>
      <c r="E24241" t="str">
        <v>-</v>
      </c>
      <c r="F24241" t="str">
        <v>-</v>
      </c>
      <c r="G24241" t="str">
        <v>-</v>
      </c>
    </row>
    <row r="24242">
      <c r="B24242" t="str">
        <v>Công an thị trấn Vĩnh Thạnh  thành phố Cần Thơ</v>
      </c>
      <c r="C24242" t="str">
        <v>-</v>
      </c>
      <c r="D24242" t="str">
        <v>-</v>
      </c>
      <c r="E24242" t="str">
        <v/>
      </c>
      <c r="F24242" t="str">
        <v>-</v>
      </c>
      <c r="G24242" t="str">
        <v>-</v>
      </c>
    </row>
    <row r="24243">
      <c r="B24243" t="str">
        <v>UBND Ủy ban nhân dân thị trấn Vĩnh Thạnh  thành phố Cần Thơ</v>
      </c>
      <c r="C24243" t="str">
        <v>-</v>
      </c>
      <c r="D24243" t="str">
        <v>-</v>
      </c>
      <c r="E24243" t="str">
        <v>-</v>
      </c>
      <c r="F24243" t="str">
        <v>-</v>
      </c>
      <c r="G24243" t="str">
        <v>-</v>
      </c>
    </row>
    <row r="24244">
      <c r="B24244" t="str">
        <v>Công an thị trấn Cờ Đỏ  thành phố Cần Thơ</v>
      </c>
      <c r="C24244" t="str">
        <v>-</v>
      </c>
      <c r="D24244" t="str">
        <v>-</v>
      </c>
      <c r="E24244" t="str">
        <v/>
      </c>
      <c r="F24244" t="str">
        <v>-</v>
      </c>
      <c r="G24244" t="str">
        <v>-</v>
      </c>
    </row>
    <row r="24245">
      <c r="B24245" t="str">
        <v>UBND Ủy ban nhân dân thị trấn Cờ Đỏ  thành phố Cần Thơ</v>
      </c>
      <c r="C24245" t="str">
        <v>-</v>
      </c>
      <c r="D24245" t="str">
        <v>-</v>
      </c>
      <c r="E24245" t="str">
        <v>-</v>
      </c>
      <c r="F24245" t="str">
        <v>-</v>
      </c>
      <c r="G24245" t="str">
        <v>-</v>
      </c>
    </row>
    <row r="24246">
      <c r="B24246" t="str">
        <v>Công an thị trấn Phong Điền  thành phố Cần Thơ</v>
      </c>
      <c r="C24246" t="str">
        <v>-</v>
      </c>
      <c r="D24246" t="str">
        <v>-</v>
      </c>
      <c r="E24246" t="str">
        <v/>
      </c>
      <c r="F24246" t="str">
        <v>-</v>
      </c>
      <c r="G24246" t="str">
        <v>-</v>
      </c>
    </row>
    <row r="24247">
      <c r="B24247" t="str">
        <v>UBND Ủy ban nhân dân thị trấn Phong Điền  thành phố Cần Thơ</v>
      </c>
      <c r="C24247" t="str">
        <v>-</v>
      </c>
      <c r="D24247" t="str">
        <v>-</v>
      </c>
      <c r="E24247" t="str">
        <v>-</v>
      </c>
      <c r="F24247" t="str">
        <v>-</v>
      </c>
      <c r="G24247" t="str">
        <v>-</v>
      </c>
    </row>
    <row r="24248">
      <c r="B24248" t="str">
        <v>Công an thị trấn Thới Lai  thành phố Cần Thơ</v>
      </c>
      <c r="C24248" t="str">
        <v>-</v>
      </c>
      <c r="D24248" t="str">
        <v>-</v>
      </c>
      <c r="E24248" t="str">
        <v/>
      </c>
      <c r="F24248" t="str">
        <v>-</v>
      </c>
      <c r="G24248" t="str">
        <v>-</v>
      </c>
    </row>
    <row r="24249">
      <c r="B24249" t="str">
        <v>UBND Ủy ban nhân dân thị trấn Thới Lai  thành phố Cần Thơ</v>
      </c>
      <c r="C24249" t="str">
        <v>-</v>
      </c>
      <c r="D24249" t="str">
        <v>-</v>
      </c>
      <c r="E24249" t="str">
        <v>-</v>
      </c>
      <c r="F24249" t="str">
        <v>-</v>
      </c>
      <c r="G24249" t="str">
        <v>-</v>
      </c>
    </row>
    <row r="24250">
      <c r="B24250" t="str">
        <v>Công an thị trấn Một Ngàn  tỉnh Hậu Giang</v>
      </c>
      <c r="C24250" t="str">
        <v>-</v>
      </c>
      <c r="D24250" t="str">
        <v>-</v>
      </c>
      <c r="E24250" t="str">
        <v/>
      </c>
      <c r="F24250" t="str">
        <v>-</v>
      </c>
      <c r="G24250" t="str">
        <v>-</v>
      </c>
    </row>
    <row r="24251">
      <c r="B24251" t="str">
        <v>UBND Ủy ban nhân dân thị trấn Một Ngàn  tỉnh Hậu Giang</v>
      </c>
      <c r="C24251" t="str">
        <v>-</v>
      </c>
      <c r="D24251" t="str">
        <v>-</v>
      </c>
      <c r="E24251" t="str">
        <v>-</v>
      </c>
      <c r="F24251" t="str">
        <v>-</v>
      </c>
      <c r="G24251" t="str">
        <v>-</v>
      </c>
    </row>
    <row r="24252">
      <c r="B24252" t="str">
        <v>Công an thị trấn Bảy Ngàn  tỉnh Hậu Giang</v>
      </c>
      <c r="C24252" t="str">
        <v>-</v>
      </c>
      <c r="D24252" t="str">
        <v>-</v>
      </c>
      <c r="E24252" t="str">
        <v/>
      </c>
      <c r="F24252" t="str">
        <v>-</v>
      </c>
      <c r="G24252" t="str">
        <v>-</v>
      </c>
    </row>
    <row r="24253">
      <c r="B24253" t="str">
        <v>UBND Ủy ban nhân dân thị trấn Bảy Ngàn  tỉnh Hậu Giang</v>
      </c>
      <c r="C24253" t="str">
        <v>-</v>
      </c>
      <c r="D24253" t="str">
        <v>-</v>
      </c>
      <c r="E24253" t="str">
        <v>-</v>
      </c>
      <c r="F24253" t="str">
        <v>-</v>
      </c>
      <c r="G24253" t="str">
        <v>-</v>
      </c>
    </row>
    <row r="24254">
      <c r="B24254" t="str">
        <v>Công an thị trấn Rạch Gòi  tỉnh Hậu Giang</v>
      </c>
      <c r="C24254" t="str">
        <v>-</v>
      </c>
      <c r="D24254" t="str">
        <v>-</v>
      </c>
      <c r="E24254" t="str">
        <v/>
      </c>
      <c r="F24254" t="str">
        <v>-</v>
      </c>
      <c r="G24254" t="str">
        <v>-</v>
      </c>
    </row>
    <row r="24255">
      <c r="B24255" t="str">
        <v>UBND Ủy ban nhân dân thị trấn Rạch Gòi  tỉnh Hậu Giang</v>
      </c>
      <c r="C24255" t="str">
        <v>-</v>
      </c>
      <c r="D24255" t="str">
        <v>-</v>
      </c>
      <c r="E24255" t="str">
        <v>-</v>
      </c>
      <c r="F24255" t="str">
        <v>-</v>
      </c>
      <c r="G24255" t="str">
        <v>-</v>
      </c>
    </row>
    <row r="24256">
      <c r="B24256" t="str">
        <v>Công an thị trấn Cái Tắc  tỉnh Hậu Giang</v>
      </c>
      <c r="C24256" t="str">
        <v>-</v>
      </c>
      <c r="D24256" t="str">
        <v>-</v>
      </c>
      <c r="E24256" t="str">
        <v/>
      </c>
      <c r="F24256" t="str">
        <v>-</v>
      </c>
      <c r="G24256" t="str">
        <v>-</v>
      </c>
    </row>
    <row r="24257">
      <c r="B24257" t="str">
        <v>UBND Ủy ban nhân dân thị trấn Cái Tắc  tỉnh Hậu Giang</v>
      </c>
      <c r="C24257" t="str">
        <v>-</v>
      </c>
      <c r="D24257" t="str">
        <v>-</v>
      </c>
      <c r="E24257" t="str">
        <v>-</v>
      </c>
      <c r="F24257" t="str">
        <v>-</v>
      </c>
      <c r="G24257" t="str">
        <v>-</v>
      </c>
    </row>
    <row r="24258">
      <c r="B24258" t="str">
        <v>Công an thị trấn Ngã Sáu  tỉnh Hậu Giang</v>
      </c>
      <c r="C24258" t="str">
        <v>-</v>
      </c>
      <c r="D24258" t="str">
        <v>-</v>
      </c>
      <c r="E24258" t="str">
        <v/>
      </c>
      <c r="F24258" t="str">
        <v>-</v>
      </c>
      <c r="G24258" t="str">
        <v>-</v>
      </c>
    </row>
    <row r="24259">
      <c r="B24259" t="str">
        <v>UBND Ủy ban nhân dân thị trấn Ngã Sáu  tỉnh Hậu Giang</v>
      </c>
      <c r="C24259" t="str">
        <v>-</v>
      </c>
      <c r="D24259" t="str">
        <v>-</v>
      </c>
      <c r="E24259" t="str">
        <v>-</v>
      </c>
      <c r="F24259" t="str">
        <v>-</v>
      </c>
      <c r="G24259" t="str">
        <v>-</v>
      </c>
    </row>
    <row r="24260">
      <c r="B24260" t="str">
        <v>Công an thị trấn Mái Dầm  tỉnh Hậu Giang</v>
      </c>
      <c r="C24260" t="str">
        <v>-</v>
      </c>
      <c r="D24260" t="str">
        <v>-</v>
      </c>
      <c r="E24260" t="str">
        <v/>
      </c>
      <c r="F24260" t="str">
        <v>-</v>
      </c>
      <c r="G24260" t="str">
        <v>-</v>
      </c>
    </row>
    <row r="24261">
      <c r="B24261" t="str">
        <v>UBND Ủy ban nhân dân thị trấn Mái Dầm  tỉnh Hậu Giang</v>
      </c>
      <c r="C24261" t="str">
        <v>-</v>
      </c>
      <c r="D24261" t="str">
        <v>-</v>
      </c>
      <c r="E24261" t="str">
        <v>-</v>
      </c>
      <c r="F24261" t="str">
        <v>-</v>
      </c>
      <c r="G24261" t="str">
        <v>-</v>
      </c>
    </row>
    <row r="24262">
      <c r="B24262" t="str">
        <v>Công an thị trấn Kinh Cùng  tỉnh Hậu Giang</v>
      </c>
      <c r="C24262" t="str">
        <v>-</v>
      </c>
      <c r="D24262" t="str">
        <v>-</v>
      </c>
      <c r="E24262" t="str">
        <v/>
      </c>
      <c r="F24262" t="str">
        <v>-</v>
      </c>
      <c r="G24262" t="str">
        <v>-</v>
      </c>
    </row>
    <row r="24263">
      <c r="B24263" t="str">
        <v>UBND Ủy ban nhân dân thị trấn Kinh Cùng  tỉnh Hậu Giang</v>
      </c>
      <c r="C24263" t="str">
        <v>-</v>
      </c>
      <c r="D24263" t="str">
        <v>-</v>
      </c>
      <c r="E24263" t="str">
        <v>-</v>
      </c>
      <c r="F24263" t="str">
        <v>-</v>
      </c>
      <c r="G24263" t="str">
        <v>-</v>
      </c>
    </row>
    <row r="24264">
      <c r="B24264" t="str">
        <v>Công an thị trấn Cây Dương  tỉnh Hậu Giang</v>
      </c>
      <c r="C24264" t="str">
        <v>-</v>
      </c>
      <c r="D24264" t="str">
        <v>-</v>
      </c>
      <c r="E24264" t="str">
        <v/>
      </c>
      <c r="F24264" t="str">
        <v>-</v>
      </c>
      <c r="G24264" t="str">
        <v>-</v>
      </c>
    </row>
    <row r="24265">
      <c r="B24265" t="str">
        <v>UBND Ủy ban nhân dân thị trấn Cây Dương  tỉnh Hậu Giang</v>
      </c>
      <c r="C24265" t="str">
        <v>-</v>
      </c>
      <c r="D24265" t="str">
        <v>-</v>
      </c>
      <c r="E24265" t="str">
        <v>-</v>
      </c>
      <c r="F24265" t="str">
        <v>-</v>
      </c>
      <c r="G24265" t="str">
        <v>-</v>
      </c>
    </row>
    <row r="24266">
      <c r="B24266" t="str">
        <v>Công an thị trấn Búng Tàu  tỉnh Hậu Giang</v>
      </c>
      <c r="C24266" t="str">
        <v>-</v>
      </c>
      <c r="D24266" t="str">
        <v>-</v>
      </c>
      <c r="E24266" t="str">
        <v/>
      </c>
      <c r="F24266" t="str">
        <v>-</v>
      </c>
      <c r="G24266" t="str">
        <v>-</v>
      </c>
    </row>
    <row r="24267">
      <c r="B24267" t="str">
        <v>UBND Ủy ban nhân dân thị trấn Búng Tàu  tỉnh Hậu Giang</v>
      </c>
      <c r="C24267" t="str">
        <v>-</v>
      </c>
      <c r="D24267" t="str">
        <v>-</v>
      </c>
      <c r="E24267" t="str">
        <v>-</v>
      </c>
      <c r="F24267" t="str">
        <v>-</v>
      </c>
      <c r="G24267" t="str">
        <v>-</v>
      </c>
    </row>
    <row r="24268">
      <c r="B24268" t="str">
        <v>Công an thị trấn Nàng Mau  tỉnh Hậu Giang</v>
      </c>
      <c r="C24268" t="str">
        <v>-</v>
      </c>
      <c r="D24268" t="str">
        <v>-</v>
      </c>
      <c r="E24268" t="str">
        <v/>
      </c>
      <c r="F24268" t="str">
        <v>-</v>
      </c>
      <c r="G24268" t="str">
        <v>-</v>
      </c>
    </row>
    <row r="24269">
      <c r="B24269" t="str">
        <v>UBND Ủy ban nhân dân thị trấn Nàng Mau  tỉnh Hậu Giang</v>
      </c>
      <c r="C24269" t="str">
        <v>-</v>
      </c>
      <c r="D24269" t="str">
        <v>-</v>
      </c>
      <c r="E24269" t="str">
        <v>-</v>
      </c>
      <c r="F24269" t="str">
        <v>-</v>
      </c>
      <c r="G24269" t="str">
        <v>-</v>
      </c>
    </row>
    <row r="24270">
      <c r="B24270" t="str">
        <v>Công an thị trấn Châu Thành  tỉnh Sóc Trăng</v>
      </c>
      <c r="C24270" t="str">
        <v>-</v>
      </c>
      <c r="D24270" t="str">
        <v>-</v>
      </c>
      <c r="E24270" t="str">
        <v/>
      </c>
      <c r="F24270" t="str">
        <v>-</v>
      </c>
      <c r="G24270" t="str">
        <v>-</v>
      </c>
    </row>
    <row r="24271">
      <c r="B24271" t="str">
        <v>UBND Ủy ban nhân dân thị trấn Châu Thành  tỉnh Sóc Trăng</v>
      </c>
      <c r="C24271" t="str">
        <v>-</v>
      </c>
      <c r="D24271" t="str">
        <v>-</v>
      </c>
      <c r="E24271" t="str">
        <v>-</v>
      </c>
      <c r="F24271" t="str">
        <v>-</v>
      </c>
      <c r="G24271" t="str">
        <v>-</v>
      </c>
    </row>
    <row r="24272">
      <c r="B24272" t="str">
        <v>Công an thị trấn Kế Sách  tỉnh Sóc Trăng</v>
      </c>
      <c r="C24272" t="str">
        <v>-</v>
      </c>
      <c r="D24272" t="str">
        <v>-</v>
      </c>
      <c r="E24272" t="str">
        <v/>
      </c>
      <c r="F24272" t="str">
        <v>-</v>
      </c>
      <c r="G24272" t="str">
        <v>-</v>
      </c>
    </row>
    <row r="24273">
      <c r="B24273" t="str">
        <v>UBND Ủy ban nhân dân thị trấn Kế Sách  tỉnh Sóc Trăng</v>
      </c>
      <c r="C24273" t="str">
        <v>-</v>
      </c>
      <c r="D24273" t="str">
        <v>-</v>
      </c>
      <c r="E24273" t="str">
        <v>-</v>
      </c>
      <c r="F24273" t="str">
        <v>-</v>
      </c>
      <c r="G24273" t="str">
        <v>-</v>
      </c>
    </row>
    <row r="24274">
      <c r="B24274" t="str">
        <v>Công an thị trấn An Lạc Thôn  tỉnh Sóc Trăng</v>
      </c>
      <c r="C24274" t="str">
        <v>-</v>
      </c>
      <c r="D24274" t="str">
        <v>-</v>
      </c>
      <c r="E24274" t="str">
        <v/>
      </c>
      <c r="F24274" t="str">
        <v>-</v>
      </c>
      <c r="G24274" t="str">
        <v>-</v>
      </c>
    </row>
    <row r="24275">
      <c r="B24275" t="str">
        <v>UBND Ủy ban nhân dân thị trấn An Lạc Thôn  tỉnh Sóc Trăng</v>
      </c>
      <c r="C24275" t="str">
        <v>-</v>
      </c>
      <c r="D24275" t="str">
        <v>-</v>
      </c>
      <c r="E24275" t="str">
        <v>-</v>
      </c>
      <c r="F24275" t="str">
        <v>-</v>
      </c>
      <c r="G24275" t="str">
        <v>-</v>
      </c>
    </row>
    <row r="24276">
      <c r="B24276" t="str">
        <v>Công an thị trấn Huỳnh Hữu Nghĩa  tỉnh Sóc Trăng</v>
      </c>
      <c r="C24276" t="str">
        <v>-</v>
      </c>
      <c r="D24276" t="str">
        <v>-</v>
      </c>
      <c r="E24276" t="str">
        <v/>
      </c>
      <c r="F24276" t="str">
        <v>-</v>
      </c>
      <c r="G24276" t="str">
        <v>-</v>
      </c>
    </row>
    <row r="24277">
      <c r="B24277" t="str">
        <v>UBND Ủy ban nhân dân thị trấn Huỳnh Hữu Nghĩa  tỉnh Sóc Trăng</v>
      </c>
      <c r="C24277" t="str">
        <v>-</v>
      </c>
      <c r="D24277" t="str">
        <v>-</v>
      </c>
      <c r="E24277" t="str">
        <v>-</v>
      </c>
      <c r="F24277" t="str">
        <v>-</v>
      </c>
      <c r="G24277" t="str">
        <v>-</v>
      </c>
    </row>
    <row r="24278">
      <c r="B24278" t="str">
        <v>Công an thị trấn Cù Lao Dung  tỉnh Sóc Trăng</v>
      </c>
      <c r="C24278" t="str">
        <v>-</v>
      </c>
      <c r="D24278" t="str">
        <v>-</v>
      </c>
      <c r="E24278" t="str">
        <v/>
      </c>
      <c r="F24278" t="str">
        <v>-</v>
      </c>
      <c r="G24278" t="str">
        <v>-</v>
      </c>
    </row>
    <row r="24279">
      <c r="B24279" t="str">
        <v>UBND Ủy ban nhân dân thị trấn Cù Lao Dung  tỉnh Sóc Trăng</v>
      </c>
      <c r="C24279" t="str">
        <v>-</v>
      </c>
      <c r="D24279" t="str">
        <v>-</v>
      </c>
      <c r="E24279" t="str">
        <v>-</v>
      </c>
      <c r="F24279" t="str">
        <v>-</v>
      </c>
      <c r="G24279" t="str">
        <v>-</v>
      </c>
    </row>
    <row r="24280">
      <c r="B24280" t="str">
        <v>Công an thị trấn Long Phú  tỉnh Sóc Trăng</v>
      </c>
      <c r="C24280" t="str">
        <v>-</v>
      </c>
      <c r="D24280" t="str">
        <v>-</v>
      </c>
      <c r="E24280" t="str">
        <v/>
      </c>
      <c r="F24280" t="str">
        <v>-</v>
      </c>
      <c r="G24280" t="str">
        <v>-</v>
      </c>
    </row>
    <row r="24281">
      <c r="B24281" t="str">
        <v>UBND Ủy ban nhân dân thị trấn Long Phú  tỉnh Sóc Trăng</v>
      </c>
      <c r="C24281" t="str">
        <v>-</v>
      </c>
      <c r="D24281" t="str">
        <v>-</v>
      </c>
      <c r="E24281" t="str">
        <v>-</v>
      </c>
      <c r="F24281" t="str">
        <v>-</v>
      </c>
      <c r="G24281" t="str">
        <v>-</v>
      </c>
    </row>
    <row r="24282">
      <c r="B24282" t="str">
        <v>Công an thị trấn Đại Ngãi  tỉnh Sóc Trăng</v>
      </c>
      <c r="C24282" t="str">
        <v>-</v>
      </c>
      <c r="D24282" t="str">
        <v>-</v>
      </c>
      <c r="E24282" t="str">
        <v/>
      </c>
      <c r="F24282" t="str">
        <v>-</v>
      </c>
      <c r="G24282" t="str">
        <v>-</v>
      </c>
    </row>
    <row r="24283">
      <c r="B24283" t="str">
        <v>UBND Ủy ban nhân dân thị trấn Đại Ngãi  tỉnh Sóc Trăng</v>
      </c>
      <c r="C24283" t="str">
        <v>-</v>
      </c>
      <c r="D24283" t="str">
        <v>-</v>
      </c>
      <c r="E24283" t="str">
        <v>-</v>
      </c>
      <c r="F24283" t="str">
        <v>-</v>
      </c>
      <c r="G24283" t="str">
        <v>-</v>
      </c>
    </row>
    <row r="24284">
      <c r="B24284" t="str">
        <v>Công an thị trấn Mỹ Xuyên  tỉnh Sóc Trăng</v>
      </c>
      <c r="C24284" t="str">
        <v>-</v>
      </c>
      <c r="D24284" t="str">
        <v>-</v>
      </c>
      <c r="E24284" t="str">
        <v/>
      </c>
      <c r="F24284" t="str">
        <v>-</v>
      </c>
      <c r="G24284" t="str">
        <v>-</v>
      </c>
    </row>
    <row r="24285">
      <c r="B24285" t="str">
        <v>UBND Ủy ban nhân dân thị trấn Mỹ Xuyên  tỉnh Sóc Trăng</v>
      </c>
      <c r="C24285" t="str">
        <v>-</v>
      </c>
      <c r="D24285" t="str">
        <v>-</v>
      </c>
      <c r="E24285" t="str">
        <v>-</v>
      </c>
      <c r="F24285" t="str">
        <v>-</v>
      </c>
      <c r="G24285" t="str">
        <v>-</v>
      </c>
    </row>
    <row r="24286">
      <c r="B24286" t="str">
        <v>Công an thị trấn Phú Lộc  tỉnh Sóc Trăng</v>
      </c>
      <c r="C24286" t="str">
        <v>-</v>
      </c>
      <c r="D24286" t="str">
        <v>-</v>
      </c>
      <c r="E24286" t="str">
        <v/>
      </c>
      <c r="F24286" t="str">
        <v>-</v>
      </c>
      <c r="G24286" t="str">
        <v>-</v>
      </c>
    </row>
    <row r="24287">
      <c r="B24287" t="str">
        <v>UBND Ủy ban nhân dân thị trấn Phú Lộc  tỉnh Sóc Trăng</v>
      </c>
      <c r="C24287" t="str">
        <v>-</v>
      </c>
      <c r="D24287" t="str">
        <v>-</v>
      </c>
      <c r="E24287" t="str">
        <v>-</v>
      </c>
      <c r="F24287" t="str">
        <v>-</v>
      </c>
      <c r="G24287" t="str">
        <v>-</v>
      </c>
    </row>
    <row r="24288">
      <c r="B24288" t="str">
        <v>Công an thị trấn Hưng Lợi  tỉnh Sóc Trăng</v>
      </c>
      <c r="C24288" t="str">
        <v>-</v>
      </c>
      <c r="D24288" t="str">
        <v>-</v>
      </c>
      <c r="E24288" t="str">
        <v/>
      </c>
      <c r="F24288" t="str">
        <v>-</v>
      </c>
      <c r="G24288" t="str">
        <v>-</v>
      </c>
    </row>
    <row r="24289">
      <c r="B24289" t="str">
        <v>UBND Ủy ban nhân dân thị trấn Hưng Lợi  tỉnh Sóc Trăng</v>
      </c>
      <c r="C24289" t="str">
        <v>-</v>
      </c>
      <c r="D24289" t="str">
        <v>-</v>
      </c>
      <c r="E24289" t="str">
        <v>-</v>
      </c>
      <c r="F24289" t="str">
        <v>-</v>
      </c>
      <c r="G24289" t="str">
        <v>-</v>
      </c>
    </row>
    <row r="24290">
      <c r="B24290" t="str">
        <v>Công an thị trấn Trần Đề  tỉnh Sóc Trăng</v>
      </c>
      <c r="C24290" t="str">
        <v>-</v>
      </c>
      <c r="D24290" t="str">
        <v>-</v>
      </c>
      <c r="E24290" t="str">
        <v/>
      </c>
      <c r="F24290" t="str">
        <v>-</v>
      </c>
      <c r="G24290" t="str">
        <v>-</v>
      </c>
    </row>
    <row r="24291">
      <c r="B24291" t="str">
        <v>UBND Ủy ban nhân dân thị trấn Trần Đề  tỉnh Sóc Trăng</v>
      </c>
      <c r="C24291" t="str">
        <v>-</v>
      </c>
      <c r="D24291" t="str">
        <v>-</v>
      </c>
      <c r="E24291" t="str">
        <v>-</v>
      </c>
      <c r="F24291" t="str">
        <v>-</v>
      </c>
      <c r="G24291" t="str">
        <v>-</v>
      </c>
    </row>
    <row r="24292">
      <c r="B24292" t="str">
        <v>Công an thị trấn Lịch Hội Thượng  tỉnh Sóc Trăng</v>
      </c>
      <c r="C24292" t="str">
        <v>-</v>
      </c>
      <c r="D24292" t="str">
        <v>-</v>
      </c>
      <c r="E24292" t="str">
        <v/>
      </c>
      <c r="F24292" t="str">
        <v>-</v>
      </c>
      <c r="G24292" t="str">
        <v>-</v>
      </c>
    </row>
    <row r="24293">
      <c r="B24293" t="str">
        <v>UBND Ủy ban nhân dân thị trấn Lịch Hội Thượng  tỉnh Sóc Trăng</v>
      </c>
      <c r="C24293" t="str">
        <v>-</v>
      </c>
      <c r="D24293" t="str">
        <v>-</v>
      </c>
      <c r="E24293" t="str">
        <v>-</v>
      </c>
      <c r="F24293" t="str">
        <v>-</v>
      </c>
      <c r="G24293" t="str">
        <v>-</v>
      </c>
    </row>
    <row r="24294">
      <c r="B24294" t="str">
        <v>Công an thị trấn Ngan Dừa  tỉnh Bạc Liêu</v>
      </c>
      <c r="C24294" t="str">
        <v>-</v>
      </c>
      <c r="D24294" t="str">
        <v>-</v>
      </c>
      <c r="E24294" t="str">
        <v/>
      </c>
      <c r="F24294" t="str">
        <v>-</v>
      </c>
      <c r="G24294" t="str">
        <v>-</v>
      </c>
    </row>
    <row r="24295">
      <c r="B24295" t="str">
        <v>UBND Ủy ban nhân dân thị trấn Ngan Dừa  tỉnh Bạc Liêu</v>
      </c>
      <c r="C24295" t="str">
        <v>-</v>
      </c>
      <c r="D24295" t="str">
        <v>-</v>
      </c>
      <c r="E24295" t="str">
        <v>-</v>
      </c>
      <c r="F24295" t="str">
        <v>-</v>
      </c>
      <c r="G24295" t="str">
        <v>-</v>
      </c>
    </row>
    <row r="24296">
      <c r="B24296" t="str">
        <v>Công an thị trấn Phước Long  tỉnh Bạc Liêu</v>
      </c>
      <c r="C24296" t="str">
        <v>-</v>
      </c>
      <c r="D24296" t="str">
        <v>-</v>
      </c>
      <c r="E24296" t="str">
        <v/>
      </c>
      <c r="F24296" t="str">
        <v>-</v>
      </c>
      <c r="G24296" t="str">
        <v>-</v>
      </c>
    </row>
    <row r="24297">
      <c r="B24297" t="str">
        <v>UBND Ủy ban nhân dân thị trấn Phước Long  tỉnh Bạc Liêu</v>
      </c>
      <c r="C24297" t="str">
        <v>-</v>
      </c>
      <c r="D24297" t="str">
        <v>-</v>
      </c>
      <c r="E24297" t="str">
        <v>-</v>
      </c>
      <c r="F24297" t="str">
        <v>-</v>
      </c>
      <c r="G24297" t="str">
        <v>-</v>
      </c>
    </row>
    <row r="24298">
      <c r="B24298" t="str">
        <v>Công an thị trấn Châu Hưng  tỉnh Bạc Liêu</v>
      </c>
      <c r="C24298" t="str">
        <v>-</v>
      </c>
      <c r="D24298" t="str">
        <v>-</v>
      </c>
      <c r="E24298" t="str">
        <v/>
      </c>
      <c r="F24298" t="str">
        <v>-</v>
      </c>
      <c r="G24298" t="str">
        <v>-</v>
      </c>
    </row>
    <row r="24299">
      <c r="B24299" t="str">
        <v>UBND Ủy ban nhân dân thị trấn Châu Hưng  tỉnh Bạc Liêu</v>
      </c>
      <c r="C24299" t="str">
        <v>-</v>
      </c>
      <c r="D24299" t="str">
        <v>-</v>
      </c>
      <c r="E24299" t="str">
        <v>-</v>
      </c>
      <c r="F24299" t="str">
        <v>-</v>
      </c>
      <c r="G24299" t="str">
        <v>-</v>
      </c>
    </row>
    <row r="24300">
      <c r="B24300" t="str">
        <v>Công an thị trấn Gành Hào  tỉnh Bạc Liêu</v>
      </c>
      <c r="C24300" t="str">
        <v>-</v>
      </c>
      <c r="D24300" t="str">
        <v>-</v>
      </c>
      <c r="E24300" t="str">
        <v/>
      </c>
      <c r="F24300" t="str">
        <v>-</v>
      </c>
      <c r="G24300" t="str">
        <v>-</v>
      </c>
    </row>
    <row r="24301">
      <c r="B24301" t="str">
        <v>UBND Ủy ban nhân dân thị trấn Gành Hào  tỉnh Bạc Liêu</v>
      </c>
      <c r="C24301" t="str">
        <v>-</v>
      </c>
      <c r="D24301" t="str">
        <v>-</v>
      </c>
      <c r="E24301" t="str">
        <v>-</v>
      </c>
      <c r="F24301" t="str">
        <v>-</v>
      </c>
      <c r="G24301" t="str">
        <v>-</v>
      </c>
    </row>
    <row r="24302">
      <c r="B24302" t="str">
        <v>Công an thị trấn Hòa Bình  tỉnh Bạc Liêu</v>
      </c>
      <c r="C24302" t="str">
        <v>-</v>
      </c>
      <c r="D24302" t="str">
        <v>-</v>
      </c>
      <c r="E24302" t="str">
        <v/>
      </c>
      <c r="F24302" t="str">
        <v>-</v>
      </c>
      <c r="G24302" t="str">
        <v>-</v>
      </c>
    </row>
    <row r="24303">
      <c r="B24303" t="str">
        <v>UBND Ủy ban nhân dân thị trấn Hòa Bình  tỉnh Bạc Liêu</v>
      </c>
      <c r="C24303" t="str">
        <v>-</v>
      </c>
      <c r="D24303" t="str">
        <v>-</v>
      </c>
      <c r="E24303" t="str">
        <v>-</v>
      </c>
      <c r="F24303" t="str">
        <v>-</v>
      </c>
      <c r="G24303" t="str">
        <v>-</v>
      </c>
    </row>
    <row r="24304">
      <c r="B24304" t="str">
        <v>Công an thị trấn U Minh  tỉnh Cà Mau</v>
      </c>
      <c r="C24304" t="str">
        <v>-</v>
      </c>
      <c r="D24304" t="str">
        <v>-</v>
      </c>
      <c r="E24304" t="str">
        <v/>
      </c>
      <c r="F24304" t="str">
        <v>-</v>
      </c>
      <c r="G24304" t="str">
        <v>-</v>
      </c>
    </row>
    <row r="24305">
      <c r="B24305" t="str">
        <v>UBND Ủy ban nhân dân thị trấn U Minh  tỉnh Cà Mau</v>
      </c>
      <c r="C24305" t="str">
        <v>-</v>
      </c>
      <c r="D24305" t="str">
        <v>-</v>
      </c>
      <c r="E24305" t="str">
        <v>-</v>
      </c>
      <c r="F24305" t="str">
        <v>-</v>
      </c>
      <c r="G24305" t="str">
        <v>-</v>
      </c>
    </row>
    <row r="24306">
      <c r="B24306" t="str">
        <v>Công an thị trấn Thới Bình  tỉnh Cà Mau</v>
      </c>
      <c r="C24306" t="str">
        <v>-</v>
      </c>
      <c r="D24306" t="str">
        <v>-</v>
      </c>
      <c r="E24306" t="str">
        <v/>
      </c>
      <c r="F24306" t="str">
        <v>-</v>
      </c>
      <c r="G24306" t="str">
        <v>-</v>
      </c>
    </row>
    <row r="24307">
      <c r="B24307" t="str">
        <v>UBND Ủy ban nhân dân thị trấn Thới Bình  tỉnh Cà Mau</v>
      </c>
      <c r="C24307" t="str">
        <v>-</v>
      </c>
      <c r="D24307" t="str">
        <v>-</v>
      </c>
      <c r="E24307" t="str">
        <v>-</v>
      </c>
      <c r="F24307" t="str">
        <v>-</v>
      </c>
      <c r="G24307" t="str">
        <v>-</v>
      </c>
    </row>
    <row r="24308">
      <c r="B24308" t="str">
        <v>Công an thị trấn Trần Văn Thời  tỉnh Cà Mau</v>
      </c>
      <c r="C24308" t="str">
        <v>-</v>
      </c>
      <c r="D24308" t="str">
        <v>-</v>
      </c>
      <c r="E24308" t="str">
        <v/>
      </c>
      <c r="F24308" t="str">
        <v>-</v>
      </c>
      <c r="G24308" t="str">
        <v>-</v>
      </c>
    </row>
    <row r="24309">
      <c r="B24309" t="str">
        <v>UBND Ủy ban nhân dân thị trấn Trần Văn Thời  tỉnh Cà Mau</v>
      </c>
      <c r="C24309" t="str">
        <v>-</v>
      </c>
      <c r="D24309" t="str">
        <v>-</v>
      </c>
      <c r="E24309" t="str">
        <v>-</v>
      </c>
      <c r="F24309" t="str">
        <v>-</v>
      </c>
      <c r="G24309" t="str">
        <v>-</v>
      </c>
    </row>
    <row r="24310">
      <c r="B24310" t="str">
        <v>Công an thị trấn Sông Đốc  tỉnh Cà Mau</v>
      </c>
      <c r="C24310" t="str">
        <v>-</v>
      </c>
      <c r="D24310" t="str">
        <v>-</v>
      </c>
      <c r="E24310" t="str">
        <v/>
      </c>
      <c r="F24310" t="str">
        <v>-</v>
      </c>
      <c r="G24310" t="str">
        <v>-</v>
      </c>
    </row>
    <row r="24311">
      <c r="B24311" t="str">
        <v>UBND Ủy ban nhân dân thị trấn Sông Đốc  tỉnh Cà Mau</v>
      </c>
      <c r="C24311" t="str">
        <v>-</v>
      </c>
      <c r="D24311" t="str">
        <v>-</v>
      </c>
      <c r="E24311" t="str">
        <v>-</v>
      </c>
      <c r="F24311" t="str">
        <v>-</v>
      </c>
      <c r="G24311" t="str">
        <v>-</v>
      </c>
    </row>
    <row r="24312">
      <c r="B24312" t="str">
        <v>Công an thị trấn Cái Nước  tỉnh Cà Mau</v>
      </c>
      <c r="C24312" t="str">
        <v>-</v>
      </c>
      <c r="D24312" t="str">
        <v>-</v>
      </c>
      <c r="E24312" t="str">
        <v/>
      </c>
      <c r="F24312" t="str">
        <v>-</v>
      </c>
      <c r="G24312" t="str">
        <v>-</v>
      </c>
    </row>
    <row r="24313">
      <c r="B24313" t="str">
        <v>UBND Ủy ban nhân dân thị trấn Cái Nước  tỉnh Cà Mau</v>
      </c>
      <c r="C24313" t="str">
        <v>-</v>
      </c>
      <c r="D24313" t="str">
        <v>-</v>
      </c>
      <c r="E24313" t="str">
        <v>-</v>
      </c>
      <c r="F24313" t="str">
        <v>-</v>
      </c>
      <c r="G24313" t="str">
        <v>-</v>
      </c>
    </row>
    <row r="24314">
      <c r="B24314" t="str">
        <v>Công an thị trấn Đầm Dơi  tỉnh Cà Mau</v>
      </c>
      <c r="C24314" t="str">
        <v>-</v>
      </c>
      <c r="D24314" t="str">
        <v>-</v>
      </c>
      <c r="E24314" t="str">
        <v/>
      </c>
      <c r="F24314" t="str">
        <v>-</v>
      </c>
      <c r="G24314" t="str">
        <v>-</v>
      </c>
    </row>
    <row r="24315">
      <c r="B24315" t="str">
        <v>UBND Ủy ban nhân dân thị trấn Đầm Dơi  tỉnh Cà Mau</v>
      </c>
      <c r="C24315" t="str">
        <v>-</v>
      </c>
      <c r="D24315" t="str">
        <v>-</v>
      </c>
      <c r="E24315" t="str">
        <v>-</v>
      </c>
      <c r="F24315" t="str">
        <v>-</v>
      </c>
      <c r="G24315" t="str">
        <v>-</v>
      </c>
    </row>
    <row r="24316">
      <c r="B24316" t="str">
        <v>Công an thị trấn Năm Căn  tỉnh Cà Mau</v>
      </c>
      <c r="C24316" t="str">
        <v>-</v>
      </c>
      <c r="D24316" t="str">
        <v>-</v>
      </c>
      <c r="E24316" t="str">
        <v/>
      </c>
      <c r="F24316" t="str">
        <v>-</v>
      </c>
      <c r="G24316" t="str">
        <v>-</v>
      </c>
    </row>
    <row r="24317">
      <c r="B24317" t="str">
        <v>UBND Ủy ban nhân dân thị trấn Năm Căn  tỉnh Cà Mau</v>
      </c>
      <c r="C24317" t="str">
        <v>-</v>
      </c>
      <c r="D24317" t="str">
        <v>-</v>
      </c>
      <c r="E24317" t="str">
        <v>-</v>
      </c>
      <c r="F24317" t="str">
        <v>-</v>
      </c>
      <c r="G24317" t="str">
        <v>-</v>
      </c>
    </row>
    <row r="24318">
      <c r="B24318" t="str">
        <v>Công an thị trấn Cái Đôi Vàm  tỉnh Cà Mau</v>
      </c>
      <c r="C24318" t="str">
        <v>-</v>
      </c>
      <c r="D24318" t="str">
        <v>-</v>
      </c>
      <c r="E24318" t="str">
        <v/>
      </c>
      <c r="F24318" t="str">
        <v>-</v>
      </c>
      <c r="G24318" t="str">
        <v>-</v>
      </c>
    </row>
    <row r="24319">
      <c r="B24319" t="str">
        <v>UBND Ủy ban nhân dân thị trấn Cái Đôi Vàm  tỉnh Cà Mau</v>
      </c>
      <c r="C24319" t="str">
        <v>-</v>
      </c>
      <c r="D24319" t="str">
        <v>-</v>
      </c>
      <c r="E24319" t="str">
        <v>-</v>
      </c>
      <c r="F24319" t="str">
        <v>-</v>
      </c>
      <c r="G24319" t="str">
        <v>-</v>
      </c>
    </row>
    <row r="24320">
      <c r="B24320" t="str">
        <v>Công an thị trấn Rạch Gốc  tỉnh Cà Mau</v>
      </c>
      <c r="C24320" t="str">
        <v>-</v>
      </c>
      <c r="D24320" t="str">
        <v>-</v>
      </c>
      <c r="E24320" t="str">
        <v/>
      </c>
      <c r="F24320" t="str">
        <v>-</v>
      </c>
      <c r="G24320" t="str">
        <v>-</v>
      </c>
    </row>
    <row r="24321">
      <c r="B24321" t="str">
        <v>UBND Ủy ban nhân dân thị trấn Rạch Gốc  tỉnh Cà Mau</v>
      </c>
      <c r="C24321" t="str">
        <v>-</v>
      </c>
      <c r="D24321" t="str">
        <v>-</v>
      </c>
      <c r="E24321" t="str">
        <v>-</v>
      </c>
      <c r="F24321" t="str">
        <v>-</v>
      </c>
      <c r="G24321" t="str">
        <v>-</v>
      </c>
    </row>
    <row r="24322">
      <c r="B24322" t="str">
        <v>Công an huyện Sốp Cộp  tỉnh Sơn La</v>
      </c>
      <c r="C24322" t="str">
        <v>-</v>
      </c>
      <c r="D24322" t="str">
        <v>-</v>
      </c>
      <c r="E24322" t="str">
        <v/>
      </c>
      <c r="F24322" t="str">
        <v>-</v>
      </c>
      <c r="G24322" t="str">
        <v>-</v>
      </c>
    </row>
    <row r="24323">
      <c r="B24323" t="str">
        <v>UBND Ủy ban nhân dân huyện Sốp Cộp  tỉnh Sơn La</v>
      </c>
      <c r="C24323" t="str">
        <v>-</v>
      </c>
      <c r="D24323" t="str">
        <v>-</v>
      </c>
      <c r="E24323" t="str">
        <v>-</v>
      </c>
      <c r="F24323" t="str">
        <v>-</v>
      </c>
      <c r="G24323" t="str">
        <v>-</v>
      </c>
    </row>
    <row r="24324">
      <c r="B24324" t="str">
        <v>Công an huyện Bá Thước tỉnh Thanh Hóa</v>
      </c>
      <c r="C24324" t="str">
        <v>-</v>
      </c>
      <c r="D24324" t="str">
        <v>-</v>
      </c>
      <c r="E24324" t="str">
        <v/>
      </c>
      <c r="F24324" t="str">
        <v>-</v>
      </c>
      <c r="G24324" t="str">
        <v>-</v>
      </c>
    </row>
    <row r="24325">
      <c r="B24325" t="str">
        <v>UBND Ủy ban nhân dân huyện Bá Thước tỉnh Thanh Hóa</v>
      </c>
      <c r="C24325" t="str">
        <v>-</v>
      </c>
      <c r="D24325" t="str">
        <v>-</v>
      </c>
      <c r="E24325" t="str">
        <v>-</v>
      </c>
      <c r="F24325" t="str">
        <v>-</v>
      </c>
      <c r="G24325" t="str">
        <v>-</v>
      </c>
    </row>
    <row r="24326">
      <c r="B24326" t="str">
        <v>Công an huyện Lương Phú tỉnh Thái Nguyên</v>
      </c>
      <c r="C24326" t="str">
        <v>-</v>
      </c>
      <c r="D24326" t="str">
        <v>-</v>
      </c>
      <c r="E24326" t="str">
        <v/>
      </c>
      <c r="F24326" t="str">
        <v>-</v>
      </c>
      <c r="G24326" t="str">
        <v>-</v>
      </c>
    </row>
    <row r="24327">
      <c r="B24327" t="str">
        <v>UBND Ủy ban nhân dân huyện Lương Phú tỉnh Thái Nguyên</v>
      </c>
      <c r="C24327" t="str">
        <v>-</v>
      </c>
      <c r="D24327" t="str">
        <v>-</v>
      </c>
      <c r="E24327" t="str">
        <v>-</v>
      </c>
      <c r="F24327" t="str">
        <v>-</v>
      </c>
      <c r="G24327" t="str">
        <v>-</v>
      </c>
    </row>
    <row r="24328">
      <c r="B24328" t="str">
        <v>Công an huyện Bù Đăng tỉnh Bình Phước</v>
      </c>
      <c r="C24328" t="str">
        <v>-</v>
      </c>
      <c r="D24328" t="str">
        <v>-</v>
      </c>
      <c r="E24328" t="str">
        <v/>
      </c>
      <c r="F24328" t="str">
        <v>-</v>
      </c>
      <c r="G24328" t="str">
        <v>-</v>
      </c>
    </row>
    <row r="24329">
      <c r="B24329" t="str">
        <v>UBND Ủy ban nhân dân huyện Bù Đăng tỉnh Bình Phước</v>
      </c>
      <c r="C24329" t="str">
        <v>-</v>
      </c>
      <c r="D24329" t="str">
        <v>-</v>
      </c>
      <c r="E24329" t="str">
        <v>-</v>
      </c>
      <c r="F24329" t="str">
        <v>-</v>
      </c>
      <c r="G24329" t="str">
        <v>-</v>
      </c>
    </row>
    <row r="24330">
      <c r="B24330" t="str">
        <v>Công an thành phố Lào Cai tỉnh Lào Cai</v>
      </c>
      <c r="C24330" t="str">
        <v>-</v>
      </c>
      <c r="D24330" t="str">
        <v>-</v>
      </c>
      <c r="E24330" t="str">
        <v/>
      </c>
      <c r="F24330" t="str">
        <v>-</v>
      </c>
      <c r="G24330" t="str">
        <v>-</v>
      </c>
    </row>
    <row r="24331">
      <c r="B24331" t="str">
        <v>UBND Ủy ban nhân dân thành phố Lào Cai tỉnh Lào Cai</v>
      </c>
      <c r="C24331" t="str">
        <v>-</v>
      </c>
      <c r="D24331" t="str">
        <v>-</v>
      </c>
      <c r="E24331" t="str">
        <v>-</v>
      </c>
      <c r="F24331" t="str">
        <v>-</v>
      </c>
      <c r="G24331" t="str">
        <v>-</v>
      </c>
    </row>
    <row r="24332">
      <c r="B24332" t="str">
        <v>Công an thành phố Cam Ranh tỉnh Khánh Hòa</v>
      </c>
      <c r="C24332" t="str">
        <v>-</v>
      </c>
      <c r="D24332" t="str">
        <v>-</v>
      </c>
      <c r="E24332" t="str">
        <v/>
      </c>
      <c r="F24332" t="str">
        <v>-</v>
      </c>
      <c r="G24332" t="str">
        <v>-</v>
      </c>
    </row>
    <row r="24333">
      <c r="B24333" t="str">
        <v>UBND Ủy ban nhân dân thành phố Cam Ranh tỉnh Khánh Hòa</v>
      </c>
      <c r="C24333" t="str">
        <v>-</v>
      </c>
      <c r="D24333" t="str">
        <v>-</v>
      </c>
      <c r="E24333" t="str">
        <v>-</v>
      </c>
      <c r="F24333" t="str">
        <v>-</v>
      </c>
      <c r="G24333" t="str">
        <v>-</v>
      </c>
    </row>
    <row r="24334">
      <c r="B24334" t="str">
        <v>Công an huyện Bến Cầu tỉnh TÂY NINH</v>
      </c>
      <c r="C24334" t="str">
        <v>-</v>
      </c>
      <c r="D24334" t="str">
        <v>-</v>
      </c>
      <c r="E24334" t="str">
        <v/>
      </c>
      <c r="F24334" t="str">
        <v>-</v>
      </c>
      <c r="G24334" t="str">
        <v>-</v>
      </c>
    </row>
    <row r="24335">
      <c r="B24335" t="str">
        <v>UBND Ủy ban nhân dân huyện Bến Cầu tỉnh TÂY NINH</v>
      </c>
      <c r="C24335" t="str">
        <v>-</v>
      </c>
      <c r="D24335" t="str">
        <v>-</v>
      </c>
      <c r="E24335" t="str">
        <v>-</v>
      </c>
      <c r="F24335" t="str">
        <v>-</v>
      </c>
      <c r="G24335" t="str">
        <v>-</v>
      </c>
    </row>
    <row r="24336">
      <c r="B24336" t="str">
        <v>Công an huyện A Lưới tỉnh THỪA THIÊN HUẾ</v>
      </c>
      <c r="C24336" t="str">
        <v>-</v>
      </c>
      <c r="D24336" t="str">
        <v>-</v>
      </c>
      <c r="E24336" t="str">
        <v/>
      </c>
      <c r="F24336" t="str">
        <v>-</v>
      </c>
      <c r="G24336" t="str">
        <v>-</v>
      </c>
    </row>
    <row r="24337">
      <c r="B24337" t="str">
        <v>UBND Ủy ban nhân dân huyện A Lưới tỉnh THỪA THIÊN HUẾ</v>
      </c>
      <c r="C24337" t="str">
        <v>-</v>
      </c>
      <c r="D24337" t="str">
        <v>-</v>
      </c>
      <c r="E24337" t="str">
        <v>-</v>
      </c>
      <c r="F24337" t="str">
        <v>-</v>
      </c>
      <c r="G24337" t="str">
        <v>-</v>
      </c>
    </row>
    <row r="24338">
      <c r="B24338" t="str">
        <v>Công an huyện Ân Thi tỉnh Hưng Yên</v>
      </c>
      <c r="C24338" t="str">
        <v>-</v>
      </c>
      <c r="D24338" t="str">
        <v>-</v>
      </c>
      <c r="E24338" t="str">
        <v/>
      </c>
      <c r="F24338" t="str">
        <v>-</v>
      </c>
      <c r="G24338" t="str">
        <v>-</v>
      </c>
    </row>
    <row r="24339">
      <c r="B24339" t="str">
        <v>UBND Ủy ban nhân dân huyện Ân Thi tỉnh Hưng Yên</v>
      </c>
      <c r="C24339" t="str">
        <v>-</v>
      </c>
      <c r="D24339" t="str">
        <v>-</v>
      </c>
      <c r="E24339" t="str">
        <v>-</v>
      </c>
      <c r="F24339" t="str">
        <v>-</v>
      </c>
      <c r="G24339" t="str">
        <v>-</v>
      </c>
    </row>
    <row r="24340">
      <c r="B24340" t="str">
        <v>Công an huyện Phú Bình tỉnh Thái Nguyên</v>
      </c>
      <c r="C24340" t="str">
        <v>-</v>
      </c>
      <c r="D24340" t="str">
        <v>-</v>
      </c>
      <c r="E24340" t="str">
        <v/>
      </c>
      <c r="F24340" t="str">
        <v>-</v>
      </c>
      <c r="G24340" t="str">
        <v>-</v>
      </c>
    </row>
    <row r="24341">
      <c r="B24341" t="str">
        <v>UBND Ủy ban nhân dân huyện Phú Bình tỉnh Thái Nguyên</v>
      </c>
      <c r="C24341" t="str">
        <v>-</v>
      </c>
      <c r="D24341" t="str">
        <v>-</v>
      </c>
      <c r="E24341" t="str">
        <v>-</v>
      </c>
      <c r="F24341" t="str">
        <v>-</v>
      </c>
      <c r="G24341" t="str">
        <v>-</v>
      </c>
    </row>
    <row r="24342">
      <c r="B24342" t="str">
        <v>Công an huyện Yên Bình tỉnh Yên Bái</v>
      </c>
      <c r="C24342" t="str">
        <v>-</v>
      </c>
      <c r="D24342" t="str">
        <v>-</v>
      </c>
      <c r="E24342" t="str">
        <v/>
      </c>
      <c r="F24342" t="str">
        <v>-</v>
      </c>
      <c r="G24342" t="str">
        <v>-</v>
      </c>
    </row>
    <row r="24343">
      <c r="B24343" t="str">
        <v>UBND Ủy ban nhân dân huyện Yên Bình tỉnh Yên Bái</v>
      </c>
      <c r="C24343" t="str">
        <v>-</v>
      </c>
      <c r="D24343" t="str">
        <v>-</v>
      </c>
      <c r="E24343" t="str">
        <v>-</v>
      </c>
      <c r="F24343" t="str">
        <v>-</v>
      </c>
      <c r="G24343" t="str">
        <v>-</v>
      </c>
    </row>
    <row r="24344">
      <c r="B24344" t="str">
        <v>Công an huyện Phú Vang tỉnh Vĩnh Phúc</v>
      </c>
      <c r="C24344" t="str">
        <v>-</v>
      </c>
      <c r="D24344" t="str">
        <v>-</v>
      </c>
      <c r="E24344" t="str">
        <v/>
      </c>
      <c r="F24344" t="str">
        <v>-</v>
      </c>
      <c r="G24344" t="str">
        <v>-</v>
      </c>
    </row>
    <row r="24345">
      <c r="B24345" t="str">
        <v>UBND Ủy ban nhân dân huyện Phú Vang tỉnh Vĩnh Phúc</v>
      </c>
      <c r="C24345" t="str">
        <v>-</v>
      </c>
      <c r="D24345" t="str">
        <v>-</v>
      </c>
      <c r="E24345" t="str">
        <v>-</v>
      </c>
      <c r="F24345" t="str">
        <v>-</v>
      </c>
      <c r="G24345" t="str">
        <v>-</v>
      </c>
    </row>
    <row r="24346">
      <c r="B24346" t="str">
        <v>Công an thành phố Phổ Yên   tỉnh Thái Nguyên</v>
      </c>
      <c r="C24346" t="str">
        <v>-</v>
      </c>
      <c r="D24346" t="str">
        <v>-</v>
      </c>
      <c r="E24346" t="str">
        <v/>
      </c>
      <c r="F24346" t="str">
        <v>-</v>
      </c>
      <c r="G24346" t="str">
        <v>-</v>
      </c>
    </row>
    <row r="24347">
      <c r="B24347" t="str">
        <v>UBND Ủy ban nhân dân thành phố Phổ Yên   tỉnh Thái Nguyên</v>
      </c>
      <c r="C24347" t="str">
        <v>-</v>
      </c>
      <c r="D24347" t="str">
        <v>-</v>
      </c>
      <c r="E24347" t="str">
        <v>-</v>
      </c>
      <c r="F24347" t="str">
        <v>-</v>
      </c>
      <c r="G24347" t="str">
        <v>-</v>
      </c>
    </row>
    <row r="24348">
      <c r="B24348" t="str">
        <v>Công an thành phố Thanh Hóa tỉnh Thanh Hóa</v>
      </c>
      <c r="C24348" t="str">
        <v>-</v>
      </c>
      <c r="D24348" t="str">
        <v>-</v>
      </c>
      <c r="E24348" t="str">
        <v/>
      </c>
      <c r="F24348" t="str">
        <v>-</v>
      </c>
      <c r="G24348" t="str">
        <v>-</v>
      </c>
    </row>
    <row r="24349">
      <c r="B24349" t="str">
        <v>UBND Ủy ban nhân dân thành phố Thanh Hóa tỉnh Thanh Hóa</v>
      </c>
      <c r="C24349" t="str">
        <v>-</v>
      </c>
      <c r="D24349" t="str">
        <v>-</v>
      </c>
      <c r="E24349" t="str">
        <v>-</v>
      </c>
      <c r="F24349" t="str">
        <v>-</v>
      </c>
      <c r="G24349" t="str">
        <v>-</v>
      </c>
    </row>
    <row r="24350">
      <c r="B24350" t="str">
        <v>Công an tỉnh Yên Bái tỉnh Yên Bái</v>
      </c>
      <c r="C24350" t="str">
        <v>-</v>
      </c>
      <c r="D24350" t="str">
        <v>-</v>
      </c>
      <c r="E24350" t="str">
        <v/>
      </c>
      <c r="F24350" t="str">
        <v>-</v>
      </c>
      <c r="G24350" t="str">
        <v>-</v>
      </c>
    </row>
    <row r="24351">
      <c r="B24351" t="str">
        <v>UBND Ủy ban nhân dân tỉnh Yên Bái tỉnh Yên Bái</v>
      </c>
      <c r="C24351" t="str">
        <v>-</v>
      </c>
      <c r="D24351" t="str">
        <v>-</v>
      </c>
      <c r="E24351" t="str">
        <v>-</v>
      </c>
      <c r="F24351" t="str">
        <v>-</v>
      </c>
      <c r="G24351" t="str">
        <v>-</v>
      </c>
    </row>
    <row r="24352">
      <c r="B24352" t="str">
        <v>Công an tỉnh Yên Bái tỉnh Yên Bái</v>
      </c>
      <c r="C24352" t="str">
        <v>-</v>
      </c>
      <c r="D24352" t="str">
        <v>-</v>
      </c>
      <c r="E24352" t="str">
        <v/>
      </c>
      <c r="F24352" t="str">
        <v>-</v>
      </c>
      <c r="G24352" t="str">
        <v>-</v>
      </c>
    </row>
    <row r="24353">
      <c r="B24353" t="str">
        <v>UBND Ủy ban nhân dân tỉnh Yên Bái tỉnh Yên Bái</v>
      </c>
      <c r="C24353" t="str">
        <v>-</v>
      </c>
      <c r="D24353" t="str">
        <v>-</v>
      </c>
      <c r="E24353" t="str">
        <v>-</v>
      </c>
      <c r="F24353" t="str">
        <v>-</v>
      </c>
      <c r="G24353" t="str">
        <v>-</v>
      </c>
    </row>
    <row r="24354">
      <c r="B24354" t="str">
        <v>Công an thành phố Yên Bái tỉnh Yên Bái</v>
      </c>
      <c r="C24354" t="str">
        <v>-</v>
      </c>
      <c r="D24354" t="str">
        <v>-</v>
      </c>
      <c r="E24354" t="str">
        <v/>
      </c>
      <c r="F24354" t="str">
        <v>-</v>
      </c>
      <c r="G24354" t="str">
        <v>-</v>
      </c>
    </row>
    <row r="24355">
      <c r="B24355" t="str">
        <v>UBND Ủy ban nhân dân thành phố Yên Bái tỉnh Yên Bái</v>
      </c>
      <c r="C24355" t="str">
        <v>-</v>
      </c>
      <c r="D24355" t="str">
        <v>-</v>
      </c>
      <c r="E24355" t="str">
        <v>-</v>
      </c>
      <c r="F24355" t="str">
        <v>-</v>
      </c>
      <c r="G24355" t="str">
        <v>-</v>
      </c>
    </row>
    <row r="24356">
      <c r="B24356" t="str">
        <v>Công an thành phố Nam Định tỉnh Nam Định</v>
      </c>
      <c r="C24356" t="str">
        <v>-</v>
      </c>
      <c r="D24356" t="str">
        <v>-</v>
      </c>
      <c r="E24356" t="str">
        <v/>
      </c>
      <c r="F24356" t="str">
        <v>-</v>
      </c>
      <c r="G24356" t="str">
        <v>-</v>
      </c>
    </row>
    <row r="24357">
      <c r="B24357" t="str">
        <v>UBND Ủy ban nhân dân thành phố Nam Định tỉnh Nam Định</v>
      </c>
      <c r="C24357" t="str">
        <v>-</v>
      </c>
      <c r="D24357" t="str">
        <v>-</v>
      </c>
      <c r="E24357" t="str">
        <v>-</v>
      </c>
      <c r="F24357" t="str">
        <v>-</v>
      </c>
      <c r="G24357" t="str">
        <v>-</v>
      </c>
    </row>
    <row r="24358">
      <c r="B24358" t="str">
        <v>Công an huyện Châu Thành tỉnh Kiên Giang</v>
      </c>
      <c r="C24358" t="str">
        <v>-</v>
      </c>
      <c r="D24358" t="str">
        <v>-</v>
      </c>
      <c r="E24358" t="str">
        <v/>
      </c>
      <c r="F24358" t="str">
        <v>-</v>
      </c>
      <c r="G24358" t="str">
        <v>-</v>
      </c>
    </row>
    <row r="24359">
      <c r="B24359" t="str">
        <v>UBND Ủy ban nhân dân huyện Châu Thành tỉnh Kiên Giang</v>
      </c>
      <c r="C24359" t="str">
        <v>-</v>
      </c>
      <c r="D24359" t="str">
        <v>-</v>
      </c>
      <c r="E24359" t="str">
        <v>-</v>
      </c>
      <c r="F24359" t="str">
        <v>-</v>
      </c>
      <c r="G24359" t="str">
        <v>-</v>
      </c>
    </row>
    <row r="24360">
      <c r="B24360" t="str">
        <v>Công an huyện U Minh Thượng tỉnh Kiên Giang</v>
      </c>
      <c r="C24360" t="str">
        <v>-</v>
      </c>
      <c r="D24360" t="str">
        <v>-</v>
      </c>
      <c r="E24360" t="str">
        <v/>
      </c>
      <c r="F24360" t="str">
        <v>-</v>
      </c>
      <c r="G24360" t="str">
        <v>-</v>
      </c>
    </row>
    <row r="24361">
      <c r="B24361" t="str">
        <v>UBND Ủy ban nhân dân huyện U Minh Thượng tỉnh Kiên Giang</v>
      </c>
      <c r="C24361" t="str">
        <v>-</v>
      </c>
      <c r="D24361" t="str">
        <v>-</v>
      </c>
      <c r="E24361" t="str">
        <v>-</v>
      </c>
      <c r="F24361" t="str">
        <v>-</v>
      </c>
      <c r="G24361" t="str">
        <v>-</v>
      </c>
    </row>
    <row r="24362">
      <c r="B24362" t="str">
        <v>Công an tỉnh Quảng Ngãi tỉnh Quảng Ngãi</v>
      </c>
      <c r="C24362" t="str">
        <v>-</v>
      </c>
      <c r="D24362" t="str">
        <v>-</v>
      </c>
      <c r="E24362" t="str">
        <v/>
      </c>
      <c r="F24362" t="str">
        <v>-</v>
      </c>
      <c r="G24362" t="str">
        <v>-</v>
      </c>
    </row>
    <row r="24363">
      <c r="B24363" t="str">
        <v>UBND Ủy ban nhân dân tỉnh Quảng Ngãi tỉnh Quảng Ngãi</v>
      </c>
      <c r="C24363" t="str">
        <v>-</v>
      </c>
      <c r="D24363" t="str">
        <v>-</v>
      </c>
      <c r="E24363" t="str">
        <v>-</v>
      </c>
      <c r="F24363" t="str">
        <v>-</v>
      </c>
      <c r="G24363" t="str">
        <v>-</v>
      </c>
    </row>
    <row r="24364">
      <c r="B24364" t="str">
        <v>Trại Tạm Giam tỉnh Quảng Ngãi tỉnh Quảng Ngãi</v>
      </c>
    </row>
    <row r="24365">
      <c r="B24365" t="str">
        <v>UBND Ủy ban nhân dânm Giam tỉnh Quảng Ngãi tỉnh Quảng Ngãi</v>
      </c>
      <c r="C24365" t="str">
        <v>-</v>
      </c>
      <c r="D24365" t="str">
        <v>-</v>
      </c>
      <c r="E24365" t="str">
        <v>-</v>
      </c>
      <c r="F24365" t="str">
        <v>-</v>
      </c>
      <c r="G24365" t="str">
        <v>-</v>
      </c>
    </row>
    <row r="24366">
      <c r="B24366" t="str">
        <v>Công an huyện Ý Yên tỉnh Nam Định</v>
      </c>
      <c r="C24366" t="str">
        <v>-</v>
      </c>
      <c r="D24366" t="str">
        <v>-</v>
      </c>
      <c r="E24366" t="str">
        <v/>
      </c>
      <c r="F24366" t="str">
        <v>-</v>
      </c>
      <c r="G24366" t="str">
        <v>-</v>
      </c>
    </row>
    <row r="24367">
      <c r="B24367" t="str">
        <v>UBND Ủy ban nhân dân huyện Ý Yên tỉnh Nam Định</v>
      </c>
      <c r="C24367" t="str">
        <v>-</v>
      </c>
      <c r="D24367" t="str">
        <v>-</v>
      </c>
      <c r="E24367" t="str">
        <v>-</v>
      </c>
      <c r="F24367" t="str">
        <v>-</v>
      </c>
      <c r="G24367" t="str">
        <v>-</v>
      </c>
    </row>
    <row r="24368">
      <c r="B24368" t="str">
        <v>Công an huyện Đắk Song tỉnh Đắk Lắk</v>
      </c>
      <c r="C24368" t="str">
        <v>-</v>
      </c>
      <c r="D24368" t="str">
        <v>-</v>
      </c>
      <c r="E24368" t="str">
        <v/>
      </c>
      <c r="F24368" t="str">
        <v>-</v>
      </c>
      <c r="G24368" t="str">
        <v>-</v>
      </c>
    </row>
    <row r="24369">
      <c r="B24369" t="str">
        <v>UBND Ủy ban nhân dân huyện Đắk Song tỉnh Đắk Lắk</v>
      </c>
      <c r="C24369" t="str">
        <v>-</v>
      </c>
      <c r="D24369" t="str">
        <v>-</v>
      </c>
      <c r="E24369" t="str">
        <v>-</v>
      </c>
      <c r="F24369" t="str">
        <v>-</v>
      </c>
      <c r="G24369" t="str">
        <v>-</v>
      </c>
    </row>
    <row r="24370">
      <c r="B24370" t="str">
        <v>Công an huyện An Phú   tỉnh An Giang</v>
      </c>
      <c r="C24370" t="str">
        <v>-</v>
      </c>
      <c r="D24370" t="str">
        <v>-</v>
      </c>
      <c r="E24370" t="str">
        <v/>
      </c>
      <c r="F24370" t="str">
        <v>-</v>
      </c>
      <c r="G24370" t="str">
        <v>-</v>
      </c>
    </row>
    <row r="24371">
      <c r="B24371" t="str">
        <v>UBND Ủy ban nhân dân huyện An Phú   tỉnh An Giang</v>
      </c>
      <c r="C24371" t="str">
        <v>-</v>
      </c>
      <c r="D24371" t="str">
        <v>-</v>
      </c>
      <c r="E24371" t="str">
        <v>-</v>
      </c>
      <c r="F24371" t="str">
        <v>-</v>
      </c>
      <c r="G24371" t="str">
        <v>-</v>
      </c>
    </row>
    <row r="24372">
      <c r="B24372" t="str">
        <v>Công an huyện Bảo Lạc tỉnh Cao Bằng</v>
      </c>
      <c r="C24372" t="str">
        <v>-</v>
      </c>
      <c r="D24372" t="str">
        <v>-</v>
      </c>
      <c r="E24372" t="str">
        <v/>
      </c>
      <c r="F24372" t="str">
        <v>-</v>
      </c>
      <c r="G24372" t="str">
        <v>-</v>
      </c>
    </row>
    <row r="24373">
      <c r="B24373" t="str">
        <v>UBND Ủy ban nhân dân huyện Bảo Lạc tỉnh Cao Bằng</v>
      </c>
      <c r="C24373" t="str">
        <v>-</v>
      </c>
      <c r="D24373" t="str">
        <v>-</v>
      </c>
      <c r="E24373" t="str">
        <v>-</v>
      </c>
      <c r="F24373" t="str">
        <v>-</v>
      </c>
      <c r="G24373" t="str">
        <v>-</v>
      </c>
    </row>
    <row r="24374">
      <c r="B24374" t="str">
        <v>Công an huyện Cư Kuin tỉnh Đắk Lắk</v>
      </c>
      <c r="C24374" t="str">
        <v>-</v>
      </c>
      <c r="D24374" t="str">
        <v>-</v>
      </c>
      <c r="E24374" t="str">
        <v/>
      </c>
      <c r="F24374" t="str">
        <v>-</v>
      </c>
      <c r="G24374" t="str">
        <v>-</v>
      </c>
    </row>
    <row r="24375">
      <c r="B24375" t="str">
        <v>UBND Ủy ban nhân dân huyện Cư Kuin tỉnh Đắk Lắk</v>
      </c>
      <c r="C24375" t="str">
        <v>-</v>
      </c>
      <c r="D24375" t="str">
        <v>-</v>
      </c>
      <c r="E24375" t="str">
        <v>-</v>
      </c>
      <c r="F24375" t="str">
        <v>-</v>
      </c>
      <c r="G24375" t="str">
        <v>-</v>
      </c>
    </row>
    <row r="24376">
      <c r="B24376" t="str">
        <v>Công an huyện Ea H'Leo tỉnh Đắk Lắk</v>
      </c>
      <c r="C24376" t="str">
        <v>-</v>
      </c>
      <c r="D24376" t="str">
        <v>-</v>
      </c>
      <c r="E24376" t="str">
        <v/>
      </c>
      <c r="F24376" t="str">
        <v>-</v>
      </c>
      <c r="G24376" t="str">
        <v>-</v>
      </c>
    </row>
    <row r="24377">
      <c r="B24377" t="str">
        <v>UBND Ủy ban nhân dân huyện Ea H'Leo tỉnh Đắk Lắk</v>
      </c>
      <c r="C24377" t="str">
        <v>-</v>
      </c>
      <c r="D24377" t="str">
        <v>-</v>
      </c>
      <c r="E24377" t="str">
        <v>-</v>
      </c>
      <c r="F24377" t="str">
        <v>-</v>
      </c>
      <c r="G24377" t="str">
        <v>-</v>
      </c>
    </row>
    <row r="24378">
      <c r="B24378" t="str">
        <v>Công an huyện Ea Kar  tỉnh Đắk Lắk</v>
      </c>
      <c r="C24378" t="str">
        <v>-</v>
      </c>
      <c r="D24378" t="str">
        <v>-</v>
      </c>
      <c r="E24378" t="str">
        <v/>
      </c>
      <c r="F24378" t="str">
        <v>-</v>
      </c>
      <c r="G24378" t="str">
        <v>-</v>
      </c>
    </row>
    <row r="24379">
      <c r="B24379" t="str">
        <v>UBND Ủy ban nhân dân huyện Ea Kar  tỉnh Đắk Lắk</v>
      </c>
      <c r="C24379" t="str">
        <v>-</v>
      </c>
      <c r="D24379" t="str">
        <v>-</v>
      </c>
      <c r="E24379" t="str">
        <v>-</v>
      </c>
      <c r="F24379" t="str">
        <v>-</v>
      </c>
      <c r="G24379" t="str">
        <v>-</v>
      </c>
    </row>
    <row r="24380">
      <c r="B24380" t="str">
        <v>Công an huyện Khánh Sơn tỉnh Khánh Hòa</v>
      </c>
      <c r="C24380" t="str">
        <v>-</v>
      </c>
      <c r="D24380" t="str">
        <v>-</v>
      </c>
      <c r="E24380" t="str">
        <v/>
      </c>
      <c r="F24380" t="str">
        <v>-</v>
      </c>
      <c r="G24380" t="str">
        <v>-</v>
      </c>
    </row>
    <row r="24381">
      <c r="B24381" t="str">
        <v>UBND Ủy ban nhân dân huyện Khánh Sơn tỉnh Khánh Hòa</v>
      </c>
      <c r="C24381" t="str">
        <v>-</v>
      </c>
      <c r="D24381" t="str">
        <v>-</v>
      </c>
      <c r="E24381" t="str">
        <v>-</v>
      </c>
      <c r="F24381" t="str">
        <v>-</v>
      </c>
      <c r="G24381" t="str">
        <v>-</v>
      </c>
    </row>
    <row r="24382">
      <c r="B24382" t="str">
        <v>Công an huyện Khánh Vĩnh tỉnh Khánh Hòa</v>
      </c>
      <c r="C24382" t="str">
        <v>-</v>
      </c>
      <c r="D24382" t="str">
        <v>-</v>
      </c>
      <c r="E24382" t="str">
        <v/>
      </c>
      <c r="F24382" t="str">
        <v>-</v>
      </c>
      <c r="G24382" t="str">
        <v>-</v>
      </c>
    </row>
    <row r="24383">
      <c r="B24383" t="str">
        <v>UBND Ủy ban nhân dân huyện Khánh Vĩnh tỉnh Khánh Hòa</v>
      </c>
      <c r="C24383" t="str">
        <v>-</v>
      </c>
      <c r="D24383" t="str">
        <v>-</v>
      </c>
      <c r="E24383" t="str">
        <v>-</v>
      </c>
      <c r="F24383" t="str">
        <v>-</v>
      </c>
      <c r="G24383" t="str">
        <v>-</v>
      </c>
    </row>
    <row r="24384">
      <c r="B24384" t="str">
        <v>Công an huyện Krông Pắc tỉnh Đắk Lắk</v>
      </c>
      <c r="C24384" t="str">
        <v>-</v>
      </c>
      <c r="D24384" t="str">
        <v>-</v>
      </c>
      <c r="E24384" t="str">
        <v/>
      </c>
      <c r="F24384" t="str">
        <v>-</v>
      </c>
      <c r="G24384" t="str">
        <v>-</v>
      </c>
    </row>
    <row r="24385">
      <c r="B24385" t="str">
        <v>UBND Ủy ban nhân dân huyện Krông Pắc tỉnh Đắk Lắk</v>
      </c>
      <c r="C24385" t="str">
        <v>-</v>
      </c>
      <c r="D24385" t="str">
        <v>-</v>
      </c>
      <c r="E24385" t="str">
        <v>-</v>
      </c>
      <c r="F24385" t="str">
        <v>-</v>
      </c>
      <c r="G24385" t="str">
        <v>-</v>
      </c>
    </row>
    <row r="24386">
      <c r="B24386" t="str">
        <v>Công an huyện Lí Nhân tỉnh Hà Nam</v>
      </c>
      <c r="C24386" t="str">
        <v>-</v>
      </c>
      <c r="D24386" t="str">
        <v>-</v>
      </c>
      <c r="E24386" t="str">
        <v/>
      </c>
      <c r="F24386" t="str">
        <v>-</v>
      </c>
      <c r="G24386" t="str">
        <v>-</v>
      </c>
    </row>
    <row r="24387">
      <c r="B24387" t="str">
        <v>UBND Ủy ban nhân dân huyện Lí Nhân tỉnh Hà Nam</v>
      </c>
      <c r="C24387" t="str">
        <v>-</v>
      </c>
      <c r="D24387" t="str">
        <v>-</v>
      </c>
      <c r="E24387" t="str">
        <v>-</v>
      </c>
      <c r="F24387" t="str">
        <v>-</v>
      </c>
      <c r="G24387" t="str">
        <v>-</v>
      </c>
    </row>
    <row r="24388">
      <c r="B24388" t="str">
        <v>Công an huyện Mường La tỉnh Sơn La</v>
      </c>
      <c r="C24388" t="str">
        <v>-</v>
      </c>
      <c r="D24388" t="str">
        <v>-</v>
      </c>
      <c r="E24388" t="str">
        <v/>
      </c>
      <c r="F24388" t="str">
        <v>-</v>
      </c>
      <c r="G24388" t="str">
        <v>-</v>
      </c>
    </row>
    <row r="24389">
      <c r="B24389" t="str">
        <v>UBND Ủy ban nhân dân huyện Mường La tỉnh Sơn La</v>
      </c>
      <c r="C24389" t="str">
        <v>-</v>
      </c>
      <c r="D24389" t="str">
        <v>-</v>
      </c>
      <c r="E24389" t="str">
        <v>-</v>
      </c>
      <c r="F24389" t="str">
        <v>-</v>
      </c>
      <c r="G24389" t="str">
        <v>-</v>
      </c>
    </row>
    <row r="24390">
      <c r="B24390" t="str">
        <v>Công an huyện Nam Đàn tỉnh Nghệ An</v>
      </c>
      <c r="C24390" t="str">
        <v>-</v>
      </c>
      <c r="D24390" t="str">
        <v>-</v>
      </c>
      <c r="E24390" t="str">
        <v/>
      </c>
      <c r="F24390" t="str">
        <v>-</v>
      </c>
      <c r="G24390" t="str">
        <v>-</v>
      </c>
    </row>
    <row r="24391">
      <c r="B24391" t="str">
        <v>UBND Ủy ban nhân dân huyện Nam Đàn tỉnh Nghệ An</v>
      </c>
      <c r="C24391" t="str">
        <v>-</v>
      </c>
      <c r="D24391" t="str">
        <v>-</v>
      </c>
      <c r="E24391" t="str">
        <v>-</v>
      </c>
      <c r="F24391" t="str">
        <v>-</v>
      </c>
      <c r="G24391" t="str">
        <v>-</v>
      </c>
    </row>
    <row r="24392">
      <c r="B24392" t="str">
        <v>Công an huyện Pác Nặm  tỉnh Bắc Kạn</v>
      </c>
      <c r="C24392" t="str">
        <v>-</v>
      </c>
      <c r="D24392" t="str">
        <v>-</v>
      </c>
      <c r="E24392" t="str">
        <v/>
      </c>
      <c r="F24392" t="str">
        <v>-</v>
      </c>
      <c r="G24392" t="str">
        <v>-</v>
      </c>
    </row>
    <row r="24393">
      <c r="B24393" t="str">
        <v>UBND Ủy ban nhân dân huyện Pác Nặm  tỉnh Bắc Kạn</v>
      </c>
      <c r="C24393" t="str">
        <v>-</v>
      </c>
      <c r="D24393" t="str">
        <v>-</v>
      </c>
      <c r="E24393" t="str">
        <v>-</v>
      </c>
      <c r="F24393" t="str">
        <v>-</v>
      </c>
      <c r="G24393" t="str">
        <v>-</v>
      </c>
    </row>
    <row r="24394">
      <c r="B24394" t="str">
        <v>Công an huyện Sốp Cộp tỉnh Sơn La</v>
      </c>
      <c r="C24394" t="str">
        <v>-</v>
      </c>
      <c r="D24394" t="str">
        <v>-</v>
      </c>
      <c r="E24394" t="str">
        <v/>
      </c>
      <c r="F24394" t="str">
        <v>-</v>
      </c>
      <c r="G24394" t="str">
        <v>-</v>
      </c>
    </row>
    <row r="24395">
      <c r="B24395" t="str">
        <v>UBND Ủy ban nhân dân huyện Sốp Cộp tỉnh Sơn La</v>
      </c>
      <c r="C24395" t="str">
        <v>-</v>
      </c>
      <c r="D24395" t="str">
        <v>-</v>
      </c>
      <c r="E24395" t="str">
        <v>-</v>
      </c>
      <c r="F24395" t="str">
        <v>-</v>
      </c>
      <c r="G24395" t="str">
        <v>-</v>
      </c>
    </row>
    <row r="24396">
      <c r="B24396" t="str">
        <v>Công an huyện Tam Đường tỉnh Lai Châu</v>
      </c>
      <c r="C24396" t="str">
        <v>-</v>
      </c>
      <c r="D24396" t="str">
        <v>-</v>
      </c>
      <c r="E24396" t="str">
        <v/>
      </c>
      <c r="F24396" t="str">
        <v>-</v>
      </c>
      <c r="G24396" t="str">
        <v>-</v>
      </c>
    </row>
    <row r="24397">
      <c r="B24397" t="str">
        <v>UBND Ủy ban nhân dân huyện Tam Đường tỉnh Lai Châu</v>
      </c>
      <c r="C24397" t="str">
        <v>-</v>
      </c>
      <c r="D24397" t="str">
        <v>-</v>
      </c>
      <c r="E24397" t="str">
        <v>-</v>
      </c>
      <c r="F24397" t="str">
        <v>-</v>
      </c>
      <c r="G24397" t="str">
        <v>-</v>
      </c>
    </row>
    <row r="24398">
      <c r="B24398" t="str">
        <v>Công an huyện Thuận Nam    tỉnh Ninh Thuận</v>
      </c>
      <c r="C24398" t="str">
        <v>-</v>
      </c>
      <c r="D24398" t="str">
        <v>-</v>
      </c>
      <c r="E24398" t="str">
        <v/>
      </c>
      <c r="F24398" t="str">
        <v>-</v>
      </c>
      <c r="G24398" t="str">
        <v>-</v>
      </c>
    </row>
    <row r="24399">
      <c r="B24399" t="str">
        <v>UBND Ủy ban nhân dân huyện Thuận Nam    tỉnh Ninh Thuận</v>
      </c>
      <c r="C24399" t="str">
        <v>-</v>
      </c>
      <c r="D24399" t="str">
        <v>-</v>
      </c>
      <c r="E24399" t="str">
        <v>-</v>
      </c>
      <c r="F24399" t="str">
        <v>-</v>
      </c>
      <c r="G24399" t="str">
        <v>-</v>
      </c>
    </row>
    <row r="24400">
      <c r="B24400" t="str">
        <v>Công an huyện Tiên Lữ tỉnh Hưng Yên</v>
      </c>
      <c r="C24400" t="str">
        <v>-</v>
      </c>
      <c r="D24400" t="str">
        <v>-</v>
      </c>
      <c r="E24400" t="str">
        <v/>
      </c>
      <c r="F24400" t="str">
        <v>-</v>
      </c>
      <c r="G24400" t="str">
        <v>-</v>
      </c>
    </row>
    <row r="24401">
      <c r="B24401" t="str">
        <v>UBND Ủy ban nhân dân huyện Tiên Lữ tỉnh Hưng Yên</v>
      </c>
      <c r="C24401" t="str">
        <v>-</v>
      </c>
      <c r="D24401" t="str">
        <v>-</v>
      </c>
      <c r="E24401" t="str">
        <v>-</v>
      </c>
      <c r="F24401" t="str">
        <v>-</v>
      </c>
      <c r="G24401" t="str">
        <v>-</v>
      </c>
    </row>
    <row r="24402">
      <c r="B24402" t="str">
        <v>Công an huyện Yên Lạc tỉnh Vĩnh Phúc</v>
      </c>
      <c r="C24402" t="str">
        <v>-</v>
      </c>
      <c r="D24402" t="str">
        <v>-</v>
      </c>
      <c r="E24402" t="str">
        <v/>
      </c>
      <c r="F24402" t="str">
        <v>-</v>
      </c>
      <c r="G24402" t="str">
        <v>-</v>
      </c>
    </row>
    <row r="24403">
      <c r="B24403" t="str">
        <v>UBND Ủy ban nhân dân huyện Yên Lạc tỉnh Vĩnh Phúc</v>
      </c>
      <c r="C24403" t="str">
        <v>-</v>
      </c>
      <c r="D24403" t="str">
        <v>-</v>
      </c>
      <c r="E24403" t="str">
        <v>-</v>
      </c>
      <c r="F24403" t="str">
        <v>-</v>
      </c>
      <c r="G24403" t="str">
        <v>-</v>
      </c>
    </row>
    <row r="24404">
      <c r="B24404" t="str">
        <v>Công an huyện Yên Mĩ tỉnh Hưng Yên</v>
      </c>
      <c r="C24404" t="str">
        <v>-</v>
      </c>
      <c r="D24404" t="str">
        <v>-</v>
      </c>
      <c r="E24404" t="str">
        <v/>
      </c>
      <c r="F24404" t="str">
        <v>-</v>
      </c>
      <c r="G24404" t="str">
        <v>-</v>
      </c>
    </row>
    <row r="24405">
      <c r="B24405" t="str">
        <v>UBND Ủy ban nhân dân huyện Yên Mĩ tỉnh Hưng Yên</v>
      </c>
      <c r="C24405" t="str">
        <v>-</v>
      </c>
      <c r="D24405" t="str">
        <v>-</v>
      </c>
      <c r="E24405" t="str">
        <v>-</v>
      </c>
      <c r="F24405" t="str">
        <v>-</v>
      </c>
      <c r="G24405" t="str">
        <v>-</v>
      </c>
    </row>
    <row r="24406">
      <c r="B24406" t="str">
        <v>Công an tỉnh Quảng Nam tỉnh Quảng Nam</v>
      </c>
      <c r="C24406" t="str">
        <v>-</v>
      </c>
      <c r="D24406" t="str">
        <v>-</v>
      </c>
      <c r="E24406" t="str">
        <v/>
      </c>
      <c r="F24406" t="str">
        <v>-</v>
      </c>
      <c r="G24406" t="str">
        <v>-</v>
      </c>
    </row>
    <row r="24407">
      <c r="B24407" t="str">
        <v>UBND Ủy ban nhân dân tỉnh Quảng Nam tỉnh Quảng Nam</v>
      </c>
      <c r="C24407" t="str">
        <v>-</v>
      </c>
      <c r="D24407" t="str">
        <v>-</v>
      </c>
      <c r="E24407" t="str">
        <v>-</v>
      </c>
      <c r="F24407" t="str">
        <v>-</v>
      </c>
      <c r="G24407" t="str">
        <v>-</v>
      </c>
    </row>
    <row r="24408">
      <c r="B24408" t="str">
        <v>Công an tỉnh Thừa Thiên Huế tỉnh THỪA THIÊN HUẾ</v>
      </c>
      <c r="C24408" t="str">
        <v>-</v>
      </c>
      <c r="D24408" t="str">
        <v>-</v>
      </c>
      <c r="E24408" t="str">
        <v/>
      </c>
      <c r="F24408" t="str">
        <v>-</v>
      </c>
      <c r="G24408" t="str">
        <v>-</v>
      </c>
    </row>
    <row r="24409">
      <c r="B24409" t="str">
        <v>UBND Ủy ban nhân dân tỉnh Thừa Thiên Huế tỉnh THỪA THIÊN HUẾ</v>
      </c>
      <c r="C24409" t="str">
        <v>-</v>
      </c>
      <c r="D24409" t="str">
        <v>-</v>
      </c>
      <c r="E24409" t="str">
        <v>-</v>
      </c>
      <c r="F24409" t="str">
        <v>-</v>
      </c>
      <c r="G24409" t="str">
        <v>-</v>
      </c>
    </row>
    <row r="24410">
      <c r="B24410" t="str">
        <v>Công an thành phố Tuy Hòa tỉnh Phú Yên</v>
      </c>
      <c r="C24410" t="str">
        <v>-</v>
      </c>
      <c r="D24410" t="str">
        <v>-</v>
      </c>
      <c r="E24410" t="str">
        <v/>
      </c>
      <c r="F24410" t="str">
        <v>-</v>
      </c>
      <c r="G24410" t="str">
        <v>-</v>
      </c>
    </row>
    <row r="24411">
      <c r="B24411" t="str">
        <v>UBND Ủy ban nhân dân thành phố Tuy Hòa tỉnh Phú Yên</v>
      </c>
      <c r="C24411" t="str">
        <v>-</v>
      </c>
      <c r="D24411" t="str">
        <v>-</v>
      </c>
      <c r="E24411" t="str">
        <v>-</v>
      </c>
      <c r="F24411" t="str">
        <v>-</v>
      </c>
      <c r="G24411" t="str">
        <v>-</v>
      </c>
    </row>
    <row r="24412">
      <c r="B24412" t="str">
        <v>Công an thị xã Sa Pa tỉnh Lào Cai</v>
      </c>
      <c r="C24412" t="str">
        <v>-</v>
      </c>
      <c r="D24412" t="str">
        <v>-</v>
      </c>
      <c r="E24412" t="str">
        <v/>
      </c>
      <c r="F24412" t="str">
        <v>-</v>
      </c>
      <c r="G24412" t="str">
        <v>-</v>
      </c>
    </row>
    <row r="24413">
      <c r="B24413" t="str">
        <v>UBND Ủy ban nhân dân thị xã Sa Pa tỉnh Lào Cai</v>
      </c>
      <c r="C24413" t="str">
        <v>-</v>
      </c>
      <c r="D24413" t="str">
        <v>-</v>
      </c>
      <c r="E24413" t="str">
        <v>-</v>
      </c>
      <c r="F24413" t="str">
        <v>-</v>
      </c>
      <c r="G24413" t="str">
        <v>-</v>
      </c>
    </row>
    <row r="24414">
      <c r="B24414" t="str">
        <v>Công an thị xã Thái Hòa tỉnh Nghệ An</v>
      </c>
      <c r="C24414" t="str">
        <v>-</v>
      </c>
      <c r="D24414" t="str">
        <v>-</v>
      </c>
      <c r="E24414" t="str">
        <v/>
      </c>
      <c r="F24414" t="str">
        <v>-</v>
      </c>
      <c r="G24414" t="str">
        <v>-</v>
      </c>
    </row>
    <row r="24415">
      <c r="B24415" t="str">
        <v>UBND Ủy ban nhân dân thị xã Thái Hòa tỉnh Nghệ An</v>
      </c>
      <c r="C24415" t="str">
        <v>-</v>
      </c>
      <c r="D24415" t="str">
        <v>-</v>
      </c>
      <c r="E24415" t="str">
        <v>-</v>
      </c>
      <c r="F24415" t="str">
        <v>-</v>
      </c>
      <c r="G24415" t="str">
        <v>-</v>
      </c>
    </row>
    <row r="24416">
      <c r="B24416" t="str">
        <v>Công an huyện Kim Động tỉnh Hưng Yên</v>
      </c>
      <c r="C24416" t="str">
        <v>-</v>
      </c>
      <c r="D24416" t="str">
        <v>-</v>
      </c>
      <c r="E24416" t="str">
        <v/>
      </c>
      <c r="F24416" t="str">
        <v>-</v>
      </c>
      <c r="G24416" t="str">
        <v>-</v>
      </c>
    </row>
    <row r="24417">
      <c r="B24417" t="str">
        <v>UBND Ủy ban nhân dân huyện Kim Động tỉnh Hưng Yên</v>
      </c>
      <c r="C24417" t="str">
        <v>-</v>
      </c>
      <c r="D24417" t="str">
        <v>-</v>
      </c>
      <c r="E24417" t="str">
        <v>-</v>
      </c>
      <c r="F24417" t="str">
        <v>-</v>
      </c>
      <c r="G24417" t="str">
        <v>-</v>
      </c>
    </row>
    <row r="24418">
      <c r="B24418" t="str">
        <v>Công an thành phố Kom Tum  tỉnh Kon Tum</v>
      </c>
      <c r="C24418" t="str">
        <v>-</v>
      </c>
      <c r="D24418" t="str">
        <v>-</v>
      </c>
      <c r="E24418" t="str">
        <v/>
      </c>
      <c r="F24418" t="str">
        <v>-</v>
      </c>
      <c r="G24418" t="str">
        <v>-</v>
      </c>
    </row>
    <row r="24419">
      <c r="B24419" t="str">
        <v>UBND Ủy ban nhân dân thành phố Kom Tum  tỉnh Kon Tum</v>
      </c>
      <c r="C24419" t="str">
        <v>-</v>
      </c>
      <c r="D24419" t="str">
        <v>-</v>
      </c>
      <c r="E24419" t="str">
        <v>-</v>
      </c>
      <c r="F24419" t="str">
        <v>-</v>
      </c>
      <c r="G24419" t="str">
        <v>-</v>
      </c>
    </row>
    <row r="24420">
      <c r="B24420" t="str">
        <v>Công an tỉnh An Giang tỉnh An Giang</v>
      </c>
      <c r="C24420" t="str">
        <v>-</v>
      </c>
      <c r="D24420" t="str">
        <v>-</v>
      </c>
      <c r="E24420" t="str">
        <v/>
      </c>
      <c r="F24420" t="str">
        <v>-</v>
      </c>
      <c r="G24420" t="str">
        <v>-</v>
      </c>
    </row>
    <row r="24421">
      <c r="B24421" t="str">
        <v>UBND Ủy ban nhân dân tỉnh An Giang tỉnh An Giang</v>
      </c>
      <c r="C24421" t="str">
        <v>-</v>
      </c>
      <c r="D24421" t="str">
        <v>-</v>
      </c>
      <c r="E24421" t="str">
        <v>-</v>
      </c>
      <c r="F24421" t="str">
        <v>-</v>
      </c>
      <c r="G24421" t="str">
        <v>-</v>
      </c>
    </row>
    <row r="24422">
      <c r="B24422" t="str">
        <v>Công an tỉnh Nghệ An tỉnh Nghệ An</v>
      </c>
      <c r="C24422" t="str">
        <v>-</v>
      </c>
      <c r="D24422" t="str">
        <v>-</v>
      </c>
      <c r="E24422" t="str">
        <v/>
      </c>
      <c r="F24422" t="str">
        <v>-</v>
      </c>
      <c r="G24422" t="str">
        <v>-</v>
      </c>
    </row>
    <row r="24423">
      <c r="B24423" t="str">
        <v>UBND Ủy ban nhân dân tỉnh Nghệ An tỉnh Nghệ An</v>
      </c>
      <c r="C24423" t="str">
        <v>-</v>
      </c>
      <c r="D24423" t="str">
        <v>-</v>
      </c>
      <c r="E24423" t="str">
        <v>-</v>
      </c>
      <c r="F24423" t="str">
        <v>-</v>
      </c>
      <c r="G24423" t="str">
        <v>-</v>
      </c>
    </row>
    <row r="24424">
      <c r="B24424" t="str">
        <v>Công an tỉnh Lào Cai tỉnh Lào Cai</v>
      </c>
      <c r="C24424" t="str">
        <v>-</v>
      </c>
      <c r="D24424" t="str">
        <v>-</v>
      </c>
      <c r="E24424" t="str">
        <v/>
      </c>
      <c r="F24424" t="str">
        <v>-</v>
      </c>
      <c r="G24424" t="str">
        <v>-</v>
      </c>
    </row>
    <row r="24425">
      <c r="B24425" t="str">
        <v>UBND Ủy ban nhân dân tỉnh Lào Cai tỉnh Lào Cai</v>
      </c>
      <c r="C24425" t="str">
        <v>-</v>
      </c>
      <c r="D24425" t="str">
        <v>-</v>
      </c>
      <c r="E24425" t="str">
        <v>-</v>
      </c>
      <c r="F24425" t="str">
        <v>-</v>
      </c>
      <c r="G24425" t="str">
        <v>-</v>
      </c>
    </row>
    <row r="24426">
      <c r="B24426" t="str">
        <v>Công an tỉnh Ninh Thuận tỉnh Ninh Thuận</v>
      </c>
      <c r="C24426" t="str">
        <v>-</v>
      </c>
      <c r="D24426" t="str">
        <v>-</v>
      </c>
      <c r="E24426" t="str">
        <v/>
      </c>
      <c r="F24426" t="str">
        <v>-</v>
      </c>
      <c r="G24426" t="str">
        <v>-</v>
      </c>
    </row>
    <row r="24427">
      <c r="B24427" t="str">
        <v>UBND Ủy ban nhân dân tỉnh Ninh Thuận tỉnh Ninh Thuận</v>
      </c>
      <c r="C24427" t="str">
        <v>-</v>
      </c>
      <c r="D24427" t="str">
        <v>-</v>
      </c>
      <c r="E24427" t="str">
        <v>-</v>
      </c>
      <c r="F24427" t="str">
        <v>-</v>
      </c>
      <c r="G24427" t="str">
        <v>-</v>
      </c>
    </row>
    <row r="24428">
      <c r="B24428" t="str">
        <v>Trại tạm giam tỉnh Thái Nguyên tỉnh Thái Nguyên</v>
      </c>
    </row>
    <row r="24429">
      <c r="B24429" t="str">
        <v>UBND Ủy ban nhân dânm giam tỉnh Thái Nguyên tỉnh Thái Nguyên</v>
      </c>
      <c r="C24429" t="str">
        <v>-</v>
      </c>
      <c r="D24429" t="str">
        <v>-</v>
      </c>
      <c r="E24429" t="str">
        <v>-</v>
      </c>
      <c r="F24429" t="str">
        <v>-</v>
      </c>
      <c r="G24429" t="str">
        <v>-</v>
      </c>
    </row>
    <row r="24430">
      <c r="B24430" t="str">
        <v>Công an huyện Phú Tân tỉnh Cà Mau</v>
      </c>
      <c r="C24430" t="str">
        <v>-</v>
      </c>
      <c r="D24430" t="str">
        <v>-</v>
      </c>
      <c r="E24430" t="str">
        <v/>
      </c>
      <c r="F24430" t="str">
        <v>-</v>
      </c>
      <c r="G24430" t="str">
        <v>-</v>
      </c>
    </row>
    <row r="24431">
      <c r="B24431" t="str">
        <v>UBND Ủy ban nhân dân huyện Phú Tân tỉnh Cà Mau</v>
      </c>
      <c r="C24431" t="str">
        <v>-</v>
      </c>
      <c r="D24431" t="str">
        <v>-</v>
      </c>
      <c r="E24431" t="str">
        <v>-</v>
      </c>
      <c r="F24431" t="str">
        <v>-</v>
      </c>
      <c r="G24431" t="str">
        <v>-</v>
      </c>
    </row>
    <row r="24432">
      <c r="B24432" t="str">
        <v>Công an tỉnh Kiên Giang tỉnh Kiên Giang</v>
      </c>
      <c r="C24432" t="str">
        <v>-</v>
      </c>
      <c r="D24432" t="str">
        <v>-</v>
      </c>
      <c r="E24432" t="str">
        <v/>
      </c>
      <c r="F24432" t="str">
        <v>-</v>
      </c>
      <c r="G24432" t="str">
        <v>-</v>
      </c>
    </row>
    <row r="24433">
      <c r="B24433" t="str">
        <v>UBND Ủy ban nhân dân tỉnh Kiên Giang tỉnh Kiên Giang</v>
      </c>
      <c r="C24433" t="str">
        <v>-</v>
      </c>
      <c r="D24433" t="str">
        <v>-</v>
      </c>
      <c r="E24433" t="str">
        <v>-</v>
      </c>
      <c r="F24433" t="str">
        <v>-</v>
      </c>
      <c r="G24433" t="str">
        <v>-</v>
      </c>
    </row>
    <row r="24434">
      <c r="B24434" t="str">
        <v>Công an thành phố Cà Mau tỉnh Cà Mau</v>
      </c>
      <c r="C24434" t="str">
        <v>-</v>
      </c>
      <c r="D24434" t="str">
        <v>-</v>
      </c>
      <c r="E24434" t="str">
        <v/>
      </c>
      <c r="F24434" t="str">
        <v>-</v>
      </c>
      <c r="G24434" t="str">
        <v>-</v>
      </c>
    </row>
    <row r="24435">
      <c r="B24435" t="str">
        <v>UBND Ủy ban nhân dân thành phố Cà Mau tỉnh Cà Mau</v>
      </c>
      <c r="C24435" t="str">
        <v>-</v>
      </c>
      <c r="D24435" t="str">
        <v>-</v>
      </c>
      <c r="E24435" t="str">
        <v>-</v>
      </c>
      <c r="F24435" t="str">
        <v>-</v>
      </c>
      <c r="G24435" t="str">
        <v>-</v>
      </c>
    </row>
    <row r="24436">
      <c r="B24436" t="str">
        <v>Công an tỉnh Nghệ An tỉnh Nghệ An</v>
      </c>
      <c r="C24436" t="str">
        <v>-</v>
      </c>
      <c r="D24436" t="str">
        <v>-</v>
      </c>
      <c r="E24436" t="str">
        <v/>
      </c>
      <c r="F24436" t="str">
        <v>-</v>
      </c>
      <c r="G24436" t="str">
        <v>-</v>
      </c>
    </row>
    <row r="24437">
      <c r="B24437" t="str">
        <v>UBND Ủy ban nhân dân tỉnh Nghệ An tỉnh Nghệ An</v>
      </c>
      <c r="C24437" t="str">
        <v>-</v>
      </c>
      <c r="D24437" t="str">
        <v>-</v>
      </c>
      <c r="E24437" t="str">
        <v>-</v>
      </c>
      <c r="F24437" t="str">
        <v>-</v>
      </c>
      <c r="G24437" t="str">
        <v>-</v>
      </c>
    </row>
    <row r="24438">
      <c r="B24438" t="str">
        <v>Công an huyện Sốp Cộp tỉnh Sơn La</v>
      </c>
      <c r="C24438" t="str">
        <v>-</v>
      </c>
      <c r="D24438" t="str">
        <v>-</v>
      </c>
      <c r="E24438" t="str">
        <v/>
      </c>
      <c r="F24438" t="str">
        <v>-</v>
      </c>
      <c r="G24438" t="str">
        <v>-</v>
      </c>
    </row>
    <row r="24439">
      <c r="B24439" t="str">
        <v>UBND Ủy ban nhân dân huyện Sốp Cộp tỉnh Sơn La</v>
      </c>
      <c r="C24439" t="str">
        <v>-</v>
      </c>
      <c r="D24439" t="str">
        <v>-</v>
      </c>
      <c r="E24439" t="str">
        <v>-</v>
      </c>
      <c r="F24439" t="str">
        <v>-</v>
      </c>
      <c r="G24439" t="str">
        <v>-</v>
      </c>
    </row>
    <row r="24440">
      <c r="B24440" t="str">
        <v>Công an tỉnh Tuyên Quang tỉnh Tuyên Quang</v>
      </c>
      <c r="C24440" t="str">
        <v>-</v>
      </c>
      <c r="D24440" t="str">
        <v>-</v>
      </c>
      <c r="E24440" t="str">
        <v/>
      </c>
      <c r="F24440" t="str">
        <v>-</v>
      </c>
      <c r="G24440" t="str">
        <v>-</v>
      </c>
    </row>
    <row r="24441">
      <c r="B24441" t="str">
        <v>UBND Ủy ban nhân dân tỉnh Tuyên Quang tỉnh Tuyên Quang</v>
      </c>
      <c r="C24441" t="str">
        <v>-</v>
      </c>
      <c r="D24441" t="str">
        <v>-</v>
      </c>
      <c r="E24441" t="str">
        <v>-</v>
      </c>
      <c r="F24441" t="str">
        <v>-</v>
      </c>
      <c r="G24441" t="str">
        <v>-</v>
      </c>
    </row>
    <row r="24442">
      <c r="B24442" t="str">
        <v>Công an xã Nam Động tỉnh Thanh Hóa</v>
      </c>
      <c r="C24442" t="str">
        <v>-</v>
      </c>
      <c r="D24442" t="str">
        <v>-</v>
      </c>
      <c r="E24442" t="str">
        <v/>
      </c>
      <c r="F24442" t="str">
        <v>-</v>
      </c>
      <c r="G24442" t="str">
        <v>-</v>
      </c>
    </row>
    <row r="24443">
      <c r="B24443" t="str">
        <v>UBND Ủy ban nhân dân xã Nam Động tỉnh Thanh Hóa</v>
      </c>
      <c r="C24443" t="str">
        <v>-</v>
      </c>
      <c r="D24443" t="str">
        <v>-</v>
      </c>
      <c r="E24443" t="str">
        <v>-</v>
      </c>
      <c r="F24443" t="str">
        <v>-</v>
      </c>
      <c r="G24443" t="str">
        <v>-</v>
      </c>
    </row>
    <row r="24444">
      <c r="B24444" t="str">
        <v>Công an xã Thành Lợi tỉnh Nam Định</v>
      </c>
      <c r="C24444" t="str">
        <v>-</v>
      </c>
      <c r="D24444" t="str">
        <v>-</v>
      </c>
      <c r="E24444" t="str">
        <v/>
      </c>
      <c r="F24444" t="str">
        <v>-</v>
      </c>
      <c r="G24444" t="str">
        <v>-</v>
      </c>
    </row>
    <row r="24445">
      <c r="B24445" t="str">
        <v>UBND Ủy ban nhân dân xã Thành Lợi tỉnh Nam Định</v>
      </c>
      <c r="C24445" t="str">
        <v>-</v>
      </c>
      <c r="D24445" t="str">
        <v>-</v>
      </c>
      <c r="E24445" t="str">
        <v>-</v>
      </c>
      <c r="F24445" t="str">
        <v>-</v>
      </c>
      <c r="G24445" t="str">
        <v>-</v>
      </c>
    </row>
    <row r="24446">
      <c r="B24446" t="str">
        <v>Công an thành phố Hồ Chí Minh thành phố Hồ Chí Minh</v>
      </c>
      <c r="C24446" t="str">
        <v>-</v>
      </c>
      <c r="D24446" t="str">
        <v>-</v>
      </c>
      <c r="E24446" t="str">
        <v/>
      </c>
      <c r="F24446" t="str">
        <v>-</v>
      </c>
      <c r="G24446" t="str">
        <v>-</v>
      </c>
    </row>
    <row r="24447">
      <c r="B24447" t="str">
        <v>UBND Ủy ban nhân dân thành phố Hồ Chí Minh thành phố Hồ Chí Minh</v>
      </c>
      <c r="C24447" t="str">
        <v>-</v>
      </c>
      <c r="D24447" t="str">
        <v>-</v>
      </c>
      <c r="E24447" t="str">
        <v>-</v>
      </c>
      <c r="F24447" t="str">
        <v>-</v>
      </c>
      <c r="G24447" t="str">
        <v>-</v>
      </c>
    </row>
    <row r="24448">
      <c r="B24448" t="str">
        <v>Công an tỉnh Sóc Trăng tỉnh Sóc Trăng</v>
      </c>
      <c r="C24448" t="str">
        <v>-</v>
      </c>
      <c r="D24448" t="str">
        <v>-</v>
      </c>
      <c r="E24448" t="str">
        <v/>
      </c>
      <c r="F24448" t="str">
        <v>-</v>
      </c>
      <c r="G24448" t="str">
        <v>-</v>
      </c>
    </row>
    <row r="24449">
      <c r="B24449" t="str">
        <v>UBND Ủy ban nhân dân tỉnh Sóc Trăng tỉnh Sóc Trăng</v>
      </c>
      <c r="C24449" t="str">
        <v>-</v>
      </c>
      <c r="D24449" t="str">
        <v>-</v>
      </c>
      <c r="E24449" t="str">
        <v>-</v>
      </c>
      <c r="F24449" t="str">
        <v>-</v>
      </c>
      <c r="G24449" t="str">
        <v>-</v>
      </c>
    </row>
    <row r="24450">
      <c r="B24450" t="str">
        <v>Công an huyện Như Xuân tỉnh Thanh Hóa</v>
      </c>
      <c r="C24450" t="str">
        <v>-</v>
      </c>
      <c r="D24450" t="str">
        <v>-</v>
      </c>
      <c r="E24450" t="str">
        <v/>
      </c>
      <c r="F24450" t="str">
        <v>-</v>
      </c>
      <c r="G24450" t="str">
        <v>-</v>
      </c>
    </row>
    <row r="24451">
      <c r="B24451" t="str">
        <v>UBND Ủy ban nhân dân huyện Như Xuân tỉnh Thanh Hóa</v>
      </c>
      <c r="C24451" t="str">
        <v>-</v>
      </c>
      <c r="D24451" t="str">
        <v>-</v>
      </c>
      <c r="E24451" t="str">
        <v>-</v>
      </c>
      <c r="F24451" t="str">
        <v>-</v>
      </c>
      <c r="G24451" t="str">
        <v>-</v>
      </c>
    </row>
    <row r="24452">
      <c r="B24452" t="str">
        <v>Công an tỉnh Hà Tĩnh tỉnh Hà Tĩnh</v>
      </c>
      <c r="C24452" t="str">
        <v>-</v>
      </c>
      <c r="D24452" t="str">
        <v>-</v>
      </c>
      <c r="E24452" t="str">
        <v/>
      </c>
      <c r="F24452" t="str">
        <v>-</v>
      </c>
      <c r="G24452" t="str">
        <v>-</v>
      </c>
    </row>
    <row r="24453">
      <c r="B24453" t="str">
        <v>UBND Ủy ban nhân dân tỉnh Hà Tĩnh tỉnh Hà Tĩnh</v>
      </c>
      <c r="C24453" t="str">
        <v>-</v>
      </c>
      <c r="D24453" t="str">
        <v>-</v>
      </c>
      <c r="E24453" t="str">
        <v>-</v>
      </c>
      <c r="F24453" t="str">
        <v>-</v>
      </c>
      <c r="G24453" t="str">
        <v>-</v>
      </c>
    </row>
    <row r="24454">
      <c r="B24454" t="str">
        <v>Công an tỉnh Hòa Bình tỉnh Hòa Bình</v>
      </c>
      <c r="C24454" t="str">
        <v>-</v>
      </c>
      <c r="D24454" t="str">
        <v>-</v>
      </c>
      <c r="E24454" t="str">
        <v/>
      </c>
      <c r="F24454" t="str">
        <v>-</v>
      </c>
      <c r="G24454" t="str">
        <v>-</v>
      </c>
    </row>
    <row r="24455">
      <c r="B24455" t="str">
        <v>UBND Ủy ban nhân dân tỉnh Hòa Bình tỉnh Hòa Bình</v>
      </c>
      <c r="C24455" t="str">
        <v>-</v>
      </c>
      <c r="D24455" t="str">
        <v>-</v>
      </c>
      <c r="E24455" t="str">
        <v>-</v>
      </c>
      <c r="F24455" t="str">
        <v>-</v>
      </c>
      <c r="G24455" t="str">
        <v>-</v>
      </c>
    </row>
    <row r="24456">
      <c r="B24456" t="str">
        <v>Công an xã An Lâm tỉnh Hải Dương</v>
      </c>
      <c r="C24456" t="str">
        <v>-</v>
      </c>
      <c r="D24456" t="str">
        <v>-</v>
      </c>
      <c r="E24456" t="str">
        <v/>
      </c>
      <c r="F24456" t="str">
        <v>-</v>
      </c>
      <c r="G24456" t="str">
        <v>-</v>
      </c>
    </row>
    <row r="24457">
      <c r="B24457" t="str">
        <v>UBND Ủy ban nhân dân xã An Lâm tỉnh Hải Dương</v>
      </c>
      <c r="C24457" t="str">
        <v>-</v>
      </c>
      <c r="D24457" t="str">
        <v>-</v>
      </c>
      <c r="E24457" t="str">
        <v>-</v>
      </c>
      <c r="F24457" t="str">
        <v>-</v>
      </c>
      <c r="G24457" t="str">
        <v>-</v>
      </c>
    </row>
    <row r="24458">
      <c r="B24458" t="str">
        <v>Công an thành phố Hồ Chí Minh thành phố Hồ Chí Minh</v>
      </c>
      <c r="C24458" t="str">
        <v>-</v>
      </c>
      <c r="D24458" t="str">
        <v>-</v>
      </c>
      <c r="E24458" t="str">
        <v/>
      </c>
      <c r="F24458" t="str">
        <v>-</v>
      </c>
      <c r="G24458" t="str">
        <v>-</v>
      </c>
    </row>
    <row r="24459">
      <c r="B24459" t="str">
        <v>UBND Ủy ban nhân dân thành phố Hồ Chí Minh thành phố Hồ Chí Minh</v>
      </c>
      <c r="C24459" t="str">
        <v>-</v>
      </c>
      <c r="D24459" t="str">
        <v>-</v>
      </c>
      <c r="E24459" t="str">
        <v>-</v>
      </c>
      <c r="F24459" t="str">
        <v>-</v>
      </c>
      <c r="G24459" t="str">
        <v>-</v>
      </c>
    </row>
    <row r="24460">
      <c r="B24460" t="str">
        <v>Công an thành phố Cần Thơ thành phố Cần Thơ</v>
      </c>
      <c r="C24460" t="str">
        <v>-</v>
      </c>
      <c r="D24460" t="str">
        <v>-</v>
      </c>
      <c r="E24460" t="str">
        <v/>
      </c>
      <c r="F24460" t="str">
        <v>-</v>
      </c>
      <c r="G24460" t="str">
        <v>-</v>
      </c>
    </row>
    <row r="24461">
      <c r="B24461" t="str">
        <v>UBND Ủy ban nhân dân thành phố Cần Thơ thành phố Cần Thơ</v>
      </c>
      <c r="C24461" t="str">
        <v>-</v>
      </c>
      <c r="D24461" t="str">
        <v>-</v>
      </c>
      <c r="E24461" t="str">
        <v>-</v>
      </c>
      <c r="F24461" t="str">
        <v>-</v>
      </c>
      <c r="G24461" t="str">
        <v>-</v>
      </c>
    </row>
    <row r="24462">
      <c r="B24462" t="str">
        <v>Công an tỉnh Vĩnh Long tỉnh Vĩnh Long</v>
      </c>
      <c r="C24462" t="str">
        <v>-</v>
      </c>
      <c r="D24462" t="str">
        <v>-</v>
      </c>
      <c r="E24462" t="str">
        <v/>
      </c>
      <c r="F24462" t="str">
        <v>-</v>
      </c>
      <c r="G24462" t="str">
        <v>-</v>
      </c>
    </row>
    <row r="24463">
      <c r="B24463" t="str">
        <v>UBND Ủy ban nhân dân tỉnh Vĩnh Long tỉnh Vĩnh Long</v>
      </c>
      <c r="C24463" t="str">
        <v>-</v>
      </c>
      <c r="D24463" t="str">
        <v>-</v>
      </c>
      <c r="E24463" t="str">
        <v>-</v>
      </c>
      <c r="F24463" t="str">
        <v>-</v>
      </c>
      <c r="G24463" t="str">
        <v>-</v>
      </c>
    </row>
    <row r="24464">
      <c r="B24464" t="str">
        <v>Công an tỉnh Điện Biên tỉnh Điện Biên</v>
      </c>
      <c r="C24464" t="str">
        <v>-</v>
      </c>
      <c r="D24464" t="str">
        <v>-</v>
      </c>
      <c r="E24464" t="str">
        <v/>
      </c>
      <c r="F24464" t="str">
        <v>-</v>
      </c>
      <c r="G24464" t="str">
        <v>-</v>
      </c>
    </row>
    <row r="24465">
      <c r="B24465" t="str">
        <v>UBND Ủy ban nhân dân tỉnh Điện Biên tỉnh Điện Biên</v>
      </c>
      <c r="C24465" t="str">
        <v>-</v>
      </c>
      <c r="D24465" t="str">
        <v>-</v>
      </c>
      <c r="E24465" t="str">
        <v>-</v>
      </c>
      <c r="F24465" t="str">
        <v>-</v>
      </c>
      <c r="G24465" t="str">
        <v>-</v>
      </c>
    </row>
    <row r="24466">
      <c r="B24466" t="str">
        <v>Công an tỉnh Kiên Giang tỉnh Kiên Giang</v>
      </c>
      <c r="C24466" t="str">
        <v>-</v>
      </c>
      <c r="D24466" t="str">
        <v>-</v>
      </c>
      <c r="E24466" t="str">
        <v/>
      </c>
      <c r="F24466" t="str">
        <v>-</v>
      </c>
      <c r="G24466" t="str">
        <v>-</v>
      </c>
    </row>
    <row r="24467">
      <c r="B24467" t="str">
        <v>UBND Ủy ban nhân dân tỉnh Kiên Giang tỉnh Kiên Giang</v>
      </c>
      <c r="C24467" t="str">
        <v>-</v>
      </c>
      <c r="D24467" t="str">
        <v>-</v>
      </c>
      <c r="E24467" t="str">
        <v>-</v>
      </c>
      <c r="F24467" t="str">
        <v>-</v>
      </c>
      <c r="G24467" t="str">
        <v>-</v>
      </c>
    </row>
    <row r="24468">
      <c r="B24468" t="str">
        <v>Công an tỉnh Kiên Giang  tỉnh Kiên Giang</v>
      </c>
      <c r="C24468" t="str">
        <v>-</v>
      </c>
      <c r="D24468" t="str">
        <v>-</v>
      </c>
      <c r="E24468" t="str">
        <v/>
      </c>
      <c r="F24468" t="str">
        <v>-</v>
      </c>
      <c r="G24468" t="str">
        <v>-</v>
      </c>
    </row>
    <row r="24469">
      <c r="B24469" t="str">
        <v>UBND Ủy ban nhân dân tỉnh Kiên Giang  tỉnh Kiên Giang</v>
      </c>
      <c r="C24469" t="str">
        <v>-</v>
      </c>
      <c r="D24469" t="str">
        <v>-</v>
      </c>
      <c r="E24469" t="str">
        <v>-</v>
      </c>
      <c r="F24469" t="str">
        <v>-</v>
      </c>
      <c r="G24469" t="str">
        <v>-</v>
      </c>
    </row>
    <row r="24470">
      <c r="B24470" t="str">
        <v>Công an thành phố Đà Nẵng thành phố Đà Nẵng</v>
      </c>
      <c r="C24470" t="str">
        <v>-</v>
      </c>
      <c r="D24470" t="str">
        <v>-</v>
      </c>
      <c r="E24470" t="str">
        <v/>
      </c>
      <c r="F24470" t="str">
        <v>-</v>
      </c>
      <c r="G24470" t="str">
        <v>-</v>
      </c>
    </row>
    <row r="24471">
      <c r="B24471" t="str">
        <v>UBND Ủy ban nhân dân thành phố Đà Nẵng thành phố Đà Nẵng</v>
      </c>
      <c r="C24471" t="str">
        <v>-</v>
      </c>
      <c r="D24471" t="str">
        <v>-</v>
      </c>
      <c r="E24471" t="str">
        <v>-</v>
      </c>
      <c r="F24471" t="str">
        <v>-</v>
      </c>
      <c r="G24471" t="str">
        <v>-</v>
      </c>
    </row>
    <row r="24472">
      <c r="B24472" t="str">
        <v>Công an tỉnh Nam Định tỉnh Nam Định</v>
      </c>
      <c r="C24472" t="str">
        <v>-</v>
      </c>
      <c r="D24472" t="str">
        <v>-</v>
      </c>
      <c r="E24472" t="str">
        <v/>
      </c>
      <c r="F24472" t="str">
        <v>-</v>
      </c>
      <c r="G24472" t="str">
        <v>-</v>
      </c>
    </row>
    <row r="24473">
      <c r="B24473" t="str">
        <v>UBND Ủy ban nhân dân tỉnh Nam Định tỉnh Nam Định</v>
      </c>
      <c r="C24473" t="str">
        <v>-</v>
      </c>
      <c r="D24473" t="str">
        <v>-</v>
      </c>
      <c r="E24473" t="str">
        <v>-</v>
      </c>
      <c r="F24473" t="str">
        <v>-</v>
      </c>
      <c r="G24473" t="str">
        <v>-</v>
      </c>
    </row>
    <row r="24474">
      <c r="B24474" t="str">
        <v>Công an tỉnh Bà Rịa tỉnh Bà Rịa - Vũng Tàu</v>
      </c>
      <c r="C24474" t="str">
        <v>-</v>
      </c>
      <c r="D24474" t="str">
        <v>-</v>
      </c>
      <c r="E24474" t="str">
        <v/>
      </c>
      <c r="F24474" t="str">
        <v>-</v>
      </c>
      <c r="G24474" t="str">
        <v>-</v>
      </c>
    </row>
    <row r="24475">
      <c r="B24475" t="str">
        <v>UBND Ủy ban nhân dân tỉnh Bà Rịa tỉnh Bà Rịa - Vũng Tàu</v>
      </c>
      <c r="C24475" t="str">
        <v>-</v>
      </c>
      <c r="D24475" t="str">
        <v>-</v>
      </c>
      <c r="E24475" t="str">
        <v>-</v>
      </c>
      <c r="F24475" t="str">
        <v>-</v>
      </c>
      <c r="G24475" t="str">
        <v>-</v>
      </c>
    </row>
    <row r="24476">
      <c r="B24476" t="str">
        <v>Công an thành phố Cần Thơ thành phố Cần Thơ</v>
      </c>
      <c r="C24476" t="str">
        <v>-</v>
      </c>
      <c r="D24476" t="str">
        <v>-</v>
      </c>
      <c r="E24476" t="str">
        <v/>
      </c>
      <c r="F24476" t="str">
        <v>-</v>
      </c>
      <c r="G24476" t="str">
        <v>-</v>
      </c>
    </row>
    <row r="24477">
      <c r="B24477" t="str">
        <v>UBND Ủy ban nhân dân thành phố Cần Thơ thành phố Cần Thơ</v>
      </c>
      <c r="C24477" t="str">
        <v>-</v>
      </c>
      <c r="D24477" t="str">
        <v>-</v>
      </c>
      <c r="E24477" t="str">
        <v>-</v>
      </c>
      <c r="F24477" t="str">
        <v>-</v>
      </c>
      <c r="G24477" t="str">
        <v>-</v>
      </c>
    </row>
    <row r="24478">
      <c r="B24478" t="str">
        <v>Công an tỉnh An Giang tỉnh An Giang</v>
      </c>
      <c r="C24478" t="str">
        <v>-</v>
      </c>
      <c r="D24478" t="str">
        <v>-</v>
      </c>
      <c r="E24478" t="str">
        <v/>
      </c>
      <c r="F24478" t="str">
        <v>-</v>
      </c>
      <c r="G24478" t="str">
        <v>-</v>
      </c>
    </row>
    <row r="24479">
      <c r="B24479" t="str">
        <v>UBND Ủy ban nhân dân tỉnh An Giang tỉnh An Giang</v>
      </c>
      <c r="C24479" t="str">
        <v>-</v>
      </c>
      <c r="D24479" t="str">
        <v>-</v>
      </c>
      <c r="E24479" t="str">
        <v>-</v>
      </c>
      <c r="F24479" t="str">
        <v>-</v>
      </c>
      <c r="G24479" t="str">
        <v>-</v>
      </c>
    </row>
    <row r="24480">
      <c r="B24480" t="str">
        <v>Công an xã Giao Châu tỉnh Nam Định</v>
      </c>
      <c r="C24480" t="str">
        <v>-</v>
      </c>
      <c r="D24480" t="str">
        <v>-</v>
      </c>
      <c r="E24480" t="str">
        <v/>
      </c>
      <c r="F24480" t="str">
        <v>-</v>
      </c>
      <c r="G24480" t="str">
        <v>-</v>
      </c>
    </row>
    <row r="24481">
      <c r="B24481" t="str">
        <v>UBND Ủy ban nhân dân xã Giao Châu tỉnh Nam Định</v>
      </c>
      <c r="C24481" t="str">
        <v>-</v>
      </c>
      <c r="D24481" t="str">
        <v>-</v>
      </c>
      <c r="E24481" t="str">
        <v>-</v>
      </c>
      <c r="F24481" t="str">
        <v>-</v>
      </c>
      <c r="G24481" t="str">
        <v>-</v>
      </c>
    </row>
    <row r="24482">
      <c r="B24482" t="str">
        <v>Công an tỉnh Hà Tĩnh tỉnh Hà Tĩnh</v>
      </c>
      <c r="C24482" t="str">
        <v>-</v>
      </c>
      <c r="D24482" t="str">
        <v>-</v>
      </c>
      <c r="E24482" t="str">
        <v/>
      </c>
      <c r="F24482" t="str">
        <v>-</v>
      </c>
      <c r="G24482" t="str">
        <v>-</v>
      </c>
    </row>
    <row r="24483">
      <c r="B24483" t="str">
        <v>UBND Ủy ban nhân dân tỉnh Hà Tĩnh tỉnh Hà Tĩnh</v>
      </c>
      <c r="C24483" t="str">
        <v>-</v>
      </c>
      <c r="D24483" t="str">
        <v>-</v>
      </c>
      <c r="E24483" t="str">
        <v>-</v>
      </c>
      <c r="F24483" t="str">
        <v>-</v>
      </c>
      <c r="G24483" t="str">
        <v>-</v>
      </c>
    </row>
    <row r="24484">
      <c r="B24484" t="str">
        <v>Công an tỉnh Kon Tum tỉnh Kon Tum</v>
      </c>
      <c r="C24484" t="str">
        <v>-</v>
      </c>
      <c r="D24484" t="str">
        <v>-</v>
      </c>
      <c r="E24484" t="str">
        <v/>
      </c>
      <c r="F24484" t="str">
        <v>-</v>
      </c>
      <c r="G24484" t="str">
        <v>-</v>
      </c>
    </row>
    <row r="24485">
      <c r="B24485" t="str">
        <v>UBND Ủy ban nhân dân tỉnh Kon Tum tỉnh Kon Tum</v>
      </c>
      <c r="C24485" t="str">
        <v>-</v>
      </c>
      <c r="D24485" t="str">
        <v>-</v>
      </c>
      <c r="E24485" t="str">
        <v>-</v>
      </c>
      <c r="F24485" t="str">
        <v>-</v>
      </c>
      <c r="G24485" t="str">
        <v>-</v>
      </c>
    </row>
    <row r="24486">
      <c r="B24486" t="str">
        <v>Công an tỉnh Hà Tĩnh tỉnh Hà Tĩnh</v>
      </c>
      <c r="C24486" t="str">
        <v>-</v>
      </c>
      <c r="D24486" t="str">
        <v>-</v>
      </c>
      <c r="E24486" t="str">
        <v/>
      </c>
      <c r="F24486" t="str">
        <v>-</v>
      </c>
      <c r="G24486" t="str">
        <v>-</v>
      </c>
    </row>
    <row r="24487">
      <c r="B24487" t="str">
        <v>UBND Ủy ban nhân dân tỉnh Hà Tĩnh tỉnh Hà Tĩnh</v>
      </c>
      <c r="C24487" t="str">
        <v>-</v>
      </c>
      <c r="D24487" t="str">
        <v>-</v>
      </c>
      <c r="E24487" t="str">
        <v>-</v>
      </c>
      <c r="F24487" t="str">
        <v>-</v>
      </c>
      <c r="G24487" t="str">
        <v>-</v>
      </c>
    </row>
    <row r="24488">
      <c r="B24488" t="str">
        <v>Công an thành phố Hà Nội thành phố Hà Nội</v>
      </c>
      <c r="C24488" t="str">
        <v>-</v>
      </c>
      <c r="D24488" t="str">
        <v>-</v>
      </c>
      <c r="E24488" t="str">
        <v/>
      </c>
      <c r="F24488" t="str">
        <v>-</v>
      </c>
      <c r="G24488" t="str">
        <v>-</v>
      </c>
    </row>
    <row r="24489">
      <c r="B24489" t="str">
        <v>UBND Ủy ban nhân dân thành phố Hà Nội thành phố Hà Nội</v>
      </c>
      <c r="C24489" t="str">
        <v>-</v>
      </c>
      <c r="D24489" t="str">
        <v>-</v>
      </c>
      <c r="E24489" t="str">
        <v>-</v>
      </c>
      <c r="F24489" t="str">
        <v>-</v>
      </c>
      <c r="G24489" t="str">
        <v>-</v>
      </c>
    </row>
    <row r="24490">
      <c r="B24490" t="str">
        <v>Công an tỉnh Yên Bái tỉnh Yên Bái</v>
      </c>
      <c r="C24490" t="str">
        <v>-</v>
      </c>
      <c r="D24490" t="str">
        <v>-</v>
      </c>
      <c r="E24490" t="str">
        <v/>
      </c>
      <c r="F24490" t="str">
        <v>-</v>
      </c>
      <c r="G24490" t="str">
        <v>-</v>
      </c>
    </row>
    <row r="24491">
      <c r="B24491" t="str">
        <v>UBND Ủy ban nhân dân tỉnh Yên Bái tỉnh Yên Bái</v>
      </c>
      <c r="C24491" t="str">
        <v>-</v>
      </c>
      <c r="D24491" t="str">
        <v>-</v>
      </c>
      <c r="E24491" t="str">
        <v>-</v>
      </c>
      <c r="F24491" t="str">
        <v>-</v>
      </c>
      <c r="G24491" t="str">
        <v>-</v>
      </c>
    </row>
    <row r="24492">
      <c r="B24492" t="str">
        <v>Công an tỉnh Quảng Ngãi tỉnh Quảng Ngãi</v>
      </c>
      <c r="C24492" t="str">
        <v>-</v>
      </c>
      <c r="D24492" t="str">
        <v>-</v>
      </c>
      <c r="E24492" t="str">
        <v/>
      </c>
      <c r="F24492" t="str">
        <v>-</v>
      </c>
      <c r="G24492" t="str">
        <v>-</v>
      </c>
    </row>
    <row r="24493">
      <c r="B24493" t="str">
        <v>UBND Ủy ban nhân dân tỉnh Quảng Ngãi tỉnh Quảng Ngãi</v>
      </c>
      <c r="C24493" t="str">
        <v>-</v>
      </c>
      <c r="D24493" t="str">
        <v>-</v>
      </c>
      <c r="E24493" t="str">
        <v>-</v>
      </c>
      <c r="F24493" t="str">
        <v>-</v>
      </c>
      <c r="G24493" t="str">
        <v>-</v>
      </c>
    </row>
    <row r="24494">
      <c r="B24494" t="str">
        <v>Công an tỉnh An Giang tỉnh An Giang</v>
      </c>
      <c r="C24494" t="str">
        <v>-</v>
      </c>
      <c r="D24494" t="str">
        <v>-</v>
      </c>
      <c r="E24494" t="str">
        <v/>
      </c>
      <c r="F24494" t="str">
        <v>-</v>
      </c>
      <c r="G24494" t="str">
        <v>-</v>
      </c>
    </row>
    <row r="24495">
      <c r="B24495" t="str">
        <v>UBND Ủy ban nhân dân tỉnh An Giang tỉnh An Giang</v>
      </c>
      <c r="C24495" t="str">
        <v>-</v>
      </c>
      <c r="D24495" t="str">
        <v>-</v>
      </c>
      <c r="E24495" t="str">
        <v>-</v>
      </c>
      <c r="F24495" t="str">
        <v>-</v>
      </c>
      <c r="G24495" t="str">
        <v>-</v>
      </c>
    </row>
    <row r="24496">
      <c r="B24496" t="str">
        <v>Công an tỉnh Nghệ An tỉnh Nghệ An</v>
      </c>
      <c r="C24496" t="str">
        <v>-</v>
      </c>
      <c r="D24496" t="str">
        <v>-</v>
      </c>
      <c r="E24496" t="str">
        <v/>
      </c>
      <c r="F24496" t="str">
        <v>-</v>
      </c>
      <c r="G24496" t="str">
        <v>-</v>
      </c>
    </row>
    <row r="24497">
      <c r="B24497" t="str">
        <v>UBND Ủy ban nhân dân tỉnh Nghệ An tỉnh Nghệ An</v>
      </c>
      <c r="C24497" t="str">
        <v>-</v>
      </c>
      <c r="D24497" t="str">
        <v>-</v>
      </c>
      <c r="E24497" t="str">
        <v>-</v>
      </c>
      <c r="F24497" t="str">
        <v>-</v>
      </c>
      <c r="G24497" t="str">
        <v>-</v>
      </c>
    </row>
    <row r="24498">
      <c r="B24498" t="str">
        <v>Công an tỉnh  Đồng Tháp  tỉnh Đồng Tháp</v>
      </c>
      <c r="C24498" t="str">
        <v>-</v>
      </c>
      <c r="D24498" t="str">
        <v>-</v>
      </c>
      <c r="E24498" t="str">
        <v/>
      </c>
      <c r="F24498" t="str">
        <v>-</v>
      </c>
      <c r="G24498" t="str">
        <v>-</v>
      </c>
    </row>
    <row r="24499">
      <c r="B24499" t="str">
        <v>UBND Ủy ban nhân dân tỉnh  Đồng Tháp  tỉnh Đồng Tháp</v>
      </c>
      <c r="C24499" t="str">
        <v>-</v>
      </c>
      <c r="D24499" t="str">
        <v>-</v>
      </c>
      <c r="E24499" t="str">
        <v>-</v>
      </c>
      <c r="F24499" t="str">
        <v>-</v>
      </c>
      <c r="G24499" t="str">
        <v>-</v>
      </c>
    </row>
    <row r="24500">
      <c r="B24500" t="str">
        <v>Công an thành phố Hải Phòng thành phố Hải Phòng</v>
      </c>
      <c r="C24500" t="str">
        <v>-</v>
      </c>
      <c r="D24500" t="str">
        <v>-</v>
      </c>
      <c r="E24500" t="str">
        <v/>
      </c>
      <c r="F24500" t="str">
        <v>-</v>
      </c>
      <c r="G24500" t="str">
        <v>-</v>
      </c>
    </row>
    <row r="24501">
      <c r="B24501" t="str">
        <v>UBND Ủy ban nhân dân thành phố Hải Phòng thành phố Hải Phòng</v>
      </c>
      <c r="C24501" t="str">
        <v>-</v>
      </c>
      <c r="D24501" t="str">
        <v>-</v>
      </c>
      <c r="E24501" t="str">
        <v>-</v>
      </c>
      <c r="F24501" t="str">
        <v>-</v>
      </c>
      <c r="G24501" t="str">
        <v>-</v>
      </c>
    </row>
    <row r="24502">
      <c r="B24502" t="str">
        <v>Công an tỉnh Kon Tum  tỉnh Kon Tum</v>
      </c>
      <c r="C24502" t="str">
        <v>-</v>
      </c>
      <c r="D24502" t="str">
        <v>-</v>
      </c>
      <c r="E24502" t="str">
        <v/>
      </c>
      <c r="F24502" t="str">
        <v>-</v>
      </c>
      <c r="G24502" t="str">
        <v>-</v>
      </c>
    </row>
    <row r="24503">
      <c r="B24503" t="str">
        <v>UBND Ủy ban nhân dân tỉnh Kon Tum  tỉnh Kon Tum</v>
      </c>
      <c r="C24503" t="str">
        <v>-</v>
      </c>
      <c r="D24503" t="str">
        <v>-</v>
      </c>
      <c r="E24503" t="str">
        <v>-</v>
      </c>
      <c r="F24503" t="str">
        <v>-</v>
      </c>
      <c r="G24503" t="str">
        <v>-</v>
      </c>
    </row>
    <row r="24504">
      <c r="B24504" t="str">
        <v>Công an tỉnh Lâm Đồng tỉnh Lâm Đồng</v>
      </c>
      <c r="C24504" t="str">
        <v>-</v>
      </c>
      <c r="D24504" t="str">
        <v>-</v>
      </c>
      <c r="E24504" t="str">
        <v/>
      </c>
      <c r="F24504" t="str">
        <v>-</v>
      </c>
      <c r="G24504" t="str">
        <v>-</v>
      </c>
    </row>
    <row r="24505">
      <c r="B24505" t="str">
        <v>UBND Ủy ban nhân dân tỉnh Lâm Đồng tỉnh Lâm Đồng</v>
      </c>
      <c r="C24505" t="str">
        <v>-</v>
      </c>
      <c r="D24505" t="str">
        <v>-</v>
      </c>
      <c r="E24505" t="str">
        <v>-</v>
      </c>
      <c r="F24505" t="str">
        <v>-</v>
      </c>
      <c r="G24505" t="str">
        <v>-</v>
      </c>
    </row>
    <row r="24506">
      <c r="B24506" t="str">
        <v>Công an tỉnh Lạng Sơn tỉnh Lạng Sơn</v>
      </c>
      <c r="C24506" t="str">
        <v>-</v>
      </c>
      <c r="D24506" t="str">
        <v>-</v>
      </c>
      <c r="E24506" t="str">
        <v/>
      </c>
      <c r="F24506" t="str">
        <v>-</v>
      </c>
      <c r="G24506" t="str">
        <v>-</v>
      </c>
    </row>
    <row r="24507">
      <c r="B24507" t="str">
        <v>UBND Ủy ban nhân dân tỉnh Lạng Sơn tỉnh Lạng Sơn</v>
      </c>
      <c r="C24507" t="str">
        <v>-</v>
      </c>
      <c r="D24507" t="str">
        <v>-</v>
      </c>
      <c r="E24507" t="str">
        <v>-</v>
      </c>
      <c r="F24507" t="str">
        <v>-</v>
      </c>
      <c r="G24507" t="str">
        <v>-</v>
      </c>
    </row>
    <row r="24508">
      <c r="B24508" t="str">
        <v>Công an tỉnh Phú Yên tỉnh Phú Yên</v>
      </c>
      <c r="C24508" t="str">
        <v>-</v>
      </c>
      <c r="D24508" t="str">
        <v>-</v>
      </c>
      <c r="E24508" t="str">
        <v/>
      </c>
      <c r="F24508" t="str">
        <v>-</v>
      </c>
      <c r="G24508" t="str">
        <v>-</v>
      </c>
    </row>
    <row r="24509">
      <c r="B24509" t="str">
        <v>UBND Ủy ban nhân dân tỉnh Phú Yên tỉnh Phú Yên</v>
      </c>
      <c r="C24509" t="str">
        <v>-</v>
      </c>
      <c r="D24509" t="str">
        <v>-</v>
      </c>
      <c r="E24509" t="str">
        <v>-</v>
      </c>
      <c r="F24509" t="str">
        <v>-</v>
      </c>
      <c r="G24509" t="str">
        <v>-</v>
      </c>
    </row>
    <row r="24510">
      <c r="B24510" t="str">
        <v>Công an tỉnh Quảng Ninh tỉnh Quảng Ninh</v>
      </c>
      <c r="C24510" t="str">
        <v>-</v>
      </c>
      <c r="D24510" t="str">
        <v>-</v>
      </c>
      <c r="E24510" t="str">
        <v/>
      </c>
      <c r="F24510" t="str">
        <v>-</v>
      </c>
      <c r="G24510" t="str">
        <v>-</v>
      </c>
    </row>
    <row r="24511">
      <c r="B24511" t="str">
        <v>UBND Ủy ban nhân dân tỉnh Quảng Ninh tỉnh Quảng Ninh</v>
      </c>
      <c r="C24511" t="str">
        <v>-</v>
      </c>
      <c r="D24511" t="str">
        <v>-</v>
      </c>
      <c r="E24511" t="str">
        <v>-</v>
      </c>
      <c r="F24511" t="str">
        <v>-</v>
      </c>
      <c r="G24511" t="str">
        <v>-</v>
      </c>
    </row>
    <row r="24512">
      <c r="B24512" t="str">
        <v>Công an tỉnh Quảng Trị tỉnh Quảng Trị</v>
      </c>
      <c r="C24512" t="str">
        <v>-</v>
      </c>
      <c r="D24512" t="str">
        <v>-</v>
      </c>
      <c r="E24512" t="str">
        <v/>
      </c>
      <c r="F24512" t="str">
        <v>-</v>
      </c>
      <c r="G24512" t="str">
        <v>-</v>
      </c>
    </row>
    <row r="24513">
      <c r="B24513" t="str">
        <v>UBND Ủy ban nhân dân tỉnh Quảng Trị tỉnh Quảng Trị</v>
      </c>
      <c r="C24513" t="str">
        <v>-</v>
      </c>
      <c r="D24513" t="str">
        <v>-</v>
      </c>
      <c r="E24513" t="str">
        <v>-</v>
      </c>
      <c r="F24513" t="str">
        <v>-</v>
      </c>
      <c r="G24513" t="str">
        <v>-</v>
      </c>
    </row>
    <row r="24514">
      <c r="B24514" t="str">
        <v>Công an xã Minh Tân   thành phố Hải Phòng</v>
      </c>
      <c r="C24514" t="str">
        <v>-</v>
      </c>
      <c r="D24514" t="str">
        <v>-</v>
      </c>
      <c r="E24514" t="str">
        <v/>
      </c>
      <c r="F24514" t="str">
        <v>-</v>
      </c>
      <c r="G24514" t="str">
        <v>-</v>
      </c>
    </row>
    <row r="24515">
      <c r="B24515" t="str">
        <v>UBND Ủy ban nhân dân xã Minh Tân   thành phố Hải Phòng</v>
      </c>
      <c r="C24515" t="str">
        <v>-</v>
      </c>
      <c r="D24515" t="str">
        <v>-</v>
      </c>
      <c r="E24515" t="str">
        <v>-</v>
      </c>
      <c r="F24515" t="str">
        <v>-</v>
      </c>
      <c r="G24515" t="str">
        <v>-</v>
      </c>
    </row>
    <row r="24516">
      <c r="B24516" t="str">
        <v>Công an phường Phước Nguyên tỉnh Bà Rịa - Vũng Tàu</v>
      </c>
      <c r="C24516" t="str">
        <v>-</v>
      </c>
      <c r="D24516" t="str">
        <v>-</v>
      </c>
      <c r="E24516" t="str">
        <v/>
      </c>
      <c r="F24516" t="str">
        <v>-</v>
      </c>
      <c r="G24516" t="str">
        <v>-</v>
      </c>
    </row>
    <row r="24517">
      <c r="B24517" t="str">
        <v>UBND Ủy ban nhân dân phường Phước Nguyên tỉnh Bà Rịa - Vũng Tàu</v>
      </c>
      <c r="C24517" t="str">
        <v>-</v>
      </c>
      <c r="D24517" t="str">
        <v>-</v>
      </c>
      <c r="E24517" t="str">
        <v>-</v>
      </c>
      <c r="F24517" t="str">
        <v>-</v>
      </c>
      <c r="G24517" t="str">
        <v>-</v>
      </c>
    </row>
    <row r="24518">
      <c r="B24518" t="str">
        <v>Công an xã Tân Thành tỉnh Nam Định</v>
      </c>
      <c r="C24518" t="str">
        <v>-</v>
      </c>
      <c r="D24518" t="str">
        <v>-</v>
      </c>
      <c r="E24518" t="str">
        <v/>
      </c>
      <c r="F24518" t="str">
        <v>-</v>
      </c>
      <c r="G24518" t="str">
        <v>-</v>
      </c>
    </row>
    <row r="24519">
      <c r="B24519" t="str">
        <v>UBND Ủy ban nhân dân xã Tân Thành tỉnh Nam Định</v>
      </c>
      <c r="C24519" t="str">
        <v>-</v>
      </c>
      <c r="D24519" t="str">
        <v>-</v>
      </c>
      <c r="E24519" t="str">
        <v>-</v>
      </c>
      <c r="F24519" t="str">
        <v>-</v>
      </c>
      <c r="G24519" t="str">
        <v>-</v>
      </c>
    </row>
    <row r="24520">
      <c r="B24520" t="str">
        <v>Công an tỉnh Tây Ninh tỉnh TÂY NINH</v>
      </c>
      <c r="C24520" t="str">
        <v>-</v>
      </c>
      <c r="D24520" t="str">
        <v>-</v>
      </c>
      <c r="E24520" t="str">
        <v/>
      </c>
      <c r="F24520" t="str">
        <v>-</v>
      </c>
      <c r="G24520" t="str">
        <v>-</v>
      </c>
    </row>
    <row r="24521">
      <c r="B24521" t="str">
        <v>UBND Ủy ban nhân dân tỉnh Tây Ninh tỉnh TÂY NINH</v>
      </c>
      <c r="C24521" t="str">
        <v>-</v>
      </c>
      <c r="D24521" t="str">
        <v>-</v>
      </c>
      <c r="E24521" t="str">
        <v>-</v>
      </c>
      <c r="F24521" t="str">
        <v>-</v>
      </c>
      <c r="G24521" t="str">
        <v>-</v>
      </c>
    </row>
    <row r="24522">
      <c r="B24522" t="str">
        <v>Công an xã Hàm Kiệm tỉnh Bình Thuận</v>
      </c>
      <c r="C24522" t="str">
        <v>-</v>
      </c>
      <c r="D24522" t="str">
        <v>-</v>
      </c>
      <c r="E24522" t="str">
        <v/>
      </c>
      <c r="F24522" t="str">
        <v>-</v>
      </c>
      <c r="G24522" t="str">
        <v>-</v>
      </c>
    </row>
    <row r="24523">
      <c r="B24523" t="str">
        <v>UBND Ủy ban nhân dân xã Hàm Kiệm tỉnh Bình Thuận</v>
      </c>
      <c r="C24523" t="str">
        <v>-</v>
      </c>
      <c r="D24523" t="str">
        <v>-</v>
      </c>
      <c r="E24523" t="str">
        <v>-</v>
      </c>
      <c r="F24523" t="str">
        <v>-</v>
      </c>
      <c r="G24523" t="str">
        <v>-</v>
      </c>
    </row>
    <row r="24524">
      <c r="B24524" t="str">
        <v>Công an xã Đông An tỉnh Yên Bái</v>
      </c>
      <c r="C24524" t="str">
        <v>-</v>
      </c>
      <c r="D24524" t="str">
        <v>-</v>
      </c>
      <c r="E24524" t="str">
        <v/>
      </c>
      <c r="F24524" t="str">
        <v>-</v>
      </c>
      <c r="G24524" t="str">
        <v>-</v>
      </c>
    </row>
    <row r="24525">
      <c r="B24525" t="str">
        <v>UBND Ủy ban nhân dân xã Đông An tỉnh Yên Bái</v>
      </c>
      <c r="C24525" t="str">
        <v>-</v>
      </c>
      <c r="D24525" t="str">
        <v>-</v>
      </c>
      <c r="E24525" t="str">
        <v>-</v>
      </c>
      <c r="F24525" t="str">
        <v>-</v>
      </c>
      <c r="G24525" t="str">
        <v>-</v>
      </c>
    </row>
    <row r="24526">
      <c r="B24526" t="str">
        <v>Công an huyện Bình Minh tỉnh Vĩnh Long</v>
      </c>
      <c r="C24526" t="str">
        <v>-</v>
      </c>
      <c r="D24526" t="str">
        <v>-</v>
      </c>
      <c r="E24526" t="str">
        <v/>
      </c>
      <c r="F24526" t="str">
        <v>-</v>
      </c>
      <c r="G24526" t="str">
        <v>-</v>
      </c>
    </row>
    <row r="24527">
      <c r="B24527" t="str">
        <v>UBND Ủy ban nhân dân huyện Bình Minh tỉnh Vĩnh Long</v>
      </c>
      <c r="C24527" t="str">
        <v>-</v>
      </c>
      <c r="D24527" t="str">
        <v>-</v>
      </c>
      <c r="E24527" t="str">
        <v>-</v>
      </c>
      <c r="F24527" t="str">
        <v>-</v>
      </c>
      <c r="G24527" t="str">
        <v>-</v>
      </c>
    </row>
    <row r="24528">
      <c r="B24528" t="str">
        <v>Công an xã Bàu Cạn tỉnh Bà Rịa - Vũng Tàu</v>
      </c>
      <c r="C24528" t="str">
        <v>-</v>
      </c>
      <c r="D24528" t="str">
        <v>-</v>
      </c>
      <c r="E24528" t="str">
        <v/>
      </c>
      <c r="F24528" t="str">
        <v>-</v>
      </c>
      <c r="G24528" t="str">
        <v>-</v>
      </c>
    </row>
    <row r="24529">
      <c r="B24529" t="str">
        <v>UBND Ủy ban nhân dân xã Bàu Cạn tỉnh Bà Rịa - Vũng Tàu</v>
      </c>
      <c r="C24529" t="str">
        <v>-</v>
      </c>
      <c r="D24529" t="str">
        <v>-</v>
      </c>
      <c r="E24529" t="str">
        <v>-</v>
      </c>
      <c r="F24529" t="str">
        <v>-</v>
      </c>
      <c r="G24529" t="str">
        <v>-</v>
      </c>
    </row>
    <row r="24530">
      <c r="B24530" t="str">
        <v>Công an huyện Yên Lạc tỉnh Vĩnh Phúc</v>
      </c>
      <c r="C24530" t="str">
        <v>-</v>
      </c>
      <c r="D24530" t="str">
        <v>-</v>
      </c>
      <c r="E24530" t="str">
        <v/>
      </c>
      <c r="F24530" t="str">
        <v>-</v>
      </c>
      <c r="G24530" t="str">
        <v>-</v>
      </c>
    </row>
    <row r="24531">
      <c r="B24531" t="str">
        <v>UBND Ủy ban nhân dân huyện Yên Lạc tỉnh Vĩnh Phúc</v>
      </c>
      <c r="C24531" t="str">
        <v>-</v>
      </c>
      <c r="D24531" t="str">
        <v>-</v>
      </c>
      <c r="E24531" t="str">
        <v>-</v>
      </c>
      <c r="F24531" t="str">
        <v>-</v>
      </c>
      <c r="G24531" t="str">
        <v>-</v>
      </c>
    </row>
    <row r="24532">
      <c r="B24532" t="str">
        <v>Công an huyện Long Thành tỉnh Đồng Nai</v>
      </c>
      <c r="C24532" t="str">
        <v>-</v>
      </c>
      <c r="D24532" t="str">
        <v>-</v>
      </c>
      <c r="E24532" t="str">
        <v/>
      </c>
      <c r="F24532" t="str">
        <v>-</v>
      </c>
      <c r="G24532" t="str">
        <v>-</v>
      </c>
    </row>
    <row r="24533">
      <c r="B24533" t="str">
        <v>UBND Ủy ban nhân dân huyện Long Thành tỉnh Đồng Nai</v>
      </c>
      <c r="C24533" t="str">
        <v>-</v>
      </c>
      <c r="D24533" t="str">
        <v>-</v>
      </c>
      <c r="E24533" t="str">
        <v>-</v>
      </c>
      <c r="F24533" t="str">
        <v>-</v>
      </c>
      <c r="G24533" t="str">
        <v>-</v>
      </c>
    </row>
    <row r="24534">
      <c r="B24534" t="str">
        <v>Công an xã Phước Thái tỉnh Đồng Nai</v>
      </c>
      <c r="C24534" t="str">
        <v>-</v>
      </c>
      <c r="D24534" t="str">
        <v>-</v>
      </c>
      <c r="E24534" t="str">
        <v/>
      </c>
      <c r="F24534" t="str">
        <v>-</v>
      </c>
      <c r="G24534" t="str">
        <v>-</v>
      </c>
    </row>
    <row r="24535">
      <c r="B24535" t="str">
        <v>UBND Ủy ban nhân dân xã Phước Thái tỉnh Đồng Nai</v>
      </c>
      <c r="C24535" t="str">
        <v>-</v>
      </c>
      <c r="D24535" t="str">
        <v>-</v>
      </c>
      <c r="E24535" t="str">
        <v>-</v>
      </c>
      <c r="F24535" t="str">
        <v>-</v>
      </c>
      <c r="G24535" t="str">
        <v>-</v>
      </c>
    </row>
    <row r="24536">
      <c r="B24536" t="str">
        <v>Công an phường 9 tỉnh Sóc Trăng</v>
      </c>
      <c r="C24536" t="str">
        <v>-</v>
      </c>
      <c r="D24536" t="str">
        <v>-</v>
      </c>
      <c r="E24536" t="str">
        <v/>
      </c>
      <c r="F24536" t="str">
        <v>-</v>
      </c>
      <c r="G24536" t="str">
        <v>-</v>
      </c>
    </row>
    <row r="24537">
      <c r="B24537" t="str">
        <v>UBND Ủy ban nhân dân phường 9 tỉnh Sóc Trăng</v>
      </c>
      <c r="C24537" t="str">
        <v>-</v>
      </c>
      <c r="D24537" t="str">
        <v>-</v>
      </c>
      <c r="E24537" t="str">
        <v>-</v>
      </c>
      <c r="F24537" t="str">
        <v>-</v>
      </c>
      <c r="G24537" t="str">
        <v>-</v>
      </c>
    </row>
    <row r="24538">
      <c r="B24538" t="str">
        <v>Công an phường Tân Đồng tỉnh Bình Phước</v>
      </c>
      <c r="C24538" t="str">
        <v>-</v>
      </c>
      <c r="D24538" t="str">
        <v>-</v>
      </c>
      <c r="E24538" t="str">
        <v/>
      </c>
      <c r="F24538" t="str">
        <v>-</v>
      </c>
      <c r="G24538" t="str">
        <v>-</v>
      </c>
    </row>
    <row r="24539">
      <c r="B24539" t="str">
        <v>UBND Ủy ban nhân dân phường Tân Đồng tỉnh Bình Phước</v>
      </c>
      <c r="C24539" t="str">
        <v>-</v>
      </c>
      <c r="D24539" t="str">
        <v>-</v>
      </c>
      <c r="E24539" t="str">
        <v>-</v>
      </c>
      <c r="F24539" t="str">
        <v>-</v>
      </c>
      <c r="G24539" t="str">
        <v>-</v>
      </c>
    </row>
    <row r="24540">
      <c r="B24540" t="str">
        <v>Công an thị trấn Hợp Châu  tỉnh Hòa Bình</v>
      </c>
      <c r="C24540" t="str">
        <v>-</v>
      </c>
      <c r="D24540" t="str">
        <v>-</v>
      </c>
      <c r="E24540" t="str">
        <v/>
      </c>
      <c r="F24540" t="str">
        <v>-</v>
      </c>
      <c r="G24540" t="str">
        <v>-</v>
      </c>
    </row>
    <row r="24541">
      <c r="B24541" t="str">
        <v>UBND Ủy ban nhân dân thị trấn Hợp Châu  tỉnh Hòa Bình</v>
      </c>
      <c r="C24541" t="str">
        <v>-</v>
      </c>
      <c r="D24541" t="str">
        <v>-</v>
      </c>
      <c r="E24541" t="str">
        <v>-</v>
      </c>
      <c r="F24541" t="str">
        <v>-</v>
      </c>
      <c r="G24541" t="str">
        <v>-</v>
      </c>
    </row>
    <row r="24542">
      <c r="B24542" t="str">
        <v>Công an  thành phố Phan Rang tỉnh Ninh Thuận</v>
      </c>
      <c r="C24542" t="str">
        <v>-</v>
      </c>
      <c r="D24542" t="str">
        <v>-</v>
      </c>
      <c r="E24542" t="str">
        <v/>
      </c>
      <c r="F24542" t="str">
        <v>-</v>
      </c>
      <c r="G24542" t="str">
        <v>-</v>
      </c>
    </row>
    <row r="24543">
      <c r="B24543" t="str">
        <v>UBND Ủy ban nhân dân  thành phố Phan Rang tỉnh Ninh Thuận</v>
      </c>
      <c r="C24543" t="str">
        <v>-</v>
      </c>
      <c r="D24543" t="str">
        <v>-</v>
      </c>
      <c r="E24543" t="str">
        <v>-</v>
      </c>
      <c r="F24543" t="str">
        <v>-</v>
      </c>
      <c r="G24543" t="str">
        <v>-</v>
      </c>
    </row>
    <row r="24544">
      <c r="B24544" t="str">
        <v>Công an xã Đình Chu  tỉnh Vĩnh Phúc</v>
      </c>
      <c r="C24544" t="str">
        <v>-</v>
      </c>
      <c r="D24544" t="str">
        <v>-</v>
      </c>
      <c r="E24544" t="str">
        <v/>
      </c>
      <c r="F24544" t="str">
        <v>-</v>
      </c>
      <c r="G24544" t="str">
        <v>-</v>
      </c>
    </row>
    <row r="24545">
      <c r="B24545" t="str">
        <v>UBND Ủy ban nhân dân xã Đình Chu  tỉnh Vĩnh Phúc</v>
      </c>
      <c r="C24545" t="str">
        <v>-</v>
      </c>
      <c r="D24545" t="str">
        <v>-</v>
      </c>
      <c r="E24545" t="str">
        <v>-</v>
      </c>
      <c r="F24545" t="str">
        <v>-</v>
      </c>
      <c r="G24545" t="str">
        <v>-</v>
      </c>
    </row>
    <row r="24546" xml:space="preserve">
      <c r="B24546" t="str" xml:space="preserve">
        <v xml:space="preserve">Công an xã Đồng Văn _x000d_
 tỉnh Vĩnh Phúc</v>
      </c>
      <c r="C24546" t="str">
        <v>-</v>
      </c>
      <c r="D24546" t="str">
        <v>-</v>
      </c>
      <c r="E24546" t="str">
        <v/>
      </c>
      <c r="F24546" t="str">
        <v>-</v>
      </c>
      <c r="G24546" t="str">
        <v>-</v>
      </c>
    </row>
    <row r="24547" xml:space="preserve">
      <c r="B24547" t="str" xml:space="preserve">
        <v xml:space="preserve">UBND Ủy ban nhân dân xã Đồng Văn _x000d_
 tỉnh Vĩnh Phúc</v>
      </c>
      <c r="C24547" t="str">
        <v>-</v>
      </c>
      <c r="D24547" t="str">
        <v>-</v>
      </c>
      <c r="E24547" t="str">
        <v>-</v>
      </c>
      <c r="F24547" t="str">
        <v>-</v>
      </c>
      <c r="G24547" t="str">
        <v>-</v>
      </c>
    </row>
    <row r="24548">
      <c r="B24548" t="str">
        <v>Công an xã Đức Bác  tỉnh Vĩnh Phúc</v>
      </c>
      <c r="C24548" t="str">
        <v>-</v>
      </c>
      <c r="D24548" t="str">
        <v>-</v>
      </c>
      <c r="E24548" t="str">
        <v/>
      </c>
      <c r="F24548" t="str">
        <v>-</v>
      </c>
      <c r="G24548" t="str">
        <v>-</v>
      </c>
    </row>
    <row r="24549">
      <c r="B24549" t="str">
        <v>UBND Ủy ban nhân dân xã Đức Bác  tỉnh Vĩnh Phúc</v>
      </c>
      <c r="C24549" t="str">
        <v>-</v>
      </c>
      <c r="D24549" t="str">
        <v>-</v>
      </c>
      <c r="E24549" t="str">
        <v>-</v>
      </c>
      <c r="F24549" t="str">
        <v>-</v>
      </c>
      <c r="G24549" t="str">
        <v>-</v>
      </c>
    </row>
    <row r="24550">
      <c r="B24550" t="str">
        <v>Công an xã Cao Minh  tỉnh Vĩnh Phúc</v>
      </c>
      <c r="C24550" t="str">
        <v>-</v>
      </c>
      <c r="D24550" t="str">
        <v>-</v>
      </c>
      <c r="E24550" t="str">
        <v/>
      </c>
      <c r="F24550" t="str">
        <v>-</v>
      </c>
      <c r="G24550" t="str">
        <v>-</v>
      </c>
    </row>
    <row r="24551">
      <c r="B24551" t="str">
        <v>UBND Ủy ban nhân dân xã Cao Minh  tỉnh Vĩnh Phúc</v>
      </c>
      <c r="C24551" t="str">
        <v>-</v>
      </c>
      <c r="D24551" t="str">
        <v>-</v>
      </c>
      <c r="E24551" t="str">
        <v>-</v>
      </c>
      <c r="F24551" t="str">
        <v>-</v>
      </c>
      <c r="G24551" t="str">
        <v>-</v>
      </c>
    </row>
    <row r="24552">
      <c r="B24552" t="str">
        <v>Công an xã Cao Phong  tỉnh Hòa Bình</v>
      </c>
      <c r="C24552" t="str">
        <v>-</v>
      </c>
      <c r="D24552" t="str">
        <v>-</v>
      </c>
      <c r="E24552" t="str">
        <v/>
      </c>
      <c r="F24552" t="str">
        <v>-</v>
      </c>
      <c r="G24552" t="str">
        <v>-</v>
      </c>
    </row>
    <row r="24553">
      <c r="B24553" t="str">
        <v>UBND Ủy ban nhân dân xã Cao Phong  tỉnh Hòa Bình</v>
      </c>
      <c r="C24553" t="str">
        <v>-</v>
      </c>
      <c r="D24553" t="str">
        <v>-</v>
      </c>
      <c r="E24553" t="str">
        <v>-</v>
      </c>
      <c r="F24553" t="str">
        <v>-</v>
      </c>
      <c r="G24553" t="str">
        <v>-</v>
      </c>
    </row>
    <row r="24554">
      <c r="B24554" t="str">
        <v>Công an xã Hương Sơn  tỉnh Hà Tĩnh</v>
      </c>
      <c r="C24554" t="str">
        <v>-</v>
      </c>
      <c r="D24554" t="str">
        <v>-</v>
      </c>
      <c r="E24554" t="str">
        <v/>
      </c>
      <c r="F24554" t="str">
        <v>-</v>
      </c>
      <c r="G24554" t="str">
        <v>-</v>
      </c>
    </row>
    <row r="24555">
      <c r="B24555" t="str">
        <v>UBND Ủy ban nhân dân xã Hương Sơn  tỉnh Hà Tĩnh</v>
      </c>
      <c r="C24555" t="str">
        <v>-</v>
      </c>
      <c r="D24555" t="str">
        <v>-</v>
      </c>
      <c r="E24555" t="str">
        <v>-</v>
      </c>
      <c r="F24555" t="str">
        <v>-</v>
      </c>
      <c r="G24555" t="str">
        <v>-</v>
      </c>
    </row>
    <row r="24556">
      <c r="B24556" t="str">
        <v>Công an xã Hải Lựu  tỉnh Vĩnh Phúc</v>
      </c>
      <c r="C24556" t="str">
        <v>-</v>
      </c>
      <c r="D24556" t="str">
        <v>-</v>
      </c>
      <c r="E24556" t="str">
        <v/>
      </c>
      <c r="F24556" t="str">
        <v>-</v>
      </c>
      <c r="G24556" t="str">
        <v>-</v>
      </c>
    </row>
    <row r="24557">
      <c r="B24557" t="str">
        <v>UBND Ủy ban nhân dân xã Hải Lựu  tỉnh Vĩnh Phúc</v>
      </c>
      <c r="C24557" t="str">
        <v>-</v>
      </c>
      <c r="D24557" t="str">
        <v>-</v>
      </c>
      <c r="E24557" t="str">
        <v>-</v>
      </c>
      <c r="F24557" t="str">
        <v>-</v>
      </c>
      <c r="G24557" t="str">
        <v>-</v>
      </c>
    </row>
    <row r="24558">
      <c r="B24558" t="str">
        <v>Công an xã Hồng Phương  tỉnh Vĩnh Phúc</v>
      </c>
      <c r="C24558" t="str">
        <v>-</v>
      </c>
      <c r="D24558" t="str">
        <v>-</v>
      </c>
      <c r="E24558" t="str">
        <v/>
      </c>
      <c r="F24558" t="str">
        <v>-</v>
      </c>
      <c r="G24558" t="str">
        <v>-</v>
      </c>
    </row>
    <row r="24559">
      <c r="B24559" t="str">
        <v>UBND Ủy ban nhân dân xã Hồng Phương  tỉnh Vĩnh Phúc</v>
      </c>
      <c r="C24559" t="str">
        <v>-</v>
      </c>
      <c r="D24559" t="str">
        <v>-</v>
      </c>
      <c r="E24559" t="str">
        <v>-</v>
      </c>
      <c r="F24559" t="str">
        <v>-</v>
      </c>
      <c r="G24559" t="str">
        <v>-</v>
      </c>
    </row>
    <row r="24560">
      <c r="B24560" t="str">
        <v>Công an xã Hồ Sơn  tỉnh Lạng Sơn</v>
      </c>
      <c r="C24560" t="str">
        <v>-</v>
      </c>
      <c r="D24560" t="str">
        <v>-</v>
      </c>
      <c r="E24560" t="str">
        <v/>
      </c>
      <c r="F24560" t="str">
        <v>-</v>
      </c>
      <c r="G24560" t="str">
        <v>-</v>
      </c>
    </row>
    <row r="24561">
      <c r="B24561" t="str">
        <v>UBND Ủy ban nhân dân xã Hồ Sơn  tỉnh Lạng Sơn</v>
      </c>
      <c r="C24561" t="str">
        <v>-</v>
      </c>
      <c r="D24561" t="str">
        <v>-</v>
      </c>
      <c r="E24561" t="str">
        <v>-</v>
      </c>
      <c r="F24561" t="str">
        <v>-</v>
      </c>
      <c r="G24561" t="str">
        <v>-</v>
      </c>
    </row>
    <row r="24562">
      <c r="B24562" t="str">
        <v>Công an xã Hợp Thịnh tỉnh Bắc Giang</v>
      </c>
      <c r="C24562" t="str">
        <v>-</v>
      </c>
      <c r="D24562" t="str">
        <v>-</v>
      </c>
      <c r="E24562" t="str">
        <v/>
      </c>
      <c r="F24562" t="str">
        <v>-</v>
      </c>
      <c r="G24562" t="str">
        <v>-</v>
      </c>
    </row>
    <row r="24563">
      <c r="B24563" t="str">
        <v>UBND Ủy ban nhân dân xã Hợp Thịnh tỉnh Bắc Giang</v>
      </c>
      <c r="C24563" t="str">
        <v>-</v>
      </c>
      <c r="D24563" t="str">
        <v>-</v>
      </c>
      <c r="E24563" t="str">
        <v>-</v>
      </c>
      <c r="F24563" t="str">
        <v>-</v>
      </c>
      <c r="G24563" t="str">
        <v>-</v>
      </c>
    </row>
    <row r="24564">
      <c r="B24564" t="str">
        <v>Công an xã Khao Mang  tỉnh Yên Bái</v>
      </c>
      <c r="C24564" t="str">
        <v>-</v>
      </c>
      <c r="D24564" t="str">
        <v>-</v>
      </c>
      <c r="E24564" t="str">
        <v/>
      </c>
      <c r="F24564" t="str">
        <v>-</v>
      </c>
      <c r="G24564" t="str">
        <v>-</v>
      </c>
    </row>
    <row r="24565">
      <c r="B24565" t="str">
        <v>UBND Ủy ban nhân dân xã Khao Mang  tỉnh Yên Bái</v>
      </c>
      <c r="C24565" t="str">
        <v>-</v>
      </c>
      <c r="D24565" t="str">
        <v>-</v>
      </c>
      <c r="E24565" t="str">
        <v>-</v>
      </c>
      <c r="F24565" t="str">
        <v>-</v>
      </c>
      <c r="G24565" t="str">
        <v>-</v>
      </c>
    </row>
    <row r="24566">
      <c r="B24566" t="str">
        <v>Công an thị trấn Kim Long  tỉnh Vĩnh Phúc</v>
      </c>
      <c r="C24566" t="str">
        <v>-</v>
      </c>
      <c r="D24566" t="str">
        <v>-</v>
      </c>
      <c r="E24566" t="str">
        <v/>
      </c>
      <c r="F24566" t="str">
        <v>-</v>
      </c>
      <c r="G24566" t="str">
        <v>-</v>
      </c>
    </row>
    <row r="24567">
      <c r="B24567" t="str">
        <v>UBND Ủy ban nhân dân thị trấn Kim Long  tỉnh Vĩnh Phúc</v>
      </c>
      <c r="C24567" t="str">
        <v>-</v>
      </c>
      <c r="D24567" t="str">
        <v>-</v>
      </c>
      <c r="E24567" t="str">
        <v>-</v>
      </c>
      <c r="F24567" t="str">
        <v>-</v>
      </c>
      <c r="G24567" t="str">
        <v>-</v>
      </c>
    </row>
    <row r="24568">
      <c r="B24568" t="str">
        <v>Công an xã Lộc An  tỉnh Đồng Nai</v>
      </c>
      <c r="C24568" t="str">
        <v>-</v>
      </c>
      <c r="D24568" t="str">
        <v>-</v>
      </c>
      <c r="E24568" t="str">
        <v/>
      </c>
      <c r="F24568" t="str">
        <v>-</v>
      </c>
      <c r="G24568" t="str">
        <v>-</v>
      </c>
    </row>
    <row r="24569">
      <c r="B24569" t="str">
        <v>UBND Ủy ban nhân dân xã Lộc An  tỉnh Đồng Nai</v>
      </c>
      <c r="C24569" t="str">
        <v>-</v>
      </c>
      <c r="D24569" t="str">
        <v>-</v>
      </c>
      <c r="E24569" t="str">
        <v>-</v>
      </c>
      <c r="F24569" t="str">
        <v>-</v>
      </c>
      <c r="G24569" t="str">
        <v>-</v>
      </c>
    </row>
    <row r="24570">
      <c r="B24570" t="str">
        <v>Công an xã Mỹ Phước  tỉnh Vĩnh Long</v>
      </c>
      <c r="C24570" t="str">
        <v>-</v>
      </c>
      <c r="D24570" t="str">
        <v>-</v>
      </c>
      <c r="E24570" t="str">
        <v/>
      </c>
      <c r="F24570" t="str">
        <v>-</v>
      </c>
      <c r="G24570" t="str">
        <v>-</v>
      </c>
    </row>
    <row r="24571">
      <c r="B24571" t="str">
        <v>UBND Ủy ban nhân dân xã Mỹ Phước  tỉnh Vĩnh Long</v>
      </c>
      <c r="C24571" t="str">
        <v>-</v>
      </c>
      <c r="D24571" t="str">
        <v>-</v>
      </c>
      <c r="E24571" t="str">
        <v>-</v>
      </c>
      <c r="F24571" t="str">
        <v>-</v>
      </c>
      <c r="G24571" t="str">
        <v>-</v>
      </c>
    </row>
    <row r="24572">
      <c r="B24572" t="str">
        <v>Công an xã Minh Đức  tỉnh Bình Phước</v>
      </c>
      <c r="C24572" t="str">
        <v>-</v>
      </c>
      <c r="D24572" t="str">
        <v>-</v>
      </c>
      <c r="E24572" t="str">
        <v/>
      </c>
      <c r="F24572" t="str">
        <v>-</v>
      </c>
      <c r="G24572" t="str">
        <v>-</v>
      </c>
    </row>
    <row r="24573">
      <c r="B24573" t="str">
        <v>UBND Ủy ban nhân dân xã Minh Đức  tỉnh Bình Phước</v>
      </c>
      <c r="C24573" t="str">
        <v>-</v>
      </c>
      <c r="D24573" t="str">
        <v>-</v>
      </c>
      <c r="E24573" t="str">
        <v>-</v>
      </c>
      <c r="F24573" t="str">
        <v>-</v>
      </c>
      <c r="G24573" t="str">
        <v>-</v>
      </c>
    </row>
    <row r="24574">
      <c r="B24574" t="str">
        <v>Công an xã Minh Quang tỉnh Vĩnh Phúc</v>
      </c>
      <c r="C24574" t="str">
        <v>-</v>
      </c>
      <c r="D24574" t="str">
        <v>-</v>
      </c>
      <c r="E24574" t="str">
        <v/>
      </c>
      <c r="F24574" t="str">
        <v>-</v>
      </c>
      <c r="G24574" t="str">
        <v>-</v>
      </c>
    </row>
    <row r="24575">
      <c r="B24575" t="str">
        <v>UBND Ủy ban nhân dân xã Minh Quang tỉnh Vĩnh Phúc</v>
      </c>
      <c r="C24575" t="str">
        <v>-</v>
      </c>
      <c r="D24575" t="str">
        <v>-</v>
      </c>
      <c r="E24575" t="str">
        <v>-</v>
      </c>
      <c r="F24575" t="str">
        <v>-</v>
      </c>
      <c r="G24575" t="str">
        <v>-</v>
      </c>
    </row>
    <row r="24576">
      <c r="B24576" t="str">
        <v>Công an xã Nhân Đạo tỉnh Đắk Nông</v>
      </c>
      <c r="C24576" t="str">
        <v>-</v>
      </c>
      <c r="D24576" t="str">
        <v>-</v>
      </c>
      <c r="E24576" t="str">
        <v/>
      </c>
      <c r="F24576" t="str">
        <v>-</v>
      </c>
      <c r="G24576" t="str">
        <v>-</v>
      </c>
    </row>
    <row r="24577">
      <c r="B24577" t="str">
        <v>UBND Ủy ban nhân dân xã Nhân Đạo tỉnh Đắk Nông</v>
      </c>
      <c r="C24577" t="str">
        <v>-</v>
      </c>
      <c r="D24577" t="str">
        <v>-</v>
      </c>
      <c r="E24577" t="str">
        <v>-</v>
      </c>
      <c r="F24577" t="str">
        <v>-</v>
      </c>
      <c r="G24577" t="str">
        <v>-</v>
      </c>
    </row>
    <row r="24578">
      <c r="B24578" t="str">
        <v>Công an xã Nhạo Sơn  tỉnh Vĩnh Phúc</v>
      </c>
      <c r="C24578" t="str">
        <v>-</v>
      </c>
      <c r="D24578" t="str">
        <v>-</v>
      </c>
      <c r="E24578" t="str">
        <v/>
      </c>
      <c r="F24578" t="str">
        <v>-</v>
      </c>
      <c r="G24578" t="str">
        <v>-</v>
      </c>
    </row>
    <row r="24579">
      <c r="B24579" t="str">
        <v>UBND Ủy ban nhân dân xã Nhạo Sơn  tỉnh Vĩnh Phúc</v>
      </c>
      <c r="C24579" t="str">
        <v>-</v>
      </c>
      <c r="D24579" t="str">
        <v>-</v>
      </c>
      <c r="E24579" t="str">
        <v>-</v>
      </c>
      <c r="F24579" t="str">
        <v>-</v>
      </c>
      <c r="G24579" t="str">
        <v>-</v>
      </c>
    </row>
    <row r="24580">
      <c r="B24580" t="str">
        <v>Công an xã Phương Khoan  tỉnh Vĩnh Phúc</v>
      </c>
      <c r="C24580" t="str">
        <v>-</v>
      </c>
      <c r="D24580" t="str">
        <v>-</v>
      </c>
      <c r="E24580" t="str">
        <v/>
      </c>
      <c r="F24580" t="str">
        <v>-</v>
      </c>
      <c r="G24580" t="str">
        <v>-</v>
      </c>
    </row>
    <row r="24581">
      <c r="B24581" t="str">
        <v>UBND Ủy ban nhân dân xã Phương Khoan  tỉnh Vĩnh Phúc</v>
      </c>
      <c r="C24581" t="str">
        <v>-</v>
      </c>
      <c r="D24581" t="str">
        <v>-</v>
      </c>
      <c r="E24581" t="str">
        <v>-</v>
      </c>
      <c r="F24581" t="str">
        <v>-</v>
      </c>
      <c r="G24581" t="str">
        <v>-</v>
      </c>
    </row>
    <row r="24582">
      <c r="B24582" t="str">
        <v>Công an xã Quang Yên  tỉnh Vĩnh Phúc</v>
      </c>
      <c r="C24582" t="str">
        <v>-</v>
      </c>
      <c r="D24582" t="str">
        <v>-</v>
      </c>
      <c r="E24582" t="str">
        <v/>
      </c>
      <c r="F24582" t="str">
        <v>-</v>
      </c>
      <c r="G24582" t="str">
        <v>-</v>
      </c>
    </row>
    <row r="24583">
      <c r="B24583" t="str">
        <v>UBND Ủy ban nhân dân xã Quang Yên  tỉnh Vĩnh Phúc</v>
      </c>
      <c r="C24583" t="str">
        <v>-</v>
      </c>
      <c r="D24583" t="str">
        <v>-</v>
      </c>
      <c r="E24583" t="str">
        <v>-</v>
      </c>
      <c r="F24583" t="str">
        <v>-</v>
      </c>
      <c r="G24583" t="str">
        <v>-</v>
      </c>
    </row>
    <row r="24584">
      <c r="B24584" t="str">
        <v>Công an xã Tân Lập tỉnh Vĩnh Phúc</v>
      </c>
      <c r="C24584" t="str">
        <v>-</v>
      </c>
      <c r="D24584" t="str">
        <v>-</v>
      </c>
      <c r="E24584" t="str">
        <v/>
      </c>
      <c r="F24584" t="str">
        <v>-</v>
      </c>
      <c r="G24584" t="str">
        <v>-</v>
      </c>
    </row>
    <row r="24585">
      <c r="B24585" t="str">
        <v>UBND Ủy ban nhân dân xã Tân Lập tỉnh Vĩnh Phúc</v>
      </c>
      <c r="C24585" t="str">
        <v>-</v>
      </c>
      <c r="D24585" t="str">
        <v>-</v>
      </c>
      <c r="E24585" t="str">
        <v>-</v>
      </c>
      <c r="F24585" t="str">
        <v>-</v>
      </c>
      <c r="G24585" t="str">
        <v>-</v>
      </c>
    </row>
    <row r="24586">
      <c r="B24586" t="str">
        <v>Công an xã Tề Lỗ  tỉnh Vĩnh Phúc</v>
      </c>
      <c r="C24586" t="str">
        <v>-</v>
      </c>
      <c r="D24586" t="str">
        <v>-</v>
      </c>
      <c r="E24586" t="str">
        <v/>
      </c>
      <c r="F24586" t="str">
        <v>-</v>
      </c>
      <c r="G24586" t="str">
        <v>-</v>
      </c>
    </row>
    <row r="24587">
      <c r="B24587" t="str">
        <v>UBND Ủy ban nhân dân xã Tề Lỗ  tỉnh Vĩnh Phúc</v>
      </c>
      <c r="C24587" t="str">
        <v>-</v>
      </c>
      <c r="D24587" t="str">
        <v>-</v>
      </c>
      <c r="E24587" t="str">
        <v>-</v>
      </c>
      <c r="F24587" t="str">
        <v>-</v>
      </c>
      <c r="G24587" t="str">
        <v>-</v>
      </c>
    </row>
    <row r="24588">
      <c r="B24588" t="str">
        <v>Công an xã Tam Quan  tỉnh Vĩnh Phúc</v>
      </c>
      <c r="C24588" t="str">
        <v>-</v>
      </c>
      <c r="D24588" t="str">
        <v>-</v>
      </c>
      <c r="E24588" t="str">
        <v/>
      </c>
      <c r="F24588" t="str">
        <v>-</v>
      </c>
      <c r="G24588" t="str">
        <v>-</v>
      </c>
    </row>
    <row r="24589">
      <c r="B24589" t="str">
        <v>UBND Ủy ban nhân dân xã Tam Quan  tỉnh Vĩnh Phúc</v>
      </c>
      <c r="C24589" t="str">
        <v>-</v>
      </c>
      <c r="D24589" t="str">
        <v>-</v>
      </c>
      <c r="E24589" t="str">
        <v>-</v>
      </c>
      <c r="F24589" t="str">
        <v>-</v>
      </c>
      <c r="G24589" t="str">
        <v>-</v>
      </c>
    </row>
    <row r="24590">
      <c r="B24590" t="str">
        <v>Công an xã Triệu Tài  tỉnh Quảng Trị</v>
      </c>
      <c r="C24590" t="str">
        <v>-</v>
      </c>
      <c r="D24590" t="str">
        <v>-</v>
      </c>
      <c r="E24590" t="str">
        <v/>
      </c>
      <c r="F24590" t="str">
        <v>-</v>
      </c>
      <c r="G24590" t="str">
        <v>-</v>
      </c>
    </row>
    <row r="24591">
      <c r="B24591" t="str">
        <v>UBND Ủy ban nhân dân xã Triệu Tài  tỉnh Quảng Trị</v>
      </c>
      <c r="C24591" t="str">
        <v>-</v>
      </c>
      <c r="D24591" t="str">
        <v>-</v>
      </c>
      <c r="E24591" t="str">
        <v>-</v>
      </c>
      <c r="F24591" t="str">
        <v>-</v>
      </c>
      <c r="G24591" t="str">
        <v>-</v>
      </c>
    </row>
    <row r="24592">
      <c r="B24592" t="str">
        <v>Công an xã Trung Kiên  tỉnh Vĩnh Phúc</v>
      </c>
      <c r="C24592" t="str">
        <v>-</v>
      </c>
      <c r="D24592" t="str">
        <v>-</v>
      </c>
      <c r="E24592" t="str">
        <v/>
      </c>
      <c r="F24592" t="str">
        <v>-</v>
      </c>
      <c r="G24592" t="str">
        <v>-</v>
      </c>
    </row>
    <row r="24593">
      <c r="B24593" t="str">
        <v>UBND Ủy ban nhân dân xã Trung Kiên  tỉnh Vĩnh Phúc</v>
      </c>
      <c r="C24593" t="str">
        <v>-</v>
      </c>
      <c r="D24593" t="str">
        <v>-</v>
      </c>
      <c r="E24593" t="str">
        <v>-</v>
      </c>
      <c r="F24593" t="str">
        <v>-</v>
      </c>
      <c r="G24593" t="str">
        <v>-</v>
      </c>
    </row>
    <row r="24594">
      <c r="B24594" t="str">
        <v>Công an xã Trung Mỹ  tỉnh Vĩnh Phúc</v>
      </c>
      <c r="C24594" t="str">
        <v>-</v>
      </c>
      <c r="D24594" t="str">
        <v>-</v>
      </c>
      <c r="E24594" t="str">
        <v/>
      </c>
      <c r="F24594" t="str">
        <v>-</v>
      </c>
      <c r="G24594" t="str">
        <v>-</v>
      </c>
    </row>
    <row r="24595">
      <c r="B24595" t="str">
        <v>UBND Ủy ban nhân dân xã Trung Mỹ  tỉnh Vĩnh Phúc</v>
      </c>
      <c r="C24595" t="str">
        <v>-</v>
      </c>
      <c r="D24595" t="str">
        <v>-</v>
      </c>
      <c r="E24595" t="str">
        <v>-</v>
      </c>
      <c r="F24595" t="str">
        <v>-</v>
      </c>
      <c r="G24595" t="str">
        <v>-</v>
      </c>
    </row>
    <row r="24596">
      <c r="B24596" t="str">
        <v>Công an xã Yên Dương tỉnh Vĩnh Phúc</v>
      </c>
      <c r="C24596" t="str">
        <v>-</v>
      </c>
      <c r="D24596" t="str">
        <v>-</v>
      </c>
      <c r="E24596" t="str">
        <v/>
      </c>
      <c r="F24596" t="str">
        <v>-</v>
      </c>
      <c r="G24596" t="str">
        <v>-</v>
      </c>
    </row>
    <row r="24597">
      <c r="B24597" t="str">
        <v>UBND Ủy ban nhân dân xã Yên Dương tỉnh Vĩnh Phúc</v>
      </c>
      <c r="C24597" t="str">
        <v>-</v>
      </c>
      <c r="D24597" t="str">
        <v>-</v>
      </c>
      <c r="E24597" t="str">
        <v>-</v>
      </c>
      <c r="F24597" t="str">
        <v>-</v>
      </c>
      <c r="G24597" t="str">
        <v>-</v>
      </c>
    </row>
    <row r="24598">
      <c r="B24598" t="str">
        <v>Công an xã Yên Thạch  tỉnh Vĩnh Phúc</v>
      </c>
      <c r="C24598" t="str">
        <v>-</v>
      </c>
      <c r="D24598" t="str">
        <v>-</v>
      </c>
      <c r="E24598" t="str">
        <v/>
      </c>
      <c r="F24598" t="str">
        <v>-</v>
      </c>
      <c r="G24598" t="str">
        <v>-</v>
      </c>
    </row>
    <row r="24599">
      <c r="B24599" t="str">
        <v>UBND Ủy ban nhân dân xã Yên Thạch  tỉnh Vĩnh Phúc</v>
      </c>
      <c r="C24599" t="str">
        <v>-</v>
      </c>
      <c r="D24599" t="str">
        <v>-</v>
      </c>
      <c r="E24599" t="str">
        <v>-</v>
      </c>
      <c r="F24599" t="str">
        <v>-</v>
      </c>
      <c r="G24599" t="str">
        <v>-</v>
      </c>
    </row>
    <row r="24600">
      <c r="B24600" t="str">
        <v>Công an phường Hương Vinh tỉnh THỪA THIÊN HUẾ</v>
      </c>
      <c r="C24600" t="str">
        <v>-</v>
      </c>
      <c r="D24600" t="str">
        <v>-</v>
      </c>
      <c r="E24600" t="str">
        <v/>
      </c>
      <c r="F24600" t="str">
        <v>-</v>
      </c>
      <c r="G24600" t="str">
        <v>-</v>
      </c>
    </row>
    <row r="24601">
      <c r="B24601" t="str">
        <v>UBND Ủy ban nhân dân phường Hương Vinh tỉnh THỪA THIÊN HUẾ</v>
      </c>
      <c r="C24601" t="str">
        <v>-</v>
      </c>
      <c r="D24601" t="str">
        <v>-</v>
      </c>
      <c r="E24601" t="str">
        <v>-</v>
      </c>
      <c r="F24601" t="str">
        <v>-</v>
      </c>
      <c r="G24601" t="str">
        <v>-</v>
      </c>
    </row>
    <row r="24602">
      <c r="B24602" t="str">
        <v>Công an xã Đồng Quế  tỉnh Vĩnh Phúc</v>
      </c>
      <c r="C24602" t="str">
        <v>-</v>
      </c>
      <c r="D24602" t="str">
        <v>-</v>
      </c>
      <c r="E24602" t="str">
        <v/>
      </c>
      <c r="F24602" t="str">
        <v>-</v>
      </c>
      <c r="G24602" t="str">
        <v>-</v>
      </c>
    </row>
    <row r="24603">
      <c r="B24603" t="str">
        <v>UBND Ủy ban nhân dân xã Đồng Quế  tỉnh Vĩnh Phúc</v>
      </c>
      <c r="C24603" t="str">
        <v>-</v>
      </c>
      <c r="D24603" t="str">
        <v>-</v>
      </c>
      <c r="E24603" t="str">
        <v>-</v>
      </c>
      <c r="F24603" t="str">
        <v>-</v>
      </c>
      <c r="G24603" t="str">
        <v>-</v>
      </c>
    </row>
    <row r="24604">
      <c r="B24604" t="str">
        <v>Công an huyện Vụ Bản  tỉnh Nam Định</v>
      </c>
      <c r="C24604" t="str">
        <v>-</v>
      </c>
      <c r="D24604" t="str">
        <v>-</v>
      </c>
      <c r="E24604" t="str">
        <v/>
      </c>
      <c r="F24604" t="str">
        <v>-</v>
      </c>
      <c r="G24604" t="str">
        <v>-</v>
      </c>
    </row>
    <row r="24605">
      <c r="B24605" t="str">
        <v>UBND Ủy ban nhân dân huyện Vụ Bản  tỉnh Nam Định</v>
      </c>
      <c r="C24605" t="str">
        <v>-</v>
      </c>
      <c r="D24605" t="str">
        <v>-</v>
      </c>
      <c r="E24605" t="str">
        <v>-</v>
      </c>
      <c r="F24605" t="str">
        <v>-</v>
      </c>
      <c r="G24605" t="str">
        <v>-</v>
      </c>
    </row>
    <row r="24606">
      <c r="B24606" t="str">
        <v>Công an xã Bình Châu  tỉnh Bà Rịa - Vũng Tàu</v>
      </c>
      <c r="C24606" t="str">
        <v>-</v>
      </c>
      <c r="D24606" t="str">
        <v>-</v>
      </c>
      <c r="E24606" t="str">
        <v/>
      </c>
      <c r="F24606" t="str">
        <v>-</v>
      </c>
      <c r="G24606" t="str">
        <v>-</v>
      </c>
    </row>
    <row r="24607">
      <c r="B24607" t="str">
        <v>UBND Ủy ban nhân dân xã Bình Châu  tỉnh Bà Rịa - Vũng Tàu</v>
      </c>
      <c r="C24607" t="str">
        <v>-</v>
      </c>
      <c r="D24607" t="str">
        <v>-</v>
      </c>
      <c r="E24607" t="str">
        <v>-</v>
      </c>
      <c r="F24607" t="str">
        <v>-</v>
      </c>
      <c r="G24607" t="str">
        <v>-</v>
      </c>
    </row>
    <row r="24608">
      <c r="B24608" t="str">
        <v>Công an xã Quang Trung  tỉnh Nam Định</v>
      </c>
      <c r="C24608" t="str">
        <v>-</v>
      </c>
      <c r="D24608" t="str">
        <v>-</v>
      </c>
      <c r="E24608" t="str">
        <v/>
      </c>
      <c r="F24608" t="str">
        <v>-</v>
      </c>
      <c r="G24608" t="str">
        <v>-</v>
      </c>
    </row>
    <row r="24609">
      <c r="B24609" t="str">
        <v>UBND Ủy ban nhân dân xã Quang Trung  tỉnh Nam Định</v>
      </c>
      <c r="C24609" t="str">
        <v>-</v>
      </c>
      <c r="D24609" t="str">
        <v>-</v>
      </c>
      <c r="E24609" t="str">
        <v>-</v>
      </c>
      <c r="F24609" t="str">
        <v>-</v>
      </c>
      <c r="G24609" t="str">
        <v>-</v>
      </c>
    </row>
    <row r="24610">
      <c r="B24610" t="str">
        <v>Công an xã Tân Thịnh tỉnh Yên Bái</v>
      </c>
      <c r="C24610" t="str">
        <v>-</v>
      </c>
      <c r="D24610" t="str">
        <v>-</v>
      </c>
      <c r="E24610" t="str">
        <v/>
      </c>
      <c r="F24610" t="str">
        <v>-</v>
      </c>
      <c r="G24610" t="str">
        <v>-</v>
      </c>
    </row>
    <row r="24611">
      <c r="B24611" t="str">
        <v>UBND Ủy ban nhân dân xã Tân Thịnh tỉnh Yên Bái</v>
      </c>
      <c r="C24611" t="str">
        <v>-</v>
      </c>
      <c r="D24611" t="str">
        <v>-</v>
      </c>
      <c r="E24611" t="str">
        <v>-</v>
      </c>
      <c r="F24611" t="str">
        <v>-</v>
      </c>
      <c r="G24611" t="str">
        <v>-</v>
      </c>
    </row>
    <row r="24612">
      <c r="B24612" t="str">
        <v>Công an tỉnh Nam Định  tỉnh Nam Định</v>
      </c>
      <c r="C24612" t="str">
        <v>-</v>
      </c>
      <c r="D24612" t="str">
        <v>-</v>
      </c>
      <c r="E24612" t="str">
        <v/>
      </c>
      <c r="F24612" t="str">
        <v>-</v>
      </c>
      <c r="G24612" t="str">
        <v>-</v>
      </c>
    </row>
    <row r="24613">
      <c r="B24613" t="str">
        <v>UBND Ủy ban nhân dân tỉnh Nam Định  tỉnh Nam Định</v>
      </c>
      <c r="C24613" t="str">
        <v>-</v>
      </c>
      <c r="D24613" t="str">
        <v>-</v>
      </c>
      <c r="E24613" t="str">
        <v>-</v>
      </c>
      <c r="F24613" t="str">
        <v>-</v>
      </c>
      <c r="G24613" t="str">
        <v>-</v>
      </c>
    </row>
    <row r="24614" xml:space="preserve">
      <c r="B24614" t="str" xml:space="preserve">
        <v xml:space="preserve">Công an xã Yên Khang_x000d_
 tỉnh Nam Định</v>
      </c>
      <c r="C24614" t="str">
        <v>-</v>
      </c>
      <c r="D24614" t="str">
        <v>-</v>
      </c>
      <c r="E24614" t="str">
        <v/>
      </c>
      <c r="F24614" t="str">
        <v>-</v>
      </c>
      <c r="G24614" t="str">
        <v>-</v>
      </c>
    </row>
    <row r="24615" xml:space="preserve">
      <c r="B24615" t="str" xml:space="preserve">
        <v xml:space="preserve">UBND Ủy ban nhân dân xã Yên Khang_x000d_
 tỉnh Nam Định</v>
      </c>
      <c r="C24615" t="str">
        <v>-</v>
      </c>
      <c r="D24615" t="str">
        <v>-</v>
      </c>
      <c r="E24615" t="str">
        <v>-</v>
      </c>
      <c r="F24615" t="str">
        <v>-</v>
      </c>
      <c r="G24615" t="str">
        <v>-</v>
      </c>
    </row>
    <row r="24616">
      <c r="B24616" t="str">
        <v>Công an tỉnh Bạc Liêu  tỉnh Bạc Liêu</v>
      </c>
      <c r="C24616" t="str">
        <v>-</v>
      </c>
      <c r="D24616" t="str">
        <v>-</v>
      </c>
      <c r="E24616" t="str">
        <v/>
      </c>
      <c r="F24616" t="str">
        <v>-</v>
      </c>
      <c r="G24616" t="str">
        <v>-</v>
      </c>
    </row>
    <row r="24617">
      <c r="B24617" t="str">
        <v>UBND Ủy ban nhân dân tỉnh Bạc Liêu  tỉnh Bạc Liêu</v>
      </c>
      <c r="C24617" t="str">
        <v>-</v>
      </c>
      <c r="D24617" t="str">
        <v>-</v>
      </c>
      <c r="E24617" t="str">
        <v>-</v>
      </c>
      <c r="F24617" t="str">
        <v>-</v>
      </c>
      <c r="G24617" t="str">
        <v>-</v>
      </c>
    </row>
    <row r="24618" xml:space="preserve">
      <c r="B24618" t="str" xml:space="preserve">
        <v xml:space="preserve">Công an thành phố Hải Phòng _x000d_
 thành phố Hải Phòng</v>
      </c>
      <c r="C24618" t="str">
        <v>-</v>
      </c>
      <c r="D24618" t="str">
        <v>-</v>
      </c>
      <c r="E24618" t="str">
        <v/>
      </c>
      <c r="F24618" t="str">
        <v>-</v>
      </c>
      <c r="G24618" t="str">
        <v>-</v>
      </c>
    </row>
    <row r="24619" xml:space="preserve">
      <c r="B24619" t="str" xml:space="preserve">
        <v xml:space="preserve">UBND Ủy ban nhân dân thành phố Hải Phòng _x000d_
 thành phố Hải Phòng</v>
      </c>
      <c r="C24619" t="str">
        <v>-</v>
      </c>
      <c r="D24619" t="str">
        <v>-</v>
      </c>
      <c r="E24619" t="str">
        <v>-</v>
      </c>
      <c r="F24619" t="str">
        <v>-</v>
      </c>
      <c r="G24619" t="str">
        <v>-</v>
      </c>
    </row>
    <row r="24620" xml:space="preserve">
      <c r="B24620" t="str" xml:space="preserve">
        <v xml:space="preserve">Công an quận 5 _x000d_
 thành phố Hồ Chí Minh</v>
      </c>
      <c r="C24620" t="str">
        <v>-</v>
      </c>
      <c r="D24620" t="str">
        <v>-</v>
      </c>
      <c r="E24620" t="str">
        <v/>
      </c>
      <c r="F24620" t="str">
        <v>-</v>
      </c>
      <c r="G24620" t="str">
        <v>-</v>
      </c>
    </row>
    <row r="24621" xml:space="preserve">
      <c r="B24621" t="str" xml:space="preserve">
        <v xml:space="preserve">UBND Ủy ban nhân dân quận 5 _x000d_
 thành phố Hồ Chí Minh</v>
      </c>
      <c r="C24621" t="str">
        <v>-</v>
      </c>
      <c r="D24621" t="str">
        <v>-</v>
      </c>
      <c r="E24621" t="str">
        <v>-</v>
      </c>
      <c r="F24621" t="str">
        <v>-</v>
      </c>
      <c r="G24621" t="str">
        <v>-</v>
      </c>
    </row>
    <row r="24622">
      <c r="B24622" t="str">
        <v>Công an tỉnh Đắk Nông  tỉnh Đắk Nông</v>
      </c>
      <c r="C24622" t="str">
        <v>-</v>
      </c>
      <c r="D24622" t="str">
        <v>-</v>
      </c>
      <c r="E24622" t="str">
        <v/>
      </c>
      <c r="F24622" t="str">
        <v>-</v>
      </c>
      <c r="G24622" t="str">
        <v>-</v>
      </c>
    </row>
    <row r="24623">
      <c r="B24623" t="str">
        <v>UBND Ủy ban nhân dân tỉnh Đắk Nông  tỉnh Đắk Nông</v>
      </c>
      <c r="C24623" t="str">
        <v>-</v>
      </c>
      <c r="D24623" t="str">
        <v>-</v>
      </c>
      <c r="E24623" t="str">
        <v>-</v>
      </c>
      <c r="F24623" t="str">
        <v>-</v>
      </c>
      <c r="G24623" t="str">
        <v>-</v>
      </c>
    </row>
    <row r="24624">
      <c r="B24624" t="str">
        <v>Công an xã Bạch Lưu  tỉnh Vĩnh Phúc</v>
      </c>
      <c r="C24624" t="str">
        <v>-</v>
      </c>
      <c r="D24624" t="str">
        <v>-</v>
      </c>
      <c r="E24624" t="str">
        <v/>
      </c>
      <c r="F24624" t="str">
        <v>-</v>
      </c>
      <c r="G24624" t="str">
        <v>-</v>
      </c>
    </row>
    <row r="24625">
      <c r="B24625" t="str">
        <v>UBND Ủy ban nhân dân xã Bạch Lưu  tỉnh Vĩnh Phúc</v>
      </c>
      <c r="C24625" t="str">
        <v>-</v>
      </c>
      <c r="D24625" t="str">
        <v>-</v>
      </c>
      <c r="E24625" t="str">
        <v>-</v>
      </c>
      <c r="F24625" t="str">
        <v>-</v>
      </c>
      <c r="G24625" t="str">
        <v>-</v>
      </c>
    </row>
    <row r="24626">
      <c r="B24626" t="str">
        <v>Công an thị trấn Đại Đình  tỉnh Vĩnh Phúc</v>
      </c>
      <c r="C24626" t="str">
        <v>-</v>
      </c>
      <c r="D24626" t="str">
        <v>-</v>
      </c>
      <c r="E24626" t="str">
        <v/>
      </c>
      <c r="F24626" t="str">
        <v>-</v>
      </c>
      <c r="G24626" t="str">
        <v>-</v>
      </c>
    </row>
    <row r="24627">
      <c r="B24627" t="str">
        <v>UBND Ủy ban nhân dân thị trấn Đại Đình  tỉnh Vĩnh Phúc</v>
      </c>
      <c r="C24627" t="str">
        <v>-</v>
      </c>
      <c r="D24627" t="str">
        <v>-</v>
      </c>
      <c r="E24627" t="str">
        <v>-</v>
      </c>
      <c r="F24627" t="str">
        <v>-</v>
      </c>
      <c r="G24627" t="str">
        <v>-</v>
      </c>
    </row>
    <row r="24628">
      <c r="B24628" t="str">
        <v>Công an xã Hương Phong tỉnh THỪA THIÊN HUẾ</v>
      </c>
      <c r="C24628" t="str">
        <v>-</v>
      </c>
      <c r="D24628" t="str">
        <v>-</v>
      </c>
      <c r="E24628" t="str">
        <v/>
      </c>
      <c r="F24628" t="str">
        <v>-</v>
      </c>
      <c r="G24628" t="str">
        <v>-</v>
      </c>
    </row>
    <row r="24629">
      <c r="B24629" t="str">
        <v>UBND Ủy ban nhân dân xã Hương Phong tỉnh THỪA THIÊN HUẾ</v>
      </c>
      <c r="C24629" t="str">
        <v>-</v>
      </c>
      <c r="D24629" t="str">
        <v>-</v>
      </c>
      <c r="E24629" t="str">
        <v>-</v>
      </c>
      <c r="F24629" t="str">
        <v>-</v>
      </c>
      <c r="G24629" t="str">
        <v>-</v>
      </c>
    </row>
    <row r="24630">
      <c r="B24630" t="str">
        <v>Công an xã Long Thành  tỉnh Đồng Nai</v>
      </c>
      <c r="C24630" t="str">
        <v>-</v>
      </c>
      <c r="D24630" t="str">
        <v>-</v>
      </c>
      <c r="E24630" t="str">
        <v/>
      </c>
      <c r="F24630" t="str">
        <v>-</v>
      </c>
      <c r="G24630" t="str">
        <v>-</v>
      </c>
    </row>
    <row r="24631">
      <c r="B24631" t="str">
        <v>UBND Ủy ban nhân dân xã Long Thành  tỉnh Đồng Nai</v>
      </c>
      <c r="C24631" t="str">
        <v>-</v>
      </c>
      <c r="D24631" t="str">
        <v>-</v>
      </c>
      <c r="E24631" t="str">
        <v>-</v>
      </c>
      <c r="F24631" t="str">
        <v>-</v>
      </c>
      <c r="G24631" t="str">
        <v>-</v>
      </c>
    </row>
    <row r="24632">
      <c r="B24632" t="str">
        <v>Công an xã Ia Rtô  tỉnh Gia Lai</v>
      </c>
      <c r="C24632" t="str">
        <v>-</v>
      </c>
      <c r="D24632" t="str">
        <v>-</v>
      </c>
      <c r="E24632" t="str">
        <v/>
      </c>
      <c r="F24632" t="str">
        <v>-</v>
      </c>
      <c r="G24632" t="str">
        <v>-</v>
      </c>
    </row>
    <row r="24633">
      <c r="B24633" t="str">
        <v>UBND Ủy ban nhân dân xã Ia Rtô  tỉnh Gia Lai</v>
      </c>
      <c r="C24633" t="str">
        <v>-</v>
      </c>
      <c r="D24633" t="str">
        <v>-</v>
      </c>
      <c r="E24633" t="str">
        <v>-</v>
      </c>
      <c r="F24633" t="str">
        <v>-</v>
      </c>
      <c r="G24633" t="str">
        <v>-</v>
      </c>
    </row>
    <row r="24634">
      <c r="B24634" t="str">
        <v>Công an thị xã Ayun Pa  tỉnh Gia Lai</v>
      </c>
      <c r="C24634" t="str">
        <v>-</v>
      </c>
      <c r="D24634" t="str">
        <v>-</v>
      </c>
      <c r="E24634" t="str">
        <v/>
      </c>
      <c r="F24634" t="str">
        <v>-</v>
      </c>
      <c r="G24634" t="str">
        <v>-</v>
      </c>
    </row>
    <row r="24635">
      <c r="B24635" t="str">
        <v>UBND Ủy ban nhân dân thị xã Ayun Pa  tỉnh Gia Lai</v>
      </c>
      <c r="C24635" t="str">
        <v>-</v>
      </c>
      <c r="D24635" t="str">
        <v>-</v>
      </c>
      <c r="E24635" t="str">
        <v>-</v>
      </c>
      <c r="F24635" t="str">
        <v>-</v>
      </c>
      <c r="G24635" t="str">
        <v>-</v>
      </c>
    </row>
    <row r="24636">
      <c r="B24636" t="str">
        <v>Công an xã Phú Hội  tỉnh Lâm Đồng</v>
      </c>
      <c r="C24636" t="str">
        <v>-</v>
      </c>
      <c r="D24636" t="str">
        <v>-</v>
      </c>
      <c r="E24636" t="str">
        <v/>
      </c>
      <c r="F24636" t="str">
        <v>-</v>
      </c>
      <c r="G24636" t="str">
        <v>-</v>
      </c>
    </row>
    <row r="24637">
      <c r="B24637" t="str">
        <v>UBND Ủy ban nhân dân xã Phú Hội  tỉnh Lâm Đồng</v>
      </c>
      <c r="C24637" t="str">
        <v>-</v>
      </c>
      <c r="D24637" t="str">
        <v>-</v>
      </c>
      <c r="E24637" t="str">
        <v>-</v>
      </c>
      <c r="F24637" t="str">
        <v>-</v>
      </c>
      <c r="G24637" t="str">
        <v>-</v>
      </c>
    </row>
    <row r="24638">
      <c r="B24638" t="str">
        <v>Công an xã Vĩnh Trinh  thành phố Cần Thơ</v>
      </c>
      <c r="C24638" t="str">
        <v>-</v>
      </c>
      <c r="D24638" t="str">
        <v>-</v>
      </c>
      <c r="E24638" t="str">
        <v/>
      </c>
      <c r="F24638" t="str">
        <v>-</v>
      </c>
      <c r="G24638" t="str">
        <v>-</v>
      </c>
    </row>
    <row r="24639">
      <c r="B24639" t="str">
        <v>UBND Ủy ban nhân dân xã Vĩnh Trinh  thành phố Cần Thơ</v>
      </c>
      <c r="C24639" t="str">
        <v>-</v>
      </c>
      <c r="D24639" t="str">
        <v>-</v>
      </c>
      <c r="E24639" t="str">
        <v>-</v>
      </c>
      <c r="F24639" t="str">
        <v>-</v>
      </c>
      <c r="G24639" t="str">
        <v>-</v>
      </c>
    </row>
    <row r="24640">
      <c r="B24640" t="str">
        <v>Công an xã Chế Cu Nha  tỉnh Yên Bái</v>
      </c>
      <c r="C24640" t="str">
        <v>-</v>
      </c>
      <c r="D24640" t="str">
        <v>-</v>
      </c>
      <c r="E24640" t="str">
        <v/>
      </c>
      <c r="F24640" t="str">
        <v>-</v>
      </c>
      <c r="G24640" t="str">
        <v>-</v>
      </c>
    </row>
    <row r="24641">
      <c r="B24641" t="str">
        <v>UBND Ủy ban nhân dân xã Chế Cu Nha  tỉnh Yên Bái</v>
      </c>
      <c r="C24641" t="str">
        <v>-</v>
      </c>
      <c r="D24641" t="str">
        <v>-</v>
      </c>
      <c r="E24641" t="str">
        <v>-</v>
      </c>
      <c r="F24641" t="str">
        <v>-</v>
      </c>
      <c r="G24641" t="str">
        <v>-</v>
      </c>
    </row>
    <row r="24642">
      <c r="B24642" t="str">
        <v>Công an huyện Cù Lao Dung  tỉnh Sóc Trăng</v>
      </c>
      <c r="C24642" t="str">
        <v>-</v>
      </c>
      <c r="D24642" t="str">
        <v>-</v>
      </c>
      <c r="E24642" t="str">
        <v/>
      </c>
      <c r="F24642" t="str">
        <v>-</v>
      </c>
      <c r="G24642" t="str">
        <v>-</v>
      </c>
    </row>
    <row r="24643">
      <c r="B24643" t="str">
        <v>UBND Ủy ban nhân dân huyện Cù Lao Dung  tỉnh Sóc Trăng</v>
      </c>
      <c r="C24643" t="str">
        <v>-</v>
      </c>
      <c r="D24643" t="str">
        <v>-</v>
      </c>
      <c r="E24643" t="str">
        <v>-</v>
      </c>
      <c r="F24643" t="str">
        <v>-</v>
      </c>
      <c r="G24643" t="str">
        <v>-</v>
      </c>
    </row>
    <row r="24644">
      <c r="B24644" t="str">
        <v>Công an xã Đạo Trù tỉnh Vĩnh Phúc</v>
      </c>
      <c r="C24644" t="str">
        <v>-</v>
      </c>
      <c r="D24644" t="str">
        <v>-</v>
      </c>
      <c r="E24644" t="str">
        <v/>
      </c>
      <c r="F24644" t="str">
        <v>-</v>
      </c>
      <c r="G24644" t="str">
        <v>-</v>
      </c>
    </row>
    <row r="24645">
      <c r="B24645" t="str">
        <v>UBND Ủy ban nhân dân xã Đạo Trù tỉnh Vĩnh Phúc</v>
      </c>
      <c r="C24645" t="str">
        <v>-</v>
      </c>
      <c r="D24645" t="str">
        <v>-</v>
      </c>
      <c r="E24645" t="str">
        <v>-</v>
      </c>
      <c r="F24645" t="str">
        <v>-</v>
      </c>
      <c r="G24645" t="str">
        <v>-</v>
      </c>
    </row>
    <row r="24646">
      <c r="B24646" t="str">
        <v>Công an xã Điền Lộc  tỉnh THỪA THIÊN HUẾ</v>
      </c>
      <c r="C24646" t="str">
        <v>-</v>
      </c>
      <c r="D24646" t="str">
        <v>-</v>
      </c>
      <c r="E24646" t="str">
        <v/>
      </c>
      <c r="F24646" t="str">
        <v>-</v>
      </c>
      <c r="G24646" t="str">
        <v>-</v>
      </c>
    </row>
    <row r="24647">
      <c r="B24647" t="str">
        <v>UBND Ủy ban nhân dân xã Điền Lộc  tỉnh THỪA THIÊN HUẾ</v>
      </c>
      <c r="C24647" t="str">
        <v>-</v>
      </c>
      <c r="D24647" t="str">
        <v>-</v>
      </c>
      <c r="E24647" t="str">
        <v>-</v>
      </c>
      <c r="F24647" t="str">
        <v>-</v>
      </c>
      <c r="G24647" t="str">
        <v>-</v>
      </c>
    </row>
    <row r="24648">
      <c r="B24648" t="str">
        <v>Công an xã Gio Châu tỉnh Quảng Trị</v>
      </c>
      <c r="C24648" t="str">
        <v>-</v>
      </c>
      <c r="D24648" t="str">
        <v>-</v>
      </c>
      <c r="E24648" t="str">
        <v/>
      </c>
      <c r="F24648" t="str">
        <v>-</v>
      </c>
      <c r="G24648" t="str">
        <v>-</v>
      </c>
    </row>
    <row r="24649">
      <c r="B24649" t="str">
        <v>UBND Ủy ban nhân dân xã Gio Châu tỉnh Quảng Trị</v>
      </c>
      <c r="C24649" t="str">
        <v>-</v>
      </c>
      <c r="D24649" t="str">
        <v>-</v>
      </c>
      <c r="E24649" t="str">
        <v>-</v>
      </c>
      <c r="F24649" t="str">
        <v>-</v>
      </c>
      <c r="G24649" t="str">
        <v>-</v>
      </c>
    </row>
    <row r="24650">
      <c r="B24650" t="str">
        <v>Công an xã Hải Quy thành phố Hải Phòng</v>
      </c>
      <c r="C24650" t="str">
        <v>-</v>
      </c>
      <c r="D24650" t="str">
        <v>-</v>
      </c>
      <c r="E24650" t="str">
        <v/>
      </c>
      <c r="F24650" t="str">
        <v>-</v>
      </c>
      <c r="G24650" t="str">
        <v>-</v>
      </c>
    </row>
    <row r="24651">
      <c r="B24651" t="str">
        <v>UBND Ủy ban nhân dân xã Hải Quy thành phố Hải Phòng</v>
      </c>
      <c r="C24651" t="str">
        <v>-</v>
      </c>
      <c r="D24651" t="str">
        <v>-</v>
      </c>
      <c r="E24651" t="str">
        <v>-</v>
      </c>
      <c r="F24651" t="str">
        <v>-</v>
      </c>
      <c r="G24651" t="str">
        <v>-</v>
      </c>
    </row>
    <row r="24652">
      <c r="B24652" t="str">
        <v>Công an tỉnh Hà Tĩnh  tỉnh Hà Tĩnh</v>
      </c>
      <c r="C24652" t="str">
        <v>-</v>
      </c>
      <c r="D24652" t="str">
        <v>-</v>
      </c>
      <c r="E24652" t="str">
        <v/>
      </c>
      <c r="F24652" t="str">
        <v>-</v>
      </c>
      <c r="G24652" t="str">
        <v>-</v>
      </c>
    </row>
    <row r="24653">
      <c r="B24653" t="str">
        <v>UBND Ủy ban nhân dân tỉnh Hà Tĩnh  tỉnh Hà Tĩnh</v>
      </c>
      <c r="C24653" t="str">
        <v>-</v>
      </c>
      <c r="D24653" t="str">
        <v>-</v>
      </c>
      <c r="E24653" t="str">
        <v>-</v>
      </c>
      <c r="F24653" t="str">
        <v>-</v>
      </c>
      <c r="G24653" t="str">
        <v>-</v>
      </c>
    </row>
    <row r="24654">
      <c r="B24654" t="str">
        <v>Công an huyện Hoài Nhơn  tỉnh Bình Định</v>
      </c>
      <c r="C24654" t="str">
        <v>-</v>
      </c>
      <c r="D24654" t="str">
        <v>-</v>
      </c>
      <c r="E24654" t="str">
        <v/>
      </c>
      <c r="F24654" t="str">
        <v>-</v>
      </c>
      <c r="G24654" t="str">
        <v>-</v>
      </c>
    </row>
    <row r="24655">
      <c r="B24655" t="str">
        <v>UBND Ủy ban nhân dân huyện Hoài Nhơn  tỉnh Bình Định</v>
      </c>
      <c r="C24655" t="str">
        <v>-</v>
      </c>
      <c r="D24655" t="str">
        <v>-</v>
      </c>
      <c r="E24655" t="str">
        <v>-</v>
      </c>
      <c r="F24655" t="str">
        <v>-</v>
      </c>
      <c r="G24655" t="str">
        <v>-</v>
      </c>
    </row>
    <row r="24656">
      <c r="B24656" t="str">
        <v>Công an huyện Thạnh Trị  tỉnh Sóc Trăng</v>
      </c>
      <c r="C24656" t="str">
        <v>-</v>
      </c>
      <c r="D24656" t="str">
        <v>-</v>
      </c>
      <c r="E24656" t="str">
        <v/>
      </c>
      <c r="F24656" t="str">
        <v>-</v>
      </c>
      <c r="G24656" t="str">
        <v>-</v>
      </c>
    </row>
    <row r="24657">
      <c r="B24657" t="str">
        <v>UBND Ủy ban nhân dân huyện Thạnh Trị  tỉnh Sóc Trăng</v>
      </c>
      <c r="C24657" t="str">
        <v>-</v>
      </c>
      <c r="D24657" t="str">
        <v>-</v>
      </c>
      <c r="E24657" t="str">
        <v>-</v>
      </c>
      <c r="F24657" t="str">
        <v>-</v>
      </c>
      <c r="G24657" t="str">
        <v>-</v>
      </c>
    </row>
    <row r="24658">
      <c r="B24658" t="str">
        <v>Công an huyện Trần Đề  tỉnh Sóc Trăng</v>
      </c>
      <c r="C24658" t="str">
        <v>-</v>
      </c>
      <c r="D24658" t="str">
        <v>-</v>
      </c>
      <c r="E24658" t="str">
        <v/>
      </c>
      <c r="F24658" t="str">
        <v>-</v>
      </c>
      <c r="G24658" t="str">
        <v>-</v>
      </c>
    </row>
    <row r="24659">
      <c r="B24659" t="str">
        <v>UBND Ủy ban nhân dân huyện Trần Đề  tỉnh Sóc Trăng</v>
      </c>
      <c r="C24659" t="str">
        <v>-</v>
      </c>
      <c r="D24659" t="str">
        <v>-</v>
      </c>
      <c r="E24659" t="str">
        <v>-</v>
      </c>
      <c r="F24659" t="str">
        <v>-</v>
      </c>
      <c r="G24659" t="str">
        <v>-</v>
      </c>
    </row>
    <row r="24660">
      <c r="B24660" t="str">
        <v>Công an huyện Phong Điền thành phố Cần Thơ</v>
      </c>
      <c r="C24660" t="str">
        <v>-</v>
      </c>
      <c r="D24660" t="str">
        <v>-</v>
      </c>
      <c r="E24660" t="str">
        <v/>
      </c>
      <c r="F24660" t="str">
        <v>-</v>
      </c>
      <c r="G24660" t="str">
        <v>-</v>
      </c>
    </row>
    <row r="24661">
      <c r="B24661" t="str">
        <v>UBND Ủy ban nhân dân huyện Phong Điền thành phố Cần Thơ</v>
      </c>
      <c r="C24661" t="str">
        <v>-</v>
      </c>
      <c r="D24661" t="str">
        <v>-</v>
      </c>
      <c r="E24661" t="str">
        <v>-</v>
      </c>
      <c r="F24661" t="str">
        <v>-</v>
      </c>
      <c r="G24661" t="str">
        <v>-</v>
      </c>
    </row>
    <row r="24662">
      <c r="B24662" t="str">
        <v>Công an huyện Sông Lô  tỉnh Vĩnh Phúc</v>
      </c>
      <c r="C24662" t="str">
        <v>-</v>
      </c>
      <c r="D24662" t="str">
        <v>-</v>
      </c>
      <c r="E24662" t="str">
        <v/>
      </c>
      <c r="F24662" t="str">
        <v>-</v>
      </c>
      <c r="G24662" t="str">
        <v>-</v>
      </c>
    </row>
    <row r="24663">
      <c r="B24663" t="str">
        <v>UBND Ủy ban nhân dân huyện Sông Lô  tỉnh Vĩnh Phúc</v>
      </c>
      <c r="C24663" t="str">
        <v>-</v>
      </c>
      <c r="D24663" t="str">
        <v>-</v>
      </c>
      <c r="E24663" t="str">
        <v>-</v>
      </c>
      <c r="F24663" t="str">
        <v>-</v>
      </c>
      <c r="G24663" t="str">
        <v>-</v>
      </c>
    </row>
    <row r="24664">
      <c r="B24664" t="str">
        <v>Công an huyện Tam Đảo  tỉnh Vĩnh Phúc</v>
      </c>
      <c r="C24664" t="str">
        <v>-</v>
      </c>
      <c r="D24664" t="str">
        <v>-</v>
      </c>
      <c r="E24664" t="str">
        <v/>
      </c>
      <c r="F24664" t="str">
        <v>-</v>
      </c>
      <c r="G24664" t="str">
        <v>-</v>
      </c>
    </row>
    <row r="24665">
      <c r="B24665" t="str">
        <v>UBND Ủy ban nhân dân huyện Tam Đảo  tỉnh Vĩnh Phúc</v>
      </c>
      <c r="C24665" t="str">
        <v>-</v>
      </c>
      <c r="D24665" t="str">
        <v>-</v>
      </c>
      <c r="E24665" t="str">
        <v>-</v>
      </c>
      <c r="F24665" t="str">
        <v>-</v>
      </c>
      <c r="G24665" t="str">
        <v>-</v>
      </c>
    </row>
    <row r="24666">
      <c r="B24666" t="str">
        <v>Công an huyện Vĩnh Tường  tỉnh Vĩnh Phúc</v>
      </c>
      <c r="C24666" t="str">
        <v>-</v>
      </c>
      <c r="D24666" t="str">
        <v>-</v>
      </c>
      <c r="E24666" t="str">
        <v/>
      </c>
      <c r="F24666" t="str">
        <v>-</v>
      </c>
      <c r="G24666" t="str">
        <v>-</v>
      </c>
    </row>
    <row r="24667">
      <c r="B24667" t="str">
        <v>UBND Ủy ban nhân dân huyện Vĩnh Tường  tỉnh Vĩnh Phúc</v>
      </c>
      <c r="C24667" t="str">
        <v>-</v>
      </c>
      <c r="D24667" t="str">
        <v>-</v>
      </c>
      <c r="E24667" t="str">
        <v>-</v>
      </c>
      <c r="F24667" t="str">
        <v>-</v>
      </c>
      <c r="G24667" t="str">
        <v>-</v>
      </c>
    </row>
    <row r="24668">
      <c r="B24668" t="str">
        <v>Công an xã Kế Thành tỉnh Sóc Trăng</v>
      </c>
      <c r="C24668" t="str">
        <v>-</v>
      </c>
      <c r="D24668" t="str">
        <v>-</v>
      </c>
      <c r="E24668" t="str">
        <v/>
      </c>
      <c r="F24668" t="str">
        <v>-</v>
      </c>
      <c r="G24668" t="str">
        <v>-</v>
      </c>
    </row>
    <row r="24669">
      <c r="B24669" t="str">
        <v>UBND Ủy ban nhân dân xã Kế Thành tỉnh Sóc Trăng</v>
      </c>
      <c r="C24669" t="str">
        <v>-</v>
      </c>
      <c r="D24669" t="str">
        <v>-</v>
      </c>
      <c r="E24669" t="str">
        <v>-</v>
      </c>
      <c r="F24669" t="str">
        <v>-</v>
      </c>
      <c r="G24669" t="str">
        <v>-</v>
      </c>
    </row>
    <row r="24670">
      <c r="B24670" t="str">
        <v>Công an phường Khai Quang  tỉnh Vĩnh Phúc</v>
      </c>
      <c r="C24670" t="str">
        <v>-</v>
      </c>
      <c r="D24670" t="str">
        <v>-</v>
      </c>
      <c r="E24670" t="str">
        <v/>
      </c>
      <c r="F24670" t="str">
        <v>-</v>
      </c>
      <c r="G24670" t="str">
        <v>-</v>
      </c>
    </row>
    <row r="24671">
      <c r="B24671" t="str">
        <v>UBND Ủy ban nhân dân phường Khai Quang  tỉnh Vĩnh Phúc</v>
      </c>
      <c r="C24671" t="str">
        <v>-</v>
      </c>
      <c r="D24671" t="str">
        <v>-</v>
      </c>
      <c r="E24671" t="str">
        <v>-</v>
      </c>
      <c r="F24671" t="str">
        <v>-</v>
      </c>
      <c r="G24671" t="str">
        <v>-</v>
      </c>
    </row>
    <row r="24672">
      <c r="B24672" t="str">
        <v>Công an xã Làng Nhì tỉnh Yên Bái</v>
      </c>
      <c r="C24672" t="str">
        <v>-</v>
      </c>
      <c r="D24672" t="str">
        <v>-</v>
      </c>
      <c r="E24672" t="str">
        <v/>
      </c>
      <c r="F24672" t="str">
        <v>-</v>
      </c>
      <c r="G24672" t="str">
        <v>-</v>
      </c>
    </row>
    <row r="24673">
      <c r="B24673" t="str">
        <v>UBND Ủy ban nhân dân xã Làng Nhì tỉnh Yên Bái</v>
      </c>
      <c r="C24673" t="str">
        <v>-</v>
      </c>
      <c r="D24673" t="str">
        <v>-</v>
      </c>
      <c r="E24673" t="str">
        <v>-</v>
      </c>
      <c r="F24673" t="str">
        <v>-</v>
      </c>
      <c r="G24673" t="str">
        <v>-</v>
      </c>
    </row>
    <row r="24674">
      <c r="B24674" t="str">
        <v>Công an xã Lộc Bổn  tỉnh THỪA THIÊN HUẾ</v>
      </c>
      <c r="C24674" t="str">
        <v>-</v>
      </c>
      <c r="D24674" t="str">
        <v>-</v>
      </c>
      <c r="E24674" t="str">
        <v/>
      </c>
      <c r="F24674" t="str">
        <v>-</v>
      </c>
      <c r="G24674" t="str">
        <v>-</v>
      </c>
    </row>
    <row r="24675">
      <c r="B24675" t="str">
        <v>UBND Ủy ban nhân dân xã Lộc Bổn  tỉnh THỪA THIÊN HUẾ</v>
      </c>
      <c r="C24675" t="str">
        <v>-</v>
      </c>
      <c r="D24675" t="str">
        <v>-</v>
      </c>
      <c r="E24675" t="str">
        <v>-</v>
      </c>
      <c r="F24675" t="str">
        <v>-</v>
      </c>
      <c r="G24675" t="str">
        <v>-</v>
      </c>
    </row>
    <row r="24676">
      <c r="B24676" t="str">
        <v>Công an xã Lộc Hòa tỉnh Vĩnh Long</v>
      </c>
      <c r="C24676" t="str">
        <v>-</v>
      </c>
      <c r="D24676" t="str">
        <v>-</v>
      </c>
      <c r="E24676" t="str">
        <v/>
      </c>
      <c r="F24676" t="str">
        <v>-</v>
      </c>
      <c r="G24676" t="str">
        <v>-</v>
      </c>
    </row>
    <row r="24677">
      <c r="B24677" t="str">
        <v>UBND Ủy ban nhân dân xã Lộc Hòa tỉnh Vĩnh Long</v>
      </c>
      <c r="C24677" t="str">
        <v>-</v>
      </c>
      <c r="D24677" t="str">
        <v>-</v>
      </c>
      <c r="E24677" t="str">
        <v>-</v>
      </c>
      <c r="F24677" t="str">
        <v>-</v>
      </c>
      <c r="G24677" t="str">
        <v>-</v>
      </c>
    </row>
    <row r="24678">
      <c r="B24678" t="str">
        <v>Công an huyện Long Phú  tỉnh Sóc Trăng</v>
      </c>
      <c r="C24678" t="str">
        <v>-</v>
      </c>
      <c r="D24678" t="str">
        <v>-</v>
      </c>
      <c r="E24678" t="str">
        <v/>
      </c>
      <c r="F24678" t="str">
        <v>-</v>
      </c>
      <c r="G24678" t="str">
        <v>-</v>
      </c>
    </row>
    <row r="24679">
      <c r="B24679" t="str">
        <v>UBND Ủy ban nhân dân huyện Long Phú  tỉnh Sóc Trăng</v>
      </c>
      <c r="C24679" t="str">
        <v>-</v>
      </c>
      <c r="D24679" t="str">
        <v>-</v>
      </c>
      <c r="E24679" t="str">
        <v>-</v>
      </c>
      <c r="F24679" t="str">
        <v>-</v>
      </c>
      <c r="G24679" t="str">
        <v>-</v>
      </c>
    </row>
    <row r="24680">
      <c r="B24680" t="str">
        <v>Công an xã Nà Hẩu  tỉnh Yên Bái</v>
      </c>
      <c r="C24680" t="str">
        <v>-</v>
      </c>
      <c r="D24680" t="str">
        <v>-</v>
      </c>
      <c r="E24680" t="str">
        <v/>
      </c>
      <c r="F24680" t="str">
        <v>-</v>
      </c>
      <c r="G24680" t="str">
        <v>-</v>
      </c>
    </row>
    <row r="24681">
      <c r="B24681" t="str">
        <v>UBND Ủy ban nhân dân xã Nà Hẩu  tỉnh Yên Bái</v>
      </c>
      <c r="C24681" t="str">
        <v>-</v>
      </c>
      <c r="D24681" t="str">
        <v>-</v>
      </c>
      <c r="E24681" t="str">
        <v>-</v>
      </c>
      <c r="F24681" t="str">
        <v>-</v>
      </c>
      <c r="G24681" t="str">
        <v>-</v>
      </c>
    </row>
    <row r="24682">
      <c r="B24682" t="str">
        <v>Công an xã Phú Thuận tỉnh Bến Tre</v>
      </c>
      <c r="C24682" t="str">
        <v>-</v>
      </c>
      <c r="D24682" t="str">
        <v>-</v>
      </c>
      <c r="E24682" t="str">
        <v/>
      </c>
      <c r="F24682" t="str">
        <v>-</v>
      </c>
      <c r="G24682" t="str">
        <v>-</v>
      </c>
    </row>
    <row r="24683">
      <c r="B24683" t="str">
        <v>UBND Ủy ban nhân dân xã Phú Thuận tỉnh Bến Tre</v>
      </c>
      <c r="C24683" t="str">
        <v>-</v>
      </c>
      <c r="D24683" t="str">
        <v>-</v>
      </c>
      <c r="E24683" t="str">
        <v>-</v>
      </c>
      <c r="F24683" t="str">
        <v>-</v>
      </c>
      <c r="G24683" t="str">
        <v>-</v>
      </c>
    </row>
    <row r="24684" xml:space="preserve">
      <c r="B24684" t="str" xml:space="preserve">
        <v xml:space="preserve">Công an phường Đông Lễ _x000d_
 tỉnh Quảng Trị</v>
      </c>
      <c r="C24684" t="str">
        <v>-</v>
      </c>
      <c r="D24684" t="str">
        <v>-</v>
      </c>
      <c r="E24684" t="str">
        <v/>
      </c>
      <c r="F24684" t="str">
        <v>-</v>
      </c>
      <c r="G24684" t="str">
        <v>-</v>
      </c>
    </row>
    <row r="24685" xml:space="preserve">
      <c r="B24685" t="str" xml:space="preserve">
        <v xml:space="preserve">UBND Ủy ban nhân dân phường Đông Lễ _x000d_
 tỉnh Quảng Trị</v>
      </c>
      <c r="C24685" t="str">
        <v>-</v>
      </c>
      <c r="D24685" t="str">
        <v>-</v>
      </c>
      <c r="E24685" t="str">
        <v>-</v>
      </c>
      <c r="F24685" t="str">
        <v>-</v>
      </c>
      <c r="G24685" t="str">
        <v>-</v>
      </c>
    </row>
    <row r="24686">
      <c r="B24686" t="str">
        <v>Công an phường 2 tỉnh Quảng Trị</v>
      </c>
      <c r="C24686" t="str">
        <v>-</v>
      </c>
      <c r="D24686" t="str">
        <v>-</v>
      </c>
      <c r="E24686" t="str">
        <v/>
      </c>
      <c r="F24686" t="str">
        <v>-</v>
      </c>
      <c r="G24686" t="str">
        <v>-</v>
      </c>
    </row>
    <row r="24687">
      <c r="B24687" t="str">
        <v>UBND Ủy ban nhân dân phường 2 tỉnh Quảng Trị</v>
      </c>
      <c r="C24687" t="str">
        <v>-</v>
      </c>
      <c r="D24687" t="str">
        <v>-</v>
      </c>
      <c r="E24687" t="str">
        <v>-</v>
      </c>
      <c r="F24687" t="str">
        <v>-</v>
      </c>
      <c r="G24687" t="str">
        <v>-</v>
      </c>
    </row>
    <row r="24688">
      <c r="B24688" t="str">
        <v>Công an phường 5 tỉnh Quảng Trị</v>
      </c>
      <c r="C24688" t="str">
        <v>-</v>
      </c>
      <c r="D24688" t="str">
        <v>-</v>
      </c>
      <c r="E24688" t="str">
        <v/>
      </c>
      <c r="F24688" t="str">
        <v>-</v>
      </c>
      <c r="G24688" t="str">
        <v>-</v>
      </c>
    </row>
    <row r="24689">
      <c r="B24689" t="str">
        <v>UBND Ủy ban nhân dân phường 5 tỉnh Quảng Trị</v>
      </c>
      <c r="C24689" t="str">
        <v>-</v>
      </c>
      <c r="D24689" t="str">
        <v>-</v>
      </c>
      <c r="E24689" t="str">
        <v>-</v>
      </c>
      <c r="F24689" t="str">
        <v>-</v>
      </c>
      <c r="G24689" t="str">
        <v>-</v>
      </c>
    </row>
    <row r="24690">
      <c r="B24690" t="str">
        <v>Công an phường Phú Thượng thành phố Hà Nội</v>
      </c>
      <c r="C24690" t="str">
        <v>-</v>
      </c>
      <c r="D24690" t="str">
        <v>-</v>
      </c>
      <c r="E24690" t="str">
        <v/>
      </c>
      <c r="F24690" t="str">
        <v>-</v>
      </c>
      <c r="G24690" t="str">
        <v>-</v>
      </c>
    </row>
    <row r="24691">
      <c r="B24691" t="str">
        <v>UBND Ủy ban nhân dân phường Phú Thượng thành phố Hà Nội</v>
      </c>
      <c r="C24691" t="str">
        <v>-</v>
      </c>
      <c r="D24691" t="str">
        <v>-</v>
      </c>
      <c r="E24691" t="str">
        <v>-</v>
      </c>
      <c r="F24691" t="str">
        <v>-</v>
      </c>
      <c r="G24691" t="str">
        <v>-</v>
      </c>
    </row>
    <row r="24692">
      <c r="B24692" t="str">
        <v>Công an phường Thường Thạnh  thành phố Cần Thơ</v>
      </c>
      <c r="C24692" t="str">
        <v>-</v>
      </c>
      <c r="D24692" t="str">
        <v>-</v>
      </c>
      <c r="E24692" t="str">
        <v/>
      </c>
      <c r="F24692" t="str">
        <v>-</v>
      </c>
      <c r="G24692" t="str">
        <v>-</v>
      </c>
    </row>
    <row r="24693">
      <c r="B24693" t="str">
        <v>UBND Ủy ban nhân dân phường Thường Thạnh  thành phố Cần Thơ</v>
      </c>
      <c r="C24693" t="str">
        <v>-</v>
      </c>
      <c r="D24693" t="str">
        <v>-</v>
      </c>
      <c r="E24693" t="str">
        <v>-</v>
      </c>
      <c r="F24693" t="str">
        <v>-</v>
      </c>
      <c r="G24693" t="str">
        <v>-</v>
      </c>
    </row>
    <row r="24694">
      <c r="B24694" t="str">
        <v>Công an huyện Phụng Hiệp tỉnh Hậu Giang</v>
      </c>
      <c r="C24694" t="str">
        <v>-</v>
      </c>
      <c r="D24694" t="str">
        <v>-</v>
      </c>
      <c r="E24694" t="str">
        <v/>
      </c>
      <c r="F24694" t="str">
        <v>-</v>
      </c>
      <c r="G24694" t="str">
        <v>-</v>
      </c>
    </row>
    <row r="24695">
      <c r="B24695" t="str">
        <v>UBND Ủy ban nhân dân huyện Phụng Hiệp tỉnh Hậu Giang</v>
      </c>
      <c r="C24695" t="str">
        <v>-</v>
      </c>
      <c r="D24695" t="str">
        <v>-</v>
      </c>
      <c r="E24695" t="str">
        <v>-</v>
      </c>
      <c r="F24695" t="str">
        <v>-</v>
      </c>
      <c r="G24695" t="str">
        <v>-</v>
      </c>
    </row>
    <row r="24696">
      <c r="B24696" t="str">
        <v>Công an xã Phú Dương tỉnh THỪA THIÊN HUẾ</v>
      </c>
      <c r="C24696" t="str">
        <v>-</v>
      </c>
      <c r="D24696" t="str">
        <v>-</v>
      </c>
      <c r="E24696" t="str">
        <v/>
      </c>
      <c r="F24696" t="str">
        <v>-</v>
      </c>
      <c r="G24696" t="str">
        <v>-</v>
      </c>
    </row>
    <row r="24697">
      <c r="B24697" t="str">
        <v>UBND Ủy ban nhân dân xã Phú Dương tỉnh THỪA THIÊN HUẾ</v>
      </c>
      <c r="C24697" t="str">
        <v>-</v>
      </c>
      <c r="D24697" t="str">
        <v>-</v>
      </c>
      <c r="E24697" t="str">
        <v>-</v>
      </c>
      <c r="F24697" t="str">
        <v>-</v>
      </c>
      <c r="G24697" t="str">
        <v>-</v>
      </c>
    </row>
    <row r="24698">
      <c r="B24698" t="str">
        <v>Công an phường Thủy Vân tỉnh THỪA THIÊN HUẾ</v>
      </c>
      <c r="C24698" t="str">
        <v>-</v>
      </c>
      <c r="D24698" t="str">
        <v>-</v>
      </c>
      <c r="E24698" t="str">
        <v/>
      </c>
      <c r="F24698" t="str">
        <v>-</v>
      </c>
      <c r="G24698" t="str">
        <v>-</v>
      </c>
    </row>
    <row r="24699">
      <c r="B24699" t="str">
        <v>UBND Ủy ban nhân dân phường Thủy Vân tỉnh THỪA THIÊN HUẾ</v>
      </c>
      <c r="C24699" t="str">
        <v>-</v>
      </c>
      <c r="D24699" t="str">
        <v>-</v>
      </c>
      <c r="E24699" t="str">
        <v>-</v>
      </c>
      <c r="F24699" t="str">
        <v>-</v>
      </c>
      <c r="G24699" t="str">
        <v>-</v>
      </c>
    </row>
    <row r="24700">
      <c r="B24700" t="str">
        <v>Công an xã Phú Xuân  tỉnh An Giang</v>
      </c>
      <c r="C24700" t="str">
        <v>-</v>
      </c>
      <c r="D24700" t="str">
        <v>-</v>
      </c>
      <c r="E24700" t="str">
        <v/>
      </c>
      <c r="F24700" t="str">
        <v>-</v>
      </c>
      <c r="G24700" t="str">
        <v>-</v>
      </c>
    </row>
    <row r="24701">
      <c r="B24701" t="str">
        <v>UBND Ủy ban nhân dân xã Phú Xuân  tỉnh An Giang</v>
      </c>
      <c r="C24701" t="str">
        <v>-</v>
      </c>
      <c r="D24701" t="str">
        <v>-</v>
      </c>
      <c r="E24701" t="str">
        <v>-</v>
      </c>
      <c r="F24701" t="str">
        <v>-</v>
      </c>
      <c r="G24701" t="str">
        <v>-</v>
      </c>
    </row>
    <row r="24702">
      <c r="B24702" t="str">
        <v>Công an tỉnh Sóc Trăng  tỉnh Sóc Trăng</v>
      </c>
      <c r="C24702" t="str">
        <v>-</v>
      </c>
      <c r="D24702" t="str">
        <v>-</v>
      </c>
      <c r="E24702" t="str">
        <v/>
      </c>
      <c r="F24702" t="str">
        <v>-</v>
      </c>
      <c r="G24702" t="str">
        <v>-</v>
      </c>
    </row>
    <row r="24703">
      <c r="B24703" t="str">
        <v>UBND Ủy ban nhân dân tỉnh Sóc Trăng  tỉnh Sóc Trăng</v>
      </c>
      <c r="C24703" t="str">
        <v>-</v>
      </c>
      <c r="D24703" t="str">
        <v>-</v>
      </c>
      <c r="E24703" t="str">
        <v>-</v>
      </c>
      <c r="F24703" t="str">
        <v>-</v>
      </c>
      <c r="G24703" t="str">
        <v>-</v>
      </c>
    </row>
    <row r="24704">
      <c r="B24704" t="str">
        <v>Công an thành phố Đông Hà  tỉnh Quảng Trị</v>
      </c>
      <c r="C24704" t="str">
        <v>-</v>
      </c>
      <c r="D24704" t="str">
        <v>-</v>
      </c>
      <c r="E24704" t="str">
        <v/>
      </c>
      <c r="F24704" t="str">
        <v>-</v>
      </c>
      <c r="G24704" t="str">
        <v>-</v>
      </c>
    </row>
    <row r="24705">
      <c r="B24705" t="str">
        <v>UBND Ủy ban nhân dân thành phố Đông Hà  tỉnh Quảng Trị</v>
      </c>
      <c r="C24705" t="str">
        <v>-</v>
      </c>
      <c r="D24705" t="str">
        <v>-</v>
      </c>
      <c r="E24705" t="str">
        <v>-</v>
      </c>
      <c r="F24705" t="str">
        <v>-</v>
      </c>
      <c r="G24705" t="str">
        <v>-</v>
      </c>
    </row>
    <row r="24706">
      <c r="B24706" t="str">
        <v>Công an thị trấn Đăk Mil  tỉnh Đắk Lắk</v>
      </c>
      <c r="C24706" t="str">
        <v>-</v>
      </c>
      <c r="D24706" t="str">
        <v>-</v>
      </c>
      <c r="E24706" t="str">
        <v/>
      </c>
      <c r="F24706" t="str">
        <v>-</v>
      </c>
      <c r="G24706" t="str">
        <v>-</v>
      </c>
    </row>
    <row r="24707">
      <c r="B24707" t="str">
        <v>UBND Ủy ban nhân dân thị trấn Đăk Mil  tỉnh Đắk Lắk</v>
      </c>
      <c r="C24707" t="str">
        <v>-</v>
      </c>
      <c r="D24707" t="str">
        <v>-</v>
      </c>
      <c r="E24707" t="str">
        <v>-</v>
      </c>
      <c r="F24707" t="str">
        <v>-</v>
      </c>
      <c r="G24707" t="str">
        <v>-</v>
      </c>
    </row>
    <row r="24708">
      <c r="B24708" t="str">
        <v>Công an thị trấn Phú Lộc  tỉnh THỪA THIÊN HUẾ</v>
      </c>
      <c r="C24708" t="str">
        <v>-</v>
      </c>
      <c r="D24708" t="str">
        <v>-</v>
      </c>
      <c r="E24708" t="str">
        <v/>
      </c>
      <c r="F24708" t="str">
        <v>-</v>
      </c>
      <c r="G24708" t="str">
        <v>-</v>
      </c>
    </row>
    <row r="24709">
      <c r="B24709" t="str">
        <v>UBND Ủy ban nhân dân thị trấn Phú Lộc  tỉnh THỪA THIÊN HUẾ</v>
      </c>
      <c r="C24709" t="str">
        <v>-</v>
      </c>
      <c r="D24709" t="str">
        <v>-</v>
      </c>
      <c r="E24709" t="str">
        <v>-</v>
      </c>
      <c r="F24709" t="str">
        <v>-</v>
      </c>
      <c r="G24709" t="str">
        <v>-</v>
      </c>
    </row>
    <row r="24710">
      <c r="B24710" t="str">
        <v>Công an thành phố Sóc Trăng  tỉnh Sóc Trăng</v>
      </c>
      <c r="C24710" t="str">
        <v>-</v>
      </c>
      <c r="D24710" t="str">
        <v>-</v>
      </c>
      <c r="E24710" t="str">
        <v/>
      </c>
      <c r="F24710" t="str">
        <v>-</v>
      </c>
      <c r="G24710" t="str">
        <v>-</v>
      </c>
    </row>
    <row r="24711">
      <c r="B24711" t="str">
        <v>UBND Ủy ban nhân dân thành phố Sóc Trăng  tỉnh Sóc Trăng</v>
      </c>
      <c r="C24711" t="str">
        <v>-</v>
      </c>
      <c r="D24711" t="str">
        <v>-</v>
      </c>
      <c r="E24711" t="str">
        <v>-</v>
      </c>
      <c r="F24711" t="str">
        <v>-</v>
      </c>
      <c r="G24711" t="str">
        <v>-</v>
      </c>
    </row>
    <row r="24712">
      <c r="B24712" t="str">
        <v>Công an xã Thành Trung tỉnh Vĩnh Long</v>
      </c>
      <c r="C24712" t="str">
        <v>-</v>
      </c>
      <c r="D24712" t="str">
        <v>-</v>
      </c>
      <c r="E24712" t="str">
        <v/>
      </c>
      <c r="F24712" t="str">
        <v>-</v>
      </c>
      <c r="G24712" t="str">
        <v>-</v>
      </c>
    </row>
    <row r="24713">
      <c r="B24713" t="str">
        <v>UBND Ủy ban nhân dân xã Thành Trung tỉnh Vĩnh Long</v>
      </c>
      <c r="C24713" t="str">
        <v>-</v>
      </c>
      <c r="D24713" t="str">
        <v>-</v>
      </c>
      <c r="E24713" t="str">
        <v>-</v>
      </c>
      <c r="F24713" t="str">
        <v>-</v>
      </c>
      <c r="G24713" t="str">
        <v>-</v>
      </c>
    </row>
    <row r="24714">
      <c r="B24714" t="str">
        <v>Công an phường Thuận An  tỉnh THỪA THIÊN HUẾ</v>
      </c>
      <c r="C24714" t="str">
        <v>-</v>
      </c>
      <c r="D24714" t="str">
        <v>-</v>
      </c>
      <c r="E24714" t="str">
        <v/>
      </c>
      <c r="F24714" t="str">
        <v>-</v>
      </c>
      <c r="G24714" t="str">
        <v>-</v>
      </c>
    </row>
    <row r="24715">
      <c r="B24715" t="str">
        <v>UBND Ủy ban nhân dân phường Thuận An  tỉnh THỪA THIÊN HUẾ</v>
      </c>
      <c r="C24715" t="str">
        <v>-</v>
      </c>
      <c r="D24715" t="str">
        <v>-</v>
      </c>
      <c r="E24715" t="str">
        <v>-</v>
      </c>
      <c r="F24715" t="str">
        <v>-</v>
      </c>
      <c r="G24715" t="str">
        <v>-</v>
      </c>
    </row>
    <row r="24716">
      <c r="B24716" t="str">
        <v>Công an phường Tích Sơn  tỉnh Vĩnh Phúc</v>
      </c>
      <c r="C24716" t="str">
        <v>-</v>
      </c>
      <c r="D24716" t="str">
        <v>-</v>
      </c>
      <c r="E24716" t="str">
        <v/>
      </c>
      <c r="F24716" t="str">
        <v>-</v>
      </c>
      <c r="G24716" t="str">
        <v>-</v>
      </c>
    </row>
    <row r="24717">
      <c r="B24717" t="str">
        <v>UBND Ủy ban nhân dân phường Tích Sơn  tỉnh Vĩnh Phúc</v>
      </c>
      <c r="C24717" t="str">
        <v>-</v>
      </c>
      <c r="D24717" t="str">
        <v>-</v>
      </c>
      <c r="E24717" t="str">
        <v>-</v>
      </c>
      <c r="F24717" t="str">
        <v>-</v>
      </c>
      <c r="G24717" t="str">
        <v>-</v>
      </c>
    </row>
    <row r="24718">
      <c r="B24718" t="str">
        <v>Công an tỉnh Thừa Thiên Huế  tỉnh THỪA THIÊN HUẾ</v>
      </c>
      <c r="C24718" t="str">
        <v>-</v>
      </c>
      <c r="D24718" t="str">
        <v>-</v>
      </c>
      <c r="E24718" t="str">
        <v/>
      </c>
      <c r="F24718" t="str">
        <v>-</v>
      </c>
      <c r="G24718" t="str">
        <v>-</v>
      </c>
    </row>
    <row r="24719">
      <c r="B24719" t="str">
        <v>UBND Ủy ban nhân dân tỉnh Thừa Thiên Huế  tỉnh THỪA THIÊN HUẾ</v>
      </c>
      <c r="C24719" t="str">
        <v>-</v>
      </c>
      <c r="D24719" t="str">
        <v>-</v>
      </c>
      <c r="E24719" t="str">
        <v>-</v>
      </c>
      <c r="F24719" t="str">
        <v>-</v>
      </c>
      <c r="G24719" t="str">
        <v>-</v>
      </c>
    </row>
    <row r="24720">
      <c r="B24720" t="str">
        <v>Công an thị trấn Xuân Trường  tỉnh Nam Định</v>
      </c>
      <c r="C24720" t="str">
        <v>-</v>
      </c>
      <c r="D24720" t="str">
        <v>-</v>
      </c>
      <c r="E24720" t="str">
        <v/>
      </c>
      <c r="F24720" t="str">
        <v>-</v>
      </c>
      <c r="G24720" t="str">
        <v>-</v>
      </c>
    </row>
    <row r="24721">
      <c r="B24721" t="str">
        <v>UBND Ủy ban nhân dân thị trấn Xuân Trường  tỉnh Nam Định</v>
      </c>
      <c r="C24721" t="str">
        <v>-</v>
      </c>
      <c r="D24721" t="str">
        <v>-</v>
      </c>
      <c r="E24721" t="str">
        <v>-</v>
      </c>
      <c r="F24721" t="str">
        <v>-</v>
      </c>
      <c r="G24721" t="str">
        <v>-</v>
      </c>
    </row>
    <row r="24722">
      <c r="B24722" t="str">
        <v>Công an thị xã Ngã Năm  tỉnh Sóc Trăng</v>
      </c>
      <c r="C24722" t="str">
        <v>-</v>
      </c>
      <c r="D24722" t="str">
        <v>-</v>
      </c>
      <c r="E24722" t="str">
        <v/>
      </c>
      <c r="F24722" t="str">
        <v>-</v>
      </c>
      <c r="G24722" t="str">
        <v>-</v>
      </c>
    </row>
    <row r="24723">
      <c r="B24723" t="str">
        <v>UBND Ủy ban nhân dân thị xã Ngã Năm  tỉnh Sóc Trăng</v>
      </c>
      <c r="C24723" t="str">
        <v>-</v>
      </c>
      <c r="D24723" t="str">
        <v>-</v>
      </c>
      <c r="E24723" t="str">
        <v>-</v>
      </c>
      <c r="F24723" t="str">
        <v>-</v>
      </c>
      <c r="G24723" t="str">
        <v>-</v>
      </c>
    </row>
    <row r="24724">
      <c r="B24724" t="str">
        <v>Công an thị xã Vĩnh Châu  tỉnh Sóc Trăng</v>
      </c>
      <c r="C24724" t="str">
        <v>-</v>
      </c>
      <c r="D24724" t="str">
        <v>-</v>
      </c>
      <c r="E24724" t="str">
        <v/>
      </c>
      <c r="F24724" t="str">
        <v>-</v>
      </c>
      <c r="G24724" t="str">
        <v>-</v>
      </c>
    </row>
    <row r="24725">
      <c r="B24725" t="str">
        <v>UBND Ủy ban nhân dân thị xã Vĩnh Châu  tỉnh Sóc Trăng</v>
      </c>
      <c r="C24725" t="str">
        <v>-</v>
      </c>
      <c r="D24725" t="str">
        <v>-</v>
      </c>
      <c r="E24725" t="str">
        <v>-</v>
      </c>
      <c r="F24725" t="str">
        <v>-</v>
      </c>
      <c r="G24725" t="str">
        <v>-</v>
      </c>
    </row>
    <row r="24726">
      <c r="B24726" t="str">
        <v>Công an xã Vĩnh Hải tỉnh Ninh Thuận</v>
      </c>
      <c r="C24726" t="str">
        <v>-</v>
      </c>
      <c r="D24726" t="str">
        <v>-</v>
      </c>
      <c r="E24726" t="str">
        <v/>
      </c>
      <c r="F24726" t="str">
        <v>-</v>
      </c>
      <c r="G24726" t="str">
        <v>-</v>
      </c>
    </row>
    <row r="24727">
      <c r="B24727" t="str">
        <v>UBND Ủy ban nhân dân xã Vĩnh Hải tỉnh Ninh Thuận</v>
      </c>
      <c r="C24727" t="str">
        <v>-</v>
      </c>
      <c r="D24727" t="str">
        <v>-</v>
      </c>
      <c r="E24727" t="str">
        <v>-</v>
      </c>
      <c r="F24727" t="str">
        <v>-</v>
      </c>
      <c r="G24727" t="str">
        <v>-</v>
      </c>
    </row>
    <row r="24728">
      <c r="B24728" t="str">
        <v>Công an phường Vĩnh Phước tỉnh Khánh Hòa</v>
      </c>
      <c r="C24728" t="str">
        <v>-</v>
      </c>
      <c r="D24728" t="str">
        <v>-</v>
      </c>
      <c r="E24728" t="str">
        <v/>
      </c>
      <c r="F24728" t="str">
        <v>-</v>
      </c>
      <c r="G24728" t="str">
        <v>-</v>
      </c>
    </row>
    <row r="24729">
      <c r="B24729" t="str">
        <v>UBND Ủy ban nhân dân phường Vĩnh Phước tỉnh Khánh Hòa</v>
      </c>
      <c r="C24729" t="str">
        <v>-</v>
      </c>
      <c r="D24729" t="str">
        <v>-</v>
      </c>
      <c r="E24729" t="str">
        <v>-</v>
      </c>
      <c r="F24729" t="str">
        <v>-</v>
      </c>
      <c r="G24729" t="str">
        <v>-</v>
      </c>
    </row>
    <row r="24730">
      <c r="B24730" t="str">
        <v>Công an xã An Hiệp tỉnh Sóc Trăng</v>
      </c>
      <c r="C24730" t="str">
        <v>-</v>
      </c>
      <c r="D24730" t="str">
        <v>-</v>
      </c>
      <c r="E24730" t="str">
        <v/>
      </c>
      <c r="F24730" t="str">
        <v>-</v>
      </c>
      <c r="G24730" t="str">
        <v>-</v>
      </c>
    </row>
    <row r="24731">
      <c r="B24731" t="str">
        <v>UBND Ủy ban nhân dân xã An Hiệp tỉnh Sóc Trăng</v>
      </c>
      <c r="C24731" t="str">
        <v>-</v>
      </c>
      <c r="D24731" t="str">
        <v>-</v>
      </c>
      <c r="E24731" t="str">
        <v>-</v>
      </c>
      <c r="F24731" t="str">
        <v>-</v>
      </c>
      <c r="G24731" t="str">
        <v>-</v>
      </c>
    </row>
    <row r="24732">
      <c r="B24732" t="str">
        <v>Công an xã An Ninh tỉnh Sóc Trăng</v>
      </c>
      <c r="C24732" t="str">
        <v>-</v>
      </c>
      <c r="D24732" t="str">
        <v>-</v>
      </c>
      <c r="E24732" t="str">
        <v/>
      </c>
      <c r="F24732" t="str">
        <v>-</v>
      </c>
      <c r="G24732" t="str">
        <v>-</v>
      </c>
    </row>
    <row r="24733">
      <c r="B24733" t="str">
        <v>UBND Ủy ban nhân dân xã An Ninh tỉnh Sóc Trăng</v>
      </c>
      <c r="C24733" t="str">
        <v>-</v>
      </c>
      <c r="D24733" t="str">
        <v>-</v>
      </c>
      <c r="E24733" t="str">
        <v>-</v>
      </c>
      <c r="F24733" t="str">
        <v>-</v>
      </c>
      <c r="G24733" t="str">
        <v>-</v>
      </c>
    </row>
    <row r="24734">
      <c r="B24734" t="str">
        <v>Công an xã Giang Hải tỉnh THỪA THIÊN HUẾ</v>
      </c>
      <c r="C24734" t="str">
        <v>-</v>
      </c>
      <c r="D24734" t="str">
        <v>-</v>
      </c>
      <c r="E24734" t="str">
        <v/>
      </c>
      <c r="F24734" t="str">
        <v>-</v>
      </c>
      <c r="G24734" t="str">
        <v>-</v>
      </c>
    </row>
    <row r="24735">
      <c r="B24735" t="str">
        <v>UBND Ủy ban nhân dân xã Giang Hải tỉnh THỪA THIÊN HUẾ</v>
      </c>
      <c r="C24735" t="str">
        <v>-</v>
      </c>
      <c r="D24735" t="str">
        <v>-</v>
      </c>
      <c r="E24735" t="str">
        <v>-</v>
      </c>
      <c r="F24735" t="str">
        <v>-</v>
      </c>
      <c r="G24735" t="str">
        <v>-</v>
      </c>
    </row>
    <row r="24736">
      <c r="B24736" t="str">
        <v>Công an xã Kế An  tỉnh Sóc Trăng</v>
      </c>
      <c r="C24736" t="str">
        <v>-</v>
      </c>
      <c r="D24736" t="str">
        <v>-</v>
      </c>
      <c r="E24736" t="str">
        <v/>
      </c>
      <c r="F24736" t="str">
        <v>-</v>
      </c>
      <c r="G24736" t="str">
        <v>-</v>
      </c>
    </row>
    <row r="24737">
      <c r="B24737" t="str">
        <v>UBND Ủy ban nhân dân xã Kế An  tỉnh Sóc Trăng</v>
      </c>
      <c r="C24737" t="str">
        <v>-</v>
      </c>
      <c r="D24737" t="str">
        <v>-</v>
      </c>
      <c r="E24737" t="str">
        <v>-</v>
      </c>
      <c r="F24737" t="str">
        <v>-</v>
      </c>
      <c r="G24737" t="str">
        <v>-</v>
      </c>
    </row>
    <row r="24738">
      <c r="B24738" t="str">
        <v>Công an xã Lương An Trà tỉnh An Giang</v>
      </c>
      <c r="C24738" t="str">
        <v>-</v>
      </c>
      <c r="D24738" t="str">
        <v>-</v>
      </c>
      <c r="E24738" t="str">
        <v/>
      </c>
      <c r="F24738" t="str">
        <v>-</v>
      </c>
      <c r="G24738" t="str">
        <v>-</v>
      </c>
    </row>
    <row r="24739">
      <c r="B24739" t="str">
        <v>UBND Ủy ban nhân dân xã Lương An Trà tỉnh An Giang</v>
      </c>
      <c r="C24739" t="str">
        <v>-</v>
      </c>
      <c r="D24739" t="str">
        <v>-</v>
      </c>
      <c r="E24739" t="str">
        <v>-</v>
      </c>
      <c r="F24739" t="str">
        <v>-</v>
      </c>
      <c r="G24739" t="str">
        <v>-</v>
      </c>
    </row>
    <row r="24740">
      <c r="B24740" t="str">
        <v>Công an xã Minh Tâm  tỉnh Cao Bằng</v>
      </c>
      <c r="C24740" t="str">
        <v>-</v>
      </c>
      <c r="D24740" t="str">
        <v>-</v>
      </c>
      <c r="E24740" t="str">
        <v/>
      </c>
      <c r="F24740" t="str">
        <v>-</v>
      </c>
      <c r="G24740" t="str">
        <v>-</v>
      </c>
    </row>
    <row r="24741">
      <c r="B24741" t="str">
        <v>UBND Ủy ban nhân dân xã Minh Tâm  tỉnh Cao Bằng</v>
      </c>
      <c r="C24741" t="str">
        <v>-</v>
      </c>
      <c r="D24741" t="str">
        <v>-</v>
      </c>
      <c r="E24741" t="str">
        <v>-</v>
      </c>
      <c r="F24741" t="str">
        <v>-</v>
      </c>
      <c r="G24741" t="str">
        <v>-</v>
      </c>
    </row>
    <row r="24742" xml:space="preserve">
      <c r="B24742" t="str" xml:space="preserve">
        <v xml:space="preserve">Công an xã Thanh_x000d_
 tỉnh Quảng Trị</v>
      </c>
      <c r="C24742" t="str">
        <v>-</v>
      </c>
      <c r="D24742" t="str">
        <v>-</v>
      </c>
      <c r="E24742" t="str">
        <v/>
      </c>
      <c r="F24742" t="str">
        <v>-</v>
      </c>
      <c r="G24742" t="str">
        <v>-</v>
      </c>
    </row>
    <row r="24743" xml:space="preserve">
      <c r="B24743" t="str" xml:space="preserve">
        <v xml:space="preserve">UBND Ủy ban nhân dân xã Thanh_x000d_
 tỉnh Quảng Trị</v>
      </c>
      <c r="C24743" t="str">
        <v>-</v>
      </c>
      <c r="D24743" t="str">
        <v>-</v>
      </c>
      <c r="E24743" t="str">
        <v>-</v>
      </c>
      <c r="F24743" t="str">
        <v>-</v>
      </c>
      <c r="G24743" t="str">
        <v>-</v>
      </c>
    </row>
    <row r="24744">
      <c r="B24744" t="str">
        <v>Công an xã Thiện Mĩ tỉnh Vĩnh Long</v>
      </c>
      <c r="C24744" t="str">
        <v>-</v>
      </c>
      <c r="D24744" t="str">
        <v>-</v>
      </c>
      <c r="E24744" t="str">
        <v/>
      </c>
      <c r="F24744" t="str">
        <v>-</v>
      </c>
      <c r="G24744" t="str">
        <v>-</v>
      </c>
    </row>
    <row r="24745">
      <c r="B24745" t="str">
        <v>UBND Ủy ban nhân dân xã Thiện Mĩ tỉnh Vĩnh Long</v>
      </c>
      <c r="C24745" t="str">
        <v>-</v>
      </c>
      <c r="D24745" t="str">
        <v>-</v>
      </c>
      <c r="E24745" t="str">
        <v>-</v>
      </c>
      <c r="F24745" t="str">
        <v>-</v>
      </c>
      <c r="G24745" t="str">
        <v>-</v>
      </c>
    </row>
    <row r="24746">
      <c r="B24746" t="str">
        <v>Công an xã Trung Bình tỉnh Sóc Trăng</v>
      </c>
      <c r="C24746" t="str">
        <v>-</v>
      </c>
      <c r="D24746" t="str">
        <v>-</v>
      </c>
      <c r="E24746" t="str">
        <v/>
      </c>
      <c r="F24746" t="str">
        <v>-</v>
      </c>
      <c r="G24746" t="str">
        <v>-</v>
      </c>
    </row>
    <row r="24747">
      <c r="B24747" t="str">
        <v>UBND Ủy ban nhân dân xã Trung Bình tỉnh Sóc Trăng</v>
      </c>
      <c r="C24747" t="str">
        <v>-</v>
      </c>
      <c r="D24747" t="str">
        <v>-</v>
      </c>
      <c r="E24747" t="str">
        <v>-</v>
      </c>
      <c r="F24747" t="str">
        <v>-</v>
      </c>
      <c r="G24747" t="str">
        <v>-</v>
      </c>
    </row>
    <row r="24748">
      <c r="B24748" t="str">
        <v>Công an xã Đông Bình  thành phố Cần Thơ</v>
      </c>
      <c r="C24748" t="str">
        <v>-</v>
      </c>
      <c r="D24748" t="str">
        <v>-</v>
      </c>
      <c r="E24748" t="str">
        <v/>
      </c>
      <c r="F24748" t="str">
        <v>-</v>
      </c>
      <c r="G24748" t="str">
        <v>-</v>
      </c>
    </row>
    <row r="24749">
      <c r="B24749" t="str">
        <v>UBND Ủy ban nhân dân xã Đông Bình  thành phố Cần Thơ</v>
      </c>
      <c r="C24749" t="str">
        <v>-</v>
      </c>
      <c r="D24749" t="str">
        <v>-</v>
      </c>
      <c r="E24749" t="str">
        <v>-</v>
      </c>
      <c r="F24749" t="str">
        <v>-</v>
      </c>
      <c r="G24749" t="str">
        <v>-</v>
      </c>
    </row>
    <row r="24750">
      <c r="B24750" t="str">
        <v>Công an xã Đạp Thanh  tỉnh Quảng Ninh</v>
      </c>
      <c r="C24750" t="str">
        <v>-</v>
      </c>
      <c r="D24750" t="str">
        <v>-</v>
      </c>
      <c r="E24750" t="str">
        <v/>
      </c>
      <c r="F24750" t="str">
        <v>-</v>
      </c>
      <c r="G24750" t="str">
        <v>-</v>
      </c>
    </row>
    <row r="24751">
      <c r="B24751" t="str">
        <v>UBND Ủy ban nhân dân xã Đạp Thanh  tỉnh Quảng Ninh</v>
      </c>
      <c r="C24751" t="str">
        <v>-</v>
      </c>
      <c r="D24751" t="str">
        <v>-</v>
      </c>
      <c r="E24751" t="str">
        <v>-</v>
      </c>
      <c r="F24751" t="str">
        <v>-</v>
      </c>
      <c r="G24751" t="str">
        <v>-</v>
      </c>
    </row>
    <row r="24752">
      <c r="B24752" t="str">
        <v>Công an xã Đồn Đạc  tỉnh Quảng Ninh</v>
      </c>
      <c r="C24752" t="str">
        <v>-</v>
      </c>
      <c r="D24752" t="str">
        <v>-</v>
      </c>
      <c r="E24752" t="str">
        <v/>
      </c>
      <c r="F24752" t="str">
        <v>-</v>
      </c>
      <c r="G24752" t="str">
        <v>-</v>
      </c>
    </row>
    <row r="24753">
      <c r="B24753" t="str">
        <v>UBND Ủy ban nhân dân xã Đồn Đạc  tỉnh Quảng Ninh</v>
      </c>
      <c r="C24753" t="str">
        <v>-</v>
      </c>
      <c r="D24753" t="str">
        <v>-</v>
      </c>
      <c r="E24753" t="str">
        <v>-</v>
      </c>
      <c r="F24753" t="str">
        <v>-</v>
      </c>
      <c r="G24753" t="str">
        <v>-</v>
      </c>
    </row>
    <row r="24754">
      <c r="B24754" t="str">
        <v>Công an xã Đồng Nai Thượng  tỉnh Lâm Đồng</v>
      </c>
      <c r="C24754" t="str">
        <v>-</v>
      </c>
      <c r="D24754" t="str">
        <v>-</v>
      </c>
      <c r="E24754" t="str">
        <v/>
      </c>
      <c r="F24754" t="str">
        <v>-</v>
      </c>
      <c r="G24754" t="str">
        <v>-</v>
      </c>
    </row>
    <row r="24755">
      <c r="B24755" t="str">
        <v>UBND Ủy ban nhân dân xã Đồng Nai Thượng  tỉnh Lâm Đồng</v>
      </c>
      <c r="C24755" t="str">
        <v>-</v>
      </c>
      <c r="D24755" t="str">
        <v>-</v>
      </c>
      <c r="E24755" t="str">
        <v>-</v>
      </c>
      <c r="F24755" t="str">
        <v>-</v>
      </c>
      <c r="G24755" t="str">
        <v>-</v>
      </c>
    </row>
    <row r="24756">
      <c r="B24756" t="str">
        <v>Công an xã Đakrông  tỉnh Quảng Trị</v>
      </c>
      <c r="C24756" t="str">
        <v>-</v>
      </c>
      <c r="D24756" t="str">
        <v>-</v>
      </c>
      <c r="E24756" t="str">
        <v/>
      </c>
      <c r="F24756" t="str">
        <v>-</v>
      </c>
      <c r="G24756" t="str">
        <v>-</v>
      </c>
    </row>
    <row r="24757">
      <c r="B24757" t="str">
        <v>UBND Ủy ban nhân dân xã Đakrông  tỉnh Quảng Trị</v>
      </c>
      <c r="C24757" t="str">
        <v>-</v>
      </c>
      <c r="D24757" t="str">
        <v>-</v>
      </c>
      <c r="E24757" t="str">
        <v>-</v>
      </c>
      <c r="F24757" t="str">
        <v>-</v>
      </c>
      <c r="G24757" t="str">
        <v>-</v>
      </c>
    </row>
    <row r="24758">
      <c r="B24758" t="str">
        <v>Công an xã A Ngo  tỉnh Quảng Trị</v>
      </c>
      <c r="C24758" t="str">
        <v>-</v>
      </c>
      <c r="D24758" t="str">
        <v>-</v>
      </c>
      <c r="E24758" t="str">
        <v/>
      </c>
      <c r="F24758" t="str">
        <v>-</v>
      </c>
      <c r="G24758" t="str">
        <v>-</v>
      </c>
    </row>
    <row r="24759">
      <c r="B24759" t="str">
        <v>UBND Ủy ban nhân dân xã A Ngo  tỉnh Quảng Trị</v>
      </c>
      <c r="C24759" t="str">
        <v>-</v>
      </c>
      <c r="D24759" t="str">
        <v>-</v>
      </c>
      <c r="E24759" t="str">
        <v>-</v>
      </c>
      <c r="F24759" t="str">
        <v>-</v>
      </c>
      <c r="G24759" t="str">
        <v>-</v>
      </c>
    </row>
    <row r="24760">
      <c r="B24760" t="str">
        <v>Công an xã Ba Lòng  tỉnh Quảng Trị</v>
      </c>
      <c r="C24760" t="str">
        <v>-</v>
      </c>
      <c r="D24760" t="str">
        <v>-</v>
      </c>
      <c r="E24760" t="str">
        <v/>
      </c>
      <c r="F24760" t="str">
        <v>-</v>
      </c>
      <c r="G24760" t="str">
        <v>-</v>
      </c>
    </row>
    <row r="24761">
      <c r="B24761" t="str">
        <v>UBND Ủy ban nhân dân xã Ba Lòng  tỉnh Quảng Trị</v>
      </c>
      <c r="C24761" t="str">
        <v>-</v>
      </c>
      <c r="D24761" t="str">
        <v>-</v>
      </c>
      <c r="E24761" t="str">
        <v>-</v>
      </c>
      <c r="F24761" t="str">
        <v>-</v>
      </c>
      <c r="G24761" t="str">
        <v>-</v>
      </c>
    </row>
    <row r="24762" xml:space="preserve">
      <c r="B24762" t="str" xml:space="preserve">
        <v xml:space="preserve">Công an xã Cẩm Sơn _x000d_
 tỉnh Bến Tre</v>
      </c>
      <c r="C24762" t="str">
        <v>-</v>
      </c>
      <c r="D24762" t="str">
        <v>-</v>
      </c>
      <c r="E24762" t="str">
        <v/>
      </c>
      <c r="F24762" t="str">
        <v>-</v>
      </c>
      <c r="G24762" t="str">
        <v>-</v>
      </c>
    </row>
    <row r="24763" xml:space="preserve">
      <c r="B24763" t="str" xml:space="preserve">
        <v xml:space="preserve">UBND Ủy ban nhân dân xã Cẩm Sơn _x000d_
 tỉnh Bến Tre</v>
      </c>
      <c r="C24763" t="str">
        <v>-</v>
      </c>
      <c r="D24763" t="str">
        <v>-</v>
      </c>
      <c r="E24763" t="str">
        <v>-</v>
      </c>
      <c r="F24763" t="str">
        <v>-</v>
      </c>
      <c r="G24763" t="str">
        <v>-</v>
      </c>
    </row>
    <row r="24764" xml:space="preserve">
      <c r="B24764" t="str" xml:space="preserve">
        <v xml:space="preserve">Công an xã Châu Hưng _x000d_
 tỉnh Bến Tre</v>
      </c>
      <c r="C24764" t="str">
        <v>-</v>
      </c>
      <c r="D24764" t="str">
        <v>-</v>
      </c>
      <c r="E24764" t="str">
        <v/>
      </c>
      <c r="F24764" t="str">
        <v>-</v>
      </c>
      <c r="G24764" t="str">
        <v>-</v>
      </c>
    </row>
    <row r="24765" xml:space="preserve">
      <c r="B24765" t="str" xml:space="preserve">
        <v xml:space="preserve">UBND Ủy ban nhân dân xã Châu Hưng _x000d_
 tỉnh Bến Tre</v>
      </c>
      <c r="C24765" t="str">
        <v>-</v>
      </c>
      <c r="D24765" t="str">
        <v>-</v>
      </c>
      <c r="E24765" t="str">
        <v>-</v>
      </c>
      <c r="F24765" t="str">
        <v>-</v>
      </c>
      <c r="G24765" t="str">
        <v>-</v>
      </c>
    </row>
    <row r="24766">
      <c r="B24766" t="str">
        <v>Công an xã Húc  tỉnh Quảng Trị</v>
      </c>
      <c r="C24766" t="str">
        <v>-</v>
      </c>
      <c r="D24766" t="str">
        <v>-</v>
      </c>
      <c r="E24766" t="str">
        <v/>
      </c>
      <c r="F24766" t="str">
        <v>-</v>
      </c>
      <c r="G24766" t="str">
        <v>-</v>
      </c>
    </row>
    <row r="24767">
      <c r="B24767" t="str">
        <v>UBND Ủy ban nhân dân xã Húc  tỉnh Quảng Trị</v>
      </c>
      <c r="C24767" t="str">
        <v>-</v>
      </c>
      <c r="D24767" t="str">
        <v>-</v>
      </c>
      <c r="E24767" t="str">
        <v>-</v>
      </c>
      <c r="F24767" t="str">
        <v>-</v>
      </c>
      <c r="G24767" t="str">
        <v>-</v>
      </c>
    </row>
    <row r="24768">
      <c r="B24768" t="str">
        <v>Công an xã Hương Hữu  tỉnh THỪA THIÊN HUẾ</v>
      </c>
      <c r="C24768" t="str">
        <v>-</v>
      </c>
      <c r="D24768" t="str">
        <v>-</v>
      </c>
      <c r="E24768" t="str">
        <v/>
      </c>
      <c r="F24768" t="str">
        <v>-</v>
      </c>
      <c r="G24768" t="str">
        <v>-</v>
      </c>
    </row>
    <row r="24769">
      <c r="B24769" t="str">
        <v>UBND Ủy ban nhân dân xã Hương Hữu  tỉnh THỪA THIÊN HUẾ</v>
      </c>
      <c r="C24769" t="str">
        <v>-</v>
      </c>
      <c r="D24769" t="str">
        <v>-</v>
      </c>
      <c r="E24769" t="str">
        <v>-</v>
      </c>
      <c r="F24769" t="str">
        <v>-</v>
      </c>
      <c r="G24769" t="str">
        <v>-</v>
      </c>
    </row>
    <row r="24770">
      <c r="B24770" t="str">
        <v>Công an xã Hải Hưng  tỉnh Nam Định</v>
      </c>
      <c r="C24770" t="str">
        <v>-</v>
      </c>
      <c r="D24770" t="str">
        <v>-</v>
      </c>
      <c r="E24770" t="str">
        <v/>
      </c>
      <c r="F24770" t="str">
        <v>-</v>
      </c>
      <c r="G24770" t="str">
        <v>-</v>
      </c>
    </row>
    <row r="24771">
      <c r="B24771" t="str">
        <v>UBND Ủy ban nhân dân xã Hải Hưng  tỉnh Nam Định</v>
      </c>
      <c r="C24771" t="str">
        <v>-</v>
      </c>
      <c r="D24771" t="str">
        <v>-</v>
      </c>
      <c r="E24771" t="str">
        <v>-</v>
      </c>
      <c r="F24771" t="str">
        <v>-</v>
      </c>
      <c r="G24771" t="str">
        <v>-</v>
      </c>
    </row>
    <row r="24772">
      <c r="B24772" t="str">
        <v>Công an xã Hải Phong  thành phố Hải Phòng</v>
      </c>
      <c r="C24772" t="str">
        <v>-</v>
      </c>
      <c r="D24772" t="str">
        <v>-</v>
      </c>
      <c r="E24772" t="str">
        <v/>
      </c>
      <c r="F24772" t="str">
        <v>-</v>
      </c>
      <c r="G24772" t="str">
        <v>-</v>
      </c>
    </row>
    <row r="24773">
      <c r="B24773" t="str">
        <v>UBND Ủy ban nhân dân xã Hải Phong  thành phố Hải Phòng</v>
      </c>
      <c r="C24773" t="str">
        <v>-</v>
      </c>
      <c r="D24773" t="str">
        <v>-</v>
      </c>
      <c r="E24773" t="str">
        <v>-</v>
      </c>
      <c r="F24773" t="str">
        <v>-</v>
      </c>
      <c r="G24773" t="str">
        <v>-</v>
      </c>
    </row>
    <row r="24774">
      <c r="B24774" t="str">
        <v>Công an xã Hải Quy  tỉnh Quảng Trị</v>
      </c>
      <c r="C24774" t="str">
        <v>-</v>
      </c>
      <c r="D24774" t="str">
        <v>-</v>
      </c>
      <c r="E24774" t="str">
        <v/>
      </c>
      <c r="F24774" t="str">
        <v>-</v>
      </c>
      <c r="G24774" t="str">
        <v>-</v>
      </c>
    </row>
    <row r="24775">
      <c r="B24775" t="str">
        <v>UBND Ủy ban nhân dân xã Hải Quy  tỉnh Quảng Trị</v>
      </c>
      <c r="C24775" t="str">
        <v>-</v>
      </c>
      <c r="D24775" t="str">
        <v>-</v>
      </c>
      <c r="E24775" t="str">
        <v>-</v>
      </c>
      <c r="F24775" t="str">
        <v>-</v>
      </c>
      <c r="G24775" t="str">
        <v>-</v>
      </c>
    </row>
    <row r="24776" xml:space="preserve">
      <c r="B24776" t="str" xml:space="preserve">
        <v xml:space="preserve">Công an xã Hải Thượng _x000d_
 tỉnh Quảng Trị</v>
      </c>
      <c r="C24776" t="str">
        <v>-</v>
      </c>
      <c r="D24776" t="str">
        <v>-</v>
      </c>
      <c r="E24776" t="str">
        <v/>
      </c>
      <c r="F24776" t="str">
        <v>-</v>
      </c>
      <c r="G24776" t="str">
        <v>-</v>
      </c>
    </row>
    <row r="24777" xml:space="preserve">
      <c r="B24777" t="str" xml:space="preserve">
        <v xml:space="preserve">UBND Ủy ban nhân dân xã Hải Thượng _x000d_
 tỉnh Quảng Trị</v>
      </c>
      <c r="C24777" t="str">
        <v>-</v>
      </c>
      <c r="D24777" t="str">
        <v>-</v>
      </c>
      <c r="E24777" t="str">
        <v>-</v>
      </c>
      <c r="F24777" t="str">
        <v>-</v>
      </c>
      <c r="G24777" t="str">
        <v>-</v>
      </c>
    </row>
    <row r="24778">
      <c r="B24778" t="str">
        <v>Công an xã Hồ Đắc Kiện  tỉnh Sóc Trăng</v>
      </c>
      <c r="C24778" t="str">
        <v>-</v>
      </c>
      <c r="D24778" t="str">
        <v>-</v>
      </c>
      <c r="E24778" t="str">
        <v/>
      </c>
      <c r="F24778" t="str">
        <v>-</v>
      </c>
      <c r="G24778" t="str">
        <v>-</v>
      </c>
    </row>
    <row r="24779">
      <c r="B24779" t="str">
        <v>UBND Ủy ban nhân dân xã Hồ Đắc Kiện  tỉnh Sóc Trăng</v>
      </c>
      <c r="C24779" t="str">
        <v>-</v>
      </c>
      <c r="D24779" t="str">
        <v>-</v>
      </c>
      <c r="E24779" t="str">
        <v>-</v>
      </c>
      <c r="F24779" t="str">
        <v>-</v>
      </c>
      <c r="G24779" t="str">
        <v>-</v>
      </c>
    </row>
    <row r="24780">
      <c r="B24780" t="str">
        <v>Công an xã Hoà Thuận  tỉnh Trà Vinh</v>
      </c>
      <c r="C24780" t="str">
        <v>-</v>
      </c>
      <c r="D24780" t="str">
        <v>-</v>
      </c>
      <c r="E24780" t="str">
        <v/>
      </c>
      <c r="F24780" t="str">
        <v>-</v>
      </c>
      <c r="G24780" t="str">
        <v>-</v>
      </c>
    </row>
    <row r="24781">
      <c r="B24781" t="str">
        <v>UBND Ủy ban nhân dân xã Hoà Thuận  tỉnh Trà Vinh</v>
      </c>
      <c r="C24781" t="str">
        <v>-</v>
      </c>
      <c r="D24781" t="str">
        <v>-</v>
      </c>
      <c r="E24781" t="str">
        <v>-</v>
      </c>
      <c r="F24781" t="str">
        <v>-</v>
      </c>
      <c r="G24781" t="str">
        <v>-</v>
      </c>
    </row>
    <row r="24782" xml:space="preserve">
      <c r="B24782" t="str" xml:space="preserve">
        <v xml:space="preserve">Công an xã Lâm Đớt _x000d_
 tỉnh THỪA THIÊN HUẾ</v>
      </c>
      <c r="C24782" t="str">
        <v>-</v>
      </c>
      <c r="D24782" t="str">
        <v>-</v>
      </c>
      <c r="E24782" t="str">
        <v/>
      </c>
      <c r="F24782" t="str">
        <v>-</v>
      </c>
      <c r="G24782" t="str">
        <v>-</v>
      </c>
    </row>
    <row r="24783" xml:space="preserve">
      <c r="B24783" t="str" xml:space="preserve">
        <v xml:space="preserve">UBND Ủy ban nhân dân xã Lâm Đớt _x000d_
 tỉnh THỪA THIÊN HUẾ</v>
      </c>
      <c r="C24783" t="str">
        <v>-</v>
      </c>
      <c r="D24783" t="str">
        <v>-</v>
      </c>
      <c r="E24783" t="str">
        <v>-</v>
      </c>
      <c r="F24783" t="str">
        <v>-</v>
      </c>
      <c r="G24783" t="str">
        <v>-</v>
      </c>
    </row>
    <row r="24784">
      <c r="B24784" t="str">
        <v>Công an xã Lạc Hoà tỉnh Sóc Trăng</v>
      </c>
      <c r="C24784" t="str">
        <v>-</v>
      </c>
      <c r="D24784" t="str">
        <v>-</v>
      </c>
      <c r="E24784" t="str">
        <v/>
      </c>
      <c r="F24784" t="str">
        <v>-</v>
      </c>
      <c r="G24784" t="str">
        <v>-</v>
      </c>
    </row>
    <row r="24785">
      <c r="B24785" t="str">
        <v>UBND Ủy ban nhân dân xã Lạc Hoà tỉnh Sóc Trăng</v>
      </c>
      <c r="C24785" t="str">
        <v>-</v>
      </c>
      <c r="D24785" t="str">
        <v>-</v>
      </c>
      <c r="E24785" t="str">
        <v>-</v>
      </c>
      <c r="F24785" t="str">
        <v>-</v>
      </c>
      <c r="G24785" t="str">
        <v>-</v>
      </c>
    </row>
    <row r="24786">
      <c r="B24786" t="str">
        <v>Công an xã Lộc Điền  tỉnh THỪA THIÊN HUẾ</v>
      </c>
      <c r="C24786" t="str">
        <v>-</v>
      </c>
      <c r="D24786" t="str">
        <v>-</v>
      </c>
      <c r="E24786" t="str">
        <v/>
      </c>
      <c r="F24786" t="str">
        <v>-</v>
      </c>
      <c r="G24786" t="str">
        <v>-</v>
      </c>
    </row>
    <row r="24787">
      <c r="B24787" t="str">
        <v>UBND Ủy ban nhân dân xã Lộc Điền  tỉnh THỪA THIÊN HUẾ</v>
      </c>
      <c r="C24787" t="str">
        <v>-</v>
      </c>
      <c r="D24787" t="str">
        <v>-</v>
      </c>
      <c r="E24787" t="str">
        <v>-</v>
      </c>
      <c r="F24787" t="str">
        <v>-</v>
      </c>
      <c r="G24787" t="str">
        <v>-</v>
      </c>
    </row>
    <row r="24788">
      <c r="B24788" t="str">
        <v>Công an xã Lộc Tiến tỉnh THỪA THIÊN HUẾ</v>
      </c>
      <c r="C24788" t="str">
        <v>-</v>
      </c>
      <c r="D24788" t="str">
        <v>-</v>
      </c>
      <c r="E24788" t="str">
        <v/>
      </c>
      <c r="F24788" t="str">
        <v>-</v>
      </c>
      <c r="G24788" t="str">
        <v>-</v>
      </c>
    </row>
    <row r="24789">
      <c r="B24789" t="str">
        <v>UBND Ủy ban nhân dân xã Lộc Tiến tỉnh THỪA THIÊN HUẾ</v>
      </c>
      <c r="C24789" t="str">
        <v>-</v>
      </c>
      <c r="D24789" t="str">
        <v>-</v>
      </c>
      <c r="E24789" t="str">
        <v>-</v>
      </c>
      <c r="F24789" t="str">
        <v>-</v>
      </c>
      <c r="G24789" t="str">
        <v>-</v>
      </c>
    </row>
    <row r="24790">
      <c r="B24790" t="str">
        <v>Công an xã Linh Hải  tỉnh Quảng Trị</v>
      </c>
      <c r="C24790" t="str">
        <v>-</v>
      </c>
      <c r="D24790" t="str">
        <v>-</v>
      </c>
      <c r="E24790" t="str">
        <v/>
      </c>
      <c r="F24790" t="str">
        <v>-</v>
      </c>
      <c r="G24790" t="str">
        <v>-</v>
      </c>
    </row>
    <row r="24791">
      <c r="B24791" t="str">
        <v>UBND Ủy ban nhân dân xã Linh Hải  tỉnh Quảng Trị</v>
      </c>
      <c r="C24791" t="str">
        <v>-</v>
      </c>
      <c r="D24791" t="str">
        <v>-</v>
      </c>
      <c r="E24791" t="str">
        <v>-</v>
      </c>
      <c r="F24791" t="str">
        <v>-</v>
      </c>
      <c r="G24791" t="str">
        <v>-</v>
      </c>
    </row>
    <row r="24792" xml:space="preserve">
      <c r="B24792" t="str" xml:space="preserve">
        <v xml:space="preserve">Công an xã Mỹ Hương _x000d_
 tỉnh Sóc Trăng</v>
      </c>
      <c r="C24792" t="str">
        <v>-</v>
      </c>
      <c r="D24792" t="str">
        <v>-</v>
      </c>
      <c r="E24792" t="str">
        <v/>
      </c>
      <c r="F24792" t="str">
        <v>-</v>
      </c>
      <c r="G24792" t="str">
        <v>-</v>
      </c>
    </row>
    <row r="24793" xml:space="preserve">
      <c r="B24793" t="str" xml:space="preserve">
        <v xml:space="preserve">UBND Ủy ban nhân dân xã Mỹ Hương _x000d_
 tỉnh Sóc Trăng</v>
      </c>
      <c r="C24793" t="str">
        <v>-</v>
      </c>
      <c r="D24793" t="str">
        <v>-</v>
      </c>
      <c r="E24793" t="str">
        <v>-</v>
      </c>
      <c r="F24793" t="str">
        <v>-</v>
      </c>
      <c r="G24793" t="str">
        <v>-</v>
      </c>
    </row>
    <row r="24794" xml:space="preserve">
      <c r="B24794" t="str" xml:space="preserve">
        <v xml:space="preserve">Công an xã Minh Quán _x000d_
 tỉnh Yên Bái</v>
      </c>
      <c r="C24794" t="str">
        <v>-</v>
      </c>
      <c r="D24794" t="str">
        <v>-</v>
      </c>
      <c r="E24794" t="str">
        <v/>
      </c>
      <c r="F24794" t="str">
        <v>-</v>
      </c>
      <c r="G24794" t="str">
        <v>-</v>
      </c>
    </row>
    <row r="24795" xml:space="preserve">
      <c r="B24795" t="str" xml:space="preserve">
        <v xml:space="preserve">UBND Ủy ban nhân dân xã Minh Quán _x000d_
 tỉnh Yên Bái</v>
      </c>
      <c r="C24795" t="str">
        <v>-</v>
      </c>
      <c r="D24795" t="str">
        <v>-</v>
      </c>
      <c r="E24795" t="str">
        <v>-</v>
      </c>
      <c r="F24795" t="str">
        <v>-</v>
      </c>
      <c r="G24795" t="str">
        <v>-</v>
      </c>
    </row>
    <row r="24796" xml:space="preserve">
      <c r="B24796" t="str" xml:space="preserve">
        <v xml:space="preserve">Công an xã Phú An_x000d_
 tỉnh THỪA THIÊN HUẾ</v>
      </c>
      <c r="C24796" t="str">
        <v>-</v>
      </c>
      <c r="D24796" t="str">
        <v>-</v>
      </c>
      <c r="E24796" t="str">
        <v/>
      </c>
      <c r="F24796" t="str">
        <v>-</v>
      </c>
      <c r="G24796" t="str">
        <v>-</v>
      </c>
    </row>
    <row r="24797" xml:space="preserve">
      <c r="B24797" t="str" xml:space="preserve">
        <v xml:space="preserve">UBND Ủy ban nhân dân xã Phú An_x000d_
 tỉnh THỪA THIÊN HUẾ</v>
      </c>
      <c r="C24797" t="str">
        <v>-</v>
      </c>
      <c r="D24797" t="str">
        <v>-</v>
      </c>
      <c r="E24797" t="str">
        <v>-</v>
      </c>
      <c r="F24797" t="str">
        <v>-</v>
      </c>
      <c r="G24797" t="str">
        <v>-</v>
      </c>
    </row>
    <row r="24798">
      <c r="B24798" t="str">
        <v>Công an xã Phú Gia tỉnh THỪA THIÊN HUẾ</v>
      </c>
      <c r="C24798" t="str">
        <v>-</v>
      </c>
      <c r="D24798" t="str">
        <v>-</v>
      </c>
      <c r="E24798" t="str">
        <v/>
      </c>
      <c r="F24798" t="str">
        <v>-</v>
      </c>
      <c r="G24798" t="str">
        <v>-</v>
      </c>
    </row>
    <row r="24799">
      <c r="B24799" t="str">
        <v>UBND Ủy ban nhân dân xã Phú Gia tỉnh THỪA THIÊN HUẾ</v>
      </c>
      <c r="C24799" t="str">
        <v>-</v>
      </c>
      <c r="D24799" t="str">
        <v>-</v>
      </c>
      <c r="E24799" t="str">
        <v>-</v>
      </c>
      <c r="F24799" t="str">
        <v>-</v>
      </c>
      <c r="G24799" t="str">
        <v>-</v>
      </c>
    </row>
    <row r="24800">
      <c r="B24800" t="str">
        <v>Công an xã Phú Hồ tỉnh THỪA THIÊN HUẾ</v>
      </c>
      <c r="C24800" t="str">
        <v>-</v>
      </c>
      <c r="D24800" t="str">
        <v>-</v>
      </c>
      <c r="E24800" t="str">
        <v/>
      </c>
      <c r="F24800" t="str">
        <v>-</v>
      </c>
      <c r="G24800" t="str">
        <v>-</v>
      </c>
    </row>
    <row r="24801">
      <c r="B24801" t="str">
        <v>UBND Ủy ban nhân dân xã Phú Hồ tỉnh THỪA THIÊN HUẾ</v>
      </c>
      <c r="C24801" t="str">
        <v>-</v>
      </c>
      <c r="D24801" t="str">
        <v>-</v>
      </c>
      <c r="E24801" t="str">
        <v>-</v>
      </c>
      <c r="F24801" t="str">
        <v>-</v>
      </c>
      <c r="G24801" t="str">
        <v>-</v>
      </c>
    </row>
    <row r="24802">
      <c r="B24802" t="str">
        <v>Công an xã Phú Mậu  tỉnh THỪA THIÊN HUẾ</v>
      </c>
      <c r="C24802" t="str">
        <v>-</v>
      </c>
      <c r="D24802" t="str">
        <v>-</v>
      </c>
      <c r="E24802" t="str">
        <v/>
      </c>
      <c r="F24802" t="str">
        <v>-</v>
      </c>
      <c r="G24802" t="str">
        <v>-</v>
      </c>
    </row>
    <row r="24803">
      <c r="B24803" t="str">
        <v>UBND Ủy ban nhân dân xã Phú Mậu  tỉnh THỪA THIÊN HUẾ</v>
      </c>
      <c r="C24803" t="str">
        <v>-</v>
      </c>
      <c r="D24803" t="str">
        <v>-</v>
      </c>
      <c r="E24803" t="str">
        <v>-</v>
      </c>
      <c r="F24803" t="str">
        <v>-</v>
      </c>
      <c r="G24803" t="str">
        <v>-</v>
      </c>
    </row>
    <row r="24804">
      <c r="B24804" t="str">
        <v>Công an xã Phú Mỹ  tỉnh Bà Rịa - Vũng Tàu</v>
      </c>
      <c r="C24804" t="str">
        <v>-</v>
      </c>
      <c r="D24804" t="str">
        <v>-</v>
      </c>
      <c r="E24804" t="str">
        <v/>
      </c>
      <c r="F24804" t="str">
        <v>-</v>
      </c>
      <c r="G24804" t="str">
        <v>-</v>
      </c>
    </row>
    <row r="24805">
      <c r="B24805" t="str">
        <v>UBND Ủy ban nhân dân xã Phú Mỹ  tỉnh Bà Rịa - Vũng Tàu</v>
      </c>
      <c r="C24805" t="str">
        <v>-</v>
      </c>
      <c r="D24805" t="str">
        <v>-</v>
      </c>
      <c r="E24805" t="str">
        <v>-</v>
      </c>
      <c r="F24805" t="str">
        <v>-</v>
      </c>
      <c r="G24805" t="str">
        <v>-</v>
      </c>
    </row>
    <row r="24806">
      <c r="B24806" t="str">
        <v>Công an xã Phước An  tỉnh Đồng Nai</v>
      </c>
      <c r="C24806" t="str">
        <v>-</v>
      </c>
      <c r="D24806" t="str">
        <v>-</v>
      </c>
      <c r="E24806" t="str">
        <v/>
      </c>
      <c r="F24806" t="str">
        <v>-</v>
      </c>
      <c r="G24806" t="str">
        <v>-</v>
      </c>
    </row>
    <row r="24807">
      <c r="B24807" t="str">
        <v>UBND Ủy ban nhân dân xã Phước An  tỉnh Đồng Nai</v>
      </c>
      <c r="C24807" t="str">
        <v>-</v>
      </c>
      <c r="D24807" t="str">
        <v>-</v>
      </c>
      <c r="E24807" t="str">
        <v>-</v>
      </c>
      <c r="F24807" t="str">
        <v>-</v>
      </c>
      <c r="G24807" t="str">
        <v>-</v>
      </c>
    </row>
    <row r="24808">
      <c r="B24808" t="str">
        <v>Công an xã Phong Hòa tỉnh THỪA THIÊN HUẾ</v>
      </c>
      <c r="C24808" t="str">
        <v>-</v>
      </c>
      <c r="D24808" t="str">
        <v>-</v>
      </c>
      <c r="E24808" t="str">
        <v/>
      </c>
      <c r="F24808" t="str">
        <v>-</v>
      </c>
      <c r="G24808" t="str">
        <v>-</v>
      </c>
    </row>
    <row r="24809">
      <c r="B24809" t="str">
        <v>UBND Ủy ban nhân dân xã Phong Hòa tỉnh THỪA THIÊN HUẾ</v>
      </c>
      <c r="C24809" t="str">
        <v>-</v>
      </c>
      <c r="D24809" t="str">
        <v>-</v>
      </c>
      <c r="E24809" t="str">
        <v>-</v>
      </c>
      <c r="F24809" t="str">
        <v>-</v>
      </c>
      <c r="G24809" t="str">
        <v>-</v>
      </c>
    </row>
    <row r="24810">
      <c r="B24810" t="str">
        <v>Công an xã Quảng Nhâm  tỉnh Thanh Hóa</v>
      </c>
      <c r="C24810" t="str">
        <v>-</v>
      </c>
      <c r="D24810" t="str">
        <v>-</v>
      </c>
      <c r="E24810" t="str">
        <v/>
      </c>
      <c r="F24810" t="str">
        <v>-</v>
      </c>
      <c r="G24810" t="str">
        <v>-</v>
      </c>
    </row>
    <row r="24811">
      <c r="B24811" t="str">
        <v>UBND Ủy ban nhân dân xã Quảng Nhâm  tỉnh Thanh Hóa</v>
      </c>
      <c r="C24811" t="str">
        <v>-</v>
      </c>
      <c r="D24811" t="str">
        <v>-</v>
      </c>
      <c r="E24811" t="str">
        <v>-</v>
      </c>
      <c r="F24811" t="str">
        <v>-</v>
      </c>
      <c r="G24811" t="str">
        <v>-</v>
      </c>
    </row>
    <row r="24812">
      <c r="B24812" t="str">
        <v>Công an xã Tài Văn tỉnh Sóc Trăng</v>
      </c>
      <c r="C24812" t="str">
        <v>-</v>
      </c>
      <c r="D24812" t="str">
        <v>-</v>
      </c>
      <c r="E24812" t="str">
        <v/>
      </c>
      <c r="F24812" t="str">
        <v>-</v>
      </c>
      <c r="G24812" t="str">
        <v>-</v>
      </c>
    </row>
    <row r="24813">
      <c r="B24813" t="str">
        <v>UBND Ủy ban nhân dân xã Tài Văn tỉnh Sóc Trăng</v>
      </c>
      <c r="C24813" t="str">
        <v>-</v>
      </c>
      <c r="D24813" t="str">
        <v>-</v>
      </c>
      <c r="E24813" t="str">
        <v>-</v>
      </c>
      <c r="F24813" t="str">
        <v>-</v>
      </c>
      <c r="G24813" t="str">
        <v>-</v>
      </c>
    </row>
    <row r="24814">
      <c r="B24814" t="str">
        <v>Công an xã Tân Lập thành phố Hà Nội</v>
      </c>
      <c r="C24814" t="str">
        <v>-</v>
      </c>
      <c r="D24814" t="str">
        <v>-</v>
      </c>
      <c r="E24814" t="str">
        <v/>
      </c>
      <c r="F24814" t="str">
        <v>-</v>
      </c>
      <c r="G24814" t="str">
        <v>-</v>
      </c>
    </row>
    <row r="24815">
      <c r="B24815" t="str">
        <v>UBND Ủy ban nhân dân xã Tân Lập thành phố Hà Nội</v>
      </c>
      <c r="C24815" t="str">
        <v>-</v>
      </c>
      <c r="D24815" t="str">
        <v>-</v>
      </c>
      <c r="E24815" t="str">
        <v>-</v>
      </c>
      <c r="F24815" t="str">
        <v>-</v>
      </c>
      <c r="G24815" t="str">
        <v>-</v>
      </c>
    </row>
    <row r="24816">
      <c r="B24816" t="str">
        <v>Công an xã Thuận Hòa tỉnh Kiên Giang</v>
      </c>
      <c r="C24816" t="str">
        <v>-</v>
      </c>
      <c r="D24816" t="str">
        <v>-</v>
      </c>
      <c r="E24816" t="str">
        <v/>
      </c>
      <c r="F24816" t="str">
        <v>-</v>
      </c>
      <c r="G24816" t="str">
        <v>-</v>
      </c>
    </row>
    <row r="24817">
      <c r="B24817" t="str">
        <v>UBND Ủy ban nhân dân xã Thuận Hòa tỉnh Kiên Giang</v>
      </c>
      <c r="C24817" t="str">
        <v>-</v>
      </c>
      <c r="D24817" t="str">
        <v>-</v>
      </c>
      <c r="E24817" t="str">
        <v>-</v>
      </c>
      <c r="F24817" t="str">
        <v>-</v>
      </c>
      <c r="G24817" t="str">
        <v>-</v>
      </c>
    </row>
    <row r="24818">
      <c r="B24818" t="str">
        <v>Công an xã Trường Thành  tỉnh Đắk Nông</v>
      </c>
      <c r="C24818" t="str">
        <v>-</v>
      </c>
      <c r="D24818" t="str">
        <v>-</v>
      </c>
      <c r="E24818" t="str">
        <v/>
      </c>
      <c r="F24818" t="str">
        <v>-</v>
      </c>
      <c r="G24818" t="str">
        <v>-</v>
      </c>
    </row>
    <row r="24819">
      <c r="B24819" t="str">
        <v>UBND Ủy ban nhân dân xã Trường Thành  tỉnh Đắk Nông</v>
      </c>
      <c r="C24819" t="str">
        <v>-</v>
      </c>
      <c r="D24819" t="str">
        <v>-</v>
      </c>
      <c r="E24819" t="str">
        <v>-</v>
      </c>
      <c r="F24819" t="str">
        <v>-</v>
      </c>
      <c r="G24819" t="str">
        <v>-</v>
      </c>
    </row>
    <row r="24820">
      <c r="B24820" t="str">
        <v>Công an xã Trường Xuân  tỉnh Đắk Nông</v>
      </c>
      <c r="C24820" t="str">
        <v>-</v>
      </c>
      <c r="D24820" t="str">
        <v>-</v>
      </c>
      <c r="E24820" t="str">
        <v/>
      </c>
      <c r="F24820" t="str">
        <v>-</v>
      </c>
      <c r="G24820" t="str">
        <v>-</v>
      </c>
    </row>
    <row r="24821">
      <c r="B24821" t="str">
        <v>UBND Ủy ban nhân dân xã Trường Xuân  tỉnh Đắk Nông</v>
      </c>
      <c r="C24821" t="str">
        <v>-</v>
      </c>
      <c r="D24821" t="str">
        <v>-</v>
      </c>
      <c r="E24821" t="str">
        <v>-</v>
      </c>
      <c r="F24821" t="str">
        <v>-</v>
      </c>
      <c r="G24821" t="str">
        <v>-</v>
      </c>
    </row>
    <row r="24822">
      <c r="B24822" t="str">
        <v>Công an xã Trạm Tấu tỉnh Yên Bái</v>
      </c>
      <c r="C24822" t="str">
        <v>-</v>
      </c>
      <c r="D24822" t="str">
        <v>-</v>
      </c>
      <c r="E24822" t="str">
        <v/>
      </c>
      <c r="F24822" t="str">
        <v>-</v>
      </c>
      <c r="G24822" t="str">
        <v>-</v>
      </c>
    </row>
    <row r="24823">
      <c r="B24823" t="str">
        <v>UBND Ủy ban nhân dân xã Trạm Tấu tỉnh Yên Bái</v>
      </c>
      <c r="C24823" t="str">
        <v>-</v>
      </c>
      <c r="D24823" t="str">
        <v>-</v>
      </c>
      <c r="E24823" t="str">
        <v>-</v>
      </c>
      <c r="F24823" t="str">
        <v>-</v>
      </c>
      <c r="G24823" t="str">
        <v>-</v>
      </c>
    </row>
    <row r="24824">
      <c r="B24824" t="str">
        <v>Công an xã Triệu Nguyên  tỉnh Quảng Trị</v>
      </c>
      <c r="C24824" t="str">
        <v>-</v>
      </c>
      <c r="D24824" t="str">
        <v>-</v>
      </c>
      <c r="E24824" t="str">
        <v/>
      </c>
      <c r="F24824" t="str">
        <v>-</v>
      </c>
      <c r="G24824" t="str">
        <v>-</v>
      </c>
    </row>
    <row r="24825">
      <c r="B24825" t="str">
        <v>UBND Ủy ban nhân dân xã Triệu Nguyên  tỉnh Quảng Trị</v>
      </c>
      <c r="C24825" t="str">
        <v>-</v>
      </c>
      <c r="D24825" t="str">
        <v>-</v>
      </c>
      <c r="E24825" t="str">
        <v>-</v>
      </c>
      <c r="F24825" t="str">
        <v>-</v>
      </c>
      <c r="G24825" t="str">
        <v>-</v>
      </c>
    </row>
    <row r="24826">
      <c r="B24826" t="str">
        <v>Công an xã Triệu Thành  tỉnh Quảng Trị</v>
      </c>
      <c r="C24826" t="str">
        <v>-</v>
      </c>
      <c r="D24826" t="str">
        <v>-</v>
      </c>
      <c r="E24826" t="str">
        <v/>
      </c>
      <c r="F24826" t="str">
        <v>-</v>
      </c>
      <c r="G24826" t="str">
        <v>-</v>
      </c>
    </row>
    <row r="24827">
      <c r="B24827" t="str">
        <v>UBND Ủy ban nhân dân xã Triệu Thành  tỉnh Quảng Trị</v>
      </c>
      <c r="C24827" t="str">
        <v>-</v>
      </c>
      <c r="D24827" t="str">
        <v>-</v>
      </c>
      <c r="E24827" t="str">
        <v>-</v>
      </c>
      <c r="F24827" t="str">
        <v>-</v>
      </c>
      <c r="G24827" t="str">
        <v>-</v>
      </c>
    </row>
    <row r="24828" xml:space="preserve">
      <c r="B24828" t="str" xml:space="preserve">
        <v xml:space="preserve">Công an xã Triệu Trạch _x000d_
 tỉnh Quảng Trị</v>
      </c>
      <c r="C24828" t="str">
        <v>-</v>
      </c>
      <c r="D24828" t="str">
        <v>-</v>
      </c>
      <c r="E24828" t="str">
        <v/>
      </c>
      <c r="F24828" t="str">
        <v>-</v>
      </c>
      <c r="G24828" t="str">
        <v>-</v>
      </c>
    </row>
    <row r="24829" xml:space="preserve">
      <c r="B24829" t="str" xml:space="preserve">
        <v xml:space="preserve">UBND Ủy ban nhân dân xã Triệu Trạch _x000d_
 tỉnh Quảng Trị</v>
      </c>
      <c r="C24829" t="str">
        <v>-</v>
      </c>
      <c r="D24829" t="str">
        <v>-</v>
      </c>
      <c r="E24829" t="str">
        <v>-</v>
      </c>
      <c r="F24829" t="str">
        <v>-</v>
      </c>
      <c r="G24829" t="str">
        <v>-</v>
      </c>
    </row>
    <row r="24830" xml:space="preserve">
      <c r="B24830" t="str" xml:space="preserve">
        <v xml:space="preserve">Công an xã Trung An _x000d_
 thành phố Cần Thơ</v>
      </c>
      <c r="C24830" t="str">
        <v>-</v>
      </c>
      <c r="D24830" t="str">
        <v>-</v>
      </c>
      <c r="E24830" t="str">
        <v/>
      </c>
      <c r="F24830" t="str">
        <v>-</v>
      </c>
      <c r="G24830" t="str">
        <v>-</v>
      </c>
    </row>
    <row r="24831" xml:space="preserve">
      <c r="B24831" t="str" xml:space="preserve">
        <v xml:space="preserve">UBND Ủy ban nhân dân xã Trung An _x000d_
 thành phố Cần Thơ</v>
      </c>
      <c r="C24831" t="str">
        <v>-</v>
      </c>
      <c r="D24831" t="str">
        <v>-</v>
      </c>
      <c r="E24831" t="str">
        <v>-</v>
      </c>
      <c r="F24831" t="str">
        <v>-</v>
      </c>
      <c r="G24831" t="str">
        <v>-</v>
      </c>
    </row>
    <row r="24832">
      <c r="B24832" t="str">
        <v>Công an xã Tuân Tức tỉnh Sóc Trăng</v>
      </c>
      <c r="C24832" t="str">
        <v>-</v>
      </c>
      <c r="D24832" t="str">
        <v>-</v>
      </c>
      <c r="E24832" t="str">
        <v/>
      </c>
      <c r="F24832" t="str">
        <v>-</v>
      </c>
      <c r="G24832" t="str">
        <v>-</v>
      </c>
    </row>
    <row r="24833">
      <c r="B24833" t="str">
        <v>UBND Ủy ban nhân dân xã Tuân Tức tỉnh Sóc Trăng</v>
      </c>
      <c r="C24833" t="str">
        <v>-</v>
      </c>
      <c r="D24833" t="str">
        <v>-</v>
      </c>
      <c r="E24833" t="str">
        <v>-</v>
      </c>
      <c r="F24833" t="str">
        <v>-</v>
      </c>
      <c r="G24833" t="str">
        <v>-</v>
      </c>
    </row>
    <row r="24834" xml:space="preserve">
      <c r="B24834" t="str" xml:space="preserve">
        <v xml:space="preserve">Công an xã Viên An _x000d_
 tỉnh Sóc Trăng</v>
      </c>
      <c r="C24834" t="str">
        <v>-</v>
      </c>
      <c r="D24834" t="str">
        <v>-</v>
      </c>
      <c r="E24834" t="str">
        <v/>
      </c>
      <c r="F24834" t="str">
        <v>-</v>
      </c>
      <c r="G24834" t="str">
        <v>-</v>
      </c>
    </row>
    <row r="24835" xml:space="preserve">
      <c r="B24835" t="str" xml:space="preserve">
        <v xml:space="preserve">UBND Ủy ban nhân dân xã Viên An _x000d_
 tỉnh Sóc Trăng</v>
      </c>
      <c r="C24835" t="str">
        <v>-</v>
      </c>
      <c r="D24835" t="str">
        <v>-</v>
      </c>
      <c r="E24835" t="str">
        <v>-</v>
      </c>
      <c r="F24835" t="str">
        <v>-</v>
      </c>
      <c r="G24835" t="str">
        <v>-</v>
      </c>
    </row>
    <row r="24836">
      <c r="B24836" t="str">
        <v>Công an xã Vinh Hà tỉnh THỪA THIÊN HUẾ</v>
      </c>
      <c r="C24836" t="str">
        <v>-</v>
      </c>
      <c r="D24836" t="str">
        <v>-</v>
      </c>
      <c r="E24836" t="str">
        <v/>
      </c>
      <c r="F24836" t="str">
        <v>-</v>
      </c>
      <c r="G24836" t="str">
        <v>-</v>
      </c>
    </row>
    <row r="24837">
      <c r="B24837" t="str">
        <v>UBND Ủy ban nhân dân xã Vinh Hà tỉnh THỪA THIÊN HUẾ</v>
      </c>
      <c r="C24837" t="str">
        <v>-</v>
      </c>
      <c r="D24837" t="str">
        <v>-</v>
      </c>
      <c r="E24837" t="str">
        <v>-</v>
      </c>
      <c r="F24837" t="str">
        <v>-</v>
      </c>
      <c r="G24837" t="str">
        <v>-</v>
      </c>
    </row>
    <row r="24838" xml:space="preserve">
      <c r="B24838" t="str" xml:space="preserve">
        <v xml:space="preserve">Công an xã Vinh Hưng _x000d_
 tỉnh Bạc Liêu</v>
      </c>
      <c r="C24838" t="str">
        <v>-</v>
      </c>
      <c r="D24838" t="str">
        <v>-</v>
      </c>
      <c r="E24838" t="str">
        <v/>
      </c>
      <c r="F24838" t="str">
        <v>-</v>
      </c>
      <c r="G24838" t="str">
        <v>-</v>
      </c>
    </row>
    <row r="24839" xml:space="preserve">
      <c r="B24839" t="str" xml:space="preserve">
        <v xml:space="preserve">UBND Ủy ban nhân dân xã Vinh Hưng _x000d_
 tỉnh Bạc Liêu</v>
      </c>
      <c r="C24839" t="str">
        <v>-</v>
      </c>
      <c r="D24839" t="str">
        <v>-</v>
      </c>
      <c r="E24839" t="str">
        <v>-</v>
      </c>
      <c r="F24839" t="str">
        <v>-</v>
      </c>
      <c r="G24839" t="str">
        <v>-</v>
      </c>
    </row>
    <row r="24840">
      <c r="B24840" t="str">
        <v>Công an xã Vinh Thanh  tỉnh Bến Tre</v>
      </c>
      <c r="C24840" t="str">
        <v>-</v>
      </c>
      <c r="D24840" t="str">
        <v>-</v>
      </c>
      <c r="E24840" t="str">
        <v/>
      </c>
      <c r="F24840" t="str">
        <v>-</v>
      </c>
      <c r="G24840" t="str">
        <v>-</v>
      </c>
    </row>
    <row r="24841">
      <c r="B24841" t="str">
        <v>UBND Ủy ban nhân dân xã Vinh Thanh  tỉnh Bến Tre</v>
      </c>
      <c r="C24841" t="str">
        <v>-</v>
      </c>
      <c r="D24841" t="str">
        <v>-</v>
      </c>
      <c r="E24841" t="str">
        <v>-</v>
      </c>
      <c r="F24841" t="str">
        <v>-</v>
      </c>
      <c r="G24841" t="str">
        <v>-</v>
      </c>
    </row>
    <row r="24842">
      <c r="B24842" t="str">
        <v>Công an xã Xuân Hòa  tỉnh Thanh Hóa</v>
      </c>
      <c r="C24842" t="str">
        <v>-</v>
      </c>
      <c r="D24842" t="str">
        <v>-</v>
      </c>
      <c r="E24842" t="str">
        <v/>
      </c>
      <c r="F24842" t="str">
        <v>-</v>
      </c>
      <c r="G24842" t="str">
        <v>-</v>
      </c>
    </row>
    <row r="24843">
      <c r="B24843" t="str">
        <v>UBND Ủy ban nhân dân xã Xuân Hòa  tỉnh Thanh Hóa</v>
      </c>
      <c r="C24843" t="str">
        <v>-</v>
      </c>
      <c r="D24843" t="str">
        <v>-</v>
      </c>
      <c r="E24843" t="str">
        <v>-</v>
      </c>
      <c r="F24843" t="str">
        <v>-</v>
      </c>
      <c r="G24843" t="str">
        <v>-</v>
      </c>
    </row>
    <row r="24844">
      <c r="B24844" t="str">
        <v>Công an xã Xuân Thắng  thành phố Cần Thơ</v>
      </c>
      <c r="C24844" t="str">
        <v>-</v>
      </c>
      <c r="D24844" t="str">
        <v>-</v>
      </c>
      <c r="E24844" t="str">
        <v/>
      </c>
      <c r="F24844" t="str">
        <v>-</v>
      </c>
      <c r="G24844" t="str">
        <v>-</v>
      </c>
    </row>
    <row r="24845">
      <c r="B24845" t="str">
        <v>UBND Ủy ban nhân dân xã Xuân Thắng  thành phố Cần Thơ</v>
      </c>
      <c r="C24845" t="str">
        <v>-</v>
      </c>
      <c r="D24845" t="str">
        <v>-</v>
      </c>
      <c r="E24845" t="str">
        <v>-</v>
      </c>
      <c r="F24845" t="str">
        <v>-</v>
      </c>
      <c r="G24845" t="str">
        <v>-</v>
      </c>
    </row>
    <row r="24846" xml:space="preserve">
      <c r="B24846" t="str" xml:space="preserve">
        <v xml:space="preserve">Công an xã Xy _x000d_
 tỉnh Quảng Trị</v>
      </c>
      <c r="C24846" t="str">
        <v>-</v>
      </c>
      <c r="D24846" t="str">
        <v>-</v>
      </c>
      <c r="E24846" t="str">
        <v/>
      </c>
      <c r="F24846" t="str">
        <v>-</v>
      </c>
      <c r="G24846" t="str">
        <v>-</v>
      </c>
    </row>
    <row r="24847" xml:space="preserve">
      <c r="B24847" t="str" xml:space="preserve">
        <v xml:space="preserve">UBND Ủy ban nhân dân xã Xy _x000d_
 tỉnh Quảng Trị</v>
      </c>
      <c r="C24847" t="str">
        <v>-</v>
      </c>
      <c r="D24847" t="str">
        <v>-</v>
      </c>
      <c r="E24847" t="str">
        <v>-</v>
      </c>
      <c r="F24847" t="str">
        <v>-</v>
      </c>
      <c r="G24847" t="str">
        <v>-</v>
      </c>
    </row>
    <row r="24848">
      <c r="B24848" t="str">
        <v>Công an xã Dũng Tiến  thành phố Hà Nội</v>
      </c>
      <c r="C24848" t="str">
        <v>-</v>
      </c>
      <c r="D24848" t="str">
        <v>-</v>
      </c>
      <c r="E24848" t="str">
        <v/>
      </c>
      <c r="F24848" t="str">
        <v>-</v>
      </c>
      <c r="G24848" t="str">
        <v>-</v>
      </c>
    </row>
    <row r="24849">
      <c r="B24849" t="str">
        <v>UBND Ủy ban nhân dân xã Dũng Tiến  thành phố Hà Nội</v>
      </c>
      <c r="C24849" t="str">
        <v>-</v>
      </c>
      <c r="D24849" t="str">
        <v>-</v>
      </c>
      <c r="E24849" t="str">
        <v>-</v>
      </c>
      <c r="F24849" t="str">
        <v>-</v>
      </c>
      <c r="G24849" t="str">
        <v>-</v>
      </c>
    </row>
    <row r="24850">
      <c r="B24850" t="str">
        <v>Công an xã Lộc Vĩnh tỉnh THỪA THIÊN HUẾ</v>
      </c>
      <c r="C24850" t="str">
        <v>-</v>
      </c>
      <c r="D24850" t="str">
        <v>-</v>
      </c>
      <c r="E24850" t="str">
        <v/>
      </c>
      <c r="F24850" t="str">
        <v>-</v>
      </c>
      <c r="G24850" t="str">
        <v>-</v>
      </c>
    </row>
    <row r="24851">
      <c r="B24851" t="str">
        <v>UBND Ủy ban nhân dân xã Lộc Vĩnh tỉnh THỪA THIÊN HUẾ</v>
      </c>
      <c r="C24851" t="str">
        <v>-</v>
      </c>
      <c r="D24851" t="str">
        <v>-</v>
      </c>
      <c r="E24851" t="str">
        <v>-</v>
      </c>
      <c r="F24851" t="str">
        <v>-</v>
      </c>
      <c r="G24851" t="str">
        <v>-</v>
      </c>
    </row>
    <row r="24852">
      <c r="B24852" t="str">
        <v>Công an xã Phú Đa  tỉnh THỪA THIÊN HUẾ</v>
      </c>
      <c r="C24852" t="str">
        <v>-</v>
      </c>
      <c r="D24852" t="str">
        <v>-</v>
      </c>
      <c r="E24852" t="str">
        <v/>
      </c>
      <c r="F24852" t="str">
        <v>-</v>
      </c>
      <c r="G24852" t="str">
        <v>-</v>
      </c>
    </row>
    <row r="24853">
      <c r="B24853" t="str">
        <v>UBND Ủy ban nhân dân xã Phú Đa  tỉnh THỪA THIÊN HUẾ</v>
      </c>
      <c r="C24853" t="str">
        <v>-</v>
      </c>
      <c r="D24853" t="str">
        <v>-</v>
      </c>
      <c r="E24853" t="str">
        <v>-</v>
      </c>
      <c r="F24853" t="str">
        <v>-</v>
      </c>
      <c r="G24853" t="str">
        <v>-</v>
      </c>
    </row>
    <row r="24854">
      <c r="B24854" t="str">
        <v>Công an xã Phú Mỹ  tỉnh THỪA THIÊN HUẾ</v>
      </c>
      <c r="C24854" t="str">
        <v>-</v>
      </c>
      <c r="D24854" t="str">
        <v>-</v>
      </c>
      <c r="E24854" t="str">
        <v/>
      </c>
      <c r="F24854" t="str">
        <v>-</v>
      </c>
      <c r="G24854" t="str">
        <v>-</v>
      </c>
    </row>
    <row r="24855">
      <c r="B24855" t="str">
        <v>UBND Ủy ban nhân dân xã Phú Mỹ  tỉnh THỪA THIÊN HUẾ</v>
      </c>
      <c r="C24855" t="str">
        <v>-</v>
      </c>
      <c r="D24855" t="str">
        <v>-</v>
      </c>
      <c r="E24855" t="str">
        <v>-</v>
      </c>
      <c r="F24855" t="str">
        <v>-</v>
      </c>
      <c r="G24855" t="str">
        <v>-</v>
      </c>
    </row>
    <row r="24856">
      <c r="B24856" t="str">
        <v>Công an xã Thượng Trưng  tỉnh Vĩnh Phúc</v>
      </c>
      <c r="C24856" t="str">
        <v>-</v>
      </c>
      <c r="D24856" t="str">
        <v>-</v>
      </c>
      <c r="E24856" t="str">
        <v/>
      </c>
      <c r="F24856" t="str">
        <v>-</v>
      </c>
      <c r="G24856" t="str">
        <v>-</v>
      </c>
    </row>
    <row r="24857">
      <c r="B24857" t="str">
        <v>UBND Ủy ban nhân dân xã Thượng Trưng  tỉnh Vĩnh Phúc</v>
      </c>
      <c r="C24857" t="str">
        <v>-</v>
      </c>
      <c r="D24857" t="str">
        <v>-</v>
      </c>
      <c r="E24857" t="str">
        <v>-</v>
      </c>
      <c r="F24857" t="str">
        <v>-</v>
      </c>
      <c r="G24857" t="str">
        <v>-</v>
      </c>
    </row>
    <row r="24858">
      <c r="B24858" t="str">
        <v>Công an xã Vinh Mỹ  tỉnh THỪA THIÊN HUẾ</v>
      </c>
      <c r="C24858" t="str">
        <v>-</v>
      </c>
      <c r="D24858" t="str">
        <v>-</v>
      </c>
      <c r="E24858" t="str">
        <v/>
      </c>
      <c r="F24858" t="str">
        <v>-</v>
      </c>
      <c r="G24858" t="str">
        <v>-</v>
      </c>
    </row>
    <row r="24859">
      <c r="B24859" t="str">
        <v>UBND Ủy ban nhân dân xã Vinh Mỹ  tỉnh THỪA THIÊN HUẾ</v>
      </c>
      <c r="C24859" t="str">
        <v>-</v>
      </c>
      <c r="D24859" t="str">
        <v>-</v>
      </c>
      <c r="E24859" t="str">
        <v>-</v>
      </c>
      <c r="F24859" t="str">
        <v>-</v>
      </c>
      <c r="G24859" t="str">
        <v>-</v>
      </c>
    </row>
    <row r="24860">
      <c r="B24860" t="str">
        <v>Công an xã Vĩnh Ninh  tỉnh Vĩnh Phúc</v>
      </c>
      <c r="C24860" t="str">
        <v>-</v>
      </c>
      <c r="D24860" t="str">
        <v>-</v>
      </c>
      <c r="E24860" t="str">
        <v/>
      </c>
      <c r="F24860" t="str">
        <v>-</v>
      </c>
      <c r="G24860" t="str">
        <v>-</v>
      </c>
    </row>
    <row r="24861">
      <c r="B24861" t="str">
        <v>UBND Ủy ban nhân dân xã Vĩnh Ninh  tỉnh Vĩnh Phúc</v>
      </c>
      <c r="C24861" t="str">
        <v>-</v>
      </c>
      <c r="D24861" t="str">
        <v>-</v>
      </c>
      <c r="E24861" t="str">
        <v>-</v>
      </c>
      <c r="F24861" t="str">
        <v>-</v>
      </c>
      <c r="G24861" t="str">
        <v>-</v>
      </c>
    </row>
    <row r="24862">
      <c r="B24862" t="str">
        <v>Công an xã Vĩnh Thịnh  tỉnh Vĩnh Phúc</v>
      </c>
      <c r="C24862" t="str">
        <v>-</v>
      </c>
      <c r="D24862" t="str">
        <v>-</v>
      </c>
      <c r="E24862" t="str">
        <v/>
      </c>
      <c r="F24862" t="str">
        <v>-</v>
      </c>
      <c r="G24862" t="str">
        <v>-</v>
      </c>
    </row>
    <row r="24863">
      <c r="B24863" t="str">
        <v>UBND Ủy ban nhân dân xã Vĩnh Thịnh  tỉnh Vĩnh Phúc</v>
      </c>
      <c r="C24863" t="str">
        <v>-</v>
      </c>
      <c r="D24863" t="str">
        <v>-</v>
      </c>
      <c r="E24863" t="str">
        <v>-</v>
      </c>
      <c r="F24863" t="str">
        <v>-</v>
      </c>
      <c r="G24863" t="str">
        <v>-</v>
      </c>
    </row>
    <row r="24864" xml:space="preserve">
      <c r="B24864" t="str" xml:space="preserve">
        <v xml:space="preserve">Công an xã Văn Tiến _x000d_
 tỉnh Vĩnh Phúc</v>
      </c>
      <c r="C24864" t="str">
        <v>-</v>
      </c>
      <c r="D24864" t="str">
        <v>-</v>
      </c>
      <c r="E24864" t="str">
        <v/>
      </c>
      <c r="F24864" t="str">
        <v>-</v>
      </c>
      <c r="G24864" t="str">
        <v>-</v>
      </c>
    </row>
    <row r="24865" xml:space="preserve">
      <c r="B24865" t="str" xml:space="preserve">
        <v xml:space="preserve">UBND Ủy ban nhân dân xã Văn Tiến _x000d_
 tỉnh Vĩnh Phúc</v>
      </c>
      <c r="C24865" t="str">
        <v>-</v>
      </c>
      <c r="D24865" t="str">
        <v>-</v>
      </c>
      <c r="E24865" t="str">
        <v>-</v>
      </c>
      <c r="F24865" t="str">
        <v>-</v>
      </c>
      <c r="G24865" t="str">
        <v>-</v>
      </c>
    </row>
    <row r="24866">
      <c r="B24866" t="str">
        <v>Công an xã Yên Phương  tỉnh Nam Định</v>
      </c>
      <c r="C24866" t="str">
        <v>-</v>
      </c>
      <c r="D24866" t="str">
        <v>-</v>
      </c>
      <c r="E24866" t="str">
        <v/>
      </c>
      <c r="F24866" t="str">
        <v>-</v>
      </c>
      <c r="G24866" t="str">
        <v>-</v>
      </c>
    </row>
    <row r="24867">
      <c r="B24867" t="str">
        <v>UBND Ủy ban nhân dân xã Yên Phương  tỉnh Nam Định</v>
      </c>
      <c r="C24867" t="str">
        <v>-</v>
      </c>
      <c r="D24867" t="str">
        <v>-</v>
      </c>
      <c r="E24867" t="str">
        <v>-</v>
      </c>
      <c r="F24867" t="str">
        <v>-</v>
      </c>
      <c r="G24867" t="str">
        <v>-</v>
      </c>
    </row>
    <row r="24868">
      <c r="B24868" t="str">
        <v>Công an thành phố Sóc Trăng tỉnh Sóc Trăng</v>
      </c>
      <c r="C24868" t="str">
        <v>-</v>
      </c>
      <c r="D24868" t="str">
        <v>-</v>
      </c>
      <c r="E24868" t="str">
        <v/>
      </c>
      <c r="F24868" t="str">
        <v>-</v>
      </c>
      <c r="G24868" t="str">
        <v>-</v>
      </c>
    </row>
    <row r="24869">
      <c r="B24869" t="str">
        <v>UBND Ủy ban nhân dân thành phố Sóc Trăng tỉnh Sóc Trăng</v>
      </c>
      <c r="C24869" t="str">
        <v>-</v>
      </c>
      <c r="D24869" t="str">
        <v>-</v>
      </c>
      <c r="E24869" t="str">
        <v>-</v>
      </c>
      <c r="F24869" t="str">
        <v>-</v>
      </c>
      <c r="G24869" t="str">
        <v>-</v>
      </c>
    </row>
    <row r="24870">
      <c r="B24870" t="str">
        <v>Công an xã Thanh Kỳ  tỉnh Thanh Hóa</v>
      </c>
      <c r="C24870" t="str">
        <v>-</v>
      </c>
      <c r="D24870" t="str">
        <v>-</v>
      </c>
      <c r="E24870" t="str">
        <v/>
      </c>
      <c r="F24870" t="str">
        <v>-</v>
      </c>
      <c r="G24870" t="str">
        <v>-</v>
      </c>
    </row>
    <row r="24871">
      <c r="B24871" t="str">
        <v>UBND Ủy ban nhân dân xã Thanh Kỳ  tỉnh Thanh Hóa</v>
      </c>
      <c r="C24871" t="str">
        <v>-</v>
      </c>
      <c r="D24871" t="str">
        <v>-</v>
      </c>
      <c r="E24871" t="str">
        <v>-</v>
      </c>
      <c r="F24871" t="str">
        <v>-</v>
      </c>
      <c r="G24871" t="str">
        <v>-</v>
      </c>
    </row>
    <row r="24872">
      <c r="B24872" t="str">
        <v>Công an tỉnh Yên Bái  tỉnh Yên Bái</v>
      </c>
      <c r="C24872" t="str">
        <v>-</v>
      </c>
      <c r="D24872" t="str">
        <v>-</v>
      </c>
      <c r="E24872" t="str">
        <v/>
      </c>
      <c r="F24872" t="str">
        <v>-</v>
      </c>
      <c r="G24872" t="str">
        <v>-</v>
      </c>
    </row>
    <row r="24873">
      <c r="B24873" t="str">
        <v>UBND Ủy ban nhân dân tỉnh Yên Bái  tỉnh Yên Bái</v>
      </c>
      <c r="C24873" t="str">
        <v>-</v>
      </c>
      <c r="D24873" t="str">
        <v>-</v>
      </c>
      <c r="E24873" t="str">
        <v>-</v>
      </c>
      <c r="F24873" t="str">
        <v>-</v>
      </c>
      <c r="G24873" t="str">
        <v>-</v>
      </c>
    </row>
    <row r="24874">
      <c r="B24874" t="str">
        <v>Công an Hà Nội thành phố Hà Nội</v>
      </c>
      <c r="C24874" t="str">
        <v>-</v>
      </c>
      <c r="D24874" t="str">
        <v>-</v>
      </c>
      <c r="E24874" t="str">
        <v/>
      </c>
      <c r="F24874" t="str">
        <v>-</v>
      </c>
      <c r="G24874" t="str">
        <v>-</v>
      </c>
    </row>
    <row r="24875">
      <c r="B24875" t="str">
        <v>UBND Ủy ban nhân dân Hà Nội thành phố Hà Nội</v>
      </c>
      <c r="C24875" t="str">
        <v>-</v>
      </c>
      <c r="D24875" t="str">
        <v>-</v>
      </c>
      <c r="E24875" t="str">
        <v>-</v>
      </c>
      <c r="F24875" t="str">
        <v>-</v>
      </c>
      <c r="G24875" t="str">
        <v>-</v>
      </c>
    </row>
    <row r="24876">
      <c r="B24876" t="str">
        <v>Công an tỉnh Bạc Liêu  tỉnh Bạc Liêu</v>
      </c>
      <c r="C24876" t="str">
        <v>-</v>
      </c>
      <c r="D24876" t="str">
        <v>-</v>
      </c>
      <c r="E24876" t="str">
        <v/>
      </c>
      <c r="F24876" t="str">
        <v>-</v>
      </c>
      <c r="G24876" t="str">
        <v>-</v>
      </c>
    </row>
    <row r="24877">
      <c r="B24877" t="str">
        <v>UBND Ủy ban nhân dân tỉnh Bạc Liêu  tỉnh Bạc Liêu</v>
      </c>
      <c r="C24877" t="str">
        <v>-</v>
      </c>
      <c r="D24877" t="str">
        <v>-</v>
      </c>
      <c r="E24877" t="str">
        <v>-</v>
      </c>
      <c r="F24877" t="str">
        <v>-</v>
      </c>
      <c r="G24877" t="str">
        <v>-</v>
      </c>
    </row>
    <row r="24878">
      <c r="B24878" t="str">
        <v>Công an xã Bắc Sơn tỉnh Ninh Thuận</v>
      </c>
      <c r="C24878" t="str">
        <v>-</v>
      </c>
      <c r="D24878" t="str">
        <v>-</v>
      </c>
      <c r="E24878" t="str">
        <v/>
      </c>
      <c r="F24878" t="str">
        <v>-</v>
      </c>
      <c r="G24878" t="str">
        <v>-</v>
      </c>
    </row>
    <row r="24879">
      <c r="B24879" t="str">
        <v>UBND Ủy ban nhân dân xã Bắc Sơn tỉnh Ninh Thuận</v>
      </c>
      <c r="C24879" t="str">
        <v>-</v>
      </c>
      <c r="D24879" t="str">
        <v>-</v>
      </c>
      <c r="E24879" t="str">
        <v>-</v>
      </c>
      <c r="F24879" t="str">
        <v>-</v>
      </c>
      <c r="G24879" t="str">
        <v>-</v>
      </c>
    </row>
    <row r="24880">
      <c r="B24880" t="str">
        <v>Công an xã Ân Hữu  tỉnh Bình Định</v>
      </c>
      <c r="C24880" t="str">
        <v>-</v>
      </c>
      <c r="D24880" t="str">
        <v>-</v>
      </c>
      <c r="E24880" t="str">
        <v/>
      </c>
      <c r="F24880" t="str">
        <v>-</v>
      </c>
      <c r="G24880" t="str">
        <v>-</v>
      </c>
    </row>
    <row r="24881">
      <c r="B24881" t="str">
        <v>UBND Ủy ban nhân dân xã Ân Hữu  tỉnh Bình Định</v>
      </c>
      <c r="C24881" t="str">
        <v>-</v>
      </c>
      <c r="D24881" t="str">
        <v>-</v>
      </c>
      <c r="E24881" t="str">
        <v>-</v>
      </c>
      <c r="F24881" t="str">
        <v>-</v>
      </c>
      <c r="G24881" t="str">
        <v>-</v>
      </c>
    </row>
    <row r="24882">
      <c r="B24882" t="str">
        <v>Công an xã Mường Típ  tỉnh Nghệ An</v>
      </c>
      <c r="C24882" t="str">
        <v>-</v>
      </c>
      <c r="D24882" t="str">
        <v>-</v>
      </c>
      <c r="E24882" t="str">
        <v/>
      </c>
      <c r="F24882" t="str">
        <v>-</v>
      </c>
      <c r="G24882" t="str">
        <v>-</v>
      </c>
    </row>
    <row r="24883">
      <c r="B24883" t="str">
        <v>UBND Ủy ban nhân dân xã Mường Típ  tỉnh Nghệ An</v>
      </c>
      <c r="C24883" t="str">
        <v>-</v>
      </c>
      <c r="D24883" t="str">
        <v>-</v>
      </c>
      <c r="E24883" t="str">
        <v>-</v>
      </c>
      <c r="F24883" t="str">
        <v>-</v>
      </c>
      <c r="G24883" t="str">
        <v>-</v>
      </c>
    </row>
    <row r="24884">
      <c r="B24884" t="str">
        <v>Công an huyện Bảo Thắng  tỉnh Lào Cai</v>
      </c>
      <c r="C24884" t="str">
        <v>-</v>
      </c>
      <c r="D24884" t="str">
        <v>-</v>
      </c>
      <c r="E24884" t="str">
        <v/>
      </c>
      <c r="F24884" t="str">
        <v>-</v>
      </c>
      <c r="G24884" t="str">
        <v>-</v>
      </c>
    </row>
    <row r="24885">
      <c r="B24885" t="str">
        <v>UBND Ủy ban nhân dân huyện Bảo Thắng  tỉnh Lào Cai</v>
      </c>
      <c r="C24885" t="str">
        <v>-</v>
      </c>
      <c r="D24885" t="str">
        <v>-</v>
      </c>
      <c r="E24885" t="str">
        <v>-</v>
      </c>
      <c r="F24885" t="str">
        <v>-</v>
      </c>
      <c r="G24885" t="str">
        <v>-</v>
      </c>
    </row>
    <row r="24886">
      <c r="B24886" t="str">
        <v>Công an xã Suối Bu  tỉnh Yên Bái</v>
      </c>
      <c r="C24886" t="str">
        <v>-</v>
      </c>
      <c r="D24886" t="str">
        <v>-</v>
      </c>
      <c r="E24886" t="str">
        <v/>
      </c>
      <c r="F24886" t="str">
        <v>-</v>
      </c>
      <c r="G24886" t="str">
        <v>-</v>
      </c>
    </row>
    <row r="24887">
      <c r="B24887" t="str">
        <v>UBND Ủy ban nhân dân xã Suối Bu  tỉnh Yên Bái</v>
      </c>
      <c r="C24887" t="str">
        <v>-</v>
      </c>
      <c r="D24887" t="str">
        <v>-</v>
      </c>
      <c r="E24887" t="str">
        <v>-</v>
      </c>
      <c r="F24887" t="str">
        <v>-</v>
      </c>
      <c r="G24887" t="str">
        <v>-</v>
      </c>
    </row>
    <row r="24888">
      <c r="B24888" t="str">
        <v>Công an huyện Ngọc Hồi tỉnh Kon Tum</v>
      </c>
      <c r="C24888" t="str">
        <v>-</v>
      </c>
      <c r="D24888" t="str">
        <v>-</v>
      </c>
      <c r="E24888" t="str">
        <v/>
      </c>
      <c r="F24888" t="str">
        <v>-</v>
      </c>
      <c r="G24888" t="str">
        <v>-</v>
      </c>
    </row>
    <row r="24889">
      <c r="B24889" t="str">
        <v>UBND Ủy ban nhân dân huyện Ngọc Hồi tỉnh Kon Tum</v>
      </c>
      <c r="C24889" t="str">
        <v>-</v>
      </c>
      <c r="D24889" t="str">
        <v>-</v>
      </c>
      <c r="E24889" t="str">
        <v>-</v>
      </c>
      <c r="F24889" t="str">
        <v>-</v>
      </c>
      <c r="G24889" t="str">
        <v>-</v>
      </c>
    </row>
    <row r="24890">
      <c r="B24890" t="str">
        <v>Công an tỉnh Bạc Liêu tỉnh Bạc Liêu</v>
      </c>
      <c r="C24890" t="str">
        <v>-</v>
      </c>
      <c r="D24890" t="str">
        <v>-</v>
      </c>
      <c r="E24890" t="str">
        <v/>
      </c>
      <c r="F24890" t="str">
        <v>-</v>
      </c>
      <c r="G24890" t="str">
        <v>-</v>
      </c>
    </row>
    <row r="24891">
      <c r="B24891" t="str">
        <v>UBND Ủy ban nhân dân tỉnh Bạc Liêu tỉnh Bạc Liêu</v>
      </c>
      <c r="C24891" t="str">
        <v>-</v>
      </c>
      <c r="D24891" t="str">
        <v>-</v>
      </c>
      <c r="E24891" t="str">
        <v>-</v>
      </c>
      <c r="F24891" t="str">
        <v>-</v>
      </c>
      <c r="G24891" t="str">
        <v>-</v>
      </c>
    </row>
    <row r="24892" xml:space="preserve">
      <c r="B24892" t="str" xml:space="preserve">
        <v xml:space="preserve">Công an tỉnh Kon Tum _x000d_
 tỉnh Kon Tum</v>
      </c>
      <c r="C24892" t="str">
        <v>-</v>
      </c>
      <c r="D24892" t="str">
        <v>-</v>
      </c>
      <c r="E24892" t="str">
        <v/>
      </c>
      <c r="F24892" t="str">
        <v>-</v>
      </c>
      <c r="G24892" t="str">
        <v>-</v>
      </c>
    </row>
    <row r="24893" xml:space="preserve">
      <c r="B24893" t="str" xml:space="preserve">
        <v xml:space="preserve">UBND Ủy ban nhân dân tỉnh Kon Tum _x000d_
 tỉnh Kon Tum</v>
      </c>
      <c r="C24893" t="str">
        <v>-</v>
      </c>
      <c r="D24893" t="str">
        <v>-</v>
      </c>
      <c r="E24893" t="str">
        <v>-</v>
      </c>
      <c r="F24893" t="str">
        <v>-</v>
      </c>
      <c r="G24893" t="str">
        <v>-</v>
      </c>
    </row>
    <row r="24894">
      <c r="B24894" t="str">
        <v>Công an thị trấn Tân Khai  tỉnh Bình Phước</v>
      </c>
      <c r="C24894" t="str">
        <v>-</v>
      </c>
      <c r="D24894" t="str">
        <v>-</v>
      </c>
      <c r="E24894" t="str">
        <v/>
      </c>
      <c r="F24894" t="str">
        <v>-</v>
      </c>
      <c r="G24894" t="str">
        <v>-</v>
      </c>
    </row>
    <row r="24895">
      <c r="B24895" t="str">
        <v>UBND Ủy ban nhân dân thị trấn Tân Khai  tỉnh Bình Phước</v>
      </c>
      <c r="C24895" t="str">
        <v>-</v>
      </c>
      <c r="D24895" t="str">
        <v>-</v>
      </c>
      <c r="E24895" t="str">
        <v>-</v>
      </c>
      <c r="F24895" t="str">
        <v>-</v>
      </c>
      <c r="G24895" t="str">
        <v>-</v>
      </c>
    </row>
    <row r="24896">
      <c r="B24896" t="str">
        <v>Công an xã Bình Minh tỉnh Hưng Yên</v>
      </c>
      <c r="C24896" t="str">
        <v>-</v>
      </c>
      <c r="D24896" t="str">
        <v>-</v>
      </c>
      <c r="E24896" t="str">
        <v/>
      </c>
      <c r="F24896" t="str">
        <v>-</v>
      </c>
      <c r="G24896" t="str">
        <v>-</v>
      </c>
    </row>
    <row r="24897">
      <c r="B24897" t="str">
        <v>UBND Ủy ban nhân dân xã Bình Minh tỉnh Hưng Yên</v>
      </c>
      <c r="C24897" t="str">
        <v>-</v>
      </c>
      <c r="D24897" t="str">
        <v>-</v>
      </c>
      <c r="E24897" t="str">
        <v>-</v>
      </c>
      <c r="F24897" t="str">
        <v>-</v>
      </c>
      <c r="G24897" t="str">
        <v>-</v>
      </c>
    </row>
    <row r="24898">
      <c r="B24898" t="str">
        <v>Bộ Tư Lệnh Cảnh Sát Cơ Động  thành phố Hà Nội</v>
      </c>
    </row>
    <row r="24899">
      <c r="B24899" t="str">
        <v>UBND Ủy ban nhân dânệnh Cảnh Sát Cơ Động  thành phố Hà Nội</v>
      </c>
      <c r="C24899" t="str">
        <v>-</v>
      </c>
      <c r="D24899" t="str">
        <v>-</v>
      </c>
      <c r="E24899" t="str">
        <v>-</v>
      </c>
      <c r="F24899" t="str">
        <v>-</v>
      </c>
      <c r="G24899" t="str">
        <v>-</v>
      </c>
    </row>
    <row r="24900">
      <c r="B24900" t="str">
        <v>Cảnh sát cơ động  thành phố Hồ Chí Minh</v>
      </c>
    </row>
    <row r="24901">
      <c r="B24901" t="str">
        <v>UBND Ủy ban nhân dânt cơ động  thành phố Hồ Chí Minh</v>
      </c>
      <c r="C24901" t="str">
        <v>-</v>
      </c>
      <c r="D24901" t="str">
        <v>-</v>
      </c>
      <c r="E24901" t="str">
        <v>-</v>
      </c>
      <c r="F24901" t="str">
        <v>-</v>
      </c>
      <c r="G24901" t="str">
        <v>-</v>
      </c>
    </row>
    <row r="24902">
      <c r="B24902" t="str">
        <v>Công an xã Thuần Thiện  tỉnh Hà Tĩnh</v>
      </c>
      <c r="C24902" t="str">
        <v>-</v>
      </c>
      <c r="D24902" t="str">
        <v>-</v>
      </c>
      <c r="E24902" t="str">
        <v/>
      </c>
      <c r="F24902" t="str">
        <v>-</v>
      </c>
      <c r="G24902" t="str">
        <v>-</v>
      </c>
    </row>
    <row r="24903">
      <c r="B24903" t="str">
        <v>UBND Ủy ban nhân dân xã Thuần Thiện  tỉnh Hà Tĩnh</v>
      </c>
      <c r="C24903" t="str">
        <v>-</v>
      </c>
      <c r="D24903" t="str">
        <v>-</v>
      </c>
      <c r="E24903" t="str">
        <v>-</v>
      </c>
      <c r="F24903" t="str">
        <v>-</v>
      </c>
      <c r="G24903" t="str">
        <v>-</v>
      </c>
    </row>
    <row r="24904" xml:space="preserve">
      <c r="B24904" t="str" xml:space="preserve">
        <v xml:space="preserve">Công an huyện Can Lộc _x000d_
 tỉnh Hà Tĩnh</v>
      </c>
      <c r="C24904" t="str">
        <v>-</v>
      </c>
      <c r="D24904" t="str">
        <v>-</v>
      </c>
      <c r="E24904" t="str">
        <v/>
      </c>
      <c r="F24904" t="str">
        <v>-</v>
      </c>
      <c r="G24904" t="str">
        <v>-</v>
      </c>
    </row>
    <row r="24905" xml:space="preserve">
      <c r="B24905" t="str" xml:space="preserve">
        <v xml:space="preserve">UBND Ủy ban nhân dân huyện Can Lộc _x000d_
 tỉnh Hà Tĩnh</v>
      </c>
      <c r="C24905" t="str">
        <v>-</v>
      </c>
      <c r="D24905" t="str">
        <v>-</v>
      </c>
      <c r="E24905" t="str">
        <v>-</v>
      </c>
      <c r="F24905" t="str">
        <v>-</v>
      </c>
      <c r="G24905" t="str">
        <v>-</v>
      </c>
    </row>
    <row r="24906">
      <c r="B24906" t="str">
        <v>Công an huyện Lâm Bình tỉnh Tuyên Quang</v>
      </c>
      <c r="C24906" t="str">
        <v>-</v>
      </c>
      <c r="D24906" t="str">
        <v>-</v>
      </c>
      <c r="E24906" t="str">
        <v/>
      </c>
      <c r="F24906" t="str">
        <v>-</v>
      </c>
      <c r="G24906" t="str">
        <v>-</v>
      </c>
    </row>
    <row r="24907">
      <c r="B24907" t="str">
        <v>UBND Ủy ban nhân dân huyện Lâm Bình tỉnh Tuyên Quang</v>
      </c>
      <c r="C24907" t="str">
        <v>-</v>
      </c>
      <c r="D24907" t="str">
        <v>-</v>
      </c>
      <c r="E24907" t="str">
        <v>-</v>
      </c>
      <c r="F24907" t="str">
        <v>-</v>
      </c>
      <c r="G24907" t="str">
        <v>-</v>
      </c>
    </row>
    <row r="24908">
      <c r="B24908" t="str">
        <v>Công an xã Iaga tỉnh Gia Lai</v>
      </c>
      <c r="C24908" t="str">
        <v>-</v>
      </c>
      <c r="D24908" t="str">
        <v>-</v>
      </c>
      <c r="E24908" t="str">
        <v/>
      </c>
      <c r="F24908" t="str">
        <v>-</v>
      </c>
      <c r="G24908" t="str">
        <v>-</v>
      </c>
    </row>
    <row r="24909">
      <c r="B24909" t="str">
        <v>UBND Ủy ban nhân dân xã Iaga tỉnh Gia Lai</v>
      </c>
      <c r="C24909" t="str">
        <v>-</v>
      </c>
      <c r="D24909" t="str">
        <v>-</v>
      </c>
      <c r="E24909" t="str">
        <v>-</v>
      </c>
      <c r="F24909" t="str">
        <v>-</v>
      </c>
      <c r="G24909" t="str">
        <v>-</v>
      </c>
    </row>
    <row r="24910">
      <c r="B24910" t="str">
        <v>Bộ Tư lệnh Cảnh sát cơ động  tỉnh Đắk Lắk</v>
      </c>
    </row>
    <row r="24911">
      <c r="B24911" t="str">
        <v>UBND Ủy ban nhân dânệnh Cảnh sát cơ động  tỉnh Đắk Lắk</v>
      </c>
      <c r="C24911" t="str">
        <v>-</v>
      </c>
      <c r="D24911" t="str">
        <v>-</v>
      </c>
      <c r="E24911" t="str">
        <v>-</v>
      </c>
      <c r="F24911" t="str">
        <v>-</v>
      </c>
      <c r="G24911" t="str">
        <v>-</v>
      </c>
    </row>
    <row r="24912">
      <c r="B24912" t="str">
        <v>Công an Hà Nội thành phố Hà Nội</v>
      </c>
      <c r="C24912" t="str">
        <v>-</v>
      </c>
      <c r="D24912" t="str">
        <v>-</v>
      </c>
      <c r="E24912" t="str">
        <v/>
      </c>
      <c r="F24912" t="str">
        <v>-</v>
      </c>
      <c r="G24912" t="str">
        <v>-</v>
      </c>
    </row>
    <row r="24913">
      <c r="B24913" t="str">
        <v>UBND Ủy ban nhân dân Hà Nội thành phố Hà Nội</v>
      </c>
      <c r="C24913" t="str">
        <v>-</v>
      </c>
      <c r="D24913" t="str">
        <v>-</v>
      </c>
      <c r="E24913" t="str">
        <v>-</v>
      </c>
      <c r="F24913" t="str">
        <v>-</v>
      </c>
      <c r="G24913" t="str">
        <v>-</v>
      </c>
    </row>
    <row r="24914" xml:space="preserve">
      <c r="B24914" t="str" xml:space="preserve">
        <v xml:space="preserve">Công an xã Đăk La _x000d_
 tỉnh Kon Tum</v>
      </c>
      <c r="C24914" t="str">
        <v>-</v>
      </c>
      <c r="D24914" t="str">
        <v>-</v>
      </c>
      <c r="E24914" t="str">
        <v/>
      </c>
      <c r="F24914" t="str">
        <v>-</v>
      </c>
      <c r="G24914" t="str">
        <v>-</v>
      </c>
    </row>
    <row r="24915" xml:space="preserve">
      <c r="B24915" t="str" xml:space="preserve">
        <v xml:space="preserve">UBND Ủy ban nhân dân xã Đăk La _x000d_
 tỉnh Kon Tum</v>
      </c>
      <c r="C24915" t="str">
        <v>-</v>
      </c>
      <c r="D24915" t="str">
        <v>-</v>
      </c>
      <c r="E24915" t="str">
        <v>-</v>
      </c>
      <c r="F24915" t="str">
        <v>-</v>
      </c>
      <c r="G24915" t="str">
        <v>-</v>
      </c>
    </row>
    <row r="24916" xml:space="preserve">
      <c r="B24916" t="str" xml:space="preserve">
        <v xml:space="preserve">Công an huyện Dương Minh Châu _x000d_
 tỉnh TÂY NINH</v>
      </c>
      <c r="C24916" t="str">
        <v>-</v>
      </c>
      <c r="D24916" t="str">
        <v>-</v>
      </c>
      <c r="E24916" t="str">
        <v/>
      </c>
      <c r="F24916" t="str">
        <v>-</v>
      </c>
      <c r="G24916" t="str">
        <v>-</v>
      </c>
    </row>
    <row r="24917" xml:space="preserve">
      <c r="B24917" t="str" xml:space="preserve">
        <v xml:space="preserve">UBND Ủy ban nhân dân huyện Dương Minh Châu _x000d_
 tỉnh TÂY NINH</v>
      </c>
      <c r="C24917" t="str">
        <v>-</v>
      </c>
      <c r="D24917" t="str">
        <v>-</v>
      </c>
      <c r="E24917" t="str">
        <v>-</v>
      </c>
      <c r="F24917" t="str">
        <v>-</v>
      </c>
      <c r="G24917" t="str">
        <v>-</v>
      </c>
    </row>
    <row r="24918">
      <c r="B24918" t="str">
        <v>Công an tỉnh Vĩnh Phúc  tỉnh Vĩnh Phúc</v>
      </c>
      <c r="C24918" t="str">
        <v>-</v>
      </c>
      <c r="D24918" t="str">
        <v>-</v>
      </c>
      <c r="E24918" t="str">
        <v/>
      </c>
      <c r="F24918" t="str">
        <v>-</v>
      </c>
      <c r="G24918" t="str">
        <v>-</v>
      </c>
    </row>
    <row r="24919">
      <c r="B24919" t="str">
        <v>UBND Ủy ban nhân dân tỉnh Vĩnh Phúc  tỉnh Vĩnh Phúc</v>
      </c>
      <c r="C24919" t="str">
        <v>-</v>
      </c>
      <c r="D24919" t="str">
        <v>-</v>
      </c>
      <c r="E24919" t="str">
        <v>-</v>
      </c>
      <c r="F24919" t="str">
        <v>-</v>
      </c>
      <c r="G24919" t="str">
        <v>-</v>
      </c>
    </row>
    <row r="24920">
      <c r="B24920" t="str">
        <v>Công an phường Hương Long tỉnh THỪA THIÊN HUẾ</v>
      </c>
      <c r="C24920" t="str">
        <v>-</v>
      </c>
      <c r="D24920" t="str">
        <v>-</v>
      </c>
      <c r="E24920" t="str">
        <v/>
      </c>
      <c r="F24920" t="str">
        <v>-</v>
      </c>
      <c r="G24920" t="str">
        <v>-</v>
      </c>
    </row>
    <row r="24921">
      <c r="B24921" t="str">
        <v>UBND Ủy ban nhân dân phường Hương Long tỉnh THỪA THIÊN HUẾ</v>
      </c>
      <c r="C24921" t="str">
        <v>-</v>
      </c>
      <c r="D24921" t="str">
        <v>-</v>
      </c>
      <c r="E24921" t="str">
        <v>-</v>
      </c>
      <c r="F24921" t="str">
        <v>-</v>
      </c>
      <c r="G24921" t="str">
        <v>-</v>
      </c>
    </row>
    <row r="24922">
      <c r="B24922" t="str">
        <v>Công an huyện Đăk Hà  tỉnh Kon Tum</v>
      </c>
      <c r="C24922" t="str">
        <v>-</v>
      </c>
      <c r="D24922" t="str">
        <v>-</v>
      </c>
      <c r="E24922" t="str">
        <v/>
      </c>
      <c r="F24922" t="str">
        <v>-</v>
      </c>
      <c r="G24922" t="str">
        <v>-</v>
      </c>
    </row>
    <row r="24923">
      <c r="B24923" t="str">
        <v>UBND Ủy ban nhân dân huyện Đăk Hà  tỉnh Kon Tum</v>
      </c>
      <c r="C24923" t="str">
        <v>-</v>
      </c>
      <c r="D24923" t="str">
        <v>-</v>
      </c>
      <c r="E24923" t="str">
        <v>-</v>
      </c>
      <c r="F24923" t="str">
        <v>-</v>
      </c>
      <c r="G24923" t="str">
        <v>-</v>
      </c>
    </row>
    <row r="24924">
      <c r="B24924" t="str">
        <v>Công an huyện Mỹ Lộc  tỉnh Thanh Hóa</v>
      </c>
      <c r="C24924" t="str">
        <v>-</v>
      </c>
      <c r="D24924" t="str">
        <v>-</v>
      </c>
      <c r="E24924" t="str">
        <v/>
      </c>
      <c r="F24924" t="str">
        <v>-</v>
      </c>
      <c r="G24924" t="str">
        <v>-</v>
      </c>
    </row>
    <row r="24925">
      <c r="B24925" t="str">
        <v>UBND Ủy ban nhân dân huyện Mỹ Lộc  tỉnh Thanh Hóa</v>
      </c>
      <c r="C24925" t="str">
        <v>-</v>
      </c>
      <c r="D24925" t="str">
        <v>-</v>
      </c>
      <c r="E24925" t="str">
        <v>-</v>
      </c>
      <c r="F24925" t="str">
        <v>-</v>
      </c>
      <c r="G24925" t="str">
        <v>-</v>
      </c>
    </row>
    <row r="24926">
      <c r="B24926" t="str">
        <v>Công an huyện Đức Cơ tỉnh Gia Lai</v>
      </c>
      <c r="C24926" t="str">
        <v>-</v>
      </c>
      <c r="D24926" t="str">
        <v>-</v>
      </c>
      <c r="E24926" t="str">
        <v/>
      </c>
      <c r="F24926" t="str">
        <v>-</v>
      </c>
      <c r="G24926" t="str">
        <v>-</v>
      </c>
    </row>
    <row r="24927">
      <c r="B24927" t="str">
        <v>UBND Ủy ban nhân dân huyện Đức Cơ tỉnh Gia Lai</v>
      </c>
      <c r="C24927" t="str">
        <v>-</v>
      </c>
      <c r="D24927" t="str">
        <v>-</v>
      </c>
      <c r="E24927" t="str">
        <v>-</v>
      </c>
      <c r="F24927" t="str">
        <v>-</v>
      </c>
      <c r="G24927" t="str">
        <v>-</v>
      </c>
    </row>
    <row r="24928">
      <c r="B24928" t="str">
        <v>Công an huyện Đức Thọ tỉnh Hà Tĩnh</v>
      </c>
      <c r="C24928" t="str">
        <v>-</v>
      </c>
      <c r="D24928" t="str">
        <v>-</v>
      </c>
      <c r="E24928" t="str">
        <v/>
      </c>
      <c r="F24928" t="str">
        <v>-</v>
      </c>
      <c r="G24928" t="str">
        <v>-</v>
      </c>
    </row>
    <row r="24929">
      <c r="B24929" t="str">
        <v>UBND Ủy ban nhân dân huyện Đức Thọ tỉnh Hà Tĩnh</v>
      </c>
      <c r="C24929" t="str">
        <v>-</v>
      </c>
      <c r="D24929" t="str">
        <v>-</v>
      </c>
      <c r="E24929" t="str">
        <v>-</v>
      </c>
      <c r="F24929" t="str">
        <v>-</v>
      </c>
      <c r="G24929" t="str">
        <v>-</v>
      </c>
    </row>
    <row r="24930" xml:space="preserve">
      <c r="B24930" t="str" xml:space="preserve">
        <v xml:space="preserve">Công an huyện Điện Biên _x000d_
 tỉnh Điện Biên</v>
      </c>
      <c r="C24930" t="str">
        <v>-</v>
      </c>
      <c r="D24930" t="str">
        <v>-</v>
      </c>
      <c r="E24930" t="str">
        <v/>
      </c>
      <c r="F24930" t="str">
        <v>-</v>
      </c>
      <c r="G24930" t="str">
        <v>-</v>
      </c>
    </row>
    <row r="24931" xml:space="preserve">
      <c r="B24931" t="str" xml:space="preserve">
        <v xml:space="preserve">UBND Ủy ban nhân dân huyện Điện Biên _x000d_
 tỉnh Điện Biên</v>
      </c>
      <c r="C24931" t="str">
        <v>-</v>
      </c>
      <c r="D24931" t="str">
        <v>-</v>
      </c>
      <c r="E24931" t="str">
        <v>-</v>
      </c>
      <c r="F24931" t="str">
        <v>-</v>
      </c>
      <c r="G24931" t="str">
        <v>-</v>
      </c>
    </row>
    <row r="24932" xml:space="preserve">
      <c r="B24932" t="str" xml:space="preserve">
        <v xml:space="preserve">Công an huyện Bảo Lạc _x000d_
 tỉnh Cao Bằng</v>
      </c>
      <c r="C24932" t="str">
        <v>-</v>
      </c>
      <c r="D24932" t="str">
        <v>-</v>
      </c>
      <c r="E24932" t="str">
        <v/>
      </c>
      <c r="F24932" t="str">
        <v>-</v>
      </c>
      <c r="G24932" t="str">
        <v>-</v>
      </c>
    </row>
    <row r="24933" xml:space="preserve">
      <c r="B24933" t="str" xml:space="preserve">
        <v xml:space="preserve">UBND Ủy ban nhân dân huyện Bảo Lạc _x000d_
 tỉnh Cao Bằng</v>
      </c>
      <c r="C24933" t="str">
        <v>-</v>
      </c>
      <c r="D24933" t="str">
        <v>-</v>
      </c>
      <c r="E24933" t="str">
        <v>-</v>
      </c>
      <c r="F24933" t="str">
        <v>-</v>
      </c>
      <c r="G24933" t="str">
        <v>-</v>
      </c>
    </row>
    <row r="24934">
      <c r="B24934" t="str">
        <v>Công an huyện Bắc Bình tỉnh Bình Thuận</v>
      </c>
      <c r="C24934" t="str">
        <v>-</v>
      </c>
      <c r="D24934" t="str">
        <v>-</v>
      </c>
      <c r="E24934" t="str">
        <v/>
      </c>
      <c r="F24934" t="str">
        <v>-</v>
      </c>
      <c r="G24934" t="str">
        <v>-</v>
      </c>
    </row>
    <row r="24935">
      <c r="B24935" t="str">
        <v>UBND Ủy ban nhân dân huyện Bắc Bình tỉnh Bình Thuận</v>
      </c>
      <c r="C24935" t="str">
        <v>-</v>
      </c>
      <c r="D24935" t="str">
        <v>-</v>
      </c>
      <c r="E24935" t="str">
        <v>-</v>
      </c>
      <c r="F24935" t="str">
        <v>-</v>
      </c>
      <c r="G24935" t="str">
        <v>-</v>
      </c>
    </row>
    <row r="24936">
      <c r="B24936" t="str">
        <v>Công an huyện Bắc Tân Uyên tỉnh Bình Dương</v>
      </c>
      <c r="C24936" t="str">
        <v>-</v>
      </c>
      <c r="D24936" t="str">
        <v>-</v>
      </c>
      <c r="E24936" t="str">
        <v/>
      </c>
      <c r="F24936" t="str">
        <v>-</v>
      </c>
      <c r="G24936" t="str">
        <v>-</v>
      </c>
    </row>
    <row r="24937">
      <c r="B24937" t="str">
        <v>UBND Ủy ban nhân dân huyện Bắc Tân Uyên tỉnh Bình Dương</v>
      </c>
      <c r="C24937" t="str">
        <v>-</v>
      </c>
      <c r="D24937" t="str">
        <v>-</v>
      </c>
      <c r="E24937" t="str">
        <v>-</v>
      </c>
      <c r="F24937" t="str">
        <v>-</v>
      </c>
      <c r="G24937" t="str">
        <v>-</v>
      </c>
    </row>
    <row r="24938">
      <c r="B24938" t="str">
        <v>Công an huyện Cái Bè tỉnh TIỀN GIANG</v>
      </c>
      <c r="C24938" t="str">
        <v>-</v>
      </c>
      <c r="D24938" t="str">
        <v>-</v>
      </c>
      <c r="E24938" t="str">
        <v/>
      </c>
      <c r="F24938" t="str">
        <v>-</v>
      </c>
      <c r="G24938" t="str">
        <v>-</v>
      </c>
    </row>
    <row r="24939">
      <c r="B24939" t="str">
        <v>UBND Ủy ban nhân dân huyện Cái Bè tỉnh TIỀN GIANG</v>
      </c>
      <c r="C24939" t="str">
        <v>-</v>
      </c>
      <c r="D24939" t="str">
        <v>-</v>
      </c>
      <c r="E24939" t="str">
        <v>-</v>
      </c>
      <c r="F24939" t="str">
        <v>-</v>
      </c>
      <c r="G24939" t="str">
        <v>-</v>
      </c>
    </row>
    <row r="24940">
      <c r="B24940" t="str">
        <v>Công an huyện Châu Đức tỉnh Bà Rịa - Vũng Tàu</v>
      </c>
      <c r="C24940" t="str">
        <v>-</v>
      </c>
      <c r="D24940" t="str">
        <v>-</v>
      </c>
      <c r="E24940" t="str">
        <v/>
      </c>
      <c r="F24940" t="str">
        <v>-</v>
      </c>
      <c r="G24940" t="str">
        <v>-</v>
      </c>
    </row>
    <row r="24941">
      <c r="B24941" t="str">
        <v>UBND Ủy ban nhân dân huyện Châu Đức tỉnh Bà Rịa - Vũng Tàu</v>
      </c>
      <c r="C24941" t="str">
        <v>-</v>
      </c>
      <c r="D24941" t="str">
        <v>-</v>
      </c>
      <c r="E24941" t="str">
        <v>-</v>
      </c>
      <c r="F24941" t="str">
        <v>-</v>
      </c>
      <c r="G24941" t="str">
        <v>-</v>
      </c>
    </row>
    <row r="24942">
      <c r="B24942" t="str">
        <v>Công an huyện Châu Thành tỉnh An Giang</v>
      </c>
      <c r="C24942" t="str">
        <v>-</v>
      </c>
      <c r="D24942" t="str">
        <v>-</v>
      </c>
      <c r="E24942" t="str">
        <v/>
      </c>
      <c r="F24942" t="str">
        <v>-</v>
      </c>
      <c r="G24942" t="str">
        <v>-</v>
      </c>
    </row>
    <row r="24943">
      <c r="B24943" t="str">
        <v>UBND Ủy ban nhân dân huyện Châu Thành tỉnh An Giang</v>
      </c>
      <c r="C24943" t="str">
        <v>-</v>
      </c>
      <c r="D24943" t="str">
        <v>-</v>
      </c>
      <c r="E24943" t="str">
        <v>-</v>
      </c>
      <c r="F24943" t="str">
        <v>-</v>
      </c>
      <c r="G24943" t="str">
        <v>-</v>
      </c>
    </row>
    <row r="24944">
      <c r="B24944" t="str">
        <v>Công an huyện Châu Thành tỉnh TÂY NINH</v>
      </c>
      <c r="C24944" t="str">
        <v>-</v>
      </c>
      <c r="D24944" t="str">
        <v>-</v>
      </c>
      <c r="E24944" t="str">
        <v/>
      </c>
      <c r="F24944" t="str">
        <v>-</v>
      </c>
      <c r="G24944" t="str">
        <v>-</v>
      </c>
    </row>
    <row r="24945">
      <c r="B24945" t="str">
        <v>UBND Ủy ban nhân dân huyện Châu Thành tỉnh TÂY NINH</v>
      </c>
      <c r="C24945" t="str">
        <v>-</v>
      </c>
      <c r="D24945" t="str">
        <v>-</v>
      </c>
      <c r="E24945" t="str">
        <v>-</v>
      </c>
      <c r="F24945" t="str">
        <v>-</v>
      </c>
      <c r="G24945" t="str">
        <v>-</v>
      </c>
    </row>
    <row r="24946" xml:space="preserve">
      <c r="B24946" t="str" xml:space="preserve">
        <v xml:space="preserve">Công an huyện Chư Prông _x000d_
 tỉnh Gia Lai</v>
      </c>
      <c r="C24946" t="str">
        <v>-</v>
      </c>
      <c r="D24946" t="str">
        <v>-</v>
      </c>
      <c r="E24946" t="str">
        <v/>
      </c>
      <c r="F24946" t="str">
        <v>-</v>
      </c>
      <c r="G24946" t="str">
        <v>-</v>
      </c>
    </row>
    <row r="24947" xml:space="preserve">
      <c r="B24947" t="str" xml:space="preserve">
        <v xml:space="preserve">UBND Ủy ban nhân dân huyện Chư Prông _x000d_
 tỉnh Gia Lai</v>
      </c>
      <c r="C24947" t="str">
        <v>-</v>
      </c>
      <c r="D24947" t="str">
        <v>-</v>
      </c>
      <c r="E24947" t="str">
        <v>-</v>
      </c>
      <c r="F24947" t="str">
        <v>-</v>
      </c>
      <c r="G24947" t="str">
        <v>-</v>
      </c>
    </row>
    <row r="24948" xml:space="preserve">
      <c r="B24948" t="str" xml:space="preserve">
        <v xml:space="preserve">Công an huyện Gia Bình _x000d_
 tỉnh Bắc Ninh</v>
      </c>
      <c r="C24948" t="str">
        <v>-</v>
      </c>
      <c r="D24948" t="str">
        <v>-</v>
      </c>
      <c r="E24948" t="str">
        <v/>
      </c>
      <c r="F24948" t="str">
        <v>-</v>
      </c>
      <c r="G24948" t="str">
        <v>-</v>
      </c>
    </row>
    <row r="24949" xml:space="preserve">
      <c r="B24949" t="str" xml:space="preserve">
        <v xml:space="preserve">UBND Ủy ban nhân dân huyện Gia Bình _x000d_
 tỉnh Bắc Ninh</v>
      </c>
      <c r="C24949" t="str">
        <v>-</v>
      </c>
      <c r="D24949" t="str">
        <v>-</v>
      </c>
      <c r="E24949" t="str">
        <v>-</v>
      </c>
      <c r="F24949" t="str">
        <v>-</v>
      </c>
      <c r="G24949" t="str">
        <v>-</v>
      </c>
    </row>
    <row r="24950" xml:space="preserve">
      <c r="B24950" t="str" xml:space="preserve">
        <v xml:space="preserve">Công an huyện Hà Quảng _x000d_
 tỉnh Cao Bằng</v>
      </c>
      <c r="C24950" t="str">
        <v>-</v>
      </c>
      <c r="D24950" t="str">
        <v>-</v>
      </c>
      <c r="E24950" t="str">
        <v/>
      </c>
      <c r="F24950" t="str">
        <v>-</v>
      </c>
      <c r="G24950" t="str">
        <v>-</v>
      </c>
    </row>
    <row r="24951" xml:space="preserve">
      <c r="B24951" t="str" xml:space="preserve">
        <v xml:space="preserve">UBND Ủy ban nhân dân huyện Hà Quảng _x000d_
 tỉnh Cao Bằng</v>
      </c>
      <c r="C24951" t="str">
        <v>-</v>
      </c>
      <c r="D24951" t="str">
        <v>-</v>
      </c>
      <c r="E24951" t="str">
        <v>-</v>
      </c>
      <c r="F24951" t="str">
        <v>-</v>
      </c>
      <c r="G24951" t="str">
        <v>-</v>
      </c>
    </row>
    <row r="24952" xml:space="preserve">
      <c r="B24952" t="str" xml:space="preserve">
        <v xml:space="preserve">Công an huyện Ia H'Drai _x000d_
 tỉnh Kon Tum</v>
      </c>
      <c r="C24952" t="str">
        <v>-</v>
      </c>
      <c r="D24952" t="str">
        <v>-</v>
      </c>
      <c r="E24952" t="str">
        <v/>
      </c>
      <c r="F24952" t="str">
        <v>-</v>
      </c>
      <c r="G24952" t="str">
        <v>-</v>
      </c>
    </row>
    <row r="24953" xml:space="preserve">
      <c r="B24953" t="str" xml:space="preserve">
        <v xml:space="preserve">UBND Ủy ban nhân dân huyện Ia H'Drai _x000d_
 tỉnh Kon Tum</v>
      </c>
      <c r="C24953" t="str">
        <v>-</v>
      </c>
      <c r="D24953" t="str">
        <v>-</v>
      </c>
      <c r="E24953" t="str">
        <v>-</v>
      </c>
      <c r="F24953" t="str">
        <v>-</v>
      </c>
      <c r="G24953" t="str">
        <v>-</v>
      </c>
    </row>
    <row r="24954" xml:space="preserve">
      <c r="B24954" t="str" xml:space="preserve">
        <v xml:space="preserve">Công an huyện Kiến Thuỵ _x000d_
 thành phố Hải Phòng</v>
      </c>
      <c r="C24954" t="str">
        <v>-</v>
      </c>
      <c r="D24954" t="str">
        <v>-</v>
      </c>
      <c r="E24954" t="str">
        <v/>
      </c>
      <c r="F24954" t="str">
        <v>-</v>
      </c>
      <c r="G24954" t="str">
        <v>-</v>
      </c>
    </row>
    <row r="24955" xml:space="preserve">
      <c r="B24955" t="str" xml:space="preserve">
        <v xml:space="preserve">UBND Ủy ban nhân dân huyện Kiến Thuỵ _x000d_
 thành phố Hải Phòng</v>
      </c>
      <c r="C24955" t="str">
        <v>-</v>
      </c>
      <c r="D24955" t="str">
        <v>-</v>
      </c>
      <c r="E24955" t="str">
        <v>-</v>
      </c>
      <c r="F24955" t="str">
        <v>-</v>
      </c>
      <c r="G24955" t="str">
        <v>-</v>
      </c>
    </row>
    <row r="24956">
      <c r="B24956" t="str">
        <v>Công an huyện Lục Nam tỉnh Bắc Giang</v>
      </c>
      <c r="C24956" t="str">
        <v>-</v>
      </c>
      <c r="D24956" t="str">
        <v>-</v>
      </c>
      <c r="E24956" t="str">
        <v/>
      </c>
      <c r="F24956" t="str">
        <v>-</v>
      </c>
      <c r="G24956" t="str">
        <v>-</v>
      </c>
    </row>
    <row r="24957">
      <c r="B24957" t="str">
        <v>UBND Ủy ban nhân dân huyện Lục Nam tỉnh Bắc Giang</v>
      </c>
      <c r="C24957" t="str">
        <v>-</v>
      </c>
      <c r="D24957" t="str">
        <v>-</v>
      </c>
      <c r="E24957" t="str">
        <v>-</v>
      </c>
      <c r="F24957" t="str">
        <v>-</v>
      </c>
      <c r="G24957" t="str">
        <v>-</v>
      </c>
    </row>
    <row r="24958">
      <c r="B24958" t="str">
        <v>Công an huyện Lục Nam tỉnh Bắc Giang</v>
      </c>
      <c r="C24958" t="str">
        <v>-</v>
      </c>
      <c r="D24958" t="str">
        <v>-</v>
      </c>
      <c r="E24958" t="str">
        <v/>
      </c>
      <c r="F24958" t="str">
        <v>-</v>
      </c>
      <c r="G24958" t="str">
        <v>-</v>
      </c>
    </row>
    <row r="24959">
      <c r="B24959" t="str">
        <v>UBND Ủy ban nhân dân huyện Lục Nam tỉnh Bắc Giang</v>
      </c>
      <c r="C24959" t="str">
        <v>-</v>
      </c>
      <c r="D24959" t="str">
        <v>-</v>
      </c>
      <c r="E24959" t="str">
        <v>-</v>
      </c>
      <c r="F24959" t="str">
        <v>-</v>
      </c>
      <c r="G24959" t="str">
        <v>-</v>
      </c>
    </row>
    <row r="24960" xml:space="preserve">
      <c r="B24960" t="str" xml:space="preserve">
        <v xml:space="preserve">Công an huyện Lang Chánh _x000d_
 tỉnh Thanh Hóa</v>
      </c>
      <c r="C24960" t="str">
        <v>-</v>
      </c>
      <c r="D24960" t="str">
        <v>-</v>
      </c>
      <c r="E24960" t="str">
        <v/>
      </c>
      <c r="F24960" t="str">
        <v>-</v>
      </c>
      <c r="G24960" t="str">
        <v>-</v>
      </c>
    </row>
    <row r="24961" xml:space="preserve">
      <c r="B24961" t="str" xml:space="preserve">
        <v xml:space="preserve">UBND Ủy ban nhân dân huyện Lang Chánh _x000d_
 tỉnh Thanh Hóa</v>
      </c>
      <c r="C24961" t="str">
        <v>-</v>
      </c>
      <c r="D24961" t="str">
        <v>-</v>
      </c>
      <c r="E24961" t="str">
        <v>-</v>
      </c>
      <c r="F24961" t="str">
        <v>-</v>
      </c>
      <c r="G24961" t="str">
        <v>-</v>
      </c>
    </row>
    <row r="24962" xml:space="preserve">
      <c r="B24962" t="str" xml:space="preserve">
        <v xml:space="preserve">Công an huyện Long Hồ _x000d_
 tỉnh Vĩnh Long</v>
      </c>
      <c r="C24962" t="str">
        <v>-</v>
      </c>
      <c r="D24962" t="str">
        <v>-</v>
      </c>
      <c r="E24962" t="str">
        <v/>
      </c>
      <c r="F24962" t="str">
        <v>-</v>
      </c>
      <c r="G24962" t="str">
        <v>-</v>
      </c>
    </row>
    <row r="24963" xml:space="preserve">
      <c r="B24963" t="str" xml:space="preserve">
        <v xml:space="preserve">UBND Ủy ban nhân dân huyện Long Hồ _x000d_
 tỉnh Vĩnh Long</v>
      </c>
      <c r="C24963" t="str">
        <v>-</v>
      </c>
      <c r="D24963" t="str">
        <v>-</v>
      </c>
      <c r="E24963" t="str">
        <v>-</v>
      </c>
      <c r="F24963" t="str">
        <v>-</v>
      </c>
      <c r="G24963" t="str">
        <v>-</v>
      </c>
    </row>
    <row r="24964">
      <c r="B24964" t="str">
        <v>Công an huyện Mù Cang Chải tỉnh Yên Bái</v>
      </c>
      <c r="C24964" t="str">
        <v>-</v>
      </c>
      <c r="D24964" t="str">
        <v>-</v>
      </c>
      <c r="E24964" t="str">
        <v/>
      </c>
      <c r="F24964" t="str">
        <v>-</v>
      </c>
      <c r="G24964" t="str">
        <v>-</v>
      </c>
    </row>
    <row r="24965">
      <c r="B24965" t="str">
        <v>UBND Ủy ban nhân dân huyện Mù Cang Chải tỉnh Yên Bái</v>
      </c>
      <c r="C24965" t="str">
        <v>-</v>
      </c>
      <c r="D24965" t="str">
        <v>-</v>
      </c>
      <c r="E24965" t="str">
        <v>-</v>
      </c>
      <c r="F24965" t="str">
        <v>-</v>
      </c>
      <c r="G24965" t="str">
        <v>-</v>
      </c>
    </row>
    <row r="24966" xml:space="preserve">
      <c r="B24966" t="str" xml:space="preserve">
        <v xml:space="preserve">Công an huyện Mường Ảng _x000d_
 tỉnh Điện Biên</v>
      </c>
      <c r="C24966" t="str">
        <v>-</v>
      </c>
      <c r="D24966" t="str">
        <v>-</v>
      </c>
      <c r="E24966" t="str">
        <v/>
      </c>
      <c r="F24966" t="str">
        <v>-</v>
      </c>
      <c r="G24966" t="str">
        <v>-</v>
      </c>
    </row>
    <row r="24967" xml:space="preserve">
      <c r="B24967" t="str" xml:space="preserve">
        <v xml:space="preserve">UBND Ủy ban nhân dân huyện Mường Ảng _x000d_
 tỉnh Điện Biên</v>
      </c>
      <c r="C24967" t="str">
        <v>-</v>
      </c>
      <c r="D24967" t="str">
        <v>-</v>
      </c>
      <c r="E24967" t="str">
        <v>-</v>
      </c>
      <c r="F24967" t="str">
        <v>-</v>
      </c>
      <c r="G24967" t="str">
        <v>-</v>
      </c>
    </row>
    <row r="24968">
      <c r="B24968" t="str">
        <v>Công an huyện Mường Lát tỉnh Thanh Hóa</v>
      </c>
      <c r="C24968" t="str">
        <v>-</v>
      </c>
      <c r="D24968" t="str">
        <v>-</v>
      </c>
      <c r="E24968" t="str">
        <v/>
      </c>
      <c r="F24968" t="str">
        <v>-</v>
      </c>
      <c r="G24968" t="str">
        <v>-</v>
      </c>
    </row>
    <row r="24969">
      <c r="B24969" t="str">
        <v>UBND Ủy ban nhân dân huyện Mường Lát tỉnh Thanh Hóa</v>
      </c>
      <c r="C24969" t="str">
        <v>-</v>
      </c>
      <c r="D24969" t="str">
        <v>-</v>
      </c>
      <c r="E24969" t="str">
        <v>-</v>
      </c>
      <c r="F24969" t="str">
        <v>-</v>
      </c>
      <c r="G24969" t="str">
        <v>-</v>
      </c>
    </row>
    <row r="24970" xml:space="preserve">
      <c r="B24970" t="str" xml:space="preserve">
        <v xml:space="preserve">Công an huyện Mộc Châu _x000d_
 tỉnh Sơn La</v>
      </c>
      <c r="C24970" t="str">
        <v>-</v>
      </c>
      <c r="D24970" t="str">
        <v>-</v>
      </c>
      <c r="E24970" t="str">
        <v/>
      </c>
      <c r="F24970" t="str">
        <v>-</v>
      </c>
      <c r="G24970" t="str">
        <v>-</v>
      </c>
    </row>
    <row r="24971" xml:space="preserve">
      <c r="B24971" t="str" xml:space="preserve">
        <v xml:space="preserve">UBND Ủy ban nhân dân huyện Mộc Châu _x000d_
 tỉnh Sơn La</v>
      </c>
      <c r="C24971" t="str">
        <v>-</v>
      </c>
      <c r="D24971" t="str">
        <v>-</v>
      </c>
      <c r="E24971" t="str">
        <v>-</v>
      </c>
      <c r="F24971" t="str">
        <v>-</v>
      </c>
      <c r="G24971" t="str">
        <v>-</v>
      </c>
    </row>
    <row r="24972" xml:space="preserve">
      <c r="B24972" t="str" xml:space="preserve">
        <v xml:space="preserve">Công an huyện Mang Yang _x000d_
 tỉnh Gia Lai</v>
      </c>
      <c r="C24972" t="str">
        <v>-</v>
      </c>
      <c r="D24972" t="str">
        <v>-</v>
      </c>
      <c r="E24972" t="str">
        <v/>
      </c>
      <c r="F24972" t="str">
        <v>-</v>
      </c>
      <c r="G24972" t="str">
        <v>-</v>
      </c>
    </row>
    <row r="24973" xml:space="preserve">
      <c r="B24973" t="str" xml:space="preserve">
        <v xml:space="preserve">UBND Ủy ban nhân dân huyện Mang Yang _x000d_
 tỉnh Gia Lai</v>
      </c>
      <c r="C24973" t="str">
        <v>-</v>
      </c>
      <c r="D24973" t="str">
        <v>-</v>
      </c>
      <c r="E24973" t="str">
        <v>-</v>
      </c>
      <c r="F24973" t="str">
        <v>-</v>
      </c>
      <c r="G24973" t="str">
        <v>-</v>
      </c>
    </row>
    <row r="24974" xml:space="preserve">
      <c r="B24974" t="str" xml:space="preserve">
        <v xml:space="preserve">Công an huyện Nông Cống _x000d_
 tỉnh Thanh Hóa</v>
      </c>
      <c r="C24974" t="str">
        <v>-</v>
      </c>
      <c r="D24974" t="str">
        <v>-</v>
      </c>
      <c r="E24974" t="str">
        <v/>
      </c>
      <c r="F24974" t="str">
        <v>-</v>
      </c>
      <c r="G24974" t="str">
        <v>-</v>
      </c>
    </row>
    <row r="24975" xml:space="preserve">
      <c r="B24975" t="str" xml:space="preserve">
        <v xml:space="preserve">UBND Ủy ban nhân dân huyện Nông Cống _x000d_
 tỉnh Thanh Hóa</v>
      </c>
      <c r="C24975" t="str">
        <v>-</v>
      </c>
      <c r="D24975" t="str">
        <v>-</v>
      </c>
      <c r="E24975" t="str">
        <v>-</v>
      </c>
      <c r="F24975" t="str">
        <v>-</v>
      </c>
      <c r="G24975" t="str">
        <v>-</v>
      </c>
    </row>
    <row r="24976" xml:space="preserve">
      <c r="B24976" t="str" xml:space="preserve">
        <v xml:space="preserve">Công an huyện Ngân Sơn _x000d_
 tỉnh Bắc Kạn</v>
      </c>
      <c r="C24976" t="str">
        <v>-</v>
      </c>
      <c r="D24976" t="str">
        <v>-</v>
      </c>
      <c r="E24976" t="str">
        <v/>
      </c>
      <c r="F24976" t="str">
        <v>-</v>
      </c>
      <c r="G24976" t="str">
        <v>-</v>
      </c>
    </row>
    <row r="24977" xml:space="preserve">
      <c r="B24977" t="str" xml:space="preserve">
        <v xml:space="preserve">UBND Ủy ban nhân dân huyện Ngân Sơn _x000d_
 tỉnh Bắc Kạn</v>
      </c>
      <c r="C24977" t="str">
        <v>-</v>
      </c>
      <c r="D24977" t="str">
        <v>-</v>
      </c>
      <c r="E24977" t="str">
        <v>-</v>
      </c>
      <c r="F24977" t="str">
        <v>-</v>
      </c>
      <c r="G24977" t="str">
        <v>-</v>
      </c>
    </row>
    <row r="24978" xml:space="preserve">
      <c r="B24978" t="str" xml:space="preserve">
        <v xml:space="preserve">Công an huyện Ngọc Lặc _x000d_
 tỉnh Thanh Hóa</v>
      </c>
      <c r="C24978" t="str">
        <v>-</v>
      </c>
      <c r="D24978" t="str">
        <v>-</v>
      </c>
      <c r="E24978" t="str">
        <v/>
      </c>
      <c r="F24978" t="str">
        <v>-</v>
      </c>
      <c r="G24978" t="str">
        <v>-</v>
      </c>
    </row>
    <row r="24979" xml:space="preserve">
      <c r="B24979" t="str" xml:space="preserve">
        <v xml:space="preserve">UBND Ủy ban nhân dân huyện Ngọc Lặc _x000d_
 tỉnh Thanh Hóa</v>
      </c>
      <c r="C24979" t="str">
        <v>-</v>
      </c>
      <c r="D24979" t="str">
        <v>-</v>
      </c>
      <c r="E24979" t="str">
        <v>-</v>
      </c>
      <c r="F24979" t="str">
        <v>-</v>
      </c>
      <c r="G24979" t="str">
        <v>-</v>
      </c>
    </row>
    <row r="24980">
      <c r="B24980" t="str">
        <v>Công an huyện Nguyên Bình tỉnh Cao Bằng</v>
      </c>
      <c r="C24980" t="str">
        <v>-</v>
      </c>
      <c r="D24980" t="str">
        <v>-</v>
      </c>
      <c r="E24980" t="str">
        <v/>
      </c>
      <c r="F24980" t="str">
        <v>-</v>
      </c>
      <c r="G24980" t="str">
        <v>-</v>
      </c>
    </row>
    <row r="24981">
      <c r="B24981" t="str">
        <v>UBND Ủy ban nhân dân huyện Nguyên Bình tỉnh Cao Bằng</v>
      </c>
      <c r="C24981" t="str">
        <v>-</v>
      </c>
      <c r="D24981" t="str">
        <v>-</v>
      </c>
      <c r="E24981" t="str">
        <v>-</v>
      </c>
      <c r="F24981" t="str">
        <v>-</v>
      </c>
      <c r="G24981" t="str">
        <v>-</v>
      </c>
    </row>
    <row r="24982" xml:space="preserve">
      <c r="B24982" t="str" xml:space="preserve">
        <v xml:space="preserve">Công an huyện Nhà Bè _x000d_
 thành phố Hồ Chí Minh</v>
      </c>
      <c r="C24982" t="str">
        <v>-</v>
      </c>
      <c r="D24982" t="str">
        <v>-</v>
      </c>
      <c r="E24982" t="str">
        <v/>
      </c>
      <c r="F24982" t="str">
        <v>-</v>
      </c>
      <c r="G24982" t="str">
        <v>-</v>
      </c>
    </row>
    <row r="24983" xml:space="preserve">
      <c r="B24983" t="str" xml:space="preserve">
        <v xml:space="preserve">UBND Ủy ban nhân dân huyện Nhà Bè _x000d_
 thành phố Hồ Chí Minh</v>
      </c>
      <c r="C24983" t="str">
        <v>-</v>
      </c>
      <c r="D24983" t="str">
        <v>-</v>
      </c>
      <c r="E24983" t="str">
        <v>-</v>
      </c>
      <c r="F24983" t="str">
        <v>-</v>
      </c>
      <c r="G24983" t="str">
        <v>-</v>
      </c>
    </row>
    <row r="24984" xml:space="preserve">
      <c r="B24984" t="str" xml:space="preserve">
        <v xml:space="preserve">Công an huyện Quảng Ninh _x000d_
 tỉnh Quảng Bình</v>
      </c>
      <c r="C24984" t="str">
        <v>-</v>
      </c>
      <c r="D24984" t="str">
        <v>-</v>
      </c>
      <c r="E24984" t="str">
        <v/>
      </c>
      <c r="F24984" t="str">
        <v>-</v>
      </c>
      <c r="G24984" t="str">
        <v>-</v>
      </c>
    </row>
    <row r="24985" xml:space="preserve">
      <c r="B24985" t="str" xml:space="preserve">
        <v xml:space="preserve">UBND Ủy ban nhân dân huyện Quảng Ninh _x000d_
 tỉnh Quảng Bình</v>
      </c>
      <c r="C24985" t="str">
        <v>-</v>
      </c>
      <c r="D24985" t="str">
        <v>-</v>
      </c>
      <c r="E24985" t="str">
        <v>-</v>
      </c>
      <c r="F24985" t="str">
        <v>-</v>
      </c>
      <c r="G24985" t="str">
        <v>-</v>
      </c>
    </row>
    <row r="24986" xml:space="preserve">
      <c r="B24986" t="str" xml:space="preserve">
        <v xml:space="preserve">Công an huyện Quế Phong _x000d_
 tỉnh Nghệ An</v>
      </c>
      <c r="C24986" t="str">
        <v>-</v>
      </c>
      <c r="D24986" t="str">
        <v>-</v>
      </c>
      <c r="E24986" t="str">
        <v/>
      </c>
      <c r="F24986" t="str">
        <v>-</v>
      </c>
      <c r="G24986" t="str">
        <v>-</v>
      </c>
    </row>
    <row r="24987" xml:space="preserve">
      <c r="B24987" t="str" xml:space="preserve">
        <v xml:space="preserve">UBND Ủy ban nhân dân huyện Quế Phong _x000d_
 tỉnh Nghệ An</v>
      </c>
      <c r="C24987" t="str">
        <v>-</v>
      </c>
      <c r="D24987" t="str">
        <v>-</v>
      </c>
      <c r="E24987" t="str">
        <v>-</v>
      </c>
      <c r="F24987" t="str">
        <v>-</v>
      </c>
      <c r="G24987" t="str">
        <v>-</v>
      </c>
    </row>
    <row r="24988" xml:space="preserve">
      <c r="B24988" t="str" xml:space="preserve">
        <v xml:space="preserve">Công an huyện Tân Hiệp _x000d_
 tỉnh Kiên Giang</v>
      </c>
      <c r="C24988" t="str">
        <v>-</v>
      </c>
      <c r="D24988" t="str">
        <v>-</v>
      </c>
      <c r="E24988" t="str">
        <v/>
      </c>
      <c r="F24988" t="str">
        <v>-</v>
      </c>
      <c r="G24988" t="str">
        <v>-</v>
      </c>
    </row>
    <row r="24989" xml:space="preserve">
      <c r="B24989" t="str" xml:space="preserve">
        <v xml:space="preserve">UBND Ủy ban nhân dân huyện Tân Hiệp _x000d_
 tỉnh Kiên Giang</v>
      </c>
      <c r="C24989" t="str">
        <v>-</v>
      </c>
      <c r="D24989" t="str">
        <v>-</v>
      </c>
      <c r="E24989" t="str">
        <v>-</v>
      </c>
      <c r="F24989" t="str">
        <v>-</v>
      </c>
      <c r="G24989" t="str">
        <v>-</v>
      </c>
    </row>
    <row r="24990">
      <c r="B24990" t="str">
        <v>Công an huyện Tân Yên tỉnh Bắc Giang</v>
      </c>
      <c r="C24990" t="str">
        <v>-</v>
      </c>
      <c r="D24990" t="str">
        <v>-</v>
      </c>
      <c r="E24990" t="str">
        <v/>
      </c>
      <c r="F24990" t="str">
        <v>-</v>
      </c>
      <c r="G24990" t="str">
        <v>-</v>
      </c>
    </row>
    <row r="24991">
      <c r="B24991" t="str">
        <v>UBND Ủy ban nhân dân huyện Tân Yên tỉnh Bắc Giang</v>
      </c>
      <c r="C24991" t="str">
        <v>-</v>
      </c>
      <c r="D24991" t="str">
        <v>-</v>
      </c>
      <c r="E24991" t="str">
        <v>-</v>
      </c>
      <c r="F24991" t="str">
        <v>-</v>
      </c>
      <c r="G24991" t="str">
        <v>-</v>
      </c>
    </row>
    <row r="24992" xml:space="preserve">
      <c r="B24992" t="str" xml:space="preserve">
        <v xml:space="preserve">Công an huyện Tương Dương _x000d_
 tỉnh Nghệ An</v>
      </c>
      <c r="C24992" t="str">
        <v>-</v>
      </c>
      <c r="D24992" t="str">
        <v>-</v>
      </c>
      <c r="E24992" t="str">
        <v/>
      </c>
      <c r="F24992" t="str">
        <v>-</v>
      </c>
      <c r="G24992" t="str">
        <v>-</v>
      </c>
    </row>
    <row r="24993" xml:space="preserve">
      <c r="B24993" t="str" xml:space="preserve">
        <v xml:space="preserve">UBND Ủy ban nhân dân huyện Tương Dương _x000d_
 tỉnh Nghệ An</v>
      </c>
      <c r="C24993" t="str">
        <v>-</v>
      </c>
      <c r="D24993" t="str">
        <v>-</v>
      </c>
      <c r="E24993" t="str">
        <v>-</v>
      </c>
      <c r="F24993" t="str">
        <v>-</v>
      </c>
      <c r="G24993" t="str">
        <v>-</v>
      </c>
    </row>
    <row r="24994" xml:space="preserve">
      <c r="B24994" t="str" xml:space="preserve">
        <v xml:space="preserve">Công an huyện Tứ Kỳ _x000d_
 tỉnh Hải Dương</v>
      </c>
      <c r="C24994" t="str">
        <v>-</v>
      </c>
      <c r="D24994" t="str">
        <v>-</v>
      </c>
      <c r="E24994" t="str">
        <v/>
      </c>
      <c r="F24994" t="str">
        <v>-</v>
      </c>
      <c r="G24994" t="str">
        <v>-</v>
      </c>
    </row>
    <row r="24995" xml:space="preserve">
      <c r="B24995" t="str" xml:space="preserve">
        <v xml:space="preserve">UBND Ủy ban nhân dân huyện Tứ Kỳ _x000d_
 tỉnh Hải Dương</v>
      </c>
      <c r="C24995" t="str">
        <v>-</v>
      </c>
      <c r="D24995" t="str">
        <v>-</v>
      </c>
      <c r="E24995" t="str">
        <v>-</v>
      </c>
      <c r="F24995" t="str">
        <v>-</v>
      </c>
      <c r="G24995" t="str">
        <v>-</v>
      </c>
    </row>
    <row r="24996">
      <c r="B24996" t="str">
        <v>Công an huyện Thạch An tỉnh Cao Bằng</v>
      </c>
      <c r="C24996" t="str">
        <v>-</v>
      </c>
      <c r="D24996" t="str">
        <v>-</v>
      </c>
      <c r="E24996" t="str">
        <v/>
      </c>
      <c r="F24996" t="str">
        <v>-</v>
      </c>
      <c r="G24996" t="str">
        <v>-</v>
      </c>
    </row>
    <row r="24997">
      <c r="B24997" t="str">
        <v>UBND Ủy ban nhân dân huyện Thạch An tỉnh Cao Bằng</v>
      </c>
      <c r="C24997" t="str">
        <v>-</v>
      </c>
      <c r="D24997" t="str">
        <v>-</v>
      </c>
      <c r="E24997" t="str">
        <v>-</v>
      </c>
      <c r="F24997" t="str">
        <v>-</v>
      </c>
      <c r="G24997" t="str">
        <v>-</v>
      </c>
    </row>
    <row r="24998" xml:space="preserve">
      <c r="B24998" t="str" xml:space="preserve">
        <v xml:space="preserve">Công an huyện Thạch Thất _x000d_
 thành phố Hà Nội</v>
      </c>
      <c r="C24998" t="str">
        <v>-</v>
      </c>
      <c r="D24998" t="str">
        <v>-</v>
      </c>
      <c r="E24998" t="str">
        <v/>
      </c>
      <c r="F24998" t="str">
        <v>-</v>
      </c>
      <c r="G24998" t="str">
        <v>-</v>
      </c>
    </row>
    <row r="24999" xml:space="preserve">
      <c r="B24999" t="str" xml:space="preserve">
        <v xml:space="preserve">UBND Ủy ban nhân dân huyện Thạch Thất _x000d_
 thành phố Hà Nội</v>
      </c>
      <c r="C24999" t="str">
        <v>-</v>
      </c>
      <c r="D24999" t="str">
        <v>-</v>
      </c>
      <c r="E24999" t="str">
        <v>-</v>
      </c>
      <c r="F24999" t="str">
        <v>-</v>
      </c>
      <c r="G24999" t="str">
        <v>-</v>
      </c>
    </row>
    <row r="25000" xml:space="preserve">
      <c r="B25000" t="str" xml:space="preserve">
        <v xml:space="preserve">Công an huyện Thanh Sơn _x000d_
 tỉnh Phú Thọ</v>
      </c>
      <c r="C25000" t="str">
        <v>-</v>
      </c>
      <c r="D25000" t="str">
        <v>-</v>
      </c>
      <c r="E25000" t="str">
        <v/>
      </c>
      <c r="F25000" t="str">
        <v>-</v>
      </c>
      <c r="G25000" t="str">
        <v>-</v>
      </c>
    </row>
    <row r="25001" xml:space="preserve">
      <c r="B25001" t="str" xml:space="preserve">
        <v xml:space="preserve">UBND Ủy ban nhân dân huyện Thanh Sơn _x000d_
 tỉnh Phú Thọ</v>
      </c>
      <c r="C25001" t="str">
        <v>-</v>
      </c>
      <c r="D25001" t="str">
        <v>-</v>
      </c>
      <c r="E25001" t="str">
        <v>-</v>
      </c>
      <c r="F25001" t="str">
        <v>-</v>
      </c>
      <c r="G25001" t="str">
        <v>-</v>
      </c>
    </row>
    <row r="25002" xml:space="preserve">
      <c r="B25002" t="str" xml:space="preserve">
        <v xml:space="preserve">Công an huyện Than Uyên _x000d_
 tỉnh Lai Châu</v>
      </c>
      <c r="C25002" t="str">
        <v>-</v>
      </c>
      <c r="D25002" t="str">
        <v>-</v>
      </c>
      <c r="E25002" t="str">
        <v/>
      </c>
      <c r="F25002" t="str">
        <v>-</v>
      </c>
      <c r="G25002" t="str">
        <v>-</v>
      </c>
    </row>
    <row r="25003" xml:space="preserve">
      <c r="B25003" t="str" xml:space="preserve">
        <v xml:space="preserve">UBND Ủy ban nhân dân huyện Than Uyên _x000d_
 tỉnh Lai Châu</v>
      </c>
      <c r="C25003" t="str">
        <v>-</v>
      </c>
      <c r="D25003" t="str">
        <v>-</v>
      </c>
      <c r="E25003" t="str">
        <v>-</v>
      </c>
      <c r="F25003" t="str">
        <v>-</v>
      </c>
      <c r="G25003" t="str">
        <v>-</v>
      </c>
    </row>
    <row r="25004">
      <c r="B25004" t="str">
        <v>Công an huyện Trùng Khánh tỉnh Cao Bằng</v>
      </c>
      <c r="C25004" t="str">
        <v>-</v>
      </c>
      <c r="D25004" t="str">
        <v>-</v>
      </c>
      <c r="E25004" t="str">
        <v/>
      </c>
      <c r="F25004" t="str">
        <v>-</v>
      </c>
      <c r="G25004" t="str">
        <v>-</v>
      </c>
    </row>
    <row r="25005">
      <c r="B25005" t="str">
        <v>UBND Ủy ban nhân dân huyện Trùng Khánh tỉnh Cao Bằng</v>
      </c>
      <c r="C25005" t="str">
        <v>-</v>
      </c>
      <c r="D25005" t="str">
        <v>-</v>
      </c>
      <c r="E25005" t="str">
        <v>-</v>
      </c>
      <c r="F25005" t="str">
        <v>-</v>
      </c>
      <c r="G25005" t="str">
        <v>-</v>
      </c>
    </row>
    <row r="25006" xml:space="preserve">
      <c r="B25006" t="str" xml:space="preserve">
        <v xml:space="preserve">Công an huyện Tuyên Hóa _x000d_
 tỉnh Quảng Bình</v>
      </c>
      <c r="C25006" t="str">
        <v>-</v>
      </c>
      <c r="D25006" t="str">
        <v>-</v>
      </c>
      <c r="E25006" t="str">
        <v/>
      </c>
      <c r="F25006" t="str">
        <v>-</v>
      </c>
      <c r="G25006" t="str">
        <v>-</v>
      </c>
    </row>
    <row r="25007" xml:space="preserve">
      <c r="B25007" t="str" xml:space="preserve">
        <v xml:space="preserve">UBND Ủy ban nhân dân huyện Tuyên Hóa _x000d_
 tỉnh Quảng Bình</v>
      </c>
      <c r="C25007" t="str">
        <v>-</v>
      </c>
      <c r="D25007" t="str">
        <v>-</v>
      </c>
      <c r="E25007" t="str">
        <v>-</v>
      </c>
      <c r="F25007" t="str">
        <v>-</v>
      </c>
      <c r="G25007" t="str">
        <v>-</v>
      </c>
    </row>
    <row r="25008">
      <c r="B25008" t="str">
        <v>Công an huyện Vĩnh Lợi tỉnh Bạc Liêu</v>
      </c>
      <c r="C25008" t="str">
        <v>-</v>
      </c>
      <c r="D25008" t="str">
        <v>-</v>
      </c>
      <c r="E25008" t="str">
        <v/>
      </c>
      <c r="F25008" t="str">
        <v>-</v>
      </c>
      <c r="G25008" t="str">
        <v>-</v>
      </c>
    </row>
    <row r="25009">
      <c r="B25009" t="str">
        <v>UBND Ủy ban nhân dân huyện Vĩnh Lợi tỉnh Bạc Liêu</v>
      </c>
      <c r="C25009" t="str">
        <v>-</v>
      </c>
      <c r="D25009" t="str">
        <v>-</v>
      </c>
      <c r="E25009" t="str">
        <v>-</v>
      </c>
      <c r="F25009" t="str">
        <v>-</v>
      </c>
      <c r="G25009" t="str">
        <v>-</v>
      </c>
    </row>
    <row r="25010" xml:space="preserve">
      <c r="B25010" t="str" xml:space="preserve">
        <v xml:space="preserve">Công an huyện Yên Lập _x000d_
 tỉnh Phú Thọ</v>
      </c>
      <c r="C25010" t="str">
        <v>-</v>
      </c>
      <c r="D25010" t="str">
        <v>-</v>
      </c>
      <c r="E25010" t="str">
        <v/>
      </c>
      <c r="F25010" t="str">
        <v>-</v>
      </c>
      <c r="G25010" t="str">
        <v>-</v>
      </c>
    </row>
    <row r="25011" xml:space="preserve">
      <c r="B25011" t="str" xml:space="preserve">
        <v xml:space="preserve">UBND Ủy ban nhân dân huyện Yên Lập _x000d_
 tỉnh Phú Thọ</v>
      </c>
      <c r="C25011" t="str">
        <v>-</v>
      </c>
      <c r="D25011" t="str">
        <v>-</v>
      </c>
      <c r="E25011" t="str">
        <v>-</v>
      </c>
      <c r="F25011" t="str">
        <v>-</v>
      </c>
      <c r="G25011" t="str">
        <v>-</v>
      </c>
    </row>
    <row r="25012">
      <c r="B25012" t="str">
        <v>Công an xã Lương Quới tỉnh Bến Tre</v>
      </c>
      <c r="C25012" t="str">
        <v>-</v>
      </c>
      <c r="D25012" t="str">
        <v>-</v>
      </c>
      <c r="E25012" t="str">
        <v/>
      </c>
      <c r="F25012" t="str">
        <v>-</v>
      </c>
      <c r="G25012" t="str">
        <v>-</v>
      </c>
    </row>
    <row r="25013">
      <c r="B25013" t="str">
        <v>UBND Ủy ban nhân dân xã Lương Quới tỉnh Bến Tre</v>
      </c>
      <c r="C25013" t="str">
        <v>-</v>
      </c>
      <c r="D25013" t="str">
        <v>-</v>
      </c>
      <c r="E25013" t="str">
        <v>-</v>
      </c>
      <c r="F25013" t="str">
        <v>-</v>
      </c>
      <c r="G25013" t="str">
        <v>-</v>
      </c>
    </row>
    <row r="25014">
      <c r="B25014" t="str">
        <v>Công an tỉnh Lai Châu  tỉnh Lai Châu</v>
      </c>
      <c r="C25014" t="str">
        <v>-</v>
      </c>
      <c r="D25014" t="str">
        <v>-</v>
      </c>
      <c r="E25014" t="str">
        <v/>
      </c>
      <c r="F25014" t="str">
        <v>-</v>
      </c>
      <c r="G25014" t="str">
        <v>-</v>
      </c>
    </row>
    <row r="25015">
      <c r="B25015" t="str">
        <v>UBND Ủy ban nhân dân tỉnh Lai Châu  tỉnh Lai Châu</v>
      </c>
      <c r="C25015" t="str">
        <v>-</v>
      </c>
      <c r="D25015" t="str">
        <v>-</v>
      </c>
      <c r="E25015" t="str">
        <v>-</v>
      </c>
      <c r="F25015" t="str">
        <v>-</v>
      </c>
      <c r="G25015" t="str">
        <v>-</v>
      </c>
    </row>
    <row r="25016">
      <c r="B25016" t="str">
        <v>Công an phường Đô Vinh tỉnh Ninh Thuận</v>
      </c>
      <c r="C25016" t="str">
        <v>-</v>
      </c>
      <c r="D25016" t="str">
        <v>-</v>
      </c>
      <c r="E25016" t="str">
        <v/>
      </c>
      <c r="F25016" t="str">
        <v>-</v>
      </c>
      <c r="G25016" t="str">
        <v>-</v>
      </c>
    </row>
    <row r="25017">
      <c r="B25017" t="str">
        <v>UBND Ủy ban nhân dân phường Đô Vinh tỉnh Ninh Thuận</v>
      </c>
      <c r="C25017" t="str">
        <v>-</v>
      </c>
      <c r="D25017" t="str">
        <v>-</v>
      </c>
      <c r="E25017" t="str">
        <v>-</v>
      </c>
      <c r="F25017" t="str">
        <v>-</v>
      </c>
      <c r="G25017" t="str">
        <v>-</v>
      </c>
    </row>
    <row r="25018" xml:space="preserve">
      <c r="B25018" t="str" xml:space="preserve">
        <v xml:space="preserve">Công an phường Đình Bảng _x000d_
 tỉnh Bắc Ninh</v>
      </c>
      <c r="C25018" t="str">
        <v>-</v>
      </c>
      <c r="D25018" t="str">
        <v>-</v>
      </c>
      <c r="E25018" t="str">
        <v/>
      </c>
      <c r="F25018" t="str">
        <v>-</v>
      </c>
      <c r="G25018" t="str">
        <v>-</v>
      </c>
    </row>
    <row r="25019" xml:space="preserve">
      <c r="B25019" t="str" xml:space="preserve">
        <v xml:space="preserve">UBND Ủy ban nhân dân phường Đình Bảng _x000d_
 tỉnh Bắc Ninh</v>
      </c>
      <c r="C25019" t="str">
        <v>-</v>
      </c>
      <c r="D25019" t="str">
        <v>-</v>
      </c>
      <c r="E25019" t="str">
        <v>-</v>
      </c>
      <c r="F25019" t="str">
        <v>-</v>
      </c>
      <c r="G25019" t="str">
        <v>-</v>
      </c>
    </row>
    <row r="25020">
      <c r="B25020" t="str">
        <v>Công an phường Đông Hải tỉnh Thanh Hóa</v>
      </c>
      <c r="C25020" t="str">
        <v>-</v>
      </c>
      <c r="D25020" t="str">
        <v>-</v>
      </c>
      <c r="E25020" t="str">
        <v/>
      </c>
      <c r="F25020" t="str">
        <v>-</v>
      </c>
      <c r="G25020" t="str">
        <v>-</v>
      </c>
    </row>
    <row r="25021">
      <c r="B25021" t="str">
        <v>UBND Ủy ban nhân dân phường Đông Hải tỉnh Thanh Hóa</v>
      </c>
      <c r="C25021" t="str">
        <v>-</v>
      </c>
      <c r="D25021" t="str">
        <v>-</v>
      </c>
      <c r="E25021" t="str">
        <v>-</v>
      </c>
      <c r="F25021" t="str">
        <v>-</v>
      </c>
      <c r="G25021" t="str">
        <v>-</v>
      </c>
    </row>
    <row r="25022">
      <c r="B25022" t="str">
        <v>Công an phường Đông Mai  thành phố Hà Nội</v>
      </c>
      <c r="C25022" t="str">
        <v>-</v>
      </c>
      <c r="D25022" t="str">
        <v>-</v>
      </c>
      <c r="E25022" t="str">
        <v/>
      </c>
      <c r="F25022" t="str">
        <v>-</v>
      </c>
      <c r="G25022" t="str">
        <v>-</v>
      </c>
    </row>
    <row r="25023">
      <c r="B25023" t="str">
        <v>UBND Ủy ban nhân dân phường Đông Mai  thành phố Hà Nội</v>
      </c>
      <c r="C25023" t="str">
        <v>-</v>
      </c>
      <c r="D25023" t="str">
        <v>-</v>
      </c>
      <c r="E25023" t="str">
        <v>-</v>
      </c>
      <c r="F25023" t="str">
        <v>-</v>
      </c>
      <c r="G25023" t="str">
        <v>-</v>
      </c>
    </row>
    <row r="25024">
      <c r="B25024" t="str">
        <v>Công an phường Đông Thọ tỉnh Thanh Hóa</v>
      </c>
      <c r="C25024" t="str">
        <v>-</v>
      </c>
      <c r="D25024" t="str">
        <v>-</v>
      </c>
      <c r="E25024" t="str">
        <v/>
      </c>
      <c r="F25024" t="str">
        <v>-</v>
      </c>
      <c r="G25024" t="str">
        <v>-</v>
      </c>
    </row>
    <row r="25025">
      <c r="B25025" t="str">
        <v>UBND Ủy ban nhân dân phường Đông Thọ tỉnh Thanh Hóa</v>
      </c>
      <c r="C25025" t="str">
        <v>-</v>
      </c>
      <c r="D25025" t="str">
        <v>-</v>
      </c>
      <c r="E25025" t="str">
        <v>-</v>
      </c>
      <c r="F25025" t="str">
        <v>-</v>
      </c>
      <c r="G25025" t="str">
        <v>-</v>
      </c>
    </row>
    <row r="25026">
      <c r="B25026" t="str">
        <v>Công an phường Đông Vệ tỉnh Thanh Hóa</v>
      </c>
      <c r="C25026" t="str">
        <v>-</v>
      </c>
      <c r="D25026" t="str">
        <v>-</v>
      </c>
      <c r="E25026" t="str">
        <v/>
      </c>
      <c r="F25026" t="str">
        <v>-</v>
      </c>
      <c r="G25026" t="str">
        <v>-</v>
      </c>
    </row>
    <row r="25027">
      <c r="B25027" t="str">
        <v>UBND Ủy ban nhân dân phường Đông Vệ tỉnh Thanh Hóa</v>
      </c>
      <c r="C25027" t="str">
        <v>-</v>
      </c>
      <c r="D25027" t="str">
        <v>-</v>
      </c>
      <c r="E25027" t="str">
        <v>-</v>
      </c>
      <c r="F25027" t="str">
        <v>-</v>
      </c>
      <c r="G25027" t="str">
        <v>-</v>
      </c>
    </row>
    <row r="25028">
      <c r="B25028" t="str">
        <v>Công an phường Đậu Liêu tỉnh Hà Tĩnh</v>
      </c>
      <c r="C25028" t="str">
        <v>-</v>
      </c>
      <c r="D25028" t="str">
        <v>-</v>
      </c>
      <c r="E25028" t="str">
        <v/>
      </c>
      <c r="F25028" t="str">
        <v>-</v>
      </c>
      <c r="G25028" t="str">
        <v>-</v>
      </c>
    </row>
    <row r="25029">
      <c r="B25029" t="str">
        <v>UBND Ủy ban nhân dân phường Đậu Liêu tỉnh Hà Tĩnh</v>
      </c>
      <c r="C25029" t="str">
        <v>-</v>
      </c>
      <c r="D25029" t="str">
        <v>-</v>
      </c>
      <c r="E25029" t="str">
        <v>-</v>
      </c>
      <c r="F25029" t="str">
        <v>-</v>
      </c>
      <c r="G25029" t="str">
        <v>-</v>
      </c>
    </row>
    <row r="25030" xml:space="preserve">
      <c r="B25030" t="str" xml:space="preserve">
        <v xml:space="preserve">Công an phường Đồng Văn _x000d_
 tỉnh Hà Nam</v>
      </c>
      <c r="C25030" t="str">
        <v>-</v>
      </c>
      <c r="D25030" t="str">
        <v>-</v>
      </c>
      <c r="E25030" t="str">
        <v/>
      </c>
      <c r="F25030" t="str">
        <v>-</v>
      </c>
      <c r="G25030" t="str">
        <v>-</v>
      </c>
    </row>
    <row r="25031" xml:space="preserve">
      <c r="B25031" t="str" xml:space="preserve">
        <v xml:space="preserve">UBND Ủy ban nhân dân phường Đồng Văn _x000d_
 tỉnh Hà Nam</v>
      </c>
      <c r="C25031" t="str">
        <v>-</v>
      </c>
      <c r="D25031" t="str">
        <v>-</v>
      </c>
      <c r="E25031" t="str">
        <v>-</v>
      </c>
      <c r="F25031" t="str">
        <v>-</v>
      </c>
      <c r="G25031" t="str">
        <v>-</v>
      </c>
    </row>
    <row r="25032">
      <c r="B25032" t="str">
        <v>Công an phường Điện Biên tỉnh Thanh Hóa</v>
      </c>
      <c r="C25032" t="str">
        <v>-</v>
      </c>
      <c r="D25032" t="str">
        <v>-</v>
      </c>
      <c r="E25032" t="str">
        <v/>
      </c>
      <c r="F25032" t="str">
        <v>-</v>
      </c>
      <c r="G25032" t="str">
        <v>-</v>
      </c>
    </row>
    <row r="25033">
      <c r="B25033" t="str">
        <v>UBND Ủy ban nhân dân phường Điện Biên tỉnh Thanh Hóa</v>
      </c>
      <c r="C25033" t="str">
        <v>-</v>
      </c>
      <c r="D25033" t="str">
        <v>-</v>
      </c>
      <c r="E25033" t="str">
        <v>-</v>
      </c>
      <c r="F25033" t="str">
        <v>-</v>
      </c>
      <c r="G25033" t="str">
        <v>-</v>
      </c>
    </row>
    <row r="25034" xml:space="preserve">
      <c r="B25034" t="str" xml:space="preserve">
        <v xml:space="preserve">Công an phường Điện Dương _x000d_
 tỉnh Quảng Nam</v>
      </c>
      <c r="C25034" t="str">
        <v>-</v>
      </c>
      <c r="D25034" t="str">
        <v>-</v>
      </c>
      <c r="E25034" t="str">
        <v/>
      </c>
      <c r="F25034" t="str">
        <v>-</v>
      </c>
      <c r="G25034" t="str">
        <v>-</v>
      </c>
    </row>
    <row r="25035" xml:space="preserve">
      <c r="B25035" t="str" xml:space="preserve">
        <v xml:space="preserve">UBND Ủy ban nhân dân phường Điện Dương _x000d_
 tỉnh Quảng Nam</v>
      </c>
      <c r="C25035" t="str">
        <v>-</v>
      </c>
      <c r="D25035" t="str">
        <v>-</v>
      </c>
      <c r="E25035" t="str">
        <v>-</v>
      </c>
      <c r="F25035" t="str">
        <v>-</v>
      </c>
      <c r="G25035" t="str">
        <v>-</v>
      </c>
    </row>
    <row r="25036">
      <c r="B25036" t="str">
        <v>Công an phường 1 tỉnh Trà Vinh</v>
      </c>
      <c r="C25036" t="str">
        <v>-</v>
      </c>
      <c r="D25036" t="str">
        <v>-</v>
      </c>
      <c r="E25036" t="str">
        <v/>
      </c>
      <c r="F25036" t="str">
        <v>-</v>
      </c>
      <c r="G25036" t="str">
        <v>-</v>
      </c>
    </row>
    <row r="25037">
      <c r="B25037" t="str">
        <v>UBND Ủy ban nhân dân phường 1 tỉnh Trà Vinh</v>
      </c>
      <c r="C25037" t="str">
        <v>-</v>
      </c>
      <c r="D25037" t="str">
        <v>-</v>
      </c>
      <c r="E25037" t="str">
        <v>-</v>
      </c>
      <c r="F25037" t="str">
        <v>-</v>
      </c>
      <c r="G25037" t="str">
        <v>-</v>
      </c>
    </row>
    <row r="25038">
      <c r="B25038" t="str">
        <v>Công an phường 10 tỉnh Sóc Trăng</v>
      </c>
      <c r="C25038" t="str">
        <v>-</v>
      </c>
      <c r="D25038" t="str">
        <v>-</v>
      </c>
      <c r="E25038" t="str">
        <v/>
      </c>
      <c r="F25038" t="str">
        <v>-</v>
      </c>
      <c r="G25038" t="str">
        <v>-</v>
      </c>
    </row>
    <row r="25039">
      <c r="B25039" t="str">
        <v>UBND Ủy ban nhân dân phường 10 tỉnh Sóc Trăng</v>
      </c>
      <c r="C25039" t="str">
        <v>-</v>
      </c>
      <c r="D25039" t="str">
        <v>-</v>
      </c>
      <c r="E25039" t="str">
        <v>-</v>
      </c>
      <c r="F25039" t="str">
        <v>-</v>
      </c>
      <c r="G25039" t="str">
        <v>-</v>
      </c>
    </row>
    <row r="25040">
      <c r="B25040" t="str">
        <v>Công an phường 1 tỉnh Bạc Liêu</v>
      </c>
      <c r="C25040" t="str">
        <v>-</v>
      </c>
      <c r="D25040" t="str">
        <v>-</v>
      </c>
      <c r="E25040" t="str">
        <v/>
      </c>
      <c r="F25040" t="str">
        <v>-</v>
      </c>
      <c r="G25040" t="str">
        <v>-</v>
      </c>
    </row>
    <row r="25041">
      <c r="B25041" t="str">
        <v>UBND Ủy ban nhân dân phường 1 tỉnh Bạc Liêu</v>
      </c>
      <c r="C25041" t="str">
        <v>-</v>
      </c>
      <c r="D25041" t="str">
        <v>-</v>
      </c>
      <c r="E25041" t="str">
        <v>-</v>
      </c>
      <c r="F25041" t="str">
        <v>-</v>
      </c>
      <c r="G25041" t="str">
        <v>-</v>
      </c>
    </row>
    <row r="25042">
      <c r="B25042" t="str">
        <v>Công an phường 2 tỉnh Vĩnh Long</v>
      </c>
      <c r="C25042" t="str">
        <v>-</v>
      </c>
      <c r="D25042" t="str">
        <v>-</v>
      </c>
      <c r="E25042" t="str">
        <v/>
      </c>
      <c r="F25042" t="str">
        <v>-</v>
      </c>
      <c r="G25042" t="str">
        <v>-</v>
      </c>
    </row>
    <row r="25043">
      <c r="B25043" t="str">
        <v>UBND Ủy ban nhân dân phường 2 tỉnh Vĩnh Long</v>
      </c>
      <c r="C25043" t="str">
        <v>-</v>
      </c>
      <c r="D25043" t="str">
        <v>-</v>
      </c>
      <c r="E25043" t="str">
        <v>-</v>
      </c>
      <c r="F25043" t="str">
        <v>-</v>
      </c>
      <c r="G25043" t="str">
        <v>-</v>
      </c>
    </row>
    <row r="25044">
      <c r="B25044" t="str">
        <v>Công an phường 3 tỉnh Sóc Trăng</v>
      </c>
      <c r="C25044" t="str">
        <v>-</v>
      </c>
      <c r="D25044" t="str">
        <v>-</v>
      </c>
      <c r="E25044" t="str">
        <v/>
      </c>
      <c r="F25044" t="str">
        <v>-</v>
      </c>
      <c r="G25044" t="str">
        <v>-</v>
      </c>
    </row>
    <row r="25045">
      <c r="B25045" t="str">
        <v>UBND Ủy ban nhân dân phường 3 tỉnh Sóc Trăng</v>
      </c>
      <c r="C25045" t="str">
        <v>-</v>
      </c>
      <c r="D25045" t="str">
        <v>-</v>
      </c>
      <c r="E25045" t="str">
        <v>-</v>
      </c>
      <c r="F25045" t="str">
        <v>-</v>
      </c>
      <c r="G25045" t="str">
        <v>-</v>
      </c>
    </row>
    <row r="25046">
      <c r="B25046" t="str">
        <v>Công an phường 3 tỉnh Vĩnh Long</v>
      </c>
      <c r="C25046" t="str">
        <v>-</v>
      </c>
      <c r="D25046" t="str">
        <v>-</v>
      </c>
      <c r="E25046" t="str">
        <v/>
      </c>
      <c r="F25046" t="str">
        <v>-</v>
      </c>
      <c r="G25046" t="str">
        <v>-</v>
      </c>
    </row>
    <row r="25047">
      <c r="B25047" t="str">
        <v>UBND Ủy ban nhân dân phường 3 tỉnh Vĩnh Long</v>
      </c>
      <c r="C25047" t="str">
        <v>-</v>
      </c>
      <c r="D25047" t="str">
        <v>-</v>
      </c>
      <c r="E25047" t="str">
        <v>-</v>
      </c>
      <c r="F25047" t="str">
        <v>-</v>
      </c>
      <c r="G25047" t="str">
        <v>-</v>
      </c>
    </row>
    <row r="25048">
      <c r="B25048" t="str">
        <v>Công an phường 4 tỉnh Bến Tre</v>
      </c>
      <c r="C25048" t="str">
        <v>-</v>
      </c>
      <c r="D25048" t="str">
        <v>-</v>
      </c>
      <c r="E25048" t="str">
        <v/>
      </c>
      <c r="F25048" t="str">
        <v>-</v>
      </c>
      <c r="G25048" t="str">
        <v>-</v>
      </c>
    </row>
    <row r="25049">
      <c r="B25049" t="str">
        <v>UBND Ủy ban nhân dân phường 4 tỉnh Bến Tre</v>
      </c>
      <c r="C25049" t="str">
        <v>-</v>
      </c>
      <c r="D25049" t="str">
        <v>-</v>
      </c>
      <c r="E25049" t="str">
        <v>-</v>
      </c>
      <c r="F25049" t="str">
        <v>-</v>
      </c>
      <c r="G25049" t="str">
        <v>-</v>
      </c>
    </row>
    <row r="25050">
      <c r="B25050" t="str">
        <v>Công an phường 4 tỉnh Trà Vinh</v>
      </c>
      <c r="C25050" t="str">
        <v>-</v>
      </c>
      <c r="D25050" t="str">
        <v>-</v>
      </c>
      <c r="E25050" t="str">
        <v/>
      </c>
      <c r="F25050" t="str">
        <v>-</v>
      </c>
      <c r="G25050" t="str">
        <v>-</v>
      </c>
    </row>
    <row r="25051">
      <c r="B25051" t="str">
        <v>UBND Ủy ban nhân dân phường 4 tỉnh Trà Vinh</v>
      </c>
      <c r="C25051" t="str">
        <v>-</v>
      </c>
      <c r="D25051" t="str">
        <v>-</v>
      </c>
      <c r="E25051" t="str">
        <v>-</v>
      </c>
      <c r="F25051" t="str">
        <v>-</v>
      </c>
      <c r="G25051" t="str">
        <v>-</v>
      </c>
    </row>
    <row r="25052">
      <c r="B25052" t="str">
        <v>Công an phường 5 tỉnh Bến Tre</v>
      </c>
      <c r="C25052" t="str">
        <v>-</v>
      </c>
      <c r="D25052" t="str">
        <v>-</v>
      </c>
      <c r="E25052" t="str">
        <v/>
      </c>
      <c r="F25052" t="str">
        <v>-</v>
      </c>
      <c r="G25052" t="str">
        <v>-</v>
      </c>
    </row>
    <row r="25053">
      <c r="B25053" t="str">
        <v>UBND Ủy ban nhân dân phường 5 tỉnh Bến Tre</v>
      </c>
      <c r="C25053" t="str">
        <v>-</v>
      </c>
      <c r="D25053" t="str">
        <v>-</v>
      </c>
      <c r="E25053" t="str">
        <v>-</v>
      </c>
      <c r="F25053" t="str">
        <v>-</v>
      </c>
      <c r="G25053" t="str">
        <v>-</v>
      </c>
    </row>
    <row r="25054">
      <c r="B25054" t="str">
        <v>Công an phường 6 tỉnh Bến Tre</v>
      </c>
      <c r="C25054" t="str">
        <v>-</v>
      </c>
      <c r="D25054" t="str">
        <v>-</v>
      </c>
      <c r="E25054" t="str">
        <v/>
      </c>
      <c r="F25054" t="str">
        <v>-</v>
      </c>
      <c r="G25054" t="str">
        <v>-</v>
      </c>
    </row>
    <row r="25055">
      <c r="B25055" t="str">
        <v>UBND Ủy ban nhân dân phường 6 tỉnh Bến Tre</v>
      </c>
      <c r="C25055" t="str">
        <v>-</v>
      </c>
      <c r="D25055" t="str">
        <v>-</v>
      </c>
      <c r="E25055" t="str">
        <v>-</v>
      </c>
      <c r="F25055" t="str">
        <v>-</v>
      </c>
      <c r="G25055" t="str">
        <v>-</v>
      </c>
    </row>
    <row r="25056">
      <c r="B25056" t="str">
        <v>Công an phường 6  tỉnh Trà Vinh</v>
      </c>
      <c r="C25056" t="str">
        <v>-</v>
      </c>
      <c r="D25056" t="str">
        <v>-</v>
      </c>
      <c r="E25056" t="str">
        <v/>
      </c>
      <c r="F25056" t="str">
        <v>-</v>
      </c>
      <c r="G25056" t="str">
        <v>-</v>
      </c>
    </row>
    <row r="25057">
      <c r="B25057" t="str">
        <v>UBND Ủy ban nhân dân phường 6  tỉnh Trà Vinh</v>
      </c>
      <c r="C25057" t="str">
        <v>-</v>
      </c>
      <c r="D25057" t="str">
        <v>-</v>
      </c>
      <c r="E25057" t="str">
        <v>-</v>
      </c>
      <c r="F25057" t="str">
        <v>-</v>
      </c>
      <c r="G25057" t="str">
        <v>-</v>
      </c>
    </row>
    <row r="25058">
      <c r="B25058" t="str">
        <v>Công an phường 7  tỉnh Bạc Liêu</v>
      </c>
      <c r="C25058" t="str">
        <v>-</v>
      </c>
      <c r="D25058" t="str">
        <v>-</v>
      </c>
      <c r="E25058" t="str">
        <v/>
      </c>
      <c r="F25058" t="str">
        <v>-</v>
      </c>
      <c r="G25058" t="str">
        <v>-</v>
      </c>
    </row>
    <row r="25059">
      <c r="B25059" t="str">
        <v>UBND Ủy ban nhân dân phường 7  tỉnh Bạc Liêu</v>
      </c>
      <c r="C25059" t="str">
        <v>-</v>
      </c>
      <c r="D25059" t="str">
        <v>-</v>
      </c>
      <c r="E25059" t="str">
        <v>-</v>
      </c>
      <c r="F25059" t="str">
        <v>-</v>
      </c>
      <c r="G25059" t="str">
        <v>-</v>
      </c>
    </row>
    <row r="25060">
      <c r="B25060" t="str">
        <v>Công an phường 8  tỉnh Trà Vinh</v>
      </c>
      <c r="C25060" t="str">
        <v>-</v>
      </c>
      <c r="D25060" t="str">
        <v>-</v>
      </c>
      <c r="E25060" t="str">
        <v/>
      </c>
      <c r="F25060" t="str">
        <v>-</v>
      </c>
      <c r="G25060" t="str">
        <v>-</v>
      </c>
    </row>
    <row r="25061">
      <c r="B25061" t="str">
        <v>UBND Ủy ban nhân dân phường 8  tỉnh Trà Vinh</v>
      </c>
      <c r="C25061" t="str">
        <v>-</v>
      </c>
      <c r="D25061" t="str">
        <v>-</v>
      </c>
      <c r="E25061" t="str">
        <v>-</v>
      </c>
      <c r="F25061" t="str">
        <v>-</v>
      </c>
      <c r="G25061" t="str">
        <v>-</v>
      </c>
    </row>
    <row r="25062">
      <c r="B25062" t="str">
        <v>Công an phường 9 tỉnh Trà Vinh</v>
      </c>
      <c r="C25062" t="str">
        <v>-</v>
      </c>
      <c r="D25062" t="str">
        <v>-</v>
      </c>
      <c r="E25062" t="str">
        <v/>
      </c>
      <c r="F25062" t="str">
        <v>-</v>
      </c>
      <c r="G25062" t="str">
        <v>-</v>
      </c>
    </row>
    <row r="25063">
      <c r="B25063" t="str">
        <v>UBND Ủy ban nhân dân phường 9 tỉnh Trà Vinh</v>
      </c>
      <c r="C25063" t="str">
        <v>-</v>
      </c>
      <c r="D25063" t="str">
        <v>-</v>
      </c>
      <c r="E25063" t="str">
        <v>-</v>
      </c>
      <c r="F25063" t="str">
        <v>-</v>
      </c>
      <c r="G25063" t="str">
        <v>-</v>
      </c>
    </row>
    <row r="25064">
      <c r="B25064" t="str">
        <v>Công an phường An Bình tỉnh Gia Lai</v>
      </c>
      <c r="C25064" t="str">
        <v>-</v>
      </c>
      <c r="D25064" t="str">
        <v>-</v>
      </c>
      <c r="E25064" t="str">
        <v/>
      </c>
      <c r="F25064" t="str">
        <v>-</v>
      </c>
      <c r="G25064" t="str">
        <v>-</v>
      </c>
    </row>
    <row r="25065">
      <c r="B25065" t="str">
        <v>UBND Ủy ban nhân dân phường An Bình tỉnh Gia Lai</v>
      </c>
      <c r="C25065" t="str">
        <v>-</v>
      </c>
      <c r="D25065" t="str">
        <v>-</v>
      </c>
      <c r="E25065" t="str">
        <v>-</v>
      </c>
      <c r="F25065" t="str">
        <v>-</v>
      </c>
      <c r="G25065" t="str">
        <v>-</v>
      </c>
    </row>
    <row r="25066" xml:space="preserve">
      <c r="B25066" t="str" xml:space="preserve">
        <v xml:space="preserve">Công an phường An Sơn _x000d_
 tỉnh Quảng Nam</v>
      </c>
      <c r="C25066" t="str">
        <v>-</v>
      </c>
      <c r="D25066" t="str">
        <v>-</v>
      </c>
      <c r="E25066" t="str">
        <v/>
      </c>
      <c r="F25066" t="str">
        <v>-</v>
      </c>
      <c r="G25066" t="str">
        <v>-</v>
      </c>
    </row>
    <row r="25067" xml:space="preserve">
      <c r="B25067" t="str" xml:space="preserve">
        <v xml:space="preserve">UBND Ủy ban nhân dân phường An Sơn _x000d_
 tỉnh Quảng Nam</v>
      </c>
      <c r="C25067" t="str">
        <v>-</v>
      </c>
      <c r="D25067" t="str">
        <v>-</v>
      </c>
      <c r="E25067" t="str">
        <v>-</v>
      </c>
      <c r="F25067" t="str">
        <v>-</v>
      </c>
      <c r="G25067" t="str">
        <v>-</v>
      </c>
    </row>
    <row r="25068" xml:space="preserve">
      <c r="B25068" t="str" xml:space="preserve">
        <v xml:space="preserve">Công an phường An Tân _x000d_
 tỉnh Gia Lai</v>
      </c>
      <c r="C25068" t="str">
        <v>-</v>
      </c>
      <c r="D25068" t="str">
        <v>-</v>
      </c>
      <c r="E25068" t="str">
        <v/>
      </c>
      <c r="F25068" t="str">
        <v>-</v>
      </c>
      <c r="G25068" t="str">
        <v>-</v>
      </c>
    </row>
    <row r="25069" xml:space="preserve">
      <c r="B25069" t="str" xml:space="preserve">
        <v xml:space="preserve">UBND Ủy ban nhân dân phường An Tân _x000d_
 tỉnh Gia Lai</v>
      </c>
      <c r="C25069" t="str">
        <v>-</v>
      </c>
      <c r="D25069" t="str">
        <v>-</v>
      </c>
      <c r="E25069" t="str">
        <v>-</v>
      </c>
      <c r="F25069" t="str">
        <v>-</v>
      </c>
      <c r="G25069" t="str">
        <v>-</v>
      </c>
    </row>
    <row r="25070" xml:space="preserve">
      <c r="B25070" t="str" xml:space="preserve">
        <v xml:space="preserve">Công an phường An Xuân _x000d_
 tỉnh Quảng Nam</v>
      </c>
      <c r="C25070" t="str">
        <v>-</v>
      </c>
      <c r="D25070" t="str">
        <v>-</v>
      </c>
      <c r="E25070" t="str">
        <v/>
      </c>
      <c r="F25070" t="str">
        <v>-</v>
      </c>
      <c r="G25070" t="str">
        <v>-</v>
      </c>
    </row>
    <row r="25071" xml:space="preserve">
      <c r="B25071" t="str" xml:space="preserve">
        <v xml:space="preserve">UBND Ủy ban nhân dân phường An Xuân _x000d_
 tỉnh Quảng Nam</v>
      </c>
      <c r="C25071" t="str">
        <v>-</v>
      </c>
      <c r="D25071" t="str">
        <v>-</v>
      </c>
      <c r="E25071" t="str">
        <v>-</v>
      </c>
      <c r="F25071" t="str">
        <v>-</v>
      </c>
      <c r="G25071" t="str">
        <v>-</v>
      </c>
    </row>
    <row r="25072">
      <c r="B25072" t="str">
        <v>Công an phường Bắc Sơn tỉnh Thái Nguyên</v>
      </c>
      <c r="C25072" t="str">
        <v>-</v>
      </c>
      <c r="D25072" t="str">
        <v>-</v>
      </c>
      <c r="E25072" t="str">
        <v/>
      </c>
      <c r="F25072" t="str">
        <v>-</v>
      </c>
      <c r="G25072" t="str">
        <v>-</v>
      </c>
    </row>
    <row r="25073">
      <c r="B25073" t="str">
        <v>UBND Ủy ban nhân dân phường Bắc Sơn tỉnh Thái Nguyên</v>
      </c>
      <c r="C25073" t="str">
        <v>-</v>
      </c>
      <c r="D25073" t="str">
        <v>-</v>
      </c>
      <c r="E25073" t="str">
        <v>-</v>
      </c>
      <c r="F25073" t="str">
        <v>-</v>
      </c>
      <c r="G25073" t="str">
        <v>-</v>
      </c>
    </row>
    <row r="25074" xml:space="preserve">
      <c r="B25074" t="str" xml:space="preserve">
        <v xml:space="preserve">Công an phường Bến Nghé _x000d_
 thành phố Hồ Chí Minh</v>
      </c>
      <c r="C25074" t="str">
        <v>-</v>
      </c>
      <c r="D25074" t="str">
        <v>-</v>
      </c>
      <c r="E25074" t="str">
        <v/>
      </c>
      <c r="F25074" t="str">
        <v>-</v>
      </c>
      <c r="G25074" t="str">
        <v>-</v>
      </c>
    </row>
    <row r="25075" xml:space="preserve">
      <c r="B25075" t="str" xml:space="preserve">
        <v xml:space="preserve">UBND Ủy ban nhân dân phường Bến Nghé _x000d_
 thành phố Hồ Chí Minh</v>
      </c>
      <c r="C25075" t="str">
        <v>-</v>
      </c>
      <c r="D25075" t="str">
        <v>-</v>
      </c>
      <c r="E25075" t="str">
        <v>-</v>
      </c>
      <c r="F25075" t="str">
        <v>-</v>
      </c>
      <c r="G25075" t="str">
        <v>-</v>
      </c>
    </row>
    <row r="25076">
      <c r="B25076" t="str">
        <v>Công an phường Ba Đình tỉnh Thanh Hóa</v>
      </c>
      <c r="C25076" t="str">
        <v>-</v>
      </c>
      <c r="D25076" t="str">
        <v>-</v>
      </c>
      <c r="E25076" t="str">
        <v/>
      </c>
      <c r="F25076" t="str">
        <v>-</v>
      </c>
      <c r="G25076" t="str">
        <v>-</v>
      </c>
    </row>
    <row r="25077">
      <c r="B25077" t="str">
        <v>UBND Ủy ban nhân dân phường Ba Đình tỉnh Thanh Hóa</v>
      </c>
      <c r="C25077" t="str">
        <v>-</v>
      </c>
      <c r="D25077" t="str">
        <v>-</v>
      </c>
      <c r="E25077" t="str">
        <v>-</v>
      </c>
      <c r="F25077" t="str">
        <v>-</v>
      </c>
      <c r="G25077" t="str">
        <v>-</v>
      </c>
    </row>
    <row r="25078" xml:space="preserve">
      <c r="B25078" t="str" xml:space="preserve">
        <v xml:space="preserve">Công an phường Cẩm Châu _x000d_
 tỉnh Quảng Nam</v>
      </c>
      <c r="C25078" t="str">
        <v>-</v>
      </c>
      <c r="D25078" t="str">
        <v>-</v>
      </c>
      <c r="E25078" t="str">
        <v/>
      </c>
      <c r="F25078" t="str">
        <v>-</v>
      </c>
      <c r="G25078" t="str">
        <v>-</v>
      </c>
    </row>
    <row r="25079" xml:space="preserve">
      <c r="B25079" t="str" xml:space="preserve">
        <v xml:space="preserve">UBND Ủy ban nhân dân phường Cẩm Châu _x000d_
 tỉnh Quảng Nam</v>
      </c>
      <c r="C25079" t="str">
        <v>-</v>
      </c>
      <c r="D25079" t="str">
        <v>-</v>
      </c>
      <c r="E25079" t="str">
        <v>-</v>
      </c>
      <c r="F25079" t="str">
        <v>-</v>
      </c>
      <c r="G25079" t="str">
        <v>-</v>
      </c>
    </row>
    <row r="25080">
      <c r="B25080" t="str">
        <v>Công an phường Cổ Thành tỉnh Hải Dương</v>
      </c>
      <c r="C25080" t="str">
        <v>-</v>
      </c>
      <c r="D25080" t="str">
        <v>-</v>
      </c>
      <c r="E25080" t="str">
        <v/>
      </c>
      <c r="F25080" t="str">
        <v>-</v>
      </c>
      <c r="G25080" t="str">
        <v>-</v>
      </c>
    </row>
    <row r="25081">
      <c r="B25081" t="str">
        <v>UBND Ủy ban nhân dân phường Cổ Thành tỉnh Hải Dương</v>
      </c>
      <c r="C25081" t="str">
        <v>-</v>
      </c>
      <c r="D25081" t="str">
        <v>-</v>
      </c>
      <c r="E25081" t="str">
        <v>-</v>
      </c>
      <c r="F25081" t="str">
        <v>-</v>
      </c>
      <c r="G25081" t="str">
        <v>-</v>
      </c>
    </row>
    <row r="25082">
      <c r="B25082" t="str">
        <v>Công an phường Cam Linh tỉnh Khánh Hòa</v>
      </c>
      <c r="C25082" t="str">
        <v>-</v>
      </c>
      <c r="D25082" t="str">
        <v>-</v>
      </c>
      <c r="E25082" t="str">
        <v/>
      </c>
      <c r="F25082" t="str">
        <v>-</v>
      </c>
      <c r="G25082" t="str">
        <v>-</v>
      </c>
    </row>
    <row r="25083">
      <c r="B25083" t="str">
        <v>UBND Ủy ban nhân dân phường Cam Linh tỉnh Khánh Hòa</v>
      </c>
      <c r="C25083" t="str">
        <v>-</v>
      </c>
      <c r="D25083" t="str">
        <v>-</v>
      </c>
      <c r="E25083" t="str">
        <v>-</v>
      </c>
      <c r="F25083" t="str">
        <v>-</v>
      </c>
      <c r="G25083" t="str">
        <v>-</v>
      </c>
    </row>
    <row r="25084">
      <c r="B25084" t="str">
        <v>Công an phường Cheo Reo tỉnh Gia Lai</v>
      </c>
      <c r="C25084" t="str">
        <v>-</v>
      </c>
      <c r="D25084" t="str">
        <v>-</v>
      </c>
      <c r="E25084" t="str">
        <v/>
      </c>
      <c r="F25084" t="str">
        <v>-</v>
      </c>
      <c r="G25084" t="str">
        <v>-</v>
      </c>
    </row>
    <row r="25085">
      <c r="B25085" t="str">
        <v>UBND Ủy ban nhân dân phường Cheo Reo tỉnh Gia Lai</v>
      </c>
      <c r="C25085" t="str">
        <v>-</v>
      </c>
      <c r="D25085" t="str">
        <v>-</v>
      </c>
      <c r="E25085" t="str">
        <v>-</v>
      </c>
      <c r="F25085" t="str">
        <v>-</v>
      </c>
      <c r="G25085" t="str">
        <v>-</v>
      </c>
    </row>
    <row r="25086">
      <c r="B25086" t="str">
        <v>Công an phường Chiềng An tỉnh Sơn La</v>
      </c>
      <c r="C25086" t="str">
        <v>-</v>
      </c>
      <c r="D25086" t="str">
        <v>-</v>
      </c>
      <c r="E25086" t="str">
        <v/>
      </c>
      <c r="F25086" t="str">
        <v>-</v>
      </c>
      <c r="G25086" t="str">
        <v>-</v>
      </c>
    </row>
    <row r="25087">
      <c r="B25087" t="str">
        <v>UBND Ủy ban nhân dân phường Chiềng An tỉnh Sơn La</v>
      </c>
      <c r="C25087" t="str">
        <v>-</v>
      </c>
      <c r="D25087" t="str">
        <v>-</v>
      </c>
      <c r="E25087" t="str">
        <v>-</v>
      </c>
      <c r="F25087" t="str">
        <v>-</v>
      </c>
      <c r="G25087" t="str">
        <v>-</v>
      </c>
    </row>
    <row r="25088">
      <c r="B25088" t="str">
        <v>Công an phường Hàm Rồng tỉnh Thanh Hóa</v>
      </c>
      <c r="C25088" t="str">
        <v>-</v>
      </c>
      <c r="D25088" t="str">
        <v>-</v>
      </c>
      <c r="E25088" t="str">
        <v/>
      </c>
      <c r="F25088" t="str">
        <v>-</v>
      </c>
      <c r="G25088" t="str">
        <v>-</v>
      </c>
    </row>
    <row r="25089">
      <c r="B25089" t="str">
        <v>UBND Ủy ban nhân dân phường Hàm Rồng tỉnh Thanh Hóa</v>
      </c>
      <c r="C25089" t="str">
        <v>-</v>
      </c>
      <c r="D25089" t="str">
        <v>-</v>
      </c>
      <c r="E25089" t="str">
        <v>-</v>
      </c>
      <c r="F25089" t="str">
        <v>-</v>
      </c>
      <c r="G25089" t="str">
        <v>-</v>
      </c>
    </row>
    <row r="25090">
      <c r="B25090" t="str">
        <v>Công an phường Hải Ninh tỉnh Thanh Hóa</v>
      </c>
      <c r="C25090" t="str">
        <v>-</v>
      </c>
      <c r="D25090" t="str">
        <v>-</v>
      </c>
      <c r="E25090" t="str">
        <v/>
      </c>
      <c r="F25090" t="str">
        <v>-</v>
      </c>
      <c r="G25090" t="str">
        <v>-</v>
      </c>
    </row>
    <row r="25091">
      <c r="B25091" t="str">
        <v>UBND Ủy ban nhân dân phường Hải Ninh tỉnh Thanh Hóa</v>
      </c>
      <c r="C25091" t="str">
        <v>-</v>
      </c>
      <c r="D25091" t="str">
        <v>-</v>
      </c>
      <c r="E25091" t="str">
        <v>-</v>
      </c>
      <c r="F25091" t="str">
        <v>-</v>
      </c>
      <c r="G25091" t="str">
        <v>-</v>
      </c>
    </row>
    <row r="25092">
      <c r="B25092" t="str">
        <v>Công an phường Hải Thanh  tỉnh Thanh Hóa</v>
      </c>
      <c r="C25092" t="str">
        <v>-</v>
      </c>
      <c r="D25092" t="str">
        <v>-</v>
      </c>
      <c r="E25092" t="str">
        <v/>
      </c>
      <c r="F25092" t="str">
        <v>-</v>
      </c>
      <c r="G25092" t="str">
        <v>-</v>
      </c>
    </row>
    <row r="25093">
      <c r="B25093" t="str">
        <v>UBND Ủy ban nhân dân phường Hải Thanh  tỉnh Thanh Hóa</v>
      </c>
      <c r="C25093" t="str">
        <v>-</v>
      </c>
      <c r="D25093" t="str">
        <v>-</v>
      </c>
      <c r="E25093" t="str">
        <v>-</v>
      </c>
      <c r="F25093" t="str">
        <v>-</v>
      </c>
      <c r="G25093" t="str">
        <v>-</v>
      </c>
    </row>
    <row r="25094">
      <c r="B25094" t="str">
        <v>Công an phường Hồng Hà tỉnh Yên Bái</v>
      </c>
      <c r="C25094" t="str">
        <v>-</v>
      </c>
      <c r="D25094" t="str">
        <v>-</v>
      </c>
      <c r="E25094" t="str">
        <v/>
      </c>
      <c r="F25094" t="str">
        <v>-</v>
      </c>
      <c r="G25094" t="str">
        <v>-</v>
      </c>
    </row>
    <row r="25095">
      <c r="B25095" t="str">
        <v>UBND Ủy ban nhân dân phường Hồng Hà tỉnh Yên Bái</v>
      </c>
      <c r="C25095" t="str">
        <v>-</v>
      </c>
      <c r="D25095" t="str">
        <v>-</v>
      </c>
      <c r="E25095" t="str">
        <v>-</v>
      </c>
      <c r="F25095" t="str">
        <v>-</v>
      </c>
      <c r="G25095" t="str">
        <v>-</v>
      </c>
    </row>
    <row r="25096">
      <c r="B25096" t="str">
        <v>Công an phường Hiệp Tân  tỉnh TÂY NINH</v>
      </c>
      <c r="C25096" t="str">
        <v>-</v>
      </c>
      <c r="D25096" t="str">
        <v>-</v>
      </c>
      <c r="E25096" t="str">
        <v/>
      </c>
      <c r="F25096" t="str">
        <v>-</v>
      </c>
      <c r="G25096" t="str">
        <v>-</v>
      </c>
    </row>
    <row r="25097">
      <c r="B25097" t="str">
        <v>UBND Ủy ban nhân dân phường Hiệp Tân  tỉnh TÂY NINH</v>
      </c>
      <c r="C25097" t="str">
        <v>-</v>
      </c>
      <c r="D25097" t="str">
        <v>-</v>
      </c>
      <c r="E25097" t="str">
        <v>-</v>
      </c>
      <c r="F25097" t="str">
        <v>-</v>
      </c>
      <c r="G25097" t="str">
        <v>-</v>
      </c>
    </row>
    <row r="25098">
      <c r="B25098" t="str">
        <v>Công an phường Hiệp Tân  tỉnh TÂY NINH</v>
      </c>
      <c r="C25098" t="str">
        <v>-</v>
      </c>
      <c r="D25098" t="str">
        <v>-</v>
      </c>
      <c r="E25098" t="str">
        <v/>
      </c>
      <c r="F25098" t="str">
        <v>-</v>
      </c>
      <c r="G25098" t="str">
        <v>-</v>
      </c>
    </row>
    <row r="25099">
      <c r="B25099" t="str">
        <v>UBND Ủy ban nhân dân phường Hiệp Tân  tỉnh TÂY NINH</v>
      </c>
      <c r="C25099" t="str">
        <v>-</v>
      </c>
      <c r="D25099" t="str">
        <v>-</v>
      </c>
      <c r="E25099" t="str">
        <v>-</v>
      </c>
      <c r="F25099" t="str">
        <v>-</v>
      </c>
      <c r="G25099" t="str">
        <v>-</v>
      </c>
    </row>
    <row r="25100" xml:space="preserve">
      <c r="B25100" t="str" xml:space="preserve">
        <v xml:space="preserve">Công an phường Hoà Mạc _x000d_
 tỉnh Hà Nam</v>
      </c>
      <c r="C25100" t="str">
        <v>-</v>
      </c>
      <c r="D25100" t="str">
        <v>-</v>
      </c>
      <c r="E25100" t="str">
        <v/>
      </c>
      <c r="F25100" t="str">
        <v>-</v>
      </c>
      <c r="G25100" t="str">
        <v>-</v>
      </c>
    </row>
    <row r="25101" xml:space="preserve">
      <c r="B25101" t="str" xml:space="preserve">
        <v xml:space="preserve">UBND Ủy ban nhân dân phường Hoà Mạc _x000d_
 tỉnh Hà Nam</v>
      </c>
      <c r="C25101" t="str">
        <v>-</v>
      </c>
      <c r="D25101" t="str">
        <v>-</v>
      </c>
      <c r="E25101" t="str">
        <v>-</v>
      </c>
      <c r="F25101" t="str">
        <v>-</v>
      </c>
      <c r="G25101" t="str">
        <v>-</v>
      </c>
    </row>
    <row r="25102">
      <c r="B25102" t="str">
        <v>Công an phường Huyền Tụng tỉnh Bắc Kạn</v>
      </c>
      <c r="C25102" t="str">
        <v>-</v>
      </c>
      <c r="D25102" t="str">
        <v>-</v>
      </c>
      <c r="E25102" t="str">
        <v/>
      </c>
      <c r="F25102" t="str">
        <v>-</v>
      </c>
      <c r="G25102" t="str">
        <v>-</v>
      </c>
    </row>
    <row r="25103">
      <c r="B25103" t="str">
        <v>UBND Ủy ban nhân dân phường Huyền Tụng tỉnh Bắc Kạn</v>
      </c>
      <c r="C25103" t="str">
        <v>-</v>
      </c>
      <c r="D25103" t="str">
        <v>-</v>
      </c>
      <c r="E25103" t="str">
        <v>-</v>
      </c>
      <c r="F25103" t="str">
        <v>-</v>
      </c>
      <c r="G25103" t="str">
        <v>-</v>
      </c>
    </row>
    <row r="25104">
      <c r="B25104" t="str">
        <v>Công an phường Kỳ Long tỉnh Hà Tĩnh</v>
      </c>
      <c r="C25104" t="str">
        <v>-</v>
      </c>
      <c r="D25104" t="str">
        <v>-</v>
      </c>
      <c r="E25104" t="str">
        <v/>
      </c>
      <c r="F25104" t="str">
        <v>-</v>
      </c>
      <c r="G25104" t="str">
        <v>-</v>
      </c>
    </row>
    <row r="25105">
      <c r="B25105" t="str">
        <v>UBND Ủy ban nhân dân phường Kỳ Long tỉnh Hà Tĩnh</v>
      </c>
      <c r="C25105" t="str">
        <v>-</v>
      </c>
      <c r="D25105" t="str">
        <v>-</v>
      </c>
      <c r="E25105" t="str">
        <v>-</v>
      </c>
      <c r="F25105" t="str">
        <v>-</v>
      </c>
      <c r="G25105" t="str">
        <v>-</v>
      </c>
    </row>
    <row r="25106" xml:space="preserve">
      <c r="B25106" t="str" xml:space="preserve">
        <v xml:space="preserve">Công an phường Khương Mai _x000d_
 thành phố Hà Nội</v>
      </c>
      <c r="C25106" t="str">
        <v>-</v>
      </c>
      <c r="D25106" t="str">
        <v>-</v>
      </c>
      <c r="E25106" t="str">
        <v/>
      </c>
      <c r="F25106" t="str">
        <v>-</v>
      </c>
      <c r="G25106" t="str">
        <v>-</v>
      </c>
    </row>
    <row r="25107" xml:space="preserve">
      <c r="B25107" t="str" xml:space="preserve">
        <v xml:space="preserve">UBND Ủy ban nhân dân phường Khương Mai _x000d_
 thành phố Hà Nội</v>
      </c>
      <c r="C25107" t="str">
        <v>-</v>
      </c>
      <c r="D25107" t="str">
        <v>-</v>
      </c>
      <c r="E25107" t="str">
        <v>-</v>
      </c>
      <c r="F25107" t="str">
        <v>-</v>
      </c>
      <c r="G25107" t="str">
        <v>-</v>
      </c>
    </row>
    <row r="25108">
      <c r="B25108" t="str">
        <v>Công an phường Khắc Niệm tỉnh Bắc Ninh</v>
      </c>
      <c r="C25108" t="str">
        <v>-</v>
      </c>
      <c r="D25108" t="str">
        <v>-</v>
      </c>
      <c r="E25108" t="str">
        <v/>
      </c>
      <c r="F25108" t="str">
        <v>-</v>
      </c>
      <c r="G25108" t="str">
        <v>-</v>
      </c>
    </row>
    <row r="25109">
      <c r="B25109" t="str">
        <v>UBND Ủy ban nhân dân phường Khắc Niệm tỉnh Bắc Ninh</v>
      </c>
      <c r="C25109" t="str">
        <v>-</v>
      </c>
      <c r="D25109" t="str">
        <v>-</v>
      </c>
      <c r="E25109" t="str">
        <v>-</v>
      </c>
      <c r="F25109" t="str">
        <v>-</v>
      </c>
      <c r="G25109" t="str">
        <v>-</v>
      </c>
    </row>
    <row r="25110">
      <c r="B25110" t="str">
        <v>Công an phường Kinh Dinh tỉnh Ninh Thuận</v>
      </c>
      <c r="C25110" t="str">
        <v>-</v>
      </c>
      <c r="D25110" t="str">
        <v>-</v>
      </c>
      <c r="E25110" t="str">
        <v/>
      </c>
      <c r="F25110" t="str">
        <v>-</v>
      </c>
      <c r="G25110" t="str">
        <v>-</v>
      </c>
    </row>
    <row r="25111">
      <c r="B25111" t="str">
        <v>UBND Ủy ban nhân dân phường Kinh Dinh tỉnh Ninh Thuận</v>
      </c>
      <c r="C25111" t="str">
        <v>-</v>
      </c>
      <c r="D25111" t="str">
        <v>-</v>
      </c>
      <c r="E25111" t="str">
        <v>-</v>
      </c>
      <c r="F25111" t="str">
        <v>-</v>
      </c>
      <c r="G25111" t="str">
        <v>-</v>
      </c>
    </row>
    <row r="25112">
      <c r="B25112" t="str">
        <v>Công an phường Lương Khánh Thiện tỉnh Hà Nam</v>
      </c>
      <c r="C25112" t="str">
        <v>-</v>
      </c>
      <c r="D25112" t="str">
        <v>-</v>
      </c>
      <c r="E25112" t="str">
        <v/>
      </c>
      <c r="F25112" t="str">
        <v>-</v>
      </c>
      <c r="G25112" t="str">
        <v>-</v>
      </c>
    </row>
    <row r="25113">
      <c r="B25113" t="str">
        <v>UBND Ủy ban nhân dân phường Lương Khánh Thiện tỉnh Hà Nam</v>
      </c>
      <c r="C25113" t="str">
        <v>-</v>
      </c>
      <c r="D25113" t="str">
        <v>-</v>
      </c>
      <c r="E25113" t="str">
        <v>-</v>
      </c>
      <c r="F25113" t="str">
        <v>-</v>
      </c>
      <c r="G25113" t="str">
        <v>-</v>
      </c>
    </row>
    <row r="25114">
      <c r="B25114" t="str">
        <v>Công an phường Liên Bảo tỉnh Vĩnh Phúc</v>
      </c>
      <c r="C25114" t="str">
        <v>-</v>
      </c>
      <c r="D25114" t="str">
        <v>-</v>
      </c>
      <c r="E25114" t="str">
        <v/>
      </c>
      <c r="F25114" t="str">
        <v>-</v>
      </c>
      <c r="G25114" t="str">
        <v>-</v>
      </c>
    </row>
    <row r="25115">
      <c r="B25115" t="str">
        <v>UBND Ủy ban nhân dân phường Liên Bảo tỉnh Vĩnh Phúc</v>
      </c>
      <c r="C25115" t="str">
        <v>-</v>
      </c>
      <c r="D25115" t="str">
        <v>-</v>
      </c>
      <c r="E25115" t="str">
        <v>-</v>
      </c>
      <c r="F25115" t="str">
        <v>-</v>
      </c>
      <c r="G25115" t="str">
        <v>-</v>
      </c>
    </row>
    <row r="25116">
      <c r="B25116" t="str">
        <v>Công an phường Long Xuyên tỉnh Hải Dương</v>
      </c>
      <c r="C25116" t="str">
        <v>-</v>
      </c>
      <c r="D25116" t="str">
        <v>-</v>
      </c>
      <c r="E25116" t="str">
        <v/>
      </c>
      <c r="F25116" t="str">
        <v>-</v>
      </c>
      <c r="G25116" t="str">
        <v>-</v>
      </c>
    </row>
    <row r="25117">
      <c r="B25117" t="str">
        <v>UBND Ủy ban nhân dân phường Long Xuyên tỉnh Hải Dương</v>
      </c>
      <c r="C25117" t="str">
        <v>-</v>
      </c>
      <c r="D25117" t="str">
        <v>-</v>
      </c>
      <c r="E25117" t="str">
        <v>-</v>
      </c>
      <c r="F25117" t="str">
        <v>-</v>
      </c>
      <c r="G25117" t="str">
        <v>-</v>
      </c>
    </row>
    <row r="25118">
      <c r="B25118" t="str">
        <v>Công an phường Mỹ Lâm tỉnh Tuyên Quang</v>
      </c>
      <c r="C25118" t="str">
        <v>-</v>
      </c>
      <c r="D25118" t="str">
        <v>-</v>
      </c>
      <c r="E25118" t="str">
        <v/>
      </c>
      <c r="F25118" t="str">
        <v>-</v>
      </c>
      <c r="G25118" t="str">
        <v>-</v>
      </c>
    </row>
    <row r="25119">
      <c r="B25119" t="str">
        <v>UBND Ủy ban nhân dân phường Mỹ Lâm tỉnh Tuyên Quang</v>
      </c>
      <c r="C25119" t="str">
        <v>-</v>
      </c>
      <c r="D25119" t="str">
        <v>-</v>
      </c>
      <c r="E25119" t="str">
        <v>-</v>
      </c>
      <c r="F25119" t="str">
        <v>-</v>
      </c>
      <c r="G25119" t="str">
        <v>-</v>
      </c>
    </row>
    <row r="25120">
      <c r="B25120" t="str">
        <v>Công an phường Mỹ Xá tỉnh Nam Định</v>
      </c>
      <c r="C25120" t="str">
        <v>-</v>
      </c>
      <c r="D25120" t="str">
        <v>-</v>
      </c>
      <c r="E25120" t="str">
        <v/>
      </c>
      <c r="F25120" t="str">
        <v>-</v>
      </c>
      <c r="G25120" t="str">
        <v>-</v>
      </c>
    </row>
    <row r="25121">
      <c r="B25121" t="str">
        <v>UBND Ủy ban nhân dân phường Mỹ Xá tỉnh Nam Định</v>
      </c>
      <c r="C25121" t="str">
        <v>-</v>
      </c>
      <c r="D25121" t="str">
        <v>-</v>
      </c>
      <c r="E25121" t="str">
        <v>-</v>
      </c>
      <c r="F25121" t="str">
        <v>-</v>
      </c>
      <c r="G25121" t="str">
        <v>-</v>
      </c>
    </row>
    <row r="25122" xml:space="preserve">
      <c r="B25122" t="str" xml:space="preserve">
        <v xml:space="preserve">Công an phường Quỳnh Xuân _x000d_
 tỉnh Nghệ An</v>
      </c>
      <c r="C25122" t="str">
        <v>-</v>
      </c>
      <c r="D25122" t="str">
        <v>-</v>
      </c>
      <c r="E25122" t="str">
        <v/>
      </c>
      <c r="F25122" t="str">
        <v>-</v>
      </c>
      <c r="G25122" t="str">
        <v>-</v>
      </c>
    </row>
    <row r="25123" xml:space="preserve">
      <c r="B25123" t="str" xml:space="preserve">
        <v xml:space="preserve">UBND Ủy ban nhân dân phường Quỳnh Xuân _x000d_
 tỉnh Nghệ An</v>
      </c>
      <c r="C25123" t="str">
        <v>-</v>
      </c>
      <c r="D25123" t="str">
        <v>-</v>
      </c>
      <c r="E25123" t="str">
        <v>-</v>
      </c>
      <c r="F25123" t="str">
        <v>-</v>
      </c>
      <c r="G25123" t="str">
        <v>-</v>
      </c>
    </row>
    <row r="25124">
      <c r="B25124" t="str">
        <v>Công an phường Mai Lâm tỉnh Thanh Hóa</v>
      </c>
      <c r="C25124" t="str">
        <v>-</v>
      </c>
      <c r="D25124" t="str">
        <v>-</v>
      </c>
      <c r="E25124" t="str">
        <v/>
      </c>
      <c r="F25124" t="str">
        <v>-</v>
      </c>
      <c r="G25124" t="str">
        <v>-</v>
      </c>
    </row>
    <row r="25125">
      <c r="B25125" t="str">
        <v>UBND Ủy ban nhân dân phường Mai Lâm tỉnh Thanh Hóa</v>
      </c>
      <c r="C25125" t="str">
        <v>-</v>
      </c>
      <c r="D25125" t="str">
        <v>-</v>
      </c>
      <c r="E25125" t="str">
        <v>-</v>
      </c>
      <c r="F25125" t="str">
        <v>-</v>
      </c>
      <c r="G25125" t="str">
        <v>-</v>
      </c>
    </row>
    <row r="25126">
      <c r="B25126" t="str">
        <v>Công an phường Minh Tân  tỉnh Hải Dương</v>
      </c>
      <c r="C25126" t="str">
        <v>-</v>
      </c>
      <c r="D25126" t="str">
        <v>-</v>
      </c>
      <c r="E25126" t="str">
        <v/>
      </c>
      <c r="F25126" t="str">
        <v>-</v>
      </c>
      <c r="G25126" t="str">
        <v>-</v>
      </c>
    </row>
    <row r="25127">
      <c r="B25127" t="str">
        <v>UBND Ủy ban nhân dân phường Minh Tân  tỉnh Hải Dương</v>
      </c>
      <c r="C25127" t="str">
        <v>-</v>
      </c>
      <c r="D25127" t="str">
        <v>-</v>
      </c>
      <c r="E25127" t="str">
        <v>-</v>
      </c>
      <c r="F25127" t="str">
        <v>-</v>
      </c>
      <c r="G25127" t="str">
        <v>-</v>
      </c>
    </row>
    <row r="25128">
      <c r="B25128" t="str">
        <v>Công an phường Minh Thành tỉnh Quảng Ninh</v>
      </c>
      <c r="C25128" t="str">
        <v>-</v>
      </c>
      <c r="D25128" t="str">
        <v>-</v>
      </c>
      <c r="E25128" t="str">
        <v/>
      </c>
      <c r="F25128" t="str">
        <v>-</v>
      </c>
      <c r="G25128" t="str">
        <v>-</v>
      </c>
    </row>
    <row r="25129">
      <c r="B25129" t="str">
        <v>UBND Ủy ban nhân dân phường Minh Thành tỉnh Quảng Ninh</v>
      </c>
      <c r="C25129" t="str">
        <v>-</v>
      </c>
      <c r="D25129" t="str">
        <v>-</v>
      </c>
      <c r="E25129" t="str">
        <v>-</v>
      </c>
      <c r="F25129" t="str">
        <v>-</v>
      </c>
      <c r="G25129" t="str">
        <v>-</v>
      </c>
    </row>
    <row r="25130">
      <c r="B25130" t="str">
        <v>Công an phường Minh Xuân tỉnh Tuyên Quang</v>
      </c>
      <c r="C25130" t="str">
        <v>-</v>
      </c>
      <c r="D25130" t="str">
        <v>-</v>
      </c>
      <c r="E25130" t="str">
        <v/>
      </c>
      <c r="F25130" t="str">
        <v>-</v>
      </c>
      <c r="G25130" t="str">
        <v>-</v>
      </c>
    </row>
    <row r="25131">
      <c r="B25131" t="str">
        <v>UBND Ủy ban nhân dân phường Minh Xuân tỉnh Tuyên Quang</v>
      </c>
      <c r="C25131" t="str">
        <v>-</v>
      </c>
      <c r="D25131" t="str">
        <v>-</v>
      </c>
      <c r="E25131" t="str">
        <v>-</v>
      </c>
      <c r="F25131" t="str">
        <v>-</v>
      </c>
      <c r="G25131" t="str">
        <v>-</v>
      </c>
    </row>
    <row r="25132" xml:space="preserve">
      <c r="B25132" t="str" xml:space="preserve">
        <v xml:space="preserve">Công an phường Na Lay _x000d_
 tỉnh Điện Biên</v>
      </c>
      <c r="C25132" t="str">
        <v>-</v>
      </c>
      <c r="D25132" t="str">
        <v>-</v>
      </c>
      <c r="E25132" t="str">
        <v/>
      </c>
      <c r="F25132" t="str">
        <v>-</v>
      </c>
      <c r="G25132" t="str">
        <v>-</v>
      </c>
    </row>
    <row r="25133" xml:space="preserve">
      <c r="B25133" t="str" xml:space="preserve">
        <v xml:space="preserve">UBND Ủy ban nhân dân phường Na Lay _x000d_
 tỉnh Điện Biên</v>
      </c>
      <c r="C25133" t="str">
        <v>-</v>
      </c>
      <c r="D25133" t="str">
        <v>-</v>
      </c>
      <c r="E25133" t="str">
        <v>-</v>
      </c>
      <c r="F25133" t="str">
        <v>-</v>
      </c>
      <c r="G25133" t="str">
        <v>-</v>
      </c>
    </row>
    <row r="25134" xml:space="preserve">
      <c r="B25134" t="str" xml:space="preserve">
        <v xml:space="preserve">Công an phường Nam Hồng _x000d_
 tỉnh Hà Tĩnh</v>
      </c>
      <c r="C25134" t="str">
        <v>-</v>
      </c>
      <c r="D25134" t="str">
        <v>-</v>
      </c>
      <c r="E25134" t="str">
        <v/>
      </c>
      <c r="F25134" t="str">
        <v>-</v>
      </c>
      <c r="G25134" t="str">
        <v>-</v>
      </c>
    </row>
    <row r="25135" xml:space="preserve">
      <c r="B25135" t="str" xml:space="preserve">
        <v xml:space="preserve">UBND Ủy ban nhân dân phường Nam Hồng _x000d_
 tỉnh Hà Tĩnh</v>
      </c>
      <c r="C25135" t="str">
        <v>-</v>
      </c>
      <c r="D25135" t="str">
        <v>-</v>
      </c>
      <c r="E25135" t="str">
        <v>-</v>
      </c>
      <c r="F25135" t="str">
        <v>-</v>
      </c>
      <c r="G25135" t="str">
        <v>-</v>
      </c>
    </row>
    <row r="25136">
      <c r="B25136" t="str">
        <v>Công an phường Nam Ngạn tỉnh Thanh Hóa</v>
      </c>
      <c r="C25136" t="str">
        <v>-</v>
      </c>
      <c r="D25136" t="str">
        <v>-</v>
      </c>
      <c r="E25136" t="str">
        <v/>
      </c>
      <c r="F25136" t="str">
        <v>-</v>
      </c>
      <c r="G25136" t="str">
        <v>-</v>
      </c>
    </row>
    <row r="25137">
      <c r="B25137" t="str">
        <v>UBND Ủy ban nhân dân phường Nam Ngạn tỉnh Thanh Hóa</v>
      </c>
      <c r="C25137" t="str">
        <v>-</v>
      </c>
      <c r="D25137" t="str">
        <v>-</v>
      </c>
      <c r="E25137" t="str">
        <v>-</v>
      </c>
      <c r="F25137" t="str">
        <v>-</v>
      </c>
      <c r="G25137" t="str">
        <v>-</v>
      </c>
    </row>
    <row r="25138" xml:space="preserve">
      <c r="B25138" t="str" xml:space="preserve">
        <v xml:space="preserve">Công an phường Nam Sơn _x000d_
 tỉnh Bắc Ninh</v>
      </c>
      <c r="C25138" t="str">
        <v>-</v>
      </c>
      <c r="D25138" t="str">
        <v>-</v>
      </c>
      <c r="E25138" t="str">
        <v/>
      </c>
      <c r="F25138" t="str">
        <v>-</v>
      </c>
      <c r="G25138" t="str">
        <v>-</v>
      </c>
    </row>
    <row r="25139" xml:space="preserve">
      <c r="B25139" t="str" xml:space="preserve">
        <v xml:space="preserve">UBND Ủy ban nhân dân phường Nam Sơn _x000d_
 tỉnh Bắc Ninh</v>
      </c>
      <c r="C25139" t="str">
        <v>-</v>
      </c>
      <c r="D25139" t="str">
        <v>-</v>
      </c>
      <c r="E25139" t="str">
        <v>-</v>
      </c>
      <c r="F25139" t="str">
        <v>-</v>
      </c>
      <c r="G25139" t="str">
        <v>-</v>
      </c>
    </row>
    <row r="25140">
      <c r="B25140" t="str">
        <v>Công an phường Nam Tiến tỉnh Thái Nguyên</v>
      </c>
      <c r="C25140" t="str">
        <v>-</v>
      </c>
      <c r="D25140" t="str">
        <v>-</v>
      </c>
      <c r="E25140" t="str">
        <v/>
      </c>
      <c r="F25140" t="str">
        <v>-</v>
      </c>
      <c r="G25140" t="str">
        <v>-</v>
      </c>
    </row>
    <row r="25141">
      <c r="B25141" t="str">
        <v>UBND Ủy ban nhân dân phường Nam Tiến tỉnh Thái Nguyên</v>
      </c>
      <c r="C25141" t="str">
        <v>-</v>
      </c>
      <c r="D25141" t="str">
        <v>-</v>
      </c>
      <c r="E25141" t="str">
        <v>-</v>
      </c>
      <c r="F25141" t="str">
        <v>-</v>
      </c>
      <c r="G25141" t="str">
        <v>-</v>
      </c>
    </row>
    <row r="25142">
      <c r="B25142" t="str">
        <v>Công an phường Nguyên Bình tỉnh Thanh Hóa</v>
      </c>
      <c r="C25142" t="str">
        <v>-</v>
      </c>
      <c r="D25142" t="str">
        <v>-</v>
      </c>
      <c r="E25142" t="str">
        <v/>
      </c>
      <c r="F25142" t="str">
        <v>-</v>
      </c>
      <c r="G25142" t="str">
        <v>-</v>
      </c>
    </row>
    <row r="25143">
      <c r="B25143" t="str">
        <v>UBND Ủy ban nhân dân phường Nguyên Bình tỉnh Thanh Hóa</v>
      </c>
      <c r="C25143" t="str">
        <v>-</v>
      </c>
      <c r="D25143" t="str">
        <v>-</v>
      </c>
      <c r="E25143" t="str">
        <v>-</v>
      </c>
      <c r="F25143" t="str">
        <v>-</v>
      </c>
      <c r="G25143" t="str">
        <v>-</v>
      </c>
    </row>
    <row r="25144">
      <c r="B25144" t="str">
        <v>Công an phường Nguyễn Du tỉnh Hà Tĩnh</v>
      </c>
      <c r="C25144" t="str">
        <v>-</v>
      </c>
      <c r="D25144" t="str">
        <v>-</v>
      </c>
      <c r="E25144" t="str">
        <v/>
      </c>
      <c r="F25144" t="str">
        <v>-</v>
      </c>
      <c r="G25144" t="str">
        <v>-</v>
      </c>
    </row>
    <row r="25145">
      <c r="B25145" t="str">
        <v>UBND Ủy ban nhân dân phường Nguyễn Du tỉnh Hà Tĩnh</v>
      </c>
      <c r="C25145" t="str">
        <v>-</v>
      </c>
      <c r="D25145" t="str">
        <v>-</v>
      </c>
      <c r="E25145" t="str">
        <v>-</v>
      </c>
      <c r="F25145" t="str">
        <v>-</v>
      </c>
      <c r="G25145" t="str">
        <v>-</v>
      </c>
    </row>
    <row r="25146">
      <c r="B25146" t="str">
        <v>Công an phường Nguyễn Phúc tỉnh Yên Bái</v>
      </c>
      <c r="C25146" t="str">
        <v>-</v>
      </c>
      <c r="D25146" t="str">
        <v>-</v>
      </c>
      <c r="E25146" t="str">
        <v/>
      </c>
      <c r="F25146" t="str">
        <v>-</v>
      </c>
      <c r="G25146" t="str">
        <v>-</v>
      </c>
    </row>
    <row r="25147">
      <c r="B25147" t="str">
        <v>UBND Ủy ban nhân dân phường Nguyễn Phúc tỉnh Yên Bái</v>
      </c>
      <c r="C25147" t="str">
        <v>-</v>
      </c>
      <c r="D25147" t="str">
        <v>-</v>
      </c>
      <c r="E25147" t="str">
        <v>-</v>
      </c>
      <c r="F25147" t="str">
        <v>-</v>
      </c>
      <c r="G25147" t="str">
        <v>-</v>
      </c>
    </row>
    <row r="25148">
      <c r="B25148" t="str">
        <v>Công an phường Nguyễn Thái Học tỉnh Yên Bái</v>
      </c>
      <c r="C25148" t="str">
        <v>-</v>
      </c>
      <c r="D25148" t="str">
        <v>-</v>
      </c>
      <c r="E25148" t="str">
        <v/>
      </c>
      <c r="F25148" t="str">
        <v>-</v>
      </c>
      <c r="G25148" t="str">
        <v>-</v>
      </c>
    </row>
    <row r="25149">
      <c r="B25149" t="str">
        <v>UBND Ủy ban nhân dân phường Nguyễn Thái Học tỉnh Yên Bái</v>
      </c>
      <c r="C25149" t="str">
        <v>-</v>
      </c>
      <c r="D25149" t="str">
        <v>-</v>
      </c>
      <c r="E25149" t="str">
        <v>-</v>
      </c>
      <c r="F25149" t="str">
        <v>-</v>
      </c>
      <c r="G25149" t="str">
        <v>-</v>
      </c>
    </row>
    <row r="25150">
      <c r="B25150" t="str">
        <v>Công an phường Ninh Sơn tỉnh TÂY NINH</v>
      </c>
      <c r="C25150" t="str">
        <v>-</v>
      </c>
      <c r="D25150" t="str">
        <v>-</v>
      </c>
      <c r="E25150" t="str">
        <v/>
      </c>
      <c r="F25150" t="str">
        <v>-</v>
      </c>
      <c r="G25150" t="str">
        <v>-</v>
      </c>
    </row>
    <row r="25151">
      <c r="B25151" t="str">
        <v>UBND Ủy ban nhân dân phường Ninh Sơn tỉnh TÂY NINH</v>
      </c>
      <c r="C25151" t="str">
        <v>-</v>
      </c>
      <c r="D25151" t="str">
        <v>-</v>
      </c>
      <c r="E25151" t="str">
        <v>-</v>
      </c>
      <c r="F25151" t="str">
        <v>-</v>
      </c>
      <c r="G25151" t="str">
        <v>-</v>
      </c>
    </row>
    <row r="25152" xml:space="preserve">
      <c r="B25152" t="str" xml:space="preserve">
        <v xml:space="preserve">Công an phường Ninh Thạnh _x000d_
 tỉnh TÂY NINH</v>
      </c>
      <c r="C25152" t="str">
        <v>-</v>
      </c>
      <c r="D25152" t="str">
        <v>-</v>
      </c>
      <c r="E25152" t="str">
        <v/>
      </c>
      <c r="F25152" t="str">
        <v>-</v>
      </c>
      <c r="G25152" t="str">
        <v>-</v>
      </c>
    </row>
    <row r="25153" xml:space="preserve">
      <c r="B25153" t="str" xml:space="preserve">
        <v xml:space="preserve">UBND Ủy ban nhân dân phường Ninh Thạnh _x000d_
 tỉnh TÂY NINH</v>
      </c>
      <c r="C25153" t="str">
        <v>-</v>
      </c>
      <c r="D25153" t="str">
        <v>-</v>
      </c>
      <c r="E25153" t="str">
        <v>-</v>
      </c>
      <c r="F25153" t="str">
        <v>-</v>
      </c>
      <c r="G25153" t="str">
        <v>-</v>
      </c>
    </row>
    <row r="25154" xml:space="preserve">
      <c r="B25154" t="str" xml:space="preserve">
        <v xml:space="preserve">Công an phường Pháo Đài _x000d_
 tỉnh Kiên Giang</v>
      </c>
      <c r="C25154" t="str">
        <v>-</v>
      </c>
      <c r="D25154" t="str">
        <v>-</v>
      </c>
      <c r="E25154" t="str">
        <v/>
      </c>
      <c r="F25154" t="str">
        <v>-</v>
      </c>
      <c r="G25154" t="str">
        <v>-</v>
      </c>
    </row>
    <row r="25155" xml:space="preserve">
      <c r="B25155" t="str" xml:space="preserve">
        <v xml:space="preserve">UBND Ủy ban nhân dân phường Pháo Đài _x000d_
 tỉnh Kiên Giang</v>
      </c>
      <c r="C25155" t="str">
        <v>-</v>
      </c>
      <c r="D25155" t="str">
        <v>-</v>
      </c>
      <c r="E25155" t="str">
        <v>-</v>
      </c>
      <c r="F25155" t="str">
        <v>-</v>
      </c>
      <c r="G25155" t="str">
        <v>-</v>
      </c>
    </row>
    <row r="25156">
      <c r="B25156" t="str">
        <v>Công an phường Phùng Chí Kiên tỉnh Bắc Kạn</v>
      </c>
      <c r="C25156" t="str">
        <v>-</v>
      </c>
      <c r="D25156" t="str">
        <v>-</v>
      </c>
      <c r="E25156" t="str">
        <v/>
      </c>
      <c r="F25156" t="str">
        <v>-</v>
      </c>
      <c r="G25156" t="str">
        <v>-</v>
      </c>
    </row>
    <row r="25157">
      <c r="B25157" t="str">
        <v>UBND Ủy ban nhân dân phường Phùng Chí Kiên tỉnh Bắc Kạn</v>
      </c>
      <c r="C25157" t="str">
        <v>-</v>
      </c>
      <c r="D25157" t="str">
        <v>-</v>
      </c>
      <c r="E25157" t="str">
        <v>-</v>
      </c>
      <c r="F25157" t="str">
        <v>-</v>
      </c>
      <c r="G25157" t="str">
        <v>-</v>
      </c>
    </row>
    <row r="25158">
      <c r="B25158" t="str">
        <v>Công an phường Phùng Chí Kiên tỉnh Bắc Kạn</v>
      </c>
      <c r="C25158" t="str">
        <v>-</v>
      </c>
      <c r="D25158" t="str">
        <v>-</v>
      </c>
      <c r="E25158" t="str">
        <v/>
      </c>
      <c r="F25158" t="str">
        <v>-</v>
      </c>
      <c r="G25158" t="str">
        <v>-</v>
      </c>
    </row>
    <row r="25159">
      <c r="B25159" t="str">
        <v>UBND Ủy ban nhân dân phường Phùng Chí Kiên tỉnh Bắc Kạn</v>
      </c>
      <c r="C25159" t="str">
        <v>-</v>
      </c>
      <c r="D25159" t="str">
        <v>-</v>
      </c>
      <c r="E25159" t="str">
        <v>-</v>
      </c>
      <c r="F25159" t="str">
        <v>-</v>
      </c>
      <c r="G25159" t="str">
        <v>-</v>
      </c>
    </row>
    <row r="25160">
      <c r="B25160" t="str">
        <v>Công an phường Phùng Chí Kiên tỉnh Hưng Yên</v>
      </c>
      <c r="C25160" t="str">
        <v>-</v>
      </c>
      <c r="D25160" t="str">
        <v>-</v>
      </c>
      <c r="E25160" t="str">
        <v/>
      </c>
      <c r="F25160" t="str">
        <v>-</v>
      </c>
      <c r="G25160" t="str">
        <v>-</v>
      </c>
    </row>
    <row r="25161">
      <c r="B25161" t="str">
        <v>UBND Ủy ban nhân dân phường Phùng Chí Kiên tỉnh Hưng Yên</v>
      </c>
      <c r="C25161" t="str">
        <v>-</v>
      </c>
      <c r="D25161" t="str">
        <v>-</v>
      </c>
      <c r="E25161" t="str">
        <v>-</v>
      </c>
      <c r="F25161" t="str">
        <v>-</v>
      </c>
      <c r="G25161" t="str">
        <v>-</v>
      </c>
    </row>
    <row r="25162">
      <c r="B25162" t="str">
        <v>Công an phường Phú Khương tỉnh Bến Tre</v>
      </c>
      <c r="C25162" t="str">
        <v>-</v>
      </c>
      <c r="D25162" t="str">
        <v>-</v>
      </c>
      <c r="E25162" t="str">
        <v/>
      </c>
      <c r="F25162" t="str">
        <v>-</v>
      </c>
      <c r="G25162" t="str">
        <v>-</v>
      </c>
    </row>
    <row r="25163">
      <c r="B25163" t="str">
        <v>UBND Ủy ban nhân dân phường Phú Khương tỉnh Bến Tre</v>
      </c>
      <c r="C25163" t="str">
        <v>-</v>
      </c>
      <c r="D25163" t="str">
        <v>-</v>
      </c>
      <c r="E25163" t="str">
        <v>-</v>
      </c>
      <c r="F25163" t="str">
        <v>-</v>
      </c>
      <c r="G25163" t="str">
        <v>-</v>
      </c>
    </row>
    <row r="25164" xml:space="preserve">
      <c r="B25164" t="str" xml:space="preserve">
        <v xml:space="preserve">Công an phường Phú Mỹ _x000d_
 tỉnh Bà Rịa - Vũng Tàu</v>
      </c>
      <c r="C25164" t="str">
        <v>-</v>
      </c>
      <c r="D25164" t="str">
        <v>-</v>
      </c>
      <c r="E25164" t="str">
        <v/>
      </c>
      <c r="F25164" t="str">
        <v>-</v>
      </c>
      <c r="G25164" t="str">
        <v>-</v>
      </c>
    </row>
    <row r="25165" xml:space="preserve">
      <c r="B25165" t="str" xml:space="preserve">
        <v xml:space="preserve">UBND Ủy ban nhân dân phường Phú Mỹ _x000d_
 tỉnh Bà Rịa - Vũng Tàu</v>
      </c>
      <c r="C25165" t="str">
        <v>-</v>
      </c>
      <c r="D25165" t="str">
        <v>-</v>
      </c>
      <c r="E25165" t="str">
        <v>-</v>
      </c>
      <c r="F25165" t="str">
        <v>-</v>
      </c>
      <c r="G25165" t="str">
        <v>-</v>
      </c>
    </row>
    <row r="25166">
      <c r="B25166" t="str">
        <v>Công an phường Phú Tân tỉnh Bến Tre</v>
      </c>
      <c r="C25166" t="str">
        <v>-</v>
      </c>
      <c r="D25166" t="str">
        <v>-</v>
      </c>
      <c r="E25166" t="str">
        <v/>
      </c>
      <c r="F25166" t="str">
        <v>-</v>
      </c>
      <c r="G25166" t="str">
        <v>-</v>
      </c>
    </row>
    <row r="25167">
      <c r="B25167" t="str">
        <v>UBND Ủy ban nhân dân phường Phú Tân tỉnh Bến Tre</v>
      </c>
      <c r="C25167" t="str">
        <v>-</v>
      </c>
      <c r="D25167" t="str">
        <v>-</v>
      </c>
      <c r="E25167" t="str">
        <v>-</v>
      </c>
      <c r="F25167" t="str">
        <v>-</v>
      </c>
      <c r="G25167" t="str">
        <v>-</v>
      </c>
    </row>
    <row r="25168">
      <c r="B25168" t="str">
        <v>Công an phường Phú Xá  tỉnh Thái Nguyên</v>
      </c>
      <c r="C25168" t="str">
        <v>-</v>
      </c>
      <c r="D25168" t="str">
        <v>-</v>
      </c>
      <c r="E25168" t="str">
        <v/>
      </c>
      <c r="F25168" t="str">
        <v>-</v>
      </c>
      <c r="G25168" t="str">
        <v>-</v>
      </c>
    </row>
    <row r="25169">
      <c r="B25169" t="str">
        <v>UBND Ủy ban nhân dân phường Phú Xá  tỉnh Thái Nguyên</v>
      </c>
      <c r="C25169" t="str">
        <v>-</v>
      </c>
      <c r="D25169" t="str">
        <v>-</v>
      </c>
      <c r="E25169" t="str">
        <v>-</v>
      </c>
      <c r="F25169" t="str">
        <v>-</v>
      </c>
      <c r="G25169" t="str">
        <v>-</v>
      </c>
    </row>
    <row r="25170" xml:space="preserve">
      <c r="B25170" t="str" xml:space="preserve">
        <v xml:space="preserve">Công an phường Phước Hoà _x000d_
 tỉnh Khánh Hòa</v>
      </c>
      <c r="C25170" t="str">
        <v>-</v>
      </c>
      <c r="D25170" t="str">
        <v>-</v>
      </c>
      <c r="E25170" t="str">
        <v/>
      </c>
      <c r="F25170" t="str">
        <v>-</v>
      </c>
      <c r="G25170" t="str">
        <v>-</v>
      </c>
    </row>
    <row r="25171" xml:space="preserve">
      <c r="B25171" t="str" xml:space="preserve">
        <v xml:space="preserve">UBND Ủy ban nhân dân phường Phước Hoà _x000d_
 tỉnh Khánh Hòa</v>
      </c>
      <c r="C25171" t="str">
        <v>-</v>
      </c>
      <c r="D25171" t="str">
        <v>-</v>
      </c>
      <c r="E25171" t="str">
        <v>-</v>
      </c>
      <c r="F25171" t="str">
        <v>-</v>
      </c>
      <c r="G25171" t="str">
        <v>-</v>
      </c>
    </row>
    <row r="25172" xml:space="preserve">
      <c r="B25172" t="str" xml:space="preserve">
        <v xml:space="preserve">Công an phường Phước Tân _x000d_
 tỉnh Đồng Nai</v>
      </c>
      <c r="C25172" t="str">
        <v>-</v>
      </c>
      <c r="D25172" t="str">
        <v>-</v>
      </c>
      <c r="E25172" t="str">
        <v/>
      </c>
      <c r="F25172" t="str">
        <v>-</v>
      </c>
      <c r="G25172" t="str">
        <v>-</v>
      </c>
    </row>
    <row r="25173" xml:space="preserve">
      <c r="B25173" t="str" xml:space="preserve">
        <v xml:space="preserve">UBND Ủy ban nhân dân phường Phước Tân _x000d_
 tỉnh Đồng Nai</v>
      </c>
      <c r="C25173" t="str">
        <v>-</v>
      </c>
      <c r="D25173" t="str">
        <v>-</v>
      </c>
      <c r="E25173" t="str">
        <v>-</v>
      </c>
      <c r="F25173" t="str">
        <v>-</v>
      </c>
      <c r="G25173" t="str">
        <v>-</v>
      </c>
    </row>
    <row r="25174">
      <c r="B25174" t="str">
        <v>Công an phường Phạm Ngũ Lão tỉnh Hải Dương</v>
      </c>
      <c r="C25174" t="str">
        <v>-</v>
      </c>
      <c r="D25174" t="str">
        <v>-</v>
      </c>
      <c r="E25174" t="str">
        <v/>
      </c>
      <c r="F25174" t="str">
        <v>-</v>
      </c>
      <c r="G25174" t="str">
        <v>-</v>
      </c>
    </row>
    <row r="25175">
      <c r="B25175" t="str">
        <v>UBND Ủy ban nhân dân phường Phạm Ngũ Lão tỉnh Hải Dương</v>
      </c>
      <c r="C25175" t="str">
        <v>-</v>
      </c>
      <c r="D25175" t="str">
        <v>-</v>
      </c>
      <c r="E25175" t="str">
        <v>-</v>
      </c>
      <c r="F25175" t="str">
        <v>-</v>
      </c>
      <c r="G25175" t="str">
        <v>-</v>
      </c>
    </row>
    <row r="25176" xml:space="preserve">
      <c r="B25176" t="str" xml:space="preserve">
        <v xml:space="preserve">Công an phường Phan Đình Phùng _x000d_
 tỉnh Hưng Yên</v>
      </c>
      <c r="C25176" t="str">
        <v>-</v>
      </c>
      <c r="D25176" t="str">
        <v>-</v>
      </c>
      <c r="E25176" t="str">
        <v/>
      </c>
      <c r="F25176" t="str">
        <v>-</v>
      </c>
      <c r="G25176" t="str">
        <v>-</v>
      </c>
    </row>
    <row r="25177" xml:space="preserve">
      <c r="B25177" t="str" xml:space="preserve">
        <v xml:space="preserve">UBND Ủy ban nhân dân phường Phan Đình Phùng _x000d_
 tỉnh Hưng Yên</v>
      </c>
      <c r="C25177" t="str">
        <v>-</v>
      </c>
      <c r="D25177" t="str">
        <v>-</v>
      </c>
      <c r="E25177" t="str">
        <v>-</v>
      </c>
      <c r="F25177" t="str">
        <v>-</v>
      </c>
      <c r="G25177" t="str">
        <v>-</v>
      </c>
    </row>
    <row r="25178">
      <c r="B25178" t="str">
        <v>Công an phường Phan Thiết tỉnh Tuyên Quang</v>
      </c>
      <c r="C25178" t="str">
        <v>-</v>
      </c>
      <c r="D25178" t="str">
        <v>-</v>
      </c>
      <c r="E25178" t="str">
        <v/>
      </c>
      <c r="F25178" t="str">
        <v>-</v>
      </c>
      <c r="G25178" t="str">
        <v>-</v>
      </c>
    </row>
    <row r="25179">
      <c r="B25179" t="str">
        <v>UBND Ủy ban nhân dân phường Phan Thiết tỉnh Tuyên Quang</v>
      </c>
      <c r="C25179" t="str">
        <v>-</v>
      </c>
      <c r="D25179" t="str">
        <v>-</v>
      </c>
      <c r="E25179" t="str">
        <v>-</v>
      </c>
      <c r="F25179" t="str">
        <v>-</v>
      </c>
      <c r="G25179" t="str">
        <v>-</v>
      </c>
    </row>
    <row r="25180">
      <c r="B25180" t="str">
        <v>Công an phường Quảng Đông tỉnh Thanh Hóa</v>
      </c>
      <c r="C25180" t="str">
        <v>-</v>
      </c>
      <c r="D25180" t="str">
        <v>-</v>
      </c>
      <c r="E25180" t="str">
        <v/>
      </c>
      <c r="F25180" t="str">
        <v>-</v>
      </c>
      <c r="G25180" t="str">
        <v>-</v>
      </c>
    </row>
    <row r="25181">
      <c r="B25181" t="str">
        <v>UBND Ủy ban nhân dân phường Quảng Đông tỉnh Thanh Hóa</v>
      </c>
      <c r="C25181" t="str">
        <v>-</v>
      </c>
      <c r="D25181" t="str">
        <v>-</v>
      </c>
      <c r="E25181" t="str">
        <v>-</v>
      </c>
      <c r="F25181" t="str">
        <v>-</v>
      </c>
      <c r="G25181" t="str">
        <v>-</v>
      </c>
    </row>
    <row r="25182">
      <c r="B25182" t="str">
        <v>Công an phường Quảng Hưng tỉnh Thanh Hóa</v>
      </c>
      <c r="C25182" t="str">
        <v>-</v>
      </c>
      <c r="D25182" t="str">
        <v>-</v>
      </c>
      <c r="E25182" t="str">
        <v/>
      </c>
      <c r="F25182" t="str">
        <v>-</v>
      </c>
      <c r="G25182" t="str">
        <v>-</v>
      </c>
    </row>
    <row r="25183">
      <c r="B25183" t="str">
        <v>UBND Ủy ban nhân dân phường Quảng Hưng tỉnh Thanh Hóa</v>
      </c>
      <c r="C25183" t="str">
        <v>-</v>
      </c>
      <c r="D25183" t="str">
        <v>-</v>
      </c>
      <c r="E25183" t="str">
        <v>-</v>
      </c>
      <c r="F25183" t="str">
        <v>-</v>
      </c>
      <c r="G25183" t="str">
        <v>-</v>
      </c>
    </row>
    <row r="25184">
      <c r="B25184" t="str">
        <v>Công an phường Quảng Thành tỉnh Thanh Hóa</v>
      </c>
      <c r="C25184" t="str">
        <v>-</v>
      </c>
      <c r="D25184" t="str">
        <v>-</v>
      </c>
      <c r="E25184" t="str">
        <v/>
      </c>
      <c r="F25184" t="str">
        <v>-</v>
      </c>
      <c r="G25184" t="str">
        <v>-</v>
      </c>
    </row>
    <row r="25185">
      <c r="B25185" t="str">
        <v>UBND Ủy ban nhân dân phường Quảng Thành tỉnh Thanh Hóa</v>
      </c>
      <c r="C25185" t="str">
        <v>-</v>
      </c>
      <c r="D25185" t="str">
        <v>-</v>
      </c>
      <c r="E25185" t="str">
        <v>-</v>
      </c>
      <c r="F25185" t="str">
        <v>-</v>
      </c>
      <c r="G25185" t="str">
        <v>-</v>
      </c>
    </row>
    <row r="25186">
      <c r="B25186" t="str">
        <v>Công an phường Quảng Thịnh tỉnh Thanh Hóa</v>
      </c>
      <c r="C25186" t="str">
        <v>-</v>
      </c>
      <c r="D25186" t="str">
        <v>-</v>
      </c>
      <c r="E25186" t="str">
        <v/>
      </c>
      <c r="F25186" t="str">
        <v>-</v>
      </c>
      <c r="G25186" t="str">
        <v>-</v>
      </c>
    </row>
    <row r="25187">
      <c r="B25187" t="str">
        <v>UBND Ủy ban nhân dân phường Quảng Thịnh tỉnh Thanh Hóa</v>
      </c>
      <c r="C25187" t="str">
        <v>-</v>
      </c>
      <c r="D25187" t="str">
        <v>-</v>
      </c>
      <c r="E25187" t="str">
        <v>-</v>
      </c>
      <c r="F25187" t="str">
        <v>-</v>
      </c>
      <c r="G25187" t="str">
        <v>-</v>
      </c>
    </row>
    <row r="25188">
      <c r="B25188" t="str">
        <v>Công an phường Quảng Vinh tỉnh Thanh Hóa</v>
      </c>
      <c r="C25188" t="str">
        <v>-</v>
      </c>
      <c r="D25188" t="str">
        <v>-</v>
      </c>
      <c r="E25188" t="str">
        <v/>
      </c>
      <c r="F25188" t="str">
        <v>-</v>
      </c>
      <c r="G25188" t="str">
        <v>-</v>
      </c>
    </row>
    <row r="25189">
      <c r="B25189" t="str">
        <v>UBND Ủy ban nhân dân phường Quảng Vinh tỉnh Thanh Hóa</v>
      </c>
      <c r="C25189" t="str">
        <v>-</v>
      </c>
      <c r="D25189" t="str">
        <v>-</v>
      </c>
      <c r="E25189" t="str">
        <v>-</v>
      </c>
      <c r="F25189" t="str">
        <v>-</v>
      </c>
      <c r="G25189" t="str">
        <v>-</v>
      </c>
    </row>
    <row r="25190">
      <c r="B25190" t="str">
        <v>Công an phường Quyết Tâm tỉnh Sơn La</v>
      </c>
      <c r="C25190" t="str">
        <v>-</v>
      </c>
      <c r="D25190" t="str">
        <v>-</v>
      </c>
      <c r="E25190" t="str">
        <v/>
      </c>
      <c r="F25190" t="str">
        <v>-</v>
      </c>
      <c r="G25190" t="str">
        <v>-</v>
      </c>
    </row>
    <row r="25191">
      <c r="B25191" t="str">
        <v>UBND Ủy ban nhân dân phường Quyết Tâm tỉnh Sơn La</v>
      </c>
      <c r="C25191" t="str">
        <v>-</v>
      </c>
      <c r="D25191" t="str">
        <v>-</v>
      </c>
      <c r="E25191" t="str">
        <v>-</v>
      </c>
      <c r="F25191" t="str">
        <v>-</v>
      </c>
      <c r="G25191" t="str">
        <v>-</v>
      </c>
    </row>
    <row r="25192">
      <c r="B25192" t="str">
        <v>Công an phường Quyết Thắng tỉnh Lai Châu</v>
      </c>
      <c r="C25192" t="str">
        <v>-</v>
      </c>
      <c r="D25192" t="str">
        <v>-</v>
      </c>
      <c r="E25192" t="str">
        <v/>
      </c>
      <c r="F25192" t="str">
        <v>-</v>
      </c>
      <c r="G25192" t="str">
        <v>-</v>
      </c>
    </row>
    <row r="25193">
      <c r="B25193" t="str">
        <v>UBND Ủy ban nhân dân phường Quyết Thắng tỉnh Lai Châu</v>
      </c>
      <c r="C25193" t="str">
        <v>-</v>
      </c>
      <c r="D25193" t="str">
        <v>-</v>
      </c>
      <c r="E25193" t="str">
        <v>-</v>
      </c>
      <c r="F25193" t="str">
        <v>-</v>
      </c>
      <c r="G25193" t="str">
        <v>-</v>
      </c>
    </row>
    <row r="25194" xml:space="preserve">
      <c r="B25194" t="str" xml:space="preserve">
        <v xml:space="preserve">Công an phường Sơn Phong _x000d_
 tỉnh Quảng Nam</v>
      </c>
      <c r="C25194" t="str">
        <v>-</v>
      </c>
      <c r="D25194" t="str">
        <v>-</v>
      </c>
      <c r="E25194" t="str">
        <v/>
      </c>
      <c r="F25194" t="str">
        <v>-</v>
      </c>
      <c r="G25194" t="str">
        <v>-</v>
      </c>
    </row>
    <row r="25195" xml:space="preserve">
      <c r="B25195" t="str" xml:space="preserve">
        <v xml:space="preserve">UBND Ủy ban nhân dân phường Sơn Phong _x000d_
 tỉnh Quảng Nam</v>
      </c>
      <c r="C25195" t="str">
        <v>-</v>
      </c>
      <c r="D25195" t="str">
        <v>-</v>
      </c>
      <c r="E25195" t="str">
        <v>-</v>
      </c>
      <c r="F25195" t="str">
        <v>-</v>
      </c>
      <c r="G25195" t="str">
        <v>-</v>
      </c>
    </row>
    <row r="25196">
      <c r="B25196" t="str">
        <v>Công an phường Tào Xuyên  tỉnh Thanh Hóa</v>
      </c>
      <c r="C25196" t="str">
        <v>-</v>
      </c>
      <c r="D25196" t="str">
        <v>-</v>
      </c>
      <c r="E25196" t="str">
        <v/>
      </c>
      <c r="F25196" t="str">
        <v>-</v>
      </c>
      <c r="G25196" t="str">
        <v>-</v>
      </c>
    </row>
    <row r="25197">
      <c r="B25197" t="str">
        <v>UBND Ủy ban nhân dân phường Tào Xuyên  tỉnh Thanh Hóa</v>
      </c>
      <c r="C25197" t="str">
        <v>-</v>
      </c>
      <c r="D25197" t="str">
        <v>-</v>
      </c>
      <c r="E25197" t="str">
        <v>-</v>
      </c>
      <c r="F25197" t="str">
        <v>-</v>
      </c>
      <c r="G25197" t="str">
        <v>-</v>
      </c>
    </row>
    <row r="25198">
      <c r="B25198" t="str">
        <v>Công an phường Tân Định  tỉnh Bình Dương</v>
      </c>
      <c r="C25198" t="str">
        <v>-</v>
      </c>
      <c r="D25198" t="str">
        <v>-</v>
      </c>
      <c r="E25198" t="str">
        <v/>
      </c>
      <c r="F25198" t="str">
        <v>-</v>
      </c>
      <c r="G25198" t="str">
        <v>-</v>
      </c>
    </row>
    <row r="25199">
      <c r="B25199" t="str">
        <v>UBND Ủy ban nhân dân phường Tân Định  tỉnh Bình Dương</v>
      </c>
      <c r="C25199" t="str">
        <v>-</v>
      </c>
      <c r="D25199" t="str">
        <v>-</v>
      </c>
      <c r="E25199" t="str">
        <v>-</v>
      </c>
      <c r="F25199" t="str">
        <v>-</v>
      </c>
      <c r="G25199" t="str">
        <v>-</v>
      </c>
    </row>
    <row r="25200" xml:space="preserve">
      <c r="B25200" t="str" xml:space="preserve">
        <v xml:space="preserve">Công an phường Tân An _x000d_
 tỉnh Tuyên Quang</v>
      </c>
      <c r="C25200" t="str">
        <v>-</v>
      </c>
      <c r="D25200" t="str">
        <v>-</v>
      </c>
      <c r="E25200" t="str">
        <v/>
      </c>
      <c r="F25200" t="str">
        <v>-</v>
      </c>
      <c r="G25200" t="str">
        <v>-</v>
      </c>
    </row>
    <row r="25201" xml:space="preserve">
      <c r="B25201" t="str" xml:space="preserve">
        <v xml:space="preserve">UBND Ủy ban nhân dân phường Tân An _x000d_
 tỉnh Tuyên Quang</v>
      </c>
      <c r="C25201" t="str">
        <v>-</v>
      </c>
      <c r="D25201" t="str">
        <v>-</v>
      </c>
      <c r="E25201" t="str">
        <v>-</v>
      </c>
      <c r="F25201" t="str">
        <v>-</v>
      </c>
      <c r="G25201" t="str">
        <v>-</v>
      </c>
    </row>
    <row r="25202">
      <c r="B25202" t="str">
        <v>Công an phường Tân Hà tỉnh Tuyên Quang</v>
      </c>
      <c r="C25202" t="str">
        <v>-</v>
      </c>
      <c r="D25202" t="str">
        <v>-</v>
      </c>
      <c r="E25202" t="str">
        <v/>
      </c>
      <c r="F25202" t="str">
        <v>-</v>
      </c>
      <c r="G25202" t="str">
        <v>-</v>
      </c>
    </row>
    <row r="25203">
      <c r="B25203" t="str">
        <v>UBND Ủy ban nhân dân phường Tân Hà tỉnh Tuyên Quang</v>
      </c>
      <c r="C25203" t="str">
        <v>-</v>
      </c>
      <c r="D25203" t="str">
        <v>-</v>
      </c>
      <c r="E25203" t="str">
        <v>-</v>
      </c>
      <c r="F25203" t="str">
        <v>-</v>
      </c>
      <c r="G25203" t="str">
        <v>-</v>
      </c>
    </row>
    <row r="25204">
      <c r="B25204" t="str">
        <v>Công an phường Tân Ngãi tỉnh Vĩnh Long</v>
      </c>
      <c r="C25204" t="str">
        <v>-</v>
      </c>
      <c r="D25204" t="str">
        <v>-</v>
      </c>
      <c r="E25204" t="str">
        <v/>
      </c>
      <c r="F25204" t="str">
        <v>-</v>
      </c>
      <c r="G25204" t="str">
        <v>-</v>
      </c>
    </row>
    <row r="25205">
      <c r="B25205" t="str">
        <v>UBND Ủy ban nhân dân phường Tân Ngãi tỉnh Vĩnh Long</v>
      </c>
      <c r="C25205" t="str">
        <v>-</v>
      </c>
      <c r="D25205" t="str">
        <v>-</v>
      </c>
      <c r="E25205" t="str">
        <v>-</v>
      </c>
      <c r="F25205" t="str">
        <v>-</v>
      </c>
      <c r="G25205" t="str">
        <v>-</v>
      </c>
    </row>
    <row r="25206">
      <c r="B25206" t="str">
        <v>Công an phường Tân Quang tỉnh Tuyên Quang</v>
      </c>
      <c r="C25206" t="str">
        <v>-</v>
      </c>
      <c r="D25206" t="str">
        <v>-</v>
      </c>
      <c r="E25206" t="str">
        <v/>
      </c>
      <c r="F25206" t="str">
        <v>-</v>
      </c>
      <c r="G25206" t="str">
        <v>-</v>
      </c>
    </row>
    <row r="25207">
      <c r="B25207" t="str">
        <v>UBND Ủy ban nhân dân phường Tân Quang tỉnh Tuyên Quang</v>
      </c>
      <c r="C25207" t="str">
        <v>-</v>
      </c>
      <c r="D25207" t="str">
        <v>-</v>
      </c>
      <c r="E25207" t="str">
        <v>-</v>
      </c>
      <c r="F25207" t="str">
        <v>-</v>
      </c>
      <c r="G25207" t="str">
        <v>-</v>
      </c>
    </row>
    <row r="25208" xml:space="preserve">
      <c r="B25208" t="str" xml:space="preserve">
        <v xml:space="preserve">Công an phường Tây Sơn _x000d_
 tỉnh Gia Lai</v>
      </c>
      <c r="C25208" t="str">
        <v>-</v>
      </c>
      <c r="D25208" t="str">
        <v>-</v>
      </c>
      <c r="E25208" t="str">
        <v/>
      </c>
      <c r="F25208" t="str">
        <v>-</v>
      </c>
      <c r="G25208" t="str">
        <v>-</v>
      </c>
    </row>
    <row r="25209" xml:space="preserve">
      <c r="B25209" t="str" xml:space="preserve">
        <v xml:space="preserve">UBND Ủy ban nhân dân phường Tây Sơn _x000d_
 tỉnh Gia Lai</v>
      </c>
      <c r="C25209" t="str">
        <v>-</v>
      </c>
      <c r="D25209" t="str">
        <v>-</v>
      </c>
      <c r="E25209" t="str">
        <v>-</v>
      </c>
      <c r="F25209" t="str">
        <v>-</v>
      </c>
      <c r="G25209" t="str">
        <v>-</v>
      </c>
    </row>
    <row r="25210">
      <c r="B25210" t="str">
        <v>Công an phường Tích Lương tỉnh Thái Nguyên</v>
      </c>
      <c r="C25210" t="str">
        <v>-</v>
      </c>
      <c r="D25210" t="str">
        <v>-</v>
      </c>
      <c r="E25210" t="str">
        <v/>
      </c>
      <c r="F25210" t="str">
        <v>-</v>
      </c>
      <c r="G25210" t="str">
        <v>-</v>
      </c>
    </row>
    <row r="25211">
      <c r="B25211" t="str">
        <v>UBND Ủy ban nhân dân phường Tích Lương tỉnh Thái Nguyên</v>
      </c>
      <c r="C25211" t="str">
        <v>-</v>
      </c>
      <c r="D25211" t="str">
        <v>-</v>
      </c>
      <c r="E25211" t="str">
        <v>-</v>
      </c>
      <c r="F25211" t="str">
        <v>-</v>
      </c>
      <c r="G25211" t="str">
        <v>-</v>
      </c>
    </row>
    <row r="25212" xml:space="preserve">
      <c r="B25212" t="str" xml:space="preserve">
        <v xml:space="preserve">Công an phường Tô Châu _x000d_
 tỉnh Kiên Giang</v>
      </c>
      <c r="C25212" t="str">
        <v>-</v>
      </c>
      <c r="D25212" t="str">
        <v>-</v>
      </c>
      <c r="E25212" t="str">
        <v/>
      </c>
      <c r="F25212" t="str">
        <v>-</v>
      </c>
      <c r="G25212" t="str">
        <v>-</v>
      </c>
    </row>
    <row r="25213" xml:space="preserve">
      <c r="B25213" t="str" xml:space="preserve">
        <v xml:space="preserve">UBND Ủy ban nhân dân phường Tô Châu _x000d_
 tỉnh Kiên Giang</v>
      </c>
      <c r="C25213" t="str">
        <v>-</v>
      </c>
      <c r="D25213" t="str">
        <v>-</v>
      </c>
      <c r="E25213" t="str">
        <v>-</v>
      </c>
      <c r="F25213" t="str">
        <v>-</v>
      </c>
      <c r="G25213" t="str">
        <v>-</v>
      </c>
    </row>
    <row r="25214">
      <c r="B25214" t="str">
        <v>Công an phường Tô Hiệu tỉnh Sơn La</v>
      </c>
      <c r="C25214" t="str">
        <v>-</v>
      </c>
      <c r="D25214" t="str">
        <v>-</v>
      </c>
      <c r="E25214" t="str">
        <v/>
      </c>
      <c r="F25214" t="str">
        <v>-</v>
      </c>
      <c r="G25214" t="str">
        <v>-</v>
      </c>
    </row>
    <row r="25215">
      <c r="B25215" t="str">
        <v>UBND Ủy ban nhân dân phường Tô Hiệu tỉnh Sơn La</v>
      </c>
      <c r="C25215" t="str">
        <v>-</v>
      </c>
      <c r="D25215" t="str">
        <v>-</v>
      </c>
      <c r="E25215" t="str">
        <v>-</v>
      </c>
      <c r="F25215" t="str">
        <v>-</v>
      </c>
      <c r="G25215" t="str">
        <v>-</v>
      </c>
    </row>
    <row r="25216">
      <c r="B25216" t="str">
        <v>Công an phường Thạch Quý tỉnh Hà Tĩnh</v>
      </c>
      <c r="C25216" t="str">
        <v>-</v>
      </c>
      <c r="D25216" t="str">
        <v>-</v>
      </c>
      <c r="E25216" t="str">
        <v/>
      </c>
      <c r="F25216" t="str">
        <v>-</v>
      </c>
      <c r="G25216" t="str">
        <v>-</v>
      </c>
    </row>
    <row r="25217">
      <c r="B25217" t="str">
        <v>UBND Ủy ban nhân dân phường Thạch Quý tỉnh Hà Tĩnh</v>
      </c>
      <c r="C25217" t="str">
        <v>-</v>
      </c>
      <c r="D25217" t="str">
        <v>-</v>
      </c>
      <c r="E25217" t="str">
        <v>-</v>
      </c>
      <c r="F25217" t="str">
        <v>-</v>
      </c>
      <c r="G25217" t="str">
        <v>-</v>
      </c>
    </row>
    <row r="25218">
      <c r="B25218" t="str">
        <v>Công an phường Thất Hùng tỉnh Hải Dương</v>
      </c>
      <c r="C25218" t="str">
        <v>-</v>
      </c>
      <c r="D25218" t="str">
        <v>-</v>
      </c>
      <c r="E25218" t="str">
        <v/>
      </c>
      <c r="F25218" t="str">
        <v>-</v>
      </c>
      <c r="G25218" t="str">
        <v>-</v>
      </c>
    </row>
    <row r="25219">
      <c r="B25219" t="str">
        <v>UBND Ủy ban nhân dân phường Thất Hùng tỉnh Hải Dương</v>
      </c>
      <c r="C25219" t="str">
        <v>-</v>
      </c>
      <c r="D25219" t="str">
        <v>-</v>
      </c>
      <c r="E25219" t="str">
        <v>-</v>
      </c>
      <c r="F25219" t="str">
        <v>-</v>
      </c>
      <c r="G25219" t="str">
        <v>-</v>
      </c>
    </row>
    <row r="25220">
      <c r="B25220" t="str">
        <v>Công an phường Thị Cầu  tỉnh Bắc Ninh</v>
      </c>
      <c r="C25220" t="str">
        <v>-</v>
      </c>
      <c r="D25220" t="str">
        <v>-</v>
      </c>
      <c r="E25220" t="str">
        <v/>
      </c>
      <c r="F25220" t="str">
        <v>-</v>
      </c>
      <c r="G25220" t="str">
        <v>-</v>
      </c>
    </row>
    <row r="25221">
      <c r="B25221" t="str">
        <v>UBND Ủy ban nhân dân phường Thị Cầu  tỉnh Bắc Ninh</v>
      </c>
      <c r="C25221" t="str">
        <v>-</v>
      </c>
      <c r="D25221" t="str">
        <v>-</v>
      </c>
      <c r="E25221" t="str">
        <v>-</v>
      </c>
      <c r="F25221" t="str">
        <v>-</v>
      </c>
      <c r="G25221" t="str">
        <v>-</v>
      </c>
    </row>
    <row r="25222">
      <c r="B25222" t="str">
        <v>Công an phường Thống Nhất tỉnh Gia Lai</v>
      </c>
      <c r="C25222" t="str">
        <v>-</v>
      </c>
      <c r="D25222" t="str">
        <v>-</v>
      </c>
      <c r="E25222" t="str">
        <v/>
      </c>
      <c r="F25222" t="str">
        <v>-</v>
      </c>
      <c r="G25222" t="str">
        <v>-</v>
      </c>
    </row>
    <row r="25223">
      <c r="B25223" t="str">
        <v>UBND Ủy ban nhân dân phường Thống Nhất tỉnh Gia Lai</v>
      </c>
      <c r="C25223" t="str">
        <v>-</v>
      </c>
      <c r="D25223" t="str">
        <v>-</v>
      </c>
      <c r="E25223" t="str">
        <v>-</v>
      </c>
      <c r="F25223" t="str">
        <v>-</v>
      </c>
      <c r="G25223" t="str">
        <v>-</v>
      </c>
    </row>
    <row r="25224">
      <c r="B25224" t="str">
        <v>Công an phường Thanh Bình tỉnh Điện Biên</v>
      </c>
      <c r="C25224" t="str">
        <v>-</v>
      </c>
      <c r="D25224" t="str">
        <v>-</v>
      </c>
      <c r="E25224" t="str">
        <v/>
      </c>
      <c r="F25224" t="str">
        <v>-</v>
      </c>
      <c r="G25224" t="str">
        <v>-</v>
      </c>
    </row>
    <row r="25225">
      <c r="B25225" t="str">
        <v>UBND Ủy ban nhân dân phường Thanh Bình tỉnh Điện Biên</v>
      </c>
      <c r="C25225" t="str">
        <v>-</v>
      </c>
      <c r="D25225" t="str">
        <v>-</v>
      </c>
      <c r="E25225" t="str">
        <v>-</v>
      </c>
      <c r="F25225" t="str">
        <v>-</v>
      </c>
      <c r="G25225" t="str">
        <v>-</v>
      </c>
    </row>
    <row r="25226">
      <c r="B25226" t="str">
        <v>Công an phường Thanh Bình tỉnh Điện Biên</v>
      </c>
      <c r="C25226" t="str">
        <v>-</v>
      </c>
      <c r="D25226" t="str">
        <v>-</v>
      </c>
      <c r="E25226" t="str">
        <v/>
      </c>
      <c r="F25226" t="str">
        <v>-</v>
      </c>
      <c r="G25226" t="str">
        <v>-</v>
      </c>
    </row>
    <row r="25227">
      <c r="B25227" t="str">
        <v>UBND Ủy ban nhân dân phường Thanh Bình tỉnh Điện Biên</v>
      </c>
      <c r="C25227" t="str">
        <v>-</v>
      </c>
      <c r="D25227" t="str">
        <v>-</v>
      </c>
      <c r="E25227" t="str">
        <v>-</v>
      </c>
      <c r="F25227" t="str">
        <v>-</v>
      </c>
      <c r="G25227" t="str">
        <v>-</v>
      </c>
    </row>
    <row r="25228">
      <c r="B25228" t="str">
        <v>Công an phường Thanh Trường tỉnh Điện Biên</v>
      </c>
      <c r="C25228" t="str">
        <v>-</v>
      </c>
      <c r="D25228" t="str">
        <v>-</v>
      </c>
      <c r="E25228" t="str">
        <v/>
      </c>
      <c r="F25228" t="str">
        <v>-</v>
      </c>
      <c r="G25228" t="str">
        <v>-</v>
      </c>
    </row>
    <row r="25229">
      <c r="B25229" t="str">
        <v>UBND Ủy ban nhân dân phường Thanh Trường tỉnh Điện Biên</v>
      </c>
      <c r="C25229" t="str">
        <v>-</v>
      </c>
      <c r="D25229" t="str">
        <v>-</v>
      </c>
      <c r="E25229" t="str">
        <v>-</v>
      </c>
      <c r="F25229" t="str">
        <v>-</v>
      </c>
      <c r="G25229" t="str">
        <v>-</v>
      </c>
    </row>
    <row r="25230" xml:space="preserve">
      <c r="B25230" t="str" xml:space="preserve">
        <v xml:space="preserve">Công an phường Trúc Lâm _x000d_
 tỉnh Thanh Hóa</v>
      </c>
      <c r="C25230" t="str">
        <v>-</v>
      </c>
      <c r="D25230" t="str">
        <v>-</v>
      </c>
      <c r="E25230" t="str">
        <v/>
      </c>
      <c r="F25230" t="str">
        <v>-</v>
      </c>
      <c r="G25230" t="str">
        <v>-</v>
      </c>
    </row>
    <row r="25231" xml:space="preserve">
      <c r="B25231" t="str" xml:space="preserve">
        <v xml:space="preserve">UBND Ủy ban nhân dân phường Trúc Lâm _x000d_
 tỉnh Thanh Hóa</v>
      </c>
      <c r="C25231" t="str">
        <v>-</v>
      </c>
      <c r="D25231" t="str">
        <v>-</v>
      </c>
      <c r="E25231" t="str">
        <v>-</v>
      </c>
      <c r="F25231" t="str">
        <v>-</v>
      </c>
      <c r="G25231" t="str">
        <v>-</v>
      </c>
    </row>
    <row r="25232">
      <c r="B25232" t="str">
        <v>Công an phường Trường An tỉnh Vĩnh Long</v>
      </c>
      <c r="C25232" t="str">
        <v>-</v>
      </c>
      <c r="D25232" t="str">
        <v>-</v>
      </c>
      <c r="E25232" t="str">
        <v/>
      </c>
      <c r="F25232" t="str">
        <v>-</v>
      </c>
      <c r="G25232" t="str">
        <v>-</v>
      </c>
    </row>
    <row r="25233">
      <c r="B25233" t="str">
        <v>UBND Ủy ban nhân dân phường Trường An tỉnh Vĩnh Long</v>
      </c>
      <c r="C25233" t="str">
        <v>-</v>
      </c>
      <c r="D25233" t="str">
        <v>-</v>
      </c>
      <c r="E25233" t="str">
        <v>-</v>
      </c>
      <c r="F25233" t="str">
        <v>-</v>
      </c>
      <c r="G25233" t="str">
        <v>-</v>
      </c>
    </row>
    <row r="25234">
      <c r="B25234" t="str">
        <v>Công an phường Trưng Vương tỉnh Thái Nguyên</v>
      </c>
      <c r="C25234" t="str">
        <v>-</v>
      </c>
      <c r="D25234" t="str">
        <v>-</v>
      </c>
      <c r="E25234" t="str">
        <v/>
      </c>
      <c r="F25234" t="str">
        <v>-</v>
      </c>
      <c r="G25234" t="str">
        <v>-</v>
      </c>
    </row>
    <row r="25235">
      <c r="B25235" t="str">
        <v>UBND Ủy ban nhân dân phường Trưng Vương tỉnh Thái Nguyên</v>
      </c>
      <c r="C25235" t="str">
        <v>-</v>
      </c>
      <c r="D25235" t="str">
        <v>-</v>
      </c>
      <c r="E25235" t="str">
        <v>-</v>
      </c>
      <c r="F25235" t="str">
        <v>-</v>
      </c>
      <c r="G25235" t="str">
        <v>-</v>
      </c>
    </row>
    <row r="25236">
      <c r="B25236" t="str">
        <v>Công an phường Trần Hưng Đạo tỉnh Hà Nam</v>
      </c>
      <c r="C25236" t="str">
        <v>-</v>
      </c>
      <c r="D25236" t="str">
        <v>-</v>
      </c>
      <c r="E25236" t="str">
        <v/>
      </c>
      <c r="F25236" t="str">
        <v>-</v>
      </c>
      <c r="G25236" t="str">
        <v>-</v>
      </c>
    </row>
    <row r="25237">
      <c r="B25237" t="str">
        <v>UBND Ủy ban nhân dân phường Trần Hưng Đạo tỉnh Hà Nam</v>
      </c>
      <c r="C25237" t="str">
        <v>-</v>
      </c>
      <c r="D25237" t="str">
        <v>-</v>
      </c>
      <c r="E25237" t="str">
        <v>-</v>
      </c>
      <c r="F25237" t="str">
        <v>-</v>
      </c>
      <c r="G25237" t="str">
        <v>-</v>
      </c>
    </row>
    <row r="25238">
      <c r="B25238" t="str">
        <v>Công an phường Trần Phú tỉnh Hà Tĩnh</v>
      </c>
      <c r="C25238" t="str">
        <v>-</v>
      </c>
      <c r="D25238" t="str">
        <v>-</v>
      </c>
      <c r="E25238" t="str">
        <v/>
      </c>
      <c r="F25238" t="str">
        <v>-</v>
      </c>
      <c r="G25238" t="str">
        <v>-</v>
      </c>
    </row>
    <row r="25239">
      <c r="B25239" t="str">
        <v>UBND Ủy ban nhân dân phường Trần Phú tỉnh Hà Tĩnh</v>
      </c>
      <c r="C25239" t="str">
        <v>-</v>
      </c>
      <c r="D25239" t="str">
        <v>-</v>
      </c>
      <c r="E25239" t="str">
        <v>-</v>
      </c>
      <c r="F25239" t="str">
        <v>-</v>
      </c>
      <c r="G25239" t="str">
        <v>-</v>
      </c>
    </row>
    <row r="25240">
      <c r="B25240" t="str">
        <v>Công an phường Trung Sơn tỉnh Thanh Hóa</v>
      </c>
      <c r="C25240" t="str">
        <v>-</v>
      </c>
      <c r="D25240" t="str">
        <v>-</v>
      </c>
      <c r="E25240" t="str">
        <v/>
      </c>
      <c r="F25240" t="str">
        <v>-</v>
      </c>
      <c r="G25240" t="str">
        <v>-</v>
      </c>
    </row>
    <row r="25241">
      <c r="B25241" t="str">
        <v>UBND Ủy ban nhân dân phường Trung Sơn tỉnh Thanh Hóa</v>
      </c>
      <c r="C25241" t="str">
        <v>-</v>
      </c>
      <c r="D25241" t="str">
        <v>-</v>
      </c>
      <c r="E25241" t="str">
        <v>-</v>
      </c>
      <c r="F25241" t="str">
        <v>-</v>
      </c>
      <c r="G25241" t="str">
        <v>-</v>
      </c>
    </row>
    <row r="25242">
      <c r="B25242" t="str">
        <v>Công an phường Vũ Ninh  tỉnh Bắc Ninh</v>
      </c>
      <c r="C25242" t="str">
        <v>-</v>
      </c>
      <c r="D25242" t="str">
        <v>-</v>
      </c>
      <c r="E25242" t="str">
        <v/>
      </c>
      <c r="F25242" t="str">
        <v>-</v>
      </c>
      <c r="G25242" t="str">
        <v>-</v>
      </c>
    </row>
    <row r="25243">
      <c r="B25243" t="str">
        <v>UBND Ủy ban nhân dân phường Vũ Ninh  tỉnh Bắc Ninh</v>
      </c>
      <c r="C25243" t="str">
        <v>-</v>
      </c>
      <c r="D25243" t="str">
        <v>-</v>
      </c>
      <c r="E25243" t="str">
        <v>-</v>
      </c>
      <c r="F25243" t="str">
        <v>-</v>
      </c>
      <c r="G25243" t="str">
        <v>-</v>
      </c>
    </row>
    <row r="25244">
      <c r="B25244" t="str">
        <v>Công an phường Vạn An tỉnh Bắc Ninh</v>
      </c>
      <c r="C25244" t="str">
        <v>-</v>
      </c>
      <c r="D25244" t="str">
        <v>-</v>
      </c>
      <c r="E25244" t="str">
        <v/>
      </c>
      <c r="F25244" t="str">
        <v>-</v>
      </c>
      <c r="G25244" t="str">
        <v>-</v>
      </c>
    </row>
    <row r="25245">
      <c r="B25245" t="str">
        <v>UBND Ủy ban nhân dân phường Vạn An tỉnh Bắc Ninh</v>
      </c>
      <c r="C25245" t="str">
        <v>-</v>
      </c>
      <c r="D25245" t="str">
        <v>-</v>
      </c>
      <c r="E25245" t="str">
        <v>-</v>
      </c>
      <c r="F25245" t="str">
        <v>-</v>
      </c>
      <c r="G25245" t="str">
        <v>-</v>
      </c>
    </row>
    <row r="25246" xml:space="preserve">
      <c r="B25246" t="str" xml:space="preserve">
        <v xml:space="preserve">Công an phường Xuân Lâm _x000d_
 tỉnh Bắc Ninh</v>
      </c>
      <c r="C25246" t="str">
        <v>-</v>
      </c>
      <c r="D25246" t="str">
        <v>-</v>
      </c>
      <c r="E25246" t="str">
        <v/>
      </c>
      <c r="F25246" t="str">
        <v>-</v>
      </c>
      <c r="G25246" t="str">
        <v>-</v>
      </c>
    </row>
    <row r="25247" xml:space="preserve">
      <c r="B25247" t="str" xml:space="preserve">
        <v xml:space="preserve">UBND Ủy ban nhân dân phường Xuân Lâm _x000d_
 tỉnh Bắc Ninh</v>
      </c>
      <c r="C25247" t="str">
        <v>-</v>
      </c>
      <c r="D25247" t="str">
        <v>-</v>
      </c>
      <c r="E25247" t="str">
        <v>-</v>
      </c>
      <c r="F25247" t="str">
        <v>-</v>
      </c>
      <c r="G25247" t="str">
        <v>-</v>
      </c>
    </row>
    <row r="25248">
      <c r="B25248" t="str">
        <v>Công an phường Xuân Thành tỉnh Phú Yên</v>
      </c>
      <c r="C25248" t="str">
        <v>-</v>
      </c>
      <c r="D25248" t="str">
        <v>-</v>
      </c>
      <c r="E25248" t="str">
        <v/>
      </c>
      <c r="F25248" t="str">
        <v>-</v>
      </c>
      <c r="G25248" t="str">
        <v>-</v>
      </c>
    </row>
    <row r="25249">
      <c r="B25249" t="str">
        <v>UBND Ủy ban nhân dân phường Xuân Thành tỉnh Phú Yên</v>
      </c>
      <c r="C25249" t="str">
        <v>-</v>
      </c>
      <c r="D25249" t="str">
        <v>-</v>
      </c>
      <c r="E25249" t="str">
        <v>-</v>
      </c>
      <c r="F25249" t="str">
        <v>-</v>
      </c>
      <c r="G25249" t="str">
        <v>-</v>
      </c>
    </row>
    <row r="25250">
      <c r="B25250" t="str">
        <v>Công an phường Yên Bắc tỉnh Hà Nam</v>
      </c>
      <c r="C25250" t="str">
        <v>-</v>
      </c>
      <c r="D25250" t="str">
        <v>-</v>
      </c>
      <c r="E25250" t="str">
        <v/>
      </c>
      <c r="F25250" t="str">
        <v>-</v>
      </c>
      <c r="G25250" t="str">
        <v>-</v>
      </c>
    </row>
    <row r="25251">
      <c r="B25251" t="str">
        <v>UBND Ủy ban nhân dân phường Yên Bắc tỉnh Hà Nam</v>
      </c>
      <c r="C25251" t="str">
        <v>-</v>
      </c>
      <c r="D25251" t="str">
        <v>-</v>
      </c>
      <c r="E25251" t="str">
        <v>-</v>
      </c>
      <c r="F25251" t="str">
        <v>-</v>
      </c>
      <c r="G25251" t="str">
        <v>-</v>
      </c>
    </row>
    <row r="25252">
      <c r="B25252" t="str">
        <v>Công an phường Yên Thịnh tỉnh Yên Bái</v>
      </c>
      <c r="C25252" t="str">
        <v>-</v>
      </c>
      <c r="D25252" t="str">
        <v>-</v>
      </c>
      <c r="E25252" t="str">
        <v/>
      </c>
      <c r="F25252" t="str">
        <v>-</v>
      </c>
      <c r="G25252" t="str">
        <v>-</v>
      </c>
    </row>
    <row r="25253">
      <c r="B25253" t="str">
        <v>UBND Ủy ban nhân dân phường Yên Thịnh tỉnh Yên Bái</v>
      </c>
      <c r="C25253" t="str">
        <v>-</v>
      </c>
      <c r="D25253" t="str">
        <v>-</v>
      </c>
      <c r="E25253" t="str">
        <v>-</v>
      </c>
      <c r="F25253" t="str">
        <v>-</v>
      </c>
      <c r="G25253" t="str">
        <v>-</v>
      </c>
    </row>
    <row r="25254">
      <c r="B25254" t="str">
        <v>Công an tỉnh Tây Ninh  tỉnh TÂY NINH</v>
      </c>
      <c r="C25254" t="str">
        <v>-</v>
      </c>
      <c r="D25254" t="str">
        <v>-</v>
      </c>
      <c r="E25254" t="str">
        <v/>
      </c>
      <c r="F25254" t="str">
        <v>-</v>
      </c>
      <c r="G25254" t="str">
        <v>-</v>
      </c>
    </row>
    <row r="25255">
      <c r="B25255" t="str">
        <v>UBND Ủy ban nhân dân tỉnh Tây Ninh  tỉnh TÂY NINH</v>
      </c>
      <c r="C25255" t="str">
        <v>-</v>
      </c>
      <c r="D25255" t="str">
        <v>-</v>
      </c>
      <c r="E25255" t="str">
        <v>-</v>
      </c>
      <c r="F25255" t="str">
        <v>-</v>
      </c>
      <c r="G25255" t="str">
        <v>-</v>
      </c>
    </row>
    <row r="25256" xml:space="preserve">
      <c r="B25256" t="str" xml:space="preserve">
        <v xml:space="preserve">Công an tỉnh Đăk Lăk _x000d_
 tỉnh Đắk Lắk</v>
      </c>
      <c r="C25256" t="str">
        <v>-</v>
      </c>
      <c r="D25256" t="str">
        <v>-</v>
      </c>
      <c r="E25256" t="str">
        <v/>
      </c>
      <c r="F25256" t="str">
        <v>-</v>
      </c>
      <c r="G25256" t="str">
        <v>-</v>
      </c>
    </row>
    <row r="25257" xml:space="preserve">
      <c r="B25257" t="str" xml:space="preserve">
        <v xml:space="preserve">UBND Ủy ban nhân dân tỉnh Đăk Lăk _x000d_
 tỉnh Đắk Lắk</v>
      </c>
      <c r="C25257" t="str">
        <v>-</v>
      </c>
      <c r="D25257" t="str">
        <v>-</v>
      </c>
      <c r="E25257" t="str">
        <v>-</v>
      </c>
      <c r="F25257" t="str">
        <v>-</v>
      </c>
      <c r="G25257" t="str">
        <v>-</v>
      </c>
    </row>
    <row r="25258" xml:space="preserve">
      <c r="B25258" t="str" xml:space="preserve">
        <v xml:space="preserve">Công an tỉnh Bà Rịa Vũng Tàu _x000d_
 tỉnh Bà Rịa - Vũng Tàu</v>
      </c>
      <c r="C25258" t="str">
        <v>-</v>
      </c>
      <c r="D25258" t="str">
        <v>-</v>
      </c>
      <c r="E25258" t="str">
        <v/>
      </c>
      <c r="F25258" t="str">
        <v>-</v>
      </c>
      <c r="G25258" t="str">
        <v>-</v>
      </c>
    </row>
    <row r="25259" xml:space="preserve">
      <c r="B25259" t="str" xml:space="preserve">
        <v xml:space="preserve">UBND Ủy ban nhân dân tỉnh Bà Rịa Vũng Tàu _x000d_
 tỉnh Bà Rịa - Vũng Tàu</v>
      </c>
      <c r="C25259" t="str">
        <v>-</v>
      </c>
      <c r="D25259" t="str">
        <v>-</v>
      </c>
      <c r="E25259" t="str">
        <v>-</v>
      </c>
      <c r="F25259" t="str">
        <v>-</v>
      </c>
      <c r="G25259" t="str">
        <v>-</v>
      </c>
    </row>
    <row r="25260" xml:space="preserve">
      <c r="B25260" t="str" xml:space="preserve">
        <v xml:space="preserve">Công an tỉnh Bình Phước _x000d_
 tỉnh Bình Phước</v>
      </c>
      <c r="C25260" t="str">
        <v>-</v>
      </c>
      <c r="D25260" t="str">
        <v>-</v>
      </c>
      <c r="E25260" t="str">
        <v/>
      </c>
      <c r="F25260" t="str">
        <v>-</v>
      </c>
      <c r="G25260" t="str">
        <v>-</v>
      </c>
    </row>
    <row r="25261" xml:space="preserve">
      <c r="B25261" t="str" xml:space="preserve">
        <v xml:space="preserve">UBND Ủy ban nhân dân tỉnh Bình Phước _x000d_
 tỉnh Bình Phước</v>
      </c>
      <c r="C25261" t="str">
        <v>-</v>
      </c>
      <c r="D25261" t="str">
        <v>-</v>
      </c>
      <c r="E25261" t="str">
        <v>-</v>
      </c>
      <c r="F25261" t="str">
        <v>-</v>
      </c>
      <c r="G25261" t="str">
        <v>-</v>
      </c>
    </row>
    <row r="25262">
      <c r="B25262" t="str">
        <v>Công an tỉnh Bạc Liêu tỉnh Bạc Liêu</v>
      </c>
      <c r="C25262" t="str">
        <v>-</v>
      </c>
      <c r="D25262" t="str">
        <v>-</v>
      </c>
      <c r="E25262" t="str">
        <v/>
      </c>
      <c r="F25262" t="str">
        <v>-</v>
      </c>
      <c r="G25262" t="str">
        <v>-</v>
      </c>
    </row>
    <row r="25263">
      <c r="B25263" t="str">
        <v>UBND Ủy ban nhân dân tỉnh Bạc Liêu tỉnh Bạc Liêu</v>
      </c>
      <c r="C25263" t="str">
        <v>-</v>
      </c>
      <c r="D25263" t="str">
        <v>-</v>
      </c>
      <c r="E25263" t="str">
        <v>-</v>
      </c>
      <c r="F25263" t="str">
        <v>-</v>
      </c>
      <c r="G25263" t="str">
        <v>-</v>
      </c>
    </row>
    <row r="25264" xml:space="preserve">
      <c r="B25264" t="str" xml:space="preserve">
        <v xml:space="preserve">Công an tỉnh Bắc Ninh _x000d_
 tỉnh Bắc Ninh</v>
      </c>
      <c r="C25264" t="str">
        <v>-</v>
      </c>
      <c r="D25264" t="str">
        <v>-</v>
      </c>
      <c r="E25264" t="str">
        <v/>
      </c>
      <c r="F25264" t="str">
        <v>-</v>
      </c>
      <c r="G25264" t="str">
        <v>-</v>
      </c>
    </row>
    <row r="25265" xml:space="preserve">
      <c r="B25265" t="str" xml:space="preserve">
        <v xml:space="preserve">UBND Ủy ban nhân dân tỉnh Bắc Ninh _x000d_
 tỉnh Bắc Ninh</v>
      </c>
      <c r="C25265" t="str">
        <v>-</v>
      </c>
      <c r="D25265" t="str">
        <v>-</v>
      </c>
      <c r="E25265" t="str">
        <v>-</v>
      </c>
      <c r="F25265" t="str">
        <v>-</v>
      </c>
      <c r="G25265" t="str">
        <v>-</v>
      </c>
    </row>
    <row r="25266" xml:space="preserve">
      <c r="B25266" t="str" xml:space="preserve">
        <v xml:space="preserve">Công an tỉnh Hà Tĩnh _x000d_
 tỉnh Hà Tĩnh</v>
      </c>
      <c r="C25266" t="str">
        <v>-</v>
      </c>
      <c r="D25266" t="str">
        <v>-</v>
      </c>
      <c r="E25266" t="str">
        <v/>
      </c>
      <c r="F25266" t="str">
        <v>-</v>
      </c>
      <c r="G25266" t="str">
        <v>-</v>
      </c>
    </row>
    <row r="25267" xml:space="preserve">
      <c r="B25267" t="str" xml:space="preserve">
        <v xml:space="preserve">UBND Ủy ban nhân dân tỉnh Hà Tĩnh _x000d_
 tỉnh Hà Tĩnh</v>
      </c>
      <c r="C25267" t="str">
        <v>-</v>
      </c>
      <c r="D25267" t="str">
        <v>-</v>
      </c>
      <c r="E25267" t="str">
        <v>-</v>
      </c>
      <c r="F25267" t="str">
        <v>-</v>
      </c>
      <c r="G25267" t="str">
        <v>-</v>
      </c>
    </row>
    <row r="25268" xml:space="preserve">
      <c r="B25268" t="str" xml:space="preserve">
        <v xml:space="preserve">Công an tỉnh Hải Dương _x000d_
 tỉnh Hải Dương</v>
      </c>
      <c r="C25268" t="str">
        <v>-</v>
      </c>
      <c r="D25268" t="str">
        <v>-</v>
      </c>
      <c r="E25268" t="str">
        <v/>
      </c>
      <c r="F25268" t="str">
        <v>-</v>
      </c>
      <c r="G25268" t="str">
        <v>-</v>
      </c>
    </row>
    <row r="25269" xml:space="preserve">
      <c r="B25269" t="str" xml:space="preserve">
        <v xml:space="preserve">UBND Ủy ban nhân dân tỉnh Hải Dương _x000d_
 tỉnh Hải Dương</v>
      </c>
      <c r="C25269" t="str">
        <v>-</v>
      </c>
      <c r="D25269" t="str">
        <v>-</v>
      </c>
      <c r="E25269" t="str">
        <v>-</v>
      </c>
      <c r="F25269" t="str">
        <v>-</v>
      </c>
      <c r="G25269" t="str">
        <v>-</v>
      </c>
    </row>
    <row r="25270" xml:space="preserve">
      <c r="B25270" t="str" xml:space="preserve">
        <v xml:space="preserve">Công an tỉnh Hải Dương _x000d_
 tỉnh Hải Dương</v>
      </c>
      <c r="C25270" t="str">
        <v>-</v>
      </c>
      <c r="D25270" t="str">
        <v>-</v>
      </c>
      <c r="E25270" t="str">
        <v/>
      </c>
      <c r="F25270" t="str">
        <v>-</v>
      </c>
      <c r="G25270" t="str">
        <v>-</v>
      </c>
    </row>
    <row r="25271" xml:space="preserve">
      <c r="B25271" t="str" xml:space="preserve">
        <v xml:space="preserve">UBND Ủy ban nhân dân tỉnh Hải Dương _x000d_
 tỉnh Hải Dương</v>
      </c>
      <c r="C25271" t="str">
        <v>-</v>
      </c>
      <c r="D25271" t="str">
        <v>-</v>
      </c>
      <c r="E25271" t="str">
        <v>-</v>
      </c>
      <c r="F25271" t="str">
        <v>-</v>
      </c>
      <c r="G25271" t="str">
        <v>-</v>
      </c>
    </row>
    <row r="25272">
      <c r="B25272" t="str">
        <v>Công an tỉnh Khánh Hòa tỉnh Khánh Hòa</v>
      </c>
      <c r="C25272" t="str">
        <v>-</v>
      </c>
      <c r="D25272" t="str">
        <v>-</v>
      </c>
      <c r="E25272" t="str">
        <v/>
      </c>
      <c r="F25272" t="str">
        <v>-</v>
      </c>
      <c r="G25272" t="str">
        <v>-</v>
      </c>
    </row>
    <row r="25273">
      <c r="B25273" t="str">
        <v>UBND Ủy ban nhân dân tỉnh Khánh Hòa tỉnh Khánh Hòa</v>
      </c>
      <c r="C25273" t="str">
        <v>-</v>
      </c>
      <c r="D25273" t="str">
        <v>-</v>
      </c>
      <c r="E25273" t="str">
        <v>-</v>
      </c>
      <c r="F25273" t="str">
        <v>-</v>
      </c>
      <c r="G25273" t="str">
        <v>-</v>
      </c>
    </row>
    <row r="25274" xml:space="preserve">
      <c r="B25274" t="str" xml:space="preserve">
        <v xml:space="preserve">Công an tỉnh Nam Định _x000d_
 tỉnh Nam Định</v>
      </c>
      <c r="C25274" t="str">
        <v>-</v>
      </c>
      <c r="D25274" t="str">
        <v>-</v>
      </c>
      <c r="E25274" t="str">
        <v/>
      </c>
      <c r="F25274" t="str">
        <v>-</v>
      </c>
      <c r="G25274" t="str">
        <v>-</v>
      </c>
    </row>
    <row r="25275" xml:space="preserve">
      <c r="B25275" t="str" xml:space="preserve">
        <v xml:space="preserve">UBND Ủy ban nhân dân tỉnh Nam Định _x000d_
 tỉnh Nam Định</v>
      </c>
      <c r="C25275" t="str">
        <v>-</v>
      </c>
      <c r="D25275" t="str">
        <v>-</v>
      </c>
      <c r="E25275" t="str">
        <v>-</v>
      </c>
      <c r="F25275" t="str">
        <v>-</v>
      </c>
      <c r="G25275" t="str">
        <v>-</v>
      </c>
    </row>
    <row r="25276" xml:space="preserve">
      <c r="B25276" t="str" xml:space="preserve">
        <v xml:space="preserve">Công an tỉnh Nam Định _x000d_
 tỉnh Nam Định</v>
      </c>
      <c r="C25276" t="str">
        <v>-</v>
      </c>
      <c r="D25276" t="str">
        <v>-</v>
      </c>
      <c r="E25276" t="str">
        <v/>
      </c>
      <c r="F25276" t="str">
        <v>-</v>
      </c>
      <c r="G25276" t="str">
        <v>-</v>
      </c>
    </row>
    <row r="25277" xml:space="preserve">
      <c r="B25277" t="str" xml:space="preserve">
        <v xml:space="preserve">UBND Ủy ban nhân dân tỉnh Nam Định _x000d_
 tỉnh Nam Định</v>
      </c>
      <c r="C25277" t="str">
        <v>-</v>
      </c>
      <c r="D25277" t="str">
        <v>-</v>
      </c>
      <c r="E25277" t="str">
        <v>-</v>
      </c>
      <c r="F25277" t="str">
        <v>-</v>
      </c>
      <c r="G25277" t="str">
        <v>-</v>
      </c>
    </row>
    <row r="25278" xml:space="preserve">
      <c r="B25278" t="str" xml:space="preserve">
        <v xml:space="preserve">Công an tỉnh Phú Yên _x000d_
 tỉnh Phú Yên</v>
      </c>
      <c r="C25278" t="str">
        <v>-</v>
      </c>
      <c r="D25278" t="str">
        <v>-</v>
      </c>
      <c r="E25278" t="str">
        <v/>
      </c>
      <c r="F25278" t="str">
        <v>-</v>
      </c>
      <c r="G25278" t="str">
        <v>-</v>
      </c>
    </row>
    <row r="25279" xml:space="preserve">
      <c r="B25279" t="str" xml:space="preserve">
        <v xml:space="preserve">UBND Ủy ban nhân dân tỉnh Phú Yên _x000d_
 tỉnh Phú Yên</v>
      </c>
      <c r="C25279" t="str">
        <v>-</v>
      </c>
      <c r="D25279" t="str">
        <v>-</v>
      </c>
      <c r="E25279" t="str">
        <v>-</v>
      </c>
      <c r="F25279" t="str">
        <v>-</v>
      </c>
      <c r="G25279" t="str">
        <v>-</v>
      </c>
    </row>
    <row r="25280" xml:space="preserve">
      <c r="B25280" t="str" xml:space="preserve">
        <v xml:space="preserve">Công an thành phố Đồng Hới _x000d_
 tỉnh Quảng Bình</v>
      </c>
      <c r="C25280" t="str">
        <v>-</v>
      </c>
      <c r="D25280" t="str">
        <v>-</v>
      </c>
      <c r="E25280" t="str">
        <v/>
      </c>
      <c r="F25280" t="str">
        <v>-</v>
      </c>
      <c r="G25280" t="str">
        <v>-</v>
      </c>
    </row>
    <row r="25281" xml:space="preserve">
      <c r="B25281" t="str" xml:space="preserve">
        <v xml:space="preserve">UBND Ủy ban nhân dân thành phố Đồng Hới _x000d_
 tỉnh Quảng Bình</v>
      </c>
      <c r="C25281" t="str">
        <v>-</v>
      </c>
      <c r="D25281" t="str">
        <v>-</v>
      </c>
      <c r="E25281" t="str">
        <v>-</v>
      </c>
      <c r="F25281" t="str">
        <v>-</v>
      </c>
      <c r="G25281" t="str">
        <v>-</v>
      </c>
    </row>
    <row r="25282" xml:space="preserve">
      <c r="B25282" t="str" xml:space="preserve">
        <v xml:space="preserve">Công an thành phố Cần Thơ _x000d_
 thành phố Cần Thơ</v>
      </c>
      <c r="C25282" t="str">
        <v>-</v>
      </c>
      <c r="D25282" t="str">
        <v>-</v>
      </c>
      <c r="E25282" t="str">
        <v/>
      </c>
      <c r="F25282" t="str">
        <v>-</v>
      </c>
      <c r="G25282" t="str">
        <v>-</v>
      </c>
    </row>
    <row r="25283" xml:space="preserve">
      <c r="B25283" t="str" xml:space="preserve">
        <v xml:space="preserve">UBND Ủy ban nhân dân thành phố Cần Thơ _x000d_
 thành phố Cần Thơ</v>
      </c>
      <c r="C25283" t="str">
        <v>-</v>
      </c>
      <c r="D25283" t="str">
        <v>-</v>
      </c>
      <c r="E25283" t="str">
        <v>-</v>
      </c>
      <c r="F25283" t="str">
        <v>-</v>
      </c>
      <c r="G25283" t="str">
        <v>-</v>
      </c>
    </row>
    <row r="25284" xml:space="preserve">
      <c r="B25284" t="str" xml:space="preserve">
        <v xml:space="preserve">Công an thành phố Cần Thơ _x000d_
 thành phố Cần Thơ</v>
      </c>
      <c r="C25284" t="str">
        <v>-</v>
      </c>
      <c r="D25284" t="str">
        <v>-</v>
      </c>
      <c r="E25284" t="str">
        <v/>
      </c>
      <c r="F25284" t="str">
        <v>-</v>
      </c>
      <c r="G25284" t="str">
        <v>-</v>
      </c>
    </row>
    <row r="25285" xml:space="preserve">
      <c r="B25285" t="str" xml:space="preserve">
        <v xml:space="preserve">UBND Ủy ban nhân dân thành phố Cần Thơ _x000d_
 thành phố Cần Thơ</v>
      </c>
      <c r="C25285" t="str">
        <v>-</v>
      </c>
      <c r="D25285" t="str">
        <v>-</v>
      </c>
      <c r="E25285" t="str">
        <v>-</v>
      </c>
      <c r="F25285" t="str">
        <v>-</v>
      </c>
      <c r="G25285" t="str">
        <v>-</v>
      </c>
    </row>
    <row r="25286">
      <c r="B25286" t="str">
        <v>Công an thành phố Hưng Yên tỉnh Hưng Yên</v>
      </c>
      <c r="C25286" t="str">
        <v>-</v>
      </c>
      <c r="D25286" t="str">
        <v>-</v>
      </c>
      <c r="E25286" t="str">
        <v/>
      </c>
      <c r="F25286" t="str">
        <v>-</v>
      </c>
      <c r="G25286" t="str">
        <v>-</v>
      </c>
    </row>
    <row r="25287">
      <c r="B25287" t="str">
        <v>UBND Ủy ban nhân dân thành phố Hưng Yên tỉnh Hưng Yên</v>
      </c>
      <c r="C25287" t="str">
        <v>-</v>
      </c>
      <c r="D25287" t="str">
        <v>-</v>
      </c>
      <c r="E25287" t="str">
        <v>-</v>
      </c>
      <c r="F25287" t="str">
        <v>-</v>
      </c>
      <c r="G25287" t="str">
        <v>-</v>
      </c>
    </row>
    <row r="25288">
      <c r="B25288" t="str">
        <v>Công an thành phố Hồ Chí Minh  thành phố Hồ Chí Minh</v>
      </c>
      <c r="C25288" t="str">
        <v>-</v>
      </c>
      <c r="D25288" t="str">
        <v>-</v>
      </c>
      <c r="E25288" t="str">
        <v/>
      </c>
      <c r="F25288" t="str">
        <v>-</v>
      </c>
      <c r="G25288" t="str">
        <v>-</v>
      </c>
    </row>
    <row r="25289">
      <c r="B25289" t="str">
        <v>UBND Ủy ban nhân dân thành phố Hồ Chí Minh  thành phố Hồ Chí Minh</v>
      </c>
      <c r="C25289" t="str">
        <v>-</v>
      </c>
      <c r="D25289" t="str">
        <v>-</v>
      </c>
      <c r="E25289" t="str">
        <v>-</v>
      </c>
      <c r="F25289" t="str">
        <v>-</v>
      </c>
      <c r="G25289" t="str">
        <v>-</v>
      </c>
    </row>
    <row r="25290" xml:space="preserve">
      <c r="B25290" t="str" xml:space="preserve">
        <v xml:space="preserve">Công an thành phố Hồ Chí Minh _x000d_
 thành phố Hồ Chí Minh</v>
      </c>
      <c r="C25290" t="str">
        <v>-</v>
      </c>
      <c r="D25290" t="str">
        <v>-</v>
      </c>
      <c r="E25290" t="str">
        <v/>
      </c>
      <c r="F25290" t="str">
        <v>-</v>
      </c>
      <c r="G25290" t="str">
        <v>-</v>
      </c>
    </row>
    <row r="25291" xml:space="preserve">
      <c r="B25291" t="str" xml:space="preserve">
        <v xml:space="preserve">UBND Ủy ban nhân dân thành phố Hồ Chí Minh _x000d_
 thành phố Hồ Chí Minh</v>
      </c>
      <c r="C25291" t="str">
        <v>-</v>
      </c>
      <c r="D25291" t="str">
        <v>-</v>
      </c>
      <c r="E25291" t="str">
        <v>-</v>
      </c>
      <c r="F25291" t="str">
        <v>-</v>
      </c>
      <c r="G25291" t="str">
        <v>-</v>
      </c>
    </row>
    <row r="25292" xml:space="preserve">
      <c r="B25292" t="str" xml:space="preserve">
        <v xml:space="preserve">Công an thành phố Nha Trang _x000d_
 tỉnh Khánh Hòa</v>
      </c>
      <c r="C25292" t="str">
        <v>-</v>
      </c>
      <c r="D25292" t="str">
        <v>-</v>
      </c>
      <c r="E25292" t="str">
        <v/>
      </c>
      <c r="F25292" t="str">
        <v>-</v>
      </c>
      <c r="G25292" t="str">
        <v>-</v>
      </c>
    </row>
    <row r="25293" xml:space="preserve">
      <c r="B25293" t="str" xml:space="preserve">
        <v xml:space="preserve">UBND Ủy ban nhân dân thành phố Nha Trang _x000d_
 tỉnh Khánh Hòa</v>
      </c>
      <c r="C25293" t="str">
        <v>-</v>
      </c>
      <c r="D25293" t="str">
        <v>-</v>
      </c>
      <c r="E25293" t="str">
        <v>-</v>
      </c>
      <c r="F25293" t="str">
        <v>-</v>
      </c>
      <c r="G25293" t="str">
        <v>-</v>
      </c>
    </row>
    <row r="25294" xml:space="preserve">
      <c r="B25294" t="str" xml:space="preserve">
        <v xml:space="preserve">Công an thành phố Từ Sơn _x000d_
 tỉnh Bắc Ninh</v>
      </c>
      <c r="C25294" t="str">
        <v>-</v>
      </c>
      <c r="D25294" t="str">
        <v>-</v>
      </c>
      <c r="E25294" t="str">
        <v/>
      </c>
      <c r="F25294" t="str">
        <v>-</v>
      </c>
      <c r="G25294" t="str">
        <v>-</v>
      </c>
    </row>
    <row r="25295" xml:space="preserve">
      <c r="B25295" t="str" xml:space="preserve">
        <v xml:space="preserve">UBND Ủy ban nhân dân thành phố Từ Sơn _x000d_
 tỉnh Bắc Ninh</v>
      </c>
      <c r="C25295" t="str">
        <v>-</v>
      </c>
      <c r="D25295" t="str">
        <v>-</v>
      </c>
      <c r="E25295" t="str">
        <v>-</v>
      </c>
      <c r="F25295" t="str">
        <v>-</v>
      </c>
      <c r="G25295" t="str">
        <v>-</v>
      </c>
    </row>
    <row r="25296" xml:space="preserve">
      <c r="B25296" t="str" xml:space="preserve">
        <v xml:space="preserve">Công an thành phố Tam Điệp _x000d_
 tỉnh Ninh Bình</v>
      </c>
      <c r="C25296" t="str">
        <v>-</v>
      </c>
      <c r="D25296" t="str">
        <v>-</v>
      </c>
      <c r="E25296" t="str">
        <v/>
      </c>
      <c r="F25296" t="str">
        <v>-</v>
      </c>
      <c r="G25296" t="str">
        <v>-</v>
      </c>
    </row>
    <row r="25297" xml:space="preserve">
      <c r="B25297" t="str" xml:space="preserve">
        <v xml:space="preserve">UBND Ủy ban nhân dân thành phố Tam Điệp _x000d_
 tỉnh Ninh Bình</v>
      </c>
      <c r="C25297" t="str">
        <v>-</v>
      </c>
      <c r="D25297" t="str">
        <v>-</v>
      </c>
      <c r="E25297" t="str">
        <v>-</v>
      </c>
      <c r="F25297" t="str">
        <v>-</v>
      </c>
      <c r="G25297" t="str">
        <v>-</v>
      </c>
    </row>
    <row r="25298" xml:space="preserve">
      <c r="B25298" t="str" xml:space="preserve">
        <v xml:space="preserve">Công an thành phố Thủ Đức _x000d_
 thành phố Hà Nội</v>
      </c>
      <c r="C25298" t="str">
        <v>-</v>
      </c>
      <c r="D25298" t="str">
        <v>-</v>
      </c>
      <c r="E25298" t="str">
        <v/>
      </c>
      <c r="F25298" t="str">
        <v>-</v>
      </c>
      <c r="G25298" t="str">
        <v>-</v>
      </c>
    </row>
    <row r="25299" xml:space="preserve">
      <c r="B25299" t="str" xml:space="preserve">
        <v xml:space="preserve">UBND Ủy ban nhân dân thành phố Thủ Đức _x000d_
 thành phố Hà Nội</v>
      </c>
      <c r="C25299" t="str">
        <v>-</v>
      </c>
      <c r="D25299" t="str">
        <v>-</v>
      </c>
      <c r="E25299" t="str">
        <v>-</v>
      </c>
      <c r="F25299" t="str">
        <v>-</v>
      </c>
      <c r="G25299" t="str">
        <v>-</v>
      </c>
    </row>
    <row r="25300" xml:space="preserve">
      <c r="B25300" t="str" xml:space="preserve">
        <v xml:space="preserve">Công an thành phố Việt Trì _x000d_
 tỉnh Phú Thọ</v>
      </c>
      <c r="C25300" t="str">
        <v>-</v>
      </c>
      <c r="D25300" t="str">
        <v>-</v>
      </c>
      <c r="E25300" t="str">
        <v/>
      </c>
      <c r="F25300" t="str">
        <v>-</v>
      </c>
      <c r="G25300" t="str">
        <v>-</v>
      </c>
    </row>
    <row r="25301" xml:space="preserve">
      <c r="B25301" t="str" xml:space="preserve">
        <v xml:space="preserve">UBND Ủy ban nhân dân thành phố Việt Trì _x000d_
 tỉnh Phú Thọ</v>
      </c>
      <c r="C25301" t="str">
        <v>-</v>
      </c>
      <c r="D25301" t="str">
        <v>-</v>
      </c>
      <c r="E25301" t="str">
        <v>-</v>
      </c>
      <c r="F25301" t="str">
        <v>-</v>
      </c>
      <c r="G25301" t="str">
        <v>-</v>
      </c>
    </row>
    <row r="25302" xml:space="preserve">
      <c r="B25302" t="str" xml:space="preserve">
        <v xml:space="preserve">Công an thị trấn Đông Phú _x000d_
 tỉnh Bình Thuận</v>
      </c>
      <c r="C25302" t="str">
        <v>-</v>
      </c>
      <c r="D25302" t="str">
        <v>-</v>
      </c>
      <c r="E25302" t="str">
        <v/>
      </c>
      <c r="F25302" t="str">
        <v>-</v>
      </c>
      <c r="G25302" t="str">
        <v>-</v>
      </c>
    </row>
    <row r="25303" xml:space="preserve">
      <c r="B25303" t="str" xml:space="preserve">
        <v xml:space="preserve">UBND Ủy ban nhân dân thị trấn Đông Phú _x000d_
 tỉnh Bình Thuận</v>
      </c>
      <c r="C25303" t="str">
        <v>-</v>
      </c>
      <c r="D25303" t="str">
        <v>-</v>
      </c>
      <c r="E25303" t="str">
        <v>-</v>
      </c>
      <c r="F25303" t="str">
        <v>-</v>
      </c>
      <c r="G25303" t="str">
        <v>-</v>
      </c>
    </row>
    <row r="25304">
      <c r="B25304" t="str">
        <v>Công an thị trấn An Châu tỉnh Bắc Giang</v>
      </c>
      <c r="C25304" t="str">
        <v>-</v>
      </c>
      <c r="D25304" t="str">
        <v>-</v>
      </c>
      <c r="E25304" t="str">
        <v/>
      </c>
      <c r="F25304" t="str">
        <v>-</v>
      </c>
      <c r="G25304" t="str">
        <v>-</v>
      </c>
    </row>
    <row r="25305">
      <c r="B25305" t="str">
        <v>UBND Ủy ban nhân dân thị trấn An Châu tỉnh Bắc Giang</v>
      </c>
      <c r="C25305" t="str">
        <v>-</v>
      </c>
      <c r="D25305" t="str">
        <v>-</v>
      </c>
      <c r="E25305" t="str">
        <v>-</v>
      </c>
      <c r="F25305" t="str">
        <v>-</v>
      </c>
      <c r="G25305" t="str">
        <v>-</v>
      </c>
    </row>
    <row r="25306" xml:space="preserve">
      <c r="B25306" t="str" xml:space="preserve">
        <v xml:space="preserve">Công an thị trấn Bát Xát _x000d_
 tỉnh Lào Cai</v>
      </c>
      <c r="C25306" t="str">
        <v>-</v>
      </c>
      <c r="D25306" t="str">
        <v>-</v>
      </c>
      <c r="E25306" t="str">
        <v/>
      </c>
      <c r="F25306" t="str">
        <v>-</v>
      </c>
      <c r="G25306" t="str">
        <v>-</v>
      </c>
    </row>
    <row r="25307" xml:space="preserve">
      <c r="B25307" t="str" xml:space="preserve">
        <v xml:space="preserve">UBND Ủy ban nhân dân thị trấn Bát Xát _x000d_
 tỉnh Lào Cai</v>
      </c>
      <c r="C25307" t="str">
        <v>-</v>
      </c>
      <c r="D25307" t="str">
        <v>-</v>
      </c>
      <c r="E25307" t="str">
        <v>-</v>
      </c>
      <c r="F25307" t="str">
        <v>-</v>
      </c>
      <c r="G25307" t="str">
        <v>-</v>
      </c>
    </row>
    <row r="25308">
      <c r="B25308" t="str">
        <v>Công an thị trấn Ba Hàng Đồi  tỉnh Hòa Bình</v>
      </c>
      <c r="C25308" t="str">
        <v>-</v>
      </c>
      <c r="D25308" t="str">
        <v>-</v>
      </c>
      <c r="E25308" t="str">
        <v/>
      </c>
      <c r="F25308" t="str">
        <v>-</v>
      </c>
      <c r="G25308" t="str">
        <v>-</v>
      </c>
    </row>
    <row r="25309">
      <c r="B25309" t="str">
        <v>UBND Ủy ban nhân dân thị trấn Ba Hàng Đồi  tỉnh Hòa Bình</v>
      </c>
      <c r="C25309" t="str">
        <v>-</v>
      </c>
      <c r="D25309" t="str">
        <v>-</v>
      </c>
      <c r="E25309" t="str">
        <v>-</v>
      </c>
      <c r="F25309" t="str">
        <v>-</v>
      </c>
      <c r="G25309" t="str">
        <v>-</v>
      </c>
    </row>
    <row r="25310" xml:space="preserve">
      <c r="B25310" t="str" xml:space="preserve">
        <v xml:space="preserve">Công an thị trấn Cổ Lễ _x000d_
 tỉnh Nam Định</v>
      </c>
      <c r="C25310" t="str">
        <v>-</v>
      </c>
      <c r="D25310" t="str">
        <v>-</v>
      </c>
      <c r="E25310" t="str">
        <v/>
      </c>
      <c r="F25310" t="str">
        <v>-</v>
      </c>
      <c r="G25310" t="str">
        <v>-</v>
      </c>
    </row>
    <row r="25311" xml:space="preserve">
      <c r="B25311" t="str" xml:space="preserve">
        <v xml:space="preserve">UBND Ủy ban nhân dân thị trấn Cổ Lễ _x000d_
 tỉnh Nam Định</v>
      </c>
      <c r="C25311" t="str">
        <v>-</v>
      </c>
      <c r="D25311" t="str">
        <v>-</v>
      </c>
      <c r="E25311" t="str">
        <v>-</v>
      </c>
      <c r="F25311" t="str">
        <v>-</v>
      </c>
      <c r="G25311" t="str">
        <v>-</v>
      </c>
    </row>
    <row r="25312">
      <c r="B25312" t="str">
        <v>Công an thị trấn Cổ Phúc tỉnh Yên Bái</v>
      </c>
      <c r="C25312" t="str">
        <v>-</v>
      </c>
      <c r="D25312" t="str">
        <v>-</v>
      </c>
      <c r="E25312" t="str">
        <v/>
      </c>
      <c r="F25312" t="str">
        <v>-</v>
      </c>
      <c r="G25312" t="str">
        <v>-</v>
      </c>
    </row>
    <row r="25313">
      <c r="B25313" t="str">
        <v>UBND Ủy ban nhân dân thị trấn Cổ Phúc tỉnh Yên Bái</v>
      </c>
      <c r="C25313" t="str">
        <v>-</v>
      </c>
      <c r="D25313" t="str">
        <v>-</v>
      </c>
      <c r="E25313" t="str">
        <v>-</v>
      </c>
      <c r="F25313" t="str">
        <v>-</v>
      </c>
      <c r="G25313" t="str">
        <v>-</v>
      </c>
    </row>
    <row r="25314">
      <c r="B25314" t="str">
        <v>Công an thị trấn Châu Hưng tỉnh Bạc Liêu</v>
      </c>
      <c r="C25314" t="str">
        <v>-</v>
      </c>
      <c r="D25314" t="str">
        <v>-</v>
      </c>
      <c r="E25314" t="str">
        <v/>
      </c>
      <c r="F25314" t="str">
        <v>-</v>
      </c>
      <c r="G25314" t="str">
        <v>-</v>
      </c>
    </row>
    <row r="25315">
      <c r="B25315" t="str">
        <v>UBND Ủy ban nhân dân thị trấn Châu Hưng tỉnh Bạc Liêu</v>
      </c>
      <c r="C25315" t="str">
        <v>-</v>
      </c>
      <c r="D25315" t="str">
        <v>-</v>
      </c>
      <c r="E25315" t="str">
        <v>-</v>
      </c>
      <c r="F25315" t="str">
        <v>-</v>
      </c>
      <c r="G25315" t="str">
        <v>-</v>
      </c>
    </row>
    <row r="25316">
      <c r="B25316" t="str">
        <v>Công an thị trấn Gia Lộc tỉnh Hải Dương</v>
      </c>
      <c r="C25316" t="str">
        <v>-</v>
      </c>
      <c r="D25316" t="str">
        <v>-</v>
      </c>
      <c r="E25316" t="str">
        <v/>
      </c>
      <c r="F25316" t="str">
        <v>-</v>
      </c>
      <c r="G25316" t="str">
        <v>-</v>
      </c>
    </row>
    <row r="25317">
      <c r="B25317" t="str">
        <v>UBND Ủy ban nhân dân thị trấn Gia Lộc tỉnh Hải Dương</v>
      </c>
      <c r="C25317" t="str">
        <v>-</v>
      </c>
      <c r="D25317" t="str">
        <v>-</v>
      </c>
      <c r="E25317" t="str">
        <v>-</v>
      </c>
      <c r="F25317" t="str">
        <v>-</v>
      </c>
      <c r="G25317" t="str">
        <v>-</v>
      </c>
    </row>
    <row r="25318">
      <c r="B25318" t="str">
        <v>Công an thị trấn Hương Sơn tỉnh Thái Nguyên</v>
      </c>
      <c r="C25318" t="str">
        <v>-</v>
      </c>
      <c r="D25318" t="str">
        <v>-</v>
      </c>
      <c r="E25318" t="str">
        <v/>
      </c>
      <c r="F25318" t="str">
        <v>-</v>
      </c>
      <c r="G25318" t="str">
        <v>-</v>
      </c>
    </row>
    <row r="25319">
      <c r="B25319" t="str">
        <v>UBND Ủy ban nhân dân thị trấn Hương Sơn tỉnh Thái Nguyên</v>
      </c>
      <c r="C25319" t="str">
        <v>-</v>
      </c>
      <c r="D25319" t="str">
        <v>-</v>
      </c>
      <c r="E25319" t="str">
        <v>-</v>
      </c>
      <c r="F25319" t="str">
        <v>-</v>
      </c>
      <c r="G25319" t="str">
        <v>-</v>
      </c>
    </row>
    <row r="25320">
      <c r="B25320" t="str">
        <v>Công an thị trấn Hưng Hoá  tỉnh Phú Thọ</v>
      </c>
      <c r="C25320" t="str">
        <v>-</v>
      </c>
      <c r="D25320" t="str">
        <v>-</v>
      </c>
      <c r="E25320" t="str">
        <v/>
      </c>
      <c r="F25320" t="str">
        <v>-</v>
      </c>
      <c r="G25320" t="str">
        <v>-</v>
      </c>
    </row>
    <row r="25321">
      <c r="B25321" t="str">
        <v>UBND Ủy ban nhân dân thị trấn Hưng Hoá  tỉnh Phú Thọ</v>
      </c>
      <c r="C25321" t="str">
        <v>-</v>
      </c>
      <c r="D25321" t="str">
        <v>-</v>
      </c>
      <c r="E25321" t="str">
        <v>-</v>
      </c>
      <c r="F25321" t="str">
        <v>-</v>
      </c>
      <c r="G25321" t="str">
        <v>-</v>
      </c>
    </row>
    <row r="25322" xml:space="preserve">
      <c r="B25322" t="str" xml:space="preserve">
        <v xml:space="preserve">Công an thị trấn Hoà Bình 1 _x000d_
 tỉnh Hòa Bình</v>
      </c>
      <c r="C25322" t="str">
        <v>-</v>
      </c>
      <c r="D25322" t="str">
        <v>-</v>
      </c>
      <c r="E25322" t="str">
        <v/>
      </c>
      <c r="F25322" t="str">
        <v>-</v>
      </c>
      <c r="G25322" t="str">
        <v>-</v>
      </c>
    </row>
    <row r="25323" xml:space="preserve">
      <c r="B25323" t="str" xml:space="preserve">
        <v xml:space="preserve">UBND Ủy ban nhân dân thị trấn Hoà Bình 1 _x000d_
 tỉnh Hòa Bình</v>
      </c>
      <c r="C25323" t="str">
        <v>-</v>
      </c>
      <c r="D25323" t="str">
        <v>-</v>
      </c>
      <c r="E25323" t="str">
        <v>-</v>
      </c>
      <c r="F25323" t="str">
        <v>-</v>
      </c>
      <c r="G25323" t="str">
        <v>-</v>
      </c>
    </row>
    <row r="25324" xml:space="preserve">
      <c r="B25324" t="str" xml:space="preserve">
        <v xml:space="preserve">Công an thị trấn Khoái Châu _x000d_
 tỉnh Hưng Yên</v>
      </c>
      <c r="C25324" t="str">
        <v>-</v>
      </c>
      <c r="D25324" t="str">
        <v>-</v>
      </c>
      <c r="E25324" t="str">
        <v/>
      </c>
      <c r="F25324" t="str">
        <v>-</v>
      </c>
      <c r="G25324" t="str">
        <v>-</v>
      </c>
    </row>
    <row r="25325" xml:space="preserve">
      <c r="B25325" t="str" xml:space="preserve">
        <v xml:space="preserve">UBND Ủy ban nhân dân thị trấn Khoái Châu _x000d_
 tỉnh Hưng Yên</v>
      </c>
      <c r="C25325" t="str">
        <v>-</v>
      </c>
      <c r="D25325" t="str">
        <v>-</v>
      </c>
      <c r="E25325" t="str">
        <v>-</v>
      </c>
      <c r="F25325" t="str">
        <v>-</v>
      </c>
      <c r="G25325" t="str">
        <v>-</v>
      </c>
    </row>
    <row r="25326">
      <c r="B25326" t="str">
        <v>Công an thị trấn Khoái Châu  tỉnh Hưng Yên</v>
      </c>
      <c r="C25326" t="str">
        <v>-</v>
      </c>
      <c r="D25326" t="str">
        <v>-</v>
      </c>
      <c r="E25326" t="str">
        <v/>
      </c>
      <c r="F25326" t="str">
        <v>-</v>
      </c>
      <c r="G25326" t="str">
        <v>-</v>
      </c>
    </row>
    <row r="25327">
      <c r="B25327" t="str">
        <v>UBND Ủy ban nhân dân thị trấn Khoái Châu  tỉnh Hưng Yên</v>
      </c>
      <c r="C25327" t="str">
        <v>-</v>
      </c>
      <c r="D25327" t="str">
        <v>-</v>
      </c>
      <c r="E25327" t="str">
        <v>-</v>
      </c>
      <c r="F25327" t="str">
        <v>-</v>
      </c>
      <c r="G25327" t="str">
        <v>-</v>
      </c>
    </row>
    <row r="25328" xml:space="preserve">
      <c r="B25328" t="str" xml:space="preserve">
        <v xml:space="preserve">Công an thị trấn Kiến Giang _x000d_
 tỉnh Kiên Giang</v>
      </c>
      <c r="C25328" t="str">
        <v>-</v>
      </c>
      <c r="D25328" t="str">
        <v>-</v>
      </c>
      <c r="E25328" t="str">
        <v/>
      </c>
      <c r="F25328" t="str">
        <v>-</v>
      </c>
      <c r="G25328" t="str">
        <v>-</v>
      </c>
    </row>
    <row r="25329" xml:space="preserve">
      <c r="B25329" t="str" xml:space="preserve">
        <v xml:space="preserve">UBND Ủy ban nhân dân thị trấn Kiến Giang _x000d_
 tỉnh Kiên Giang</v>
      </c>
      <c r="C25329" t="str">
        <v>-</v>
      </c>
      <c r="D25329" t="str">
        <v>-</v>
      </c>
      <c r="E25329" t="str">
        <v>-</v>
      </c>
      <c r="F25329" t="str">
        <v>-</v>
      </c>
      <c r="G25329" t="str">
        <v>-</v>
      </c>
    </row>
    <row r="25330">
      <c r="B25330" t="str">
        <v>Công an thị trấn Lâm tỉnh Nam Định</v>
      </c>
      <c r="C25330" t="str">
        <v>-</v>
      </c>
      <c r="D25330" t="str">
        <v>-</v>
      </c>
      <c r="E25330" t="str">
        <v/>
      </c>
      <c r="F25330" t="str">
        <v>-</v>
      </c>
      <c r="G25330" t="str">
        <v>-</v>
      </c>
    </row>
    <row r="25331">
      <c r="B25331" t="str">
        <v>UBND Ủy ban nhân dân thị trấn Lâm tỉnh Nam Định</v>
      </c>
      <c r="C25331" t="str">
        <v>-</v>
      </c>
      <c r="D25331" t="str">
        <v>-</v>
      </c>
      <c r="E25331" t="str">
        <v>-</v>
      </c>
      <c r="F25331" t="str">
        <v>-</v>
      </c>
      <c r="G25331" t="str">
        <v>-</v>
      </c>
    </row>
    <row r="25332" xml:space="preserve">
      <c r="B25332" t="str" xml:space="preserve">
        <v xml:space="preserve">Công an thị trấn Long Thành _x000d_
 tỉnh Đồng Nai</v>
      </c>
      <c r="C25332" t="str">
        <v>-</v>
      </c>
      <c r="D25332" t="str">
        <v>-</v>
      </c>
      <c r="E25332" t="str">
        <v/>
      </c>
      <c r="F25332" t="str">
        <v>-</v>
      </c>
      <c r="G25332" t="str">
        <v>-</v>
      </c>
    </row>
    <row r="25333" xml:space="preserve">
      <c r="B25333" t="str" xml:space="preserve">
        <v xml:space="preserve">UBND Ủy ban nhân dân thị trấn Long Thành _x000d_
 tỉnh Đồng Nai</v>
      </c>
      <c r="C25333" t="str">
        <v>-</v>
      </c>
      <c r="D25333" t="str">
        <v>-</v>
      </c>
      <c r="E25333" t="str">
        <v>-</v>
      </c>
      <c r="F25333" t="str">
        <v>-</v>
      </c>
      <c r="G25333" t="str">
        <v>-</v>
      </c>
    </row>
    <row r="25334">
      <c r="B25334" t="str">
        <v>Công an thị trấn Mậu A tỉnh Yên Bái</v>
      </c>
      <c r="C25334" t="str">
        <v>-</v>
      </c>
      <c r="D25334" t="str">
        <v>-</v>
      </c>
      <c r="E25334" t="str">
        <v/>
      </c>
      <c r="F25334" t="str">
        <v>-</v>
      </c>
      <c r="G25334" t="str">
        <v>-</v>
      </c>
    </row>
    <row r="25335">
      <c r="B25335" t="str">
        <v>UBND Ủy ban nhân dân thị trấn Mậu A tỉnh Yên Bái</v>
      </c>
      <c r="C25335" t="str">
        <v>-</v>
      </c>
      <c r="D25335" t="str">
        <v>-</v>
      </c>
      <c r="E25335" t="str">
        <v>-</v>
      </c>
      <c r="F25335" t="str">
        <v>-</v>
      </c>
      <c r="G25335" t="str">
        <v>-</v>
      </c>
    </row>
    <row r="25336">
      <c r="B25336" t="str">
        <v>Công an thị trấn Nông Cống tỉnh Thanh Hóa</v>
      </c>
      <c r="C25336" t="str">
        <v>-</v>
      </c>
      <c r="D25336" t="str">
        <v>-</v>
      </c>
      <c r="E25336" t="str">
        <v/>
      </c>
      <c r="F25336" t="str">
        <v>-</v>
      </c>
      <c r="G25336" t="str">
        <v>-</v>
      </c>
    </row>
    <row r="25337">
      <c r="B25337" t="str">
        <v>UBND Ủy ban nhân dân thị trấn Nông Cống tỉnh Thanh Hóa</v>
      </c>
      <c r="C25337" t="str">
        <v>-</v>
      </c>
      <c r="D25337" t="str">
        <v>-</v>
      </c>
      <c r="E25337" t="str">
        <v>-</v>
      </c>
      <c r="F25337" t="str">
        <v>-</v>
      </c>
      <c r="G25337" t="str">
        <v>-</v>
      </c>
    </row>
    <row r="25338">
      <c r="B25338" t="str">
        <v>Công an thị trấn Nông Trường Thái Bình tỉnh Lạng Sơn</v>
      </c>
      <c r="C25338" t="str">
        <v>-</v>
      </c>
      <c r="D25338" t="str">
        <v>-</v>
      </c>
      <c r="E25338" t="str">
        <v/>
      </c>
      <c r="F25338" t="str">
        <v>-</v>
      </c>
      <c r="G25338" t="str">
        <v>-</v>
      </c>
    </row>
    <row r="25339">
      <c r="B25339" t="str">
        <v>UBND Ủy ban nhân dân thị trấn Nông Trường Thái Bình tỉnh Lạng Sơn</v>
      </c>
      <c r="C25339" t="str">
        <v>-</v>
      </c>
      <c r="D25339" t="str">
        <v>-</v>
      </c>
      <c r="E25339" t="str">
        <v>-</v>
      </c>
      <c r="F25339" t="str">
        <v>-</v>
      </c>
      <c r="G25339" t="str">
        <v>-</v>
      </c>
    </row>
    <row r="25340">
      <c r="B25340" t="str">
        <v>Công an thị trấn Nham Biền  tỉnh Bắc Giang</v>
      </c>
      <c r="C25340" t="str">
        <v>-</v>
      </c>
      <c r="D25340" t="str">
        <v>-</v>
      </c>
      <c r="E25340" t="str">
        <v/>
      </c>
      <c r="F25340" t="str">
        <v>-</v>
      </c>
      <c r="G25340" t="str">
        <v>-</v>
      </c>
    </row>
    <row r="25341">
      <c r="B25341" t="str">
        <v>UBND Ủy ban nhân dân thị trấn Nham Biền  tỉnh Bắc Giang</v>
      </c>
      <c r="C25341" t="str">
        <v>-</v>
      </c>
      <c r="D25341" t="str">
        <v>-</v>
      </c>
      <c r="E25341" t="str">
        <v>-</v>
      </c>
      <c r="F25341" t="str">
        <v>-</v>
      </c>
      <c r="G25341" t="str">
        <v>-</v>
      </c>
    </row>
    <row r="25342" xml:space="preserve">
      <c r="B25342" t="str" xml:space="preserve">
        <v xml:space="preserve">Công an thị trấn Phát Diệm _x000d_
 tỉnh Ninh Bình</v>
      </c>
      <c r="C25342" t="str">
        <v>-</v>
      </c>
      <c r="D25342" t="str">
        <v>-</v>
      </c>
      <c r="E25342" t="str">
        <v/>
      </c>
      <c r="F25342" t="str">
        <v>-</v>
      </c>
      <c r="G25342" t="str">
        <v>-</v>
      </c>
    </row>
    <row r="25343" xml:space="preserve">
      <c r="B25343" t="str" xml:space="preserve">
        <v xml:space="preserve">UBND Ủy ban nhân dân thị trấn Phát Diệm _x000d_
 tỉnh Ninh Bình</v>
      </c>
      <c r="C25343" t="str">
        <v>-</v>
      </c>
      <c r="D25343" t="str">
        <v>-</v>
      </c>
      <c r="E25343" t="str">
        <v>-</v>
      </c>
      <c r="F25343" t="str">
        <v>-</v>
      </c>
      <c r="G25343" t="str">
        <v>-</v>
      </c>
    </row>
    <row r="25344">
      <c r="B25344" t="str">
        <v>Công an thị trấn Phù Yên tỉnh Sơn La</v>
      </c>
      <c r="C25344" t="str">
        <v>-</v>
      </c>
      <c r="D25344" t="str">
        <v>-</v>
      </c>
      <c r="E25344" t="str">
        <v/>
      </c>
      <c r="F25344" t="str">
        <v>-</v>
      </c>
      <c r="G25344" t="str">
        <v>-</v>
      </c>
    </row>
    <row r="25345">
      <c r="B25345" t="str">
        <v>UBND Ủy ban nhân dân thị trấn Phù Yên tỉnh Sơn La</v>
      </c>
      <c r="C25345" t="str">
        <v>-</v>
      </c>
      <c r="D25345" t="str">
        <v>-</v>
      </c>
      <c r="E25345" t="str">
        <v>-</v>
      </c>
      <c r="F25345" t="str">
        <v>-</v>
      </c>
      <c r="G25345" t="str">
        <v>-</v>
      </c>
    </row>
    <row r="25346">
      <c r="B25346" t="str">
        <v>Công an phường Phố Mới tỉnh Bắc Ninh</v>
      </c>
      <c r="C25346" t="str">
        <v>-</v>
      </c>
      <c r="D25346" t="str">
        <v>-</v>
      </c>
      <c r="E25346" t="str">
        <v/>
      </c>
      <c r="F25346" t="str">
        <v>-</v>
      </c>
      <c r="G25346" t="str">
        <v>-</v>
      </c>
    </row>
    <row r="25347">
      <c r="B25347" t="str">
        <v>UBND Ủy ban nhân dân phường Phố Mới tỉnh Bắc Ninh</v>
      </c>
      <c r="C25347" t="str">
        <v>-</v>
      </c>
      <c r="D25347" t="str">
        <v>-</v>
      </c>
      <c r="E25347" t="str">
        <v>-</v>
      </c>
      <c r="F25347" t="str">
        <v>-</v>
      </c>
      <c r="G25347" t="str">
        <v>-</v>
      </c>
    </row>
    <row r="25348">
      <c r="B25348" t="str">
        <v>Công an thị trấn Quảng Uyên tỉnh Cao Bằng</v>
      </c>
      <c r="C25348" t="str">
        <v>-</v>
      </c>
      <c r="D25348" t="str">
        <v>-</v>
      </c>
      <c r="E25348" t="str">
        <v/>
      </c>
      <c r="F25348" t="str">
        <v>-</v>
      </c>
      <c r="G25348" t="str">
        <v>-</v>
      </c>
    </row>
    <row r="25349">
      <c r="B25349" t="str">
        <v>UBND Ủy ban nhân dân thị trấn Quảng Uyên tỉnh Cao Bằng</v>
      </c>
      <c r="C25349" t="str">
        <v>-</v>
      </c>
      <c r="D25349" t="str">
        <v>-</v>
      </c>
      <c r="E25349" t="str">
        <v>-</v>
      </c>
      <c r="F25349" t="str">
        <v>-</v>
      </c>
      <c r="G25349" t="str">
        <v>-</v>
      </c>
    </row>
    <row r="25350">
      <c r="B25350" t="str">
        <v>Công an thị trấn Quỳ Hợp tỉnh Nghệ An</v>
      </c>
      <c r="C25350" t="str">
        <v>-</v>
      </c>
      <c r="D25350" t="str">
        <v>-</v>
      </c>
      <c r="E25350" t="str">
        <v/>
      </c>
      <c r="F25350" t="str">
        <v>-</v>
      </c>
      <c r="G25350" t="str">
        <v>-</v>
      </c>
    </row>
    <row r="25351">
      <c r="B25351" t="str">
        <v>UBND Ủy ban nhân dân thị trấn Quỳ Hợp tỉnh Nghệ An</v>
      </c>
      <c r="C25351" t="str">
        <v>-</v>
      </c>
      <c r="D25351" t="str">
        <v>-</v>
      </c>
      <c r="E25351" t="str">
        <v>-</v>
      </c>
      <c r="F25351" t="str">
        <v>-</v>
      </c>
      <c r="G25351" t="str">
        <v>-</v>
      </c>
    </row>
    <row r="25352" xml:space="preserve">
      <c r="B25352" t="str" xml:space="preserve">
        <v xml:space="preserve">Công an thị trấn Sơn _x000d_
 tỉnh Thanh Hóa</v>
      </c>
      <c r="C25352" t="str">
        <v>-</v>
      </c>
      <c r="D25352" t="str">
        <v>-</v>
      </c>
      <c r="E25352" t="str">
        <v/>
      </c>
      <c r="F25352" t="str">
        <v>-</v>
      </c>
      <c r="G25352" t="str">
        <v>-</v>
      </c>
    </row>
    <row r="25353" xml:space="preserve">
      <c r="B25353" t="str" xml:space="preserve">
        <v xml:space="preserve">UBND Ủy ban nhân dân thị trấn Sơn _x000d_
 tỉnh Thanh Hóa</v>
      </c>
      <c r="C25353" t="str">
        <v>-</v>
      </c>
      <c r="D25353" t="str">
        <v>-</v>
      </c>
      <c r="E25353" t="str">
        <v>-</v>
      </c>
      <c r="F25353" t="str">
        <v>-</v>
      </c>
      <c r="G25353" t="str">
        <v>-</v>
      </c>
    </row>
    <row r="25354" xml:space="preserve">
      <c r="B25354" t="str" xml:space="preserve">
        <v xml:space="preserve">Công an thị trấn Tà Lùng _x000d_
 tỉnh Cao Bằng</v>
      </c>
      <c r="C25354" t="str">
        <v>-</v>
      </c>
      <c r="D25354" t="str">
        <v>-</v>
      </c>
      <c r="E25354" t="str">
        <v/>
      </c>
      <c r="F25354" t="str">
        <v>-</v>
      </c>
      <c r="G25354" t="str">
        <v>-</v>
      </c>
    </row>
    <row r="25355" xml:space="preserve">
      <c r="B25355" t="str" xml:space="preserve">
        <v xml:space="preserve">UBND Ủy ban nhân dân thị trấn Tà Lùng _x000d_
 tỉnh Cao Bằng</v>
      </c>
      <c r="C25355" t="str">
        <v>-</v>
      </c>
      <c r="D25355" t="str">
        <v>-</v>
      </c>
      <c r="E25355" t="str">
        <v>-</v>
      </c>
      <c r="F25355" t="str">
        <v>-</v>
      </c>
      <c r="G25355" t="str">
        <v>-</v>
      </c>
    </row>
    <row r="25356">
      <c r="B25356" t="str">
        <v>Công an thị trấn Tân An tỉnh Bắc Giang</v>
      </c>
      <c r="C25356" t="str">
        <v>-</v>
      </c>
      <c r="D25356" t="str">
        <v>-</v>
      </c>
      <c r="E25356" t="str">
        <v/>
      </c>
      <c r="F25356" t="str">
        <v>-</v>
      </c>
      <c r="G25356" t="str">
        <v>-</v>
      </c>
    </row>
    <row r="25357">
      <c r="B25357" t="str">
        <v>UBND Ủy ban nhân dân thị trấn Tân An tỉnh Bắc Giang</v>
      </c>
      <c r="C25357" t="str">
        <v>-</v>
      </c>
      <c r="D25357" t="str">
        <v>-</v>
      </c>
      <c r="E25357" t="str">
        <v>-</v>
      </c>
      <c r="F25357" t="str">
        <v>-</v>
      </c>
      <c r="G25357" t="str">
        <v>-</v>
      </c>
    </row>
    <row r="25358">
      <c r="B25358" t="str">
        <v>Công an thị trấn Tam Bình  tỉnh Vĩnh Long</v>
      </c>
      <c r="C25358" t="str">
        <v>-</v>
      </c>
      <c r="D25358" t="str">
        <v>-</v>
      </c>
      <c r="E25358" t="str">
        <v/>
      </c>
      <c r="F25358" t="str">
        <v>-</v>
      </c>
      <c r="G25358" t="str">
        <v>-</v>
      </c>
    </row>
    <row r="25359">
      <c r="B25359" t="str">
        <v>UBND Ủy ban nhân dân thị trấn Tam Bình  tỉnh Vĩnh Long</v>
      </c>
      <c r="C25359" t="str">
        <v>-</v>
      </c>
      <c r="D25359" t="str">
        <v>-</v>
      </c>
      <c r="E25359" t="str">
        <v>-</v>
      </c>
      <c r="F25359" t="str">
        <v>-</v>
      </c>
      <c r="G25359" t="str">
        <v>-</v>
      </c>
    </row>
    <row r="25360">
      <c r="B25360" t="str">
        <v>Công an thị trấn Thạnh Phú tỉnh Bến Tre</v>
      </c>
      <c r="C25360" t="str">
        <v>-</v>
      </c>
      <c r="D25360" t="str">
        <v>-</v>
      </c>
      <c r="E25360" t="str">
        <v/>
      </c>
      <c r="F25360" t="str">
        <v>-</v>
      </c>
      <c r="G25360" t="str">
        <v>-</v>
      </c>
    </row>
    <row r="25361">
      <c r="B25361" t="str">
        <v>UBND Ủy ban nhân dân thị trấn Thạnh Phú tỉnh Bến Tre</v>
      </c>
      <c r="C25361" t="str">
        <v>-</v>
      </c>
      <c r="D25361" t="str">
        <v>-</v>
      </c>
      <c r="E25361" t="str">
        <v>-</v>
      </c>
      <c r="F25361" t="str">
        <v>-</v>
      </c>
      <c r="G25361" t="str">
        <v>-</v>
      </c>
    </row>
    <row r="25362">
      <c r="B25362" t="str">
        <v>Công an thị trấn Thắng tỉnh Bắc Giang</v>
      </c>
      <c r="C25362" t="str">
        <v>-</v>
      </c>
      <c r="D25362" t="str">
        <v>-</v>
      </c>
      <c r="E25362" t="str">
        <v/>
      </c>
      <c r="F25362" t="str">
        <v>-</v>
      </c>
      <c r="G25362" t="str">
        <v>-</v>
      </c>
    </row>
    <row r="25363">
      <c r="B25363" t="str">
        <v>UBND Ủy ban nhân dân thị trấn Thắng tỉnh Bắc Giang</v>
      </c>
      <c r="C25363" t="str">
        <v>-</v>
      </c>
      <c r="D25363" t="str">
        <v>-</v>
      </c>
      <c r="E25363" t="str">
        <v>-</v>
      </c>
      <c r="F25363" t="str">
        <v>-</v>
      </c>
      <c r="G25363" t="str">
        <v>-</v>
      </c>
    </row>
    <row r="25364">
      <c r="B25364" t="str">
        <v>Công an thị trấn Vũ Quang tỉnh Hà Tĩnh</v>
      </c>
      <c r="C25364" t="str">
        <v>-</v>
      </c>
      <c r="D25364" t="str">
        <v>-</v>
      </c>
      <c r="E25364" t="str">
        <v/>
      </c>
      <c r="F25364" t="str">
        <v>-</v>
      </c>
      <c r="G25364" t="str">
        <v>-</v>
      </c>
    </row>
    <row r="25365">
      <c r="B25365" t="str">
        <v>UBND Ủy ban nhân dân thị trấn Vũ Quang tỉnh Hà Tĩnh</v>
      </c>
      <c r="C25365" t="str">
        <v>-</v>
      </c>
      <c r="D25365" t="str">
        <v>-</v>
      </c>
      <c r="E25365" t="str">
        <v>-</v>
      </c>
      <c r="F25365" t="str">
        <v>-</v>
      </c>
      <c r="G25365" t="str">
        <v>-</v>
      </c>
    </row>
    <row r="25366" xml:space="preserve">
      <c r="B25366" t="str" xml:space="preserve">
        <v xml:space="preserve">Công an thị trấn Yên Thế _x000d_
 tỉnh Yên Bái</v>
      </c>
      <c r="C25366" t="str">
        <v>-</v>
      </c>
      <c r="D25366" t="str">
        <v>-</v>
      </c>
      <c r="E25366" t="str">
        <v/>
      </c>
      <c r="F25366" t="str">
        <v>-</v>
      </c>
      <c r="G25366" t="str">
        <v>-</v>
      </c>
    </row>
    <row r="25367" xml:space="preserve">
      <c r="B25367" t="str" xml:space="preserve">
        <v xml:space="preserve">UBND Ủy ban nhân dân thị trấn Yên Thế _x000d_
 tỉnh Yên Bái</v>
      </c>
      <c r="C25367" t="str">
        <v>-</v>
      </c>
      <c r="D25367" t="str">
        <v>-</v>
      </c>
      <c r="E25367" t="str">
        <v>-</v>
      </c>
      <c r="F25367" t="str">
        <v>-</v>
      </c>
      <c r="G25367" t="str">
        <v>-</v>
      </c>
    </row>
    <row r="25368" xml:space="preserve">
      <c r="B25368" t="str" xml:space="preserve">
        <v xml:space="preserve">Công an thị xã Bến Cát _x000d_
 tỉnh Bến Tre</v>
      </c>
      <c r="C25368" t="str">
        <v>-</v>
      </c>
      <c r="D25368" t="str">
        <v>-</v>
      </c>
      <c r="E25368" t="str">
        <v/>
      </c>
      <c r="F25368" t="str">
        <v>-</v>
      </c>
      <c r="G25368" t="str">
        <v>-</v>
      </c>
    </row>
    <row r="25369" xml:space="preserve">
      <c r="B25369" t="str" xml:space="preserve">
        <v xml:space="preserve">UBND Ủy ban nhân dân thị xã Bến Cát _x000d_
 tỉnh Bến Tre</v>
      </c>
      <c r="C25369" t="str">
        <v>-</v>
      </c>
      <c r="D25369" t="str">
        <v>-</v>
      </c>
      <c r="E25369" t="str">
        <v>-</v>
      </c>
      <c r="F25369" t="str">
        <v>-</v>
      </c>
      <c r="G25369" t="str">
        <v>-</v>
      </c>
    </row>
    <row r="25370">
      <c r="B25370" t="str">
        <v>Công an xã Thanh Bình Thịnh tỉnh Hà Tĩnh</v>
      </c>
      <c r="C25370" t="str">
        <v>-</v>
      </c>
      <c r="D25370" t="str">
        <v>-</v>
      </c>
      <c r="E25370" t="str">
        <v/>
      </c>
      <c r="F25370" t="str">
        <v>-</v>
      </c>
      <c r="G25370" t="str">
        <v>-</v>
      </c>
    </row>
    <row r="25371">
      <c r="B25371" t="str">
        <v>UBND Ủy ban nhân dân xã Thanh Bình Thịnh tỉnh Hà Tĩnh</v>
      </c>
      <c r="C25371" t="str">
        <v>-</v>
      </c>
      <c r="D25371" t="str">
        <v>-</v>
      </c>
      <c r="E25371" t="str">
        <v>-</v>
      </c>
      <c r="F25371" t="str">
        <v>-</v>
      </c>
      <c r="G25371" t="str">
        <v>-</v>
      </c>
    </row>
    <row r="25372" xml:space="preserve">
      <c r="B25372" t="str" xml:space="preserve">
        <v xml:space="preserve">Công an huyện Thanh Miện _x000d_
 tỉnh Hải Dương</v>
      </c>
      <c r="C25372" t="str">
        <v>-</v>
      </c>
      <c r="D25372" t="str">
        <v>-</v>
      </c>
      <c r="E25372" t="str">
        <v/>
      </c>
      <c r="F25372" t="str">
        <v>-</v>
      </c>
      <c r="G25372" t="str">
        <v>-</v>
      </c>
    </row>
    <row r="25373" xml:space="preserve">
      <c r="B25373" t="str" xml:space="preserve">
        <v xml:space="preserve">UBND Ủy ban nhân dân huyện Thanh Miện _x000d_
 tỉnh Hải Dương</v>
      </c>
      <c r="C25373" t="str">
        <v>-</v>
      </c>
      <c r="D25373" t="str">
        <v>-</v>
      </c>
      <c r="E25373" t="str">
        <v>-</v>
      </c>
      <c r="F25373" t="str">
        <v>-</v>
      </c>
      <c r="G25373" t="str">
        <v>-</v>
      </c>
    </row>
    <row r="25374">
      <c r="B25374" t="str">
        <v>Công an tinh Lào Cai tỉnh Lào Cai</v>
      </c>
      <c r="C25374" t="str">
        <v>-</v>
      </c>
      <c r="D25374" t="str">
        <v>-</v>
      </c>
      <c r="E25374" t="str">
        <v/>
      </c>
      <c r="F25374" t="str">
        <v>-</v>
      </c>
      <c r="G25374" t="str">
        <v>-</v>
      </c>
    </row>
    <row r="25375">
      <c r="B25375" t="str">
        <v>UBND Ủy ban nhân dân tinh Lào Cai tỉnh Lào Cai</v>
      </c>
      <c r="C25375" t="str">
        <v>-</v>
      </c>
      <c r="D25375" t="str">
        <v>-</v>
      </c>
      <c r="E25375" t="str">
        <v>-</v>
      </c>
      <c r="F25375" t="str">
        <v>-</v>
      </c>
      <c r="G25375" t="str">
        <v>-</v>
      </c>
    </row>
    <row r="25376" xml:space="preserve">
      <c r="B25376" t="str" xml:space="preserve">
        <v xml:space="preserve">Công an xã Trà Giác _x000d_
 tỉnh Quảng Nam</v>
      </c>
      <c r="C25376" t="str">
        <v>-</v>
      </c>
      <c r="D25376" t="str">
        <v>-</v>
      </c>
      <c r="E25376" t="str">
        <v/>
      </c>
      <c r="F25376" t="str">
        <v>-</v>
      </c>
      <c r="G25376" t="str">
        <v>-</v>
      </c>
    </row>
    <row r="25377" xml:space="preserve">
      <c r="B25377" t="str" xml:space="preserve">
        <v xml:space="preserve">UBND Ủy ban nhân dân xã Trà Giác _x000d_
 tỉnh Quảng Nam</v>
      </c>
      <c r="C25377" t="str">
        <v>-</v>
      </c>
      <c r="D25377" t="str">
        <v>-</v>
      </c>
      <c r="E25377" t="str">
        <v>-</v>
      </c>
      <c r="F25377" t="str">
        <v>-</v>
      </c>
      <c r="G25377" t="str">
        <v>-</v>
      </c>
    </row>
    <row r="25378" xml:space="preserve">
      <c r="B25378" t="str" xml:space="preserve">
        <v xml:space="preserve">Công an xã Ái Thượng _x000d_
 tỉnh Thanh Hóa</v>
      </c>
      <c r="C25378" t="str">
        <v>-</v>
      </c>
      <c r="D25378" t="str">
        <v>-</v>
      </c>
      <c r="E25378" t="str">
        <v/>
      </c>
      <c r="F25378" t="str">
        <v>-</v>
      </c>
      <c r="G25378" t="str">
        <v>-</v>
      </c>
    </row>
    <row r="25379" xml:space="preserve">
      <c r="B25379" t="str" xml:space="preserve">
        <v xml:space="preserve">UBND Ủy ban nhân dân xã Ái Thượng _x000d_
 tỉnh Thanh Hóa</v>
      </c>
      <c r="C25379" t="str">
        <v>-</v>
      </c>
      <c r="D25379" t="str">
        <v>-</v>
      </c>
      <c r="E25379" t="str">
        <v>-</v>
      </c>
      <c r="F25379" t="str">
        <v>-</v>
      </c>
      <c r="G25379" t="str">
        <v>-</v>
      </c>
    </row>
    <row r="25380">
      <c r="B25380" t="str">
        <v>Công an xã Ân Hòa tỉnh Ninh Bình</v>
      </c>
      <c r="C25380" t="str">
        <v>-</v>
      </c>
      <c r="D25380" t="str">
        <v>-</v>
      </c>
      <c r="E25380" t="str">
        <v/>
      </c>
      <c r="F25380" t="str">
        <v>-</v>
      </c>
      <c r="G25380" t="str">
        <v>-</v>
      </c>
    </row>
    <row r="25381">
      <c r="B25381" t="str">
        <v>UBND Ủy ban nhân dân xã Ân Hòa tỉnh Ninh Bình</v>
      </c>
      <c r="C25381" t="str">
        <v>-</v>
      </c>
      <c r="D25381" t="str">
        <v>-</v>
      </c>
      <c r="E25381" t="str">
        <v>-</v>
      </c>
      <c r="F25381" t="str">
        <v>-</v>
      </c>
      <c r="G25381" t="str">
        <v>-</v>
      </c>
    </row>
    <row r="25382" xml:space="preserve">
      <c r="B25382" t="str" xml:space="preserve">
        <v xml:space="preserve">Công an xã Ân Nghĩa _x000d_
 tỉnh Bình Định</v>
      </c>
      <c r="C25382" t="str">
        <v>-</v>
      </c>
      <c r="D25382" t="str">
        <v>-</v>
      </c>
      <c r="E25382" t="str">
        <v/>
      </c>
      <c r="F25382" t="str">
        <v>-</v>
      </c>
      <c r="G25382" t="str">
        <v>-</v>
      </c>
    </row>
    <row r="25383" xml:space="preserve">
      <c r="B25383" t="str" xml:space="preserve">
        <v xml:space="preserve">UBND Ủy ban nhân dân xã Ân Nghĩa _x000d_
 tỉnh Bình Định</v>
      </c>
      <c r="C25383" t="str">
        <v>-</v>
      </c>
      <c r="D25383" t="str">
        <v>-</v>
      </c>
      <c r="E25383" t="str">
        <v>-</v>
      </c>
      <c r="F25383" t="str">
        <v>-</v>
      </c>
      <c r="G25383" t="str">
        <v>-</v>
      </c>
    </row>
    <row r="25384" xml:space="preserve">
      <c r="B25384" t="str" xml:space="preserve">
        <v xml:space="preserve">Công an xã Ân Phú _x000d_
 tỉnh Hà Tĩnh</v>
      </c>
      <c r="C25384" t="str">
        <v>-</v>
      </c>
      <c r="D25384" t="str">
        <v>-</v>
      </c>
      <c r="E25384" t="str">
        <v/>
      </c>
      <c r="F25384" t="str">
        <v>-</v>
      </c>
      <c r="G25384" t="str">
        <v>-</v>
      </c>
    </row>
    <row r="25385" xml:space="preserve">
      <c r="B25385" t="str" xml:space="preserve">
        <v xml:space="preserve">UBND Ủy ban nhân dân xã Ân Phú _x000d_
 tỉnh Hà Tĩnh</v>
      </c>
      <c r="C25385" t="str">
        <v>-</v>
      </c>
      <c r="D25385" t="str">
        <v>-</v>
      </c>
      <c r="E25385" t="str">
        <v>-</v>
      </c>
      <c r="F25385" t="str">
        <v>-</v>
      </c>
      <c r="G25385" t="str">
        <v>-</v>
      </c>
    </row>
    <row r="25386" xml:space="preserve">
      <c r="B25386" t="str" xml:space="preserve">
        <v xml:space="preserve">Công an xã Âu Lâu _x000d_
 tỉnh Yên Bái</v>
      </c>
      <c r="C25386" t="str">
        <v>-</v>
      </c>
      <c r="D25386" t="str">
        <v>-</v>
      </c>
      <c r="E25386" t="str">
        <v/>
      </c>
      <c r="F25386" t="str">
        <v>-</v>
      </c>
      <c r="G25386" t="str">
        <v>-</v>
      </c>
    </row>
    <row r="25387" xml:space="preserve">
      <c r="B25387" t="str" xml:space="preserve">
        <v xml:space="preserve">UBND Ủy ban nhân dân xã Âu Lâu _x000d_
 tỉnh Yên Bái</v>
      </c>
      <c r="C25387" t="str">
        <v>-</v>
      </c>
      <c r="D25387" t="str">
        <v>-</v>
      </c>
      <c r="E25387" t="str">
        <v>-</v>
      </c>
      <c r="F25387" t="str">
        <v>-</v>
      </c>
      <c r="G25387" t="str">
        <v>-</v>
      </c>
    </row>
    <row r="25388" xml:space="preserve">
      <c r="B25388" t="str" xml:space="preserve">
        <v xml:space="preserve">Công an xã É Tòng _x000d_
 tỉnh Sơn La</v>
      </c>
      <c r="C25388" t="str">
        <v>-</v>
      </c>
      <c r="D25388" t="str">
        <v>-</v>
      </c>
      <c r="E25388" t="str">
        <v/>
      </c>
      <c r="F25388" t="str">
        <v>-</v>
      </c>
      <c r="G25388" t="str">
        <v>-</v>
      </c>
    </row>
    <row r="25389" xml:space="preserve">
      <c r="B25389" t="str" xml:space="preserve">
        <v xml:space="preserve">UBND Ủy ban nhân dân xã É Tòng _x000d_
 tỉnh Sơn La</v>
      </c>
      <c r="C25389" t="str">
        <v>-</v>
      </c>
      <c r="D25389" t="str">
        <v>-</v>
      </c>
      <c r="E25389" t="str">
        <v>-</v>
      </c>
      <c r="F25389" t="str">
        <v>-</v>
      </c>
      <c r="G25389" t="str">
        <v>-</v>
      </c>
    </row>
    <row r="25390" xml:space="preserve">
      <c r="B25390" t="str" xml:space="preserve">
        <v xml:space="preserve">Công an xã Ông Đình _x000d_
 tỉnh Hưng Yên</v>
      </c>
      <c r="C25390" t="str">
        <v>-</v>
      </c>
      <c r="D25390" t="str">
        <v>-</v>
      </c>
      <c r="E25390" t="str">
        <v/>
      </c>
      <c r="F25390" t="str">
        <v>-</v>
      </c>
      <c r="G25390" t="str">
        <v>-</v>
      </c>
    </row>
    <row r="25391" xml:space="preserve">
      <c r="B25391" t="str" xml:space="preserve">
        <v xml:space="preserve">UBND Ủy ban nhân dân xã Ông Đình _x000d_
 tỉnh Hưng Yên</v>
      </c>
      <c r="C25391" t="str">
        <v>-</v>
      </c>
      <c r="D25391" t="str">
        <v>-</v>
      </c>
      <c r="E25391" t="str">
        <v>-</v>
      </c>
      <c r="F25391" t="str">
        <v>-</v>
      </c>
      <c r="G25391" t="str">
        <v>-</v>
      </c>
    </row>
    <row r="25392">
      <c r="B25392" t="str">
        <v>Công an xã Úc Kỳ tỉnh Thái Nguyên</v>
      </c>
      <c r="C25392" t="str">
        <v>-</v>
      </c>
      <c r="D25392" t="str">
        <v>-</v>
      </c>
      <c r="E25392" t="str">
        <v/>
      </c>
      <c r="F25392" t="str">
        <v>-</v>
      </c>
      <c r="G25392" t="str">
        <v>-</v>
      </c>
    </row>
    <row r="25393">
      <c r="B25393" t="str">
        <v>UBND Ủy ban nhân dân xã Úc Kỳ tỉnh Thái Nguyên</v>
      </c>
      <c r="C25393" t="str">
        <v>-</v>
      </c>
      <c r="D25393" t="str">
        <v>-</v>
      </c>
      <c r="E25393" t="str">
        <v>-</v>
      </c>
      <c r="F25393" t="str">
        <v>-</v>
      </c>
      <c r="G25393" t="str">
        <v>-</v>
      </c>
    </row>
    <row r="25394">
      <c r="B25394" t="str">
        <v>Công an xã Đào Viên tỉnh Bắc Ninh</v>
      </c>
      <c r="C25394" t="str">
        <v>-</v>
      </c>
      <c r="D25394" t="str">
        <v>-</v>
      </c>
      <c r="E25394" t="str">
        <v/>
      </c>
      <c r="F25394" t="str">
        <v>-</v>
      </c>
      <c r="G25394" t="str">
        <v>-</v>
      </c>
    </row>
    <row r="25395">
      <c r="B25395" t="str">
        <v>UBND Ủy ban nhân dân xã Đào Viên tỉnh Bắc Ninh</v>
      </c>
      <c r="C25395" t="str">
        <v>-</v>
      </c>
      <c r="D25395" t="str">
        <v>-</v>
      </c>
      <c r="E25395" t="str">
        <v>-</v>
      </c>
      <c r="F25395" t="str">
        <v>-</v>
      </c>
      <c r="G25395" t="str">
        <v>-</v>
      </c>
    </row>
    <row r="25396">
      <c r="B25396" t="str">
        <v>Công an xã Đào Xá tỉnh Thái Nguyên</v>
      </c>
      <c r="C25396" t="str">
        <v>-</v>
      </c>
      <c r="D25396" t="str">
        <v>-</v>
      </c>
      <c r="E25396" t="str">
        <v/>
      </c>
      <c r="F25396" t="str">
        <v>-</v>
      </c>
      <c r="G25396" t="str">
        <v>-</v>
      </c>
    </row>
    <row r="25397">
      <c r="B25397" t="str">
        <v>UBND Ủy ban nhân dân xã Đào Xá tỉnh Thái Nguyên</v>
      </c>
      <c r="C25397" t="str">
        <v>-</v>
      </c>
      <c r="D25397" t="str">
        <v>-</v>
      </c>
      <c r="E25397" t="str">
        <v>-</v>
      </c>
      <c r="F25397" t="str">
        <v>-</v>
      </c>
      <c r="G25397" t="str">
        <v>-</v>
      </c>
    </row>
    <row r="25398" xml:space="preserve">
      <c r="B25398" t="str" xml:space="preserve">
        <v xml:space="preserve">Công an xã Đà Sơn _x000d_
 tỉnh Nghệ An</v>
      </c>
      <c r="C25398" t="str">
        <v>-</v>
      </c>
      <c r="D25398" t="str">
        <v>-</v>
      </c>
      <c r="E25398" t="str">
        <v/>
      </c>
      <c r="F25398" t="str">
        <v>-</v>
      </c>
      <c r="G25398" t="str">
        <v>-</v>
      </c>
    </row>
    <row r="25399" xml:space="preserve">
      <c r="B25399" t="str" xml:space="preserve">
        <v xml:space="preserve">UBND Ủy ban nhân dân xã Đà Sơn _x000d_
 tỉnh Nghệ An</v>
      </c>
      <c r="C25399" t="str">
        <v>-</v>
      </c>
      <c r="D25399" t="str">
        <v>-</v>
      </c>
      <c r="E25399" t="str">
        <v>-</v>
      </c>
      <c r="F25399" t="str">
        <v>-</v>
      </c>
      <c r="G25399" t="str">
        <v>-</v>
      </c>
    </row>
    <row r="25400">
      <c r="B25400" t="str">
        <v>Công an xã Đá Đỏ tỉnh Sơn La</v>
      </c>
      <c r="C25400" t="str">
        <v>-</v>
      </c>
      <c r="D25400" t="str">
        <v>-</v>
      </c>
      <c r="E25400" t="str">
        <v/>
      </c>
      <c r="F25400" t="str">
        <v>-</v>
      </c>
      <c r="G25400" t="str">
        <v>-</v>
      </c>
    </row>
    <row r="25401">
      <c r="B25401" t="str">
        <v>UBND Ủy ban nhân dân xã Đá Đỏ tỉnh Sơn La</v>
      </c>
      <c r="C25401" t="str">
        <v>-</v>
      </c>
      <c r="D25401" t="str">
        <v>-</v>
      </c>
      <c r="E25401" t="str">
        <v>-</v>
      </c>
      <c r="F25401" t="str">
        <v>-</v>
      </c>
      <c r="G25401" t="str">
        <v>-</v>
      </c>
    </row>
    <row r="25402">
      <c r="B25402" t="str">
        <v>Công an xã Đê Ar tỉnh Gia Lai</v>
      </c>
      <c r="C25402" t="str">
        <v>-</v>
      </c>
      <c r="D25402" t="str">
        <v>-</v>
      </c>
      <c r="E25402" t="str">
        <v/>
      </c>
      <c r="F25402" t="str">
        <v>-</v>
      </c>
      <c r="G25402" t="str">
        <v>-</v>
      </c>
    </row>
    <row r="25403">
      <c r="B25403" t="str">
        <v>UBND Ủy ban nhân dân xã Đê Ar tỉnh Gia Lai</v>
      </c>
      <c r="C25403" t="str">
        <v>-</v>
      </c>
      <c r="D25403" t="str">
        <v>-</v>
      </c>
      <c r="E25403" t="str">
        <v>-</v>
      </c>
      <c r="F25403" t="str">
        <v>-</v>
      </c>
      <c r="G25403" t="str">
        <v>-</v>
      </c>
    </row>
    <row r="25404">
      <c r="B25404" t="str">
        <v>Công an xã Đình Phùng tỉnh Cao Bằng</v>
      </c>
      <c r="C25404" t="str">
        <v>-</v>
      </c>
      <c r="D25404" t="str">
        <v>-</v>
      </c>
      <c r="E25404" t="str">
        <v/>
      </c>
      <c r="F25404" t="str">
        <v>-</v>
      </c>
      <c r="G25404" t="str">
        <v>-</v>
      </c>
    </row>
    <row r="25405">
      <c r="B25405" t="str">
        <v>UBND Ủy ban nhân dân xã Đình Phùng tỉnh Cao Bằng</v>
      </c>
      <c r="C25405" t="str">
        <v>-</v>
      </c>
      <c r="D25405" t="str">
        <v>-</v>
      </c>
      <c r="E25405" t="str">
        <v>-</v>
      </c>
      <c r="F25405" t="str">
        <v>-</v>
      </c>
      <c r="G25405" t="str">
        <v>-</v>
      </c>
    </row>
    <row r="25406">
      <c r="B25406" t="str">
        <v>Công an xã Đình Tổ tỉnh Bắc Ninh</v>
      </c>
      <c r="C25406" t="str">
        <v>-</v>
      </c>
      <c r="D25406" t="str">
        <v>-</v>
      </c>
      <c r="E25406" t="str">
        <v/>
      </c>
      <c r="F25406" t="str">
        <v>-</v>
      </c>
      <c r="G25406" t="str">
        <v>-</v>
      </c>
    </row>
    <row r="25407">
      <c r="B25407" t="str">
        <v>UBND Ủy ban nhân dân xã Đình Tổ tỉnh Bắc Ninh</v>
      </c>
      <c r="C25407" t="str">
        <v>-</v>
      </c>
      <c r="D25407" t="str">
        <v>-</v>
      </c>
      <c r="E25407" t="str">
        <v>-</v>
      </c>
      <c r="F25407" t="str">
        <v>-</v>
      </c>
      <c r="G25407" t="str">
        <v>-</v>
      </c>
    </row>
    <row r="25408" xml:space="preserve">
      <c r="B25408" t="str" xml:space="preserve">
        <v xml:space="preserve">Công an xã Đông Động _x000d_
 tỉnh Thái Bình</v>
      </c>
      <c r="C25408" t="str">
        <v>-</v>
      </c>
      <c r="D25408" t="str">
        <v>-</v>
      </c>
      <c r="E25408" t="str">
        <v/>
      </c>
      <c r="F25408" t="str">
        <v>-</v>
      </c>
      <c r="G25408" t="str">
        <v>-</v>
      </c>
    </row>
    <row r="25409" xml:space="preserve">
      <c r="B25409" t="str" xml:space="preserve">
        <v xml:space="preserve">UBND Ủy ban nhân dân xã Đông Động _x000d_
 tỉnh Thái Bình</v>
      </c>
      <c r="C25409" t="str">
        <v>-</v>
      </c>
      <c r="D25409" t="str">
        <v>-</v>
      </c>
      <c r="E25409" t="str">
        <v>-</v>
      </c>
      <c r="F25409" t="str">
        <v>-</v>
      </c>
      <c r="G25409" t="str">
        <v>-</v>
      </c>
    </row>
    <row r="25410" xml:space="preserve">
      <c r="B25410" t="str" xml:space="preserve">
        <v xml:space="preserve">Công an xã Đông Bắc _x000d_
 tỉnh Hòa Bình</v>
      </c>
      <c r="C25410" t="str">
        <v>-</v>
      </c>
      <c r="D25410" t="str">
        <v>-</v>
      </c>
      <c r="E25410" t="str">
        <v/>
      </c>
      <c r="F25410" t="str">
        <v>-</v>
      </c>
      <c r="G25410" t="str">
        <v>-</v>
      </c>
    </row>
    <row r="25411" xml:space="preserve">
      <c r="B25411" t="str" xml:space="preserve">
        <v xml:space="preserve">UBND Ủy ban nhân dân xã Đông Bắc _x000d_
 tỉnh Hòa Bình</v>
      </c>
      <c r="C25411" t="str">
        <v>-</v>
      </c>
      <c r="D25411" t="str">
        <v>-</v>
      </c>
      <c r="E25411" t="str">
        <v>-</v>
      </c>
      <c r="F25411" t="str">
        <v>-</v>
      </c>
      <c r="G25411" t="str">
        <v>-</v>
      </c>
    </row>
    <row r="25412" xml:space="preserve">
      <c r="B25412" t="str" xml:space="preserve">
        <v xml:space="preserve">Công an xã Đông Các _x000d_
 tỉnh Thái Bình</v>
      </c>
      <c r="C25412" t="str">
        <v>-</v>
      </c>
      <c r="D25412" t="str">
        <v>-</v>
      </c>
      <c r="E25412" t="str">
        <v/>
      </c>
      <c r="F25412" t="str">
        <v>-</v>
      </c>
      <c r="G25412" t="str">
        <v>-</v>
      </c>
    </row>
    <row r="25413" xml:space="preserve">
      <c r="B25413" t="str" xml:space="preserve">
        <v xml:space="preserve">UBND Ủy ban nhân dân xã Đông Các _x000d_
 tỉnh Thái Bình</v>
      </c>
      <c r="C25413" t="str">
        <v>-</v>
      </c>
      <c r="D25413" t="str">
        <v>-</v>
      </c>
      <c r="E25413" t="str">
        <v>-</v>
      </c>
      <c r="F25413" t="str">
        <v>-</v>
      </c>
      <c r="G25413" t="str">
        <v>-</v>
      </c>
    </row>
    <row r="25414" xml:space="preserve">
      <c r="B25414" t="str" xml:space="preserve">
        <v xml:space="preserve">Công an xã Đông Cường _x000d_
 tỉnh Thái Bình</v>
      </c>
      <c r="C25414" t="str">
        <v>-</v>
      </c>
      <c r="D25414" t="str">
        <v>-</v>
      </c>
      <c r="E25414" t="str">
        <v/>
      </c>
      <c r="F25414" t="str">
        <v>-</v>
      </c>
      <c r="G25414" t="str">
        <v>-</v>
      </c>
    </row>
    <row r="25415" xml:space="preserve">
      <c r="B25415" t="str" xml:space="preserve">
        <v xml:space="preserve">UBND Ủy ban nhân dân xã Đông Cường _x000d_
 tỉnh Thái Bình</v>
      </c>
      <c r="C25415" t="str">
        <v>-</v>
      </c>
      <c r="D25415" t="str">
        <v>-</v>
      </c>
      <c r="E25415" t="str">
        <v>-</v>
      </c>
      <c r="F25415" t="str">
        <v>-</v>
      </c>
      <c r="G25415" t="str">
        <v>-</v>
      </c>
    </row>
    <row r="25416" xml:space="preserve">
      <c r="B25416" t="str" xml:space="preserve">
        <v xml:space="preserve">Công an xã Đông Cuông _x000d_
 tỉnh Thái Bình</v>
      </c>
      <c r="C25416" t="str">
        <v>-</v>
      </c>
      <c r="D25416" t="str">
        <v>-</v>
      </c>
      <c r="E25416" t="str">
        <v/>
      </c>
      <c r="F25416" t="str">
        <v>-</v>
      </c>
      <c r="G25416" t="str">
        <v>-</v>
      </c>
    </row>
    <row r="25417" xml:space="preserve">
      <c r="B25417" t="str" xml:space="preserve">
        <v xml:space="preserve">UBND Ủy ban nhân dân xã Đông Cuông _x000d_
 tỉnh Thái Bình</v>
      </c>
      <c r="C25417" t="str">
        <v>-</v>
      </c>
      <c r="D25417" t="str">
        <v>-</v>
      </c>
      <c r="E25417" t="str">
        <v>-</v>
      </c>
      <c r="F25417" t="str">
        <v>-</v>
      </c>
      <c r="G25417" t="str">
        <v>-</v>
      </c>
    </row>
    <row r="25418" xml:space="preserve">
      <c r="B25418" t="str" xml:space="preserve">
        <v xml:space="preserve">Công an xã Đông Hải _x000d_
 tỉnh Thái Bình</v>
      </c>
      <c r="C25418" t="str">
        <v>-</v>
      </c>
      <c r="D25418" t="str">
        <v>-</v>
      </c>
      <c r="E25418" t="str">
        <v/>
      </c>
      <c r="F25418" t="str">
        <v>-</v>
      </c>
      <c r="G25418" t="str">
        <v>-</v>
      </c>
    </row>
    <row r="25419" xml:space="preserve">
      <c r="B25419" t="str" xml:space="preserve">
        <v xml:space="preserve">UBND Ủy ban nhân dân xã Đông Hải _x000d_
 tỉnh Thái Bình</v>
      </c>
      <c r="C25419" t="str">
        <v>-</v>
      </c>
      <c r="D25419" t="str">
        <v>-</v>
      </c>
      <c r="E25419" t="str">
        <v>-</v>
      </c>
      <c r="F25419" t="str">
        <v>-</v>
      </c>
      <c r="G25419" t="str">
        <v>-</v>
      </c>
    </row>
    <row r="25420" xml:space="preserve">
      <c r="B25420" t="str" xml:space="preserve">
        <v xml:space="preserve">Công an xã Đông Hợp _x000d_
 tỉnh Thái Bình</v>
      </c>
      <c r="C25420" t="str">
        <v>-</v>
      </c>
      <c r="D25420" t="str">
        <v>-</v>
      </c>
      <c r="E25420" t="str">
        <v/>
      </c>
      <c r="F25420" t="str">
        <v>-</v>
      </c>
      <c r="G25420" t="str">
        <v>-</v>
      </c>
    </row>
    <row r="25421" xml:space="preserve">
      <c r="B25421" t="str" xml:space="preserve">
        <v xml:space="preserve">UBND Ủy ban nhân dân xã Đông Hợp _x000d_
 tỉnh Thái Bình</v>
      </c>
      <c r="C25421" t="str">
        <v>-</v>
      </c>
      <c r="D25421" t="str">
        <v>-</v>
      </c>
      <c r="E25421" t="str">
        <v>-</v>
      </c>
      <c r="F25421" t="str">
        <v>-</v>
      </c>
      <c r="G25421" t="str">
        <v>-</v>
      </c>
    </row>
    <row r="25422">
      <c r="B25422" t="str">
        <v>Công an xã Đông Hoà tỉnh TIỀN GIANG</v>
      </c>
      <c r="C25422" t="str">
        <v>-</v>
      </c>
      <c r="D25422" t="str">
        <v>-</v>
      </c>
      <c r="E25422" t="str">
        <v/>
      </c>
      <c r="F25422" t="str">
        <v>-</v>
      </c>
      <c r="G25422" t="str">
        <v>-</v>
      </c>
    </row>
    <row r="25423">
      <c r="B25423" t="str">
        <v>UBND Ủy ban nhân dân xã Đông Hoà tỉnh TIỀN GIANG</v>
      </c>
      <c r="C25423" t="str">
        <v>-</v>
      </c>
      <c r="D25423" t="str">
        <v>-</v>
      </c>
      <c r="E25423" t="str">
        <v>-</v>
      </c>
      <c r="F25423" t="str">
        <v>-</v>
      </c>
      <c r="G25423" t="str">
        <v>-</v>
      </c>
    </row>
    <row r="25424" xml:space="preserve">
      <c r="B25424" t="str" xml:space="preserve">
        <v xml:space="preserve">Công an xã Đông Hoà Hiệp _x000d_
 tỉnh TIỀN GIANG</v>
      </c>
      <c r="C25424" t="str">
        <v>-</v>
      </c>
      <c r="D25424" t="str">
        <v>-</v>
      </c>
      <c r="E25424" t="str">
        <v/>
      </c>
      <c r="F25424" t="str">
        <v>-</v>
      </c>
      <c r="G25424" t="str">
        <v>-</v>
      </c>
    </row>
    <row r="25425" xml:space="preserve">
      <c r="B25425" t="str" xml:space="preserve">
        <v xml:space="preserve">UBND Ủy ban nhân dân xã Đông Hoà Hiệp _x000d_
 tỉnh TIỀN GIANG</v>
      </c>
      <c r="C25425" t="str">
        <v>-</v>
      </c>
      <c r="D25425" t="str">
        <v>-</v>
      </c>
      <c r="E25425" t="str">
        <v>-</v>
      </c>
      <c r="F25425" t="str">
        <v>-</v>
      </c>
      <c r="G25425" t="str">
        <v>-</v>
      </c>
    </row>
    <row r="25426">
      <c r="B25426" t="str">
        <v>Công an xã Đông Ninh tỉnh Hưng Yên</v>
      </c>
      <c r="C25426" t="str">
        <v>-</v>
      </c>
      <c r="D25426" t="str">
        <v>-</v>
      </c>
      <c r="E25426" t="str">
        <v/>
      </c>
      <c r="F25426" t="str">
        <v>-</v>
      </c>
      <c r="G25426" t="str">
        <v>-</v>
      </c>
    </row>
    <row r="25427">
      <c r="B25427" t="str">
        <v>UBND Ủy ban nhân dân xã Đông Ninh tỉnh Hưng Yên</v>
      </c>
      <c r="C25427" t="str">
        <v>-</v>
      </c>
      <c r="D25427" t="str">
        <v>-</v>
      </c>
      <c r="E25427" t="str">
        <v>-</v>
      </c>
      <c r="F25427" t="str">
        <v>-</v>
      </c>
      <c r="G25427" t="str">
        <v>-</v>
      </c>
    </row>
    <row r="25428">
      <c r="B25428" t="str">
        <v>Công an xã Đông Sang tỉnh Sơn La</v>
      </c>
      <c r="C25428" t="str">
        <v>-</v>
      </c>
      <c r="D25428" t="str">
        <v>-</v>
      </c>
      <c r="E25428" t="str">
        <v/>
      </c>
      <c r="F25428" t="str">
        <v>-</v>
      </c>
      <c r="G25428" t="str">
        <v>-</v>
      </c>
    </row>
    <row r="25429">
      <c r="B25429" t="str">
        <v>UBND Ủy ban nhân dân xã Đông Sang tỉnh Sơn La</v>
      </c>
      <c r="C25429" t="str">
        <v>-</v>
      </c>
      <c r="D25429" t="str">
        <v>-</v>
      </c>
      <c r="E25429" t="str">
        <v>-</v>
      </c>
      <c r="F25429" t="str">
        <v>-</v>
      </c>
      <c r="G25429" t="str">
        <v>-</v>
      </c>
    </row>
    <row r="25430">
      <c r="B25430" t="str">
        <v>Công an xã Đông Thọ tỉnh Bắc Ninh</v>
      </c>
      <c r="C25430" t="str">
        <v>-</v>
      </c>
      <c r="D25430" t="str">
        <v>-</v>
      </c>
      <c r="E25430" t="str">
        <v/>
      </c>
      <c r="F25430" t="str">
        <v>-</v>
      </c>
      <c r="G25430" t="str">
        <v>-</v>
      </c>
    </row>
    <row r="25431">
      <c r="B25431" t="str">
        <v>UBND Ủy ban nhân dân xã Đông Thọ tỉnh Bắc Ninh</v>
      </c>
      <c r="C25431" t="str">
        <v>-</v>
      </c>
      <c r="D25431" t="str">
        <v>-</v>
      </c>
      <c r="E25431" t="str">
        <v>-</v>
      </c>
      <c r="F25431" t="str">
        <v>-</v>
      </c>
      <c r="G25431" t="str">
        <v>-</v>
      </c>
    </row>
    <row r="25432">
      <c r="B25432" t="str">
        <v>Công an xã Đông Xuyên tỉnh Hải Dương</v>
      </c>
      <c r="C25432" t="str">
        <v>-</v>
      </c>
      <c r="D25432" t="str">
        <v>-</v>
      </c>
      <c r="E25432" t="str">
        <v/>
      </c>
      <c r="F25432" t="str">
        <v>-</v>
      </c>
      <c r="G25432" t="str">
        <v>-</v>
      </c>
    </row>
    <row r="25433">
      <c r="B25433" t="str">
        <v>UBND Ủy ban nhân dân xã Đông Xuyên tỉnh Hải Dương</v>
      </c>
      <c r="C25433" t="str">
        <v>-</v>
      </c>
      <c r="D25433" t="str">
        <v>-</v>
      </c>
      <c r="E25433" t="str">
        <v>-</v>
      </c>
      <c r="F25433" t="str">
        <v>-</v>
      </c>
      <c r="G25433" t="str">
        <v>-</v>
      </c>
    </row>
    <row r="25434" xml:space="preserve">
      <c r="B25434" t="str" xml:space="preserve">
        <v xml:space="preserve">Công an xã Đông Yên _x000d_
 thành phố Hà Nội</v>
      </c>
      <c r="C25434" t="str">
        <v>-</v>
      </c>
      <c r="D25434" t="str">
        <v>-</v>
      </c>
      <c r="E25434" t="str">
        <v/>
      </c>
      <c r="F25434" t="str">
        <v>-</v>
      </c>
      <c r="G25434" t="str">
        <v>-</v>
      </c>
    </row>
    <row r="25435" xml:space="preserve">
      <c r="B25435" t="str" xml:space="preserve">
        <v xml:space="preserve">UBND Ủy ban nhân dân xã Đông Yên _x000d_
 thành phố Hà Nội</v>
      </c>
      <c r="C25435" t="str">
        <v>-</v>
      </c>
      <c r="D25435" t="str">
        <v>-</v>
      </c>
      <c r="E25435" t="str">
        <v>-</v>
      </c>
      <c r="F25435" t="str">
        <v>-</v>
      </c>
      <c r="G25435" t="str">
        <v>-</v>
      </c>
    </row>
    <row r="25436">
      <c r="B25436" t="str">
        <v>Công an xã Đăk Ơ tỉnh Bình Phước</v>
      </c>
      <c r="C25436" t="str">
        <v>-</v>
      </c>
      <c r="D25436" t="str">
        <v>-</v>
      </c>
      <c r="E25436" t="str">
        <v/>
      </c>
      <c r="F25436" t="str">
        <v>-</v>
      </c>
      <c r="G25436" t="str">
        <v>-</v>
      </c>
    </row>
    <row r="25437">
      <c r="B25437" t="str">
        <v>UBND Ủy ban nhân dân xã Đăk Ơ tỉnh Bình Phước</v>
      </c>
      <c r="C25437" t="str">
        <v>-</v>
      </c>
      <c r="D25437" t="str">
        <v>-</v>
      </c>
      <c r="E25437" t="str">
        <v>-</v>
      </c>
      <c r="F25437" t="str">
        <v>-</v>
      </c>
      <c r="G25437" t="str">
        <v>-</v>
      </c>
    </row>
    <row r="25438" xml:space="preserve">
      <c r="B25438" t="str" xml:space="preserve">
        <v xml:space="preserve">Công an xã Đăk Bukso _x000d_
 tỉnh Gia Lai</v>
      </c>
      <c r="C25438" t="str">
        <v>-</v>
      </c>
      <c r="D25438" t="str">
        <v>-</v>
      </c>
      <c r="E25438" t="str">
        <v/>
      </c>
      <c r="F25438" t="str">
        <v>-</v>
      </c>
      <c r="G25438" t="str">
        <v>-</v>
      </c>
    </row>
    <row r="25439" xml:space="preserve">
      <c r="B25439" t="str" xml:space="preserve">
        <v xml:space="preserve">UBND Ủy ban nhân dân xã Đăk Bukso _x000d_
 tỉnh Gia Lai</v>
      </c>
      <c r="C25439" t="str">
        <v>-</v>
      </c>
      <c r="D25439" t="str">
        <v>-</v>
      </c>
      <c r="E25439" t="str">
        <v>-</v>
      </c>
      <c r="F25439" t="str">
        <v>-</v>
      </c>
      <c r="G25439" t="str">
        <v>-</v>
      </c>
    </row>
    <row r="25440">
      <c r="B25440" t="str">
        <v>Công an xã Đăk Choong tỉnh Gia Lai</v>
      </c>
      <c r="C25440" t="str">
        <v>-</v>
      </c>
      <c r="D25440" t="str">
        <v>-</v>
      </c>
      <c r="E25440" t="str">
        <v/>
      </c>
      <c r="F25440" t="str">
        <v>-</v>
      </c>
      <c r="G25440" t="str">
        <v>-</v>
      </c>
    </row>
    <row r="25441">
      <c r="B25441" t="str">
        <v>UBND Ủy ban nhân dân xã Đăk Choong tỉnh Gia Lai</v>
      </c>
      <c r="C25441" t="str">
        <v>-</v>
      </c>
      <c r="D25441" t="str">
        <v>-</v>
      </c>
      <c r="E25441" t="str">
        <v>-</v>
      </c>
      <c r="F25441" t="str">
        <v>-</v>
      </c>
      <c r="G25441" t="str">
        <v>-</v>
      </c>
    </row>
    <row r="25442">
      <c r="B25442" t="str">
        <v>Công an xã Đăk Djrăng  tỉnh Gia Lai</v>
      </c>
      <c r="C25442" t="str">
        <v>-</v>
      </c>
      <c r="D25442" t="str">
        <v>-</v>
      </c>
      <c r="E25442" t="str">
        <v/>
      </c>
      <c r="F25442" t="str">
        <v>-</v>
      </c>
      <c r="G25442" t="str">
        <v>-</v>
      </c>
    </row>
    <row r="25443">
      <c r="B25443" t="str">
        <v>UBND Ủy ban nhân dân xã Đăk Djrăng  tỉnh Gia Lai</v>
      </c>
      <c r="C25443" t="str">
        <v>-</v>
      </c>
      <c r="D25443" t="str">
        <v>-</v>
      </c>
      <c r="E25443" t="str">
        <v>-</v>
      </c>
      <c r="F25443" t="str">
        <v>-</v>
      </c>
      <c r="G25443" t="str">
        <v>-</v>
      </c>
    </row>
    <row r="25444" xml:space="preserve">
      <c r="B25444" t="str" xml:space="preserve">
        <v xml:space="preserve">Công an xã Đăk Môn _x000d_
 tỉnh Kon Tum</v>
      </c>
      <c r="C25444" t="str">
        <v>-</v>
      </c>
      <c r="D25444" t="str">
        <v>-</v>
      </c>
      <c r="E25444" t="str">
        <v/>
      </c>
      <c r="F25444" t="str">
        <v>-</v>
      </c>
      <c r="G25444" t="str">
        <v>-</v>
      </c>
    </row>
    <row r="25445" xml:space="preserve">
      <c r="B25445" t="str" xml:space="preserve">
        <v xml:space="preserve">UBND Ủy ban nhân dân xã Đăk Môn _x000d_
 tỉnh Kon Tum</v>
      </c>
      <c r="C25445" t="str">
        <v>-</v>
      </c>
      <c r="D25445" t="str">
        <v>-</v>
      </c>
      <c r="E25445" t="str">
        <v>-</v>
      </c>
      <c r="F25445" t="str">
        <v>-</v>
      </c>
      <c r="G25445" t="str">
        <v>-</v>
      </c>
    </row>
    <row r="25446" xml:space="preserve">
      <c r="B25446" t="str" xml:space="preserve">
        <v xml:space="preserve">Công an xã Đăk Nên _x000d_
 tỉnh Kon Tum</v>
      </c>
      <c r="C25446" t="str">
        <v>-</v>
      </c>
      <c r="D25446" t="str">
        <v>-</v>
      </c>
      <c r="E25446" t="str">
        <v/>
      </c>
      <c r="F25446" t="str">
        <v>-</v>
      </c>
      <c r="G25446" t="str">
        <v>-</v>
      </c>
    </row>
    <row r="25447" xml:space="preserve">
      <c r="B25447" t="str" xml:space="preserve">
        <v xml:space="preserve">UBND Ủy ban nhân dân xã Đăk Nên _x000d_
 tỉnh Kon Tum</v>
      </c>
      <c r="C25447" t="str">
        <v>-</v>
      </c>
      <c r="D25447" t="str">
        <v>-</v>
      </c>
      <c r="E25447" t="str">
        <v>-</v>
      </c>
      <c r="F25447" t="str">
        <v>-</v>
      </c>
      <c r="G25447" t="str">
        <v>-</v>
      </c>
    </row>
    <row r="25448">
      <c r="B25448" t="str">
        <v>Công an xã Đăk Nhoong tỉnh Kon Tum</v>
      </c>
      <c r="C25448" t="str">
        <v>-</v>
      </c>
      <c r="D25448" t="str">
        <v>-</v>
      </c>
      <c r="E25448" t="str">
        <v/>
      </c>
      <c r="F25448" t="str">
        <v>-</v>
      </c>
      <c r="G25448" t="str">
        <v>-</v>
      </c>
    </row>
    <row r="25449">
      <c r="B25449" t="str">
        <v>UBND Ủy ban nhân dân xã Đăk Nhoong tỉnh Kon Tum</v>
      </c>
      <c r="C25449" t="str">
        <v>-</v>
      </c>
      <c r="D25449" t="str">
        <v>-</v>
      </c>
      <c r="E25449" t="str">
        <v>-</v>
      </c>
      <c r="F25449" t="str">
        <v>-</v>
      </c>
      <c r="G25449" t="str">
        <v>-</v>
      </c>
    </row>
    <row r="25450" xml:space="preserve">
      <c r="B25450" t="str" xml:space="preserve">
        <v xml:space="preserve">Công an xã Đăk Pék _x000d_
 tỉnh Kon Tum</v>
      </c>
      <c r="C25450" t="str">
        <v>-</v>
      </c>
      <c r="D25450" t="str">
        <v>-</v>
      </c>
      <c r="E25450" t="str">
        <v/>
      </c>
      <c r="F25450" t="str">
        <v>-</v>
      </c>
      <c r="G25450" t="str">
        <v>-</v>
      </c>
    </row>
    <row r="25451" xml:space="preserve">
      <c r="B25451" t="str" xml:space="preserve">
        <v xml:space="preserve">UBND Ủy ban nhân dân xã Đăk Pék _x000d_
 tỉnh Kon Tum</v>
      </c>
      <c r="C25451" t="str">
        <v>-</v>
      </c>
      <c r="D25451" t="str">
        <v>-</v>
      </c>
      <c r="E25451" t="str">
        <v>-</v>
      </c>
      <c r="F25451" t="str">
        <v>-</v>
      </c>
      <c r="G25451" t="str">
        <v>-</v>
      </c>
    </row>
    <row r="25452" xml:space="preserve">
      <c r="B25452" t="str" xml:space="preserve">
        <v xml:space="preserve">Công an xã Đăk Sao _x000d_
 tỉnh Kon Tum</v>
      </c>
      <c r="C25452" t="str">
        <v>-</v>
      </c>
      <c r="D25452" t="str">
        <v>-</v>
      </c>
      <c r="E25452" t="str">
        <v/>
      </c>
      <c r="F25452" t="str">
        <v>-</v>
      </c>
      <c r="G25452" t="str">
        <v>-</v>
      </c>
    </row>
    <row r="25453" xml:space="preserve">
      <c r="B25453" t="str" xml:space="preserve">
        <v xml:space="preserve">UBND Ủy ban nhân dân xã Đăk Sao _x000d_
 tỉnh Kon Tum</v>
      </c>
      <c r="C25453" t="str">
        <v>-</v>
      </c>
      <c r="D25453" t="str">
        <v>-</v>
      </c>
      <c r="E25453" t="str">
        <v>-</v>
      </c>
      <c r="F25453" t="str">
        <v>-</v>
      </c>
      <c r="G25453" t="str">
        <v>-</v>
      </c>
    </row>
    <row r="25454" xml:space="preserve">
      <c r="B25454" t="str" xml:space="preserve">
        <v xml:space="preserve">Công an xã Đăk Tơ Pang _x000d_
 tỉnh Gia Lai</v>
      </c>
      <c r="C25454" t="str">
        <v>-</v>
      </c>
      <c r="D25454" t="str">
        <v>-</v>
      </c>
      <c r="E25454" t="str">
        <v/>
      </c>
      <c r="F25454" t="str">
        <v>-</v>
      </c>
      <c r="G25454" t="str">
        <v>-</v>
      </c>
    </row>
    <row r="25455" xml:space="preserve">
      <c r="B25455" t="str" xml:space="preserve">
        <v xml:space="preserve">UBND Ủy ban nhân dân xã Đăk Tơ Pang _x000d_
 tỉnh Gia Lai</v>
      </c>
      <c r="C25455" t="str">
        <v>-</v>
      </c>
      <c r="D25455" t="str">
        <v>-</v>
      </c>
      <c r="E25455" t="str">
        <v>-</v>
      </c>
      <c r="F25455" t="str">
        <v>-</v>
      </c>
      <c r="G25455" t="str">
        <v>-</v>
      </c>
    </row>
    <row r="25456" xml:space="preserve">
      <c r="B25456" t="str" xml:space="preserve">
        <v xml:space="preserve">Công an xã Đăk Tờ Kan _x000d_
 tỉnh Kon Tum</v>
      </c>
      <c r="C25456" t="str">
        <v>-</v>
      </c>
      <c r="D25456" t="str">
        <v>-</v>
      </c>
      <c r="E25456" t="str">
        <v/>
      </c>
      <c r="F25456" t="str">
        <v>-</v>
      </c>
      <c r="G25456" t="str">
        <v>-</v>
      </c>
    </row>
    <row r="25457" xml:space="preserve">
      <c r="B25457" t="str" xml:space="preserve">
        <v xml:space="preserve">UBND Ủy ban nhân dân xã Đăk Tờ Kan _x000d_
 tỉnh Kon Tum</v>
      </c>
      <c r="C25457" t="str">
        <v>-</v>
      </c>
      <c r="D25457" t="str">
        <v>-</v>
      </c>
      <c r="E25457" t="str">
        <v>-</v>
      </c>
      <c r="F25457" t="str">
        <v>-</v>
      </c>
      <c r="G25457" t="str">
        <v>-</v>
      </c>
    </row>
    <row r="25458">
      <c r="B25458" t="str">
        <v>Công an xã Đăk Trôi tỉnh Gia Lai</v>
      </c>
      <c r="C25458" t="str">
        <v>-</v>
      </c>
      <c r="D25458" t="str">
        <v>-</v>
      </c>
      <c r="E25458" t="str">
        <v/>
      </c>
      <c r="F25458" t="str">
        <v>-</v>
      </c>
      <c r="G25458" t="str">
        <v>-</v>
      </c>
    </row>
    <row r="25459">
      <c r="B25459" t="str">
        <v>UBND Ủy ban nhân dân xã Đăk Trôi tỉnh Gia Lai</v>
      </c>
      <c r="C25459" t="str">
        <v>-</v>
      </c>
      <c r="D25459" t="str">
        <v>-</v>
      </c>
      <c r="E25459" t="str">
        <v>-</v>
      </c>
      <c r="F25459" t="str">
        <v>-</v>
      </c>
      <c r="G25459" t="str">
        <v>-</v>
      </c>
    </row>
    <row r="25460" xml:space="preserve">
      <c r="B25460" t="str" xml:space="preserve">
        <v xml:space="preserve">Công an xã Đăk Trăm _x000d_
 tỉnh Gia Lai</v>
      </c>
      <c r="C25460" t="str">
        <v>-</v>
      </c>
      <c r="D25460" t="str">
        <v>-</v>
      </c>
      <c r="E25460" t="str">
        <v/>
      </c>
      <c r="F25460" t="str">
        <v>-</v>
      </c>
      <c r="G25460" t="str">
        <v>-</v>
      </c>
    </row>
    <row r="25461" xml:space="preserve">
      <c r="B25461" t="str" xml:space="preserve">
        <v xml:space="preserve">UBND Ủy ban nhân dân xã Đăk Trăm _x000d_
 tỉnh Gia Lai</v>
      </c>
      <c r="C25461" t="str">
        <v>-</v>
      </c>
      <c r="D25461" t="str">
        <v>-</v>
      </c>
      <c r="E25461" t="str">
        <v>-</v>
      </c>
      <c r="F25461" t="str">
        <v>-</v>
      </c>
      <c r="G25461" t="str">
        <v>-</v>
      </c>
    </row>
    <row r="25462" xml:space="preserve">
      <c r="B25462" t="str" xml:space="preserve">
        <v xml:space="preserve">Công an xã Đăng Hà _x000d_
 tỉnh Bình Phước</v>
      </c>
      <c r="C25462" t="str">
        <v>-</v>
      </c>
      <c r="D25462" t="str">
        <v>-</v>
      </c>
      <c r="E25462" t="str">
        <v/>
      </c>
      <c r="F25462" t="str">
        <v>-</v>
      </c>
      <c r="G25462" t="str">
        <v>-</v>
      </c>
    </row>
    <row r="25463" xml:space="preserve">
      <c r="B25463" t="str" xml:space="preserve">
        <v xml:space="preserve">UBND Ủy ban nhân dân xã Đăng Hà _x000d_
 tỉnh Bình Phước</v>
      </c>
      <c r="C25463" t="str">
        <v>-</v>
      </c>
      <c r="D25463" t="str">
        <v>-</v>
      </c>
      <c r="E25463" t="str">
        <v>-</v>
      </c>
      <c r="F25463" t="str">
        <v>-</v>
      </c>
      <c r="G25463" t="str">
        <v>-</v>
      </c>
    </row>
    <row r="25464">
      <c r="B25464" t="str">
        <v>Công an xã Đăng Hưng Phước  tỉnh TIỀN GIANG</v>
      </c>
      <c r="C25464" t="str">
        <v>-</v>
      </c>
      <c r="D25464" t="str">
        <v>-</v>
      </c>
      <c r="E25464" t="str">
        <v/>
      </c>
      <c r="F25464" t="str">
        <v>-</v>
      </c>
      <c r="G25464" t="str">
        <v>-</v>
      </c>
    </row>
    <row r="25465">
      <c r="B25465" t="str">
        <v>UBND Ủy ban nhân dân xã Đăng Hưng Phước  tỉnh TIỀN GIANG</v>
      </c>
      <c r="C25465" t="str">
        <v>-</v>
      </c>
      <c r="D25465" t="str">
        <v>-</v>
      </c>
      <c r="E25465" t="str">
        <v>-</v>
      </c>
      <c r="F25465" t="str">
        <v>-</v>
      </c>
      <c r="G25465" t="str">
        <v>-</v>
      </c>
    </row>
    <row r="25466" xml:space="preserve">
      <c r="B25466" t="str" xml:space="preserve">
        <v xml:space="preserve">Công an xã Đại Đồng _x000d_
 tỉnh Bắc Ninh</v>
      </c>
      <c r="C25466" t="str">
        <v>-</v>
      </c>
      <c r="D25466" t="str">
        <v>-</v>
      </c>
      <c r="E25466" t="str">
        <v/>
      </c>
      <c r="F25466" t="str">
        <v>-</v>
      </c>
      <c r="G25466" t="str">
        <v>-</v>
      </c>
    </row>
    <row r="25467" xml:space="preserve">
      <c r="B25467" t="str" xml:space="preserve">
        <v xml:space="preserve">UBND Ủy ban nhân dân xã Đại Đồng _x000d_
 tỉnh Bắc Ninh</v>
      </c>
      <c r="C25467" t="str">
        <v>-</v>
      </c>
      <c r="D25467" t="str">
        <v>-</v>
      </c>
      <c r="E25467" t="str">
        <v>-</v>
      </c>
      <c r="F25467" t="str">
        <v>-</v>
      </c>
      <c r="G25467" t="str">
        <v>-</v>
      </c>
    </row>
    <row r="25468" xml:space="preserve">
      <c r="B25468" t="str" xml:space="preserve">
        <v xml:space="preserve">Công an xã Đại Đồng _x000d_
 tỉnh Bắc Ninh</v>
      </c>
      <c r="C25468" t="str">
        <v>-</v>
      </c>
      <c r="D25468" t="str">
        <v>-</v>
      </c>
      <c r="E25468" t="str">
        <v/>
      </c>
      <c r="F25468" t="str">
        <v>-</v>
      </c>
      <c r="G25468" t="str">
        <v>-</v>
      </c>
    </row>
    <row r="25469" xml:space="preserve">
      <c r="B25469" t="str" xml:space="preserve">
        <v xml:space="preserve">UBND Ủy ban nhân dân xã Đại Đồng _x000d_
 tỉnh Bắc Ninh</v>
      </c>
      <c r="C25469" t="str">
        <v>-</v>
      </c>
      <c r="D25469" t="str">
        <v>-</v>
      </c>
      <c r="E25469" t="str">
        <v>-</v>
      </c>
      <c r="F25469" t="str">
        <v>-</v>
      </c>
      <c r="G25469" t="str">
        <v>-</v>
      </c>
    </row>
    <row r="25470" xml:space="preserve">
      <c r="B25470" t="str" xml:space="preserve">
        <v xml:space="preserve">Công an xã Đại Đức _x000d_
 tỉnh Hải Dương</v>
      </c>
      <c r="C25470" t="str">
        <v>-</v>
      </c>
      <c r="D25470" t="str">
        <v>-</v>
      </c>
      <c r="E25470" t="str">
        <v/>
      </c>
      <c r="F25470" t="str">
        <v>-</v>
      </c>
      <c r="G25470" t="str">
        <v>-</v>
      </c>
    </row>
    <row r="25471" xml:space="preserve">
      <c r="B25471" t="str" xml:space="preserve">
        <v xml:space="preserve">UBND Ủy ban nhân dân xã Đại Đức _x000d_
 tỉnh Hải Dương</v>
      </c>
      <c r="C25471" t="str">
        <v>-</v>
      </c>
      <c r="D25471" t="str">
        <v>-</v>
      </c>
      <c r="E25471" t="str">
        <v>-</v>
      </c>
      <c r="F25471" t="str">
        <v>-</v>
      </c>
      <c r="G25471" t="str">
        <v>-</v>
      </c>
    </row>
    <row r="25472">
      <c r="B25472" t="str">
        <v>Công an xã Đại Bản thành phố Hải Phòng</v>
      </c>
      <c r="C25472" t="str">
        <v>-</v>
      </c>
      <c r="D25472" t="str">
        <v>-</v>
      </c>
      <c r="E25472" t="str">
        <v/>
      </c>
      <c r="F25472" t="str">
        <v>-</v>
      </c>
      <c r="G25472" t="str">
        <v>-</v>
      </c>
    </row>
    <row r="25473">
      <c r="B25473" t="str">
        <v>UBND Ủy ban nhân dân xã Đại Bản thành phố Hải Phòng</v>
      </c>
      <c r="C25473" t="str">
        <v>-</v>
      </c>
      <c r="D25473" t="str">
        <v>-</v>
      </c>
      <c r="E25473" t="str">
        <v>-</v>
      </c>
      <c r="F25473" t="str">
        <v>-</v>
      </c>
      <c r="G25473" t="str">
        <v>-</v>
      </c>
    </row>
    <row r="25474" xml:space="preserve">
      <c r="B25474" t="str" xml:space="preserve">
        <v xml:space="preserve">Công an xã Đại Hiệp _x000d_
 tỉnh Quảng Nam</v>
      </c>
      <c r="C25474" t="str">
        <v>-</v>
      </c>
      <c r="D25474" t="str">
        <v>-</v>
      </c>
      <c r="E25474" t="str">
        <v/>
      </c>
      <c r="F25474" t="str">
        <v>-</v>
      </c>
      <c r="G25474" t="str">
        <v>-</v>
      </c>
    </row>
    <row r="25475" xml:space="preserve">
      <c r="B25475" t="str" xml:space="preserve">
        <v xml:space="preserve">UBND Ủy ban nhân dân xã Đại Hiệp _x000d_
 tỉnh Quảng Nam</v>
      </c>
      <c r="C25475" t="str">
        <v>-</v>
      </c>
      <c r="D25475" t="str">
        <v>-</v>
      </c>
      <c r="E25475" t="str">
        <v>-</v>
      </c>
      <c r="F25475" t="str">
        <v>-</v>
      </c>
      <c r="G25475" t="str">
        <v>-</v>
      </c>
    </row>
    <row r="25476">
      <c r="B25476" t="str">
        <v>Công an xã Đại Hoá tỉnh Bắc Giang</v>
      </c>
      <c r="C25476" t="str">
        <v>-</v>
      </c>
      <c r="D25476" t="str">
        <v>-</v>
      </c>
      <c r="E25476" t="str">
        <v/>
      </c>
      <c r="F25476" t="str">
        <v>-</v>
      </c>
      <c r="G25476" t="str">
        <v>-</v>
      </c>
    </row>
    <row r="25477">
      <c r="B25477" t="str">
        <v>UBND Ủy ban nhân dân xã Đại Hoá tỉnh Bắc Giang</v>
      </c>
      <c r="C25477" t="str">
        <v>-</v>
      </c>
      <c r="D25477" t="str">
        <v>-</v>
      </c>
      <c r="E25477" t="str">
        <v>-</v>
      </c>
      <c r="F25477" t="str">
        <v>-</v>
      </c>
      <c r="G25477" t="str">
        <v>-</v>
      </c>
    </row>
    <row r="25478" xml:space="preserve">
      <c r="B25478" t="str" xml:space="preserve">
        <v xml:space="preserve">Công an xã Đại Lịch _x000d_
 tỉnh Yên Bái</v>
      </c>
      <c r="C25478" t="str">
        <v>-</v>
      </c>
      <c r="D25478" t="str">
        <v>-</v>
      </c>
      <c r="E25478" t="str">
        <v/>
      </c>
      <c r="F25478" t="str">
        <v>-</v>
      </c>
      <c r="G25478" t="str">
        <v>-</v>
      </c>
    </row>
    <row r="25479" xml:space="preserve">
      <c r="B25479" t="str" xml:space="preserve">
        <v xml:space="preserve">UBND Ủy ban nhân dân xã Đại Lịch _x000d_
 tỉnh Yên Bái</v>
      </c>
      <c r="C25479" t="str">
        <v>-</v>
      </c>
      <c r="D25479" t="str">
        <v>-</v>
      </c>
      <c r="E25479" t="str">
        <v>-</v>
      </c>
      <c r="F25479" t="str">
        <v>-</v>
      </c>
      <c r="G25479" t="str">
        <v>-</v>
      </c>
    </row>
    <row r="25480">
      <c r="B25480" t="str">
        <v>Công an xã Đại Lai  tỉnh Bắc Ninh</v>
      </c>
      <c r="C25480" t="str">
        <v>-</v>
      </c>
      <c r="D25480" t="str">
        <v>-</v>
      </c>
      <c r="E25480" t="str">
        <v/>
      </c>
      <c r="F25480" t="str">
        <v>-</v>
      </c>
      <c r="G25480" t="str">
        <v>-</v>
      </c>
    </row>
    <row r="25481">
      <c r="B25481" t="str">
        <v>UBND Ủy ban nhân dân xã Đại Lai  tỉnh Bắc Ninh</v>
      </c>
      <c r="C25481" t="str">
        <v>-</v>
      </c>
      <c r="D25481" t="str">
        <v>-</v>
      </c>
      <c r="E25481" t="str">
        <v>-</v>
      </c>
      <c r="F25481" t="str">
        <v>-</v>
      </c>
      <c r="G25481" t="str">
        <v>-</v>
      </c>
    </row>
    <row r="25482" xml:space="preserve">
      <c r="B25482" t="str" xml:space="preserve">
        <v xml:space="preserve">Công an xã Đại Phác _x000d_
 tỉnh Yên Bái</v>
      </c>
      <c r="C25482" t="str">
        <v>-</v>
      </c>
      <c r="D25482" t="str">
        <v>-</v>
      </c>
      <c r="E25482" t="str">
        <v/>
      </c>
      <c r="F25482" t="str">
        <v>-</v>
      </c>
      <c r="G25482" t="str">
        <v>-</v>
      </c>
    </row>
    <row r="25483" xml:space="preserve">
      <c r="B25483" t="str" xml:space="preserve">
        <v xml:space="preserve">UBND Ủy ban nhân dân xã Đại Phác _x000d_
 tỉnh Yên Bái</v>
      </c>
      <c r="C25483" t="str">
        <v>-</v>
      </c>
      <c r="D25483" t="str">
        <v>-</v>
      </c>
      <c r="E25483" t="str">
        <v>-</v>
      </c>
      <c r="F25483" t="str">
        <v>-</v>
      </c>
      <c r="G25483" t="str">
        <v>-</v>
      </c>
    </row>
    <row r="25484" xml:space="preserve">
      <c r="B25484" t="str" xml:space="preserve">
        <v xml:space="preserve">Công an xã Đại Phạm _x000d_
 tỉnh Phú Thọ</v>
      </c>
      <c r="C25484" t="str">
        <v>-</v>
      </c>
      <c r="D25484" t="str">
        <v>-</v>
      </c>
      <c r="E25484" t="str">
        <v/>
      </c>
      <c r="F25484" t="str">
        <v>-</v>
      </c>
      <c r="G25484" t="str">
        <v>-</v>
      </c>
    </row>
    <row r="25485" xml:space="preserve">
      <c r="B25485" t="str" xml:space="preserve">
        <v xml:space="preserve">UBND Ủy ban nhân dân xã Đại Phạm _x000d_
 tỉnh Phú Thọ</v>
      </c>
      <c r="C25485" t="str">
        <v>-</v>
      </c>
      <c r="D25485" t="str">
        <v>-</v>
      </c>
      <c r="E25485" t="str">
        <v>-</v>
      </c>
      <c r="F25485" t="str">
        <v>-</v>
      </c>
      <c r="G25485" t="str">
        <v>-</v>
      </c>
    </row>
    <row r="25486">
      <c r="B25486" t="str">
        <v>Công an xã Đại Sơn tỉnh Nghệ An</v>
      </c>
      <c r="C25486" t="str">
        <v>-</v>
      </c>
      <c r="D25486" t="str">
        <v>-</v>
      </c>
      <c r="E25486" t="str">
        <v/>
      </c>
      <c r="F25486" t="str">
        <v>-</v>
      </c>
      <c r="G25486" t="str">
        <v>-</v>
      </c>
    </row>
    <row r="25487">
      <c r="B25487" t="str">
        <v>UBND Ủy ban nhân dân xã Đại Sơn tỉnh Nghệ An</v>
      </c>
      <c r="C25487" t="str">
        <v>-</v>
      </c>
      <c r="D25487" t="str">
        <v>-</v>
      </c>
      <c r="E25487" t="str">
        <v>-</v>
      </c>
      <c r="F25487" t="str">
        <v>-</v>
      </c>
      <c r="G25487" t="str">
        <v>-</v>
      </c>
    </row>
    <row r="25488">
      <c r="B25488" t="str">
        <v>Công an xã Đại Sơn tỉnh Nghệ An</v>
      </c>
      <c r="C25488" t="str">
        <v>-</v>
      </c>
      <c r="D25488" t="str">
        <v>-</v>
      </c>
      <c r="E25488" t="str">
        <v/>
      </c>
      <c r="F25488" t="str">
        <v>-</v>
      </c>
      <c r="G25488" t="str">
        <v>-</v>
      </c>
    </row>
    <row r="25489">
      <c r="B25489" t="str">
        <v>UBND Ủy ban nhân dân xã Đại Sơn tỉnh Nghệ An</v>
      </c>
      <c r="C25489" t="str">
        <v>-</v>
      </c>
      <c r="D25489" t="str">
        <v>-</v>
      </c>
      <c r="E25489" t="str">
        <v>-</v>
      </c>
      <c r="F25489" t="str">
        <v>-</v>
      </c>
      <c r="G25489" t="str">
        <v>-</v>
      </c>
    </row>
    <row r="25490">
      <c r="B25490" t="str">
        <v>Công an xã Đại Sơn tỉnh Nghệ An</v>
      </c>
      <c r="C25490" t="str">
        <v>-</v>
      </c>
      <c r="D25490" t="str">
        <v>-</v>
      </c>
      <c r="E25490" t="str">
        <v/>
      </c>
      <c r="F25490" t="str">
        <v>-</v>
      </c>
      <c r="G25490" t="str">
        <v>-</v>
      </c>
    </row>
    <row r="25491">
      <c r="B25491" t="str">
        <v>UBND Ủy ban nhân dân xã Đại Sơn tỉnh Nghệ An</v>
      </c>
      <c r="C25491" t="str">
        <v>-</v>
      </c>
      <c r="D25491" t="str">
        <v>-</v>
      </c>
      <c r="E25491" t="str">
        <v>-</v>
      </c>
      <c r="F25491" t="str">
        <v>-</v>
      </c>
      <c r="G25491" t="str">
        <v>-</v>
      </c>
    </row>
    <row r="25492" xml:space="preserve">
      <c r="B25492" t="str" xml:space="preserve">
        <v xml:space="preserve">Công an xã Đại Sơn _x000d_
 tỉnh Nghệ An</v>
      </c>
      <c r="C25492" t="str">
        <v>-</v>
      </c>
      <c r="D25492" t="str">
        <v>-</v>
      </c>
      <c r="E25492" t="str">
        <v/>
      </c>
      <c r="F25492" t="str">
        <v>-</v>
      </c>
      <c r="G25492" t="str">
        <v>-</v>
      </c>
    </row>
    <row r="25493" xml:space="preserve">
      <c r="B25493" t="str" xml:space="preserve">
        <v xml:space="preserve">UBND Ủy ban nhân dân xã Đại Sơn _x000d_
 tỉnh Nghệ An</v>
      </c>
      <c r="C25493" t="str">
        <v>-</v>
      </c>
      <c r="D25493" t="str">
        <v>-</v>
      </c>
      <c r="E25493" t="str">
        <v>-</v>
      </c>
      <c r="F25493" t="str">
        <v>-</v>
      </c>
      <c r="G25493" t="str">
        <v>-</v>
      </c>
    </row>
    <row r="25494">
      <c r="B25494" t="str">
        <v>Công an xã Đại Tập tỉnh Hưng Yên</v>
      </c>
      <c r="C25494" t="str">
        <v>-</v>
      </c>
      <c r="D25494" t="str">
        <v>-</v>
      </c>
      <c r="E25494" t="str">
        <v/>
      </c>
      <c r="F25494" t="str">
        <v>-</v>
      </c>
      <c r="G25494" t="str">
        <v>-</v>
      </c>
    </row>
    <row r="25495">
      <c r="B25495" t="str">
        <v>UBND Ủy ban nhân dân xã Đại Tập tỉnh Hưng Yên</v>
      </c>
      <c r="C25495" t="str">
        <v>-</v>
      </c>
      <c r="D25495" t="str">
        <v>-</v>
      </c>
      <c r="E25495" t="str">
        <v>-</v>
      </c>
      <c r="F25495" t="str">
        <v>-</v>
      </c>
      <c r="G25495" t="str">
        <v>-</v>
      </c>
    </row>
    <row r="25496">
      <c r="B25496" t="str">
        <v>Công an xã Đại Thành tỉnh Bắc Giang</v>
      </c>
      <c r="C25496" t="str">
        <v>-</v>
      </c>
      <c r="D25496" t="str">
        <v>-</v>
      </c>
      <c r="E25496" t="str">
        <v/>
      </c>
      <c r="F25496" t="str">
        <v>-</v>
      </c>
      <c r="G25496" t="str">
        <v>-</v>
      </c>
    </row>
    <row r="25497">
      <c r="B25497" t="str">
        <v>UBND Ủy ban nhân dân xã Đại Thành tỉnh Bắc Giang</v>
      </c>
      <c r="C25497" t="str">
        <v>-</v>
      </c>
      <c r="D25497" t="str">
        <v>-</v>
      </c>
      <c r="E25497" t="str">
        <v>-</v>
      </c>
      <c r="F25497" t="str">
        <v>-</v>
      </c>
      <c r="G25497" t="str">
        <v>-</v>
      </c>
    </row>
    <row r="25498" xml:space="preserve">
      <c r="B25498" t="str" xml:space="preserve">
        <v xml:space="preserve">Công an phường Đại Xuân _x000d_
 tỉnh Bắc Ninh</v>
      </c>
      <c r="C25498" t="str">
        <v>-</v>
      </c>
      <c r="D25498" t="str">
        <v>-</v>
      </c>
      <c r="E25498" t="str">
        <v/>
      </c>
      <c r="F25498" t="str">
        <v>-</v>
      </c>
      <c r="G25498" t="str">
        <v>-</v>
      </c>
    </row>
    <row r="25499" xml:space="preserve">
      <c r="B25499" t="str" xml:space="preserve">
        <v xml:space="preserve">UBND Ủy ban nhân dân phường Đại Xuân _x000d_
 tỉnh Bắc Ninh</v>
      </c>
      <c r="C25499" t="str">
        <v>-</v>
      </c>
      <c r="D25499" t="str">
        <v>-</v>
      </c>
      <c r="E25499" t="str">
        <v>-</v>
      </c>
      <c r="F25499" t="str">
        <v>-</v>
      </c>
      <c r="G25499" t="str">
        <v>-</v>
      </c>
    </row>
    <row r="25500">
      <c r="B25500" t="str">
        <v>Công an xã Đạ K'Nàng tỉnh Lâm Đồng</v>
      </c>
      <c r="C25500" t="str">
        <v>-</v>
      </c>
      <c r="D25500" t="str">
        <v>-</v>
      </c>
      <c r="E25500" t="str">
        <v/>
      </c>
      <c r="F25500" t="str">
        <v>-</v>
      </c>
      <c r="G25500" t="str">
        <v>-</v>
      </c>
    </row>
    <row r="25501">
      <c r="B25501" t="str">
        <v>UBND Ủy ban nhân dân xã Đạ K'Nàng tỉnh Lâm Đồng</v>
      </c>
      <c r="C25501" t="str">
        <v>-</v>
      </c>
      <c r="D25501" t="str">
        <v>-</v>
      </c>
      <c r="E25501" t="str">
        <v>-</v>
      </c>
      <c r="F25501" t="str">
        <v>-</v>
      </c>
      <c r="G25501" t="str">
        <v>-</v>
      </c>
    </row>
    <row r="25502">
      <c r="B25502" t="str">
        <v>Công an xã Đạo Viện tỉnh Tuyên Quang</v>
      </c>
      <c r="C25502" t="str">
        <v>-</v>
      </c>
      <c r="D25502" t="str">
        <v>-</v>
      </c>
      <c r="E25502" t="str">
        <v/>
      </c>
      <c r="F25502" t="str">
        <v>-</v>
      </c>
      <c r="G25502" t="str">
        <v>-</v>
      </c>
    </row>
    <row r="25503">
      <c r="B25503" t="str">
        <v>UBND Ủy ban nhân dân xã Đạo Viện tỉnh Tuyên Quang</v>
      </c>
      <c r="C25503" t="str">
        <v>-</v>
      </c>
      <c r="D25503" t="str">
        <v>-</v>
      </c>
      <c r="E25503" t="str">
        <v>-</v>
      </c>
      <c r="F25503" t="str">
        <v>-</v>
      </c>
      <c r="G25503" t="str">
        <v>-</v>
      </c>
    </row>
    <row r="25504">
      <c r="B25504" t="str">
        <v>Công an xã Đặng Lễ tỉnh Hưng Yên</v>
      </c>
      <c r="C25504" t="str">
        <v>-</v>
      </c>
      <c r="D25504" t="str">
        <v>-</v>
      </c>
      <c r="E25504" t="str">
        <v/>
      </c>
      <c r="F25504" t="str">
        <v>-</v>
      </c>
      <c r="G25504" t="str">
        <v>-</v>
      </c>
    </row>
    <row r="25505">
      <c r="B25505" t="str">
        <v>UBND Ủy ban nhân dân xã Đặng Lễ tỉnh Hưng Yên</v>
      </c>
      <c r="C25505" t="str">
        <v>-</v>
      </c>
      <c r="D25505" t="str">
        <v>-</v>
      </c>
      <c r="E25505" t="str">
        <v>-</v>
      </c>
      <c r="F25505" t="str">
        <v>-</v>
      </c>
      <c r="G25505" t="str">
        <v>-</v>
      </c>
    </row>
    <row r="25506">
      <c r="B25506" t="str">
        <v>Công an xã Định Bình tỉnh Thanh Hóa</v>
      </c>
      <c r="C25506" t="str">
        <v>-</v>
      </c>
      <c r="D25506" t="str">
        <v>-</v>
      </c>
      <c r="E25506" t="str">
        <v/>
      </c>
      <c r="F25506" t="str">
        <v>-</v>
      </c>
      <c r="G25506" t="str">
        <v>-</v>
      </c>
    </row>
    <row r="25507">
      <c r="B25507" t="str">
        <v>UBND Ủy ban nhân dân xã Định Bình tỉnh Thanh Hóa</v>
      </c>
      <c r="C25507" t="str">
        <v>-</v>
      </c>
      <c r="D25507" t="str">
        <v>-</v>
      </c>
      <c r="E25507" t="str">
        <v>-</v>
      </c>
      <c r="F25507" t="str">
        <v>-</v>
      </c>
      <c r="G25507" t="str">
        <v>-</v>
      </c>
    </row>
    <row r="25508" xml:space="preserve">
      <c r="B25508" t="str" xml:space="preserve">
        <v xml:space="preserve">Công an xã Định Cư _x000d_
 tỉnh Hòa Bình</v>
      </c>
      <c r="C25508" t="str">
        <v>-</v>
      </c>
      <c r="D25508" t="str">
        <v>-</v>
      </c>
      <c r="E25508" t="str">
        <v/>
      </c>
      <c r="F25508" t="str">
        <v>-</v>
      </c>
      <c r="G25508" t="str">
        <v>-</v>
      </c>
    </row>
    <row r="25509" xml:space="preserve">
      <c r="B25509" t="str" xml:space="preserve">
        <v xml:space="preserve">UBND Ủy ban nhân dân xã Định Cư _x000d_
 tỉnh Hòa Bình</v>
      </c>
      <c r="C25509" t="str">
        <v>-</v>
      </c>
      <c r="D25509" t="str">
        <v>-</v>
      </c>
      <c r="E25509" t="str">
        <v>-</v>
      </c>
      <c r="F25509" t="str">
        <v>-</v>
      </c>
      <c r="G25509" t="str">
        <v>-</v>
      </c>
    </row>
    <row r="25510">
      <c r="B25510" t="str">
        <v>Công an xã Định Hưng tỉnh Thanh Hóa</v>
      </c>
      <c r="C25510" t="str">
        <v>-</v>
      </c>
      <c r="D25510" t="str">
        <v>-</v>
      </c>
      <c r="E25510" t="str">
        <v/>
      </c>
      <c r="F25510" t="str">
        <v>-</v>
      </c>
      <c r="G25510" t="str">
        <v>-</v>
      </c>
    </row>
    <row r="25511">
      <c r="B25511" t="str">
        <v>UBND Ủy ban nhân dân xã Định Hưng tỉnh Thanh Hóa</v>
      </c>
      <c r="C25511" t="str">
        <v>-</v>
      </c>
      <c r="D25511" t="str">
        <v>-</v>
      </c>
      <c r="E25511" t="str">
        <v>-</v>
      </c>
      <c r="F25511" t="str">
        <v>-</v>
      </c>
      <c r="G25511" t="str">
        <v>-</v>
      </c>
    </row>
    <row r="25512" xml:space="preserve">
      <c r="B25512" t="str" xml:space="preserve">
        <v xml:space="preserve">Công an xã Định Hoà _x000d_
 tỉnh Thanh Hóa</v>
      </c>
      <c r="C25512" t="str">
        <v>-</v>
      </c>
      <c r="D25512" t="str">
        <v>-</v>
      </c>
      <c r="E25512" t="str">
        <v/>
      </c>
      <c r="F25512" t="str">
        <v>-</v>
      </c>
      <c r="G25512" t="str">
        <v>-</v>
      </c>
    </row>
    <row r="25513" xml:space="preserve">
      <c r="B25513" t="str" xml:space="preserve">
        <v xml:space="preserve">UBND Ủy ban nhân dân xã Định Hoà _x000d_
 tỉnh Thanh Hóa</v>
      </c>
      <c r="C25513" t="str">
        <v>-</v>
      </c>
      <c r="D25513" t="str">
        <v>-</v>
      </c>
      <c r="E25513" t="str">
        <v>-</v>
      </c>
      <c r="F25513" t="str">
        <v>-</v>
      </c>
      <c r="G25513" t="str">
        <v>-</v>
      </c>
    </row>
    <row r="25514">
      <c r="B25514" t="str">
        <v>Công an xã Định Liên  tỉnh Thanh Hóa</v>
      </c>
      <c r="C25514" t="str">
        <v>-</v>
      </c>
      <c r="D25514" t="str">
        <v>-</v>
      </c>
      <c r="E25514" t="str">
        <v/>
      </c>
      <c r="F25514" t="str">
        <v>-</v>
      </c>
      <c r="G25514" t="str">
        <v>-</v>
      </c>
    </row>
    <row r="25515">
      <c r="B25515" t="str">
        <v>UBND Ủy ban nhân dân xã Định Liên  tỉnh Thanh Hóa</v>
      </c>
      <c r="C25515" t="str">
        <v>-</v>
      </c>
      <c r="D25515" t="str">
        <v>-</v>
      </c>
      <c r="E25515" t="str">
        <v>-</v>
      </c>
      <c r="F25515" t="str">
        <v>-</v>
      </c>
      <c r="G25515" t="str">
        <v>-</v>
      </c>
    </row>
    <row r="25516">
      <c r="B25516" t="str">
        <v>Công an xã Định Long tỉnh Thanh Hóa</v>
      </c>
      <c r="C25516" t="str">
        <v>-</v>
      </c>
      <c r="D25516" t="str">
        <v>-</v>
      </c>
      <c r="E25516" t="str">
        <v/>
      </c>
      <c r="F25516" t="str">
        <v>-</v>
      </c>
      <c r="G25516" t="str">
        <v>-</v>
      </c>
    </row>
    <row r="25517">
      <c r="B25517" t="str">
        <v>UBND Ủy ban nhân dân xã Định Long tỉnh Thanh Hóa</v>
      </c>
      <c r="C25517" t="str">
        <v>-</v>
      </c>
      <c r="D25517" t="str">
        <v>-</v>
      </c>
      <c r="E25517" t="str">
        <v>-</v>
      </c>
      <c r="F25517" t="str">
        <v>-</v>
      </c>
      <c r="G25517" t="str">
        <v>-</v>
      </c>
    </row>
    <row r="25518" xml:space="preserve">
      <c r="B25518" t="str" xml:space="preserve">
        <v xml:space="preserve">Công an xã Định Tân _x000d_
 tỉnh Thanh Hóa</v>
      </c>
      <c r="C25518" t="str">
        <v>-</v>
      </c>
      <c r="D25518" t="str">
        <v>-</v>
      </c>
      <c r="E25518" t="str">
        <v/>
      </c>
      <c r="F25518" t="str">
        <v>-</v>
      </c>
      <c r="G25518" t="str">
        <v>-</v>
      </c>
    </row>
    <row r="25519" xml:space="preserve">
      <c r="B25519" t="str" xml:space="preserve">
        <v xml:space="preserve">UBND Ủy ban nhân dân xã Định Tân _x000d_
 tỉnh Thanh Hóa</v>
      </c>
      <c r="C25519" t="str">
        <v>-</v>
      </c>
      <c r="D25519" t="str">
        <v>-</v>
      </c>
      <c r="E25519" t="str">
        <v>-</v>
      </c>
      <c r="F25519" t="str">
        <v>-</v>
      </c>
      <c r="G25519" t="str">
        <v>-</v>
      </c>
    </row>
    <row r="25520" xml:space="preserve">
      <c r="B25520" t="str" xml:space="preserve">
        <v xml:space="preserve">Công an xã Định Tăng _x000d_
 tỉnh Thanh Hóa</v>
      </c>
      <c r="C25520" t="str">
        <v>-</v>
      </c>
      <c r="D25520" t="str">
        <v>-</v>
      </c>
      <c r="E25520" t="str">
        <v/>
      </c>
      <c r="F25520" t="str">
        <v>-</v>
      </c>
      <c r="G25520" t="str">
        <v>-</v>
      </c>
    </row>
    <row r="25521" xml:space="preserve">
      <c r="B25521" t="str" xml:space="preserve">
        <v xml:space="preserve">UBND Ủy ban nhân dân xã Định Tăng _x000d_
 tỉnh Thanh Hóa</v>
      </c>
      <c r="C25521" t="str">
        <v>-</v>
      </c>
      <c r="D25521" t="str">
        <v>-</v>
      </c>
      <c r="E25521" t="str">
        <v>-</v>
      </c>
      <c r="F25521" t="str">
        <v>-</v>
      </c>
      <c r="G25521" t="str">
        <v>-</v>
      </c>
    </row>
    <row r="25522" xml:space="preserve">
      <c r="B25522" t="str" xml:space="preserve">
        <v xml:space="preserve">Công an xã Định Thành _x000d_
 tỉnh Thanh Hóa</v>
      </c>
      <c r="C25522" t="str">
        <v>-</v>
      </c>
      <c r="D25522" t="str">
        <v>-</v>
      </c>
      <c r="E25522" t="str">
        <v/>
      </c>
      <c r="F25522" t="str">
        <v>-</v>
      </c>
      <c r="G25522" t="str">
        <v>-</v>
      </c>
    </row>
    <row r="25523" xml:space="preserve">
      <c r="B25523" t="str" xml:space="preserve">
        <v xml:space="preserve">UBND Ủy ban nhân dân xã Định Thành _x000d_
 tỉnh Thanh Hóa</v>
      </c>
      <c r="C25523" t="str">
        <v>-</v>
      </c>
      <c r="D25523" t="str">
        <v>-</v>
      </c>
      <c r="E25523" t="str">
        <v>-</v>
      </c>
      <c r="F25523" t="str">
        <v>-</v>
      </c>
      <c r="G25523" t="str">
        <v>-</v>
      </c>
    </row>
    <row r="25524" xml:space="preserve">
      <c r="B25524" t="str" xml:space="preserve">
        <v xml:space="preserve">Công an xã Định Trung _x000d_
 tỉnh Thanh Hóa</v>
      </c>
      <c r="C25524" t="str">
        <v>-</v>
      </c>
      <c r="D25524" t="str">
        <v>-</v>
      </c>
      <c r="E25524" t="str">
        <v/>
      </c>
      <c r="F25524" t="str">
        <v>-</v>
      </c>
      <c r="G25524" t="str">
        <v>-</v>
      </c>
    </row>
    <row r="25525" xml:space="preserve">
      <c r="B25525" t="str" xml:space="preserve">
        <v xml:space="preserve">UBND Ủy ban nhân dân xã Định Trung _x000d_
 tỉnh Thanh Hóa</v>
      </c>
      <c r="C25525" t="str">
        <v>-</v>
      </c>
      <c r="D25525" t="str">
        <v>-</v>
      </c>
      <c r="E25525" t="str">
        <v>-</v>
      </c>
      <c r="F25525" t="str">
        <v>-</v>
      </c>
      <c r="G25525" t="str">
        <v>-</v>
      </c>
    </row>
    <row r="25526" xml:space="preserve">
      <c r="B25526" t="str" xml:space="preserve">
        <v xml:space="preserve">Công an xã Đồng Phú_x000d_
 tỉnh Vĩnh Long</v>
      </c>
      <c r="C25526" t="str">
        <v>-</v>
      </c>
      <c r="D25526" t="str">
        <v>-</v>
      </c>
      <c r="E25526" t="str">
        <v/>
      </c>
      <c r="F25526" t="str">
        <v>-</v>
      </c>
      <c r="G25526" t="str">
        <v>-</v>
      </c>
    </row>
    <row r="25527" xml:space="preserve">
      <c r="B25527" t="str" xml:space="preserve">
        <v xml:space="preserve">UBND Ủy ban nhân dân xã Đồng Phú_x000d_
 tỉnh Vĩnh Long</v>
      </c>
      <c r="C25527" t="str">
        <v>-</v>
      </c>
      <c r="D25527" t="str">
        <v>-</v>
      </c>
      <c r="E25527" t="str">
        <v>-</v>
      </c>
      <c r="F25527" t="str">
        <v>-</v>
      </c>
      <c r="G25527" t="str">
        <v>-</v>
      </c>
    </row>
    <row r="25528" xml:space="preserve">
      <c r="B25528" t="str" xml:space="preserve">
        <v xml:space="preserve">Công an xã Đồng Hướng _x000d_
 tỉnh Ninh Bình</v>
      </c>
      <c r="C25528" t="str">
        <v>-</v>
      </c>
      <c r="D25528" t="str">
        <v>-</v>
      </c>
      <c r="E25528" t="str">
        <v/>
      </c>
      <c r="F25528" t="str">
        <v>-</v>
      </c>
      <c r="G25528" t="str">
        <v>-</v>
      </c>
    </row>
    <row r="25529" xml:space="preserve">
      <c r="B25529" t="str" xml:space="preserve">
        <v xml:space="preserve">UBND Ủy ban nhân dân xã Đồng Hướng _x000d_
 tỉnh Ninh Bình</v>
      </c>
      <c r="C25529" t="str">
        <v>-</v>
      </c>
      <c r="D25529" t="str">
        <v>-</v>
      </c>
      <c r="E25529" t="str">
        <v>-</v>
      </c>
      <c r="F25529" t="str">
        <v>-</v>
      </c>
      <c r="G25529" t="str">
        <v>-</v>
      </c>
    </row>
    <row r="25530">
      <c r="B25530" t="str">
        <v>Công an xã Đồng Kỳ tỉnh Bắc Giang</v>
      </c>
      <c r="C25530" t="str">
        <v>-</v>
      </c>
      <c r="D25530" t="str">
        <v>-</v>
      </c>
      <c r="E25530" t="str">
        <v/>
      </c>
      <c r="F25530" t="str">
        <v>-</v>
      </c>
      <c r="G25530" t="str">
        <v>-</v>
      </c>
    </row>
    <row r="25531">
      <c r="B25531" t="str">
        <v>UBND Ủy ban nhân dân xã Đồng Kỳ tỉnh Bắc Giang</v>
      </c>
      <c r="C25531" t="str">
        <v>-</v>
      </c>
      <c r="D25531" t="str">
        <v>-</v>
      </c>
      <c r="E25531" t="str">
        <v>-</v>
      </c>
      <c r="F25531" t="str">
        <v>-</v>
      </c>
      <c r="G25531" t="str">
        <v>-</v>
      </c>
    </row>
    <row r="25532" xml:space="preserve">
      <c r="B25532" t="str" xml:space="preserve">
        <v xml:space="preserve">Công an xã Đồng Khê _x000d_
 tỉnh Yên Bái</v>
      </c>
      <c r="C25532" t="str">
        <v>-</v>
      </c>
      <c r="D25532" t="str">
        <v>-</v>
      </c>
      <c r="E25532" t="str">
        <v/>
      </c>
      <c r="F25532" t="str">
        <v>-</v>
      </c>
      <c r="G25532" t="str">
        <v>-</v>
      </c>
    </row>
    <row r="25533" xml:space="preserve">
      <c r="B25533" t="str" xml:space="preserve">
        <v xml:space="preserve">UBND Ủy ban nhân dân xã Đồng Khê _x000d_
 tỉnh Yên Bái</v>
      </c>
      <c r="C25533" t="str">
        <v>-</v>
      </c>
      <c r="D25533" t="str">
        <v>-</v>
      </c>
      <c r="E25533" t="str">
        <v>-</v>
      </c>
      <c r="F25533" t="str">
        <v>-</v>
      </c>
      <c r="G25533" t="str">
        <v>-</v>
      </c>
    </row>
    <row r="25534">
      <c r="B25534" t="str">
        <v>Công an xã Đồng Lạc tỉnh Bắc Kạn</v>
      </c>
      <c r="C25534" t="str">
        <v>-</v>
      </c>
      <c r="D25534" t="str">
        <v>-</v>
      </c>
      <c r="E25534" t="str">
        <v/>
      </c>
      <c r="F25534" t="str">
        <v>-</v>
      </c>
      <c r="G25534" t="str">
        <v>-</v>
      </c>
    </row>
    <row r="25535">
      <c r="B25535" t="str">
        <v>UBND Ủy ban nhân dân xã Đồng Lạc tỉnh Bắc Kạn</v>
      </c>
      <c r="C25535" t="str">
        <v>-</v>
      </c>
      <c r="D25535" t="str">
        <v>-</v>
      </c>
      <c r="E25535" t="str">
        <v>-</v>
      </c>
      <c r="F25535" t="str">
        <v>-</v>
      </c>
      <c r="G25535" t="str">
        <v>-</v>
      </c>
    </row>
    <row r="25536">
      <c r="B25536" t="str">
        <v>Công an xã Đồng Lợi  tỉnh Thanh Hóa</v>
      </c>
      <c r="C25536" t="str">
        <v>-</v>
      </c>
      <c r="D25536" t="str">
        <v>-</v>
      </c>
      <c r="E25536" t="str">
        <v/>
      </c>
      <c r="F25536" t="str">
        <v>-</v>
      </c>
      <c r="G25536" t="str">
        <v>-</v>
      </c>
    </row>
    <row r="25537">
      <c r="B25537" t="str">
        <v>UBND Ủy ban nhân dân xã Đồng Lợi  tỉnh Thanh Hóa</v>
      </c>
      <c r="C25537" t="str">
        <v>-</v>
      </c>
      <c r="D25537" t="str">
        <v>-</v>
      </c>
      <c r="E25537" t="str">
        <v>-</v>
      </c>
      <c r="F25537" t="str">
        <v>-</v>
      </c>
      <c r="G25537" t="str">
        <v>-</v>
      </c>
    </row>
    <row r="25538">
      <c r="B25538" t="str">
        <v>Công an xã Đồng Môn tỉnh Hà Tĩnh</v>
      </c>
      <c r="C25538" t="str">
        <v>-</v>
      </c>
      <c r="D25538" t="str">
        <v>-</v>
      </c>
      <c r="E25538" t="str">
        <v/>
      </c>
      <c r="F25538" t="str">
        <v>-</v>
      </c>
      <c r="G25538" t="str">
        <v>-</v>
      </c>
    </row>
    <row r="25539">
      <c r="B25539" t="str">
        <v>UBND Ủy ban nhân dân xã Đồng Môn tỉnh Hà Tĩnh</v>
      </c>
      <c r="C25539" t="str">
        <v>-</v>
      </c>
      <c r="D25539" t="str">
        <v>-</v>
      </c>
      <c r="E25539" t="str">
        <v>-</v>
      </c>
      <c r="F25539" t="str">
        <v>-</v>
      </c>
      <c r="G25539" t="str">
        <v>-</v>
      </c>
    </row>
    <row r="25540" xml:space="preserve">
      <c r="B25540" t="str" xml:space="preserve">
        <v xml:space="preserve">Công an xã Đồng Nơ _x000d_
 tỉnh Hòa Bình</v>
      </c>
      <c r="C25540" t="str">
        <v>-</v>
      </c>
      <c r="D25540" t="str">
        <v>-</v>
      </c>
      <c r="E25540" t="str">
        <v/>
      </c>
      <c r="F25540" t="str">
        <v>-</v>
      </c>
      <c r="G25540" t="str">
        <v>-</v>
      </c>
    </row>
    <row r="25541" xml:space="preserve">
      <c r="B25541" t="str" xml:space="preserve">
        <v xml:space="preserve">UBND Ủy ban nhân dân xã Đồng Nơ _x000d_
 tỉnh Hòa Bình</v>
      </c>
      <c r="C25541" t="str">
        <v>-</v>
      </c>
      <c r="D25541" t="str">
        <v>-</v>
      </c>
      <c r="E25541" t="str">
        <v>-</v>
      </c>
      <c r="F25541" t="str">
        <v>-</v>
      </c>
      <c r="G25541" t="str">
        <v>-</v>
      </c>
    </row>
    <row r="25542" xml:space="preserve">
      <c r="B25542" t="str" xml:space="preserve">
        <v xml:space="preserve">Công an xã Đồng Ruộng _x000d_
 tỉnh Hòa Bình</v>
      </c>
      <c r="C25542" t="str">
        <v>-</v>
      </c>
      <c r="D25542" t="str">
        <v>-</v>
      </c>
      <c r="E25542" t="str">
        <v/>
      </c>
      <c r="F25542" t="str">
        <v>-</v>
      </c>
      <c r="G25542" t="str">
        <v>-</v>
      </c>
    </row>
    <row r="25543" xml:space="preserve">
      <c r="B25543" t="str" xml:space="preserve">
        <v xml:space="preserve">UBND Ủy ban nhân dân xã Đồng Ruộng _x000d_
 tỉnh Hòa Bình</v>
      </c>
      <c r="C25543" t="str">
        <v>-</v>
      </c>
      <c r="D25543" t="str">
        <v>-</v>
      </c>
      <c r="E25543" t="str">
        <v>-</v>
      </c>
      <c r="F25543" t="str">
        <v>-</v>
      </c>
      <c r="G25543" t="str">
        <v>-</v>
      </c>
    </row>
    <row r="25544">
      <c r="B25544" t="str">
        <v>Công an xã Đồng Sơn tỉnh Phú Thọ</v>
      </c>
      <c r="C25544" t="str">
        <v>-</v>
      </c>
      <c r="D25544" t="str">
        <v>-</v>
      </c>
      <c r="E25544" t="str">
        <v/>
      </c>
      <c r="F25544" t="str">
        <v>-</v>
      </c>
      <c r="G25544" t="str">
        <v>-</v>
      </c>
    </row>
    <row r="25545">
      <c r="B25545" t="str">
        <v>UBND Ủy ban nhân dân xã Đồng Sơn tỉnh Phú Thọ</v>
      </c>
      <c r="C25545" t="str">
        <v>-</v>
      </c>
      <c r="D25545" t="str">
        <v>-</v>
      </c>
      <c r="E25545" t="str">
        <v>-</v>
      </c>
      <c r="F25545" t="str">
        <v>-</v>
      </c>
      <c r="G25545" t="str">
        <v>-</v>
      </c>
    </row>
    <row r="25546">
      <c r="B25546" t="str">
        <v>Công an xã Đồng Tâm tỉnh Hải Dương</v>
      </c>
      <c r="C25546" t="str">
        <v>-</v>
      </c>
      <c r="D25546" t="str">
        <v>-</v>
      </c>
      <c r="E25546" t="str">
        <v/>
      </c>
      <c r="F25546" t="str">
        <v>-</v>
      </c>
      <c r="G25546" t="str">
        <v>-</v>
      </c>
    </row>
    <row r="25547">
      <c r="B25547" t="str">
        <v>UBND Ủy ban nhân dân xã Đồng Tâm tỉnh Hải Dương</v>
      </c>
      <c r="C25547" t="str">
        <v>-</v>
      </c>
      <c r="D25547" t="str">
        <v>-</v>
      </c>
      <c r="E25547" t="str">
        <v>-</v>
      </c>
      <c r="F25547" t="str">
        <v>-</v>
      </c>
      <c r="G25547" t="str">
        <v>-</v>
      </c>
    </row>
    <row r="25548">
      <c r="B25548" t="str">
        <v>Công an xã Đồng Thịnh tỉnh Thái Nguyên</v>
      </c>
      <c r="C25548" t="str">
        <v>-</v>
      </c>
      <c r="D25548" t="str">
        <v>-</v>
      </c>
      <c r="E25548" t="str">
        <v/>
      </c>
      <c r="F25548" t="str">
        <v>-</v>
      </c>
      <c r="G25548" t="str">
        <v>-</v>
      </c>
    </row>
    <row r="25549">
      <c r="B25549" t="str">
        <v>UBND Ủy ban nhân dân xã Đồng Thịnh tỉnh Thái Nguyên</v>
      </c>
      <c r="C25549" t="str">
        <v>-</v>
      </c>
      <c r="D25549" t="str">
        <v>-</v>
      </c>
      <c r="E25549" t="str">
        <v>-</v>
      </c>
      <c r="F25549" t="str">
        <v>-</v>
      </c>
      <c r="G25549" t="str">
        <v>-</v>
      </c>
    </row>
    <row r="25550">
      <c r="B25550" t="str">
        <v>Công an xã Đồng Văn tỉnh Nghệ An</v>
      </c>
      <c r="C25550" t="str">
        <v>-</v>
      </c>
      <c r="D25550" t="str">
        <v>-</v>
      </c>
      <c r="E25550" t="str">
        <v/>
      </c>
      <c r="F25550" t="str">
        <v>-</v>
      </c>
      <c r="G25550" t="str">
        <v>-</v>
      </c>
    </row>
    <row r="25551">
      <c r="B25551" t="str">
        <v>UBND Ủy ban nhân dân xã Đồng Văn tỉnh Nghệ An</v>
      </c>
      <c r="C25551" t="str">
        <v>-</v>
      </c>
      <c r="D25551" t="str">
        <v>-</v>
      </c>
      <c r="E25551" t="str">
        <v>-</v>
      </c>
      <c r="F25551" t="str">
        <v>-</v>
      </c>
      <c r="G25551" t="str">
        <v>-</v>
      </c>
    </row>
    <row r="25552">
      <c r="B25552" t="str">
        <v>Công an xã Đồng Văn tỉnh Nghệ An</v>
      </c>
      <c r="C25552" t="str">
        <v>-</v>
      </c>
      <c r="D25552" t="str">
        <v>-</v>
      </c>
      <c r="E25552" t="str">
        <v/>
      </c>
      <c r="F25552" t="str">
        <v>-</v>
      </c>
      <c r="G25552" t="str">
        <v>-</v>
      </c>
    </row>
    <row r="25553">
      <c r="B25553" t="str">
        <v>UBND Ủy ban nhân dân xã Đồng Văn tỉnh Nghệ An</v>
      </c>
      <c r="C25553" t="str">
        <v>-</v>
      </c>
      <c r="D25553" t="str">
        <v>-</v>
      </c>
      <c r="E25553" t="str">
        <v>-</v>
      </c>
      <c r="F25553" t="str">
        <v>-</v>
      </c>
      <c r="G25553" t="str">
        <v>-</v>
      </c>
    </row>
    <row r="25554">
      <c r="B25554" t="str">
        <v>Công an xã Đồng Vương  tỉnh Bắc Giang</v>
      </c>
      <c r="C25554" t="str">
        <v>-</v>
      </c>
      <c r="D25554" t="str">
        <v>-</v>
      </c>
      <c r="E25554" t="str">
        <v/>
      </c>
      <c r="F25554" t="str">
        <v>-</v>
      </c>
      <c r="G25554" t="str">
        <v>-</v>
      </c>
    </row>
    <row r="25555">
      <c r="B25555" t="str">
        <v>UBND Ủy ban nhân dân xã Đồng Vương  tỉnh Bắc Giang</v>
      </c>
      <c r="C25555" t="str">
        <v>-</v>
      </c>
      <c r="D25555" t="str">
        <v>-</v>
      </c>
      <c r="E25555" t="str">
        <v>-</v>
      </c>
      <c r="F25555" t="str">
        <v>-</v>
      </c>
      <c r="G25555" t="str">
        <v>-</v>
      </c>
    </row>
    <row r="25556">
      <c r="B25556" t="str">
        <v>Công an xã Đỗ Sơn tỉnh Phú Thọ</v>
      </c>
      <c r="C25556" t="str">
        <v>-</v>
      </c>
      <c r="D25556" t="str">
        <v>-</v>
      </c>
      <c r="E25556" t="str">
        <v/>
      </c>
      <c r="F25556" t="str">
        <v>-</v>
      </c>
      <c r="G25556" t="str">
        <v>-</v>
      </c>
    </row>
    <row r="25557">
      <c r="B25557" t="str">
        <v>UBND Ủy ban nhân dân xã Đỗ Sơn tỉnh Phú Thọ</v>
      </c>
      <c r="C25557" t="str">
        <v>-</v>
      </c>
      <c r="D25557" t="str">
        <v>-</v>
      </c>
      <c r="E25557" t="str">
        <v>-</v>
      </c>
      <c r="F25557" t="str">
        <v>-</v>
      </c>
      <c r="G25557" t="str">
        <v>-</v>
      </c>
    </row>
    <row r="25558">
      <c r="B25558" t="str">
        <v>Công an xã Đỗ Xuyên tỉnh Phú Thọ</v>
      </c>
      <c r="C25558" t="str">
        <v>-</v>
      </c>
      <c r="D25558" t="str">
        <v>-</v>
      </c>
      <c r="E25558" t="str">
        <v/>
      </c>
      <c r="F25558" t="str">
        <v>-</v>
      </c>
      <c r="G25558" t="str">
        <v>-</v>
      </c>
    </row>
    <row r="25559">
      <c r="B25559" t="str">
        <v>UBND Ủy ban nhân dân xã Đỗ Xuyên tỉnh Phú Thọ</v>
      </c>
      <c r="C25559" t="str">
        <v>-</v>
      </c>
      <c r="D25559" t="str">
        <v>-</v>
      </c>
      <c r="E25559" t="str">
        <v>-</v>
      </c>
      <c r="F25559" t="str">
        <v>-</v>
      </c>
      <c r="G25559" t="str">
        <v>-</v>
      </c>
    </row>
    <row r="25560">
      <c r="B25560" t="str">
        <v>Công an xã Đội Bình tỉnh Tuyên Quang</v>
      </c>
      <c r="C25560" t="str">
        <v>-</v>
      </c>
      <c r="D25560" t="str">
        <v>-</v>
      </c>
      <c r="E25560" t="str">
        <v/>
      </c>
      <c r="F25560" t="str">
        <v>-</v>
      </c>
      <c r="G25560" t="str">
        <v>-</v>
      </c>
    </row>
    <row r="25561">
      <c r="B25561" t="str">
        <v>UBND Ủy ban nhân dân xã Đội Bình tỉnh Tuyên Quang</v>
      </c>
      <c r="C25561" t="str">
        <v>-</v>
      </c>
      <c r="D25561" t="str">
        <v>-</v>
      </c>
      <c r="E25561" t="str">
        <v>-</v>
      </c>
      <c r="F25561" t="str">
        <v>-</v>
      </c>
      <c r="G25561" t="str">
        <v>-</v>
      </c>
    </row>
    <row r="25562">
      <c r="B25562" t="str">
        <v>Công an xã Đứa Mòn tỉnh Sơn La</v>
      </c>
      <c r="C25562" t="str">
        <v>-</v>
      </c>
      <c r="D25562" t="str">
        <v>-</v>
      </c>
      <c r="E25562" t="str">
        <v/>
      </c>
      <c r="F25562" t="str">
        <v>-</v>
      </c>
      <c r="G25562" t="str">
        <v>-</v>
      </c>
    </row>
    <row r="25563">
      <c r="B25563" t="str">
        <v>UBND Ủy ban nhân dân xã Đứa Mòn tỉnh Sơn La</v>
      </c>
      <c r="C25563" t="str">
        <v>-</v>
      </c>
      <c r="D25563" t="str">
        <v>-</v>
      </c>
      <c r="E25563" t="str">
        <v>-</v>
      </c>
      <c r="F25563" t="str">
        <v>-</v>
      </c>
      <c r="G25563" t="str">
        <v>-</v>
      </c>
    </row>
    <row r="25564" xml:space="preserve">
      <c r="B25564" t="str" xml:space="preserve">
        <v xml:space="preserve">Công an xã Đức Giang _x000d_
 thành phố Hà Nội</v>
      </c>
      <c r="C25564" t="str">
        <v>-</v>
      </c>
      <c r="D25564" t="str">
        <v>-</v>
      </c>
      <c r="E25564" t="str">
        <v/>
      </c>
      <c r="F25564" t="str">
        <v>-</v>
      </c>
      <c r="G25564" t="str">
        <v>-</v>
      </c>
    </row>
    <row r="25565" xml:space="preserve">
      <c r="B25565" t="str" xml:space="preserve">
        <v xml:space="preserve">UBND Ủy ban nhân dân xã Đức Giang _x000d_
 thành phố Hà Nội</v>
      </c>
      <c r="C25565" t="str">
        <v>-</v>
      </c>
      <c r="D25565" t="str">
        <v>-</v>
      </c>
      <c r="E25565" t="str">
        <v>-</v>
      </c>
      <c r="F25565" t="str">
        <v>-</v>
      </c>
      <c r="G25565" t="str">
        <v>-</v>
      </c>
    </row>
    <row r="25566">
      <c r="B25566" t="str">
        <v>Công an xã Đức Lĩnh  tỉnh Hà Tĩnh</v>
      </c>
      <c r="C25566" t="str">
        <v>-</v>
      </c>
      <c r="D25566" t="str">
        <v>-</v>
      </c>
      <c r="E25566" t="str">
        <v/>
      </c>
      <c r="F25566" t="str">
        <v>-</v>
      </c>
      <c r="G25566" t="str">
        <v>-</v>
      </c>
    </row>
    <row r="25567">
      <c r="B25567" t="str">
        <v>UBND Ủy ban nhân dân xã Đức Lĩnh  tỉnh Hà Tĩnh</v>
      </c>
      <c r="C25567" t="str">
        <v>-</v>
      </c>
      <c r="D25567" t="str">
        <v>-</v>
      </c>
      <c r="E25567" t="str">
        <v>-</v>
      </c>
      <c r="F25567" t="str">
        <v>-</v>
      </c>
      <c r="G25567" t="str">
        <v>-</v>
      </c>
    </row>
    <row r="25568">
      <c r="B25568" t="str">
        <v>Công an xã Đức Lương tỉnh Thái Nguyên</v>
      </c>
      <c r="C25568" t="str">
        <v>-</v>
      </c>
      <c r="D25568" t="str">
        <v>-</v>
      </c>
      <c r="E25568" t="str">
        <v/>
      </c>
      <c r="F25568" t="str">
        <v>-</v>
      </c>
      <c r="G25568" t="str">
        <v>-</v>
      </c>
    </row>
    <row r="25569">
      <c r="B25569" t="str">
        <v>UBND Ủy ban nhân dân xã Đức Lương tỉnh Thái Nguyên</v>
      </c>
      <c r="C25569" t="str">
        <v>-</v>
      </c>
      <c r="D25569" t="str">
        <v>-</v>
      </c>
      <c r="E25569" t="str">
        <v>-</v>
      </c>
      <c r="F25569" t="str">
        <v>-</v>
      </c>
      <c r="G25569" t="str">
        <v>-</v>
      </c>
    </row>
    <row r="25570">
      <c r="B25570" t="str">
        <v>Công an xã Đức Long  tỉnh Cao Bằng</v>
      </c>
      <c r="C25570" t="str">
        <v>-</v>
      </c>
      <c r="D25570" t="str">
        <v>-</v>
      </c>
      <c r="E25570" t="str">
        <v/>
      </c>
      <c r="F25570" t="str">
        <v>-</v>
      </c>
      <c r="G25570" t="str">
        <v>-</v>
      </c>
    </row>
    <row r="25571">
      <c r="B25571" t="str">
        <v>UBND Ủy ban nhân dân xã Đức Long  tỉnh Cao Bằng</v>
      </c>
      <c r="C25571" t="str">
        <v>-</v>
      </c>
      <c r="D25571" t="str">
        <v>-</v>
      </c>
      <c r="E25571" t="str">
        <v>-</v>
      </c>
      <c r="F25571" t="str">
        <v>-</v>
      </c>
      <c r="G25571" t="str">
        <v>-</v>
      </c>
    </row>
    <row r="25572">
      <c r="B25572" t="str">
        <v>Công an xã Đức Xuân tỉnh Cao Bằng</v>
      </c>
      <c r="C25572" t="str">
        <v>-</v>
      </c>
      <c r="D25572" t="str">
        <v>-</v>
      </c>
      <c r="E25572" t="str">
        <v/>
      </c>
      <c r="F25572" t="str">
        <v>-</v>
      </c>
      <c r="G25572" t="str">
        <v>-</v>
      </c>
    </row>
    <row r="25573">
      <c r="B25573" t="str">
        <v>UBND Ủy ban nhân dân xã Đức Xuân tỉnh Cao Bằng</v>
      </c>
      <c r="C25573" t="str">
        <v>-</v>
      </c>
      <c r="D25573" t="str">
        <v>-</v>
      </c>
      <c r="E25573" t="str">
        <v>-</v>
      </c>
      <c r="F25573" t="str">
        <v>-</v>
      </c>
      <c r="G25573" t="str">
        <v>-</v>
      </c>
    </row>
    <row r="25574">
      <c r="B25574" t="str">
        <v>Công an xã Đak Sơmei tỉnh Kon Tum</v>
      </c>
      <c r="C25574" t="str">
        <v>-</v>
      </c>
      <c r="D25574" t="str">
        <v>-</v>
      </c>
      <c r="E25574" t="str">
        <v/>
      </c>
      <c r="F25574" t="str">
        <v>-</v>
      </c>
      <c r="G25574" t="str">
        <v>-</v>
      </c>
    </row>
    <row r="25575">
      <c r="B25575" t="str">
        <v>UBND Ủy ban nhân dân xã Đak Sơmei tỉnh Kon Tum</v>
      </c>
      <c r="C25575" t="str">
        <v>-</v>
      </c>
      <c r="D25575" t="str">
        <v>-</v>
      </c>
      <c r="E25575" t="str">
        <v>-</v>
      </c>
      <c r="F25575" t="str">
        <v>-</v>
      </c>
      <c r="G25575" t="str">
        <v>-</v>
      </c>
    </row>
    <row r="25576">
      <c r="B25576" t="str">
        <v>Công an xã Đa Lộc tỉnh Thanh Hóa</v>
      </c>
      <c r="C25576" t="str">
        <v>-</v>
      </c>
      <c r="D25576" t="str">
        <v>-</v>
      </c>
      <c r="E25576" t="str">
        <v/>
      </c>
      <c r="F25576" t="str">
        <v>-</v>
      </c>
      <c r="G25576" t="str">
        <v>-</v>
      </c>
    </row>
    <row r="25577">
      <c r="B25577" t="str">
        <v>UBND Ủy ban nhân dân xã Đa Lộc tỉnh Thanh Hóa</v>
      </c>
      <c r="C25577" t="str">
        <v>-</v>
      </c>
      <c r="D25577" t="str">
        <v>-</v>
      </c>
      <c r="E25577" t="str">
        <v>-</v>
      </c>
      <c r="F25577" t="str">
        <v>-</v>
      </c>
      <c r="G25577" t="str">
        <v>-</v>
      </c>
    </row>
    <row r="25578" xml:space="preserve">
      <c r="B25578" t="str" xml:space="preserve">
        <v xml:space="preserve">Công an xã Đa Phúc _x000d_
 tỉnh Hòa Bình</v>
      </c>
      <c r="C25578" t="str">
        <v>-</v>
      </c>
      <c r="D25578" t="str">
        <v>-</v>
      </c>
      <c r="E25578" t="str">
        <v/>
      </c>
      <c r="F25578" t="str">
        <v>-</v>
      </c>
      <c r="G25578" t="str">
        <v>-</v>
      </c>
    </row>
    <row r="25579" xml:space="preserve">
      <c r="B25579" t="str" xml:space="preserve">
        <v xml:space="preserve">UBND Ủy ban nhân dân xã Đa Phúc _x000d_
 tỉnh Hòa Bình</v>
      </c>
      <c r="C25579" t="str">
        <v>-</v>
      </c>
      <c r="D25579" t="str">
        <v>-</v>
      </c>
      <c r="E25579" t="str">
        <v>-</v>
      </c>
      <c r="F25579" t="str">
        <v>-</v>
      </c>
      <c r="G25579" t="str">
        <v>-</v>
      </c>
    </row>
    <row r="25580" xml:space="preserve">
      <c r="B25580" t="str" xml:space="preserve">
        <v xml:space="preserve">Công an xã Đa Tốn _x000d_
 thành phố Hà Nội</v>
      </c>
      <c r="C25580" t="str">
        <v>-</v>
      </c>
      <c r="D25580" t="str">
        <v>-</v>
      </c>
      <c r="E25580" t="str">
        <v/>
      </c>
      <c r="F25580" t="str">
        <v>-</v>
      </c>
      <c r="G25580" t="str">
        <v>-</v>
      </c>
    </row>
    <row r="25581" xml:space="preserve">
      <c r="B25581" t="str" xml:space="preserve">
        <v xml:space="preserve">UBND Ủy ban nhân dân xã Đa Tốn _x000d_
 thành phố Hà Nội</v>
      </c>
      <c r="C25581" t="str">
        <v>-</v>
      </c>
      <c r="D25581" t="str">
        <v>-</v>
      </c>
      <c r="E25581" t="str">
        <v>-</v>
      </c>
      <c r="F25581" t="str">
        <v>-</v>
      </c>
      <c r="G25581" t="str">
        <v>-</v>
      </c>
    </row>
    <row r="25582">
      <c r="B25582" t="str">
        <v>Công an xã Điềm Hy tỉnh TIỀN GIANG</v>
      </c>
      <c r="C25582" t="str">
        <v>-</v>
      </c>
      <c r="D25582" t="str">
        <v>-</v>
      </c>
      <c r="E25582" t="str">
        <v/>
      </c>
      <c r="F25582" t="str">
        <v>-</v>
      </c>
      <c r="G25582" t="str">
        <v>-</v>
      </c>
    </row>
    <row r="25583">
      <c r="B25583" t="str">
        <v>UBND Ủy ban nhân dân xã Điềm Hy tỉnh TIỀN GIANG</v>
      </c>
      <c r="C25583" t="str">
        <v>-</v>
      </c>
      <c r="D25583" t="str">
        <v>-</v>
      </c>
      <c r="E25583" t="str">
        <v>-</v>
      </c>
      <c r="F25583" t="str">
        <v>-</v>
      </c>
      <c r="G25583" t="str">
        <v>-</v>
      </c>
    </row>
    <row r="25584">
      <c r="B25584" t="str">
        <v>Công an xã Điền Hạ tỉnh Thanh Hóa</v>
      </c>
      <c r="C25584" t="str">
        <v>-</v>
      </c>
      <c r="D25584" t="str">
        <v>-</v>
      </c>
      <c r="E25584" t="str">
        <v/>
      </c>
      <c r="F25584" t="str">
        <v>-</v>
      </c>
      <c r="G25584" t="str">
        <v>-</v>
      </c>
    </row>
    <row r="25585">
      <c r="B25585" t="str">
        <v>UBND Ủy ban nhân dân xã Điền Hạ tỉnh Thanh Hóa</v>
      </c>
      <c r="C25585" t="str">
        <v>-</v>
      </c>
      <c r="D25585" t="str">
        <v>-</v>
      </c>
      <c r="E25585" t="str">
        <v>-</v>
      </c>
      <c r="F25585" t="str">
        <v>-</v>
      </c>
      <c r="G25585" t="str">
        <v>-</v>
      </c>
    </row>
    <row r="25586">
      <c r="B25586" t="str">
        <v>Công an xã Điền Thượng tỉnh Thanh Hóa</v>
      </c>
      <c r="C25586" t="str">
        <v>-</v>
      </c>
      <c r="D25586" t="str">
        <v>-</v>
      </c>
      <c r="E25586" t="str">
        <v/>
      </c>
      <c r="F25586" t="str">
        <v>-</v>
      </c>
      <c r="G25586" t="str">
        <v>-</v>
      </c>
    </row>
    <row r="25587">
      <c r="B25587" t="str">
        <v>UBND Ủy ban nhân dân xã Điền Thượng tỉnh Thanh Hóa</v>
      </c>
      <c r="C25587" t="str">
        <v>-</v>
      </c>
      <c r="D25587" t="str">
        <v>-</v>
      </c>
      <c r="E25587" t="str">
        <v>-</v>
      </c>
      <c r="F25587" t="str">
        <v>-</v>
      </c>
      <c r="G25587" t="str">
        <v>-</v>
      </c>
    </row>
    <row r="25588">
      <c r="B25588" t="str">
        <v>Công an xã Điền Trung tỉnh Thanh Hóa</v>
      </c>
      <c r="C25588" t="str">
        <v>-</v>
      </c>
      <c r="D25588" t="str">
        <v>-</v>
      </c>
      <c r="E25588" t="str">
        <v/>
      </c>
      <c r="F25588" t="str">
        <v>-</v>
      </c>
      <c r="G25588" t="str">
        <v>-</v>
      </c>
    </row>
    <row r="25589">
      <c r="B25589" t="str">
        <v>UBND Ủy ban nhân dân xã Điền Trung tỉnh Thanh Hóa</v>
      </c>
      <c r="C25589" t="str">
        <v>-</v>
      </c>
      <c r="D25589" t="str">
        <v>-</v>
      </c>
      <c r="E25589" t="str">
        <v>-</v>
      </c>
      <c r="F25589" t="str">
        <v>-</v>
      </c>
      <c r="G25589" t="str">
        <v>-</v>
      </c>
    </row>
    <row r="25590">
      <c r="B25590" t="str">
        <v>Công an phường Điện Phương  tỉnh Quảng Nam</v>
      </c>
      <c r="C25590" t="str">
        <v>-</v>
      </c>
      <c r="D25590" t="str">
        <v>-</v>
      </c>
      <c r="E25590" t="str">
        <v/>
      </c>
      <c r="F25590" t="str">
        <v>-</v>
      </c>
      <c r="G25590" t="str">
        <v>-</v>
      </c>
    </row>
    <row r="25591">
      <c r="B25591" t="str">
        <v>UBND Ủy ban nhân dân phường Điện Phương  tỉnh Quảng Nam</v>
      </c>
      <c r="C25591" t="str">
        <v>-</v>
      </c>
      <c r="D25591" t="str">
        <v>-</v>
      </c>
      <c r="E25591" t="str">
        <v>-</v>
      </c>
      <c r="F25591" t="str">
        <v>-</v>
      </c>
      <c r="G25591" t="str">
        <v>-</v>
      </c>
    </row>
    <row r="25592" xml:space="preserve">
      <c r="B25592" t="str" xml:space="preserve">
        <v xml:space="preserve">Công an xã Điện Quan _x000d_
 tỉnh Quảng Nam</v>
      </c>
      <c r="C25592" t="str">
        <v>-</v>
      </c>
      <c r="D25592" t="str">
        <v>-</v>
      </c>
      <c r="E25592" t="str">
        <v/>
      </c>
      <c r="F25592" t="str">
        <v>-</v>
      </c>
      <c r="G25592" t="str">
        <v>-</v>
      </c>
    </row>
    <row r="25593" xml:space="preserve">
      <c r="B25593" t="str" xml:space="preserve">
        <v xml:space="preserve">UBND Ủy ban nhân dân xã Điện Quan _x000d_
 tỉnh Quảng Nam</v>
      </c>
      <c r="C25593" t="str">
        <v>-</v>
      </c>
      <c r="D25593" t="str">
        <v>-</v>
      </c>
      <c r="E25593" t="str">
        <v>-</v>
      </c>
      <c r="F25593" t="str">
        <v>-</v>
      </c>
      <c r="G25593" t="str">
        <v>-</v>
      </c>
    </row>
    <row r="25594" xml:space="preserve">
      <c r="B25594" t="str" xml:space="preserve">
        <v xml:space="preserve">Công an xã Điện Quang _x000d_
 tỉnh Quảng Nam</v>
      </c>
      <c r="C25594" t="str">
        <v>-</v>
      </c>
      <c r="D25594" t="str">
        <v>-</v>
      </c>
      <c r="E25594" t="str">
        <v/>
      </c>
      <c r="F25594" t="str">
        <v>-</v>
      </c>
      <c r="G25594" t="str">
        <v>-</v>
      </c>
    </row>
    <row r="25595" xml:space="preserve">
      <c r="B25595" t="str" xml:space="preserve">
        <v xml:space="preserve">UBND Ủy ban nhân dân xã Điện Quang _x000d_
 tỉnh Quảng Nam</v>
      </c>
      <c r="C25595" t="str">
        <v>-</v>
      </c>
      <c r="D25595" t="str">
        <v>-</v>
      </c>
      <c r="E25595" t="str">
        <v>-</v>
      </c>
      <c r="F25595" t="str">
        <v>-</v>
      </c>
      <c r="G25595" t="str">
        <v>-</v>
      </c>
    </row>
    <row r="25596" xml:space="preserve">
      <c r="B25596" t="str" xml:space="preserve">
        <v xml:space="preserve">Công an phường Điện Thắng Trung _x000d_
 tỉnh Quảng Nam</v>
      </c>
      <c r="C25596" t="str">
        <v>-</v>
      </c>
      <c r="D25596" t="str">
        <v>-</v>
      </c>
      <c r="E25596" t="str">
        <v/>
      </c>
      <c r="F25596" t="str">
        <v>-</v>
      </c>
      <c r="G25596" t="str">
        <v>-</v>
      </c>
    </row>
    <row r="25597" xml:space="preserve">
      <c r="B25597" t="str" xml:space="preserve">
        <v xml:space="preserve">UBND Ủy ban nhân dân phường Điện Thắng Trung _x000d_
 tỉnh Quảng Nam</v>
      </c>
      <c r="C25597" t="str">
        <v>-</v>
      </c>
      <c r="D25597" t="str">
        <v>-</v>
      </c>
      <c r="E25597" t="str">
        <v>-</v>
      </c>
      <c r="F25597" t="str">
        <v>-</v>
      </c>
      <c r="G25597" t="str">
        <v>-</v>
      </c>
    </row>
    <row r="25598">
      <c r="B25598" t="str">
        <v>Công an xã Đoàn Thượng tỉnh Hải Dương</v>
      </c>
      <c r="C25598" t="str">
        <v>-</v>
      </c>
      <c r="D25598" t="str">
        <v>-</v>
      </c>
      <c r="E25598" t="str">
        <v/>
      </c>
      <c r="F25598" t="str">
        <v>-</v>
      </c>
      <c r="G25598" t="str">
        <v>-</v>
      </c>
    </row>
    <row r="25599">
      <c r="B25599" t="str">
        <v>UBND Ủy ban nhân dân xã Đoàn Thượng tỉnh Hải Dương</v>
      </c>
      <c r="C25599" t="str">
        <v>-</v>
      </c>
      <c r="D25599" t="str">
        <v>-</v>
      </c>
      <c r="E25599" t="str">
        <v>-</v>
      </c>
      <c r="F25599" t="str">
        <v>-</v>
      </c>
      <c r="G25599" t="str">
        <v>-</v>
      </c>
    </row>
    <row r="25600" xml:space="preserve">
      <c r="B25600" t="str" xml:space="preserve">
        <v xml:space="preserve">Công an xã Ấm Hạ _x000d_
 tỉnh Phú Thọ</v>
      </c>
      <c r="C25600" t="str">
        <v>-</v>
      </c>
      <c r="D25600" t="str">
        <v>-</v>
      </c>
      <c r="E25600" t="str">
        <v/>
      </c>
      <c r="F25600" t="str">
        <v>-</v>
      </c>
      <c r="G25600" t="str">
        <v>-</v>
      </c>
    </row>
    <row r="25601" xml:space="preserve">
      <c r="B25601" t="str" xml:space="preserve">
        <v xml:space="preserve">UBND Ủy ban nhân dân xã Ấm Hạ _x000d_
 tỉnh Phú Thọ</v>
      </c>
      <c r="C25601" t="str">
        <v>-</v>
      </c>
      <c r="D25601" t="str">
        <v>-</v>
      </c>
      <c r="E25601" t="str">
        <v>-</v>
      </c>
      <c r="F25601" t="str">
        <v>-</v>
      </c>
      <c r="G25601" t="str">
        <v>-</v>
      </c>
    </row>
    <row r="25602">
      <c r="B25602" t="str">
        <v>Công an xã Ứng Hoè tỉnh Hải Dương</v>
      </c>
      <c r="C25602" t="str">
        <v>-</v>
      </c>
      <c r="D25602" t="str">
        <v>-</v>
      </c>
      <c r="E25602" t="str">
        <v/>
      </c>
      <c r="F25602" t="str">
        <v>-</v>
      </c>
      <c r="G25602" t="str">
        <v>-</v>
      </c>
    </row>
    <row r="25603">
      <c r="B25603" t="str">
        <v>UBND Ủy ban nhân dân xã Ứng Hoè tỉnh Hải Dương</v>
      </c>
      <c r="C25603" t="str">
        <v>-</v>
      </c>
      <c r="D25603" t="str">
        <v>-</v>
      </c>
      <c r="E25603" t="str">
        <v>-</v>
      </c>
      <c r="F25603" t="str">
        <v>-</v>
      </c>
      <c r="G25603" t="str">
        <v>-</v>
      </c>
    </row>
    <row r="25604" xml:space="preserve">
      <c r="B25604" t="str" xml:space="preserve">
        <v xml:space="preserve">Công an xã An Đổ _x000d_
 tỉnh Hải Dương</v>
      </c>
      <c r="C25604" t="str">
        <v>-</v>
      </c>
      <c r="D25604" t="str">
        <v>-</v>
      </c>
      <c r="E25604" t="str">
        <v/>
      </c>
      <c r="F25604" t="str">
        <v>-</v>
      </c>
      <c r="G25604" t="str">
        <v>-</v>
      </c>
    </row>
    <row r="25605" xml:space="preserve">
      <c r="B25605" t="str" xml:space="preserve">
        <v xml:space="preserve">UBND Ủy ban nhân dân xã An Đổ _x000d_
 tỉnh Hải Dương</v>
      </c>
      <c r="C25605" t="str">
        <v>-</v>
      </c>
      <c r="D25605" t="str">
        <v>-</v>
      </c>
      <c r="E25605" t="str">
        <v>-</v>
      </c>
      <c r="F25605" t="str">
        <v>-</v>
      </c>
      <c r="G25605" t="str">
        <v>-</v>
      </c>
    </row>
    <row r="25606">
      <c r="B25606" t="str">
        <v>Công an xã An Điền tỉnh Bến Tre</v>
      </c>
      <c r="C25606" t="str">
        <v>-</v>
      </c>
      <c r="D25606" t="str">
        <v>-</v>
      </c>
      <c r="E25606" t="str">
        <v/>
      </c>
      <c r="F25606" t="str">
        <v>-</v>
      </c>
      <c r="G25606" t="str">
        <v>-</v>
      </c>
    </row>
    <row r="25607">
      <c r="B25607" t="str">
        <v>UBND Ủy ban nhân dân xã An Điền tỉnh Bến Tre</v>
      </c>
      <c r="C25607" t="str">
        <v>-</v>
      </c>
      <c r="D25607" t="str">
        <v>-</v>
      </c>
      <c r="E25607" t="str">
        <v>-</v>
      </c>
      <c r="F25607" t="str">
        <v>-</v>
      </c>
      <c r="G25607" t="str">
        <v>-</v>
      </c>
    </row>
    <row r="25608">
      <c r="B25608" t="str">
        <v>Công an xã An Bình tỉnh Yên Bái</v>
      </c>
      <c r="C25608" t="str">
        <v>-</v>
      </c>
      <c r="D25608" t="str">
        <v>-</v>
      </c>
      <c r="E25608" t="str">
        <v/>
      </c>
      <c r="F25608" t="str">
        <v>-</v>
      </c>
      <c r="G25608" t="str">
        <v>-</v>
      </c>
    </row>
    <row r="25609">
      <c r="B25609" t="str">
        <v>UBND Ủy ban nhân dân xã An Bình tỉnh Yên Bái</v>
      </c>
      <c r="C25609" t="str">
        <v>-</v>
      </c>
      <c r="D25609" t="str">
        <v>-</v>
      </c>
      <c r="E25609" t="str">
        <v>-</v>
      </c>
      <c r="F25609" t="str">
        <v>-</v>
      </c>
      <c r="G25609" t="str">
        <v>-</v>
      </c>
    </row>
    <row r="25610" xml:space="preserve">
      <c r="B25610" t="str" xml:space="preserve">
        <v xml:space="preserve">Công an xã An Bình _x000d_
 tỉnh Yên Bái</v>
      </c>
      <c r="C25610" t="str">
        <v>-</v>
      </c>
      <c r="D25610" t="str">
        <v>-</v>
      </c>
      <c r="E25610" t="str">
        <v/>
      </c>
      <c r="F25610" t="str">
        <v>-</v>
      </c>
      <c r="G25610" t="str">
        <v>-</v>
      </c>
    </row>
    <row r="25611" xml:space="preserve">
      <c r="B25611" t="str" xml:space="preserve">
        <v xml:space="preserve">UBND Ủy ban nhân dân xã An Bình _x000d_
 tỉnh Yên Bái</v>
      </c>
      <c r="C25611" t="str">
        <v>-</v>
      </c>
      <c r="D25611" t="str">
        <v>-</v>
      </c>
      <c r="E25611" t="str">
        <v>-</v>
      </c>
      <c r="F25611" t="str">
        <v>-</v>
      </c>
      <c r="G25611" t="str">
        <v>-</v>
      </c>
    </row>
    <row r="25612" xml:space="preserve">
      <c r="B25612" t="str" xml:space="preserve">
        <v xml:space="preserve">Công an xã An Bình _x000d_
 tỉnh Yên Bái</v>
      </c>
      <c r="C25612" t="str">
        <v>-</v>
      </c>
      <c r="D25612" t="str">
        <v>-</v>
      </c>
      <c r="E25612" t="str">
        <v/>
      </c>
      <c r="F25612" t="str">
        <v>-</v>
      </c>
      <c r="G25612" t="str">
        <v>-</v>
      </c>
    </row>
    <row r="25613" xml:space="preserve">
      <c r="B25613" t="str" xml:space="preserve">
        <v xml:space="preserve">UBND Ủy ban nhân dân xã An Bình _x000d_
 tỉnh Yên Bái</v>
      </c>
      <c r="C25613" t="str">
        <v>-</v>
      </c>
      <c r="D25613" t="str">
        <v>-</v>
      </c>
      <c r="E25613" t="str">
        <v>-</v>
      </c>
      <c r="F25613" t="str">
        <v>-</v>
      </c>
      <c r="G25613" t="str">
        <v>-</v>
      </c>
    </row>
    <row r="25614" xml:space="preserve">
      <c r="B25614" t="str" xml:space="preserve">
        <v xml:space="preserve">Công an xã An Bình _x000d_
 tỉnh Yên Bái</v>
      </c>
      <c r="C25614" t="str">
        <v>-</v>
      </c>
      <c r="D25614" t="str">
        <v>-</v>
      </c>
      <c r="E25614" t="str">
        <v/>
      </c>
      <c r="F25614" t="str">
        <v>-</v>
      </c>
      <c r="G25614" t="str">
        <v>-</v>
      </c>
    </row>
    <row r="25615" xml:space="preserve">
      <c r="B25615" t="str" xml:space="preserve">
        <v xml:space="preserve">UBND Ủy ban nhân dân xã An Bình _x000d_
 tỉnh Yên Bái</v>
      </c>
      <c r="C25615" t="str">
        <v>-</v>
      </c>
      <c r="D25615" t="str">
        <v>-</v>
      </c>
      <c r="E25615" t="str">
        <v>-</v>
      </c>
      <c r="F25615" t="str">
        <v>-</v>
      </c>
      <c r="G25615" t="str">
        <v>-</v>
      </c>
    </row>
    <row r="25616">
      <c r="B25616" t="str">
        <v>Công an phường An Bình tỉnh Bắc Ninh</v>
      </c>
      <c r="C25616" t="str">
        <v>-</v>
      </c>
      <c r="D25616" t="str">
        <v>-</v>
      </c>
      <c r="E25616" t="str">
        <v/>
      </c>
      <c r="F25616" t="str">
        <v>-</v>
      </c>
      <c r="G25616" t="str">
        <v>-</v>
      </c>
    </row>
    <row r="25617">
      <c r="B25617" t="str">
        <v>UBND Ủy ban nhân dân phường An Bình tỉnh Bắc Ninh</v>
      </c>
      <c r="C25617" t="str">
        <v>-</v>
      </c>
      <c r="D25617" t="str">
        <v>-</v>
      </c>
      <c r="E25617" t="str">
        <v>-</v>
      </c>
      <c r="F25617" t="str">
        <v>-</v>
      </c>
      <c r="G25617" t="str">
        <v>-</v>
      </c>
    </row>
    <row r="25618">
      <c r="B25618" t="str">
        <v>Công an xã An Dũng tỉnh Hà Tĩnh</v>
      </c>
      <c r="C25618" t="str">
        <v>-</v>
      </c>
      <c r="D25618" t="str">
        <v>-</v>
      </c>
      <c r="E25618" t="str">
        <v/>
      </c>
      <c r="F25618" t="str">
        <v>-</v>
      </c>
      <c r="G25618" t="str">
        <v>-</v>
      </c>
    </row>
    <row r="25619">
      <c r="B25619" t="str">
        <v>UBND Ủy ban nhân dân xã An Dũng tỉnh Hà Tĩnh</v>
      </c>
      <c r="C25619" t="str">
        <v>-</v>
      </c>
      <c r="D25619" t="str">
        <v>-</v>
      </c>
      <c r="E25619" t="str">
        <v>-</v>
      </c>
      <c r="F25619" t="str">
        <v>-</v>
      </c>
      <c r="G25619" t="str">
        <v>-</v>
      </c>
    </row>
    <row r="25620" xml:space="preserve">
      <c r="B25620" t="str" xml:space="preserve">
        <v xml:space="preserve">Công an xã An Hòa _x000d_
 tỉnh Nghệ An</v>
      </c>
      <c r="C25620" t="str">
        <v>-</v>
      </c>
      <c r="D25620" t="str">
        <v>-</v>
      </c>
      <c r="E25620" t="str">
        <v/>
      </c>
      <c r="F25620" t="str">
        <v>-</v>
      </c>
      <c r="G25620" t="str">
        <v>-</v>
      </c>
    </row>
    <row r="25621" xml:space="preserve">
      <c r="B25621" t="str" xml:space="preserve">
        <v xml:space="preserve">UBND Ủy ban nhân dân xã An Hòa _x000d_
 tỉnh Nghệ An</v>
      </c>
      <c r="C25621" t="str">
        <v>-</v>
      </c>
      <c r="D25621" t="str">
        <v>-</v>
      </c>
      <c r="E25621" t="str">
        <v>-</v>
      </c>
      <c r="F25621" t="str">
        <v>-</v>
      </c>
      <c r="G25621" t="str">
        <v>-</v>
      </c>
    </row>
    <row r="25622" xml:space="preserve">
      <c r="B25622" t="str" xml:space="preserve">
        <v xml:space="preserve">Công an xã An Hiệp _x000d_
 tỉnh Thái Bình</v>
      </c>
      <c r="C25622" t="str">
        <v>-</v>
      </c>
      <c r="D25622" t="str">
        <v>-</v>
      </c>
      <c r="E25622" t="str">
        <v/>
      </c>
      <c r="F25622" t="str">
        <v>-</v>
      </c>
      <c r="G25622" t="str">
        <v>-</v>
      </c>
    </row>
    <row r="25623" xml:space="preserve">
      <c r="B25623" t="str" xml:space="preserve">
        <v xml:space="preserve">UBND Ủy ban nhân dân xã An Hiệp _x000d_
 tỉnh Thái Bình</v>
      </c>
      <c r="C25623" t="str">
        <v>-</v>
      </c>
      <c r="D25623" t="str">
        <v>-</v>
      </c>
      <c r="E25623" t="str">
        <v>-</v>
      </c>
      <c r="F25623" t="str">
        <v>-</v>
      </c>
      <c r="G25623" t="str">
        <v>-</v>
      </c>
    </row>
    <row r="25624">
      <c r="B25624" t="str">
        <v>Công an xã An Hiệp, tỉnh Bến Tre</v>
      </c>
      <c r="C25624" t="str">
        <v>-</v>
      </c>
      <c r="D25624" t="str">
        <v>-</v>
      </c>
      <c r="E25624" t="str">
        <v/>
      </c>
      <c r="F25624" t="str">
        <v>-</v>
      </c>
      <c r="G25624" t="str">
        <v>-</v>
      </c>
    </row>
    <row r="25625">
      <c r="B25625" t="str">
        <v>UBND Ủy ban nhân dân xã An Hiệp, tỉnh Bến Tre</v>
      </c>
      <c r="C25625" t="str">
        <v>-</v>
      </c>
      <c r="D25625" t="str">
        <v>-</v>
      </c>
      <c r="E25625" t="str">
        <v>-</v>
      </c>
      <c r="F25625" t="str">
        <v>-</v>
      </c>
      <c r="G25625" t="str">
        <v>-</v>
      </c>
    </row>
    <row r="25626">
      <c r="B25626" t="str">
        <v>Công an xã Anh Sơn  tỉnh Thanh Hóa</v>
      </c>
      <c r="C25626" t="str">
        <v>-</v>
      </c>
      <c r="D25626" t="str">
        <v>-</v>
      </c>
      <c r="E25626" t="str">
        <v/>
      </c>
      <c r="F25626" t="str">
        <v>-</v>
      </c>
      <c r="G25626" t="str">
        <v>-</v>
      </c>
    </row>
    <row r="25627">
      <c r="B25627" t="str">
        <v>UBND Ủy ban nhân dân xã Anh Sơn  tỉnh Thanh Hóa</v>
      </c>
      <c r="C25627" t="str">
        <v>-</v>
      </c>
      <c r="D25627" t="str">
        <v>-</v>
      </c>
      <c r="E25627" t="str">
        <v>-</v>
      </c>
      <c r="F25627" t="str">
        <v>-</v>
      </c>
      <c r="G25627" t="str">
        <v>-</v>
      </c>
    </row>
    <row r="25628" xml:space="preserve">
      <c r="B25628" t="str" xml:space="preserve">
        <v xml:space="preserve">Công an xã An Khang _x000d_
 tỉnh Tuyên Quang</v>
      </c>
      <c r="C25628" t="str">
        <v>-</v>
      </c>
      <c r="D25628" t="str">
        <v>-</v>
      </c>
      <c r="E25628" t="str">
        <v/>
      </c>
      <c r="F25628" t="str">
        <v>-</v>
      </c>
      <c r="G25628" t="str">
        <v>-</v>
      </c>
    </row>
    <row r="25629" xml:space="preserve">
      <c r="B25629" t="str" xml:space="preserve">
        <v xml:space="preserve">UBND Ủy ban nhân dân xã An Khang _x000d_
 tỉnh Tuyên Quang</v>
      </c>
      <c r="C25629" t="str">
        <v>-</v>
      </c>
      <c r="D25629" t="str">
        <v>-</v>
      </c>
      <c r="E25629" t="str">
        <v>-</v>
      </c>
      <c r="F25629" t="str">
        <v>-</v>
      </c>
      <c r="G25629" t="str">
        <v>-</v>
      </c>
    </row>
    <row r="25630">
      <c r="B25630" t="str">
        <v>Công an xã An Lão tỉnh Hà Nam</v>
      </c>
      <c r="C25630" t="str">
        <v>-</v>
      </c>
      <c r="D25630" t="str">
        <v>-</v>
      </c>
      <c r="E25630" t="str">
        <v/>
      </c>
      <c r="F25630" t="str">
        <v>-</v>
      </c>
      <c r="G25630" t="str">
        <v>-</v>
      </c>
    </row>
    <row r="25631">
      <c r="B25631" t="str">
        <v>UBND Ủy ban nhân dân xã An Lão tỉnh Hà Nam</v>
      </c>
      <c r="C25631" t="str">
        <v>-</v>
      </c>
      <c r="D25631" t="str">
        <v>-</v>
      </c>
      <c r="E25631" t="str">
        <v>-</v>
      </c>
      <c r="F25631" t="str">
        <v>-</v>
      </c>
      <c r="G25631" t="str">
        <v>-</v>
      </c>
    </row>
    <row r="25632" xml:space="preserve">
      <c r="B25632" t="str" xml:space="preserve">
        <v xml:space="preserve">Công an xã An Lương _x000d_
 tỉnh Yên Bái</v>
      </c>
      <c r="C25632" t="str">
        <v>-</v>
      </c>
      <c r="D25632" t="str">
        <v>-</v>
      </c>
      <c r="E25632" t="str">
        <v/>
      </c>
      <c r="F25632" t="str">
        <v>-</v>
      </c>
      <c r="G25632" t="str">
        <v>-</v>
      </c>
    </row>
    <row r="25633" xml:space="preserve">
      <c r="B25633" t="str" xml:space="preserve">
        <v xml:space="preserve">UBND Ủy ban nhân dân xã An Lương _x000d_
 tỉnh Yên Bái</v>
      </c>
      <c r="C25633" t="str">
        <v>-</v>
      </c>
      <c r="D25633" t="str">
        <v>-</v>
      </c>
      <c r="E25633" t="str">
        <v>-</v>
      </c>
      <c r="F25633" t="str">
        <v>-</v>
      </c>
      <c r="G25633" t="str">
        <v>-</v>
      </c>
    </row>
    <row r="25634" xml:space="preserve">
      <c r="B25634" t="str" xml:space="preserve">
        <v xml:space="preserve">Công an xã An Lạc _x000d_
 tỉnh Yên Bái</v>
      </c>
      <c r="C25634" t="str">
        <v>-</v>
      </c>
      <c r="D25634" t="str">
        <v>-</v>
      </c>
      <c r="E25634" t="str">
        <v/>
      </c>
      <c r="F25634" t="str">
        <v>-</v>
      </c>
      <c r="G25634" t="str">
        <v>-</v>
      </c>
    </row>
    <row r="25635" xml:space="preserve">
      <c r="B25635" t="str" xml:space="preserve">
        <v xml:space="preserve">UBND Ủy ban nhân dân xã An Lạc _x000d_
 tỉnh Yên Bái</v>
      </c>
      <c r="C25635" t="str">
        <v>-</v>
      </c>
      <c r="D25635" t="str">
        <v>-</v>
      </c>
      <c r="E25635" t="str">
        <v>-</v>
      </c>
      <c r="F25635" t="str">
        <v>-</v>
      </c>
      <c r="G25635" t="str">
        <v>-</v>
      </c>
    </row>
    <row r="25636" xml:space="preserve">
      <c r="B25636" t="str" xml:space="preserve">
        <v xml:space="preserve">Công an xã An Lạc _x000d_
 tỉnh Cao Bằng</v>
      </c>
      <c r="C25636" t="str">
        <v>-</v>
      </c>
      <c r="D25636" t="str">
        <v>-</v>
      </c>
      <c r="E25636" t="str">
        <v/>
      </c>
      <c r="F25636" t="str">
        <v>-</v>
      </c>
      <c r="G25636" t="str">
        <v>-</v>
      </c>
    </row>
    <row r="25637" xml:space="preserve">
      <c r="B25637" t="str" xml:space="preserve">
        <v xml:space="preserve">UBND Ủy ban nhân dân xã An Lạc _x000d_
 tỉnh Cao Bằng</v>
      </c>
      <c r="C25637" t="str">
        <v>-</v>
      </c>
      <c r="D25637" t="str">
        <v>-</v>
      </c>
      <c r="E25637" t="str">
        <v>-</v>
      </c>
      <c r="F25637" t="str">
        <v>-</v>
      </c>
      <c r="G25637" t="str">
        <v>-</v>
      </c>
    </row>
    <row r="25638">
      <c r="B25638" t="str">
        <v>Công an Quỳnh Phụ  tỉnh Thái Bình</v>
      </c>
      <c r="C25638" t="str">
        <v>-</v>
      </c>
      <c r="D25638" t="str">
        <v>-</v>
      </c>
      <c r="E25638" t="str">
        <v/>
      </c>
      <c r="F25638" t="str">
        <v>-</v>
      </c>
      <c r="G25638" t="str">
        <v>-</v>
      </c>
    </row>
    <row r="25639">
      <c r="B25639" t="str">
        <v>UBND Ủy ban nhân dân Quỳnh Phụ  tỉnh Thái Bình</v>
      </c>
      <c r="C25639" t="str">
        <v>-</v>
      </c>
      <c r="D25639" t="str">
        <v>-</v>
      </c>
      <c r="E25639" t="str">
        <v>-</v>
      </c>
      <c r="F25639" t="str">
        <v>-</v>
      </c>
      <c r="G25639" t="str">
        <v>-</v>
      </c>
    </row>
    <row r="25640" xml:space="preserve">
      <c r="B25640" t="str" xml:space="preserve">
        <v xml:space="preserve">Công an xã An Minh Bắc _x000d_
 tỉnh Kiên Giang</v>
      </c>
      <c r="C25640" t="str">
        <v>-</v>
      </c>
      <c r="D25640" t="str">
        <v>-</v>
      </c>
      <c r="E25640" t="str">
        <v/>
      </c>
      <c r="F25640" t="str">
        <v>-</v>
      </c>
      <c r="G25640" t="str">
        <v>-</v>
      </c>
    </row>
    <row r="25641" xml:space="preserve">
      <c r="B25641" t="str" xml:space="preserve">
        <v xml:space="preserve">UBND Ủy ban nhân dân xã An Minh Bắc _x000d_
 tỉnh Kiên Giang</v>
      </c>
      <c r="C25641" t="str">
        <v>-</v>
      </c>
      <c r="D25641" t="str">
        <v>-</v>
      </c>
      <c r="E25641" t="str">
        <v>-</v>
      </c>
      <c r="F25641" t="str">
        <v>-</v>
      </c>
      <c r="G25641" t="str">
        <v>-</v>
      </c>
    </row>
    <row r="25642" xml:space="preserve">
      <c r="B25642" t="str" xml:space="preserve">
        <v xml:space="preserve">Công an xã An Nội _x000d_
 tỉnh Hà Nam</v>
      </c>
      <c r="C25642" t="str">
        <v>-</v>
      </c>
      <c r="D25642" t="str">
        <v>-</v>
      </c>
      <c r="E25642" t="str">
        <v/>
      </c>
      <c r="F25642" t="str">
        <v>-</v>
      </c>
      <c r="G25642" t="str">
        <v>-</v>
      </c>
    </row>
    <row r="25643" xml:space="preserve">
      <c r="B25643" t="str" xml:space="preserve">
        <v xml:space="preserve">UBND Ủy ban nhân dân xã An Nội _x000d_
 tỉnh Hà Nam</v>
      </c>
      <c r="C25643" t="str">
        <v>-</v>
      </c>
      <c r="D25643" t="str">
        <v>-</v>
      </c>
      <c r="E25643" t="str">
        <v>-</v>
      </c>
      <c r="F25643" t="str">
        <v>-</v>
      </c>
      <c r="G25643" t="str">
        <v>-</v>
      </c>
    </row>
    <row r="25644">
      <c r="B25644" t="str">
        <v>Công an xã An Ninh tỉnh Sóc Trăng</v>
      </c>
      <c r="C25644" t="str">
        <v>-</v>
      </c>
      <c r="D25644" t="str">
        <v>-</v>
      </c>
      <c r="E25644" t="str">
        <v/>
      </c>
      <c r="F25644" t="str">
        <v>-</v>
      </c>
      <c r="G25644" t="str">
        <v>-</v>
      </c>
    </row>
    <row r="25645">
      <c r="B25645" t="str">
        <v>UBND Ủy ban nhân dân xã An Ninh tỉnh Sóc Trăng</v>
      </c>
      <c r="C25645" t="str">
        <v>-</v>
      </c>
      <c r="D25645" t="str">
        <v>-</v>
      </c>
      <c r="E25645" t="str">
        <v>-</v>
      </c>
      <c r="F25645" t="str">
        <v>-</v>
      </c>
      <c r="G25645" t="str">
        <v>-</v>
      </c>
    </row>
    <row r="25646" xml:space="preserve">
      <c r="B25646" t="str" xml:space="preserve">
        <v xml:space="preserve">Công an xã Công An _x000d_
 tỉnh Thái Bình</v>
      </c>
      <c r="C25646" t="str">
        <v>-</v>
      </c>
      <c r="D25646" t="str">
        <v>-</v>
      </c>
      <c r="E25646" t="str">
        <v/>
      </c>
      <c r="F25646" t="str">
        <v>-</v>
      </c>
      <c r="G25646" t="str">
        <v>-</v>
      </c>
    </row>
    <row r="25647" xml:space="preserve">
      <c r="B25647" t="str" xml:space="preserve">
        <v xml:space="preserve">UBND Ủy ban nhân dân xã Công An _x000d_
 tỉnh Thái Bình</v>
      </c>
      <c r="C25647" t="str">
        <v>-</v>
      </c>
      <c r="D25647" t="str">
        <v>-</v>
      </c>
      <c r="E25647" t="str">
        <v>-</v>
      </c>
      <c r="F25647" t="str">
        <v>-</v>
      </c>
      <c r="G25647" t="str">
        <v>-</v>
      </c>
    </row>
    <row r="25648">
      <c r="B25648" t="str">
        <v>Công an xã An Phú tỉnh Yên Bái</v>
      </c>
      <c r="C25648" t="str">
        <v>-</v>
      </c>
      <c r="D25648" t="str">
        <v>-</v>
      </c>
      <c r="E25648" t="str">
        <v/>
      </c>
      <c r="F25648" t="str">
        <v>-</v>
      </c>
      <c r="G25648" t="str">
        <v>-</v>
      </c>
    </row>
    <row r="25649">
      <c r="B25649" t="str">
        <v>UBND Ủy ban nhân dân xã An Phú tỉnh Yên Bái</v>
      </c>
      <c r="C25649" t="str">
        <v>-</v>
      </c>
      <c r="D25649" t="str">
        <v>-</v>
      </c>
      <c r="E25649" t="str">
        <v>-</v>
      </c>
      <c r="F25649" t="str">
        <v>-</v>
      </c>
      <c r="G25649" t="str">
        <v>-</v>
      </c>
    </row>
    <row r="25650">
      <c r="B25650" t="str">
        <v>Công an xã An Phú Trung tỉnh Bến Tre</v>
      </c>
      <c r="C25650" t="str">
        <v>-</v>
      </c>
      <c r="D25650" t="str">
        <v>-</v>
      </c>
      <c r="E25650" t="str">
        <v/>
      </c>
      <c r="F25650" t="str">
        <v>-</v>
      </c>
      <c r="G25650" t="str">
        <v>-</v>
      </c>
    </row>
    <row r="25651">
      <c r="B25651" t="str">
        <v>UBND Ủy ban nhân dân xã An Phú Trung tỉnh Bến Tre</v>
      </c>
      <c r="C25651" t="str">
        <v>-</v>
      </c>
      <c r="D25651" t="str">
        <v>-</v>
      </c>
      <c r="E25651" t="str">
        <v>-</v>
      </c>
      <c r="F25651" t="str">
        <v>-</v>
      </c>
      <c r="G25651" t="str">
        <v>-</v>
      </c>
    </row>
    <row r="25652">
      <c r="B25652" t="str">
        <v>Công an xã An Phước tỉnh Vĩnh Long</v>
      </c>
      <c r="C25652" t="str">
        <v>-</v>
      </c>
      <c r="D25652" t="str">
        <v>-</v>
      </c>
      <c r="E25652" t="str">
        <v/>
      </c>
      <c r="F25652" t="str">
        <v>-</v>
      </c>
      <c r="G25652" t="str">
        <v>-</v>
      </c>
    </row>
    <row r="25653">
      <c r="B25653" t="str">
        <v>UBND Ủy ban nhân dân xã An Phước tỉnh Vĩnh Long</v>
      </c>
      <c r="C25653" t="str">
        <v>-</v>
      </c>
      <c r="D25653" t="str">
        <v>-</v>
      </c>
      <c r="E25653" t="str">
        <v>-</v>
      </c>
      <c r="F25653" t="str">
        <v>-</v>
      </c>
      <c r="G25653" t="str">
        <v>-</v>
      </c>
    </row>
    <row r="25654">
      <c r="B25654" t="str">
        <v>Công an xã An Quý  tỉnh Thái Bình</v>
      </c>
      <c r="C25654" t="str">
        <v>-</v>
      </c>
      <c r="D25654" t="str">
        <v>-</v>
      </c>
      <c r="E25654" t="str">
        <v/>
      </c>
      <c r="F25654" t="str">
        <v>-</v>
      </c>
      <c r="G25654" t="str">
        <v>-</v>
      </c>
    </row>
    <row r="25655">
      <c r="B25655" t="str">
        <v>UBND Ủy ban nhân dân xã An Quý  tỉnh Thái Bình</v>
      </c>
      <c r="C25655" t="str">
        <v>-</v>
      </c>
      <c r="D25655" t="str">
        <v>-</v>
      </c>
      <c r="E25655" t="str">
        <v>-</v>
      </c>
      <c r="F25655" t="str">
        <v>-</v>
      </c>
      <c r="G25655" t="str">
        <v>-</v>
      </c>
    </row>
    <row r="25656">
      <c r="B25656" t="str">
        <v>Công an xã An Qui tỉnh Bến Tre</v>
      </c>
      <c r="C25656" t="str">
        <v>-</v>
      </c>
      <c r="D25656" t="str">
        <v>-</v>
      </c>
      <c r="E25656" t="str">
        <v/>
      </c>
      <c r="F25656" t="str">
        <v>-</v>
      </c>
      <c r="G25656" t="str">
        <v>-</v>
      </c>
    </row>
    <row r="25657">
      <c r="B25657" t="str">
        <v>UBND Ủy ban nhân dân xã An Qui tỉnh Bến Tre</v>
      </c>
      <c r="C25657" t="str">
        <v>-</v>
      </c>
      <c r="D25657" t="str">
        <v>-</v>
      </c>
      <c r="E25657" t="str">
        <v>-</v>
      </c>
      <c r="F25657" t="str">
        <v>-</v>
      </c>
      <c r="G25657" t="str">
        <v>-</v>
      </c>
    </row>
    <row r="25658" xml:space="preserve">
      <c r="B25658" t="str" xml:space="preserve">
        <v xml:space="preserve">Công an xã An Sinh _x000d_
 tỉnh Quảng Ninh</v>
      </c>
      <c r="C25658" t="str">
        <v>-</v>
      </c>
      <c r="D25658" t="str">
        <v>-</v>
      </c>
      <c r="E25658" t="str">
        <v/>
      </c>
      <c r="F25658" t="str">
        <v>-</v>
      </c>
      <c r="G25658" t="str">
        <v>-</v>
      </c>
    </row>
    <row r="25659" xml:space="preserve">
      <c r="B25659" t="str" xml:space="preserve">
        <v xml:space="preserve">UBND Ủy ban nhân dân xã An Sinh _x000d_
 tỉnh Quảng Ninh</v>
      </c>
      <c r="C25659" t="str">
        <v>-</v>
      </c>
      <c r="D25659" t="str">
        <v>-</v>
      </c>
      <c r="E25659" t="str">
        <v>-</v>
      </c>
      <c r="F25659" t="str">
        <v>-</v>
      </c>
      <c r="G25659" t="str">
        <v>-</v>
      </c>
    </row>
    <row r="25660" xml:space="preserve">
      <c r="B25660" t="str" xml:space="preserve">
        <v xml:space="preserve">Công an xã An Thái _x000d_
 tỉnh Quảng Ninh</v>
      </c>
      <c r="C25660" t="str">
        <v>-</v>
      </c>
      <c r="D25660" t="str">
        <v>-</v>
      </c>
      <c r="E25660" t="str">
        <v/>
      </c>
      <c r="F25660" t="str">
        <v>-</v>
      </c>
      <c r="G25660" t="str">
        <v>-</v>
      </c>
    </row>
    <row r="25661" xml:space="preserve">
      <c r="B25661" t="str" xml:space="preserve">
        <v xml:space="preserve">UBND Ủy ban nhân dân xã An Thái _x000d_
 tỉnh Quảng Ninh</v>
      </c>
      <c r="C25661" t="str">
        <v>-</v>
      </c>
      <c r="D25661" t="str">
        <v>-</v>
      </c>
      <c r="E25661" t="str">
        <v>-</v>
      </c>
      <c r="F25661" t="str">
        <v>-</v>
      </c>
      <c r="G25661" t="str">
        <v>-</v>
      </c>
    </row>
    <row r="25662">
      <c r="B25662" t="str">
        <v>Công an xã An Thới tỉnh Bến Tre</v>
      </c>
      <c r="C25662" t="str">
        <v>-</v>
      </c>
      <c r="D25662" t="str">
        <v>-</v>
      </c>
      <c r="E25662" t="str">
        <v/>
      </c>
      <c r="F25662" t="str">
        <v>-</v>
      </c>
      <c r="G25662" t="str">
        <v>-</v>
      </c>
    </row>
    <row r="25663">
      <c r="B25663" t="str">
        <v>UBND Ủy ban nhân dân xã An Thới tỉnh Bến Tre</v>
      </c>
      <c r="C25663" t="str">
        <v>-</v>
      </c>
      <c r="D25663" t="str">
        <v>-</v>
      </c>
      <c r="E25663" t="str">
        <v>-</v>
      </c>
      <c r="F25663" t="str">
        <v>-</v>
      </c>
      <c r="G25663" t="str">
        <v>-</v>
      </c>
    </row>
    <row r="25664" xml:space="preserve">
      <c r="B25664" t="str" xml:space="preserve">
        <v xml:space="preserve">Công an xã An Thanh _x000d_
 tỉnh Hải Dương</v>
      </c>
      <c r="C25664" t="str">
        <v>-</v>
      </c>
      <c r="D25664" t="str">
        <v>-</v>
      </c>
      <c r="E25664" t="str">
        <v/>
      </c>
      <c r="F25664" t="str">
        <v>-</v>
      </c>
      <c r="G25664" t="str">
        <v>-</v>
      </c>
    </row>
    <row r="25665" xml:space="preserve">
      <c r="B25665" t="str" xml:space="preserve">
        <v xml:space="preserve">UBND Ủy ban nhân dân xã An Thanh _x000d_
 tỉnh Hải Dương</v>
      </c>
      <c r="C25665" t="str">
        <v>-</v>
      </c>
      <c r="D25665" t="str">
        <v>-</v>
      </c>
      <c r="E25665" t="str">
        <v>-</v>
      </c>
      <c r="F25665" t="str">
        <v>-</v>
      </c>
      <c r="G25665" t="str">
        <v>-</v>
      </c>
    </row>
    <row r="25666" xml:space="preserve">
      <c r="B25666" t="str" xml:space="preserve">
        <v xml:space="preserve">Công an xã An Thanh _x000d_
 tỉnh Thái Bình</v>
      </c>
      <c r="C25666" t="str">
        <v>-</v>
      </c>
      <c r="D25666" t="str">
        <v>-</v>
      </c>
      <c r="E25666" t="str">
        <v/>
      </c>
      <c r="F25666" t="str">
        <v>-</v>
      </c>
      <c r="G25666" t="str">
        <v>-</v>
      </c>
    </row>
    <row r="25667" xml:space="preserve">
      <c r="B25667" t="str" xml:space="preserve">
        <v xml:space="preserve">UBND Ủy ban nhân dân xã An Thanh _x000d_
 tỉnh Thái Bình</v>
      </c>
      <c r="C25667" t="str">
        <v>-</v>
      </c>
      <c r="D25667" t="str">
        <v>-</v>
      </c>
      <c r="E25667" t="str">
        <v>-</v>
      </c>
      <c r="F25667" t="str">
        <v>-</v>
      </c>
      <c r="G25667" t="str">
        <v>-</v>
      </c>
    </row>
    <row r="25668">
      <c r="B25668" t="str">
        <v>Công an xã An Thuận tỉnh Bến Tre</v>
      </c>
      <c r="C25668" t="str">
        <v>-</v>
      </c>
      <c r="D25668" t="str">
        <v>-</v>
      </c>
      <c r="E25668" t="str">
        <v/>
      </c>
      <c r="F25668" t="str">
        <v>-</v>
      </c>
      <c r="G25668" t="str">
        <v>-</v>
      </c>
    </row>
    <row r="25669">
      <c r="B25669" t="str">
        <v>UBND Ủy ban nhân dân xã An Thuận tỉnh Bến Tre</v>
      </c>
      <c r="C25669" t="str">
        <v>-</v>
      </c>
      <c r="D25669" t="str">
        <v>-</v>
      </c>
      <c r="E25669" t="str">
        <v>-</v>
      </c>
      <c r="F25669" t="str">
        <v>-</v>
      </c>
      <c r="G25669" t="str">
        <v>-</v>
      </c>
    </row>
    <row r="25670" xml:space="preserve">
      <c r="B25670" t="str" xml:space="preserve">
        <v xml:space="preserve">Công an xã An Toàn _x000d_
 tỉnh Bình Định</v>
      </c>
      <c r="C25670" t="str">
        <v>-</v>
      </c>
      <c r="D25670" t="str">
        <v>-</v>
      </c>
      <c r="E25670" t="str">
        <v/>
      </c>
      <c r="F25670" t="str">
        <v>-</v>
      </c>
      <c r="G25670" t="str">
        <v>-</v>
      </c>
    </row>
    <row r="25671" xml:space="preserve">
      <c r="B25671" t="str" xml:space="preserve">
        <v xml:space="preserve">UBND Ủy ban nhân dân xã An Toàn _x000d_
 tỉnh Bình Định</v>
      </c>
      <c r="C25671" t="str">
        <v>-</v>
      </c>
      <c r="D25671" t="str">
        <v>-</v>
      </c>
      <c r="E25671" t="str">
        <v>-</v>
      </c>
      <c r="F25671" t="str">
        <v>-</v>
      </c>
      <c r="G25671" t="str">
        <v>-</v>
      </c>
    </row>
    <row r="25672" xml:space="preserve">
      <c r="B25672" t="str" xml:space="preserve">
        <v xml:space="preserve">Công an xã An Tràng _x000d_
 tỉnh Thái Bình</v>
      </c>
      <c r="C25672" t="str">
        <v>-</v>
      </c>
      <c r="D25672" t="str">
        <v>-</v>
      </c>
      <c r="E25672" t="str">
        <v/>
      </c>
      <c r="F25672" t="str">
        <v>-</v>
      </c>
      <c r="G25672" t="str">
        <v>-</v>
      </c>
    </row>
    <row r="25673" xml:space="preserve">
      <c r="B25673" t="str" xml:space="preserve">
        <v xml:space="preserve">UBND Ủy ban nhân dân xã An Tràng _x000d_
 tỉnh Thái Bình</v>
      </c>
      <c r="C25673" t="str">
        <v>-</v>
      </c>
      <c r="D25673" t="str">
        <v>-</v>
      </c>
      <c r="E25673" t="str">
        <v>-</v>
      </c>
      <c r="F25673" t="str">
        <v>-</v>
      </c>
      <c r="G25673" t="str">
        <v>-</v>
      </c>
    </row>
    <row r="25674" xml:space="preserve">
      <c r="B25674" t="str" xml:space="preserve">
        <v xml:space="preserve">Công an xã An Trường A _x000d_
 tỉnh Trà Vinh</v>
      </c>
      <c r="C25674" t="str">
        <v>-</v>
      </c>
      <c r="D25674" t="str">
        <v>-</v>
      </c>
      <c r="E25674" t="str">
        <v/>
      </c>
      <c r="F25674" t="str">
        <v>-</v>
      </c>
      <c r="G25674" t="str">
        <v>-</v>
      </c>
    </row>
    <row r="25675" xml:space="preserve">
      <c r="B25675" t="str" xml:space="preserve">
        <v xml:space="preserve">UBND Ủy ban nhân dân xã An Trường A _x000d_
 tỉnh Trà Vinh</v>
      </c>
      <c r="C25675" t="str">
        <v>-</v>
      </c>
      <c r="D25675" t="str">
        <v>-</v>
      </c>
      <c r="E25675" t="str">
        <v>-</v>
      </c>
      <c r="F25675" t="str">
        <v>-</v>
      </c>
      <c r="G25675" t="str">
        <v>-</v>
      </c>
    </row>
    <row r="25676" xml:space="preserve">
      <c r="B25676" t="str" xml:space="preserve">
        <v xml:space="preserve">Công an xã An Vinh _x000d_
 tỉnh Bình Định</v>
      </c>
      <c r="C25676" t="str">
        <v>-</v>
      </c>
      <c r="D25676" t="str">
        <v>-</v>
      </c>
      <c r="E25676" t="str">
        <v/>
      </c>
      <c r="F25676" t="str">
        <v>-</v>
      </c>
      <c r="G25676" t="str">
        <v>-</v>
      </c>
    </row>
    <row r="25677" xml:space="preserve">
      <c r="B25677" t="str" xml:space="preserve">
        <v xml:space="preserve">UBND Ủy ban nhân dân xã An Vinh _x000d_
 tỉnh Bình Định</v>
      </c>
      <c r="C25677" t="str">
        <v>-</v>
      </c>
      <c r="D25677" t="str">
        <v>-</v>
      </c>
      <c r="E25677" t="str">
        <v>-</v>
      </c>
      <c r="F25677" t="str">
        <v>-</v>
      </c>
      <c r="G25677" t="str">
        <v>-</v>
      </c>
    </row>
    <row r="25678" xml:space="preserve">
      <c r="B25678" t="str" xml:space="preserve">
        <v xml:space="preserve">Công an xã An Vinh _x000d_
 tỉnh Thái Bình</v>
      </c>
      <c r="C25678" t="str">
        <v>-</v>
      </c>
      <c r="D25678" t="str">
        <v>-</v>
      </c>
      <c r="E25678" t="str">
        <v/>
      </c>
      <c r="F25678" t="str">
        <v>-</v>
      </c>
      <c r="G25678" t="str">
        <v>-</v>
      </c>
    </row>
    <row r="25679" xml:space="preserve">
      <c r="B25679" t="str" xml:space="preserve">
        <v xml:space="preserve">UBND Ủy ban nhân dân xã An Vinh _x000d_
 tỉnh Thái Bình</v>
      </c>
      <c r="C25679" t="str">
        <v>-</v>
      </c>
      <c r="D25679" t="str">
        <v>-</v>
      </c>
      <c r="E25679" t="str">
        <v>-</v>
      </c>
      <c r="F25679" t="str">
        <v>-</v>
      </c>
      <c r="G25679" t="str">
        <v>-</v>
      </c>
    </row>
    <row r="25680" xml:space="preserve">
      <c r="B25680" t="str" xml:space="preserve">
        <v xml:space="preserve">Công an xã An Vinh _x000d_
 tỉnh Thái Bình</v>
      </c>
      <c r="C25680" t="str">
        <v>-</v>
      </c>
      <c r="D25680" t="str">
        <v>-</v>
      </c>
      <c r="E25680" t="str">
        <v/>
      </c>
      <c r="F25680" t="str">
        <v>-</v>
      </c>
      <c r="G25680" t="str">
        <v>-</v>
      </c>
    </row>
    <row r="25681" xml:space="preserve">
      <c r="B25681" t="str" xml:space="preserve">
        <v xml:space="preserve">UBND Ủy ban nhân dân xã An Vinh _x000d_
 tỉnh Thái Bình</v>
      </c>
      <c r="C25681" t="str">
        <v>-</v>
      </c>
      <c r="D25681" t="str">
        <v>-</v>
      </c>
      <c r="E25681" t="str">
        <v>-</v>
      </c>
      <c r="F25681" t="str">
        <v>-</v>
      </c>
      <c r="G25681" t="str">
        <v>-</v>
      </c>
    </row>
    <row r="25682">
      <c r="B25682" t="str">
        <v>Công an xã Bàn Đạt tỉnh Thái Nguyên</v>
      </c>
      <c r="C25682" t="str">
        <v>-</v>
      </c>
      <c r="D25682" t="str">
        <v>-</v>
      </c>
      <c r="E25682" t="str">
        <v/>
      </c>
      <c r="F25682" t="str">
        <v>-</v>
      </c>
      <c r="G25682" t="str">
        <v>-</v>
      </c>
    </row>
    <row r="25683">
      <c r="B25683" t="str">
        <v>UBND Ủy ban nhân dân xã Bàn Đạt tỉnh Thái Nguyên</v>
      </c>
      <c r="C25683" t="str">
        <v>-</v>
      </c>
      <c r="D25683" t="str">
        <v>-</v>
      </c>
      <c r="E25683" t="str">
        <v>-</v>
      </c>
      <c r="F25683" t="str">
        <v>-</v>
      </c>
      <c r="G25683" t="str">
        <v>-</v>
      </c>
    </row>
    <row r="25684">
      <c r="B25684" t="str">
        <v>Công an xã Bách Thuận tỉnh Thái Bình</v>
      </c>
      <c r="C25684" t="str">
        <v>-</v>
      </c>
      <c r="D25684" t="str">
        <v>-</v>
      </c>
      <c r="E25684" t="str">
        <v/>
      </c>
      <c r="F25684" t="str">
        <v>-</v>
      </c>
      <c r="G25684" t="str">
        <v>-</v>
      </c>
    </row>
    <row r="25685">
      <c r="B25685" t="str">
        <v>UBND Ủy ban nhân dân xã Bách Thuận tỉnh Thái Bình</v>
      </c>
      <c r="C25685" t="str">
        <v>-</v>
      </c>
      <c r="D25685" t="str">
        <v>-</v>
      </c>
      <c r="E25685" t="str">
        <v>-</v>
      </c>
      <c r="F25685" t="str">
        <v>-</v>
      </c>
      <c r="G25685" t="str">
        <v>-</v>
      </c>
    </row>
    <row r="25686" xml:space="preserve">
      <c r="B25686" t="str" xml:space="preserve">
        <v xml:space="preserve">Công an xã Báo Đáp _x000d_
 tỉnh Thanh Hóa</v>
      </c>
      <c r="C25686" t="str">
        <v>-</v>
      </c>
      <c r="D25686" t="str">
        <v>-</v>
      </c>
      <c r="E25686" t="str">
        <v/>
      </c>
      <c r="F25686" t="str">
        <v>-</v>
      </c>
      <c r="G25686" t="str">
        <v>-</v>
      </c>
    </row>
    <row r="25687" xml:space="preserve">
      <c r="B25687" t="str" xml:space="preserve">
        <v xml:space="preserve">UBND Ủy ban nhân dân xã Báo Đáp _x000d_
 tỉnh Thanh Hóa</v>
      </c>
      <c r="C25687" t="str">
        <v>-</v>
      </c>
      <c r="D25687" t="str">
        <v>-</v>
      </c>
      <c r="E25687" t="str">
        <v>-</v>
      </c>
      <c r="F25687" t="str">
        <v>-</v>
      </c>
      <c r="G25687" t="str">
        <v>-</v>
      </c>
    </row>
    <row r="25688">
      <c r="B25688" t="str">
        <v>Công an xã Bát Mọt  tỉnh Thanh Hóa</v>
      </c>
      <c r="C25688" t="str">
        <v>-</v>
      </c>
      <c r="D25688" t="str">
        <v>-</v>
      </c>
      <c r="E25688" t="str">
        <v/>
      </c>
      <c r="F25688" t="str">
        <v>-</v>
      </c>
      <c r="G25688" t="str">
        <v>-</v>
      </c>
    </row>
    <row r="25689">
      <c r="B25689" t="str">
        <v>UBND Ủy ban nhân dân xã Bát Mọt  tỉnh Thanh Hóa</v>
      </c>
      <c r="C25689" t="str">
        <v>-</v>
      </c>
      <c r="D25689" t="str">
        <v>-</v>
      </c>
      <c r="E25689" t="str">
        <v>-</v>
      </c>
      <c r="F25689" t="str">
        <v>-</v>
      </c>
      <c r="G25689" t="str">
        <v>-</v>
      </c>
    </row>
    <row r="25690">
      <c r="B25690" t="str">
        <v>Công an xã Bãi Trành tỉnh Thanh Hóa</v>
      </c>
      <c r="C25690" t="str">
        <v>-</v>
      </c>
      <c r="D25690" t="str">
        <v>-</v>
      </c>
      <c r="E25690" t="str">
        <v/>
      </c>
      <c r="F25690" t="str">
        <v>-</v>
      </c>
      <c r="G25690" t="str">
        <v>-</v>
      </c>
    </row>
    <row r="25691">
      <c r="B25691" t="str">
        <v>UBND Ủy ban nhân dân xã Bãi Trành tỉnh Thanh Hóa</v>
      </c>
      <c r="C25691" t="str">
        <v>-</v>
      </c>
      <c r="D25691" t="str">
        <v>-</v>
      </c>
      <c r="E25691" t="str">
        <v>-</v>
      </c>
      <c r="F25691" t="str">
        <v>-</v>
      </c>
      <c r="G25691" t="str">
        <v>-</v>
      </c>
    </row>
    <row r="25692">
      <c r="B25692" t="str">
        <v>Công an xã Bình Định tỉnh Bắc Ninh</v>
      </c>
      <c r="C25692" t="str">
        <v>-</v>
      </c>
      <c r="D25692" t="str">
        <v>-</v>
      </c>
      <c r="E25692" t="str">
        <v/>
      </c>
      <c r="F25692" t="str">
        <v>-</v>
      </c>
      <c r="G25692" t="str">
        <v>-</v>
      </c>
    </row>
    <row r="25693">
      <c r="B25693" t="str">
        <v>UBND Ủy ban nhân dân xã Bình Định tỉnh Bắc Ninh</v>
      </c>
      <c r="C25693" t="str">
        <v>-</v>
      </c>
      <c r="D25693" t="str">
        <v>-</v>
      </c>
      <c r="E25693" t="str">
        <v>-</v>
      </c>
      <c r="F25693" t="str">
        <v>-</v>
      </c>
      <c r="G25693" t="str">
        <v>-</v>
      </c>
    </row>
    <row r="25694" xml:space="preserve">
      <c r="B25694" t="str" xml:space="preserve">
        <v xml:space="preserve">Công an xã Bình An _x000d_
 tỉnh Hà Tĩnh</v>
      </c>
      <c r="C25694" t="str">
        <v>-</v>
      </c>
      <c r="D25694" t="str">
        <v>-</v>
      </c>
      <c r="E25694" t="str">
        <v/>
      </c>
      <c r="F25694" t="str">
        <v>-</v>
      </c>
      <c r="G25694" t="str">
        <v>-</v>
      </c>
    </row>
    <row r="25695" xml:space="preserve">
      <c r="B25695" t="str" xml:space="preserve">
        <v xml:space="preserve">UBND Ủy ban nhân dân xã Bình An _x000d_
 tỉnh Hà Tĩnh</v>
      </c>
      <c r="C25695" t="str">
        <v>-</v>
      </c>
      <c r="D25695" t="str">
        <v>-</v>
      </c>
      <c r="E25695" t="str">
        <v>-</v>
      </c>
      <c r="F25695" t="str">
        <v>-</v>
      </c>
      <c r="G25695" t="str">
        <v>-</v>
      </c>
    </row>
    <row r="25696">
      <c r="B25696" t="str">
        <v>Công an xã Bình Dân  tỉnh Hải Dương</v>
      </c>
      <c r="C25696" t="str">
        <v>-</v>
      </c>
      <c r="D25696" t="str">
        <v>-</v>
      </c>
      <c r="E25696" t="str">
        <v/>
      </c>
      <c r="F25696" t="str">
        <v>-</v>
      </c>
      <c r="G25696" t="str">
        <v>-</v>
      </c>
    </row>
    <row r="25697">
      <c r="B25697" t="str">
        <v>UBND Ủy ban nhân dân xã Bình Dân  tỉnh Hải Dương</v>
      </c>
      <c r="C25697" t="str">
        <v>-</v>
      </c>
      <c r="D25697" t="str">
        <v>-</v>
      </c>
      <c r="E25697" t="str">
        <v>-</v>
      </c>
      <c r="F25697" t="str">
        <v>-</v>
      </c>
      <c r="G25697" t="str">
        <v>-</v>
      </c>
    </row>
    <row r="25698" xml:space="preserve">
      <c r="B25698" t="str" xml:space="preserve">
        <v xml:space="preserve">Công an xã Bình Dương _x000d_
 tỉnh Cao Bằng</v>
      </c>
      <c r="C25698" t="str">
        <v>-</v>
      </c>
      <c r="D25698" t="str">
        <v>-</v>
      </c>
      <c r="E25698" t="str">
        <v/>
      </c>
      <c r="F25698" t="str">
        <v>-</v>
      </c>
      <c r="G25698" t="str">
        <v>-</v>
      </c>
    </row>
    <row r="25699" xml:space="preserve">
      <c r="B25699" t="str" xml:space="preserve">
        <v xml:space="preserve">UBND Ủy ban nhân dân xã Bình Dương _x000d_
 tỉnh Cao Bằng</v>
      </c>
      <c r="C25699" t="str">
        <v>-</v>
      </c>
      <c r="D25699" t="str">
        <v>-</v>
      </c>
      <c r="E25699" t="str">
        <v>-</v>
      </c>
      <c r="F25699" t="str">
        <v>-</v>
      </c>
      <c r="G25699" t="str">
        <v>-</v>
      </c>
    </row>
    <row r="25700" xml:space="preserve">
      <c r="B25700" t="str" xml:space="preserve">
        <v xml:space="preserve">Công an xã Bình Dương _x000d_
 tỉnh Cao Bằng</v>
      </c>
      <c r="C25700" t="str">
        <v>-</v>
      </c>
      <c r="D25700" t="str">
        <v>-</v>
      </c>
      <c r="E25700" t="str">
        <v/>
      </c>
      <c r="F25700" t="str">
        <v>-</v>
      </c>
      <c r="G25700" t="str">
        <v>-</v>
      </c>
    </row>
    <row r="25701" xml:space="preserve">
      <c r="B25701" t="str" xml:space="preserve">
        <v xml:space="preserve">UBND Ủy ban nhân dân xã Bình Dương _x000d_
 tỉnh Cao Bằng</v>
      </c>
      <c r="C25701" t="str">
        <v>-</v>
      </c>
      <c r="D25701" t="str">
        <v>-</v>
      </c>
      <c r="E25701" t="str">
        <v>-</v>
      </c>
      <c r="F25701" t="str">
        <v>-</v>
      </c>
      <c r="G25701" t="str">
        <v>-</v>
      </c>
    </row>
    <row r="25702">
      <c r="B25702" t="str">
        <v>Công an xã Bình Kiều tỉnh Hưng Yên</v>
      </c>
      <c r="C25702" t="str">
        <v>-</v>
      </c>
      <c r="D25702" t="str">
        <v>-</v>
      </c>
      <c r="E25702" t="str">
        <v/>
      </c>
      <c r="F25702" t="str">
        <v>-</v>
      </c>
      <c r="G25702" t="str">
        <v>-</v>
      </c>
    </row>
    <row r="25703">
      <c r="B25703" t="str">
        <v>UBND Ủy ban nhân dân xã Bình Kiều tỉnh Hưng Yên</v>
      </c>
      <c r="C25703" t="str">
        <v>-</v>
      </c>
      <c r="D25703" t="str">
        <v>-</v>
      </c>
      <c r="E25703" t="str">
        <v>-</v>
      </c>
      <c r="F25703" t="str">
        <v>-</v>
      </c>
      <c r="G25703" t="str">
        <v>-</v>
      </c>
    </row>
    <row r="25704" xml:space="preserve">
      <c r="B25704" t="str" xml:space="preserve">
        <v xml:space="preserve">Công an xã Bình Lợi _x000d_
 tỉnh Đồng Nai</v>
      </c>
      <c r="C25704" t="str">
        <v>-</v>
      </c>
      <c r="D25704" t="str">
        <v>-</v>
      </c>
      <c r="E25704" t="str">
        <v/>
      </c>
      <c r="F25704" t="str">
        <v>-</v>
      </c>
      <c r="G25704" t="str">
        <v>-</v>
      </c>
    </row>
    <row r="25705" xml:space="preserve">
      <c r="B25705" t="str" xml:space="preserve">
        <v xml:space="preserve">UBND Ủy ban nhân dân xã Bình Lợi _x000d_
 tỉnh Đồng Nai</v>
      </c>
      <c r="C25705" t="str">
        <v>-</v>
      </c>
      <c r="D25705" t="str">
        <v>-</v>
      </c>
      <c r="E25705" t="str">
        <v>-</v>
      </c>
      <c r="F25705" t="str">
        <v>-</v>
      </c>
      <c r="G25705" t="str">
        <v>-</v>
      </c>
    </row>
    <row r="25706" xml:space="preserve">
      <c r="B25706" t="str" xml:space="preserve">
        <v xml:space="preserve">Công an xã Bình La _x000d_
 tỉnh Lạng Sơn</v>
      </c>
      <c r="C25706" t="str">
        <v>-</v>
      </c>
      <c r="D25706" t="str">
        <v>-</v>
      </c>
      <c r="E25706" t="str">
        <v/>
      </c>
      <c r="F25706" t="str">
        <v>-</v>
      </c>
      <c r="G25706" t="str">
        <v>-</v>
      </c>
    </row>
    <row r="25707" xml:space="preserve">
      <c r="B25707" t="str" xml:space="preserve">
        <v xml:space="preserve">UBND Ủy ban nhân dân xã Bình La _x000d_
 tỉnh Lạng Sơn</v>
      </c>
      <c r="C25707" t="str">
        <v>-</v>
      </c>
      <c r="D25707" t="str">
        <v>-</v>
      </c>
      <c r="E25707" t="str">
        <v>-</v>
      </c>
      <c r="F25707" t="str">
        <v>-</v>
      </c>
      <c r="G25707" t="str">
        <v>-</v>
      </c>
    </row>
    <row r="25708">
      <c r="B25708" t="str">
        <v>Công an xã Bình Nhân tỉnh Tuyên Quang</v>
      </c>
      <c r="C25708" t="str">
        <v>-</v>
      </c>
      <c r="D25708" t="str">
        <v>-</v>
      </c>
      <c r="E25708" t="str">
        <v/>
      </c>
      <c r="F25708" t="str">
        <v>-</v>
      </c>
      <c r="G25708" t="str">
        <v>-</v>
      </c>
    </row>
    <row r="25709">
      <c r="B25709" t="str">
        <v>UBND Ủy ban nhân dân xã Bình Nhân tỉnh Tuyên Quang</v>
      </c>
      <c r="C25709" t="str">
        <v>-</v>
      </c>
      <c r="D25709" t="str">
        <v>-</v>
      </c>
      <c r="E25709" t="str">
        <v>-</v>
      </c>
      <c r="F25709" t="str">
        <v>-</v>
      </c>
      <c r="G25709" t="str">
        <v>-</v>
      </c>
    </row>
    <row r="25710">
      <c r="B25710" t="str">
        <v>Công an xã Bình Phú tỉnh Bến Tre</v>
      </c>
      <c r="C25710" t="str">
        <v>-</v>
      </c>
      <c r="D25710" t="str">
        <v>-</v>
      </c>
      <c r="E25710" t="str">
        <v/>
      </c>
      <c r="F25710" t="str">
        <v>-</v>
      </c>
      <c r="G25710" t="str">
        <v>-</v>
      </c>
    </row>
    <row r="25711">
      <c r="B25711" t="str">
        <v>UBND Ủy ban nhân dân xã Bình Phú tỉnh Bến Tre</v>
      </c>
      <c r="C25711" t="str">
        <v>-</v>
      </c>
      <c r="D25711" t="str">
        <v>-</v>
      </c>
      <c r="E25711" t="str">
        <v>-</v>
      </c>
      <c r="F25711" t="str">
        <v>-</v>
      </c>
      <c r="G25711" t="str">
        <v>-</v>
      </c>
    </row>
    <row r="25712" xml:space="preserve">
      <c r="B25712" t="str" xml:space="preserve">
        <v xml:space="preserve">Công an xã Bình Phú _x000d_
 tỉnh Quảng Nam</v>
      </c>
      <c r="C25712" t="str">
        <v>-</v>
      </c>
      <c r="D25712" t="str">
        <v>-</v>
      </c>
      <c r="E25712" t="str">
        <v/>
      </c>
      <c r="F25712" t="str">
        <v>-</v>
      </c>
      <c r="G25712" t="str">
        <v>-</v>
      </c>
    </row>
    <row r="25713" xml:space="preserve">
      <c r="B25713" t="str" xml:space="preserve">
        <v xml:space="preserve">UBND Ủy ban nhân dân xã Bình Phú _x000d_
 tỉnh Quảng Nam</v>
      </c>
      <c r="C25713" t="str">
        <v>-</v>
      </c>
      <c r="D25713" t="str">
        <v>-</v>
      </c>
      <c r="E25713" t="str">
        <v>-</v>
      </c>
      <c r="F25713" t="str">
        <v>-</v>
      </c>
      <c r="G25713" t="str">
        <v>-</v>
      </c>
    </row>
    <row r="25714">
      <c r="B25714" t="str">
        <v>Công an xã Bình Phú tỉnh Phú Thọ</v>
      </c>
      <c r="C25714" t="str">
        <v>-</v>
      </c>
      <c r="D25714" t="str">
        <v>-</v>
      </c>
      <c r="E25714" t="str">
        <v/>
      </c>
      <c r="F25714" t="str">
        <v>-</v>
      </c>
      <c r="G25714" t="str">
        <v>-</v>
      </c>
    </row>
    <row r="25715">
      <c r="B25715" t="str">
        <v>UBND Ủy ban nhân dân xã Bình Phú tỉnh Phú Thọ</v>
      </c>
      <c r="C25715" t="str">
        <v>-</v>
      </c>
      <c r="D25715" t="str">
        <v>-</v>
      </c>
      <c r="E25715" t="str">
        <v>-</v>
      </c>
      <c r="F25715" t="str">
        <v>-</v>
      </c>
      <c r="G25715" t="str">
        <v>-</v>
      </c>
    </row>
    <row r="25716">
      <c r="B25716" t="str">
        <v>Công an xã Bình Phú tỉnh Trà Vinh</v>
      </c>
      <c r="C25716" t="str">
        <v>-</v>
      </c>
      <c r="D25716" t="str">
        <v>-</v>
      </c>
      <c r="E25716" t="str">
        <v/>
      </c>
      <c r="F25716" t="str">
        <v>-</v>
      </c>
      <c r="G25716" t="str">
        <v>-</v>
      </c>
    </row>
    <row r="25717">
      <c r="B25717" t="str">
        <v>UBND Ủy ban nhân dân xã Bình Phú tỉnh Trà Vinh</v>
      </c>
      <c r="C25717" t="str">
        <v>-</v>
      </c>
      <c r="D25717" t="str">
        <v>-</v>
      </c>
      <c r="E25717" t="str">
        <v>-</v>
      </c>
      <c r="F25717" t="str">
        <v>-</v>
      </c>
      <c r="G25717" t="str">
        <v>-</v>
      </c>
    </row>
    <row r="25718" xml:space="preserve">
      <c r="B25718" t="str" xml:space="preserve">
        <v xml:space="preserve">Công an xã Bình Phước _x000d_
 tỉnh Quảng Ngãi</v>
      </c>
      <c r="C25718" t="str">
        <v>-</v>
      </c>
      <c r="D25718" t="str">
        <v>-</v>
      </c>
      <c r="E25718" t="str">
        <v/>
      </c>
      <c r="F25718" t="str">
        <v>-</v>
      </c>
      <c r="G25718" t="str">
        <v>-</v>
      </c>
    </row>
    <row r="25719" xml:space="preserve">
      <c r="B25719" t="str" xml:space="preserve">
        <v xml:space="preserve">UBND Ủy ban nhân dân xã Bình Phước _x000d_
 tỉnh Quảng Ngãi</v>
      </c>
      <c r="C25719" t="str">
        <v>-</v>
      </c>
      <c r="D25719" t="str">
        <v>-</v>
      </c>
      <c r="E25719" t="str">
        <v>-</v>
      </c>
      <c r="F25719" t="str">
        <v>-</v>
      </c>
      <c r="G25719" t="str">
        <v>-</v>
      </c>
    </row>
    <row r="25720" xml:space="preserve">
      <c r="B25720" t="str" xml:space="preserve">
        <v xml:space="preserve">Công an xã Bình Quế _x000d_
 tỉnh Quảng Nam</v>
      </c>
      <c r="C25720" t="str">
        <v>-</v>
      </c>
      <c r="D25720" t="str">
        <v>-</v>
      </c>
      <c r="E25720" t="str">
        <v/>
      </c>
      <c r="F25720" t="str">
        <v>-</v>
      </c>
      <c r="G25720" t="str">
        <v>-</v>
      </c>
    </row>
    <row r="25721" xml:space="preserve">
      <c r="B25721" t="str" xml:space="preserve">
        <v xml:space="preserve">UBND Ủy ban nhân dân xã Bình Quế _x000d_
 tỉnh Quảng Nam</v>
      </c>
      <c r="C25721" t="str">
        <v>-</v>
      </c>
      <c r="D25721" t="str">
        <v>-</v>
      </c>
      <c r="E25721" t="str">
        <v>-</v>
      </c>
      <c r="F25721" t="str">
        <v>-</v>
      </c>
      <c r="G25721" t="str">
        <v>-</v>
      </c>
    </row>
    <row r="25722">
      <c r="B25722" t="str">
        <v>Công an xã Bình Sơn tỉnh Hòa Bình</v>
      </c>
      <c r="C25722" t="str">
        <v>-</v>
      </c>
      <c r="D25722" t="str">
        <v>-</v>
      </c>
      <c r="E25722" t="str">
        <v/>
      </c>
      <c r="F25722" t="str">
        <v>-</v>
      </c>
      <c r="G25722" t="str">
        <v>-</v>
      </c>
    </row>
    <row r="25723">
      <c r="B25723" t="str">
        <v>UBND Ủy ban nhân dân xã Bình Sơn tỉnh Hòa Bình</v>
      </c>
      <c r="C25723" t="str">
        <v>-</v>
      </c>
      <c r="D25723" t="str">
        <v>-</v>
      </c>
      <c r="E25723" t="str">
        <v>-</v>
      </c>
      <c r="F25723" t="str">
        <v>-</v>
      </c>
      <c r="G25723" t="str">
        <v>-</v>
      </c>
    </row>
    <row r="25724">
      <c r="B25724" t="str">
        <v>Công an xã Bình Sơn tỉnh Bắc Giang</v>
      </c>
      <c r="C25724" t="str">
        <v>-</v>
      </c>
      <c r="D25724" t="str">
        <v>-</v>
      </c>
      <c r="E25724" t="str">
        <v/>
      </c>
      <c r="F25724" t="str">
        <v>-</v>
      </c>
      <c r="G25724" t="str">
        <v>-</v>
      </c>
    </row>
    <row r="25725">
      <c r="B25725" t="str">
        <v>UBND Ủy ban nhân dân xã Bình Sơn tỉnh Bắc Giang</v>
      </c>
      <c r="C25725" t="str">
        <v>-</v>
      </c>
      <c r="D25725" t="str">
        <v>-</v>
      </c>
      <c r="E25725" t="str">
        <v>-</v>
      </c>
      <c r="F25725" t="str">
        <v>-</v>
      </c>
      <c r="G25725" t="str">
        <v>-</v>
      </c>
    </row>
    <row r="25726">
      <c r="B25726" t="str">
        <v>Công an xã Bình Sơn tỉnh Thanh Hóa</v>
      </c>
      <c r="C25726" t="str">
        <v>-</v>
      </c>
      <c r="D25726" t="str">
        <v>-</v>
      </c>
      <c r="E25726" t="str">
        <v/>
      </c>
      <c r="F25726" t="str">
        <v>-</v>
      </c>
      <c r="G25726" t="str">
        <v>-</v>
      </c>
    </row>
    <row r="25727">
      <c r="B25727" t="str">
        <v>UBND Ủy ban nhân dân xã Bình Sơn tỉnh Thanh Hóa</v>
      </c>
      <c r="C25727" t="str">
        <v>-</v>
      </c>
      <c r="D25727" t="str">
        <v>-</v>
      </c>
      <c r="E25727" t="str">
        <v>-</v>
      </c>
      <c r="F25727" t="str">
        <v>-</v>
      </c>
      <c r="G25727" t="str">
        <v>-</v>
      </c>
    </row>
    <row r="25728" xml:space="preserve">
      <c r="B25728" t="str" xml:space="preserve">
        <v xml:space="preserve">Công an xã Bình Tường _x000d_
 tỉnh Bình Định</v>
      </c>
      <c r="C25728" t="str">
        <v>-</v>
      </c>
      <c r="D25728" t="str">
        <v>-</v>
      </c>
      <c r="E25728" t="str">
        <v/>
      </c>
      <c r="F25728" t="str">
        <v>-</v>
      </c>
      <c r="G25728" t="str">
        <v>-</v>
      </c>
    </row>
    <row r="25729" xml:space="preserve">
      <c r="B25729" t="str" xml:space="preserve">
        <v xml:space="preserve">UBND Ủy ban nhân dân xã Bình Tường _x000d_
 tỉnh Bình Định</v>
      </c>
      <c r="C25729" t="str">
        <v>-</v>
      </c>
      <c r="D25729" t="str">
        <v>-</v>
      </c>
      <c r="E25729" t="str">
        <v>-</v>
      </c>
      <c r="F25729" t="str">
        <v>-</v>
      </c>
      <c r="G25729" t="str">
        <v>-</v>
      </c>
    </row>
    <row r="25730">
      <c r="B25730" t="str">
        <v>Công an xã Bình Thành tỉnh Thái Nguyên</v>
      </c>
      <c r="C25730" t="str">
        <v>-</v>
      </c>
      <c r="D25730" t="str">
        <v>-</v>
      </c>
      <c r="E25730" t="str">
        <v/>
      </c>
      <c r="F25730" t="str">
        <v>-</v>
      </c>
      <c r="G25730" t="str">
        <v>-</v>
      </c>
    </row>
    <row r="25731">
      <c r="B25731" t="str">
        <v>UBND Ủy ban nhân dân xã Bình Thành tỉnh Thái Nguyên</v>
      </c>
      <c r="C25731" t="str">
        <v>-</v>
      </c>
      <c r="D25731" t="str">
        <v>-</v>
      </c>
      <c r="E25731" t="str">
        <v>-</v>
      </c>
      <c r="F25731" t="str">
        <v>-</v>
      </c>
      <c r="G25731" t="str">
        <v>-</v>
      </c>
    </row>
    <row r="25732">
      <c r="B25732" t="str">
        <v>Công an xã Bình Thành tỉnh Bình Định</v>
      </c>
      <c r="C25732" t="str">
        <v>-</v>
      </c>
      <c r="D25732" t="str">
        <v>-</v>
      </c>
      <c r="E25732" t="str">
        <v/>
      </c>
      <c r="F25732" t="str">
        <v>-</v>
      </c>
      <c r="G25732" t="str">
        <v>-</v>
      </c>
    </row>
    <row r="25733">
      <c r="B25733" t="str">
        <v>UBND Ủy ban nhân dân xã Bình Thành tỉnh Bình Định</v>
      </c>
      <c r="C25733" t="str">
        <v>-</v>
      </c>
      <c r="D25733" t="str">
        <v>-</v>
      </c>
      <c r="E25733" t="str">
        <v>-</v>
      </c>
      <c r="F25733" t="str">
        <v>-</v>
      </c>
      <c r="G25733" t="str">
        <v>-</v>
      </c>
    </row>
    <row r="25734">
      <c r="B25734" t="str">
        <v>Công an xã Bình Thắng tỉnh Hòa Bình</v>
      </c>
      <c r="C25734" t="str">
        <v>-</v>
      </c>
      <c r="D25734" t="str">
        <v>-</v>
      </c>
      <c r="E25734" t="str">
        <v/>
      </c>
      <c r="F25734" t="str">
        <v>-</v>
      </c>
      <c r="G25734" t="str">
        <v>-</v>
      </c>
    </row>
    <row r="25735">
      <c r="B25735" t="str">
        <v>UBND Ủy ban nhân dân xã Bình Thắng tỉnh Hòa Bình</v>
      </c>
      <c r="C25735" t="str">
        <v>-</v>
      </c>
      <c r="D25735" t="str">
        <v>-</v>
      </c>
      <c r="E25735" t="str">
        <v>-</v>
      </c>
      <c r="F25735" t="str">
        <v>-</v>
      </c>
      <c r="G25735" t="str">
        <v>-</v>
      </c>
    </row>
    <row r="25736">
      <c r="B25736" t="str">
        <v>Công an xã Bình Thanh  tỉnh Hòa Bình</v>
      </c>
      <c r="C25736" t="str">
        <v>-</v>
      </c>
      <c r="D25736" t="str">
        <v>-</v>
      </c>
      <c r="E25736" t="str">
        <v/>
      </c>
      <c r="F25736" t="str">
        <v>-</v>
      </c>
      <c r="G25736" t="str">
        <v>-</v>
      </c>
    </row>
    <row r="25737">
      <c r="B25737" t="str">
        <v>UBND Ủy ban nhân dân xã Bình Thanh  tỉnh Hòa Bình</v>
      </c>
      <c r="C25737" t="str">
        <v>-</v>
      </c>
      <c r="D25737" t="str">
        <v>-</v>
      </c>
      <c r="E25737" t="str">
        <v>-</v>
      </c>
      <c r="F25737" t="str">
        <v>-</v>
      </c>
      <c r="G25737" t="str">
        <v>-</v>
      </c>
    </row>
    <row r="25738">
      <c r="B25738" t="str">
        <v>Công an xã Bình Thuận tỉnh Yên Bái</v>
      </c>
      <c r="C25738" t="str">
        <v>-</v>
      </c>
      <c r="D25738" t="str">
        <v>-</v>
      </c>
      <c r="E25738" t="str">
        <v/>
      </c>
      <c r="F25738" t="str">
        <v>-</v>
      </c>
      <c r="G25738" t="str">
        <v>-</v>
      </c>
    </row>
    <row r="25739">
      <c r="B25739" t="str">
        <v>UBND Ủy ban nhân dân xã Bình Thuận tỉnh Yên Bái</v>
      </c>
      <c r="C25739" t="str">
        <v>-</v>
      </c>
      <c r="D25739" t="str">
        <v>-</v>
      </c>
      <c r="E25739" t="str">
        <v>-</v>
      </c>
      <c r="F25739" t="str">
        <v>-</v>
      </c>
      <c r="G25739" t="str">
        <v>-</v>
      </c>
    </row>
    <row r="25740" xml:space="preserve">
      <c r="B25740" t="str" xml:space="preserve">
        <v xml:space="preserve">Công an xã Bình Trị _x000d_
 tỉnh Quảng Nam</v>
      </c>
      <c r="C25740" t="str">
        <v>-</v>
      </c>
      <c r="D25740" t="str">
        <v>-</v>
      </c>
      <c r="E25740" t="str">
        <v/>
      </c>
      <c r="F25740" t="str">
        <v>-</v>
      </c>
      <c r="G25740" t="str">
        <v>-</v>
      </c>
    </row>
    <row r="25741" xml:space="preserve">
      <c r="B25741" t="str" xml:space="preserve">
        <v xml:space="preserve">UBND Ủy ban nhân dân xã Bình Trị _x000d_
 tỉnh Quảng Nam</v>
      </c>
      <c r="C25741" t="str">
        <v>-</v>
      </c>
      <c r="D25741" t="str">
        <v>-</v>
      </c>
      <c r="E25741" t="str">
        <v>-</v>
      </c>
      <c r="F25741" t="str">
        <v>-</v>
      </c>
      <c r="G25741" t="str">
        <v>-</v>
      </c>
    </row>
    <row r="25742">
      <c r="B25742" t="str">
        <v>Công an xã Bình Xuyên tỉnh Hải Dương</v>
      </c>
      <c r="C25742" t="str">
        <v>-</v>
      </c>
      <c r="D25742" t="str">
        <v>-</v>
      </c>
      <c r="E25742" t="str">
        <v/>
      </c>
      <c r="F25742" t="str">
        <v>-</v>
      </c>
      <c r="G25742" t="str">
        <v>-</v>
      </c>
    </row>
    <row r="25743">
      <c r="B25743" t="str">
        <v>UBND Ủy ban nhân dân xã Bình Xuyên tỉnh Hải Dương</v>
      </c>
      <c r="C25743" t="str">
        <v>-</v>
      </c>
      <c r="D25743" t="str">
        <v>-</v>
      </c>
      <c r="E25743" t="str">
        <v>-</v>
      </c>
      <c r="F25743" t="str">
        <v>-</v>
      </c>
      <c r="G25743" t="str">
        <v>-</v>
      </c>
    </row>
    <row r="25744" xml:space="preserve">
      <c r="B25744" t="str" xml:space="preserve">
        <v xml:space="preserve">Công an xã Bình Yên _x000d_
 tỉnh Thái Nguyên</v>
      </c>
      <c r="C25744" t="str">
        <v>-</v>
      </c>
      <c r="D25744" t="str">
        <v>-</v>
      </c>
      <c r="E25744" t="str">
        <v/>
      </c>
      <c r="F25744" t="str">
        <v>-</v>
      </c>
      <c r="G25744" t="str">
        <v>-</v>
      </c>
    </row>
    <row r="25745" xml:space="preserve">
      <c r="B25745" t="str" xml:space="preserve">
        <v xml:space="preserve">UBND Ủy ban nhân dân xã Bình Yên _x000d_
 tỉnh Thái Nguyên</v>
      </c>
      <c r="C25745" t="str">
        <v>-</v>
      </c>
      <c r="D25745" t="str">
        <v>-</v>
      </c>
      <c r="E25745" t="str">
        <v>-</v>
      </c>
      <c r="F25745" t="str">
        <v>-</v>
      </c>
      <c r="G25745" t="str">
        <v>-</v>
      </c>
    </row>
    <row r="25746" xml:space="preserve">
      <c r="B25746" t="str" xml:space="preserve">
        <v xml:space="preserve">Công an xã Bình Yên _x000d_
 tỉnh Tuyên Quang</v>
      </c>
      <c r="C25746" t="str">
        <v>-</v>
      </c>
      <c r="D25746" t="str">
        <v>-</v>
      </c>
      <c r="E25746" t="str">
        <v/>
      </c>
      <c r="F25746" t="str">
        <v>-</v>
      </c>
      <c r="G25746" t="str">
        <v>-</v>
      </c>
    </row>
    <row r="25747" xml:space="preserve">
      <c r="B25747" t="str" xml:space="preserve">
        <v xml:space="preserve">UBND Ủy ban nhân dân xã Bình Yên _x000d_
 tỉnh Tuyên Quang</v>
      </c>
      <c r="C25747" t="str">
        <v>-</v>
      </c>
      <c r="D25747" t="str">
        <v>-</v>
      </c>
      <c r="E25747" t="str">
        <v>-</v>
      </c>
      <c r="F25747" t="str">
        <v>-</v>
      </c>
      <c r="G25747" t="str">
        <v>-</v>
      </c>
    </row>
    <row r="25748" xml:space="preserve">
      <c r="B25748" t="str" xml:space="preserve">
        <v xml:space="preserve">Công an xã Bùi La Nhân _x000d_
 tỉnh Hà Tĩnh</v>
      </c>
      <c r="C25748" t="str">
        <v>-</v>
      </c>
      <c r="D25748" t="str">
        <v>-</v>
      </c>
      <c r="E25748" t="str">
        <v/>
      </c>
      <c r="F25748" t="str">
        <v>-</v>
      </c>
      <c r="G25748" t="str">
        <v>-</v>
      </c>
    </row>
    <row r="25749" xml:space="preserve">
      <c r="B25749" t="str" xml:space="preserve">
        <v xml:space="preserve">UBND Ủy ban nhân dân xã Bùi La Nhân _x000d_
 tỉnh Hà Tĩnh</v>
      </c>
      <c r="C25749" t="str">
        <v>-</v>
      </c>
      <c r="D25749" t="str">
        <v>-</v>
      </c>
      <c r="E25749" t="str">
        <v>-</v>
      </c>
      <c r="F25749" t="str">
        <v>-</v>
      </c>
      <c r="G25749" t="str">
        <v>-</v>
      </c>
    </row>
    <row r="25750">
      <c r="B25750" t="str">
        <v>Công an xã Búng Lao tỉnh Điện Biên</v>
      </c>
      <c r="C25750" t="str">
        <v>-</v>
      </c>
      <c r="D25750" t="str">
        <v>-</v>
      </c>
      <c r="E25750" t="str">
        <v/>
      </c>
      <c r="F25750" t="str">
        <v>-</v>
      </c>
      <c r="G25750" t="str">
        <v>-</v>
      </c>
    </row>
    <row r="25751">
      <c r="B25751" t="str">
        <v>UBND Ủy ban nhân dân xã Búng Lao tỉnh Điện Biên</v>
      </c>
      <c r="C25751" t="str">
        <v>-</v>
      </c>
      <c r="D25751" t="str">
        <v>-</v>
      </c>
      <c r="E25751" t="str">
        <v>-</v>
      </c>
      <c r="F25751" t="str">
        <v>-</v>
      </c>
      <c r="G25751" t="str">
        <v>-</v>
      </c>
    </row>
    <row r="25752">
      <c r="B25752" t="str">
        <v>Công an xã Bạch Long tỉnh Nam Định</v>
      </c>
      <c r="C25752" t="str">
        <v>-</v>
      </c>
      <c r="D25752" t="str">
        <v>-</v>
      </c>
      <c r="E25752" t="str">
        <v/>
      </c>
      <c r="F25752" t="str">
        <v>-</v>
      </c>
      <c r="G25752" t="str">
        <v>-</v>
      </c>
    </row>
    <row r="25753">
      <c r="B25753" t="str">
        <v>UBND Ủy ban nhân dân xã Bạch Long tỉnh Nam Định</v>
      </c>
      <c r="C25753" t="str">
        <v>-</v>
      </c>
      <c r="D25753" t="str">
        <v>-</v>
      </c>
      <c r="E25753" t="str">
        <v>-</v>
      </c>
      <c r="F25753" t="str">
        <v>-</v>
      </c>
      <c r="G25753" t="str">
        <v>-</v>
      </c>
    </row>
    <row r="25754">
      <c r="B25754" t="str">
        <v>Công an xã Bản Cái tỉnh Lào Cai</v>
      </c>
      <c r="C25754" t="str">
        <v>-</v>
      </c>
      <c r="D25754" t="str">
        <v>-</v>
      </c>
      <c r="E25754" t="str">
        <v/>
      </c>
      <c r="F25754" t="str">
        <v>-</v>
      </c>
      <c r="G25754" t="str">
        <v>-</v>
      </c>
    </row>
    <row r="25755">
      <c r="B25755" t="str">
        <v>UBND Ủy ban nhân dân xã Bản Cái tỉnh Lào Cai</v>
      </c>
      <c r="C25755" t="str">
        <v>-</v>
      </c>
      <c r="D25755" t="str">
        <v>-</v>
      </c>
      <c r="E25755" t="str">
        <v>-</v>
      </c>
      <c r="F25755" t="str">
        <v>-</v>
      </c>
      <c r="G25755" t="str">
        <v>-</v>
      </c>
    </row>
    <row r="25756">
      <c r="B25756" t="str">
        <v>Công an xã Bản Hon tỉnh Lai Châu</v>
      </c>
      <c r="C25756" t="str">
        <v>-</v>
      </c>
      <c r="D25756" t="str">
        <v>-</v>
      </c>
      <c r="E25756" t="str">
        <v/>
      </c>
      <c r="F25756" t="str">
        <v>-</v>
      </c>
      <c r="G25756" t="str">
        <v>-</v>
      </c>
    </row>
    <row r="25757">
      <c r="B25757" t="str">
        <v>UBND Ủy ban nhân dân xã Bản Hon tỉnh Lai Châu</v>
      </c>
      <c r="C25757" t="str">
        <v>-</v>
      </c>
      <c r="D25757" t="str">
        <v>-</v>
      </c>
      <c r="E25757" t="str">
        <v>-</v>
      </c>
      <c r="F25757" t="str">
        <v>-</v>
      </c>
      <c r="G25757" t="str">
        <v>-</v>
      </c>
    </row>
    <row r="25758" xml:space="preserve">
      <c r="B25758" t="str" xml:space="preserve">
        <v xml:space="preserve">Công an xã Bản Ngoại _x000d_
 tỉnh Thái Nguyên</v>
      </c>
      <c r="C25758" t="str">
        <v>-</v>
      </c>
      <c r="D25758" t="str">
        <v>-</v>
      </c>
      <c r="E25758" t="str">
        <v/>
      </c>
      <c r="F25758" t="str">
        <v>-</v>
      </c>
      <c r="G25758" t="str">
        <v>-</v>
      </c>
    </row>
    <row r="25759" xml:space="preserve">
      <c r="B25759" t="str" xml:space="preserve">
        <v xml:space="preserve">UBND Ủy ban nhân dân xã Bản Ngoại _x000d_
 tỉnh Thái Nguyên</v>
      </c>
      <c r="C25759" t="str">
        <v>-</v>
      </c>
      <c r="D25759" t="str">
        <v>-</v>
      </c>
      <c r="E25759" t="str">
        <v>-</v>
      </c>
      <c r="F25759" t="str">
        <v>-</v>
      </c>
      <c r="G25759" t="str">
        <v>-</v>
      </c>
    </row>
    <row r="25760" xml:space="preserve">
      <c r="B25760" t="str" xml:space="preserve">
        <v xml:space="preserve">Công an xã Bảo Hưng _x000d_
 tỉnh Yên Bái</v>
      </c>
      <c r="C25760" t="str">
        <v>-</v>
      </c>
      <c r="D25760" t="str">
        <v>-</v>
      </c>
      <c r="E25760" t="str">
        <v/>
      </c>
      <c r="F25760" t="str">
        <v>-</v>
      </c>
      <c r="G25760" t="str">
        <v>-</v>
      </c>
    </row>
    <row r="25761" xml:space="preserve">
      <c r="B25761" t="str" xml:space="preserve">
        <v xml:space="preserve">UBND Ủy ban nhân dân xã Bảo Hưng _x000d_
 tỉnh Yên Bái</v>
      </c>
      <c r="C25761" t="str">
        <v>-</v>
      </c>
      <c r="D25761" t="str">
        <v>-</v>
      </c>
      <c r="E25761" t="str">
        <v>-</v>
      </c>
      <c r="F25761" t="str">
        <v>-</v>
      </c>
      <c r="G25761" t="str">
        <v>-</v>
      </c>
    </row>
    <row r="25762">
      <c r="B25762" t="str">
        <v>Công an xã Bảo Hiệu tỉnh Hòa Bình</v>
      </c>
      <c r="C25762" t="str">
        <v>-</v>
      </c>
      <c r="D25762" t="str">
        <v>-</v>
      </c>
      <c r="E25762" t="str">
        <v/>
      </c>
      <c r="F25762" t="str">
        <v>-</v>
      </c>
      <c r="G25762" t="str">
        <v>-</v>
      </c>
    </row>
    <row r="25763">
      <c r="B25763" t="str">
        <v>UBND Ủy ban nhân dân xã Bảo Hiệu tỉnh Hòa Bình</v>
      </c>
      <c r="C25763" t="str">
        <v>-</v>
      </c>
      <c r="D25763" t="str">
        <v>-</v>
      </c>
      <c r="E25763" t="str">
        <v>-</v>
      </c>
      <c r="F25763" t="str">
        <v>-</v>
      </c>
      <c r="G25763" t="str">
        <v>-</v>
      </c>
    </row>
    <row r="25764">
      <c r="B25764" t="str">
        <v>Công an xã Bảo Linh tỉnh Thái Nguyên</v>
      </c>
      <c r="C25764" t="str">
        <v>-</v>
      </c>
      <c r="D25764" t="str">
        <v>-</v>
      </c>
      <c r="E25764" t="str">
        <v/>
      </c>
      <c r="F25764" t="str">
        <v>-</v>
      </c>
      <c r="G25764" t="str">
        <v>-</v>
      </c>
    </row>
    <row r="25765">
      <c r="B25765" t="str">
        <v>UBND Ủy ban nhân dân xã Bảo Linh tỉnh Thái Nguyên</v>
      </c>
      <c r="C25765" t="str">
        <v>-</v>
      </c>
      <c r="D25765" t="str">
        <v>-</v>
      </c>
      <c r="E25765" t="str">
        <v>-</v>
      </c>
      <c r="F25765" t="str">
        <v>-</v>
      </c>
      <c r="G25765" t="str">
        <v>-</v>
      </c>
    </row>
    <row r="25766">
      <c r="B25766" t="str">
        <v>Công an xã Bảo Nam tỉnh Nghệ An</v>
      </c>
      <c r="C25766" t="str">
        <v>-</v>
      </c>
      <c r="D25766" t="str">
        <v>-</v>
      </c>
      <c r="E25766" t="str">
        <v/>
      </c>
      <c r="F25766" t="str">
        <v>-</v>
      </c>
      <c r="G25766" t="str">
        <v>-</v>
      </c>
    </row>
    <row r="25767">
      <c r="B25767" t="str">
        <v>UBND Ủy ban nhân dân xã Bảo Nam tỉnh Nghệ An</v>
      </c>
      <c r="C25767" t="str">
        <v>-</v>
      </c>
      <c r="D25767" t="str">
        <v>-</v>
      </c>
      <c r="E25767" t="str">
        <v>-</v>
      </c>
      <c r="F25767" t="str">
        <v>-</v>
      </c>
      <c r="G25767" t="str">
        <v>-</v>
      </c>
    </row>
    <row r="25768" xml:space="preserve">
      <c r="B25768" t="str" xml:space="preserve">
        <v xml:space="preserve">Công an xã Bảo Thành _x000d_
 tỉnh Nghệ An</v>
      </c>
      <c r="C25768" t="str">
        <v>-</v>
      </c>
      <c r="D25768" t="str">
        <v>-</v>
      </c>
      <c r="E25768" t="str">
        <v/>
      </c>
      <c r="F25768" t="str">
        <v>-</v>
      </c>
      <c r="G25768" t="str">
        <v>-</v>
      </c>
    </row>
    <row r="25769" xml:space="preserve">
      <c r="B25769" t="str" xml:space="preserve">
        <v xml:space="preserve">UBND Ủy ban nhân dân xã Bảo Thành _x000d_
 tỉnh Nghệ An</v>
      </c>
      <c r="C25769" t="str">
        <v>-</v>
      </c>
      <c r="D25769" t="str">
        <v>-</v>
      </c>
      <c r="E25769" t="str">
        <v>-</v>
      </c>
      <c r="F25769" t="str">
        <v>-</v>
      </c>
      <c r="G25769" t="str">
        <v>-</v>
      </c>
    </row>
    <row r="25770">
      <c r="B25770" t="str">
        <v>Công an xã Chiêu Lưu  tỉnh Nghệ An</v>
      </c>
      <c r="C25770" t="str">
        <v>-</v>
      </c>
      <c r="D25770" t="str">
        <v>-</v>
      </c>
      <c r="E25770" t="str">
        <v/>
      </c>
      <c r="F25770" t="str">
        <v>-</v>
      </c>
      <c r="G25770" t="str">
        <v>-</v>
      </c>
    </row>
    <row r="25771">
      <c r="B25771" t="str">
        <v>UBND Ủy ban nhân dân xã Chiêu Lưu  tỉnh Nghệ An</v>
      </c>
      <c r="C25771" t="str">
        <v>-</v>
      </c>
      <c r="D25771" t="str">
        <v>-</v>
      </c>
      <c r="E25771" t="str">
        <v>-</v>
      </c>
      <c r="F25771" t="str">
        <v>-</v>
      </c>
      <c r="G25771" t="str">
        <v>-</v>
      </c>
    </row>
    <row r="25772" xml:space="preserve">
      <c r="B25772" t="str" xml:space="preserve">
        <v xml:space="preserve">Công an xã Bảo Thuận _x000d_
 tỉnh Đồng Nai</v>
      </c>
      <c r="C25772" t="str">
        <v>-</v>
      </c>
      <c r="D25772" t="str">
        <v>-</v>
      </c>
      <c r="E25772" t="str">
        <v/>
      </c>
      <c r="F25772" t="str">
        <v>-</v>
      </c>
      <c r="G25772" t="str">
        <v>-</v>
      </c>
    </row>
    <row r="25773" xml:space="preserve">
      <c r="B25773" t="str" xml:space="preserve">
        <v xml:space="preserve">UBND Ủy ban nhân dân xã Bảo Thuận _x000d_
 tỉnh Đồng Nai</v>
      </c>
      <c r="C25773" t="str">
        <v>-</v>
      </c>
      <c r="D25773" t="str">
        <v>-</v>
      </c>
      <c r="E25773" t="str">
        <v>-</v>
      </c>
      <c r="F25773" t="str">
        <v>-</v>
      </c>
      <c r="G25773" t="str">
        <v>-</v>
      </c>
    </row>
    <row r="25774" xml:space="preserve">
      <c r="B25774" t="str" xml:space="preserve">
        <v xml:space="preserve">Công an xã Bắc Hải _x000d_
 tỉnh Thái Bình</v>
      </c>
      <c r="C25774" t="str">
        <v>-</v>
      </c>
      <c r="D25774" t="str">
        <v>-</v>
      </c>
      <c r="E25774" t="str">
        <v/>
      </c>
      <c r="F25774" t="str">
        <v>-</v>
      </c>
      <c r="G25774" t="str">
        <v>-</v>
      </c>
    </row>
    <row r="25775" xml:space="preserve">
      <c r="B25775" t="str" xml:space="preserve">
        <v xml:space="preserve">UBND Ủy ban nhân dân xã Bắc Hải _x000d_
 tỉnh Thái Bình</v>
      </c>
      <c r="C25775" t="str">
        <v>-</v>
      </c>
      <c r="D25775" t="str">
        <v>-</v>
      </c>
      <c r="E25775" t="str">
        <v>-</v>
      </c>
      <c r="F25775" t="str">
        <v>-</v>
      </c>
      <c r="G25775" t="str">
        <v>-</v>
      </c>
    </row>
    <row r="25776" xml:space="preserve">
      <c r="B25776" t="str" xml:space="preserve">
        <v xml:space="preserve">Công an xã Bắc Phong _x000d_
 tỉnh Hòa Bình</v>
      </c>
      <c r="C25776" t="str">
        <v>-</v>
      </c>
      <c r="D25776" t="str">
        <v>-</v>
      </c>
      <c r="E25776" t="str">
        <v/>
      </c>
      <c r="F25776" t="str">
        <v>-</v>
      </c>
      <c r="G25776" t="str">
        <v>-</v>
      </c>
    </row>
    <row r="25777" xml:space="preserve">
      <c r="B25777" t="str" xml:space="preserve">
        <v xml:space="preserve">UBND Ủy ban nhân dân xã Bắc Phong _x000d_
 tỉnh Hòa Bình</v>
      </c>
      <c r="C25777" t="str">
        <v>-</v>
      </c>
      <c r="D25777" t="str">
        <v>-</v>
      </c>
      <c r="E25777" t="str">
        <v>-</v>
      </c>
      <c r="F25777" t="str">
        <v>-</v>
      </c>
      <c r="G25777" t="str">
        <v>-</v>
      </c>
    </row>
    <row r="25778" xml:space="preserve">
      <c r="B25778" t="str" xml:space="preserve">
        <v xml:space="preserve">Công an xã Bắc Phong _x000d_
 tỉnh Sơn La</v>
      </c>
      <c r="C25778" t="str">
        <v>-</v>
      </c>
      <c r="D25778" t="str">
        <v>-</v>
      </c>
      <c r="E25778" t="str">
        <v/>
      </c>
      <c r="F25778" t="str">
        <v>-</v>
      </c>
      <c r="G25778" t="str">
        <v>-</v>
      </c>
    </row>
    <row r="25779" xml:space="preserve">
      <c r="B25779" t="str" xml:space="preserve">
        <v xml:space="preserve">UBND Ủy ban nhân dân xã Bắc Phong _x000d_
 tỉnh Sơn La</v>
      </c>
      <c r="C25779" t="str">
        <v>-</v>
      </c>
      <c r="D25779" t="str">
        <v>-</v>
      </c>
      <c r="E25779" t="str">
        <v>-</v>
      </c>
      <c r="F25779" t="str">
        <v>-</v>
      </c>
      <c r="G25779" t="str">
        <v>-</v>
      </c>
    </row>
    <row r="25780">
      <c r="B25780" t="str">
        <v>Công an xã Bắc Sơn tỉnh Nghệ An</v>
      </c>
      <c r="C25780" t="str">
        <v>-</v>
      </c>
      <c r="D25780" t="str">
        <v>-</v>
      </c>
      <c r="E25780" t="str">
        <v/>
      </c>
      <c r="F25780" t="str">
        <v>-</v>
      </c>
      <c r="G25780" t="str">
        <v>-</v>
      </c>
    </row>
    <row r="25781">
      <c r="B25781" t="str">
        <v>UBND Ủy ban nhân dân xã Bắc Sơn tỉnh Nghệ An</v>
      </c>
      <c r="C25781" t="str">
        <v>-</v>
      </c>
      <c r="D25781" t="str">
        <v>-</v>
      </c>
      <c r="E25781" t="str">
        <v>-</v>
      </c>
      <c r="F25781" t="str">
        <v>-</v>
      </c>
      <c r="G25781" t="str">
        <v>-</v>
      </c>
    </row>
    <row r="25782">
      <c r="B25782" t="str">
        <v>Công an xã Bắc Sơn tỉnh Nghệ An</v>
      </c>
      <c r="C25782" t="str">
        <v>-</v>
      </c>
      <c r="D25782" t="str">
        <v>-</v>
      </c>
      <c r="E25782" t="str">
        <v/>
      </c>
      <c r="F25782" t="str">
        <v>-</v>
      </c>
      <c r="G25782" t="str">
        <v>-</v>
      </c>
    </row>
    <row r="25783">
      <c r="B25783" t="str">
        <v>UBND Ủy ban nhân dân xã Bắc Sơn tỉnh Nghệ An</v>
      </c>
      <c r="C25783" t="str">
        <v>-</v>
      </c>
      <c r="D25783" t="str">
        <v>-</v>
      </c>
      <c r="E25783" t="str">
        <v>-</v>
      </c>
      <c r="F25783" t="str">
        <v>-</v>
      </c>
      <c r="G25783" t="str">
        <v>-</v>
      </c>
    </row>
    <row r="25784" xml:space="preserve">
      <c r="B25784" t="str" xml:space="preserve">
        <v xml:space="preserve">Công an xã Bằng Giã _x000d_
 tỉnh Phú Thọ</v>
      </c>
      <c r="C25784" t="str">
        <v>-</v>
      </c>
      <c r="D25784" t="str">
        <v>-</v>
      </c>
      <c r="E25784" t="str">
        <v/>
      </c>
      <c r="F25784" t="str">
        <v>-</v>
      </c>
      <c r="G25784" t="str">
        <v>-</v>
      </c>
    </row>
    <row r="25785" xml:space="preserve">
      <c r="B25785" t="str" xml:space="preserve">
        <v xml:space="preserve">UBND Ủy ban nhân dân xã Bằng Giã _x000d_
 tỉnh Phú Thọ</v>
      </c>
      <c r="C25785" t="str">
        <v>-</v>
      </c>
      <c r="D25785" t="str">
        <v>-</v>
      </c>
      <c r="E25785" t="str">
        <v>-</v>
      </c>
      <c r="F25785" t="str">
        <v>-</v>
      </c>
      <c r="G25785" t="str">
        <v>-</v>
      </c>
    </row>
    <row r="25786" xml:space="preserve">
      <c r="B25786" t="str" xml:space="preserve">
        <v xml:space="preserve">Công an xã Bối Cầu _x000d_
 tỉnh Hà Nam</v>
      </c>
      <c r="C25786" t="str">
        <v>-</v>
      </c>
      <c r="D25786" t="str">
        <v>-</v>
      </c>
      <c r="E25786" t="str">
        <v/>
      </c>
      <c r="F25786" t="str">
        <v>-</v>
      </c>
      <c r="G25786" t="str">
        <v>-</v>
      </c>
    </row>
    <row r="25787" xml:space="preserve">
      <c r="B25787" t="str" xml:space="preserve">
        <v xml:space="preserve">UBND Ủy ban nhân dân xã Bối Cầu _x000d_
 tỉnh Hà Nam</v>
      </c>
      <c r="C25787" t="str">
        <v>-</v>
      </c>
      <c r="D25787" t="str">
        <v>-</v>
      </c>
      <c r="E25787" t="str">
        <v>-</v>
      </c>
      <c r="F25787" t="str">
        <v>-</v>
      </c>
      <c r="G25787" t="str">
        <v>-</v>
      </c>
    </row>
    <row r="25788" xml:space="preserve">
      <c r="B25788" t="str" xml:space="preserve">
        <v xml:space="preserve">Công an xã Bộc Bố _x000d_
 tỉnh Bắc Kạn</v>
      </c>
      <c r="C25788" t="str">
        <v>-</v>
      </c>
      <c r="D25788" t="str">
        <v>-</v>
      </c>
      <c r="E25788" t="str">
        <v/>
      </c>
      <c r="F25788" t="str">
        <v>-</v>
      </c>
      <c r="G25788" t="str">
        <v>-</v>
      </c>
    </row>
    <row r="25789" xml:space="preserve">
      <c r="B25789" t="str" xml:space="preserve">
        <v xml:space="preserve">UBND Ủy ban nhân dân xã Bộc Bố _x000d_
 tỉnh Bắc Kạn</v>
      </c>
      <c r="C25789" t="str">
        <v>-</v>
      </c>
      <c r="D25789" t="str">
        <v>-</v>
      </c>
      <c r="E25789" t="str">
        <v>-</v>
      </c>
      <c r="F25789" t="str">
        <v>-</v>
      </c>
      <c r="G25789" t="str">
        <v>-</v>
      </c>
    </row>
    <row r="25790">
      <c r="B25790" t="str">
        <v>Công an xã Bao La tỉnh Hòa Bình</v>
      </c>
      <c r="C25790" t="str">
        <v>-</v>
      </c>
      <c r="D25790" t="str">
        <v>-</v>
      </c>
      <c r="E25790" t="str">
        <v/>
      </c>
      <c r="F25790" t="str">
        <v>-</v>
      </c>
      <c r="G25790" t="str">
        <v>-</v>
      </c>
    </row>
    <row r="25791">
      <c r="B25791" t="str">
        <v>UBND Ủy ban nhân dân xã Bao La tỉnh Hòa Bình</v>
      </c>
      <c r="C25791" t="str">
        <v>-</v>
      </c>
      <c r="D25791" t="str">
        <v>-</v>
      </c>
      <c r="E25791" t="str">
        <v>-</v>
      </c>
      <c r="F25791" t="str">
        <v>-</v>
      </c>
      <c r="G25791" t="str">
        <v>-</v>
      </c>
    </row>
    <row r="25792">
      <c r="B25792" t="str">
        <v>Công an xã Cà Nàng tỉnh Sơn La</v>
      </c>
      <c r="C25792" t="str">
        <v>-</v>
      </c>
      <c r="D25792" t="str">
        <v>-</v>
      </c>
      <c r="E25792" t="str">
        <v/>
      </c>
      <c r="F25792" t="str">
        <v>-</v>
      </c>
      <c r="G25792" t="str">
        <v>-</v>
      </c>
    </row>
    <row r="25793">
      <c r="B25793" t="str">
        <v>UBND Ủy ban nhân dân xã Cà Nàng tỉnh Sơn La</v>
      </c>
      <c r="C25793" t="str">
        <v>-</v>
      </c>
      <c r="D25793" t="str">
        <v>-</v>
      </c>
      <c r="E25793" t="str">
        <v>-</v>
      </c>
      <c r="F25793" t="str">
        <v>-</v>
      </c>
      <c r="G25793" t="str">
        <v>-</v>
      </c>
    </row>
    <row r="25794" xml:space="preserve">
      <c r="B25794" t="str" xml:space="preserve">
        <v xml:space="preserve">Công an xã Cà Ná _x000d_
 tỉnh Ninh Thuận</v>
      </c>
      <c r="C25794" t="str">
        <v>-</v>
      </c>
      <c r="D25794" t="str">
        <v>-</v>
      </c>
      <c r="E25794" t="str">
        <v/>
      </c>
      <c r="F25794" t="str">
        <v>-</v>
      </c>
      <c r="G25794" t="str">
        <v>-</v>
      </c>
    </row>
    <row r="25795" xml:space="preserve">
      <c r="B25795" t="str" xml:space="preserve">
        <v xml:space="preserve">UBND Ủy ban nhân dân xã Cà Ná _x000d_
 tỉnh Ninh Thuận</v>
      </c>
      <c r="C25795" t="str">
        <v>-</v>
      </c>
      <c r="D25795" t="str">
        <v>-</v>
      </c>
      <c r="E25795" t="str">
        <v>-</v>
      </c>
      <c r="F25795" t="str">
        <v>-</v>
      </c>
      <c r="G25795" t="str">
        <v>-</v>
      </c>
    </row>
    <row r="25796">
      <c r="B25796" t="str">
        <v>Công an xã Cát Nê tỉnh Thái Nguyên</v>
      </c>
      <c r="C25796" t="str">
        <v>-</v>
      </c>
      <c r="D25796" t="str">
        <v>-</v>
      </c>
      <c r="E25796" t="str">
        <v/>
      </c>
      <c r="F25796" t="str">
        <v>-</v>
      </c>
      <c r="G25796" t="str">
        <v>-</v>
      </c>
    </row>
    <row r="25797">
      <c r="B25797" t="str">
        <v>UBND Ủy ban nhân dân xã Cát Nê tỉnh Thái Nguyên</v>
      </c>
      <c r="C25797" t="str">
        <v>-</v>
      </c>
      <c r="D25797" t="str">
        <v>-</v>
      </c>
      <c r="E25797" t="str">
        <v>-</v>
      </c>
      <c r="F25797" t="str">
        <v>-</v>
      </c>
      <c r="G25797" t="str">
        <v>-</v>
      </c>
    </row>
    <row r="25798" xml:space="preserve">
      <c r="B25798" t="str" xml:space="preserve">
        <v xml:space="preserve">Công an xã Cát Thịnh _x000d_
 tỉnh Yên Bái</v>
      </c>
      <c r="C25798" t="str">
        <v>-</v>
      </c>
      <c r="D25798" t="str">
        <v>-</v>
      </c>
      <c r="E25798" t="str">
        <v/>
      </c>
      <c r="F25798" t="str">
        <v>-</v>
      </c>
      <c r="G25798" t="str">
        <v>-</v>
      </c>
    </row>
    <row r="25799" xml:space="preserve">
      <c r="B25799" t="str" xml:space="preserve">
        <v xml:space="preserve">UBND Ủy ban nhân dân xã Cát Thịnh _x000d_
 tỉnh Yên Bái</v>
      </c>
      <c r="C25799" t="str">
        <v>-</v>
      </c>
      <c r="D25799" t="str">
        <v>-</v>
      </c>
      <c r="E25799" t="str">
        <v>-</v>
      </c>
      <c r="F25799" t="str">
        <v>-</v>
      </c>
      <c r="G25799" t="str">
        <v>-</v>
      </c>
    </row>
    <row r="25800">
      <c r="B25800" t="str">
        <v>Công an xã Cò Nòi tỉnh Sơn La</v>
      </c>
      <c r="C25800" t="str">
        <v>-</v>
      </c>
      <c r="D25800" t="str">
        <v>-</v>
      </c>
      <c r="E25800" t="str">
        <v/>
      </c>
      <c r="F25800" t="str">
        <v>-</v>
      </c>
      <c r="G25800" t="str">
        <v>-</v>
      </c>
    </row>
    <row r="25801">
      <c r="B25801" t="str">
        <v>UBND Ủy ban nhân dân xã Cò Nòi tỉnh Sơn La</v>
      </c>
      <c r="C25801" t="str">
        <v>-</v>
      </c>
      <c r="D25801" t="str">
        <v>-</v>
      </c>
      <c r="E25801" t="str">
        <v>-</v>
      </c>
      <c r="F25801" t="str">
        <v>-</v>
      </c>
      <c r="G25801" t="str">
        <v>-</v>
      </c>
    </row>
    <row r="25802">
      <c r="B25802" t="str">
        <v>Công an xã Cô Ba tỉnh Cao Bằng</v>
      </c>
      <c r="C25802" t="str">
        <v>-</v>
      </c>
      <c r="D25802" t="str">
        <v>-</v>
      </c>
      <c r="E25802" t="str">
        <v/>
      </c>
      <c r="F25802" t="str">
        <v>-</v>
      </c>
      <c r="G25802" t="str">
        <v>-</v>
      </c>
    </row>
    <row r="25803">
      <c r="B25803" t="str">
        <v>UBND Ủy ban nhân dân xã Cô Ba tỉnh Cao Bằng</v>
      </c>
      <c r="C25803" t="str">
        <v>-</v>
      </c>
      <c r="D25803" t="str">
        <v>-</v>
      </c>
      <c r="E25803" t="str">
        <v>-</v>
      </c>
      <c r="F25803" t="str">
        <v>-</v>
      </c>
      <c r="G25803" t="str">
        <v>-</v>
      </c>
    </row>
    <row r="25804">
      <c r="B25804" t="str">
        <v>Công an xã Công Bằng tỉnh Bắc Kạn</v>
      </c>
      <c r="C25804" t="str">
        <v>-</v>
      </c>
      <c r="D25804" t="str">
        <v>-</v>
      </c>
      <c r="E25804" t="str">
        <v/>
      </c>
      <c r="F25804" t="str">
        <v>-</v>
      </c>
      <c r="G25804" t="str">
        <v>-</v>
      </c>
    </row>
    <row r="25805">
      <c r="B25805" t="str">
        <v>UBND Ủy ban nhân dân xã Công Bằng tỉnh Bắc Kạn</v>
      </c>
      <c r="C25805" t="str">
        <v>-</v>
      </c>
      <c r="D25805" t="str">
        <v>-</v>
      </c>
      <c r="E25805" t="str">
        <v>-</v>
      </c>
      <c r="F25805" t="str">
        <v>-</v>
      </c>
      <c r="G25805" t="str">
        <v>-</v>
      </c>
    </row>
    <row r="25806">
      <c r="B25806" t="str">
        <v>Công an xã Công Liêm tỉnh Thanh Hóa</v>
      </c>
      <c r="C25806" t="str">
        <v>-</v>
      </c>
      <c r="D25806" t="str">
        <v>-</v>
      </c>
      <c r="E25806" t="str">
        <v/>
      </c>
      <c r="F25806" t="str">
        <v>-</v>
      </c>
      <c r="G25806" t="str">
        <v>-</v>
      </c>
    </row>
    <row r="25807">
      <c r="B25807" t="str">
        <v>UBND Ủy ban nhân dân xã Công Liêm tỉnh Thanh Hóa</v>
      </c>
      <c r="C25807" t="str">
        <v>-</v>
      </c>
      <c r="D25807" t="str">
        <v>-</v>
      </c>
      <c r="E25807" t="str">
        <v>-</v>
      </c>
      <c r="F25807" t="str">
        <v>-</v>
      </c>
      <c r="G25807" t="str">
        <v>-</v>
      </c>
    </row>
    <row r="25808" xml:space="preserve">
      <c r="B25808" t="str" xml:space="preserve">
        <v xml:space="preserve">Công an xã Công Lý _x000d_
 tỉnh Hà Nam</v>
      </c>
      <c r="C25808" t="str">
        <v>-</v>
      </c>
      <c r="D25808" t="str">
        <v>-</v>
      </c>
      <c r="E25808" t="str">
        <v/>
      </c>
      <c r="F25808" t="str">
        <v>-</v>
      </c>
      <c r="G25808" t="str">
        <v>-</v>
      </c>
    </row>
    <row r="25809" xml:space="preserve">
      <c r="B25809" t="str" xml:space="preserve">
        <v xml:space="preserve">UBND Ủy ban nhân dân xã Công Lý _x000d_
 tỉnh Hà Nam</v>
      </c>
      <c r="C25809" t="str">
        <v>-</v>
      </c>
      <c r="D25809" t="str">
        <v>-</v>
      </c>
      <c r="E25809" t="str">
        <v>-</v>
      </c>
      <c r="F25809" t="str">
        <v>-</v>
      </c>
      <c r="G25809" t="str">
        <v>-</v>
      </c>
    </row>
    <row r="25810" xml:space="preserve">
      <c r="B25810" t="str" xml:space="preserve">
        <v xml:space="preserve">Công an xã Công Thành _x000d_
 tỉnh Nghệ An</v>
      </c>
      <c r="C25810" t="str">
        <v>-</v>
      </c>
      <c r="D25810" t="str">
        <v>-</v>
      </c>
      <c r="E25810" t="str">
        <v/>
      </c>
      <c r="F25810" t="str">
        <v>-</v>
      </c>
      <c r="G25810" t="str">
        <v>-</v>
      </c>
    </row>
    <row r="25811" xml:space="preserve">
      <c r="B25811" t="str" xml:space="preserve">
        <v xml:space="preserve">UBND Ủy ban nhân dân xã Công Thành _x000d_
 tỉnh Nghệ An</v>
      </c>
      <c r="C25811" t="str">
        <v>-</v>
      </c>
      <c r="D25811" t="str">
        <v>-</v>
      </c>
      <c r="E25811" t="str">
        <v>-</v>
      </c>
      <c r="F25811" t="str">
        <v>-</v>
      </c>
      <c r="G25811" t="str">
        <v>-</v>
      </c>
    </row>
    <row r="25812">
      <c r="B25812" t="str">
        <v>Công an xã Cúc Đường tỉnh Thái Nguyên</v>
      </c>
      <c r="C25812" t="str">
        <v>-</v>
      </c>
      <c r="D25812" t="str">
        <v>-</v>
      </c>
      <c r="E25812" t="str">
        <v/>
      </c>
      <c r="F25812" t="str">
        <v>-</v>
      </c>
      <c r="G25812" t="str">
        <v>-</v>
      </c>
    </row>
    <row r="25813">
      <c r="B25813" t="str">
        <v>UBND Ủy ban nhân dân xã Cúc Đường tỉnh Thái Nguyên</v>
      </c>
      <c r="C25813" t="str">
        <v>-</v>
      </c>
      <c r="D25813" t="str">
        <v>-</v>
      </c>
      <c r="E25813" t="str">
        <v>-</v>
      </c>
      <c r="F25813" t="str">
        <v>-</v>
      </c>
      <c r="G25813" t="str">
        <v>-</v>
      </c>
    </row>
    <row r="25814" xml:space="preserve">
      <c r="B25814" t="str" xml:space="preserve">
        <v xml:space="preserve">Công an xã Cường Thịnh _x000d_
 tỉnh Yên Bái</v>
      </c>
      <c r="C25814" t="str">
        <v>-</v>
      </c>
      <c r="D25814" t="str">
        <v>-</v>
      </c>
      <c r="E25814" t="str">
        <v/>
      </c>
      <c r="F25814" t="str">
        <v>-</v>
      </c>
      <c r="G25814" t="str">
        <v>-</v>
      </c>
    </row>
    <row r="25815" xml:space="preserve">
      <c r="B25815" t="str" xml:space="preserve">
        <v xml:space="preserve">UBND Ủy ban nhân dân xã Cường Thịnh _x000d_
 tỉnh Yên Bái</v>
      </c>
      <c r="C25815" t="str">
        <v>-</v>
      </c>
      <c r="D25815" t="str">
        <v>-</v>
      </c>
      <c r="E25815" t="str">
        <v>-</v>
      </c>
      <c r="F25815" t="str">
        <v>-</v>
      </c>
      <c r="G25815" t="str">
        <v>-</v>
      </c>
    </row>
    <row r="25816" xml:space="preserve">
      <c r="B25816" t="str" xml:space="preserve">
        <v xml:space="preserve">Công an xã Cảnh Hoá _x000d_
 tỉnh Quảng Bình</v>
      </c>
      <c r="C25816" t="str">
        <v>-</v>
      </c>
      <c r="D25816" t="str">
        <v>-</v>
      </c>
      <c r="E25816" t="str">
        <v/>
      </c>
      <c r="F25816" t="str">
        <v>-</v>
      </c>
      <c r="G25816" t="str">
        <v>-</v>
      </c>
    </row>
    <row r="25817" xml:space="preserve">
      <c r="B25817" t="str" xml:space="preserve">
        <v xml:space="preserve">UBND Ủy ban nhân dân xã Cảnh Hoá _x000d_
 tỉnh Quảng Bình</v>
      </c>
      <c r="C25817" t="str">
        <v>-</v>
      </c>
      <c r="D25817" t="str">
        <v>-</v>
      </c>
      <c r="E25817" t="str">
        <v>-</v>
      </c>
      <c r="F25817" t="str">
        <v>-</v>
      </c>
      <c r="G25817" t="str">
        <v>-</v>
      </c>
    </row>
    <row r="25818" xml:space="preserve">
      <c r="B25818" t="str" xml:space="preserve">
        <v xml:space="preserve">Công an xã Cảnh Thụy _x000d_
 tỉnh Bắc Giang</v>
      </c>
      <c r="C25818" t="str">
        <v>-</v>
      </c>
      <c r="D25818" t="str">
        <v>-</v>
      </c>
      <c r="E25818" t="str">
        <v/>
      </c>
      <c r="F25818" t="str">
        <v>-</v>
      </c>
      <c r="G25818" t="str">
        <v>-</v>
      </c>
    </row>
    <row r="25819" xml:space="preserve">
      <c r="B25819" t="str" xml:space="preserve">
        <v xml:space="preserve">UBND Ủy ban nhân dân xã Cảnh Thụy _x000d_
 tỉnh Bắc Giang</v>
      </c>
      <c r="C25819" t="str">
        <v>-</v>
      </c>
      <c r="D25819" t="str">
        <v>-</v>
      </c>
      <c r="E25819" t="str">
        <v>-</v>
      </c>
      <c r="F25819" t="str">
        <v>-</v>
      </c>
      <c r="G25819" t="str">
        <v>-</v>
      </c>
    </row>
    <row r="25820" xml:space="preserve">
      <c r="B25820" t="str" xml:space="preserve">
        <v xml:space="preserve">Công an xã Cấm Sơn _x000d_
 tỉnh Bắc Giang</v>
      </c>
      <c r="C25820" t="str">
        <v>-</v>
      </c>
      <c r="D25820" t="str">
        <v>-</v>
      </c>
      <c r="E25820" t="str">
        <v/>
      </c>
      <c r="F25820" t="str">
        <v>-</v>
      </c>
      <c r="G25820" t="str">
        <v>-</v>
      </c>
    </row>
    <row r="25821" xml:space="preserve">
      <c r="B25821" t="str" xml:space="preserve">
        <v xml:space="preserve">UBND Ủy ban nhân dân xã Cấm Sơn _x000d_
 tỉnh Bắc Giang</v>
      </c>
      <c r="C25821" t="str">
        <v>-</v>
      </c>
      <c r="D25821" t="str">
        <v>-</v>
      </c>
      <c r="E25821" t="str">
        <v>-</v>
      </c>
      <c r="F25821" t="str">
        <v>-</v>
      </c>
      <c r="G25821" t="str">
        <v>-</v>
      </c>
    </row>
    <row r="25822">
      <c r="B25822" t="str">
        <v>Công an xã Cần Yên tỉnh Cao Bằng</v>
      </c>
      <c r="C25822" t="str">
        <v>-</v>
      </c>
      <c r="D25822" t="str">
        <v>-</v>
      </c>
      <c r="E25822" t="str">
        <v/>
      </c>
      <c r="F25822" t="str">
        <v>-</v>
      </c>
      <c r="G25822" t="str">
        <v>-</v>
      </c>
    </row>
    <row r="25823">
      <c r="B25823" t="str">
        <v>UBND Ủy ban nhân dân xã Cần Yên tỉnh Cao Bằng</v>
      </c>
      <c r="C25823" t="str">
        <v>-</v>
      </c>
      <c r="D25823" t="str">
        <v>-</v>
      </c>
      <c r="E25823" t="str">
        <v>-</v>
      </c>
      <c r="F25823" t="str">
        <v>-</v>
      </c>
      <c r="G25823" t="str">
        <v>-</v>
      </c>
    </row>
    <row r="25824" xml:space="preserve">
      <c r="B25824" t="str" xml:space="preserve">
        <v xml:space="preserve">Công an xã Cầu Lộc _x000d_
 tỉnh Thanh Hóa</v>
      </c>
      <c r="C25824" t="str">
        <v>-</v>
      </c>
      <c r="D25824" t="str">
        <v>-</v>
      </c>
      <c r="E25824" t="str">
        <v/>
      </c>
      <c r="F25824" t="str">
        <v>-</v>
      </c>
      <c r="G25824" t="str">
        <v>-</v>
      </c>
    </row>
    <row r="25825" xml:space="preserve">
      <c r="B25825" t="str" xml:space="preserve">
        <v xml:space="preserve">UBND Ủy ban nhân dân xã Cầu Lộc _x000d_
 tỉnh Thanh Hóa</v>
      </c>
      <c r="C25825" t="str">
        <v>-</v>
      </c>
      <c r="D25825" t="str">
        <v>-</v>
      </c>
      <c r="E25825" t="str">
        <v>-</v>
      </c>
      <c r="F25825" t="str">
        <v>-</v>
      </c>
      <c r="G25825" t="str">
        <v>-</v>
      </c>
    </row>
    <row r="25826">
      <c r="B25826" t="str">
        <v>Công an xã Cẩm Bình tỉnh Thanh Hóa</v>
      </c>
      <c r="C25826" t="str">
        <v>-</v>
      </c>
      <c r="D25826" t="str">
        <v>-</v>
      </c>
      <c r="E25826" t="str">
        <v/>
      </c>
      <c r="F25826" t="str">
        <v>-</v>
      </c>
      <c r="G25826" t="str">
        <v>-</v>
      </c>
    </row>
    <row r="25827">
      <c r="B25827" t="str">
        <v>UBND Ủy ban nhân dân xã Cẩm Bình tỉnh Thanh Hóa</v>
      </c>
      <c r="C25827" t="str">
        <v>-</v>
      </c>
      <c r="D25827" t="str">
        <v>-</v>
      </c>
      <c r="E25827" t="str">
        <v>-</v>
      </c>
      <c r="F25827" t="str">
        <v>-</v>
      </c>
      <c r="G25827" t="str">
        <v>-</v>
      </c>
    </row>
    <row r="25828">
      <c r="B25828" t="str">
        <v>Công an xã Cẩm Hà tỉnh Hà Tĩnh</v>
      </c>
      <c r="C25828" t="str">
        <v>-</v>
      </c>
      <c r="D25828" t="str">
        <v>-</v>
      </c>
      <c r="E25828" t="str">
        <v/>
      </c>
      <c r="F25828" t="str">
        <v>-</v>
      </c>
      <c r="G25828" t="str">
        <v>-</v>
      </c>
    </row>
    <row r="25829">
      <c r="B25829" t="str">
        <v>UBND Ủy ban nhân dân xã Cẩm Hà tỉnh Hà Tĩnh</v>
      </c>
      <c r="C25829" t="str">
        <v>-</v>
      </c>
      <c r="D25829" t="str">
        <v>-</v>
      </c>
      <c r="E25829" t="str">
        <v>-</v>
      </c>
      <c r="F25829" t="str">
        <v>-</v>
      </c>
      <c r="G25829" t="str">
        <v>-</v>
      </c>
    </row>
    <row r="25830" xml:space="preserve">
      <c r="B25830" t="str" xml:space="preserve">
        <v xml:space="preserve">Công an xã Cẩm Kim _x000d_
 tỉnh Thanh Hóa</v>
      </c>
      <c r="C25830" t="str">
        <v>-</v>
      </c>
      <c r="D25830" t="str">
        <v>-</v>
      </c>
      <c r="E25830" t="str">
        <v/>
      </c>
      <c r="F25830" t="str">
        <v>-</v>
      </c>
      <c r="G25830" t="str">
        <v>-</v>
      </c>
    </row>
    <row r="25831" xml:space="preserve">
      <c r="B25831" t="str" xml:space="preserve">
        <v xml:space="preserve">UBND Ủy ban nhân dân xã Cẩm Kim _x000d_
 tỉnh Thanh Hóa</v>
      </c>
      <c r="C25831" t="str">
        <v>-</v>
      </c>
      <c r="D25831" t="str">
        <v>-</v>
      </c>
      <c r="E25831" t="str">
        <v>-</v>
      </c>
      <c r="F25831" t="str">
        <v>-</v>
      </c>
      <c r="G25831" t="str">
        <v>-</v>
      </c>
    </row>
    <row r="25832">
      <c r="B25832" t="str">
        <v>Công an xã Cẩm Long  tỉnh Thanh Hóa</v>
      </c>
      <c r="C25832" t="str">
        <v>-</v>
      </c>
      <c r="D25832" t="str">
        <v>-</v>
      </c>
      <c r="E25832" t="str">
        <v/>
      </c>
      <c r="F25832" t="str">
        <v>-</v>
      </c>
      <c r="G25832" t="str">
        <v>-</v>
      </c>
    </row>
    <row r="25833">
      <c r="B25833" t="str">
        <v>UBND Ủy ban nhân dân xã Cẩm Long  tỉnh Thanh Hóa</v>
      </c>
      <c r="C25833" t="str">
        <v>-</v>
      </c>
      <c r="D25833" t="str">
        <v>-</v>
      </c>
      <c r="E25833" t="str">
        <v>-</v>
      </c>
      <c r="F25833" t="str">
        <v>-</v>
      </c>
      <c r="G25833" t="str">
        <v>-</v>
      </c>
    </row>
    <row r="25834">
      <c r="B25834" t="str">
        <v>Công an xã Cẩm Phú tỉnh Thanh Hóa</v>
      </c>
      <c r="C25834" t="str">
        <v>-</v>
      </c>
      <c r="D25834" t="str">
        <v>-</v>
      </c>
      <c r="E25834" t="str">
        <v/>
      </c>
      <c r="F25834" t="str">
        <v>-</v>
      </c>
      <c r="G25834" t="str">
        <v>-</v>
      </c>
    </row>
    <row r="25835">
      <c r="B25835" t="str">
        <v>UBND Ủy ban nhân dân xã Cẩm Phú tỉnh Thanh Hóa</v>
      </c>
      <c r="C25835" t="str">
        <v>-</v>
      </c>
      <c r="D25835" t="str">
        <v>-</v>
      </c>
      <c r="E25835" t="str">
        <v>-</v>
      </c>
      <c r="F25835" t="str">
        <v>-</v>
      </c>
      <c r="G25835" t="str">
        <v>-</v>
      </c>
    </row>
    <row r="25836">
      <c r="B25836" t="str">
        <v>Công an xã Cẩm Quý tỉnh Thanh Hóa</v>
      </c>
      <c r="C25836" t="str">
        <v>-</v>
      </c>
      <c r="D25836" t="str">
        <v>-</v>
      </c>
      <c r="E25836" t="str">
        <v/>
      </c>
      <c r="F25836" t="str">
        <v>-</v>
      </c>
      <c r="G25836" t="str">
        <v>-</v>
      </c>
    </row>
    <row r="25837">
      <c r="B25837" t="str">
        <v>UBND Ủy ban nhân dân xã Cẩm Quý tỉnh Thanh Hóa</v>
      </c>
      <c r="C25837" t="str">
        <v>-</v>
      </c>
      <c r="D25837" t="str">
        <v>-</v>
      </c>
      <c r="E25837" t="str">
        <v>-</v>
      </c>
      <c r="F25837" t="str">
        <v>-</v>
      </c>
      <c r="G25837" t="str">
        <v>-</v>
      </c>
    </row>
    <row r="25838">
      <c r="B25838" t="str">
        <v>Công an xã Cẩm Tân tỉnh Thanh Hóa</v>
      </c>
      <c r="C25838" t="str">
        <v>-</v>
      </c>
      <c r="D25838" t="str">
        <v>-</v>
      </c>
      <c r="E25838" t="str">
        <v/>
      </c>
      <c r="F25838" t="str">
        <v>-</v>
      </c>
      <c r="G25838" t="str">
        <v>-</v>
      </c>
    </row>
    <row r="25839">
      <c r="B25839" t="str">
        <v>UBND Ủy ban nhân dân xã Cẩm Tân tỉnh Thanh Hóa</v>
      </c>
      <c r="C25839" t="str">
        <v>-</v>
      </c>
      <c r="D25839" t="str">
        <v>-</v>
      </c>
      <c r="E25839" t="str">
        <v>-</v>
      </c>
      <c r="F25839" t="str">
        <v>-</v>
      </c>
      <c r="G25839" t="str">
        <v>-</v>
      </c>
    </row>
    <row r="25840">
      <c r="B25840" t="str">
        <v>Công an xã Cẩm Thành tỉnh Hà Tĩnh</v>
      </c>
      <c r="C25840" t="str">
        <v>-</v>
      </c>
      <c r="D25840" t="str">
        <v>-</v>
      </c>
      <c r="E25840" t="str">
        <v/>
      </c>
      <c r="F25840" t="str">
        <v>-</v>
      </c>
      <c r="G25840" t="str">
        <v>-</v>
      </c>
    </row>
    <row r="25841">
      <c r="B25841" t="str">
        <v>UBND Ủy ban nhân dân xã Cẩm Thành tỉnh Hà Tĩnh</v>
      </c>
      <c r="C25841" t="str">
        <v>-</v>
      </c>
      <c r="D25841" t="str">
        <v>-</v>
      </c>
      <c r="E25841" t="str">
        <v>-</v>
      </c>
      <c r="F25841" t="str">
        <v>-</v>
      </c>
      <c r="G25841" t="str">
        <v>-</v>
      </c>
    </row>
    <row r="25842">
      <c r="B25842" t="str">
        <v>Công an xã Cẩm Yên tỉnh Thanh Hóa</v>
      </c>
      <c r="C25842" t="str">
        <v>-</v>
      </c>
      <c r="D25842" t="str">
        <v>-</v>
      </c>
      <c r="E25842" t="str">
        <v/>
      </c>
      <c r="F25842" t="str">
        <v>-</v>
      </c>
      <c r="G25842" t="str">
        <v>-</v>
      </c>
    </row>
    <row r="25843">
      <c r="B25843" t="str">
        <v>UBND Ủy ban nhân dân xã Cẩm Yên tỉnh Thanh Hóa</v>
      </c>
      <c r="C25843" t="str">
        <v>-</v>
      </c>
      <c r="D25843" t="str">
        <v>-</v>
      </c>
      <c r="E25843" t="str">
        <v>-</v>
      </c>
      <c r="F25843" t="str">
        <v>-</v>
      </c>
      <c r="G25843" t="str">
        <v>-</v>
      </c>
    </row>
    <row r="25844">
      <c r="B25844" t="str">
        <v>Công an xã Cổ Bì tỉnh Hải Dương</v>
      </c>
      <c r="C25844" t="str">
        <v>-</v>
      </c>
      <c r="D25844" t="str">
        <v>-</v>
      </c>
      <c r="E25844" t="str">
        <v/>
      </c>
      <c r="F25844" t="str">
        <v>-</v>
      </c>
      <c r="G25844" t="str">
        <v>-</v>
      </c>
    </row>
    <row r="25845">
      <c r="B25845" t="str">
        <v>UBND Ủy ban nhân dân xã Cổ Bì tỉnh Hải Dương</v>
      </c>
      <c r="C25845" t="str">
        <v>-</v>
      </c>
      <c r="D25845" t="str">
        <v>-</v>
      </c>
      <c r="E25845" t="str">
        <v>-</v>
      </c>
      <c r="F25845" t="str">
        <v>-</v>
      </c>
      <c r="G25845" t="str">
        <v>-</v>
      </c>
    </row>
    <row r="25846">
      <c r="B25846" t="str">
        <v>Công an xã Cổ Lũng tỉnh Thái Nguyên</v>
      </c>
      <c r="C25846" t="str">
        <v>-</v>
      </c>
      <c r="D25846" t="str">
        <v>-</v>
      </c>
      <c r="E25846" t="str">
        <v/>
      </c>
      <c r="F25846" t="str">
        <v>-</v>
      </c>
      <c r="G25846" t="str">
        <v>-</v>
      </c>
    </row>
    <row r="25847">
      <c r="B25847" t="str">
        <v>UBND Ủy ban nhân dân xã Cổ Lũng tỉnh Thái Nguyên</v>
      </c>
      <c r="C25847" t="str">
        <v>-</v>
      </c>
      <c r="D25847" t="str">
        <v>-</v>
      </c>
      <c r="E25847" t="str">
        <v>-</v>
      </c>
      <c r="F25847" t="str">
        <v>-</v>
      </c>
      <c r="G25847" t="str">
        <v>-</v>
      </c>
    </row>
    <row r="25848">
      <c r="B25848" t="str">
        <v>Công an xã Cộng Hòa thành phố Hà Nội</v>
      </c>
      <c r="C25848" t="str">
        <v>-</v>
      </c>
      <c r="D25848" t="str">
        <v>-</v>
      </c>
      <c r="E25848" t="str">
        <v/>
      </c>
      <c r="F25848" t="str">
        <v>-</v>
      </c>
      <c r="G25848" t="str">
        <v>-</v>
      </c>
    </row>
    <row r="25849">
      <c r="B25849" t="str">
        <v>UBND Ủy ban nhân dân xã Cộng Hòa thành phố Hà Nội</v>
      </c>
      <c r="C25849" t="str">
        <v>-</v>
      </c>
      <c r="D25849" t="str">
        <v>-</v>
      </c>
      <c r="E25849" t="str">
        <v>-</v>
      </c>
      <c r="F25849" t="str">
        <v>-</v>
      </c>
      <c r="G25849" t="str">
        <v>-</v>
      </c>
    </row>
    <row r="25850">
      <c r="B25850" t="str">
        <v>Công an xã Cự Khê thành phố Hà Nội</v>
      </c>
      <c r="C25850" t="str">
        <v>-</v>
      </c>
      <c r="D25850" t="str">
        <v>-</v>
      </c>
      <c r="E25850" t="str">
        <v/>
      </c>
      <c r="F25850" t="str">
        <v>-</v>
      </c>
      <c r="G25850" t="str">
        <v>-</v>
      </c>
    </row>
    <row r="25851">
      <c r="B25851" t="str">
        <v>UBND Ủy ban nhân dân xã Cự Khê thành phố Hà Nội</v>
      </c>
      <c r="C25851" t="str">
        <v>-</v>
      </c>
      <c r="D25851" t="str">
        <v>-</v>
      </c>
      <c r="E25851" t="str">
        <v>-</v>
      </c>
      <c r="F25851" t="str">
        <v>-</v>
      </c>
      <c r="G25851" t="str">
        <v>-</v>
      </c>
    </row>
    <row r="25852" xml:space="preserve">
      <c r="B25852" t="str" xml:space="preserve">
        <v xml:space="preserve">Công an xã Cự Thắng _x000d_
 tỉnh Phú Thọ</v>
      </c>
      <c r="C25852" t="str">
        <v>-</v>
      </c>
      <c r="D25852" t="str">
        <v>-</v>
      </c>
      <c r="E25852" t="str">
        <v/>
      </c>
      <c r="F25852" t="str">
        <v>-</v>
      </c>
      <c r="G25852" t="str">
        <v>-</v>
      </c>
    </row>
    <row r="25853" xml:space="preserve">
      <c r="B25853" t="str" xml:space="preserve">
        <v xml:space="preserve">UBND Ủy ban nhân dân xã Cự Thắng _x000d_
 tỉnh Phú Thọ</v>
      </c>
      <c r="C25853" t="str">
        <v>-</v>
      </c>
      <c r="D25853" t="str">
        <v>-</v>
      </c>
      <c r="E25853" t="str">
        <v>-</v>
      </c>
      <c r="F25853" t="str">
        <v>-</v>
      </c>
      <c r="G25853" t="str">
        <v>-</v>
      </c>
    </row>
    <row r="25854" xml:space="preserve">
      <c r="B25854" t="str" xml:space="preserve">
        <v xml:space="preserve">Công an xã Cam Cọn _x000d_
 tỉnh Lào Cai</v>
      </c>
      <c r="C25854" t="str">
        <v>-</v>
      </c>
      <c r="D25854" t="str">
        <v>-</v>
      </c>
      <c r="E25854" t="str">
        <v/>
      </c>
      <c r="F25854" t="str">
        <v>-</v>
      </c>
      <c r="G25854" t="str">
        <v>-</v>
      </c>
    </row>
    <row r="25855" xml:space="preserve">
      <c r="B25855" t="str" xml:space="preserve">
        <v xml:space="preserve">UBND Ủy ban nhân dân xã Cam Cọn _x000d_
 tỉnh Lào Cai</v>
      </c>
      <c r="C25855" t="str">
        <v>-</v>
      </c>
      <c r="D25855" t="str">
        <v>-</v>
      </c>
      <c r="E25855" t="str">
        <v>-</v>
      </c>
      <c r="F25855" t="str">
        <v>-</v>
      </c>
      <c r="G25855" t="str">
        <v>-</v>
      </c>
    </row>
    <row r="25856" xml:space="preserve">
      <c r="B25856" t="str" xml:space="preserve">
        <v xml:space="preserve">Công an xã Canh Nậu _x000d_
 tỉnh Bắc Giang</v>
      </c>
      <c r="C25856" t="str">
        <v>-</v>
      </c>
      <c r="D25856" t="str">
        <v>-</v>
      </c>
      <c r="E25856" t="str">
        <v/>
      </c>
      <c r="F25856" t="str">
        <v>-</v>
      </c>
      <c r="G25856" t="str">
        <v>-</v>
      </c>
    </row>
    <row r="25857" xml:space="preserve">
      <c r="B25857" t="str" xml:space="preserve">
        <v xml:space="preserve">UBND Ủy ban nhân dân xã Canh Nậu _x000d_
 tỉnh Bắc Giang</v>
      </c>
      <c r="C25857" t="str">
        <v>-</v>
      </c>
      <c r="D25857" t="str">
        <v>-</v>
      </c>
      <c r="E25857" t="str">
        <v>-</v>
      </c>
      <c r="F25857" t="str">
        <v>-</v>
      </c>
      <c r="G25857" t="str">
        <v>-</v>
      </c>
    </row>
    <row r="25858" xml:space="preserve">
      <c r="B25858" t="str" xml:space="preserve">
        <v xml:space="preserve">Công an xã Cao Kỳ _x000d_
 tỉnh Bắc Kạn</v>
      </c>
      <c r="C25858" t="str">
        <v>-</v>
      </c>
      <c r="D25858" t="str">
        <v>-</v>
      </c>
      <c r="E25858" t="str">
        <v/>
      </c>
      <c r="F25858" t="str">
        <v>-</v>
      </c>
      <c r="G25858" t="str">
        <v>-</v>
      </c>
    </row>
    <row r="25859" xml:space="preserve">
      <c r="B25859" t="str" xml:space="preserve">
        <v xml:space="preserve">UBND Ủy ban nhân dân xã Cao Kỳ _x000d_
 tỉnh Bắc Kạn</v>
      </c>
      <c r="C25859" t="str">
        <v>-</v>
      </c>
      <c r="D25859" t="str">
        <v>-</v>
      </c>
      <c r="E25859" t="str">
        <v>-</v>
      </c>
      <c r="F25859" t="str">
        <v>-</v>
      </c>
      <c r="G25859" t="str">
        <v>-</v>
      </c>
    </row>
    <row r="25860">
      <c r="B25860" t="str">
        <v>Công an xã Cao Thăng tỉnh Cao Bằng</v>
      </c>
      <c r="C25860" t="str">
        <v>-</v>
      </c>
      <c r="D25860" t="str">
        <v>-</v>
      </c>
      <c r="E25860" t="str">
        <v/>
      </c>
      <c r="F25860" t="str">
        <v>-</v>
      </c>
      <c r="G25860" t="str">
        <v>-</v>
      </c>
    </row>
    <row r="25861">
      <c r="B25861" t="str">
        <v>UBND Ủy ban nhân dân xã Cao Thăng tỉnh Cao Bằng</v>
      </c>
      <c r="C25861" t="str">
        <v>-</v>
      </c>
      <c r="D25861" t="str">
        <v>-</v>
      </c>
      <c r="E25861" t="str">
        <v>-</v>
      </c>
      <c r="F25861" t="str">
        <v>-</v>
      </c>
      <c r="G25861" t="str">
        <v>-</v>
      </c>
    </row>
    <row r="25862" xml:space="preserve">
      <c r="B25862" t="str" xml:space="preserve">
        <v xml:space="preserve">Công an xã Cao Thịnh _x000d_
 tỉnh Thanh Hóa</v>
      </c>
      <c r="C25862" t="str">
        <v>-</v>
      </c>
      <c r="D25862" t="str">
        <v>-</v>
      </c>
      <c r="E25862" t="str">
        <v/>
      </c>
      <c r="F25862" t="str">
        <v>-</v>
      </c>
      <c r="G25862" t="str">
        <v>-</v>
      </c>
    </row>
    <row r="25863" xml:space="preserve">
      <c r="B25863" t="str" xml:space="preserve">
        <v xml:space="preserve">UBND Ủy ban nhân dân xã Cao Thịnh _x000d_
 tỉnh Thanh Hóa</v>
      </c>
      <c r="C25863" t="str">
        <v>-</v>
      </c>
      <c r="D25863" t="str">
        <v>-</v>
      </c>
      <c r="E25863" t="str">
        <v>-</v>
      </c>
      <c r="F25863" t="str">
        <v>-</v>
      </c>
      <c r="G25863" t="str">
        <v>-</v>
      </c>
    </row>
    <row r="25864" xml:space="preserve">
      <c r="B25864" t="str" xml:space="preserve">
        <v xml:space="preserve">Công an xã Cao Thịnh _x000d_
 tỉnh Thanh Hóa</v>
      </c>
      <c r="C25864" t="str">
        <v>-</v>
      </c>
      <c r="D25864" t="str">
        <v>-</v>
      </c>
      <c r="E25864" t="str">
        <v/>
      </c>
      <c r="F25864" t="str">
        <v>-</v>
      </c>
      <c r="G25864" t="str">
        <v>-</v>
      </c>
    </row>
    <row r="25865" xml:space="preserve">
      <c r="B25865" t="str" xml:space="preserve">
        <v xml:space="preserve">UBND Ủy ban nhân dân xã Cao Thịnh _x000d_
 tỉnh Thanh Hóa</v>
      </c>
      <c r="C25865" t="str">
        <v>-</v>
      </c>
      <c r="D25865" t="str">
        <v>-</v>
      </c>
      <c r="E25865" t="str">
        <v>-</v>
      </c>
      <c r="F25865" t="str">
        <v>-</v>
      </c>
      <c r="G25865" t="str">
        <v>-</v>
      </c>
    </row>
    <row r="25866" xml:space="preserve">
      <c r="B25866" t="str" xml:space="preserve">
        <v xml:space="preserve">Công an xã Cao Xá _x000d_
 tỉnh Thanh Hóa</v>
      </c>
      <c r="C25866" t="str">
        <v>-</v>
      </c>
      <c r="D25866" t="str">
        <v>-</v>
      </c>
      <c r="E25866" t="str">
        <v/>
      </c>
      <c r="F25866" t="str">
        <v>-</v>
      </c>
      <c r="G25866" t="str">
        <v>-</v>
      </c>
    </row>
    <row r="25867" xml:space="preserve">
      <c r="B25867" t="str" xml:space="preserve">
        <v xml:space="preserve">UBND Ủy ban nhân dân xã Cao Xá _x000d_
 tỉnh Thanh Hóa</v>
      </c>
      <c r="C25867" t="str">
        <v>-</v>
      </c>
      <c r="D25867" t="str">
        <v>-</v>
      </c>
      <c r="E25867" t="str">
        <v>-</v>
      </c>
      <c r="F25867" t="str">
        <v>-</v>
      </c>
      <c r="G25867" t="str">
        <v>-</v>
      </c>
    </row>
    <row r="25868" xml:space="preserve">
      <c r="B25868" t="str" xml:space="preserve">
        <v xml:space="preserve">Công an xã Chà Là _x000d_
 tỉnh TÂY NINH</v>
      </c>
      <c r="C25868" t="str">
        <v>-</v>
      </c>
      <c r="D25868" t="str">
        <v>-</v>
      </c>
      <c r="E25868" t="str">
        <v/>
      </c>
      <c r="F25868" t="str">
        <v>-</v>
      </c>
      <c r="G25868" t="str">
        <v>-</v>
      </c>
    </row>
    <row r="25869" xml:space="preserve">
      <c r="B25869" t="str" xml:space="preserve">
        <v xml:space="preserve">UBND Ủy ban nhân dân xã Chà Là _x000d_
 tỉnh TÂY NINH</v>
      </c>
      <c r="C25869" t="str">
        <v>-</v>
      </c>
      <c r="D25869" t="str">
        <v>-</v>
      </c>
      <c r="E25869" t="str">
        <v>-</v>
      </c>
      <c r="F25869" t="str">
        <v>-</v>
      </c>
      <c r="G25869" t="str">
        <v>-</v>
      </c>
    </row>
    <row r="25870" xml:space="preserve">
      <c r="B25870" t="str" xml:space="preserve">
        <v xml:space="preserve">Công an xã Châu Hưng _x000d_
 tỉnh Bến Tre</v>
      </c>
      <c r="C25870" t="str">
        <v>-</v>
      </c>
      <c r="D25870" t="str">
        <v>-</v>
      </c>
      <c r="E25870" t="str">
        <v/>
      </c>
      <c r="F25870" t="str">
        <v>-</v>
      </c>
      <c r="G25870" t="str">
        <v>-</v>
      </c>
    </row>
    <row r="25871" xml:space="preserve">
      <c r="B25871" t="str" xml:space="preserve">
        <v xml:space="preserve">UBND Ủy ban nhân dân xã Châu Hưng _x000d_
 tỉnh Bến Tre</v>
      </c>
      <c r="C25871" t="str">
        <v>-</v>
      </c>
      <c r="D25871" t="str">
        <v>-</v>
      </c>
      <c r="E25871" t="str">
        <v>-</v>
      </c>
      <c r="F25871" t="str">
        <v>-</v>
      </c>
      <c r="G25871" t="str">
        <v>-</v>
      </c>
    </row>
    <row r="25872">
      <c r="B25872" t="str">
        <v>Công an xã Châu Hưng A tỉnh Bạc Liêu</v>
      </c>
      <c r="C25872" t="str">
        <v>-</v>
      </c>
      <c r="D25872" t="str">
        <v>-</v>
      </c>
      <c r="E25872" t="str">
        <v/>
      </c>
      <c r="F25872" t="str">
        <v>-</v>
      </c>
      <c r="G25872" t="str">
        <v>-</v>
      </c>
    </row>
    <row r="25873">
      <c r="B25873" t="str">
        <v>UBND Ủy ban nhân dân xã Châu Hưng A tỉnh Bạc Liêu</v>
      </c>
      <c r="C25873" t="str">
        <v>-</v>
      </c>
      <c r="D25873" t="str">
        <v>-</v>
      </c>
      <c r="E25873" t="str">
        <v>-</v>
      </c>
      <c r="F25873" t="str">
        <v>-</v>
      </c>
      <c r="G25873" t="str">
        <v>-</v>
      </c>
    </row>
    <row r="25874" xml:space="preserve">
      <c r="B25874" t="str" xml:space="preserve">
        <v xml:space="preserve">Công an xã Châu Hội _x000d_
 tỉnh Nghệ An</v>
      </c>
      <c r="C25874" t="str">
        <v>-</v>
      </c>
      <c r="D25874" t="str">
        <v>-</v>
      </c>
      <c r="E25874" t="str">
        <v/>
      </c>
      <c r="F25874" t="str">
        <v>-</v>
      </c>
      <c r="G25874" t="str">
        <v>-</v>
      </c>
    </row>
    <row r="25875" xml:space="preserve">
      <c r="B25875" t="str" xml:space="preserve">
        <v xml:space="preserve">UBND Ủy ban nhân dân xã Châu Hội _x000d_
 tỉnh Nghệ An</v>
      </c>
      <c r="C25875" t="str">
        <v>-</v>
      </c>
      <c r="D25875" t="str">
        <v>-</v>
      </c>
      <c r="E25875" t="str">
        <v>-</v>
      </c>
      <c r="F25875" t="str">
        <v>-</v>
      </c>
      <c r="G25875" t="str">
        <v>-</v>
      </c>
    </row>
    <row r="25876">
      <c r="B25876" t="str">
        <v>Công an xã Châu Hoá tỉnh Quảng Bình</v>
      </c>
      <c r="C25876" t="str">
        <v>-</v>
      </c>
      <c r="D25876" t="str">
        <v>-</v>
      </c>
      <c r="E25876" t="str">
        <v/>
      </c>
      <c r="F25876" t="str">
        <v>-</v>
      </c>
      <c r="G25876" t="str">
        <v>-</v>
      </c>
    </row>
    <row r="25877">
      <c r="B25877" t="str">
        <v>UBND Ủy ban nhân dân xã Châu Hoá tỉnh Quảng Bình</v>
      </c>
      <c r="C25877" t="str">
        <v>-</v>
      </c>
      <c r="D25877" t="str">
        <v>-</v>
      </c>
      <c r="E25877" t="str">
        <v>-</v>
      </c>
      <c r="F25877" t="str">
        <v>-</v>
      </c>
      <c r="G25877" t="str">
        <v>-</v>
      </c>
    </row>
    <row r="25878">
      <c r="B25878" t="str">
        <v>Công an xã Châu Khánh  tỉnh Sóc Trăng</v>
      </c>
      <c r="C25878" t="str">
        <v>-</v>
      </c>
      <c r="D25878" t="str">
        <v>-</v>
      </c>
      <c r="E25878" t="str">
        <v/>
      </c>
      <c r="F25878" t="str">
        <v>-</v>
      </c>
      <c r="G25878" t="str">
        <v>-</v>
      </c>
    </row>
    <row r="25879">
      <c r="B25879" t="str">
        <v>UBND Ủy ban nhân dân xã Châu Khánh  tỉnh Sóc Trăng</v>
      </c>
      <c r="C25879" t="str">
        <v>-</v>
      </c>
      <c r="D25879" t="str">
        <v>-</v>
      </c>
      <c r="E25879" t="str">
        <v>-</v>
      </c>
      <c r="F25879" t="str">
        <v>-</v>
      </c>
      <c r="G25879" t="str">
        <v>-</v>
      </c>
    </row>
    <row r="25880">
      <c r="B25880" t="str">
        <v>Công an xã Châu Khê tỉnh Nghệ An</v>
      </c>
      <c r="C25880" t="str">
        <v>-</v>
      </c>
      <c r="D25880" t="str">
        <v>-</v>
      </c>
      <c r="E25880" t="str">
        <v/>
      </c>
      <c r="F25880" t="str">
        <v>-</v>
      </c>
      <c r="G25880" t="str">
        <v>-</v>
      </c>
    </row>
    <row r="25881">
      <c r="B25881" t="str">
        <v>UBND Ủy ban nhân dân xã Châu Khê tỉnh Nghệ An</v>
      </c>
      <c r="C25881" t="str">
        <v>-</v>
      </c>
      <c r="D25881" t="str">
        <v>-</v>
      </c>
      <c r="E25881" t="str">
        <v>-</v>
      </c>
      <c r="F25881" t="str">
        <v>-</v>
      </c>
      <c r="G25881" t="str">
        <v>-</v>
      </c>
    </row>
    <row r="25882">
      <c r="B25882" t="str">
        <v>Công an xã Châu Kim tỉnh Nghệ An</v>
      </c>
      <c r="C25882" t="str">
        <v>-</v>
      </c>
      <c r="D25882" t="str">
        <v>-</v>
      </c>
      <c r="E25882" t="str">
        <v/>
      </c>
      <c r="F25882" t="str">
        <v>-</v>
      </c>
      <c r="G25882" t="str">
        <v>-</v>
      </c>
    </row>
    <row r="25883">
      <c r="B25883" t="str">
        <v>UBND Ủy ban nhân dân xã Châu Kim tỉnh Nghệ An</v>
      </c>
      <c r="C25883" t="str">
        <v>-</v>
      </c>
      <c r="D25883" t="str">
        <v>-</v>
      </c>
      <c r="E25883" t="str">
        <v>-</v>
      </c>
      <c r="F25883" t="str">
        <v>-</v>
      </c>
      <c r="G25883" t="str">
        <v>-</v>
      </c>
    </row>
    <row r="25884" xml:space="preserve">
      <c r="B25884" t="str" xml:space="preserve">
        <v xml:space="preserve">Công an xã Châu Nhân _x000d_
 tỉnh Nghệ An</v>
      </c>
      <c r="C25884" t="str">
        <v>-</v>
      </c>
      <c r="D25884" t="str">
        <v>-</v>
      </c>
      <c r="E25884" t="str">
        <v/>
      </c>
      <c r="F25884" t="str">
        <v>-</v>
      </c>
      <c r="G25884" t="str">
        <v>-</v>
      </c>
    </row>
    <row r="25885" xml:space="preserve">
      <c r="B25885" t="str" xml:space="preserve">
        <v xml:space="preserve">UBND Ủy ban nhân dân xã Châu Nhân _x000d_
 tỉnh Nghệ An</v>
      </c>
      <c r="C25885" t="str">
        <v>-</v>
      </c>
      <c r="D25885" t="str">
        <v>-</v>
      </c>
      <c r="E25885" t="str">
        <v>-</v>
      </c>
      <c r="F25885" t="str">
        <v>-</v>
      </c>
      <c r="G25885" t="str">
        <v>-</v>
      </c>
    </row>
    <row r="25886">
      <c r="B25886" t="str">
        <v>Công an xã Châu Pha tỉnh Bà Rịa - Vũng Tàu</v>
      </c>
      <c r="C25886" t="str">
        <v>-</v>
      </c>
      <c r="D25886" t="str">
        <v>-</v>
      </c>
      <c r="E25886" t="str">
        <v/>
      </c>
      <c r="F25886" t="str">
        <v>-</v>
      </c>
      <c r="G25886" t="str">
        <v>-</v>
      </c>
    </row>
    <row r="25887">
      <c r="B25887" t="str">
        <v>UBND Ủy ban nhân dân xã Châu Pha tỉnh Bà Rịa - Vũng Tàu</v>
      </c>
      <c r="C25887" t="str">
        <v>-</v>
      </c>
      <c r="D25887" t="str">
        <v>-</v>
      </c>
      <c r="E25887" t="str">
        <v>-</v>
      </c>
      <c r="F25887" t="str">
        <v>-</v>
      </c>
      <c r="G25887" t="str">
        <v>-</v>
      </c>
    </row>
    <row r="25888">
      <c r="B25888" t="str">
        <v>Công an xã Châu Quế Thượng tỉnh Yên Bái</v>
      </c>
      <c r="C25888" t="str">
        <v>-</v>
      </c>
      <c r="D25888" t="str">
        <v>-</v>
      </c>
      <c r="E25888" t="str">
        <v/>
      </c>
      <c r="F25888" t="str">
        <v>-</v>
      </c>
      <c r="G25888" t="str">
        <v>-</v>
      </c>
    </row>
    <row r="25889">
      <c r="B25889" t="str">
        <v>UBND Ủy ban nhân dân xã Châu Quế Thượng tỉnh Yên Bái</v>
      </c>
      <c r="C25889" t="str">
        <v>-</v>
      </c>
      <c r="D25889" t="str">
        <v>-</v>
      </c>
      <c r="E25889" t="str">
        <v>-</v>
      </c>
      <c r="F25889" t="str">
        <v>-</v>
      </c>
      <c r="G25889" t="str">
        <v>-</v>
      </c>
    </row>
    <row r="25890">
      <c r="B25890" t="str">
        <v>Công an xã Châu Thôn tỉnh Nghệ An</v>
      </c>
      <c r="C25890" t="str">
        <v>-</v>
      </c>
      <c r="D25890" t="str">
        <v>-</v>
      </c>
      <c r="E25890" t="str">
        <v/>
      </c>
      <c r="F25890" t="str">
        <v>-</v>
      </c>
      <c r="G25890" t="str">
        <v>-</v>
      </c>
    </row>
    <row r="25891">
      <c r="B25891" t="str">
        <v>UBND Ủy ban nhân dân xã Châu Thôn tỉnh Nghệ An</v>
      </c>
      <c r="C25891" t="str">
        <v>-</v>
      </c>
      <c r="D25891" t="str">
        <v>-</v>
      </c>
      <c r="E25891" t="str">
        <v>-</v>
      </c>
      <c r="F25891" t="str">
        <v>-</v>
      </c>
      <c r="G25891" t="str">
        <v>-</v>
      </c>
    </row>
    <row r="25892" xml:space="preserve">
      <c r="B25892" t="str" xml:space="preserve">
        <v xml:space="preserve">Công an xã Châu Tiến _x000d_
 tỉnh Nghệ An</v>
      </c>
      <c r="C25892" t="str">
        <v>-</v>
      </c>
      <c r="D25892" t="str">
        <v>-</v>
      </c>
      <c r="E25892" t="str">
        <v/>
      </c>
      <c r="F25892" t="str">
        <v>-</v>
      </c>
      <c r="G25892" t="str">
        <v>-</v>
      </c>
    </row>
    <row r="25893" xml:space="preserve">
      <c r="B25893" t="str" xml:space="preserve">
        <v xml:space="preserve">UBND Ủy ban nhân dân xã Châu Tiến _x000d_
 tỉnh Nghệ An</v>
      </c>
      <c r="C25893" t="str">
        <v>-</v>
      </c>
      <c r="D25893" t="str">
        <v>-</v>
      </c>
      <c r="E25893" t="str">
        <v>-</v>
      </c>
      <c r="F25893" t="str">
        <v>-</v>
      </c>
      <c r="G25893" t="str">
        <v>-</v>
      </c>
    </row>
    <row r="25894" xml:space="preserve">
      <c r="B25894" t="str" xml:space="preserve">
        <v xml:space="preserve">Công an xã Châu Tiến _x000d_
 tỉnh Nghệ An</v>
      </c>
      <c r="C25894" t="str">
        <v>-</v>
      </c>
      <c r="D25894" t="str">
        <v>-</v>
      </c>
      <c r="E25894" t="str">
        <v/>
      </c>
      <c r="F25894" t="str">
        <v>-</v>
      </c>
      <c r="G25894" t="str">
        <v>-</v>
      </c>
    </row>
    <row r="25895" xml:space="preserve">
      <c r="B25895" t="str" xml:space="preserve">
        <v xml:space="preserve">UBND Ủy ban nhân dân xã Châu Tiến _x000d_
 tỉnh Nghệ An</v>
      </c>
      <c r="C25895" t="str">
        <v>-</v>
      </c>
      <c r="D25895" t="str">
        <v>-</v>
      </c>
      <c r="E25895" t="str">
        <v>-</v>
      </c>
      <c r="F25895" t="str">
        <v>-</v>
      </c>
      <c r="G25895" t="str">
        <v>-</v>
      </c>
    </row>
    <row r="25896" xml:space="preserve">
      <c r="B25896" t="str" xml:space="preserve">
        <v xml:space="preserve">Công an xã Chư Ă _x000d_
 tỉnh Gia Lai</v>
      </c>
      <c r="C25896" t="str">
        <v>-</v>
      </c>
      <c r="D25896" t="str">
        <v>-</v>
      </c>
      <c r="E25896" t="str">
        <v/>
      </c>
      <c r="F25896" t="str">
        <v>-</v>
      </c>
      <c r="G25896" t="str">
        <v>-</v>
      </c>
    </row>
    <row r="25897" xml:space="preserve">
      <c r="B25897" t="str" xml:space="preserve">
        <v xml:space="preserve">UBND Ủy ban nhân dân xã Chư Ă _x000d_
 tỉnh Gia Lai</v>
      </c>
      <c r="C25897" t="str">
        <v>-</v>
      </c>
      <c r="D25897" t="str">
        <v>-</v>
      </c>
      <c r="E25897" t="str">
        <v>-</v>
      </c>
      <c r="F25897" t="str">
        <v>-</v>
      </c>
      <c r="G25897" t="str">
        <v>-</v>
      </c>
    </row>
    <row r="25898" xml:space="preserve">
      <c r="B25898" t="str" xml:space="preserve">
        <v xml:space="preserve">Công an xã Chư Đang Ya _x000d_
 tỉnh Gia Lai</v>
      </c>
      <c r="C25898" t="str">
        <v>-</v>
      </c>
      <c r="D25898" t="str">
        <v>-</v>
      </c>
      <c r="E25898" t="str">
        <v/>
      </c>
      <c r="F25898" t="str">
        <v>-</v>
      </c>
      <c r="G25898" t="str">
        <v>-</v>
      </c>
    </row>
    <row r="25899" xml:space="preserve">
      <c r="B25899" t="str" xml:space="preserve">
        <v xml:space="preserve">UBND Ủy ban nhân dân xã Chư Đang Ya _x000d_
 tỉnh Gia Lai</v>
      </c>
      <c r="C25899" t="str">
        <v>-</v>
      </c>
      <c r="D25899" t="str">
        <v>-</v>
      </c>
      <c r="E25899" t="str">
        <v>-</v>
      </c>
      <c r="F25899" t="str">
        <v>-</v>
      </c>
      <c r="G25899" t="str">
        <v>-</v>
      </c>
    </row>
    <row r="25900">
      <c r="B25900" t="str">
        <v>Công an xã Chư A Thai  tỉnh Gia Lai</v>
      </c>
      <c r="C25900" t="str">
        <v>-</v>
      </c>
      <c r="D25900" t="str">
        <v>-</v>
      </c>
      <c r="E25900" t="str">
        <v/>
      </c>
      <c r="F25900" t="str">
        <v>-</v>
      </c>
      <c r="G25900" t="str">
        <v>-</v>
      </c>
    </row>
    <row r="25901">
      <c r="B25901" t="str">
        <v>UBND Ủy ban nhân dân xã Chư A Thai  tỉnh Gia Lai</v>
      </c>
      <c r="C25901" t="str">
        <v>-</v>
      </c>
      <c r="D25901" t="str">
        <v>-</v>
      </c>
      <c r="E25901" t="str">
        <v>-</v>
      </c>
      <c r="F25901" t="str">
        <v>-</v>
      </c>
      <c r="G25901" t="str">
        <v>-</v>
      </c>
    </row>
    <row r="25902" xml:space="preserve">
      <c r="B25902" t="str" xml:space="preserve">
        <v xml:space="preserve">Công an xã Chư Don _x000d_
 tỉnh Gia Lai</v>
      </c>
      <c r="C25902" t="str">
        <v>-</v>
      </c>
      <c r="D25902" t="str">
        <v>-</v>
      </c>
      <c r="E25902" t="str">
        <v/>
      </c>
      <c r="F25902" t="str">
        <v>-</v>
      </c>
      <c r="G25902" t="str">
        <v>-</v>
      </c>
    </row>
    <row r="25903" xml:space="preserve">
      <c r="B25903" t="str" xml:space="preserve">
        <v xml:space="preserve">UBND Ủy ban nhân dân xã Chư Don _x000d_
 tỉnh Gia Lai</v>
      </c>
      <c r="C25903" t="str">
        <v>-</v>
      </c>
      <c r="D25903" t="str">
        <v>-</v>
      </c>
      <c r="E25903" t="str">
        <v>-</v>
      </c>
      <c r="F25903" t="str">
        <v>-</v>
      </c>
      <c r="G25903" t="str">
        <v>-</v>
      </c>
    </row>
    <row r="25904">
      <c r="B25904" t="str">
        <v>Công an xã Chư Gu tỉnh Gia Lai</v>
      </c>
      <c r="C25904" t="str">
        <v>-</v>
      </c>
      <c r="D25904" t="str">
        <v>-</v>
      </c>
      <c r="E25904" t="str">
        <v/>
      </c>
      <c r="F25904" t="str">
        <v>-</v>
      </c>
      <c r="G25904" t="str">
        <v>-</v>
      </c>
    </row>
    <row r="25905">
      <c r="B25905" t="str">
        <v>UBND Ủy ban nhân dân xã Chư Gu tỉnh Gia Lai</v>
      </c>
      <c r="C25905" t="str">
        <v>-</v>
      </c>
      <c r="D25905" t="str">
        <v>-</v>
      </c>
      <c r="E25905" t="str">
        <v>-</v>
      </c>
      <c r="F25905" t="str">
        <v>-</v>
      </c>
      <c r="G25905" t="str">
        <v>-</v>
      </c>
    </row>
    <row r="25906">
      <c r="B25906" t="str">
        <v>Công an xã Chư Pơng tỉnh Gia Lai</v>
      </c>
      <c r="C25906" t="str">
        <v>-</v>
      </c>
      <c r="D25906" t="str">
        <v>-</v>
      </c>
      <c r="E25906" t="str">
        <v/>
      </c>
      <c r="F25906" t="str">
        <v>-</v>
      </c>
      <c r="G25906" t="str">
        <v>-</v>
      </c>
    </row>
    <row r="25907">
      <c r="B25907" t="str">
        <v>UBND Ủy ban nhân dân xã Chư Pơng tỉnh Gia Lai</v>
      </c>
      <c r="C25907" t="str">
        <v>-</v>
      </c>
      <c r="D25907" t="str">
        <v>-</v>
      </c>
      <c r="E25907" t="str">
        <v>-</v>
      </c>
      <c r="F25907" t="str">
        <v>-</v>
      </c>
      <c r="G25907" t="str">
        <v>-</v>
      </c>
    </row>
    <row r="25908" xml:space="preserve">
      <c r="B25908" t="str" xml:space="preserve">
        <v xml:space="preserve">Công an xã Chấn Thịnh _x000d_
 tỉnh Yên Bái</v>
      </c>
      <c r="C25908" t="str">
        <v>-</v>
      </c>
      <c r="D25908" t="str">
        <v>-</v>
      </c>
      <c r="E25908" t="str">
        <v/>
      </c>
      <c r="F25908" t="str">
        <v>-</v>
      </c>
      <c r="G25908" t="str">
        <v>-</v>
      </c>
    </row>
    <row r="25909" xml:space="preserve">
      <c r="B25909" t="str" xml:space="preserve">
        <v xml:space="preserve">UBND Ủy ban nhân dân xã Chấn Thịnh _x000d_
 tỉnh Yên Bái</v>
      </c>
      <c r="C25909" t="str">
        <v>-</v>
      </c>
      <c r="D25909" t="str">
        <v>-</v>
      </c>
      <c r="E25909" t="str">
        <v>-</v>
      </c>
      <c r="F25909" t="str">
        <v>-</v>
      </c>
      <c r="G25909" t="str">
        <v>-</v>
      </c>
    </row>
    <row r="25910">
      <c r="B25910" t="str">
        <v>Công an xã Chất Bình tỉnh Yên Bái</v>
      </c>
      <c r="C25910" t="str">
        <v>-</v>
      </c>
      <c r="D25910" t="str">
        <v>-</v>
      </c>
      <c r="E25910" t="str">
        <v/>
      </c>
      <c r="F25910" t="str">
        <v>-</v>
      </c>
      <c r="G25910" t="str">
        <v>-</v>
      </c>
    </row>
    <row r="25911">
      <c r="B25911" t="str">
        <v>UBND Ủy ban nhân dân xã Chất Bình tỉnh Yên Bái</v>
      </c>
      <c r="C25911" t="str">
        <v>-</v>
      </c>
      <c r="D25911" t="str">
        <v>-</v>
      </c>
      <c r="E25911" t="str">
        <v>-</v>
      </c>
      <c r="F25911" t="str">
        <v>-</v>
      </c>
      <c r="G25911" t="str">
        <v>-</v>
      </c>
    </row>
    <row r="25912" xml:space="preserve">
      <c r="B25912" t="str" xml:space="preserve">
        <v xml:space="preserve">Công an xã Chế Tạo _x000d_
 tỉnh Yên Bái</v>
      </c>
      <c r="C25912" t="str">
        <v>-</v>
      </c>
      <c r="D25912" t="str">
        <v>-</v>
      </c>
      <c r="E25912" t="str">
        <v/>
      </c>
      <c r="F25912" t="str">
        <v>-</v>
      </c>
      <c r="G25912" t="str">
        <v>-</v>
      </c>
    </row>
    <row r="25913" xml:space="preserve">
      <c r="B25913" t="str" xml:space="preserve">
        <v xml:space="preserve">UBND Ủy ban nhân dân xã Chế Tạo _x000d_
 tỉnh Yên Bái</v>
      </c>
      <c r="C25913" t="str">
        <v>-</v>
      </c>
      <c r="D25913" t="str">
        <v>-</v>
      </c>
      <c r="E25913" t="str">
        <v>-</v>
      </c>
      <c r="F25913" t="str">
        <v>-</v>
      </c>
      <c r="G25913" t="str">
        <v>-</v>
      </c>
    </row>
    <row r="25914">
      <c r="B25914" t="str">
        <v>Công an xã Chiến Phố tỉnh Hà Giang</v>
      </c>
      <c r="C25914" t="str">
        <v>-</v>
      </c>
      <c r="D25914" t="str">
        <v>-</v>
      </c>
      <c r="E25914" t="str">
        <v/>
      </c>
      <c r="F25914" t="str">
        <v>-</v>
      </c>
      <c r="G25914" t="str">
        <v>-</v>
      </c>
    </row>
    <row r="25915">
      <c r="B25915" t="str">
        <v>UBND Ủy ban nhân dân xã Chiến Phố tỉnh Hà Giang</v>
      </c>
      <c r="C25915" t="str">
        <v>-</v>
      </c>
      <c r="D25915" t="str">
        <v>-</v>
      </c>
      <c r="E25915" t="str">
        <v>-</v>
      </c>
      <c r="F25915" t="str">
        <v>-</v>
      </c>
      <c r="G25915" t="str">
        <v>-</v>
      </c>
    </row>
    <row r="25916">
      <c r="B25916" t="str">
        <v>Công an xã Chiềng Ân tỉnh Sơn La</v>
      </c>
      <c r="C25916" t="str">
        <v>-</v>
      </c>
      <c r="D25916" t="str">
        <v>-</v>
      </c>
      <c r="E25916" t="str">
        <v/>
      </c>
      <c r="F25916" t="str">
        <v>-</v>
      </c>
      <c r="G25916" t="str">
        <v>-</v>
      </c>
    </row>
    <row r="25917">
      <c r="B25917" t="str">
        <v>UBND Ủy ban nhân dân xã Chiềng Ân tỉnh Sơn La</v>
      </c>
      <c r="C25917" t="str">
        <v>-</v>
      </c>
      <c r="D25917" t="str">
        <v>-</v>
      </c>
      <c r="E25917" t="str">
        <v>-</v>
      </c>
      <c r="F25917" t="str">
        <v>-</v>
      </c>
      <c r="G25917" t="str">
        <v>-</v>
      </c>
    </row>
    <row r="25918">
      <c r="B25918" t="str">
        <v>Công an xã Chiềng Đông tỉnh Sơn La</v>
      </c>
      <c r="C25918" t="str">
        <v>-</v>
      </c>
      <c r="D25918" t="str">
        <v>-</v>
      </c>
      <c r="E25918" t="str">
        <v/>
      </c>
      <c r="F25918" t="str">
        <v>-</v>
      </c>
      <c r="G25918" t="str">
        <v>-</v>
      </c>
    </row>
    <row r="25919">
      <c r="B25919" t="str">
        <v>UBND Ủy ban nhân dân xã Chiềng Đông tỉnh Sơn La</v>
      </c>
      <c r="C25919" t="str">
        <v>-</v>
      </c>
      <c r="D25919" t="str">
        <v>-</v>
      </c>
      <c r="E25919" t="str">
        <v>-</v>
      </c>
      <c r="F25919" t="str">
        <v>-</v>
      </c>
      <c r="G25919" t="str">
        <v>-</v>
      </c>
    </row>
    <row r="25920">
      <c r="B25920" t="str">
        <v>Công an xã Chiềng Đen tỉnh Sơn La</v>
      </c>
      <c r="C25920" t="str">
        <v>-</v>
      </c>
      <c r="D25920" t="str">
        <v>-</v>
      </c>
      <c r="E25920" t="str">
        <v/>
      </c>
      <c r="F25920" t="str">
        <v>-</v>
      </c>
      <c r="G25920" t="str">
        <v>-</v>
      </c>
    </row>
    <row r="25921">
      <c r="B25921" t="str">
        <v>UBND Ủy ban nhân dân xã Chiềng Đen tỉnh Sơn La</v>
      </c>
      <c r="C25921" t="str">
        <v>-</v>
      </c>
      <c r="D25921" t="str">
        <v>-</v>
      </c>
      <c r="E25921" t="str">
        <v>-</v>
      </c>
      <c r="F25921" t="str">
        <v>-</v>
      </c>
      <c r="G25921" t="str">
        <v>-</v>
      </c>
    </row>
    <row r="25922">
      <c r="B25922" t="str">
        <v>Công an xã Chiềng Ơn tỉnh Sơn La</v>
      </c>
      <c r="C25922" t="str">
        <v>-</v>
      </c>
      <c r="D25922" t="str">
        <v>-</v>
      </c>
      <c r="E25922" t="str">
        <v/>
      </c>
      <c r="F25922" t="str">
        <v>-</v>
      </c>
      <c r="G25922" t="str">
        <v>-</v>
      </c>
    </row>
    <row r="25923">
      <c r="B25923" t="str">
        <v>UBND Ủy ban nhân dân xã Chiềng Ơn tỉnh Sơn La</v>
      </c>
      <c r="C25923" t="str">
        <v>-</v>
      </c>
      <c r="D25923" t="str">
        <v>-</v>
      </c>
      <c r="E25923" t="str">
        <v>-</v>
      </c>
      <c r="F25923" t="str">
        <v>-</v>
      </c>
      <c r="G25923" t="str">
        <v>-</v>
      </c>
    </row>
    <row r="25924">
      <c r="B25924" t="str">
        <v>Công an xã Chiềng Bằng tỉnh Sơn La</v>
      </c>
      <c r="C25924" t="str">
        <v>-</v>
      </c>
      <c r="D25924" t="str">
        <v>-</v>
      </c>
      <c r="E25924" t="str">
        <v/>
      </c>
      <c r="F25924" t="str">
        <v>-</v>
      </c>
      <c r="G25924" t="str">
        <v>-</v>
      </c>
    </row>
    <row r="25925">
      <c r="B25925" t="str">
        <v>UBND Ủy ban nhân dân xã Chiềng Bằng tỉnh Sơn La</v>
      </c>
      <c r="C25925" t="str">
        <v>-</v>
      </c>
      <c r="D25925" t="str">
        <v>-</v>
      </c>
      <c r="E25925" t="str">
        <v>-</v>
      </c>
      <c r="F25925" t="str">
        <v>-</v>
      </c>
      <c r="G25925" t="str">
        <v>-</v>
      </c>
    </row>
    <row r="25926">
      <c r="B25926" t="str">
        <v>Công an xã Chiềng Công tỉnh Sơn La</v>
      </c>
      <c r="C25926" t="str">
        <v>-</v>
      </c>
      <c r="D25926" t="str">
        <v>-</v>
      </c>
      <c r="E25926" t="str">
        <v/>
      </c>
      <c r="F25926" t="str">
        <v>-</v>
      </c>
      <c r="G25926" t="str">
        <v>-</v>
      </c>
    </row>
    <row r="25927">
      <c r="B25927" t="str">
        <v>UBND Ủy ban nhân dân xã Chiềng Công tỉnh Sơn La</v>
      </c>
      <c r="C25927" t="str">
        <v>-</v>
      </c>
      <c r="D25927" t="str">
        <v>-</v>
      </c>
      <c r="E25927" t="str">
        <v>-</v>
      </c>
      <c r="F25927" t="str">
        <v>-</v>
      </c>
      <c r="G25927" t="str">
        <v>-</v>
      </c>
    </row>
    <row r="25928">
      <c r="B25928" t="str">
        <v>Công an xã Chiềng Cọ tỉnh Sơn La</v>
      </c>
      <c r="C25928" t="str">
        <v>-</v>
      </c>
      <c r="D25928" t="str">
        <v>-</v>
      </c>
      <c r="E25928" t="str">
        <v/>
      </c>
      <c r="F25928" t="str">
        <v>-</v>
      </c>
      <c r="G25928" t="str">
        <v>-</v>
      </c>
    </row>
    <row r="25929">
      <c r="B25929" t="str">
        <v>UBND Ủy ban nhân dân xã Chiềng Cọ tỉnh Sơn La</v>
      </c>
      <c r="C25929" t="str">
        <v>-</v>
      </c>
      <c r="D25929" t="str">
        <v>-</v>
      </c>
      <c r="E25929" t="str">
        <v>-</v>
      </c>
      <c r="F25929" t="str">
        <v>-</v>
      </c>
      <c r="G25929" t="str">
        <v>-</v>
      </c>
    </row>
    <row r="25930">
      <c r="B25930" t="str">
        <v>Công an xã Chiềng Cang tỉnh Sơn La</v>
      </c>
      <c r="C25930" t="str">
        <v>-</v>
      </c>
      <c r="D25930" t="str">
        <v>-</v>
      </c>
      <c r="E25930" t="str">
        <v/>
      </c>
      <c r="F25930" t="str">
        <v>-</v>
      </c>
      <c r="G25930" t="str">
        <v>-</v>
      </c>
    </row>
    <row r="25931">
      <c r="B25931" t="str">
        <v>UBND Ủy ban nhân dân xã Chiềng Cang tỉnh Sơn La</v>
      </c>
      <c r="C25931" t="str">
        <v>-</v>
      </c>
      <c r="D25931" t="str">
        <v>-</v>
      </c>
      <c r="E25931" t="str">
        <v>-</v>
      </c>
      <c r="F25931" t="str">
        <v>-</v>
      </c>
      <c r="G25931" t="str">
        <v>-</v>
      </c>
    </row>
    <row r="25932">
      <c r="B25932" t="str">
        <v>Công an xã Chiềng Chăn tỉnh Sơn La</v>
      </c>
      <c r="C25932" t="str">
        <v>-</v>
      </c>
      <c r="D25932" t="str">
        <v>-</v>
      </c>
      <c r="E25932" t="str">
        <v/>
      </c>
      <c r="F25932" t="str">
        <v>-</v>
      </c>
      <c r="G25932" t="str">
        <v>-</v>
      </c>
    </row>
    <row r="25933">
      <c r="B25933" t="str">
        <v>UBND Ủy ban nhân dân xã Chiềng Chăn tỉnh Sơn La</v>
      </c>
      <c r="C25933" t="str">
        <v>-</v>
      </c>
      <c r="D25933" t="str">
        <v>-</v>
      </c>
      <c r="E25933" t="str">
        <v>-</v>
      </c>
      <c r="F25933" t="str">
        <v>-</v>
      </c>
      <c r="G25933" t="str">
        <v>-</v>
      </c>
    </row>
    <row r="25934">
      <c r="B25934" t="str">
        <v>Công an xã Chiềng Chung tỉnh Sơn La</v>
      </c>
      <c r="C25934" t="str">
        <v>-</v>
      </c>
      <c r="D25934" t="str">
        <v>-</v>
      </c>
      <c r="E25934" t="str">
        <v/>
      </c>
      <c r="F25934" t="str">
        <v>-</v>
      </c>
      <c r="G25934" t="str">
        <v>-</v>
      </c>
    </row>
    <row r="25935">
      <c r="B25935" t="str">
        <v>UBND Ủy ban nhân dân xã Chiềng Chung tỉnh Sơn La</v>
      </c>
      <c r="C25935" t="str">
        <v>-</v>
      </c>
      <c r="D25935" t="str">
        <v>-</v>
      </c>
      <c r="E25935" t="str">
        <v>-</v>
      </c>
      <c r="F25935" t="str">
        <v>-</v>
      </c>
      <c r="G25935" t="str">
        <v>-</v>
      </c>
    </row>
    <row r="25936">
      <c r="B25936" t="str">
        <v>Công an xã Chiềng Hặc tỉnh Sơn La</v>
      </c>
      <c r="C25936" t="str">
        <v>-</v>
      </c>
      <c r="D25936" t="str">
        <v>-</v>
      </c>
      <c r="E25936" t="str">
        <v/>
      </c>
      <c r="F25936" t="str">
        <v>-</v>
      </c>
      <c r="G25936" t="str">
        <v>-</v>
      </c>
    </row>
    <row r="25937">
      <c r="B25937" t="str">
        <v>UBND Ủy ban nhân dân xã Chiềng Hặc tỉnh Sơn La</v>
      </c>
      <c r="C25937" t="str">
        <v>-</v>
      </c>
      <c r="D25937" t="str">
        <v>-</v>
      </c>
      <c r="E25937" t="str">
        <v>-</v>
      </c>
      <c r="F25937" t="str">
        <v>-</v>
      </c>
      <c r="G25937" t="str">
        <v>-</v>
      </c>
    </row>
    <row r="25938">
      <c r="B25938" t="str">
        <v>Công an xã Chiềng Hoa tỉnh Sơn La</v>
      </c>
      <c r="C25938" t="str">
        <v>-</v>
      </c>
      <c r="D25938" t="str">
        <v>-</v>
      </c>
      <c r="E25938" t="str">
        <v/>
      </c>
      <c r="F25938" t="str">
        <v>-</v>
      </c>
      <c r="G25938" t="str">
        <v>-</v>
      </c>
    </row>
    <row r="25939">
      <c r="B25939" t="str">
        <v>UBND Ủy ban nhân dân xã Chiềng Hoa tỉnh Sơn La</v>
      </c>
      <c r="C25939" t="str">
        <v>-</v>
      </c>
      <c r="D25939" t="str">
        <v>-</v>
      </c>
      <c r="E25939" t="str">
        <v>-</v>
      </c>
      <c r="F25939" t="str">
        <v>-</v>
      </c>
      <c r="G25939" t="str">
        <v>-</v>
      </c>
    </row>
    <row r="25940">
      <c r="B25940" t="str">
        <v>Công an xã Chiềng Khương tỉnh Sơn La</v>
      </c>
      <c r="C25940" t="str">
        <v>-</v>
      </c>
      <c r="D25940" t="str">
        <v>-</v>
      </c>
      <c r="E25940" t="str">
        <v/>
      </c>
      <c r="F25940" t="str">
        <v>-</v>
      </c>
      <c r="G25940" t="str">
        <v>-</v>
      </c>
    </row>
    <row r="25941">
      <c r="B25941" t="str">
        <v>UBND Ủy ban nhân dân xã Chiềng Khương tỉnh Sơn La</v>
      </c>
      <c r="C25941" t="str">
        <v>-</v>
      </c>
      <c r="D25941" t="str">
        <v>-</v>
      </c>
      <c r="E25941" t="str">
        <v>-</v>
      </c>
      <c r="F25941" t="str">
        <v>-</v>
      </c>
      <c r="G25941" t="str">
        <v>-</v>
      </c>
    </row>
    <row r="25942" xml:space="preserve">
      <c r="B25942" t="str" xml:space="preserve">
        <v xml:space="preserve">Công an xã Chiềng Khừa _x000d_
 tỉnh Sơn La</v>
      </c>
      <c r="C25942" t="str">
        <v>-</v>
      </c>
      <c r="D25942" t="str">
        <v>-</v>
      </c>
      <c r="E25942" t="str">
        <v/>
      </c>
      <c r="F25942" t="str">
        <v>-</v>
      </c>
      <c r="G25942" t="str">
        <v>-</v>
      </c>
    </row>
    <row r="25943" xml:space="preserve">
      <c r="B25943" t="str" xml:space="preserve">
        <v xml:space="preserve">UBND Ủy ban nhân dân xã Chiềng Khừa _x000d_
 tỉnh Sơn La</v>
      </c>
      <c r="C25943" t="str">
        <v>-</v>
      </c>
      <c r="D25943" t="str">
        <v>-</v>
      </c>
      <c r="E25943" t="str">
        <v>-</v>
      </c>
      <c r="F25943" t="str">
        <v>-</v>
      </c>
      <c r="G25943" t="str">
        <v>-</v>
      </c>
    </row>
    <row r="25944">
      <c r="B25944" t="str">
        <v>Công an xã Chiềng Khay tỉnh Sơn La</v>
      </c>
      <c r="C25944" t="str">
        <v>-</v>
      </c>
      <c r="D25944" t="str">
        <v>-</v>
      </c>
      <c r="E25944" t="str">
        <v/>
      </c>
      <c r="F25944" t="str">
        <v>-</v>
      </c>
      <c r="G25944" t="str">
        <v>-</v>
      </c>
    </row>
    <row r="25945">
      <c r="B25945" t="str">
        <v>UBND Ủy ban nhân dân xã Chiềng Khay tỉnh Sơn La</v>
      </c>
      <c r="C25945" t="str">
        <v>-</v>
      </c>
      <c r="D25945" t="str">
        <v>-</v>
      </c>
      <c r="E25945" t="str">
        <v>-</v>
      </c>
      <c r="F25945" t="str">
        <v>-</v>
      </c>
      <c r="G25945" t="str">
        <v>-</v>
      </c>
    </row>
    <row r="25946">
      <c r="B25946" t="str">
        <v>Công an xã Chiềng Kheo tỉnh Sơn La</v>
      </c>
      <c r="C25946" t="str">
        <v>-</v>
      </c>
      <c r="D25946" t="str">
        <v>-</v>
      </c>
      <c r="E25946" t="str">
        <v/>
      </c>
      <c r="F25946" t="str">
        <v>-</v>
      </c>
      <c r="G25946" t="str">
        <v>-</v>
      </c>
    </row>
    <row r="25947">
      <c r="B25947" t="str">
        <v>UBND Ủy ban nhân dân xã Chiềng Kheo tỉnh Sơn La</v>
      </c>
      <c r="C25947" t="str">
        <v>-</v>
      </c>
      <c r="D25947" t="str">
        <v>-</v>
      </c>
      <c r="E25947" t="str">
        <v>-</v>
      </c>
      <c r="F25947" t="str">
        <v>-</v>
      </c>
      <c r="G25947" t="str">
        <v>-</v>
      </c>
    </row>
    <row r="25948">
      <c r="B25948" t="str">
        <v>Công an xã Chiềng Khoa tỉnh Sơn La</v>
      </c>
      <c r="C25948" t="str">
        <v>-</v>
      </c>
      <c r="D25948" t="str">
        <v>-</v>
      </c>
      <c r="E25948" t="str">
        <v/>
      </c>
      <c r="F25948" t="str">
        <v>-</v>
      </c>
      <c r="G25948" t="str">
        <v>-</v>
      </c>
    </row>
    <row r="25949">
      <c r="B25949" t="str">
        <v>UBND Ủy ban nhân dân xã Chiềng Khoa tỉnh Sơn La</v>
      </c>
      <c r="C25949" t="str">
        <v>-</v>
      </c>
      <c r="D25949" t="str">
        <v>-</v>
      </c>
      <c r="E25949" t="str">
        <v>-</v>
      </c>
      <c r="F25949" t="str">
        <v>-</v>
      </c>
      <c r="G25949" t="str">
        <v>-</v>
      </c>
    </row>
    <row r="25950">
      <c r="B25950" t="str">
        <v>Công an xã Chiềng Khoong tỉnh Sơn La</v>
      </c>
      <c r="C25950" t="str">
        <v>-</v>
      </c>
      <c r="D25950" t="str">
        <v>-</v>
      </c>
      <c r="E25950" t="str">
        <v/>
      </c>
      <c r="F25950" t="str">
        <v>-</v>
      </c>
      <c r="G25950" t="str">
        <v>-</v>
      </c>
    </row>
    <row r="25951">
      <c r="B25951" t="str">
        <v>UBND Ủy ban nhân dân xã Chiềng Khoong tỉnh Sơn La</v>
      </c>
      <c r="C25951" t="str">
        <v>-</v>
      </c>
      <c r="D25951" t="str">
        <v>-</v>
      </c>
      <c r="E25951" t="str">
        <v>-</v>
      </c>
      <c r="F25951" t="str">
        <v>-</v>
      </c>
      <c r="G25951" t="str">
        <v>-</v>
      </c>
    </row>
    <row r="25952" xml:space="preserve">
      <c r="B25952" t="str" xml:space="preserve">
        <v xml:space="preserve">Công an xã Chiềng La _x000d_
 tỉnh Sơn La</v>
      </c>
      <c r="C25952" t="str">
        <v>-</v>
      </c>
      <c r="D25952" t="str">
        <v>-</v>
      </c>
      <c r="E25952" t="str">
        <v/>
      </c>
      <c r="F25952" t="str">
        <v>-</v>
      </c>
      <c r="G25952" t="str">
        <v>-</v>
      </c>
    </row>
    <row r="25953" xml:space="preserve">
      <c r="B25953" t="str" xml:space="preserve">
        <v xml:space="preserve">UBND Ủy ban nhân dân xã Chiềng La _x000d_
 tỉnh Sơn La</v>
      </c>
      <c r="C25953" t="str">
        <v>-</v>
      </c>
      <c r="D25953" t="str">
        <v>-</v>
      </c>
      <c r="E25953" t="str">
        <v>-</v>
      </c>
      <c r="F25953" t="str">
        <v>-</v>
      </c>
      <c r="G25953" t="str">
        <v>-</v>
      </c>
    </row>
    <row r="25954" xml:space="preserve">
      <c r="B25954" t="str" xml:space="preserve">
        <v xml:space="preserve">Công an xã Chiềng Lao _x000d_
 tỉnh Sơn La</v>
      </c>
      <c r="C25954" t="str">
        <v>-</v>
      </c>
      <c r="D25954" t="str">
        <v>-</v>
      </c>
      <c r="E25954" t="str">
        <v/>
      </c>
      <c r="F25954" t="str">
        <v>-</v>
      </c>
      <c r="G25954" t="str">
        <v>-</v>
      </c>
    </row>
    <row r="25955" xml:space="preserve">
      <c r="B25955" t="str" xml:space="preserve">
        <v xml:space="preserve">UBND Ủy ban nhân dân xã Chiềng Lao _x000d_
 tỉnh Sơn La</v>
      </c>
      <c r="C25955" t="str">
        <v>-</v>
      </c>
      <c r="D25955" t="str">
        <v>-</v>
      </c>
      <c r="E25955" t="str">
        <v>-</v>
      </c>
      <c r="F25955" t="str">
        <v>-</v>
      </c>
      <c r="G25955" t="str">
        <v>-</v>
      </c>
    </row>
    <row r="25956">
      <c r="B25956" t="str">
        <v>Công an xã Chiềng Ly tỉnh Sơn La</v>
      </c>
      <c r="C25956" t="str">
        <v>-</v>
      </c>
      <c r="D25956" t="str">
        <v>-</v>
      </c>
      <c r="E25956" t="str">
        <v/>
      </c>
      <c r="F25956" t="str">
        <v>-</v>
      </c>
      <c r="G25956" t="str">
        <v>-</v>
      </c>
    </row>
    <row r="25957">
      <c r="B25957" t="str">
        <v>UBND Ủy ban nhân dân xã Chiềng Ly tỉnh Sơn La</v>
      </c>
      <c r="C25957" t="str">
        <v>-</v>
      </c>
      <c r="D25957" t="str">
        <v>-</v>
      </c>
      <c r="E25957" t="str">
        <v>-</v>
      </c>
      <c r="F25957" t="str">
        <v>-</v>
      </c>
      <c r="G25957" t="str">
        <v>-</v>
      </c>
    </row>
    <row r="25958">
      <c r="B25958" t="str">
        <v>Công an xã Chiềng Mai  tỉnh Sơn La</v>
      </c>
      <c r="C25958" t="str">
        <v>-</v>
      </c>
      <c r="D25958" t="str">
        <v>-</v>
      </c>
      <c r="E25958" t="str">
        <v/>
      </c>
      <c r="F25958" t="str">
        <v>-</v>
      </c>
      <c r="G25958" t="str">
        <v>-</v>
      </c>
    </row>
    <row r="25959">
      <c r="B25959" t="str">
        <v>UBND Ủy ban nhân dân xã Chiềng Mai  tỉnh Sơn La</v>
      </c>
      <c r="C25959" t="str">
        <v>-</v>
      </c>
      <c r="D25959" t="str">
        <v>-</v>
      </c>
      <c r="E25959" t="str">
        <v>-</v>
      </c>
      <c r="F25959" t="str">
        <v>-</v>
      </c>
      <c r="G25959" t="str">
        <v>-</v>
      </c>
    </row>
    <row r="25960" xml:space="preserve">
      <c r="B25960" t="str" xml:space="preserve">
        <v xml:space="preserve">Công an xã Chiềng Mung _x000d_
 tỉnh Sơn La</v>
      </c>
      <c r="C25960" t="str">
        <v>-</v>
      </c>
      <c r="D25960" t="str">
        <v>-</v>
      </c>
      <c r="E25960" t="str">
        <v/>
      </c>
      <c r="F25960" t="str">
        <v>-</v>
      </c>
      <c r="G25960" t="str">
        <v>-</v>
      </c>
    </row>
    <row r="25961" xml:space="preserve">
      <c r="B25961" t="str" xml:space="preserve">
        <v xml:space="preserve">UBND Ủy ban nhân dân xã Chiềng Mung _x000d_
 tỉnh Sơn La</v>
      </c>
      <c r="C25961" t="str">
        <v>-</v>
      </c>
      <c r="D25961" t="str">
        <v>-</v>
      </c>
      <c r="E25961" t="str">
        <v>-</v>
      </c>
      <c r="F25961" t="str">
        <v>-</v>
      </c>
      <c r="G25961" t="str">
        <v>-</v>
      </c>
    </row>
    <row r="25962">
      <c r="B25962" t="str">
        <v>Công an xã Chiềng Nơi tỉnh Sơn La</v>
      </c>
      <c r="C25962" t="str">
        <v>-</v>
      </c>
      <c r="D25962" t="str">
        <v>-</v>
      </c>
      <c r="E25962" t="str">
        <v/>
      </c>
      <c r="F25962" t="str">
        <v>-</v>
      </c>
      <c r="G25962" t="str">
        <v>-</v>
      </c>
    </row>
    <row r="25963">
      <c r="B25963" t="str">
        <v>UBND Ủy ban nhân dân xã Chiềng Nơi tỉnh Sơn La</v>
      </c>
      <c r="C25963" t="str">
        <v>-</v>
      </c>
      <c r="D25963" t="str">
        <v>-</v>
      </c>
      <c r="E25963" t="str">
        <v>-</v>
      </c>
      <c r="F25963" t="str">
        <v>-</v>
      </c>
      <c r="G25963" t="str">
        <v>-</v>
      </c>
    </row>
    <row r="25964" xml:space="preserve">
      <c r="B25964" t="str" xml:space="preserve">
        <v xml:space="preserve">Công an xã Chiềng Ngàm _x000d_
 tỉnh Sơn La</v>
      </c>
      <c r="C25964" t="str">
        <v>-</v>
      </c>
      <c r="D25964" t="str">
        <v>-</v>
      </c>
      <c r="E25964" t="str">
        <v/>
      </c>
      <c r="F25964" t="str">
        <v>-</v>
      </c>
      <c r="G25964" t="str">
        <v>-</v>
      </c>
    </row>
    <row r="25965" xml:space="preserve">
      <c r="B25965" t="str" xml:space="preserve">
        <v xml:space="preserve">UBND Ủy ban nhân dân xã Chiềng Ngàm _x000d_
 tỉnh Sơn La</v>
      </c>
      <c r="C25965" t="str">
        <v>-</v>
      </c>
      <c r="D25965" t="str">
        <v>-</v>
      </c>
      <c r="E25965" t="str">
        <v>-</v>
      </c>
      <c r="F25965" t="str">
        <v>-</v>
      </c>
      <c r="G25965" t="str">
        <v>-</v>
      </c>
    </row>
    <row r="25966" xml:space="preserve">
      <c r="B25966" t="str" xml:space="preserve">
        <v xml:space="preserve">Công an xã Chiềng On_x000d_
 tỉnh Sơn La</v>
      </c>
      <c r="C25966" t="str">
        <v>-</v>
      </c>
      <c r="D25966" t="str">
        <v>-</v>
      </c>
      <c r="E25966" t="str">
        <v/>
      </c>
      <c r="F25966" t="str">
        <v>-</v>
      </c>
      <c r="G25966" t="str">
        <v>-</v>
      </c>
    </row>
    <row r="25967" xml:space="preserve">
      <c r="B25967" t="str" xml:space="preserve">
        <v xml:space="preserve">UBND Ủy ban nhân dân xã Chiềng On_x000d_
 tỉnh Sơn La</v>
      </c>
      <c r="C25967" t="str">
        <v>-</v>
      </c>
      <c r="D25967" t="str">
        <v>-</v>
      </c>
      <c r="E25967" t="str">
        <v>-</v>
      </c>
      <c r="F25967" t="str">
        <v>-</v>
      </c>
      <c r="G25967" t="str">
        <v>-</v>
      </c>
    </row>
    <row r="25968" xml:space="preserve">
      <c r="B25968" t="str" xml:space="preserve">
        <v xml:space="preserve">Công an xã Chiềng Pấc _x000d_
 tỉnh Sơn La</v>
      </c>
      <c r="C25968" t="str">
        <v>-</v>
      </c>
      <c r="D25968" t="str">
        <v>-</v>
      </c>
      <c r="E25968" t="str">
        <v/>
      </c>
      <c r="F25968" t="str">
        <v>-</v>
      </c>
      <c r="G25968" t="str">
        <v>-</v>
      </c>
    </row>
    <row r="25969" xml:space="preserve">
      <c r="B25969" t="str" xml:space="preserve">
        <v xml:space="preserve">UBND Ủy ban nhân dân xã Chiềng Pấc _x000d_
 tỉnh Sơn La</v>
      </c>
      <c r="C25969" t="str">
        <v>-</v>
      </c>
      <c r="D25969" t="str">
        <v>-</v>
      </c>
      <c r="E25969" t="str">
        <v>-</v>
      </c>
      <c r="F25969" t="str">
        <v>-</v>
      </c>
      <c r="G25969" t="str">
        <v>-</v>
      </c>
    </row>
    <row r="25970">
      <c r="B25970" t="str">
        <v>Công an xã Lóng Sập tỉnh Sơn La</v>
      </c>
      <c r="C25970" t="str">
        <v>-</v>
      </c>
      <c r="D25970" t="str">
        <v>-</v>
      </c>
      <c r="E25970" t="str">
        <v/>
      </c>
      <c r="F25970" t="str">
        <v>-</v>
      </c>
      <c r="G25970" t="str">
        <v>-</v>
      </c>
    </row>
    <row r="25971">
      <c r="B25971" t="str">
        <v>UBND Ủy ban nhân dân xã Lóng Sập tỉnh Sơn La</v>
      </c>
      <c r="C25971" t="str">
        <v>-</v>
      </c>
      <c r="D25971" t="str">
        <v>-</v>
      </c>
      <c r="E25971" t="str">
        <v>-</v>
      </c>
      <c r="F25971" t="str">
        <v>-</v>
      </c>
      <c r="G25971" t="str">
        <v>-</v>
      </c>
    </row>
    <row r="25972">
      <c r="B25972" t="str">
        <v>Công an xã Chiềng Sơ tỉnh Sơn La</v>
      </c>
      <c r="C25972" t="str">
        <v>-</v>
      </c>
      <c r="D25972" t="str">
        <v>-</v>
      </c>
      <c r="E25972" t="str">
        <v/>
      </c>
      <c r="F25972" t="str">
        <v>-</v>
      </c>
      <c r="G25972" t="str">
        <v>-</v>
      </c>
    </row>
    <row r="25973">
      <c r="B25973" t="str">
        <v>UBND Ủy ban nhân dân xã Chiềng Sơ tỉnh Sơn La</v>
      </c>
      <c r="C25973" t="str">
        <v>-</v>
      </c>
      <c r="D25973" t="str">
        <v>-</v>
      </c>
      <c r="E25973" t="str">
        <v>-</v>
      </c>
      <c r="F25973" t="str">
        <v>-</v>
      </c>
      <c r="G25973" t="str">
        <v>-</v>
      </c>
    </row>
    <row r="25974">
      <c r="B25974" t="str">
        <v>Công an xã Chiềng Sại tỉnh Sơn La</v>
      </c>
      <c r="C25974" t="str">
        <v>-</v>
      </c>
      <c r="D25974" t="str">
        <v>-</v>
      </c>
      <c r="E25974" t="str">
        <v/>
      </c>
      <c r="F25974" t="str">
        <v>-</v>
      </c>
      <c r="G25974" t="str">
        <v>-</v>
      </c>
    </row>
    <row r="25975">
      <c r="B25975" t="str">
        <v>UBND Ủy ban nhân dân xã Chiềng Sại tỉnh Sơn La</v>
      </c>
      <c r="C25975" t="str">
        <v>-</v>
      </c>
      <c r="D25975" t="str">
        <v>-</v>
      </c>
      <c r="E25975" t="str">
        <v>-</v>
      </c>
      <c r="F25975" t="str">
        <v>-</v>
      </c>
      <c r="G25975" t="str">
        <v>-</v>
      </c>
    </row>
    <row r="25976">
      <c r="B25976" t="str">
        <v>Công an xã Chiềng Sinh  tỉnh Điện Biên</v>
      </c>
      <c r="C25976" t="str">
        <v>-</v>
      </c>
      <c r="D25976" t="str">
        <v>-</v>
      </c>
      <c r="E25976" t="str">
        <v/>
      </c>
      <c r="F25976" t="str">
        <v>-</v>
      </c>
      <c r="G25976" t="str">
        <v>-</v>
      </c>
    </row>
    <row r="25977">
      <c r="B25977" t="str">
        <v>UBND Ủy ban nhân dân xã Chiềng Sinh  tỉnh Điện Biên</v>
      </c>
      <c r="C25977" t="str">
        <v>-</v>
      </c>
      <c r="D25977" t="str">
        <v>-</v>
      </c>
      <c r="E25977" t="str">
        <v>-</v>
      </c>
      <c r="F25977" t="str">
        <v>-</v>
      </c>
      <c r="G25977" t="str">
        <v>-</v>
      </c>
    </row>
    <row r="25978">
      <c r="B25978" t="str">
        <v>Công an xã Chiềng Sung tỉnh Sơn La</v>
      </c>
      <c r="C25978" t="str">
        <v>-</v>
      </c>
      <c r="D25978" t="str">
        <v>-</v>
      </c>
      <c r="E25978" t="str">
        <v/>
      </c>
      <c r="F25978" t="str">
        <v>-</v>
      </c>
      <c r="G25978" t="str">
        <v>-</v>
      </c>
    </row>
    <row r="25979">
      <c r="B25979" t="str">
        <v>UBND Ủy ban nhân dân xã Chiềng Sung tỉnh Sơn La</v>
      </c>
      <c r="C25979" t="str">
        <v>-</v>
      </c>
      <c r="D25979" t="str">
        <v>-</v>
      </c>
      <c r="E25979" t="str">
        <v>-</v>
      </c>
      <c r="F25979" t="str">
        <v>-</v>
      </c>
      <c r="G25979" t="str">
        <v>-</v>
      </c>
    </row>
    <row r="25980">
      <c r="B25980" t="str">
        <v>Công an xã Chiềng Ve tỉnh Sơn La</v>
      </c>
      <c r="C25980" t="str">
        <v>-</v>
      </c>
      <c r="D25980" t="str">
        <v>-</v>
      </c>
      <c r="E25980" t="str">
        <v/>
      </c>
      <c r="F25980" t="str">
        <v>-</v>
      </c>
      <c r="G25980" t="str">
        <v>-</v>
      </c>
    </row>
    <row r="25981">
      <c r="B25981" t="str">
        <v>UBND Ủy ban nhân dân xã Chiềng Ve tỉnh Sơn La</v>
      </c>
      <c r="C25981" t="str">
        <v>-</v>
      </c>
      <c r="D25981" t="str">
        <v>-</v>
      </c>
      <c r="E25981" t="str">
        <v>-</v>
      </c>
      <c r="F25981" t="str">
        <v>-</v>
      </c>
      <c r="G25981" t="str">
        <v>-</v>
      </c>
    </row>
    <row r="25982">
      <c r="B25982" t="str">
        <v>Công an xã Chiềng Xôm tỉnh Sơn La</v>
      </c>
      <c r="C25982" t="str">
        <v>-</v>
      </c>
      <c r="D25982" t="str">
        <v>-</v>
      </c>
      <c r="E25982" t="str">
        <v/>
      </c>
      <c r="F25982" t="str">
        <v>-</v>
      </c>
      <c r="G25982" t="str">
        <v>-</v>
      </c>
    </row>
    <row r="25983">
      <c r="B25983" t="str">
        <v>UBND Ủy ban nhân dân xã Chiềng Xôm tỉnh Sơn La</v>
      </c>
      <c r="C25983" t="str">
        <v>-</v>
      </c>
      <c r="D25983" t="str">
        <v>-</v>
      </c>
      <c r="E25983" t="str">
        <v>-</v>
      </c>
      <c r="F25983" t="str">
        <v>-</v>
      </c>
      <c r="G25983" t="str">
        <v>-</v>
      </c>
    </row>
    <row r="25984">
      <c r="B25984" t="str">
        <v>Công an xã Chi Lăng Nam tỉnh Hải Dương</v>
      </c>
      <c r="C25984" t="str">
        <v>-</v>
      </c>
      <c r="D25984" t="str">
        <v>-</v>
      </c>
      <c r="E25984" t="str">
        <v/>
      </c>
      <c r="F25984" t="str">
        <v>-</v>
      </c>
      <c r="G25984" t="str">
        <v>-</v>
      </c>
    </row>
    <row r="25985">
      <c r="B25985" t="str">
        <v>UBND Ủy ban nhân dân xã Chi Lăng Nam tỉnh Hải Dương</v>
      </c>
      <c r="C25985" t="str">
        <v>-</v>
      </c>
      <c r="D25985" t="str">
        <v>-</v>
      </c>
      <c r="E25985" t="str">
        <v>-</v>
      </c>
      <c r="F25985" t="str">
        <v>-</v>
      </c>
      <c r="G25985" t="str">
        <v>-</v>
      </c>
    </row>
    <row r="25986" xml:space="preserve">
      <c r="B25986" t="str" xml:space="preserve">
        <v xml:space="preserve">Công an xã Cuối Hạ _x000d_
 tỉnh Hòa Bình</v>
      </c>
      <c r="C25986" t="str">
        <v>-</v>
      </c>
      <c r="D25986" t="str">
        <v>-</v>
      </c>
      <c r="E25986" t="str">
        <v/>
      </c>
      <c r="F25986" t="str">
        <v>-</v>
      </c>
      <c r="G25986" t="str">
        <v>-</v>
      </c>
    </row>
    <row r="25987" xml:space="preserve">
      <c r="B25987" t="str" xml:space="preserve">
        <v xml:space="preserve">UBND Ủy ban nhân dân xã Cuối Hạ _x000d_
 tỉnh Hòa Bình</v>
      </c>
      <c r="C25987" t="str">
        <v>-</v>
      </c>
      <c r="D25987" t="str">
        <v>-</v>
      </c>
      <c r="E25987" t="str">
        <v>-</v>
      </c>
      <c r="F25987" t="str">
        <v>-</v>
      </c>
      <c r="G25987" t="str">
        <v>-</v>
      </c>
    </row>
    <row r="25988" xml:space="preserve">
      <c r="B25988" t="str" xml:space="preserve">
        <v xml:space="preserve">Công an xã Cuối Hạ _x000d_
 thành phố Hà Nội</v>
      </c>
      <c r="C25988" t="str">
        <v>-</v>
      </c>
      <c r="D25988" t="str">
        <v>-</v>
      </c>
      <c r="E25988" t="str">
        <v/>
      </c>
      <c r="F25988" t="str">
        <v>-</v>
      </c>
      <c r="G25988" t="str">
        <v>-</v>
      </c>
    </row>
    <row r="25989" xml:space="preserve">
      <c r="B25989" t="str" xml:space="preserve">
        <v xml:space="preserve">UBND Ủy ban nhân dân xã Cuối Hạ _x000d_
 thành phố Hà Nội</v>
      </c>
      <c r="C25989" t="str">
        <v>-</v>
      </c>
      <c r="D25989" t="str">
        <v>-</v>
      </c>
      <c r="E25989" t="str">
        <v>-</v>
      </c>
      <c r="F25989" t="str">
        <v>-</v>
      </c>
      <c r="G25989" t="str">
        <v>-</v>
      </c>
    </row>
    <row r="25990">
      <c r="B25990" t="str">
        <v>Công an xã Dân Tiến tỉnh Thái Nguyên</v>
      </c>
      <c r="C25990" t="str">
        <v>-</v>
      </c>
      <c r="D25990" t="str">
        <v>-</v>
      </c>
      <c r="E25990" t="str">
        <v/>
      </c>
      <c r="F25990" t="str">
        <v>-</v>
      </c>
      <c r="G25990" t="str">
        <v>-</v>
      </c>
    </row>
    <row r="25991">
      <c r="B25991" t="str">
        <v>UBND Ủy ban nhân dân xã Dân Tiến tỉnh Thái Nguyên</v>
      </c>
      <c r="C25991" t="str">
        <v>-</v>
      </c>
      <c r="D25991" t="str">
        <v>-</v>
      </c>
      <c r="E25991" t="str">
        <v>-</v>
      </c>
      <c r="F25991" t="str">
        <v>-</v>
      </c>
      <c r="G25991" t="str">
        <v>-</v>
      </c>
    </row>
    <row r="25992">
      <c r="B25992" t="str">
        <v>Công an xã Dũng Phong tỉnh Hòa Bình</v>
      </c>
      <c r="C25992" t="str">
        <v>-</v>
      </c>
      <c r="D25992" t="str">
        <v>-</v>
      </c>
      <c r="E25992" t="str">
        <v/>
      </c>
      <c r="F25992" t="str">
        <v>-</v>
      </c>
      <c r="G25992" t="str">
        <v>-</v>
      </c>
    </row>
    <row r="25993">
      <c r="B25993" t="str">
        <v>UBND Ủy ban nhân dân xã Dũng Phong tỉnh Hòa Bình</v>
      </c>
      <c r="C25993" t="str">
        <v>-</v>
      </c>
      <c r="D25993" t="str">
        <v>-</v>
      </c>
      <c r="E25993" t="str">
        <v>-</v>
      </c>
      <c r="F25993" t="str">
        <v>-</v>
      </c>
      <c r="G25993" t="str">
        <v>-</v>
      </c>
    </row>
    <row r="25994">
      <c r="B25994" t="str">
        <v>Công an xã Dương Thành tỉnh Thái Nguyên</v>
      </c>
      <c r="C25994" t="str">
        <v>-</v>
      </c>
      <c r="D25994" t="str">
        <v>-</v>
      </c>
      <c r="E25994" t="str">
        <v/>
      </c>
      <c r="F25994" t="str">
        <v>-</v>
      </c>
      <c r="G25994" t="str">
        <v>-</v>
      </c>
    </row>
    <row r="25995">
      <c r="B25995" t="str">
        <v>UBND Ủy ban nhân dân xã Dương Thành tỉnh Thái Nguyên</v>
      </c>
      <c r="C25995" t="str">
        <v>-</v>
      </c>
      <c r="D25995" t="str">
        <v>-</v>
      </c>
      <c r="E25995" t="str">
        <v>-</v>
      </c>
      <c r="F25995" t="str">
        <v>-</v>
      </c>
      <c r="G25995" t="str">
        <v>-</v>
      </c>
    </row>
    <row r="25996" xml:space="preserve">
      <c r="B25996" t="str" xml:space="preserve">
        <v xml:space="preserve">Công an xã Dương Thủy _x000d_
 tỉnh Quảng Bình</v>
      </c>
      <c r="C25996" t="str">
        <v>-</v>
      </c>
      <c r="D25996" t="str">
        <v>-</v>
      </c>
      <c r="E25996" t="str">
        <v/>
      </c>
      <c r="F25996" t="str">
        <v>-</v>
      </c>
      <c r="G25996" t="str">
        <v>-</v>
      </c>
    </row>
    <row r="25997" xml:space="preserve">
      <c r="B25997" t="str" xml:space="preserve">
        <v xml:space="preserve">UBND Ủy ban nhân dân xã Dương Thủy _x000d_
 tỉnh Quảng Bình</v>
      </c>
      <c r="C25997" t="str">
        <v>-</v>
      </c>
      <c r="D25997" t="str">
        <v>-</v>
      </c>
      <c r="E25997" t="str">
        <v>-</v>
      </c>
      <c r="F25997" t="str">
        <v>-</v>
      </c>
      <c r="G25997" t="str">
        <v>-</v>
      </c>
    </row>
    <row r="25998">
      <c r="B25998" t="str">
        <v>Công an xã Dạ Trạch tỉnh Hưng Yên</v>
      </c>
      <c r="C25998" t="str">
        <v>-</v>
      </c>
      <c r="D25998" t="str">
        <v>-</v>
      </c>
      <c r="E25998" t="str">
        <v/>
      </c>
      <c r="F25998" t="str">
        <v>-</v>
      </c>
      <c r="G25998" t="str">
        <v>-</v>
      </c>
    </row>
    <row r="25999">
      <c r="B25999" t="str">
        <v>UBND Ủy ban nhân dân xã Dạ Trạch tỉnh Hưng Yên</v>
      </c>
      <c r="C25999" t="str">
        <v>-</v>
      </c>
      <c r="D25999" t="str">
        <v>-</v>
      </c>
      <c r="E25999" t="str">
        <v>-</v>
      </c>
      <c r="F25999" t="str">
        <v>-</v>
      </c>
      <c r="G25999" t="str">
        <v>-</v>
      </c>
    </row>
    <row r="26000" xml:space="preserve">
      <c r="B26000" t="str" xml:space="preserve">
        <v xml:space="preserve">Công an xã Dế Xu Phình _x000d_
 tỉnh Yên Bái</v>
      </c>
      <c r="C26000" t="str">
        <v>-</v>
      </c>
      <c r="D26000" t="str">
        <v>-</v>
      </c>
      <c r="E26000" t="str">
        <v/>
      </c>
      <c r="F26000" t="str">
        <v>-</v>
      </c>
      <c r="G26000" t="str">
        <v>-</v>
      </c>
    </row>
    <row r="26001" xml:space="preserve">
      <c r="B26001" t="str" xml:space="preserve">
        <v xml:space="preserve">UBND Ủy ban nhân dân xã Dế Xu Phình _x000d_
 tỉnh Yên Bái</v>
      </c>
      <c r="C26001" t="str">
        <v>-</v>
      </c>
      <c r="D26001" t="str">
        <v>-</v>
      </c>
      <c r="E26001" t="str">
        <v>-</v>
      </c>
      <c r="F26001" t="str">
        <v>-</v>
      </c>
      <c r="G26001" t="str">
        <v>-</v>
      </c>
    </row>
    <row r="26002" xml:space="preserve">
      <c r="B26002" t="str" xml:space="preserve">
        <v xml:space="preserve">Công an xã Dị Nậu _x000d_
 tỉnh Vĩnh Phúc</v>
      </c>
      <c r="C26002" t="str">
        <v>-</v>
      </c>
      <c r="D26002" t="str">
        <v>-</v>
      </c>
      <c r="E26002" t="str">
        <v/>
      </c>
      <c r="F26002" t="str">
        <v>-</v>
      </c>
      <c r="G26002" t="str">
        <v>-</v>
      </c>
    </row>
    <row r="26003" xml:space="preserve">
      <c r="B26003" t="str" xml:space="preserve">
        <v xml:space="preserve">UBND Ủy ban nhân dân xã Dị Nậu _x000d_
 tỉnh Vĩnh Phúc</v>
      </c>
      <c r="C26003" t="str">
        <v>-</v>
      </c>
      <c r="D26003" t="str">
        <v>-</v>
      </c>
      <c r="E26003" t="str">
        <v>-</v>
      </c>
      <c r="F26003" t="str">
        <v>-</v>
      </c>
      <c r="G26003" t="str">
        <v>-</v>
      </c>
    </row>
    <row r="26004" xml:space="preserve">
      <c r="B26004" t="str" xml:space="preserve">
        <v xml:space="preserve">Công an xã Diễn Đoài _x000d_
 tỉnh Nghệ An</v>
      </c>
      <c r="C26004" t="str">
        <v>-</v>
      </c>
      <c r="D26004" t="str">
        <v>-</v>
      </c>
      <c r="E26004" t="str">
        <v/>
      </c>
      <c r="F26004" t="str">
        <v>-</v>
      </c>
      <c r="G26004" t="str">
        <v>-</v>
      </c>
    </row>
    <row r="26005" xml:space="preserve">
      <c r="B26005" t="str" xml:space="preserve">
        <v xml:space="preserve">UBND Ủy ban nhân dân xã Diễn Đoài _x000d_
 tỉnh Nghệ An</v>
      </c>
      <c r="C26005" t="str">
        <v>-</v>
      </c>
      <c r="D26005" t="str">
        <v>-</v>
      </c>
      <c r="E26005" t="str">
        <v>-</v>
      </c>
      <c r="F26005" t="str">
        <v>-</v>
      </c>
      <c r="G26005" t="str">
        <v>-</v>
      </c>
    </row>
    <row r="26006">
      <c r="B26006" t="str">
        <v>Công an xã Diễn Kỷ tỉnh Nghệ An</v>
      </c>
      <c r="C26006" t="str">
        <v>-</v>
      </c>
      <c r="D26006" t="str">
        <v>-</v>
      </c>
      <c r="E26006" t="str">
        <v/>
      </c>
      <c r="F26006" t="str">
        <v>-</v>
      </c>
      <c r="G26006" t="str">
        <v>-</v>
      </c>
    </row>
    <row r="26007">
      <c r="B26007" t="str">
        <v>UBND Ủy ban nhân dân xã Diễn Kỷ tỉnh Nghệ An</v>
      </c>
      <c r="C26007" t="str">
        <v>-</v>
      </c>
      <c r="D26007" t="str">
        <v>-</v>
      </c>
      <c r="E26007" t="str">
        <v>-</v>
      </c>
      <c r="F26007" t="str">
        <v>-</v>
      </c>
      <c r="G26007" t="str">
        <v>-</v>
      </c>
    </row>
    <row r="26008" xml:space="preserve">
      <c r="B26008" t="str" xml:space="preserve">
        <v xml:space="preserve">Công an xã Diễn Phúc _x000d_
 tỉnh Nghệ An</v>
      </c>
      <c r="C26008" t="str">
        <v>-</v>
      </c>
      <c r="D26008" t="str">
        <v>-</v>
      </c>
      <c r="E26008" t="str">
        <v/>
      </c>
      <c r="F26008" t="str">
        <v>-</v>
      </c>
      <c r="G26008" t="str">
        <v>-</v>
      </c>
    </row>
    <row r="26009" xml:space="preserve">
      <c r="B26009" t="str" xml:space="preserve">
        <v xml:space="preserve">UBND Ủy ban nhân dân xã Diễn Phúc _x000d_
 tỉnh Nghệ An</v>
      </c>
      <c r="C26009" t="str">
        <v>-</v>
      </c>
      <c r="D26009" t="str">
        <v>-</v>
      </c>
      <c r="E26009" t="str">
        <v>-</v>
      </c>
      <c r="F26009" t="str">
        <v>-</v>
      </c>
      <c r="G26009" t="str">
        <v>-</v>
      </c>
    </row>
    <row r="26010">
      <c r="B26010" t="str">
        <v>Công an xã Ea Huar tỉnh Đắk Lắk</v>
      </c>
      <c r="C26010" t="str">
        <v>-</v>
      </c>
      <c r="D26010" t="str">
        <v>-</v>
      </c>
      <c r="E26010" t="str">
        <v/>
      </c>
      <c r="F26010" t="str">
        <v>-</v>
      </c>
      <c r="G26010" t="str">
        <v>-</v>
      </c>
    </row>
    <row r="26011">
      <c r="B26011" t="str">
        <v>UBND Ủy ban nhân dân xã Ea Huar tỉnh Đắk Lắk</v>
      </c>
      <c r="C26011" t="str">
        <v>-</v>
      </c>
      <c r="D26011" t="str">
        <v>-</v>
      </c>
      <c r="E26011" t="str">
        <v>-</v>
      </c>
      <c r="F26011" t="str">
        <v>-</v>
      </c>
      <c r="G26011" t="str">
        <v>-</v>
      </c>
    </row>
    <row r="26012" xml:space="preserve">
      <c r="B26012" t="str" xml:space="preserve">
        <v xml:space="preserve">Công an xã Ea Păl _x000d_
 tỉnh Đắk Lắk</v>
      </c>
      <c r="C26012" t="str">
        <v>-</v>
      </c>
      <c r="D26012" t="str">
        <v>-</v>
      </c>
      <c r="E26012" t="str">
        <v/>
      </c>
      <c r="F26012" t="str">
        <v>-</v>
      </c>
      <c r="G26012" t="str">
        <v>-</v>
      </c>
    </row>
    <row r="26013" xml:space="preserve">
      <c r="B26013" t="str" xml:space="preserve">
        <v xml:space="preserve">UBND Ủy ban nhân dân xã Ea Păl _x000d_
 tỉnh Đắk Lắk</v>
      </c>
      <c r="C26013" t="str">
        <v>-</v>
      </c>
      <c r="D26013" t="str">
        <v>-</v>
      </c>
      <c r="E26013" t="str">
        <v>-</v>
      </c>
      <c r="F26013" t="str">
        <v>-</v>
      </c>
      <c r="G26013" t="str">
        <v>-</v>
      </c>
    </row>
    <row r="26014" xml:space="preserve">
      <c r="B26014" t="str" xml:space="preserve">
        <v xml:space="preserve">Công an xã Ea Sar _x000d_
 tỉnh Đắk Lắk</v>
      </c>
      <c r="C26014" t="str">
        <v>-</v>
      </c>
      <c r="D26014" t="str">
        <v>-</v>
      </c>
      <c r="E26014" t="str">
        <v/>
      </c>
      <c r="F26014" t="str">
        <v>-</v>
      </c>
      <c r="G26014" t="str">
        <v>-</v>
      </c>
    </row>
    <row r="26015" xml:space="preserve">
      <c r="B26015" t="str" xml:space="preserve">
        <v xml:space="preserve">UBND Ủy ban nhân dân xã Ea Sar _x000d_
 tỉnh Đắk Lắk</v>
      </c>
      <c r="C26015" t="str">
        <v>-</v>
      </c>
      <c r="D26015" t="str">
        <v>-</v>
      </c>
      <c r="E26015" t="str">
        <v>-</v>
      </c>
      <c r="F26015" t="str">
        <v>-</v>
      </c>
      <c r="G26015" t="str">
        <v>-</v>
      </c>
    </row>
    <row r="26016" xml:space="preserve">
      <c r="B26016" t="str" xml:space="preserve">
        <v xml:space="preserve">Công an xã Ea Wer _x000d_
 tỉnh Đắk Lắk</v>
      </c>
      <c r="C26016" t="str">
        <v>-</v>
      </c>
      <c r="D26016" t="str">
        <v>-</v>
      </c>
      <c r="E26016" t="str">
        <v/>
      </c>
      <c r="F26016" t="str">
        <v>-</v>
      </c>
      <c r="G26016" t="str">
        <v>-</v>
      </c>
    </row>
    <row r="26017" xml:space="preserve">
      <c r="B26017" t="str" xml:space="preserve">
        <v xml:space="preserve">UBND Ủy ban nhân dân xã Ea Wer _x000d_
 tỉnh Đắk Lắk</v>
      </c>
      <c r="C26017" t="str">
        <v>-</v>
      </c>
      <c r="D26017" t="str">
        <v>-</v>
      </c>
      <c r="E26017" t="str">
        <v>-</v>
      </c>
      <c r="F26017" t="str">
        <v>-</v>
      </c>
      <c r="G26017" t="str">
        <v>-</v>
      </c>
    </row>
    <row r="26018" xml:space="preserve">
      <c r="B26018" t="str" xml:space="preserve">
        <v xml:space="preserve">Công an xã Giới Phiên _x000d_
 tỉnh Yên Bái</v>
      </c>
      <c r="C26018" t="str">
        <v>-</v>
      </c>
      <c r="D26018" t="str">
        <v>-</v>
      </c>
      <c r="E26018" t="str">
        <v/>
      </c>
      <c r="F26018" t="str">
        <v>-</v>
      </c>
      <c r="G26018" t="str">
        <v>-</v>
      </c>
    </row>
    <row r="26019" xml:space="preserve">
      <c r="B26019" t="str" xml:space="preserve">
        <v xml:space="preserve">UBND Ủy ban nhân dân xã Giới Phiên _x000d_
 tỉnh Yên Bái</v>
      </c>
      <c r="C26019" t="str">
        <v>-</v>
      </c>
      <c r="D26019" t="str">
        <v>-</v>
      </c>
      <c r="E26019" t="str">
        <v>-</v>
      </c>
      <c r="F26019" t="str">
        <v>-</v>
      </c>
      <c r="G26019" t="str">
        <v>-</v>
      </c>
    </row>
    <row r="26020" xml:space="preserve">
      <c r="B26020" t="str" xml:space="preserve">
        <v xml:space="preserve">Công an phường Gia Đông _x000d_
 tỉnh Bắc Ninh</v>
      </c>
      <c r="C26020" t="str">
        <v>-</v>
      </c>
      <c r="D26020" t="str">
        <v>-</v>
      </c>
      <c r="E26020" t="str">
        <v/>
      </c>
      <c r="F26020" t="str">
        <v>-</v>
      </c>
      <c r="G26020" t="str">
        <v>-</v>
      </c>
    </row>
    <row r="26021" xml:space="preserve">
      <c r="B26021" t="str" xml:space="preserve">
        <v xml:space="preserve">UBND Ủy ban nhân dân phường Gia Đông _x000d_
 tỉnh Bắc Ninh</v>
      </c>
      <c r="C26021" t="str">
        <v>-</v>
      </c>
      <c r="D26021" t="str">
        <v>-</v>
      </c>
      <c r="E26021" t="str">
        <v>-</v>
      </c>
      <c r="F26021" t="str">
        <v>-</v>
      </c>
      <c r="G26021" t="str">
        <v>-</v>
      </c>
    </row>
    <row r="26022" xml:space="preserve">
      <c r="B26022" t="str" xml:space="preserve">
        <v xml:space="preserve">Công an xã Gia Điền _x000d_
 tỉnh Phú Thọ</v>
      </c>
      <c r="C26022" t="str">
        <v>-</v>
      </c>
      <c r="D26022" t="str">
        <v>-</v>
      </c>
      <c r="E26022" t="str">
        <v/>
      </c>
      <c r="F26022" t="str">
        <v>-</v>
      </c>
      <c r="G26022" t="str">
        <v>-</v>
      </c>
    </row>
    <row r="26023" xml:space="preserve">
      <c r="B26023" t="str" xml:space="preserve">
        <v xml:space="preserve">UBND Ủy ban nhân dân xã Gia Điền _x000d_
 tỉnh Phú Thọ</v>
      </c>
      <c r="C26023" t="str">
        <v>-</v>
      </c>
      <c r="D26023" t="str">
        <v>-</v>
      </c>
      <c r="E26023" t="str">
        <v>-</v>
      </c>
      <c r="F26023" t="str">
        <v>-</v>
      </c>
      <c r="G26023" t="str">
        <v>-</v>
      </c>
    </row>
    <row r="26024" xml:space="preserve">
      <c r="B26024" t="str" xml:space="preserve">
        <v xml:space="preserve">Công an xã Gia Hòa _x000d_
 tỉnh Ninh Bình</v>
      </c>
      <c r="C26024" t="str">
        <v>-</v>
      </c>
      <c r="D26024" t="str">
        <v>-</v>
      </c>
      <c r="E26024" t="str">
        <v/>
      </c>
      <c r="F26024" t="str">
        <v>-</v>
      </c>
      <c r="G26024" t="str">
        <v>-</v>
      </c>
    </row>
    <row r="26025" xml:space="preserve">
      <c r="B26025" t="str" xml:space="preserve">
        <v xml:space="preserve">UBND Ủy ban nhân dân xã Gia Hòa _x000d_
 tỉnh Ninh Bình</v>
      </c>
      <c r="C26025" t="str">
        <v>-</v>
      </c>
      <c r="D26025" t="str">
        <v>-</v>
      </c>
      <c r="E26025" t="str">
        <v>-</v>
      </c>
      <c r="F26025" t="str">
        <v>-</v>
      </c>
      <c r="G26025" t="str">
        <v>-</v>
      </c>
    </row>
    <row r="26026" xml:space="preserve">
      <c r="B26026" t="str" xml:space="preserve">
        <v xml:space="preserve">Công an xã Gia Hoà 2 _x000d_
 tỉnh Sóc Trăng</v>
      </c>
      <c r="C26026" t="str">
        <v>-</v>
      </c>
      <c r="D26026" t="str">
        <v>-</v>
      </c>
      <c r="E26026" t="str">
        <v/>
      </c>
      <c r="F26026" t="str">
        <v>-</v>
      </c>
      <c r="G26026" t="str">
        <v>-</v>
      </c>
    </row>
    <row r="26027" xml:space="preserve">
      <c r="B26027" t="str" xml:space="preserve">
        <v xml:space="preserve">UBND Ủy ban nhân dân xã Gia Hoà 2 _x000d_
 tỉnh Sóc Trăng</v>
      </c>
      <c r="C26027" t="str">
        <v>-</v>
      </c>
      <c r="D26027" t="str">
        <v>-</v>
      </c>
      <c r="E26027" t="str">
        <v>-</v>
      </c>
      <c r="F26027" t="str">
        <v>-</v>
      </c>
      <c r="G26027" t="str">
        <v>-</v>
      </c>
    </row>
    <row r="26028">
      <c r="B26028" t="str">
        <v>Công an xã Gia Lâm  tỉnh Ninh Bình</v>
      </c>
      <c r="C26028" t="str">
        <v>-</v>
      </c>
      <c r="D26028" t="str">
        <v>-</v>
      </c>
      <c r="E26028" t="str">
        <v/>
      </c>
      <c r="F26028" t="str">
        <v>-</v>
      </c>
      <c r="G26028" t="str">
        <v>-</v>
      </c>
    </row>
    <row r="26029">
      <c r="B26029" t="str">
        <v>UBND Ủy ban nhân dân xã Gia Lâm  tỉnh Ninh Bình</v>
      </c>
      <c r="C26029" t="str">
        <v>-</v>
      </c>
      <c r="D26029" t="str">
        <v>-</v>
      </c>
      <c r="E26029" t="str">
        <v>-</v>
      </c>
      <c r="F26029" t="str">
        <v>-</v>
      </c>
      <c r="G26029" t="str">
        <v>-</v>
      </c>
    </row>
    <row r="26030">
      <c r="B26030" t="str">
        <v>Công an xã Giao Hải tỉnh Nam Định</v>
      </c>
      <c r="C26030" t="str">
        <v>-</v>
      </c>
      <c r="D26030" t="str">
        <v>-</v>
      </c>
      <c r="E26030" t="str">
        <v/>
      </c>
      <c r="F26030" t="str">
        <v>-</v>
      </c>
      <c r="G26030" t="str">
        <v>-</v>
      </c>
    </row>
    <row r="26031">
      <c r="B26031" t="str">
        <v>UBND Ủy ban nhân dân xã Giao Hải tỉnh Nam Định</v>
      </c>
      <c r="C26031" t="str">
        <v>-</v>
      </c>
      <c r="D26031" t="str">
        <v>-</v>
      </c>
      <c r="E26031" t="str">
        <v>-</v>
      </c>
      <c r="F26031" t="str">
        <v>-</v>
      </c>
      <c r="G26031" t="str">
        <v>-</v>
      </c>
    </row>
    <row r="26032">
      <c r="B26032" t="str">
        <v>Công an xã Giao Tân tỉnh Nam Định</v>
      </c>
      <c r="C26032" t="str">
        <v>-</v>
      </c>
      <c r="D26032" t="str">
        <v>-</v>
      </c>
      <c r="E26032" t="str">
        <v/>
      </c>
      <c r="F26032" t="str">
        <v>-</v>
      </c>
      <c r="G26032" t="str">
        <v>-</v>
      </c>
    </row>
    <row r="26033">
      <c r="B26033" t="str">
        <v>UBND Ủy ban nhân dân xã Giao Tân tỉnh Nam Định</v>
      </c>
      <c r="C26033" t="str">
        <v>-</v>
      </c>
      <c r="D26033" t="str">
        <v>-</v>
      </c>
      <c r="E26033" t="str">
        <v>-</v>
      </c>
      <c r="F26033" t="str">
        <v>-</v>
      </c>
      <c r="G26033" t="str">
        <v>-</v>
      </c>
    </row>
    <row r="26034">
      <c r="B26034" t="str">
        <v>Công an xã Giao Thạnh tỉnh Bến Tre</v>
      </c>
      <c r="C26034" t="str">
        <v>-</v>
      </c>
      <c r="D26034" t="str">
        <v>-</v>
      </c>
      <c r="E26034" t="str">
        <v/>
      </c>
      <c r="F26034" t="str">
        <v>-</v>
      </c>
      <c r="G26034" t="str">
        <v>-</v>
      </c>
    </row>
    <row r="26035">
      <c r="B26035" t="str">
        <v>UBND Ủy ban nhân dân xã Giao Thạnh tỉnh Bến Tre</v>
      </c>
      <c r="C26035" t="str">
        <v>-</v>
      </c>
      <c r="D26035" t="str">
        <v>-</v>
      </c>
      <c r="E26035" t="str">
        <v>-</v>
      </c>
      <c r="F26035" t="str">
        <v>-</v>
      </c>
      <c r="G26035" t="str">
        <v>-</v>
      </c>
    </row>
    <row r="26036">
      <c r="B26036" t="str">
        <v>Công an xã Giao Thịnh tỉnh Nam Định</v>
      </c>
      <c r="C26036" t="str">
        <v>-</v>
      </c>
      <c r="D26036" t="str">
        <v>-</v>
      </c>
      <c r="E26036" t="str">
        <v/>
      </c>
      <c r="F26036" t="str">
        <v>-</v>
      </c>
      <c r="G26036" t="str">
        <v>-</v>
      </c>
    </row>
    <row r="26037">
      <c r="B26037" t="str">
        <v>UBND Ủy ban nhân dân xã Giao Thịnh tỉnh Nam Định</v>
      </c>
      <c r="C26037" t="str">
        <v>-</v>
      </c>
      <c r="D26037" t="str">
        <v>-</v>
      </c>
      <c r="E26037" t="str">
        <v>-</v>
      </c>
      <c r="F26037" t="str">
        <v>-</v>
      </c>
      <c r="G26037" t="str">
        <v>-</v>
      </c>
    </row>
    <row r="26038">
      <c r="B26038" t="str">
        <v>Công an xã Giao Thiện tỉnh Nam Định</v>
      </c>
      <c r="C26038" t="str">
        <v>-</v>
      </c>
      <c r="D26038" t="str">
        <v>-</v>
      </c>
      <c r="E26038" t="str">
        <v/>
      </c>
      <c r="F26038" t="str">
        <v>-</v>
      </c>
      <c r="G26038" t="str">
        <v>-</v>
      </c>
    </row>
    <row r="26039">
      <c r="B26039" t="str">
        <v>UBND Ủy ban nhân dân xã Giao Thiện tỉnh Nam Định</v>
      </c>
      <c r="C26039" t="str">
        <v>-</v>
      </c>
      <c r="D26039" t="str">
        <v>-</v>
      </c>
      <c r="E26039" t="str">
        <v>-</v>
      </c>
      <c r="F26039" t="str">
        <v>-</v>
      </c>
      <c r="G26039" t="str">
        <v>-</v>
      </c>
    </row>
    <row r="26040">
      <c r="B26040" t="str">
        <v>Công an xã Gia Phù tỉnh Sơn La</v>
      </c>
      <c r="C26040" t="str">
        <v>-</v>
      </c>
      <c r="D26040" t="str">
        <v>-</v>
      </c>
      <c r="E26040" t="str">
        <v/>
      </c>
      <c r="F26040" t="str">
        <v>-</v>
      </c>
      <c r="G26040" t="str">
        <v>-</v>
      </c>
    </row>
    <row r="26041">
      <c r="B26041" t="str">
        <v>UBND Ủy ban nhân dân xã Gia Phù tỉnh Sơn La</v>
      </c>
      <c r="C26041" t="str">
        <v>-</v>
      </c>
      <c r="D26041" t="str">
        <v>-</v>
      </c>
      <c r="E26041" t="str">
        <v>-</v>
      </c>
      <c r="F26041" t="str">
        <v>-</v>
      </c>
      <c r="G26041" t="str">
        <v>-</v>
      </c>
    </row>
    <row r="26042" xml:space="preserve">
      <c r="B26042" t="str" xml:space="preserve">
        <v xml:space="preserve">Công an xã Gia Phương _x000d_
 tỉnh Sơn La</v>
      </c>
      <c r="C26042" t="str">
        <v>-</v>
      </c>
      <c r="D26042" t="str">
        <v>-</v>
      </c>
      <c r="E26042" t="str">
        <v/>
      </c>
      <c r="F26042" t="str">
        <v>-</v>
      </c>
      <c r="G26042" t="str">
        <v>-</v>
      </c>
    </row>
    <row r="26043" xml:space="preserve">
      <c r="B26043" t="str" xml:space="preserve">
        <v xml:space="preserve">UBND Ủy ban nhân dân xã Gia Phương _x000d_
 tỉnh Sơn La</v>
      </c>
      <c r="C26043" t="str">
        <v>-</v>
      </c>
      <c r="D26043" t="str">
        <v>-</v>
      </c>
      <c r="E26043" t="str">
        <v>-</v>
      </c>
      <c r="F26043" t="str">
        <v>-</v>
      </c>
      <c r="G26043" t="str">
        <v>-</v>
      </c>
    </row>
    <row r="26044">
      <c r="B26044" t="str">
        <v>Công an xã Gia Phố tỉnh Sơn La</v>
      </c>
      <c r="C26044" t="str">
        <v>-</v>
      </c>
      <c r="D26044" t="str">
        <v>-</v>
      </c>
      <c r="E26044" t="str">
        <v/>
      </c>
      <c r="F26044" t="str">
        <v>-</v>
      </c>
      <c r="G26044" t="str">
        <v>-</v>
      </c>
    </row>
    <row r="26045">
      <c r="B26045" t="str">
        <v>UBND Ủy ban nhân dân xã Gia Phố tỉnh Sơn La</v>
      </c>
      <c r="C26045" t="str">
        <v>-</v>
      </c>
      <c r="D26045" t="str">
        <v>-</v>
      </c>
      <c r="E26045" t="str">
        <v>-</v>
      </c>
      <c r="F26045" t="str">
        <v>-</v>
      </c>
      <c r="G26045" t="str">
        <v>-</v>
      </c>
    </row>
    <row r="26046">
      <c r="B26046" t="str">
        <v>Công an xã Gia Tân tỉnh Sơn La</v>
      </c>
      <c r="C26046" t="str">
        <v>-</v>
      </c>
      <c r="D26046" t="str">
        <v>-</v>
      </c>
      <c r="E26046" t="str">
        <v/>
      </c>
      <c r="F26046" t="str">
        <v>-</v>
      </c>
      <c r="G26046" t="str">
        <v>-</v>
      </c>
    </row>
    <row r="26047">
      <c r="B26047" t="str">
        <v>UBND Ủy ban nhân dân xã Gia Tân tỉnh Sơn La</v>
      </c>
      <c r="C26047" t="str">
        <v>-</v>
      </c>
      <c r="D26047" t="str">
        <v>-</v>
      </c>
      <c r="E26047" t="str">
        <v>-</v>
      </c>
      <c r="F26047" t="str">
        <v>-</v>
      </c>
      <c r="G26047" t="str">
        <v>-</v>
      </c>
    </row>
    <row r="26048">
      <c r="B26048" t="str">
        <v>Công an xã Gia Thịnh tỉnh Sơn La</v>
      </c>
      <c r="C26048" t="str">
        <v>-</v>
      </c>
      <c r="D26048" t="str">
        <v>-</v>
      </c>
      <c r="E26048" t="str">
        <v/>
      </c>
      <c r="F26048" t="str">
        <v>-</v>
      </c>
      <c r="G26048" t="str">
        <v>-</v>
      </c>
    </row>
    <row r="26049">
      <c r="B26049" t="str">
        <v>UBND Ủy ban nhân dân xã Gia Thịnh tỉnh Sơn La</v>
      </c>
      <c r="C26049" t="str">
        <v>-</v>
      </c>
      <c r="D26049" t="str">
        <v>-</v>
      </c>
      <c r="E26049" t="str">
        <v>-</v>
      </c>
      <c r="F26049" t="str">
        <v>-</v>
      </c>
      <c r="G26049" t="str">
        <v>-</v>
      </c>
    </row>
    <row r="26050">
      <c r="B26050" t="str">
        <v>Công an xã Gia Thuỷ tỉnh Sơn La</v>
      </c>
      <c r="C26050" t="str">
        <v>-</v>
      </c>
      <c r="D26050" t="str">
        <v>-</v>
      </c>
      <c r="E26050" t="str">
        <v/>
      </c>
      <c r="F26050" t="str">
        <v>-</v>
      </c>
      <c r="G26050" t="str">
        <v>-</v>
      </c>
    </row>
    <row r="26051">
      <c r="B26051" t="str">
        <v>UBND Ủy ban nhân dân xã Gia Thuỷ tỉnh Sơn La</v>
      </c>
      <c r="C26051" t="str">
        <v>-</v>
      </c>
      <c r="D26051" t="str">
        <v>-</v>
      </c>
      <c r="E26051" t="str">
        <v>-</v>
      </c>
      <c r="F26051" t="str">
        <v>-</v>
      </c>
      <c r="G26051" t="str">
        <v>-</v>
      </c>
    </row>
    <row r="26052" xml:space="preserve">
      <c r="B26052" t="str" xml:space="preserve">
        <v xml:space="preserve">Công an xã Gia Trấn _x000d_
 tỉnh Ninh Bình</v>
      </c>
      <c r="C26052" t="str">
        <v>-</v>
      </c>
      <c r="D26052" t="str">
        <v>-</v>
      </c>
      <c r="E26052" t="str">
        <v/>
      </c>
      <c r="F26052" t="str">
        <v>-</v>
      </c>
      <c r="G26052" t="str">
        <v>-</v>
      </c>
    </row>
    <row r="26053" xml:space="preserve">
      <c r="B26053" t="str" xml:space="preserve">
        <v xml:space="preserve">UBND Ủy ban nhân dân xã Gia Trấn _x000d_
 tỉnh Ninh Bình</v>
      </c>
      <c r="C26053" t="str">
        <v>-</v>
      </c>
      <c r="D26053" t="str">
        <v>-</v>
      </c>
      <c r="E26053" t="str">
        <v>-</v>
      </c>
      <c r="F26053" t="str">
        <v>-</v>
      </c>
      <c r="G26053" t="str">
        <v>-</v>
      </c>
    </row>
    <row r="26054">
      <c r="B26054" t="str">
        <v>Công an xã Gia Vân tỉnh Ninh Bình</v>
      </c>
      <c r="C26054" t="str">
        <v>-</v>
      </c>
      <c r="D26054" t="str">
        <v>-</v>
      </c>
      <c r="E26054" t="str">
        <v/>
      </c>
      <c r="F26054" t="str">
        <v>-</v>
      </c>
      <c r="G26054" t="str">
        <v>-</v>
      </c>
    </row>
    <row r="26055">
      <c r="B26055" t="str">
        <v>UBND Ủy ban nhân dân xã Gia Vân tỉnh Ninh Bình</v>
      </c>
      <c r="C26055" t="str">
        <v>-</v>
      </c>
      <c r="D26055" t="str">
        <v>-</v>
      </c>
      <c r="E26055" t="str">
        <v>-</v>
      </c>
      <c r="F26055" t="str">
        <v>-</v>
      </c>
      <c r="G26055" t="str">
        <v>-</v>
      </c>
    </row>
    <row r="26056" xml:space="preserve">
      <c r="B26056" t="str" xml:space="preserve">
        <v xml:space="preserve">Công an xã Gia Xuân _x000d_
 tỉnh Ninh Bình</v>
      </c>
      <c r="C26056" t="str">
        <v>-</v>
      </c>
      <c r="D26056" t="str">
        <v>-</v>
      </c>
      <c r="E26056" t="str">
        <v/>
      </c>
      <c r="F26056" t="str">
        <v>-</v>
      </c>
      <c r="G26056" t="str">
        <v>-</v>
      </c>
    </row>
    <row r="26057" xml:space="preserve">
      <c r="B26057" t="str" xml:space="preserve">
        <v xml:space="preserve">UBND Ủy ban nhân dân xã Gia Xuân _x000d_
 tỉnh Ninh Bình</v>
      </c>
      <c r="C26057" t="str">
        <v>-</v>
      </c>
      <c r="D26057" t="str">
        <v>-</v>
      </c>
      <c r="E26057" t="str">
        <v>-</v>
      </c>
      <c r="F26057" t="str">
        <v>-</v>
      </c>
      <c r="G26057" t="str">
        <v>-</v>
      </c>
    </row>
    <row r="26058" xml:space="preserve">
      <c r="B26058" t="str" xml:space="preserve">
        <v xml:space="preserve">Công an xã Gia Xuyên _x000d_
 tỉnh Ninh Bình</v>
      </c>
      <c r="C26058" t="str">
        <v>-</v>
      </c>
      <c r="D26058" t="str">
        <v>-</v>
      </c>
      <c r="E26058" t="str">
        <v/>
      </c>
      <c r="F26058" t="str">
        <v>-</v>
      </c>
      <c r="G26058" t="str">
        <v>-</v>
      </c>
    </row>
    <row r="26059" xml:space="preserve">
      <c r="B26059" t="str" xml:space="preserve">
        <v xml:space="preserve">UBND Ủy ban nhân dân xã Gia Xuyên _x000d_
 tỉnh Ninh Bình</v>
      </c>
      <c r="C26059" t="str">
        <v>-</v>
      </c>
      <c r="D26059" t="str">
        <v>-</v>
      </c>
      <c r="E26059" t="str">
        <v>-</v>
      </c>
      <c r="F26059" t="str">
        <v>-</v>
      </c>
      <c r="G26059" t="str">
        <v>-</v>
      </c>
    </row>
    <row r="26060">
      <c r="B26060" t="str">
        <v>Công an xã Hà Hiệu tỉnh Bắc Kạn</v>
      </c>
      <c r="C26060" t="str">
        <v>-</v>
      </c>
      <c r="D26060" t="str">
        <v>-</v>
      </c>
      <c r="E26060" t="str">
        <v/>
      </c>
      <c r="F26060" t="str">
        <v>-</v>
      </c>
      <c r="G26060" t="str">
        <v>-</v>
      </c>
    </row>
    <row r="26061">
      <c r="B26061" t="str">
        <v>UBND Ủy ban nhân dân xã Hà Hiệu tỉnh Bắc Kạn</v>
      </c>
      <c r="C26061" t="str">
        <v>-</v>
      </c>
      <c r="D26061" t="str">
        <v>-</v>
      </c>
      <c r="E26061" t="str">
        <v>-</v>
      </c>
      <c r="F26061" t="str">
        <v>-</v>
      </c>
      <c r="G26061" t="str">
        <v>-</v>
      </c>
    </row>
    <row r="26062">
      <c r="B26062" t="str">
        <v>Công an xã Hà Lộc  tỉnh Phú Thọ</v>
      </c>
      <c r="C26062" t="str">
        <v>-</v>
      </c>
      <c r="D26062" t="str">
        <v>-</v>
      </c>
      <c r="E26062" t="str">
        <v/>
      </c>
      <c r="F26062" t="str">
        <v>-</v>
      </c>
      <c r="G26062" t="str">
        <v>-</v>
      </c>
    </row>
    <row r="26063">
      <c r="B26063" t="str">
        <v>UBND Ủy ban nhân dân xã Hà Lộc  tỉnh Phú Thọ</v>
      </c>
      <c r="C26063" t="str">
        <v>-</v>
      </c>
      <c r="D26063" t="str">
        <v>-</v>
      </c>
      <c r="E26063" t="str">
        <v>-</v>
      </c>
      <c r="F26063" t="str">
        <v>-</v>
      </c>
      <c r="G26063" t="str">
        <v>-</v>
      </c>
    </row>
    <row r="26064" xml:space="preserve">
      <c r="B26064" t="str" xml:space="preserve">
        <v xml:space="preserve">Công an xã Hà Lang _x000d_
 tỉnh Tuyên Quang</v>
      </c>
      <c r="C26064" t="str">
        <v>-</v>
      </c>
      <c r="D26064" t="str">
        <v>-</v>
      </c>
      <c r="E26064" t="str">
        <v/>
      </c>
      <c r="F26064" t="str">
        <v>-</v>
      </c>
      <c r="G26064" t="str">
        <v>-</v>
      </c>
    </row>
    <row r="26065" xml:space="preserve">
      <c r="B26065" t="str" xml:space="preserve">
        <v xml:space="preserve">UBND Ủy ban nhân dân xã Hà Lang _x000d_
 tỉnh Tuyên Quang</v>
      </c>
      <c r="C26065" t="str">
        <v>-</v>
      </c>
      <c r="D26065" t="str">
        <v>-</v>
      </c>
      <c r="E26065" t="str">
        <v>-</v>
      </c>
      <c r="F26065" t="str">
        <v>-</v>
      </c>
      <c r="G26065" t="str">
        <v>-</v>
      </c>
    </row>
    <row r="26066" xml:space="preserve">
      <c r="B26066" t="str" xml:space="preserve">
        <v xml:space="preserve">Công an xã Hàm Phú _x000d_
 tỉnh Bình Thuận</v>
      </c>
      <c r="C26066" t="str">
        <v>-</v>
      </c>
      <c r="D26066" t="str">
        <v>-</v>
      </c>
      <c r="E26066" t="str">
        <v/>
      </c>
      <c r="F26066" t="str">
        <v>-</v>
      </c>
      <c r="G26066" t="str">
        <v>-</v>
      </c>
    </row>
    <row r="26067" xml:space="preserve">
      <c r="B26067" t="str" xml:space="preserve">
        <v xml:space="preserve">UBND Ủy ban nhân dân xã Hàm Phú _x000d_
 tỉnh Bình Thuận</v>
      </c>
      <c r="C26067" t="str">
        <v>-</v>
      </c>
      <c r="D26067" t="str">
        <v>-</v>
      </c>
      <c r="E26067" t="str">
        <v>-</v>
      </c>
      <c r="F26067" t="str">
        <v>-</v>
      </c>
      <c r="G26067" t="str">
        <v>-</v>
      </c>
    </row>
    <row r="26068">
      <c r="B26068" t="str">
        <v>Công an xã Hào Phú tỉnh Tuyên Quang</v>
      </c>
      <c r="C26068" t="str">
        <v>-</v>
      </c>
      <c r="D26068" t="str">
        <v>-</v>
      </c>
      <c r="E26068" t="str">
        <v/>
      </c>
      <c r="F26068" t="str">
        <v>-</v>
      </c>
      <c r="G26068" t="str">
        <v>-</v>
      </c>
    </row>
    <row r="26069">
      <c r="B26069" t="str">
        <v>UBND Ủy ban nhân dân xã Hào Phú tỉnh Tuyên Quang</v>
      </c>
      <c r="C26069" t="str">
        <v>-</v>
      </c>
      <c r="D26069" t="str">
        <v>-</v>
      </c>
      <c r="E26069" t="str">
        <v>-</v>
      </c>
      <c r="F26069" t="str">
        <v>-</v>
      </c>
      <c r="G26069" t="str">
        <v>-</v>
      </c>
    </row>
    <row r="26070">
      <c r="B26070" t="str">
        <v>Công an xã Hà Tân tỉnh Thanh Hóa</v>
      </c>
      <c r="C26070" t="str">
        <v>-</v>
      </c>
      <c r="D26070" t="str">
        <v>-</v>
      </c>
      <c r="E26070" t="str">
        <v/>
      </c>
      <c r="F26070" t="str">
        <v>-</v>
      </c>
      <c r="G26070" t="str">
        <v>-</v>
      </c>
    </row>
    <row r="26071">
      <c r="B26071" t="str">
        <v>UBND Ủy ban nhân dân xã Hà Tân tỉnh Thanh Hóa</v>
      </c>
      <c r="C26071" t="str">
        <v>-</v>
      </c>
      <c r="D26071" t="str">
        <v>-</v>
      </c>
      <c r="E26071" t="str">
        <v>-</v>
      </c>
      <c r="F26071" t="str">
        <v>-</v>
      </c>
      <c r="G26071" t="str">
        <v>-</v>
      </c>
    </row>
    <row r="26072">
      <c r="B26072" t="str">
        <v>Công an xã Hà Thượng tỉnh Thái Nguyên</v>
      </c>
      <c r="C26072" t="str">
        <v>-</v>
      </c>
      <c r="D26072" t="str">
        <v>-</v>
      </c>
      <c r="E26072" t="str">
        <v/>
      </c>
      <c r="F26072" t="str">
        <v>-</v>
      </c>
      <c r="G26072" t="str">
        <v>-</v>
      </c>
    </row>
    <row r="26073">
      <c r="B26073" t="str">
        <v>UBND Ủy ban nhân dân xã Hà Thượng tỉnh Thái Nguyên</v>
      </c>
      <c r="C26073" t="str">
        <v>-</v>
      </c>
      <c r="D26073" t="str">
        <v>-</v>
      </c>
      <c r="E26073" t="str">
        <v>-</v>
      </c>
      <c r="F26073" t="str">
        <v>-</v>
      </c>
      <c r="G26073" t="str">
        <v>-</v>
      </c>
    </row>
    <row r="26074">
      <c r="B26074" t="str">
        <v>Công an xã Hà Thạch tỉnh Phú Thọ</v>
      </c>
      <c r="C26074" t="str">
        <v>-</v>
      </c>
      <c r="D26074" t="str">
        <v>-</v>
      </c>
      <c r="E26074" t="str">
        <v/>
      </c>
      <c r="F26074" t="str">
        <v>-</v>
      </c>
      <c r="G26074" t="str">
        <v>-</v>
      </c>
    </row>
    <row r="26075">
      <c r="B26075" t="str">
        <v>UBND Ủy ban nhân dân xã Hà Thạch tỉnh Phú Thọ</v>
      </c>
      <c r="C26075" t="str">
        <v>-</v>
      </c>
      <c r="D26075" t="str">
        <v>-</v>
      </c>
      <c r="E26075" t="str">
        <v>-</v>
      </c>
      <c r="F26075" t="str">
        <v>-</v>
      </c>
      <c r="G26075" t="str">
        <v>-</v>
      </c>
    </row>
    <row r="26076" xml:space="preserve">
      <c r="B26076" t="str" xml:space="preserve">
        <v xml:space="preserve">Công an xã Hán Quảng _x000d_
 tỉnh Bắc Ninh</v>
      </c>
      <c r="C26076" t="str">
        <v>-</v>
      </c>
      <c r="D26076" t="str">
        <v>-</v>
      </c>
      <c r="E26076" t="str">
        <v/>
      </c>
      <c r="F26076" t="str">
        <v>-</v>
      </c>
      <c r="G26076" t="str">
        <v>-</v>
      </c>
    </row>
    <row r="26077" xml:space="preserve">
      <c r="B26077" t="str" xml:space="preserve">
        <v xml:space="preserve">UBND Ủy ban nhân dân xã Hán Quảng _x000d_
 tỉnh Bắc Ninh</v>
      </c>
      <c r="C26077" t="str">
        <v>-</v>
      </c>
      <c r="D26077" t="str">
        <v>-</v>
      </c>
      <c r="E26077" t="str">
        <v>-</v>
      </c>
      <c r="F26077" t="str">
        <v>-</v>
      </c>
      <c r="G26077" t="str">
        <v>-</v>
      </c>
    </row>
    <row r="26078">
      <c r="B26078" t="str">
        <v>Công an xã Hát Lừu tỉnh Yên Bái</v>
      </c>
      <c r="C26078" t="str">
        <v>-</v>
      </c>
      <c r="D26078" t="str">
        <v>-</v>
      </c>
      <c r="E26078" t="str">
        <v/>
      </c>
      <c r="F26078" t="str">
        <v>-</v>
      </c>
      <c r="G26078" t="str">
        <v>-</v>
      </c>
    </row>
    <row r="26079">
      <c r="B26079" t="str">
        <v>UBND Ủy ban nhân dân xã Hát Lừu tỉnh Yên Bái</v>
      </c>
      <c r="C26079" t="str">
        <v>-</v>
      </c>
      <c r="D26079" t="str">
        <v>-</v>
      </c>
      <c r="E26079" t="str">
        <v>-</v>
      </c>
      <c r="F26079" t="str">
        <v>-</v>
      </c>
      <c r="G26079" t="str">
        <v>-</v>
      </c>
    </row>
    <row r="26080">
      <c r="B26080" t="str">
        <v>Công an xã Hòa Bình tỉnh Kon Tum</v>
      </c>
      <c r="C26080" t="str">
        <v>-</v>
      </c>
      <c r="D26080" t="str">
        <v>-</v>
      </c>
      <c r="E26080" t="str">
        <v/>
      </c>
      <c r="F26080" t="str">
        <v>-</v>
      </c>
      <c r="G26080" t="str">
        <v>-</v>
      </c>
    </row>
    <row r="26081">
      <c r="B26081" t="str">
        <v>UBND Ủy ban nhân dân xã Hòa Bình tỉnh Kon Tum</v>
      </c>
      <c r="C26081" t="str">
        <v>-</v>
      </c>
      <c r="D26081" t="str">
        <v>-</v>
      </c>
      <c r="E26081" t="str">
        <v>-</v>
      </c>
      <c r="F26081" t="str">
        <v>-</v>
      </c>
      <c r="G26081" t="str">
        <v>-</v>
      </c>
    </row>
    <row r="26082">
      <c r="B26082" t="str">
        <v>Công an xã Hòa Bình tỉnh Kon Tum</v>
      </c>
      <c r="C26082" t="str">
        <v>-</v>
      </c>
      <c r="D26082" t="str">
        <v>-</v>
      </c>
      <c r="E26082" t="str">
        <v/>
      </c>
      <c r="F26082" t="str">
        <v>-</v>
      </c>
      <c r="G26082" t="str">
        <v>-</v>
      </c>
    </row>
    <row r="26083">
      <c r="B26083" t="str">
        <v>UBND Ủy ban nhân dân xã Hòa Bình tỉnh Kon Tum</v>
      </c>
      <c r="C26083" t="str">
        <v>-</v>
      </c>
      <c r="D26083" t="str">
        <v>-</v>
      </c>
      <c r="E26083" t="str">
        <v>-</v>
      </c>
      <c r="F26083" t="str">
        <v>-</v>
      </c>
      <c r="G26083" t="str">
        <v>-</v>
      </c>
    </row>
    <row r="26084">
      <c r="B26084" t="str">
        <v>Công an xã Hòa Bình tỉnh Thái Bình</v>
      </c>
      <c r="C26084" t="str">
        <v>-</v>
      </c>
      <c r="D26084" t="str">
        <v>-</v>
      </c>
      <c r="E26084" t="str">
        <v/>
      </c>
      <c r="F26084" t="str">
        <v>-</v>
      </c>
      <c r="G26084" t="str">
        <v>-</v>
      </c>
    </row>
    <row r="26085">
      <c r="B26085" t="str">
        <v>UBND Ủy ban nhân dân xã Hòa Bình tỉnh Thái Bình</v>
      </c>
      <c r="C26085" t="str">
        <v>-</v>
      </c>
      <c r="D26085" t="str">
        <v>-</v>
      </c>
      <c r="E26085" t="str">
        <v>-</v>
      </c>
      <c r="F26085" t="str">
        <v>-</v>
      </c>
      <c r="G26085" t="str">
        <v>-</v>
      </c>
    </row>
    <row r="26086">
      <c r="B26086" t="str">
        <v>Công an xã Hòa Khánh tỉnh TIỀN GIANG</v>
      </c>
      <c r="C26086" t="str">
        <v>-</v>
      </c>
      <c r="D26086" t="str">
        <v>-</v>
      </c>
      <c r="E26086" t="str">
        <v/>
      </c>
      <c r="F26086" t="str">
        <v>-</v>
      </c>
      <c r="G26086" t="str">
        <v>-</v>
      </c>
    </row>
    <row r="26087">
      <c r="B26087" t="str">
        <v>UBND Ủy ban nhân dân xã Hòa Khánh tỉnh TIỀN GIANG</v>
      </c>
      <c r="C26087" t="str">
        <v>-</v>
      </c>
      <c r="D26087" t="str">
        <v>-</v>
      </c>
      <c r="E26087" t="str">
        <v>-</v>
      </c>
      <c r="F26087" t="str">
        <v>-</v>
      </c>
      <c r="G26087" t="str">
        <v>-</v>
      </c>
    </row>
    <row r="26088" xml:space="preserve">
      <c r="B26088" t="str" xml:space="preserve">
        <v xml:space="preserve">Công an xã Hòa Mỹ Đông _x000d_
 tỉnh Phú Yên</v>
      </c>
      <c r="C26088" t="str">
        <v>-</v>
      </c>
      <c r="D26088" t="str">
        <v>-</v>
      </c>
      <c r="E26088" t="str">
        <v/>
      </c>
      <c r="F26088" t="str">
        <v>-</v>
      </c>
      <c r="G26088" t="str">
        <v>-</v>
      </c>
    </row>
    <row r="26089" xml:space="preserve">
      <c r="B26089" t="str" xml:space="preserve">
        <v xml:space="preserve">UBND Ủy ban nhân dân xã Hòa Mỹ Đông _x000d_
 tỉnh Phú Yên</v>
      </c>
      <c r="C26089" t="str">
        <v>-</v>
      </c>
      <c r="D26089" t="str">
        <v>-</v>
      </c>
      <c r="E26089" t="str">
        <v>-</v>
      </c>
      <c r="F26089" t="str">
        <v>-</v>
      </c>
      <c r="G26089" t="str">
        <v>-</v>
      </c>
    </row>
    <row r="26090">
      <c r="B26090" t="str">
        <v>Công an xã Hòa Tân tỉnh Trà Vinh</v>
      </c>
      <c r="C26090" t="str">
        <v>-</v>
      </c>
      <c r="D26090" t="str">
        <v>-</v>
      </c>
      <c r="E26090" t="str">
        <v/>
      </c>
      <c r="F26090" t="str">
        <v>-</v>
      </c>
      <c r="G26090" t="str">
        <v>-</v>
      </c>
    </row>
    <row r="26091">
      <c r="B26091" t="str">
        <v>UBND Ủy ban nhân dân xã Hòa Tân tỉnh Trà Vinh</v>
      </c>
      <c r="C26091" t="str">
        <v>-</v>
      </c>
      <c r="D26091" t="str">
        <v>-</v>
      </c>
      <c r="E26091" t="str">
        <v>-</v>
      </c>
      <c r="F26091" t="str">
        <v>-</v>
      </c>
      <c r="G26091" t="str">
        <v>-</v>
      </c>
    </row>
    <row r="26092">
      <c r="B26092" t="str">
        <v>Công an xã Hòa Thạnh tỉnh Vĩnh Long</v>
      </c>
      <c r="C26092" t="str">
        <v>-</v>
      </c>
      <c r="D26092" t="str">
        <v>-</v>
      </c>
      <c r="E26092" t="str">
        <v/>
      </c>
      <c r="F26092" t="str">
        <v>-</v>
      </c>
      <c r="G26092" t="str">
        <v>-</v>
      </c>
    </row>
    <row r="26093">
      <c r="B26093" t="str">
        <v>UBND Ủy ban nhân dân xã Hòa Thạnh tỉnh Vĩnh Long</v>
      </c>
      <c r="C26093" t="str">
        <v>-</v>
      </c>
      <c r="D26093" t="str">
        <v>-</v>
      </c>
      <c r="E26093" t="str">
        <v>-</v>
      </c>
      <c r="F26093" t="str">
        <v>-</v>
      </c>
      <c r="G26093" t="str">
        <v>-</v>
      </c>
    </row>
    <row r="26094">
      <c r="B26094" t="str">
        <v>Công an xã Hòa Thạnh tỉnh Vĩnh Long</v>
      </c>
      <c r="C26094" t="str">
        <v>-</v>
      </c>
      <c r="D26094" t="str">
        <v>-</v>
      </c>
      <c r="E26094" t="str">
        <v/>
      </c>
      <c r="F26094" t="str">
        <v>-</v>
      </c>
      <c r="G26094" t="str">
        <v>-</v>
      </c>
    </row>
    <row r="26095">
      <c r="B26095" t="str">
        <v>UBND Ủy ban nhân dân xã Hòa Thạnh tỉnh Vĩnh Long</v>
      </c>
      <c r="C26095" t="str">
        <v>-</v>
      </c>
      <c r="D26095" t="str">
        <v>-</v>
      </c>
      <c r="E26095" t="str">
        <v>-</v>
      </c>
      <c r="F26095" t="str">
        <v>-</v>
      </c>
      <c r="G26095" t="str">
        <v>-</v>
      </c>
    </row>
    <row r="26096">
      <c r="B26096" t="str">
        <v>Công an xã Hòa Tiến tỉnh Bắc Giang</v>
      </c>
      <c r="C26096" t="str">
        <v>-</v>
      </c>
      <c r="D26096" t="str">
        <v>-</v>
      </c>
      <c r="E26096" t="str">
        <v/>
      </c>
      <c r="F26096" t="str">
        <v>-</v>
      </c>
      <c r="G26096" t="str">
        <v>-</v>
      </c>
    </row>
    <row r="26097">
      <c r="B26097" t="str">
        <v>UBND Ủy ban nhân dân xã Hòa Tiến tỉnh Bắc Giang</v>
      </c>
      <c r="C26097" t="str">
        <v>-</v>
      </c>
      <c r="D26097" t="str">
        <v>-</v>
      </c>
      <c r="E26097" t="str">
        <v>-</v>
      </c>
      <c r="F26097" t="str">
        <v>-</v>
      </c>
      <c r="G26097" t="str">
        <v>-</v>
      </c>
    </row>
    <row r="26098">
      <c r="B26098" t="str">
        <v>Công an xã Hùng Lợi tỉnh Tuyên Quang</v>
      </c>
      <c r="C26098" t="str">
        <v>-</v>
      </c>
      <c r="D26098" t="str">
        <v>-</v>
      </c>
      <c r="E26098" t="str">
        <v/>
      </c>
      <c r="F26098" t="str">
        <v>-</v>
      </c>
      <c r="G26098" t="str">
        <v>-</v>
      </c>
    </row>
    <row r="26099">
      <c r="B26099" t="str">
        <v>UBND Ủy ban nhân dân xã Hùng Lợi tỉnh Tuyên Quang</v>
      </c>
      <c r="C26099" t="str">
        <v>-</v>
      </c>
      <c r="D26099" t="str">
        <v>-</v>
      </c>
      <c r="E26099" t="str">
        <v>-</v>
      </c>
      <c r="F26099" t="str">
        <v>-</v>
      </c>
      <c r="G26099" t="str">
        <v>-</v>
      </c>
    </row>
    <row r="26100" xml:space="preserve">
      <c r="B26100" t="str" xml:space="preserve">
        <v xml:space="preserve">Công an xã Hùng Long _x000d_
 tỉnh Phú Thọ</v>
      </c>
      <c r="C26100" t="str">
        <v>-</v>
      </c>
      <c r="D26100" t="str">
        <v>-</v>
      </c>
      <c r="E26100" t="str">
        <v/>
      </c>
      <c r="F26100" t="str">
        <v>-</v>
      </c>
      <c r="G26100" t="str">
        <v>-</v>
      </c>
    </row>
    <row r="26101" xml:space="preserve">
      <c r="B26101" t="str" xml:space="preserve">
        <v xml:space="preserve">UBND Ủy ban nhân dân xã Hùng Long _x000d_
 tỉnh Phú Thọ</v>
      </c>
      <c r="C26101" t="str">
        <v>-</v>
      </c>
      <c r="D26101" t="str">
        <v>-</v>
      </c>
      <c r="E26101" t="str">
        <v>-</v>
      </c>
      <c r="F26101" t="str">
        <v>-</v>
      </c>
      <c r="G26101" t="str">
        <v>-</v>
      </c>
    </row>
    <row r="26102">
      <c r="B26102" t="str">
        <v>Công an xã Hùng Mỹ tỉnh Tuyên Quang</v>
      </c>
      <c r="C26102" t="str">
        <v>-</v>
      </c>
      <c r="D26102" t="str">
        <v>-</v>
      </c>
      <c r="E26102" t="str">
        <v/>
      </c>
      <c r="F26102" t="str">
        <v>-</v>
      </c>
      <c r="G26102" t="str">
        <v>-</v>
      </c>
    </row>
    <row r="26103">
      <c r="B26103" t="str">
        <v>UBND Ủy ban nhân dân xã Hùng Mỹ tỉnh Tuyên Quang</v>
      </c>
      <c r="C26103" t="str">
        <v>-</v>
      </c>
      <c r="D26103" t="str">
        <v>-</v>
      </c>
      <c r="E26103" t="str">
        <v>-</v>
      </c>
      <c r="F26103" t="str">
        <v>-</v>
      </c>
      <c r="G26103" t="str">
        <v>-</v>
      </c>
    </row>
    <row r="26104" xml:space="preserve">
      <c r="B26104" t="str" xml:space="preserve">
        <v xml:space="preserve">Công an xã Hùng Sơn _x000d_
 tỉnh Hòa Bình</v>
      </c>
      <c r="C26104" t="str">
        <v>-</v>
      </c>
      <c r="D26104" t="str">
        <v>-</v>
      </c>
      <c r="E26104" t="str">
        <v/>
      </c>
      <c r="F26104" t="str">
        <v>-</v>
      </c>
      <c r="G26104" t="str">
        <v>-</v>
      </c>
    </row>
    <row r="26105" xml:space="preserve">
      <c r="B26105" t="str" xml:space="preserve">
        <v xml:space="preserve">UBND Ủy ban nhân dân xã Hùng Sơn _x000d_
 tỉnh Hòa Bình</v>
      </c>
      <c r="C26105" t="str">
        <v>-</v>
      </c>
      <c r="D26105" t="str">
        <v>-</v>
      </c>
      <c r="E26105" t="str">
        <v>-</v>
      </c>
      <c r="F26105" t="str">
        <v>-</v>
      </c>
      <c r="G26105" t="str">
        <v>-</v>
      </c>
    </row>
    <row r="26106" xml:space="preserve">
      <c r="B26106" t="str" xml:space="preserve">
        <v xml:space="preserve">Công an xã Hùng Sơn _x000d_
 tỉnh Nghệ An</v>
      </c>
      <c r="C26106" t="str">
        <v>-</v>
      </c>
      <c r="D26106" t="str">
        <v>-</v>
      </c>
      <c r="E26106" t="str">
        <v/>
      </c>
      <c r="F26106" t="str">
        <v>-</v>
      </c>
      <c r="G26106" t="str">
        <v>-</v>
      </c>
    </row>
    <row r="26107" xml:space="preserve">
      <c r="B26107" t="str" xml:space="preserve">
        <v xml:space="preserve">UBND Ủy ban nhân dân xã Hùng Sơn _x000d_
 tỉnh Nghệ An</v>
      </c>
      <c r="C26107" t="str">
        <v>-</v>
      </c>
      <c r="D26107" t="str">
        <v>-</v>
      </c>
      <c r="E26107" t="str">
        <v>-</v>
      </c>
      <c r="F26107" t="str">
        <v>-</v>
      </c>
      <c r="G26107" t="str">
        <v>-</v>
      </c>
    </row>
    <row r="26108">
      <c r="B26108" t="str">
        <v>Công an xã Hùng Tiến tỉnh Ninh Bình</v>
      </c>
      <c r="C26108" t="str">
        <v>-</v>
      </c>
      <c r="D26108" t="str">
        <v>-</v>
      </c>
      <c r="E26108" t="str">
        <v/>
      </c>
      <c r="F26108" t="str">
        <v>-</v>
      </c>
      <c r="G26108" t="str">
        <v>-</v>
      </c>
    </row>
    <row r="26109">
      <c r="B26109" t="str">
        <v>UBND Ủy ban nhân dân xã Hùng Tiến tỉnh Ninh Bình</v>
      </c>
      <c r="C26109" t="str">
        <v>-</v>
      </c>
      <c r="D26109" t="str">
        <v>-</v>
      </c>
      <c r="E26109" t="str">
        <v>-</v>
      </c>
      <c r="F26109" t="str">
        <v>-</v>
      </c>
      <c r="G26109" t="str">
        <v>-</v>
      </c>
    </row>
    <row r="26110" xml:space="preserve">
      <c r="B26110" t="str" xml:space="preserve">
        <v xml:space="preserve">Công an xã Hùng Tiến _x000d_
 tỉnh Ninh Bình</v>
      </c>
      <c r="C26110" t="str">
        <v>-</v>
      </c>
      <c r="D26110" t="str">
        <v>-</v>
      </c>
      <c r="E26110" t="str">
        <v/>
      </c>
      <c r="F26110" t="str">
        <v>-</v>
      </c>
      <c r="G26110" t="str">
        <v>-</v>
      </c>
    </row>
    <row r="26111" xml:space="preserve">
      <c r="B26111" t="str" xml:space="preserve">
        <v xml:space="preserve">UBND Ủy ban nhân dân xã Hùng Tiến _x000d_
 tỉnh Ninh Bình</v>
      </c>
      <c r="C26111" t="str">
        <v>-</v>
      </c>
      <c r="D26111" t="str">
        <v>-</v>
      </c>
      <c r="E26111" t="str">
        <v>-</v>
      </c>
      <c r="F26111" t="str">
        <v>-</v>
      </c>
      <c r="G26111" t="str">
        <v>-</v>
      </c>
    </row>
    <row r="26112">
      <c r="B26112" t="str">
        <v>Công an xã Hùng Xuyên tỉnh Phú Thọ</v>
      </c>
      <c r="C26112" t="str">
        <v>-</v>
      </c>
      <c r="D26112" t="str">
        <v>-</v>
      </c>
      <c r="E26112" t="str">
        <v/>
      </c>
      <c r="F26112" t="str">
        <v>-</v>
      </c>
      <c r="G26112" t="str">
        <v>-</v>
      </c>
    </row>
    <row r="26113">
      <c r="B26113" t="str">
        <v>UBND Ủy ban nhân dân xã Hùng Xuyên tỉnh Phú Thọ</v>
      </c>
      <c r="C26113" t="str">
        <v>-</v>
      </c>
      <c r="D26113" t="str">
        <v>-</v>
      </c>
      <c r="E26113" t="str">
        <v>-</v>
      </c>
      <c r="F26113" t="str">
        <v>-</v>
      </c>
      <c r="G26113" t="str">
        <v>-</v>
      </c>
    </row>
    <row r="26114" xml:space="preserve">
      <c r="B26114" t="str" xml:space="preserve">
        <v xml:space="preserve">Công an xã Hơ Moong _x000d_
 tỉnh Kon Tum</v>
      </c>
      <c r="C26114" t="str">
        <v>-</v>
      </c>
      <c r="D26114" t="str">
        <v>-</v>
      </c>
      <c r="E26114" t="str">
        <v/>
      </c>
      <c r="F26114" t="str">
        <v>-</v>
      </c>
      <c r="G26114" t="str">
        <v>-</v>
      </c>
    </row>
    <row r="26115" xml:space="preserve">
      <c r="B26115" t="str" xml:space="preserve">
        <v xml:space="preserve">UBND Ủy ban nhân dân xã Hơ Moong _x000d_
 tỉnh Kon Tum</v>
      </c>
      <c r="C26115" t="str">
        <v>-</v>
      </c>
      <c r="D26115" t="str">
        <v>-</v>
      </c>
      <c r="E26115" t="str">
        <v>-</v>
      </c>
      <c r="F26115" t="str">
        <v>-</v>
      </c>
      <c r="G26115" t="str">
        <v>-</v>
      </c>
    </row>
    <row r="26116" xml:space="preserve">
      <c r="B26116" t="str" xml:space="preserve">
        <v xml:space="preserve">Công an xã Hương Cần _x000d_
 tỉnh Phú Thọ</v>
      </c>
      <c r="C26116" t="str">
        <v>-</v>
      </c>
      <c r="D26116" t="str">
        <v>-</v>
      </c>
      <c r="E26116" t="str">
        <v/>
      </c>
      <c r="F26116" t="str">
        <v>-</v>
      </c>
      <c r="G26116" t="str">
        <v>-</v>
      </c>
    </row>
    <row r="26117" xml:space="preserve">
      <c r="B26117" t="str" xml:space="preserve">
        <v xml:space="preserve">UBND Ủy ban nhân dân xã Hương Cần _x000d_
 tỉnh Phú Thọ</v>
      </c>
      <c r="C26117" t="str">
        <v>-</v>
      </c>
      <c r="D26117" t="str">
        <v>-</v>
      </c>
      <c r="E26117" t="str">
        <v>-</v>
      </c>
      <c r="F26117" t="str">
        <v>-</v>
      </c>
      <c r="G26117" t="str">
        <v>-</v>
      </c>
    </row>
    <row r="26118">
      <c r="B26118" t="str">
        <v>Công an xã Hương Lung tỉnh Phú Thọ</v>
      </c>
      <c r="C26118" t="str">
        <v>-</v>
      </c>
      <c r="D26118" t="str">
        <v>-</v>
      </c>
      <c r="E26118" t="str">
        <v/>
      </c>
      <c r="F26118" t="str">
        <v>-</v>
      </c>
      <c r="G26118" t="str">
        <v>-</v>
      </c>
    </row>
    <row r="26119">
      <c r="B26119" t="str">
        <v>UBND Ủy ban nhân dân xã Hương Lung tỉnh Phú Thọ</v>
      </c>
      <c r="C26119" t="str">
        <v>-</v>
      </c>
      <c r="D26119" t="str">
        <v>-</v>
      </c>
      <c r="E26119" t="str">
        <v>-</v>
      </c>
      <c r="F26119" t="str">
        <v>-</v>
      </c>
      <c r="G26119" t="str">
        <v>-</v>
      </c>
    </row>
    <row r="26120" xml:space="preserve">
      <c r="B26120" t="str" xml:space="preserve">
        <v xml:space="preserve">Công an xã Hương Minh _x000d_
 tỉnh Hà Tĩnh</v>
      </c>
      <c r="C26120" t="str">
        <v>-</v>
      </c>
      <c r="D26120" t="str">
        <v>-</v>
      </c>
      <c r="E26120" t="str">
        <v/>
      </c>
      <c r="F26120" t="str">
        <v>-</v>
      </c>
      <c r="G26120" t="str">
        <v>-</v>
      </c>
    </row>
    <row r="26121" xml:space="preserve">
      <c r="B26121" t="str" xml:space="preserve">
        <v xml:space="preserve">UBND Ủy ban nhân dân xã Hương Minh _x000d_
 tỉnh Hà Tĩnh</v>
      </c>
      <c r="C26121" t="str">
        <v>-</v>
      </c>
      <c r="D26121" t="str">
        <v>-</v>
      </c>
      <c r="E26121" t="str">
        <v>-</v>
      </c>
      <c r="F26121" t="str">
        <v>-</v>
      </c>
      <c r="G26121" t="str">
        <v>-</v>
      </c>
    </row>
    <row r="26122">
      <c r="B26122" t="str">
        <v>Công an xã Hương Vĩnh  tỉnh Hà Tĩnh</v>
      </c>
      <c r="C26122" t="str">
        <v>-</v>
      </c>
      <c r="D26122" t="str">
        <v>-</v>
      </c>
      <c r="E26122" t="str">
        <v/>
      </c>
      <c r="F26122" t="str">
        <v>-</v>
      </c>
      <c r="G26122" t="str">
        <v>-</v>
      </c>
    </row>
    <row r="26123">
      <c r="B26123" t="str">
        <v>UBND Ủy ban nhân dân xã Hương Vĩnh  tỉnh Hà Tĩnh</v>
      </c>
      <c r="C26123" t="str">
        <v>-</v>
      </c>
      <c r="D26123" t="str">
        <v>-</v>
      </c>
      <c r="E26123" t="str">
        <v>-</v>
      </c>
      <c r="F26123" t="str">
        <v>-</v>
      </c>
      <c r="G26123" t="str">
        <v>-</v>
      </c>
    </row>
    <row r="26124">
      <c r="B26124" t="str">
        <v>Công an xã Hướng Lập  tỉnh Quảng Trị</v>
      </c>
      <c r="C26124" t="str">
        <v>-</v>
      </c>
      <c r="D26124" t="str">
        <v>-</v>
      </c>
      <c r="E26124" t="str">
        <v/>
      </c>
      <c r="F26124" t="str">
        <v>-</v>
      </c>
      <c r="G26124" t="str">
        <v>-</v>
      </c>
    </row>
    <row r="26125">
      <c r="B26125" t="str">
        <v>UBND Ủy ban nhân dân xã Hướng Lập  tỉnh Quảng Trị</v>
      </c>
      <c r="C26125" t="str">
        <v>-</v>
      </c>
      <c r="D26125" t="str">
        <v>-</v>
      </c>
      <c r="E26125" t="str">
        <v>-</v>
      </c>
      <c r="F26125" t="str">
        <v>-</v>
      </c>
      <c r="G26125" t="str">
        <v>-</v>
      </c>
    </row>
    <row r="26126" xml:space="preserve">
      <c r="B26126" t="str" xml:space="preserve">
        <v xml:space="preserve">Công an xã Hưng Đạo _x000d_
 thành phố Hà Nội</v>
      </c>
      <c r="C26126" t="str">
        <v>-</v>
      </c>
      <c r="D26126" t="str">
        <v>-</v>
      </c>
      <c r="E26126" t="str">
        <v/>
      </c>
      <c r="F26126" t="str">
        <v>-</v>
      </c>
      <c r="G26126" t="str">
        <v>-</v>
      </c>
    </row>
    <row r="26127" xml:space="preserve">
      <c r="B26127" t="str" xml:space="preserve">
        <v xml:space="preserve">UBND Ủy ban nhân dân xã Hưng Đạo _x000d_
 thành phố Hà Nội</v>
      </c>
      <c r="C26127" t="str">
        <v>-</v>
      </c>
      <c r="D26127" t="str">
        <v>-</v>
      </c>
      <c r="E26127" t="str">
        <v>-</v>
      </c>
      <c r="F26127" t="str">
        <v>-</v>
      </c>
      <c r="G26127" t="str">
        <v>-</v>
      </c>
    </row>
    <row r="26128" xml:space="preserve">
      <c r="B26128" t="str" xml:space="preserve">
        <v xml:space="preserve">Công an xã Hưng Khánh _x000d_
 tỉnh Yên Bái</v>
      </c>
      <c r="C26128" t="str">
        <v>-</v>
      </c>
      <c r="D26128" t="str">
        <v>-</v>
      </c>
      <c r="E26128" t="str">
        <v/>
      </c>
      <c r="F26128" t="str">
        <v>-</v>
      </c>
      <c r="G26128" t="str">
        <v>-</v>
      </c>
    </row>
    <row r="26129" xml:space="preserve">
      <c r="B26129" t="str" xml:space="preserve">
        <v xml:space="preserve">UBND Ủy ban nhân dân xã Hưng Khánh _x000d_
 tỉnh Yên Bái</v>
      </c>
      <c r="C26129" t="str">
        <v>-</v>
      </c>
      <c r="D26129" t="str">
        <v>-</v>
      </c>
      <c r="E26129" t="str">
        <v>-</v>
      </c>
      <c r="F26129" t="str">
        <v>-</v>
      </c>
      <c r="G26129" t="str">
        <v>-</v>
      </c>
    </row>
    <row r="26130">
      <c r="B26130" t="str">
        <v>Công an xã Hưng Lộc tỉnh Thanh Hóa</v>
      </c>
      <c r="C26130" t="str">
        <v>-</v>
      </c>
      <c r="D26130" t="str">
        <v>-</v>
      </c>
      <c r="E26130" t="str">
        <v/>
      </c>
      <c r="F26130" t="str">
        <v>-</v>
      </c>
      <c r="G26130" t="str">
        <v>-</v>
      </c>
    </row>
    <row r="26131">
      <c r="B26131" t="str">
        <v>UBND Ủy ban nhân dân xã Hưng Lộc tỉnh Thanh Hóa</v>
      </c>
      <c r="C26131" t="str">
        <v>-</v>
      </c>
      <c r="D26131" t="str">
        <v>-</v>
      </c>
      <c r="E26131" t="str">
        <v>-</v>
      </c>
      <c r="F26131" t="str">
        <v>-</v>
      </c>
      <c r="G26131" t="str">
        <v>-</v>
      </c>
    </row>
    <row r="26132">
      <c r="B26132" t="str">
        <v>Công an xã hưng mỹ tỉnh Trà Vinh</v>
      </c>
      <c r="C26132" t="str">
        <v>-</v>
      </c>
      <c r="D26132" t="str">
        <v>-</v>
      </c>
      <c r="E26132" t="str">
        <v/>
      </c>
      <c r="F26132" t="str">
        <v>-</v>
      </c>
      <c r="G26132" t="str">
        <v>-</v>
      </c>
    </row>
    <row r="26133">
      <c r="B26133" t="str">
        <v>UBND Ủy ban nhân dân xã hưng mỹ tỉnh Trà Vinh</v>
      </c>
      <c r="C26133" t="str">
        <v>-</v>
      </c>
      <c r="D26133" t="str">
        <v>-</v>
      </c>
      <c r="E26133" t="str">
        <v>-</v>
      </c>
      <c r="F26133" t="str">
        <v>-</v>
      </c>
      <c r="G26133" t="str">
        <v>-</v>
      </c>
    </row>
    <row r="26134" xml:space="preserve">
      <c r="B26134" t="str" xml:space="preserve">
        <v xml:space="preserve">Công an xã Hưng Tân _x000d_
 tỉnh Bến Tre</v>
      </c>
      <c r="C26134" t="str">
        <v>-</v>
      </c>
      <c r="D26134" t="str">
        <v>-</v>
      </c>
      <c r="E26134" t="str">
        <v/>
      </c>
      <c r="F26134" t="str">
        <v>-</v>
      </c>
      <c r="G26134" t="str">
        <v>-</v>
      </c>
    </row>
    <row r="26135" xml:space="preserve">
      <c r="B26135" t="str" xml:space="preserve">
        <v xml:space="preserve">UBND Ủy ban nhân dân xã Hưng Tân _x000d_
 tỉnh Bến Tre</v>
      </c>
      <c r="C26135" t="str">
        <v>-</v>
      </c>
      <c r="D26135" t="str">
        <v>-</v>
      </c>
      <c r="E26135" t="str">
        <v>-</v>
      </c>
      <c r="F26135" t="str">
        <v>-</v>
      </c>
      <c r="G26135" t="str">
        <v>-</v>
      </c>
    </row>
    <row r="26136">
      <c r="B26136" t="str">
        <v>Công an xã Hưng Thịnh tỉnh Cao Bằng</v>
      </c>
      <c r="C26136" t="str">
        <v>-</v>
      </c>
      <c r="D26136" t="str">
        <v>-</v>
      </c>
      <c r="E26136" t="str">
        <v/>
      </c>
      <c r="F26136" t="str">
        <v>-</v>
      </c>
      <c r="G26136" t="str">
        <v>-</v>
      </c>
    </row>
    <row r="26137">
      <c r="B26137" t="str">
        <v>UBND Ủy ban nhân dân xã Hưng Thịnh tỉnh Cao Bằng</v>
      </c>
      <c r="C26137" t="str">
        <v>-</v>
      </c>
      <c r="D26137" t="str">
        <v>-</v>
      </c>
      <c r="E26137" t="str">
        <v>-</v>
      </c>
      <c r="F26137" t="str">
        <v>-</v>
      </c>
      <c r="G26137" t="str">
        <v>-</v>
      </c>
    </row>
    <row r="26138" xml:space="preserve">
      <c r="B26138" t="str" xml:space="preserve">
        <v xml:space="preserve">Công an xã Hưng Thuận _x000d_
 tỉnh TÂY NINH</v>
      </c>
      <c r="C26138" t="str">
        <v>-</v>
      </c>
      <c r="D26138" t="str">
        <v>-</v>
      </c>
      <c r="E26138" t="str">
        <v/>
      </c>
      <c r="F26138" t="str">
        <v>-</v>
      </c>
      <c r="G26138" t="str">
        <v>-</v>
      </c>
    </row>
    <row r="26139" xml:space="preserve">
      <c r="B26139" t="str" xml:space="preserve">
        <v xml:space="preserve">UBND Ủy ban nhân dân xã Hưng Thuận _x000d_
 tỉnh TÂY NINH</v>
      </c>
      <c r="C26139" t="str">
        <v>-</v>
      </c>
      <c r="D26139" t="str">
        <v>-</v>
      </c>
      <c r="E26139" t="str">
        <v>-</v>
      </c>
      <c r="F26139" t="str">
        <v>-</v>
      </c>
      <c r="G26139" t="str">
        <v>-</v>
      </c>
    </row>
    <row r="26140" xml:space="preserve">
      <c r="B26140" t="str" xml:space="preserve">
        <v xml:space="preserve">Công an xã Hưng Thuỷ _x000d_
 tỉnh Quảng Bình</v>
      </c>
      <c r="C26140" t="str">
        <v>-</v>
      </c>
      <c r="D26140" t="str">
        <v>-</v>
      </c>
      <c r="E26140" t="str">
        <v/>
      </c>
      <c r="F26140" t="str">
        <v>-</v>
      </c>
      <c r="G26140" t="str">
        <v>-</v>
      </c>
    </row>
    <row r="26141" xml:space="preserve">
      <c r="B26141" t="str" xml:space="preserve">
        <v xml:space="preserve">UBND Ủy ban nhân dân xã Hưng Thuỷ _x000d_
 tỉnh Quảng Bình</v>
      </c>
      <c r="C26141" t="str">
        <v>-</v>
      </c>
      <c r="D26141" t="str">
        <v>-</v>
      </c>
      <c r="E26141" t="str">
        <v>-</v>
      </c>
      <c r="F26141" t="str">
        <v>-</v>
      </c>
      <c r="G26141" t="str">
        <v>-</v>
      </c>
    </row>
    <row r="26142" xml:space="preserve">
      <c r="B26142" t="str" xml:space="preserve">
        <v xml:space="preserve">Công an xã Hưng Yên Bắc _x000d_
 tỉnh Nghệ An</v>
      </c>
      <c r="C26142" t="str">
        <v>-</v>
      </c>
      <c r="D26142" t="str">
        <v>-</v>
      </c>
      <c r="E26142" t="str">
        <v/>
      </c>
      <c r="F26142" t="str">
        <v>-</v>
      </c>
      <c r="G26142" t="str">
        <v>-</v>
      </c>
    </row>
    <row r="26143" xml:space="preserve">
      <c r="B26143" t="str" xml:space="preserve">
        <v xml:space="preserve">UBND Ủy ban nhân dân xã Hưng Yên Bắc _x000d_
 tỉnh Nghệ An</v>
      </c>
      <c r="C26143" t="str">
        <v>-</v>
      </c>
      <c r="D26143" t="str">
        <v>-</v>
      </c>
      <c r="E26143" t="str">
        <v>-</v>
      </c>
      <c r="F26143" t="str">
        <v>-</v>
      </c>
      <c r="G26143" t="str">
        <v>-</v>
      </c>
    </row>
    <row r="26144" xml:space="preserve">
      <c r="B26144" t="str" xml:space="preserve">
        <v xml:space="preserve">Công an xã Hạ Giáp _x000d_
 tỉnh Phú Thọ</v>
      </c>
      <c r="C26144" t="str">
        <v>-</v>
      </c>
      <c r="D26144" t="str">
        <v>-</v>
      </c>
      <c r="E26144" t="str">
        <v/>
      </c>
      <c r="F26144" t="str">
        <v>-</v>
      </c>
      <c r="G26144" t="str">
        <v>-</v>
      </c>
    </row>
    <row r="26145" xml:space="preserve">
      <c r="B26145" t="str" xml:space="preserve">
        <v xml:space="preserve">UBND Ủy ban nhân dân xã Hạ Giáp _x000d_
 tỉnh Phú Thọ</v>
      </c>
      <c r="C26145" t="str">
        <v>-</v>
      </c>
      <c r="D26145" t="str">
        <v>-</v>
      </c>
      <c r="E26145" t="str">
        <v>-</v>
      </c>
      <c r="F26145" t="str">
        <v>-</v>
      </c>
      <c r="G26145" t="str">
        <v>-</v>
      </c>
    </row>
    <row r="26146" xml:space="preserve">
      <c r="B26146" t="str" xml:space="preserve">
        <v xml:space="preserve">Công an xã Hạ Trung _x000d_
 tỉnh Phú Thọ</v>
      </c>
      <c r="C26146" t="str">
        <v>-</v>
      </c>
      <c r="D26146" t="str">
        <v>-</v>
      </c>
      <c r="E26146" t="str">
        <v/>
      </c>
      <c r="F26146" t="str">
        <v>-</v>
      </c>
      <c r="G26146" t="str">
        <v>-</v>
      </c>
    </row>
    <row r="26147" xml:space="preserve">
      <c r="B26147" t="str" xml:space="preserve">
        <v xml:space="preserve">UBND Ủy ban nhân dân xã Hạ Trung _x000d_
 tỉnh Phú Thọ</v>
      </c>
      <c r="C26147" t="str">
        <v>-</v>
      </c>
      <c r="D26147" t="str">
        <v>-</v>
      </c>
      <c r="E26147" t="str">
        <v>-</v>
      </c>
      <c r="F26147" t="str">
        <v>-</v>
      </c>
      <c r="G26147" t="str">
        <v>-</v>
      </c>
    </row>
    <row r="26148" xml:space="preserve">
      <c r="B26148" t="str" xml:space="preserve">
        <v xml:space="preserve">Công an xã Hải Đông _x000d_
 tỉnh Nam Định</v>
      </c>
      <c r="C26148" t="str">
        <v>-</v>
      </c>
      <c r="D26148" t="str">
        <v>-</v>
      </c>
      <c r="E26148" t="str">
        <v/>
      </c>
      <c r="F26148" t="str">
        <v>-</v>
      </c>
      <c r="G26148" t="str">
        <v>-</v>
      </c>
    </row>
    <row r="26149" xml:space="preserve">
      <c r="B26149" t="str" xml:space="preserve">
        <v xml:space="preserve">UBND Ủy ban nhân dân xã Hải Đông _x000d_
 tỉnh Nam Định</v>
      </c>
      <c r="C26149" t="str">
        <v>-</v>
      </c>
      <c r="D26149" t="str">
        <v>-</v>
      </c>
      <c r="E26149" t="str">
        <v>-</v>
      </c>
      <c r="F26149" t="str">
        <v>-</v>
      </c>
      <c r="G26149" t="str">
        <v>-</v>
      </c>
    </row>
    <row r="26150" xml:space="preserve">
      <c r="B26150" t="str" xml:space="preserve">
        <v xml:space="preserve">Công an xã Hải Anh _x000d_
 tỉnh Nam Định</v>
      </c>
      <c r="C26150" t="str">
        <v>-</v>
      </c>
      <c r="D26150" t="str">
        <v>-</v>
      </c>
      <c r="E26150" t="str">
        <v/>
      </c>
      <c r="F26150" t="str">
        <v>-</v>
      </c>
      <c r="G26150" t="str">
        <v>-</v>
      </c>
    </row>
    <row r="26151" xml:space="preserve">
      <c r="B26151" t="str" xml:space="preserve">
        <v xml:space="preserve">UBND Ủy ban nhân dân xã Hải Anh _x000d_
 tỉnh Nam Định</v>
      </c>
      <c r="C26151" t="str">
        <v>-</v>
      </c>
      <c r="D26151" t="str">
        <v>-</v>
      </c>
      <c r="E26151" t="str">
        <v>-</v>
      </c>
      <c r="F26151" t="str">
        <v>-</v>
      </c>
      <c r="G26151" t="str">
        <v>-</v>
      </c>
    </row>
    <row r="26152" xml:space="preserve">
      <c r="B26152" t="str" xml:space="preserve">
        <v xml:space="preserve">Công an xã Hải Cường _x000d_
 tỉnh Nam Định</v>
      </c>
      <c r="C26152" t="str">
        <v>-</v>
      </c>
      <c r="D26152" t="str">
        <v>-</v>
      </c>
      <c r="E26152" t="str">
        <v/>
      </c>
      <c r="F26152" t="str">
        <v>-</v>
      </c>
      <c r="G26152" t="str">
        <v>-</v>
      </c>
    </row>
    <row r="26153" xml:space="preserve">
      <c r="B26153" t="str" xml:space="preserve">
        <v xml:space="preserve">UBND Ủy ban nhân dân xã Hải Cường _x000d_
 tỉnh Nam Định</v>
      </c>
      <c r="C26153" t="str">
        <v>-</v>
      </c>
      <c r="D26153" t="str">
        <v>-</v>
      </c>
      <c r="E26153" t="str">
        <v>-</v>
      </c>
      <c r="F26153" t="str">
        <v>-</v>
      </c>
      <c r="G26153" t="str">
        <v>-</v>
      </c>
    </row>
    <row r="26154" xml:space="preserve">
      <c r="B26154" t="str" xml:space="preserve">
        <v xml:space="preserve">Công an xã Hải Hà _x000d_
 tỉnh Nam Định</v>
      </c>
      <c r="C26154" t="str">
        <v>-</v>
      </c>
      <c r="D26154" t="str">
        <v>-</v>
      </c>
      <c r="E26154" t="str">
        <v/>
      </c>
      <c r="F26154" t="str">
        <v>-</v>
      </c>
      <c r="G26154" t="str">
        <v>-</v>
      </c>
    </row>
    <row r="26155" xml:space="preserve">
      <c r="B26155" t="str" xml:space="preserve">
        <v xml:space="preserve">UBND Ủy ban nhân dân xã Hải Hà _x000d_
 tỉnh Nam Định</v>
      </c>
      <c r="C26155" t="str">
        <v>-</v>
      </c>
      <c r="D26155" t="str">
        <v>-</v>
      </c>
      <c r="E26155" t="str">
        <v>-</v>
      </c>
      <c r="F26155" t="str">
        <v>-</v>
      </c>
      <c r="G26155" t="str">
        <v>-</v>
      </c>
    </row>
    <row r="26156" xml:space="preserve">
      <c r="B26156" t="str" xml:space="preserve">
        <v xml:space="preserve">Công an xã Hải Hà _x000d_
 tỉnh Thanh Hóa</v>
      </c>
      <c r="C26156" t="str">
        <v>-</v>
      </c>
      <c r="D26156" t="str">
        <v>-</v>
      </c>
      <c r="E26156" t="str">
        <v/>
      </c>
      <c r="F26156" t="str">
        <v>-</v>
      </c>
      <c r="G26156" t="str">
        <v>-</v>
      </c>
    </row>
    <row r="26157" xml:space="preserve">
      <c r="B26157" t="str" xml:space="preserve">
        <v xml:space="preserve">UBND Ủy ban nhân dân xã Hải Hà _x000d_
 tỉnh Thanh Hóa</v>
      </c>
      <c r="C26157" t="str">
        <v>-</v>
      </c>
      <c r="D26157" t="str">
        <v>-</v>
      </c>
      <c r="E26157" t="str">
        <v>-</v>
      </c>
      <c r="F26157" t="str">
        <v>-</v>
      </c>
      <c r="G26157" t="str">
        <v>-</v>
      </c>
    </row>
    <row r="26158" xml:space="preserve">
      <c r="B26158" t="str" xml:space="preserve">
        <v xml:space="preserve">Công an xã Hải Hưng _x000d_
 tỉnh Thanh Hóa</v>
      </c>
      <c r="C26158" t="str">
        <v>-</v>
      </c>
      <c r="D26158" t="str">
        <v>-</v>
      </c>
      <c r="E26158" t="str">
        <v/>
      </c>
      <c r="F26158" t="str">
        <v>-</v>
      </c>
      <c r="G26158" t="str">
        <v>-</v>
      </c>
    </row>
    <row r="26159" xml:space="preserve">
      <c r="B26159" t="str" xml:space="preserve">
        <v xml:space="preserve">UBND Ủy ban nhân dân xã Hải Hưng _x000d_
 tỉnh Thanh Hóa</v>
      </c>
      <c r="C26159" t="str">
        <v>-</v>
      </c>
      <c r="D26159" t="str">
        <v>-</v>
      </c>
      <c r="E26159" t="str">
        <v>-</v>
      </c>
      <c r="F26159" t="str">
        <v>-</v>
      </c>
      <c r="G26159" t="str">
        <v>-</v>
      </c>
    </row>
    <row r="26160" xml:space="preserve">
      <c r="B26160" t="str" xml:space="preserve">
        <v xml:space="preserve">Công an xã Hải Lý _x000d_
 tỉnh Nam Định</v>
      </c>
      <c r="C26160" t="str">
        <v>-</v>
      </c>
      <c r="D26160" t="str">
        <v>-</v>
      </c>
      <c r="E26160" t="str">
        <v/>
      </c>
      <c r="F26160" t="str">
        <v>-</v>
      </c>
      <c r="G26160" t="str">
        <v>-</v>
      </c>
    </row>
    <row r="26161" xml:space="preserve">
      <c r="B26161" t="str" xml:space="preserve">
        <v xml:space="preserve">UBND Ủy ban nhân dân xã Hải Lý _x000d_
 tỉnh Nam Định</v>
      </c>
      <c r="C26161" t="str">
        <v>-</v>
      </c>
      <c r="D26161" t="str">
        <v>-</v>
      </c>
      <c r="E26161" t="str">
        <v>-</v>
      </c>
      <c r="F26161" t="str">
        <v>-</v>
      </c>
      <c r="G26161" t="str">
        <v>-</v>
      </c>
    </row>
    <row r="26162">
      <c r="B26162" t="str">
        <v>Công an xã Hải Lộc tỉnh Nam Định</v>
      </c>
      <c r="C26162" t="str">
        <v>-</v>
      </c>
      <c r="D26162" t="str">
        <v>-</v>
      </c>
      <c r="E26162" t="str">
        <v/>
      </c>
      <c r="F26162" t="str">
        <v>-</v>
      </c>
      <c r="G26162" t="str">
        <v>-</v>
      </c>
    </row>
    <row r="26163">
      <c r="B26163" t="str">
        <v>UBND Ủy ban nhân dân xã Hải Lộc tỉnh Nam Định</v>
      </c>
      <c r="C26163" t="str">
        <v>-</v>
      </c>
      <c r="D26163" t="str">
        <v>-</v>
      </c>
      <c r="E26163" t="str">
        <v>-</v>
      </c>
      <c r="F26163" t="str">
        <v>-</v>
      </c>
      <c r="G26163" t="str">
        <v>-</v>
      </c>
    </row>
    <row r="26164" xml:space="preserve">
      <c r="B26164" t="str" xml:space="preserve">
        <v xml:space="preserve">Công an xã Hải Minh _x000d_
 tỉnh Nam Định</v>
      </c>
      <c r="C26164" t="str">
        <v>-</v>
      </c>
      <c r="D26164" t="str">
        <v>-</v>
      </c>
      <c r="E26164" t="str">
        <v/>
      </c>
      <c r="F26164" t="str">
        <v>-</v>
      </c>
      <c r="G26164" t="str">
        <v>-</v>
      </c>
    </row>
    <row r="26165" xml:space="preserve">
      <c r="B26165" t="str" xml:space="preserve">
        <v xml:space="preserve">UBND Ủy ban nhân dân xã Hải Minh _x000d_
 tỉnh Nam Định</v>
      </c>
      <c r="C26165" t="str">
        <v>-</v>
      </c>
      <c r="D26165" t="str">
        <v>-</v>
      </c>
      <c r="E26165" t="str">
        <v>-</v>
      </c>
      <c r="F26165" t="str">
        <v>-</v>
      </c>
      <c r="G26165" t="str">
        <v>-</v>
      </c>
    </row>
    <row r="26166" xml:space="preserve">
      <c r="B26166" t="str" xml:space="preserve">
        <v xml:space="preserve">Công an xã Hải Ninh _x000d_
 tỉnh Nam Định</v>
      </c>
      <c r="C26166" t="str">
        <v>-</v>
      </c>
      <c r="D26166" t="str">
        <v>-</v>
      </c>
      <c r="E26166" t="str">
        <v/>
      </c>
      <c r="F26166" t="str">
        <v>-</v>
      </c>
      <c r="G26166" t="str">
        <v>-</v>
      </c>
    </row>
    <row r="26167" xml:space="preserve">
      <c r="B26167" t="str" xml:space="preserve">
        <v xml:space="preserve">UBND Ủy ban nhân dân xã Hải Ninh _x000d_
 tỉnh Nam Định</v>
      </c>
      <c r="C26167" t="str">
        <v>-</v>
      </c>
      <c r="D26167" t="str">
        <v>-</v>
      </c>
      <c r="E26167" t="str">
        <v>-</v>
      </c>
      <c r="F26167" t="str">
        <v>-</v>
      </c>
      <c r="G26167" t="str">
        <v>-</v>
      </c>
    </row>
    <row r="26168">
      <c r="B26168" t="str">
        <v>Công an xã Hải Phú tỉnh Nam Định</v>
      </c>
      <c r="C26168" t="str">
        <v>-</v>
      </c>
      <c r="D26168" t="str">
        <v>-</v>
      </c>
      <c r="E26168" t="str">
        <v/>
      </c>
      <c r="F26168" t="str">
        <v>-</v>
      </c>
      <c r="G26168" t="str">
        <v>-</v>
      </c>
    </row>
    <row r="26169">
      <c r="B26169" t="str">
        <v>UBND Ủy ban nhân dân xã Hải Phú tỉnh Nam Định</v>
      </c>
      <c r="C26169" t="str">
        <v>-</v>
      </c>
      <c r="D26169" t="str">
        <v>-</v>
      </c>
      <c r="E26169" t="str">
        <v>-</v>
      </c>
      <c r="F26169" t="str">
        <v>-</v>
      </c>
      <c r="G26169" t="str">
        <v>-</v>
      </c>
    </row>
    <row r="26170" xml:space="preserve">
      <c r="B26170" t="str" xml:space="preserve">
        <v xml:space="preserve">Công an xã Hải Phương _x000d_
 tỉnh Nam Định</v>
      </c>
      <c r="C26170" t="str">
        <v>-</v>
      </c>
      <c r="D26170" t="str">
        <v>-</v>
      </c>
      <c r="E26170" t="str">
        <v/>
      </c>
      <c r="F26170" t="str">
        <v>-</v>
      </c>
      <c r="G26170" t="str">
        <v>-</v>
      </c>
    </row>
    <row r="26171" xml:space="preserve">
      <c r="B26171" t="str" xml:space="preserve">
        <v xml:space="preserve">UBND Ủy ban nhân dân xã Hải Phương _x000d_
 tỉnh Nam Định</v>
      </c>
      <c r="C26171" t="str">
        <v>-</v>
      </c>
      <c r="D26171" t="str">
        <v>-</v>
      </c>
      <c r="E26171" t="str">
        <v>-</v>
      </c>
      <c r="F26171" t="str">
        <v>-</v>
      </c>
      <c r="G26171" t="str">
        <v>-</v>
      </c>
    </row>
    <row r="26172" xml:space="preserve">
      <c r="B26172" t="str" xml:space="preserve">
        <v xml:space="preserve">Công an xã Hải Phong _x000d_
 tỉnh Nam Định</v>
      </c>
      <c r="C26172" t="str">
        <v>-</v>
      </c>
      <c r="D26172" t="str">
        <v>-</v>
      </c>
      <c r="E26172" t="str">
        <v/>
      </c>
      <c r="F26172" t="str">
        <v>-</v>
      </c>
      <c r="G26172" t="str">
        <v>-</v>
      </c>
    </row>
    <row r="26173" xml:space="preserve">
      <c r="B26173" t="str" xml:space="preserve">
        <v xml:space="preserve">UBND Ủy ban nhân dân xã Hải Phong _x000d_
 tỉnh Nam Định</v>
      </c>
      <c r="C26173" t="str">
        <v>-</v>
      </c>
      <c r="D26173" t="str">
        <v>-</v>
      </c>
      <c r="E26173" t="str">
        <v>-</v>
      </c>
      <c r="F26173" t="str">
        <v>-</v>
      </c>
      <c r="G26173" t="str">
        <v>-</v>
      </c>
    </row>
    <row r="26174" xml:space="preserve">
      <c r="B26174" t="str" xml:space="preserve">
        <v xml:space="preserve">Công an xã Lương Thịnh _x000d_
 tỉnh Yên Bái</v>
      </c>
      <c r="C26174" t="str">
        <v>-</v>
      </c>
      <c r="D26174" t="str">
        <v>-</v>
      </c>
      <c r="E26174" t="str">
        <v/>
      </c>
      <c r="F26174" t="str">
        <v>-</v>
      </c>
      <c r="G26174" t="str">
        <v>-</v>
      </c>
    </row>
    <row r="26175" xml:space="preserve">
      <c r="B26175" t="str" xml:space="preserve">
        <v xml:space="preserve">UBND Ủy ban nhân dân xã Lương Thịnh _x000d_
 tỉnh Yên Bái</v>
      </c>
      <c r="C26175" t="str">
        <v>-</v>
      </c>
      <c r="D26175" t="str">
        <v>-</v>
      </c>
      <c r="E26175" t="str">
        <v>-</v>
      </c>
      <c r="F26175" t="str">
        <v>-</v>
      </c>
      <c r="G26175" t="str">
        <v>-</v>
      </c>
    </row>
    <row r="26176">
      <c r="B26176" t="str">
        <v>Công an xã Lương Trung tỉnh Thanh Hóa</v>
      </c>
      <c r="C26176" t="str">
        <v>-</v>
      </c>
      <c r="D26176" t="str">
        <v>-</v>
      </c>
      <c r="E26176" t="str">
        <v/>
      </c>
      <c r="F26176" t="str">
        <v>-</v>
      </c>
      <c r="G26176" t="str">
        <v>-</v>
      </c>
    </row>
    <row r="26177">
      <c r="B26177" t="str">
        <v>UBND Ủy ban nhân dân xã Lương Trung tỉnh Thanh Hóa</v>
      </c>
      <c r="C26177" t="str">
        <v>-</v>
      </c>
      <c r="D26177" t="str">
        <v>-</v>
      </c>
      <c r="E26177" t="str">
        <v>-</v>
      </c>
      <c r="F26177" t="str">
        <v>-</v>
      </c>
      <c r="G26177" t="str">
        <v>-</v>
      </c>
    </row>
    <row r="26178" xml:space="preserve">
      <c r="B26178" t="str" xml:space="preserve">
        <v xml:space="preserve">Công an xã Lưu Nghiệp Anh _x000d_
 tỉnh Trà Vinh</v>
      </c>
      <c r="C26178" t="str">
        <v>-</v>
      </c>
      <c r="D26178" t="str">
        <v>-</v>
      </c>
      <c r="E26178" t="str">
        <v/>
      </c>
      <c r="F26178" t="str">
        <v>-</v>
      </c>
      <c r="G26178" t="str">
        <v>-</v>
      </c>
    </row>
    <row r="26179" xml:space="preserve">
      <c r="B26179" t="str" xml:space="preserve">
        <v xml:space="preserve">UBND Ủy ban nhân dân xã Lưu Nghiệp Anh _x000d_
 tỉnh Trà Vinh</v>
      </c>
      <c r="C26179" t="str">
        <v>-</v>
      </c>
      <c r="D26179" t="str">
        <v>-</v>
      </c>
      <c r="E26179" t="str">
        <v>-</v>
      </c>
      <c r="F26179" t="str">
        <v>-</v>
      </c>
      <c r="G26179" t="str">
        <v>-</v>
      </c>
    </row>
    <row r="26180" xml:space="preserve">
      <c r="B26180" t="str" xml:space="preserve">
        <v xml:space="preserve">Công an xã Lạc Lương _x000d_
 tỉnh Hòa Bình</v>
      </c>
      <c r="C26180" t="str">
        <v>-</v>
      </c>
      <c r="D26180" t="str">
        <v>-</v>
      </c>
      <c r="E26180" t="str">
        <v/>
      </c>
      <c r="F26180" t="str">
        <v>-</v>
      </c>
      <c r="G26180" t="str">
        <v>-</v>
      </c>
    </row>
    <row r="26181" xml:space="preserve">
      <c r="B26181" t="str" xml:space="preserve">
        <v xml:space="preserve">UBND Ủy ban nhân dân xã Lạc Lương _x000d_
 tỉnh Hòa Bình</v>
      </c>
      <c r="C26181" t="str">
        <v>-</v>
      </c>
      <c r="D26181" t="str">
        <v>-</v>
      </c>
      <c r="E26181" t="str">
        <v>-</v>
      </c>
      <c r="F26181" t="str">
        <v>-</v>
      </c>
      <c r="G26181" t="str">
        <v>-</v>
      </c>
    </row>
    <row r="26182" xml:space="preserve">
      <c r="B26182" t="str" xml:space="preserve">
        <v xml:space="preserve">Công an xã Lạc Long _x000d_
 tỉnh Hòa Bình</v>
      </c>
      <c r="C26182" t="str">
        <v>-</v>
      </c>
      <c r="D26182" t="str">
        <v>-</v>
      </c>
      <c r="E26182" t="str">
        <v/>
      </c>
      <c r="F26182" t="str">
        <v>-</v>
      </c>
      <c r="G26182" t="str">
        <v>-</v>
      </c>
    </row>
    <row r="26183" xml:space="preserve">
      <c r="B26183" t="str" xml:space="preserve">
        <v xml:space="preserve">UBND Ủy ban nhân dân xã Lạc Long _x000d_
 tỉnh Hòa Bình</v>
      </c>
      <c r="C26183" t="str">
        <v>-</v>
      </c>
      <c r="D26183" t="str">
        <v>-</v>
      </c>
      <c r="E26183" t="str">
        <v>-</v>
      </c>
      <c r="F26183" t="str">
        <v>-</v>
      </c>
      <c r="G26183" t="str">
        <v>-</v>
      </c>
    </row>
    <row r="26184" xml:space="preserve">
      <c r="B26184" t="str" xml:space="preserve">
        <v xml:space="preserve">Công an xã Lạc Thịnh _x000d_
 tỉnh Hòa Bình</v>
      </c>
      <c r="C26184" t="str">
        <v>-</v>
      </c>
      <c r="D26184" t="str">
        <v>-</v>
      </c>
      <c r="E26184" t="str">
        <v/>
      </c>
      <c r="F26184" t="str">
        <v>-</v>
      </c>
      <c r="G26184" t="str">
        <v>-</v>
      </c>
    </row>
    <row r="26185" xml:space="preserve">
      <c r="B26185" t="str" xml:space="preserve">
        <v xml:space="preserve">UBND Ủy ban nhân dân xã Lạc Thịnh _x000d_
 tỉnh Hòa Bình</v>
      </c>
      <c r="C26185" t="str">
        <v>-</v>
      </c>
      <c r="D26185" t="str">
        <v>-</v>
      </c>
      <c r="E26185" t="str">
        <v>-</v>
      </c>
      <c r="F26185" t="str">
        <v>-</v>
      </c>
      <c r="G26185" t="str">
        <v>-</v>
      </c>
    </row>
    <row r="26186">
      <c r="B26186" t="str">
        <v>Công an xã Lạc Vân  tỉnh Ninh Bình</v>
      </c>
      <c r="C26186" t="str">
        <v>-</v>
      </c>
      <c r="D26186" t="str">
        <v>-</v>
      </c>
      <c r="E26186" t="str">
        <v/>
      </c>
      <c r="F26186" t="str">
        <v>-</v>
      </c>
      <c r="G26186" t="str">
        <v>-</v>
      </c>
    </row>
    <row r="26187">
      <c r="B26187" t="str">
        <v>UBND Ủy ban nhân dân xã Lạc Vân  tỉnh Ninh Bình</v>
      </c>
      <c r="C26187" t="str">
        <v>-</v>
      </c>
      <c r="D26187" t="str">
        <v>-</v>
      </c>
      <c r="E26187" t="str">
        <v>-</v>
      </c>
      <c r="F26187" t="str">
        <v>-</v>
      </c>
      <c r="G26187" t="str">
        <v>-</v>
      </c>
    </row>
    <row r="26188">
      <c r="B26188" t="str">
        <v>Công an xã Lạc Vân  tỉnh Ninh Bình</v>
      </c>
      <c r="C26188" t="str">
        <v>-</v>
      </c>
      <c r="D26188" t="str">
        <v>-</v>
      </c>
      <c r="E26188" t="str">
        <v/>
      </c>
      <c r="F26188" t="str">
        <v>-</v>
      </c>
      <c r="G26188" t="str">
        <v>-</v>
      </c>
    </row>
    <row r="26189">
      <c r="B26189" t="str">
        <v>UBND Ủy ban nhân dân xã Lạc Vân  tỉnh Ninh Bình</v>
      </c>
      <c r="C26189" t="str">
        <v>-</v>
      </c>
      <c r="D26189" t="str">
        <v>-</v>
      </c>
      <c r="E26189" t="str">
        <v>-</v>
      </c>
      <c r="F26189" t="str">
        <v>-</v>
      </c>
      <c r="G26189" t="str">
        <v>-</v>
      </c>
    </row>
    <row r="26190">
      <c r="B26190" t="str">
        <v>Công an xã Lạng Phong tỉnh Ninh Bình</v>
      </c>
      <c r="C26190" t="str">
        <v>-</v>
      </c>
      <c r="D26190" t="str">
        <v>-</v>
      </c>
      <c r="E26190" t="str">
        <v/>
      </c>
      <c r="F26190" t="str">
        <v>-</v>
      </c>
      <c r="G26190" t="str">
        <v>-</v>
      </c>
    </row>
    <row r="26191">
      <c r="B26191" t="str">
        <v>UBND Ủy ban nhân dân xã Lạng Phong tỉnh Ninh Bình</v>
      </c>
      <c r="C26191" t="str">
        <v>-</v>
      </c>
      <c r="D26191" t="str">
        <v>-</v>
      </c>
      <c r="E26191" t="str">
        <v>-</v>
      </c>
      <c r="F26191" t="str">
        <v>-</v>
      </c>
      <c r="G26191" t="str">
        <v>-</v>
      </c>
    </row>
    <row r="26192">
      <c r="B26192" t="str">
        <v>Công an xã Lộc Châu tỉnh Lâm Đồng</v>
      </c>
      <c r="C26192" t="str">
        <v>-</v>
      </c>
      <c r="D26192" t="str">
        <v>-</v>
      </c>
      <c r="E26192" t="str">
        <v/>
      </c>
      <c r="F26192" t="str">
        <v>-</v>
      </c>
      <c r="G26192" t="str">
        <v>-</v>
      </c>
    </row>
    <row r="26193">
      <c r="B26193" t="str">
        <v>UBND Ủy ban nhân dân xã Lộc Châu tỉnh Lâm Đồng</v>
      </c>
      <c r="C26193" t="str">
        <v>-</v>
      </c>
      <c r="D26193" t="str">
        <v>-</v>
      </c>
      <c r="E26193" t="str">
        <v>-</v>
      </c>
      <c r="F26193" t="str">
        <v>-</v>
      </c>
      <c r="G26193" t="str">
        <v>-</v>
      </c>
    </row>
    <row r="26194">
      <c r="B26194" t="str">
        <v>Công an xã Lộc Sơn tỉnh Thanh Hóa</v>
      </c>
      <c r="C26194" t="str">
        <v>-</v>
      </c>
      <c r="D26194" t="str">
        <v>-</v>
      </c>
      <c r="E26194" t="str">
        <v/>
      </c>
      <c r="F26194" t="str">
        <v>-</v>
      </c>
      <c r="G26194" t="str">
        <v>-</v>
      </c>
    </row>
    <row r="26195">
      <c r="B26195" t="str">
        <v>UBND Ủy ban nhân dân xã Lộc Sơn tỉnh Thanh Hóa</v>
      </c>
      <c r="C26195" t="str">
        <v>-</v>
      </c>
      <c r="D26195" t="str">
        <v>-</v>
      </c>
      <c r="E26195" t="str">
        <v>-</v>
      </c>
      <c r="F26195" t="str">
        <v>-</v>
      </c>
      <c r="G26195" t="str">
        <v>-</v>
      </c>
    </row>
    <row r="26196" xml:space="preserve">
      <c r="B26196" t="str" xml:space="preserve">
        <v xml:space="preserve">Công an xã Lộc Thuận _x000d_
 tỉnh Bến Tre</v>
      </c>
      <c r="C26196" t="str">
        <v>-</v>
      </c>
      <c r="D26196" t="str">
        <v>-</v>
      </c>
      <c r="E26196" t="str">
        <v/>
      </c>
      <c r="F26196" t="str">
        <v>-</v>
      </c>
      <c r="G26196" t="str">
        <v>-</v>
      </c>
    </row>
    <row r="26197" xml:space="preserve">
      <c r="B26197" t="str" xml:space="preserve">
        <v xml:space="preserve">UBND Ủy ban nhân dân xã Lộc Thuận _x000d_
 tỉnh Bến Tre</v>
      </c>
      <c r="C26197" t="str">
        <v>-</v>
      </c>
      <c r="D26197" t="str">
        <v>-</v>
      </c>
      <c r="E26197" t="str">
        <v>-</v>
      </c>
      <c r="F26197" t="str">
        <v>-</v>
      </c>
      <c r="G26197" t="str">
        <v>-</v>
      </c>
    </row>
    <row r="26198" xml:space="preserve">
      <c r="B26198" t="str" xml:space="preserve">
        <v xml:space="preserve">Công an xã Lợi Thuận _x000d_
 tỉnh Bến Tre</v>
      </c>
      <c r="C26198" t="str">
        <v>-</v>
      </c>
      <c r="D26198" t="str">
        <v>-</v>
      </c>
      <c r="E26198" t="str">
        <v/>
      </c>
      <c r="F26198" t="str">
        <v>-</v>
      </c>
      <c r="G26198" t="str">
        <v>-</v>
      </c>
    </row>
    <row r="26199" xml:space="preserve">
      <c r="B26199" t="str" xml:space="preserve">
        <v xml:space="preserve">UBND Ủy ban nhân dân xã Lợi Thuận _x000d_
 tỉnh Bến Tre</v>
      </c>
      <c r="C26199" t="str">
        <v>-</v>
      </c>
      <c r="D26199" t="str">
        <v>-</v>
      </c>
      <c r="E26199" t="str">
        <v>-</v>
      </c>
      <c r="F26199" t="str">
        <v>-</v>
      </c>
      <c r="G26199" t="str">
        <v>-</v>
      </c>
    </row>
    <row r="26200">
      <c r="B26200" t="str">
        <v>Công an xã Lục Sơn tỉnh Bắc Giang</v>
      </c>
      <c r="C26200" t="str">
        <v>-</v>
      </c>
      <c r="D26200" t="str">
        <v>-</v>
      </c>
      <c r="E26200" t="str">
        <v/>
      </c>
      <c r="F26200" t="str">
        <v>-</v>
      </c>
      <c r="G26200" t="str">
        <v>-</v>
      </c>
    </row>
    <row r="26201">
      <c r="B26201" t="str">
        <v>UBND Ủy ban nhân dân xã Lục Sơn tỉnh Bắc Giang</v>
      </c>
      <c r="C26201" t="str">
        <v>-</v>
      </c>
      <c r="D26201" t="str">
        <v>-</v>
      </c>
      <c r="E26201" t="str">
        <v>-</v>
      </c>
      <c r="F26201" t="str">
        <v>-</v>
      </c>
      <c r="G26201" t="str">
        <v>-</v>
      </c>
    </row>
    <row r="26202">
      <c r="B26202" t="str">
        <v>Công an xã La Bằng tỉnh Thái Nguyên</v>
      </c>
      <c r="C26202" t="str">
        <v>-</v>
      </c>
      <c r="D26202" t="str">
        <v>-</v>
      </c>
      <c r="E26202" t="str">
        <v/>
      </c>
      <c r="F26202" t="str">
        <v>-</v>
      </c>
      <c r="G26202" t="str">
        <v>-</v>
      </c>
    </row>
    <row r="26203">
      <c r="B26203" t="str">
        <v>UBND Ủy ban nhân dân xã La Bằng tỉnh Thái Nguyên</v>
      </c>
      <c r="C26203" t="str">
        <v>-</v>
      </c>
      <c r="D26203" t="str">
        <v>-</v>
      </c>
      <c r="E26203" t="str">
        <v>-</v>
      </c>
      <c r="F26203" t="str">
        <v>-</v>
      </c>
      <c r="G26203" t="str">
        <v>-</v>
      </c>
    </row>
    <row r="26204">
      <c r="B26204" t="str">
        <v>Công an xã La Dê tỉnh Quảng Nam</v>
      </c>
      <c r="C26204" t="str">
        <v>-</v>
      </c>
      <c r="D26204" t="str">
        <v>-</v>
      </c>
      <c r="E26204" t="str">
        <v/>
      </c>
      <c r="F26204" t="str">
        <v>-</v>
      </c>
      <c r="G26204" t="str">
        <v>-</v>
      </c>
    </row>
    <row r="26205">
      <c r="B26205" t="str">
        <v>UBND Ủy ban nhân dân xã La Dê tỉnh Quảng Nam</v>
      </c>
      <c r="C26205" t="str">
        <v>-</v>
      </c>
      <c r="D26205" t="str">
        <v>-</v>
      </c>
      <c r="E26205" t="str">
        <v>-</v>
      </c>
      <c r="F26205" t="str">
        <v>-</v>
      </c>
      <c r="G26205" t="str">
        <v>-</v>
      </c>
    </row>
    <row r="26206">
      <c r="B26206" t="str">
        <v>Công an xã Lai Đồng tỉnh Phú Thọ</v>
      </c>
      <c r="C26206" t="str">
        <v>-</v>
      </c>
      <c r="D26206" t="str">
        <v>-</v>
      </c>
      <c r="E26206" t="str">
        <v/>
      </c>
      <c r="F26206" t="str">
        <v>-</v>
      </c>
      <c r="G26206" t="str">
        <v>-</v>
      </c>
    </row>
    <row r="26207">
      <c r="B26207" t="str">
        <v>UBND Ủy ban nhân dân xã Lai Đồng tỉnh Phú Thọ</v>
      </c>
      <c r="C26207" t="str">
        <v>-</v>
      </c>
      <c r="D26207" t="str">
        <v>-</v>
      </c>
      <c r="E26207" t="str">
        <v>-</v>
      </c>
      <c r="F26207" t="str">
        <v>-</v>
      </c>
      <c r="G26207" t="str">
        <v>-</v>
      </c>
    </row>
    <row r="26208">
      <c r="B26208" t="str">
        <v>Công an xã Lai Thành  tỉnh Ninh Bình</v>
      </c>
      <c r="C26208" t="str">
        <v>-</v>
      </c>
      <c r="D26208" t="str">
        <v>-</v>
      </c>
      <c r="E26208" t="str">
        <v/>
      </c>
      <c r="F26208" t="str">
        <v>-</v>
      </c>
      <c r="G26208" t="str">
        <v>-</v>
      </c>
    </row>
    <row r="26209">
      <c r="B26209" t="str">
        <v>UBND Ủy ban nhân dân xã Lai Thành  tỉnh Ninh Bình</v>
      </c>
      <c r="C26209" t="str">
        <v>-</v>
      </c>
      <c r="D26209" t="str">
        <v>-</v>
      </c>
      <c r="E26209" t="str">
        <v>-</v>
      </c>
      <c r="F26209" t="str">
        <v>-</v>
      </c>
      <c r="G26209" t="str">
        <v>-</v>
      </c>
    </row>
    <row r="26210" xml:space="preserve">
      <c r="B26210" t="str" xml:space="preserve">
        <v xml:space="preserve">Công an xã Lam Cốt _x000d_
 tỉnh Bắc Giang</v>
      </c>
      <c r="C26210" t="str">
        <v>-</v>
      </c>
      <c r="D26210" t="str">
        <v>-</v>
      </c>
      <c r="E26210" t="str">
        <v/>
      </c>
      <c r="F26210" t="str">
        <v>-</v>
      </c>
      <c r="G26210" t="str">
        <v>-</v>
      </c>
    </row>
    <row r="26211" xml:space="preserve">
      <c r="B26211" t="str" xml:space="preserve">
        <v xml:space="preserve">UBND Ủy ban nhân dân xã Lam Cốt _x000d_
 tỉnh Bắc Giang</v>
      </c>
      <c r="C26211" t="str">
        <v>-</v>
      </c>
      <c r="D26211" t="str">
        <v>-</v>
      </c>
      <c r="E26211" t="str">
        <v>-</v>
      </c>
      <c r="F26211" t="str">
        <v>-</v>
      </c>
      <c r="G26211" t="str">
        <v>-</v>
      </c>
    </row>
    <row r="26212">
      <c r="B26212" t="str">
        <v>Công an xã Lam Sơn tỉnh Thanh Hóa</v>
      </c>
      <c r="C26212" t="str">
        <v>-</v>
      </c>
      <c r="D26212" t="str">
        <v>-</v>
      </c>
      <c r="E26212" t="str">
        <v/>
      </c>
      <c r="F26212" t="str">
        <v>-</v>
      </c>
      <c r="G26212" t="str">
        <v>-</v>
      </c>
    </row>
    <row r="26213">
      <c r="B26213" t="str">
        <v>UBND Ủy ban nhân dân xã Lam Sơn tỉnh Thanh Hóa</v>
      </c>
      <c r="C26213" t="str">
        <v>-</v>
      </c>
      <c r="D26213" t="str">
        <v>-</v>
      </c>
      <c r="E26213" t="str">
        <v>-</v>
      </c>
      <c r="F26213" t="str">
        <v>-</v>
      </c>
      <c r="G26213" t="str">
        <v>-</v>
      </c>
    </row>
    <row r="26214" xml:space="preserve">
      <c r="B26214" t="str" xml:space="preserve">
        <v xml:space="preserve">Công an xã Lao Chải _x000d_
 tỉnh Hà Giang</v>
      </c>
      <c r="C26214" t="str">
        <v>-</v>
      </c>
      <c r="D26214" t="str">
        <v>-</v>
      </c>
      <c r="E26214" t="str">
        <v/>
      </c>
      <c r="F26214" t="str">
        <v>-</v>
      </c>
      <c r="G26214" t="str">
        <v>-</v>
      </c>
    </row>
    <row r="26215" xml:space="preserve">
      <c r="B26215" t="str" xml:space="preserve">
        <v xml:space="preserve">UBND Ủy ban nhân dân xã Lao Chải _x000d_
 tỉnh Hà Giang</v>
      </c>
      <c r="C26215" t="str">
        <v>-</v>
      </c>
      <c r="D26215" t="str">
        <v>-</v>
      </c>
      <c r="E26215" t="str">
        <v>-</v>
      </c>
      <c r="F26215" t="str">
        <v>-</v>
      </c>
      <c r="G26215" t="str">
        <v>-</v>
      </c>
    </row>
    <row r="26216" xml:space="preserve">
      <c r="B26216" t="str" xml:space="preserve">
        <v xml:space="preserve">Công an xã La Sơn _x000d_
 tỉnh Hà Nam</v>
      </c>
      <c r="C26216" t="str">
        <v>-</v>
      </c>
      <c r="D26216" t="str">
        <v>-</v>
      </c>
      <c r="E26216" t="str">
        <v/>
      </c>
      <c r="F26216" t="str">
        <v>-</v>
      </c>
      <c r="G26216" t="str">
        <v>-</v>
      </c>
    </row>
    <row r="26217" xml:space="preserve">
      <c r="B26217" t="str" xml:space="preserve">
        <v xml:space="preserve">UBND Ủy ban nhân dân xã La Sơn _x000d_
 tỉnh Hà Nam</v>
      </c>
      <c r="C26217" t="str">
        <v>-</v>
      </c>
      <c r="D26217" t="str">
        <v>-</v>
      </c>
      <c r="E26217" t="str">
        <v>-</v>
      </c>
      <c r="F26217" t="str">
        <v>-</v>
      </c>
      <c r="G26217" t="str">
        <v>-</v>
      </c>
    </row>
    <row r="26218">
      <c r="B26218" t="str">
        <v>Công an xã Lay Nưa tỉnh Điện Biên</v>
      </c>
      <c r="C26218" t="str">
        <v>-</v>
      </c>
      <c r="D26218" t="str">
        <v>-</v>
      </c>
      <c r="E26218" t="str">
        <v/>
      </c>
      <c r="F26218" t="str">
        <v>-</v>
      </c>
      <c r="G26218" t="str">
        <v>-</v>
      </c>
    </row>
    <row r="26219">
      <c r="B26219" t="str">
        <v>UBND Ủy ban nhân dân xã Lay Nưa tỉnh Điện Biên</v>
      </c>
      <c r="C26219" t="str">
        <v>-</v>
      </c>
      <c r="D26219" t="str">
        <v>-</v>
      </c>
      <c r="E26219" t="str">
        <v>-</v>
      </c>
      <c r="F26219" t="str">
        <v>-</v>
      </c>
      <c r="G26219" t="str">
        <v>-</v>
      </c>
    </row>
    <row r="26220" xml:space="preserve">
      <c r="B26220" t="str" xml:space="preserve">
        <v xml:space="preserve">Công an xã Liêm Phong _x000d_
 tỉnh Hà Nam</v>
      </c>
      <c r="C26220" t="str">
        <v>-</v>
      </c>
      <c r="D26220" t="str">
        <v>-</v>
      </c>
      <c r="E26220" t="str">
        <v/>
      </c>
      <c r="F26220" t="str">
        <v>-</v>
      </c>
      <c r="G26220" t="str">
        <v>-</v>
      </c>
    </row>
    <row r="26221" xml:space="preserve">
      <c r="B26221" t="str" xml:space="preserve">
        <v xml:space="preserve">UBND Ủy ban nhân dân xã Liêm Phong _x000d_
 tỉnh Hà Nam</v>
      </c>
      <c r="C26221" t="str">
        <v>-</v>
      </c>
      <c r="D26221" t="str">
        <v>-</v>
      </c>
      <c r="E26221" t="str">
        <v>-</v>
      </c>
      <c r="F26221" t="str">
        <v>-</v>
      </c>
      <c r="G26221" t="str">
        <v>-</v>
      </c>
    </row>
    <row r="26222" xml:space="preserve">
      <c r="B26222" t="str" xml:space="preserve">
        <v xml:space="preserve">Công an xã Liêm Tuyền _x000d_
 tỉnh Hà Nam</v>
      </c>
      <c r="C26222" t="str">
        <v>-</v>
      </c>
      <c r="D26222" t="str">
        <v>-</v>
      </c>
      <c r="E26222" t="str">
        <v/>
      </c>
      <c r="F26222" t="str">
        <v>-</v>
      </c>
      <c r="G26222" t="str">
        <v>-</v>
      </c>
    </row>
    <row r="26223" xml:space="preserve">
      <c r="B26223" t="str" xml:space="preserve">
        <v xml:space="preserve">UBND Ủy ban nhân dân xã Liêm Tuyền _x000d_
 tỉnh Hà Nam</v>
      </c>
      <c r="C26223" t="str">
        <v>-</v>
      </c>
      <c r="D26223" t="str">
        <v>-</v>
      </c>
      <c r="E26223" t="str">
        <v>-</v>
      </c>
      <c r="F26223" t="str">
        <v>-</v>
      </c>
      <c r="G26223" t="str">
        <v>-</v>
      </c>
    </row>
    <row r="26224" xml:space="preserve">
      <c r="B26224" t="str" xml:space="preserve">
        <v xml:space="preserve">Công an thị trấn Ngãi Giao _x000d_
 tỉnh Bà Rịa - Vũng Tàu</v>
      </c>
      <c r="C26224" t="str">
        <v>-</v>
      </c>
      <c r="D26224" t="str">
        <v>-</v>
      </c>
      <c r="E26224" t="str">
        <v/>
      </c>
      <c r="F26224" t="str">
        <v>-</v>
      </c>
      <c r="G26224" t="str">
        <v>-</v>
      </c>
    </row>
    <row r="26225" xml:space="preserve">
      <c r="B26225" t="str" xml:space="preserve">
        <v xml:space="preserve">UBND Ủy ban nhân dân thị trấn Ngãi Giao _x000d_
 tỉnh Bà Rịa - Vũng Tàu</v>
      </c>
      <c r="C26225" t="str">
        <v>-</v>
      </c>
      <c r="D26225" t="str">
        <v>-</v>
      </c>
      <c r="E26225" t="str">
        <v>-</v>
      </c>
      <c r="F26225" t="str">
        <v>-</v>
      </c>
      <c r="G26225" t="str">
        <v>-</v>
      </c>
    </row>
    <row r="26226" xml:space="preserve">
      <c r="B26226" t="str" xml:space="preserve">
        <v xml:space="preserve">Công an thị trấn Phước Bửu _x000d_
 tỉnh Bà Rịa - Vũng Tàu</v>
      </c>
      <c r="C26226" t="str">
        <v>-</v>
      </c>
      <c r="D26226" t="str">
        <v>-</v>
      </c>
      <c r="E26226" t="str">
        <v/>
      </c>
      <c r="F26226" t="str">
        <v>-</v>
      </c>
      <c r="G26226" t="str">
        <v>-</v>
      </c>
    </row>
    <row r="26227" xml:space="preserve">
      <c r="B26227" t="str" xml:space="preserve">
        <v xml:space="preserve">UBND Ủy ban nhân dân thị trấn Phước Bửu _x000d_
 tỉnh Bà Rịa - Vũng Tàu</v>
      </c>
      <c r="C26227" t="str">
        <v>-</v>
      </c>
      <c r="D26227" t="str">
        <v>-</v>
      </c>
      <c r="E26227" t="str">
        <v>-</v>
      </c>
      <c r="F26227" t="str">
        <v>-</v>
      </c>
      <c r="G26227" t="str">
        <v>-</v>
      </c>
    </row>
    <row r="26228">
      <c r="B26228" t="str">
        <v>Công an thị trấn Long Điền tỉnh Bà Rịa - Vũng Tàu</v>
      </c>
      <c r="C26228" t="str">
        <v>-</v>
      </c>
      <c r="D26228" t="str">
        <v>-</v>
      </c>
      <c r="E26228" t="str">
        <v/>
      </c>
      <c r="F26228" t="str">
        <v>-</v>
      </c>
      <c r="G26228" t="str">
        <v>-</v>
      </c>
    </row>
    <row r="26229">
      <c r="B26229" t="str">
        <v>UBND Ủy ban nhân dân thị trấn Long Điền tỉnh Bà Rịa - Vũng Tàu</v>
      </c>
      <c r="C26229" t="str">
        <v>-</v>
      </c>
      <c r="D26229" t="str">
        <v>-</v>
      </c>
      <c r="E26229" t="str">
        <v>-</v>
      </c>
      <c r="F26229" t="str">
        <v>-</v>
      </c>
      <c r="G26229" t="str">
        <v>-</v>
      </c>
    </row>
    <row r="26230" xml:space="preserve">
      <c r="B26230" t="str" xml:space="preserve">
        <v xml:space="preserve">Công an thị trấn Long Hải _x000d_
 tỉnh Bà Rịa - Vũng Tàu</v>
      </c>
      <c r="C26230" t="str">
        <v>-</v>
      </c>
      <c r="D26230" t="str">
        <v>-</v>
      </c>
      <c r="E26230" t="str">
        <v/>
      </c>
      <c r="F26230" t="str">
        <v>-</v>
      </c>
      <c r="G26230" t="str">
        <v>-</v>
      </c>
    </row>
    <row r="26231" xml:space="preserve">
      <c r="B26231" t="str" xml:space="preserve">
        <v xml:space="preserve">UBND Ủy ban nhân dân thị trấn Long Hải _x000d_
 tỉnh Bà Rịa - Vũng Tàu</v>
      </c>
      <c r="C26231" t="str">
        <v>-</v>
      </c>
      <c r="D26231" t="str">
        <v>-</v>
      </c>
      <c r="E26231" t="str">
        <v>-</v>
      </c>
      <c r="F26231" t="str">
        <v>-</v>
      </c>
      <c r="G26231" t="str">
        <v>-</v>
      </c>
    </row>
    <row r="26232" xml:space="preserve">
      <c r="B26232" t="str" xml:space="preserve">
        <v xml:space="preserve">Công an thị trấn Phước Hải _x000d_
 tỉnh Bà Rịa - Vũng Tàu</v>
      </c>
      <c r="C26232" t="str">
        <v>-</v>
      </c>
      <c r="D26232" t="str">
        <v>-</v>
      </c>
      <c r="E26232" t="str">
        <v/>
      </c>
      <c r="F26232" t="str">
        <v>-</v>
      </c>
      <c r="G26232" t="str">
        <v>-</v>
      </c>
    </row>
    <row r="26233" xml:space="preserve">
      <c r="B26233" t="str" xml:space="preserve">
        <v xml:space="preserve">UBND Ủy ban nhân dân thị trấn Phước Hải _x000d_
 tỉnh Bà Rịa - Vũng Tàu</v>
      </c>
      <c r="C26233" t="str">
        <v>-</v>
      </c>
      <c r="D26233" t="str">
        <v>-</v>
      </c>
      <c r="E26233" t="str">
        <v>-</v>
      </c>
      <c r="F26233" t="str">
        <v>-</v>
      </c>
      <c r="G26233" t="str">
        <v>-</v>
      </c>
    </row>
    <row r="26234" xml:space="preserve">
      <c r="B26234" t="str" xml:space="preserve">
        <v xml:space="preserve">Công an thị trấn An Phú _x000d_
 tỉnh An Giang</v>
      </c>
      <c r="C26234" t="str">
        <v>-</v>
      </c>
      <c r="D26234" t="str">
        <v>-</v>
      </c>
      <c r="E26234" t="str">
        <v/>
      </c>
      <c r="F26234" t="str">
        <v>-</v>
      </c>
      <c r="G26234" t="str">
        <v>-</v>
      </c>
    </row>
    <row r="26235" xml:space="preserve">
      <c r="B26235" t="str" xml:space="preserve">
        <v xml:space="preserve">UBND Ủy ban nhân dân thị trấn An Phú _x000d_
 tỉnh An Giang</v>
      </c>
      <c r="C26235" t="str">
        <v>-</v>
      </c>
      <c r="D26235" t="str">
        <v>-</v>
      </c>
      <c r="E26235" t="str">
        <v>-</v>
      </c>
      <c r="F26235" t="str">
        <v>-</v>
      </c>
      <c r="G26235" t="str">
        <v>-</v>
      </c>
    </row>
    <row r="26236">
      <c r="B26236" t="str">
        <v>Công an thị trấn Cái Dầu tỉnh An Giang</v>
      </c>
      <c r="C26236" t="str">
        <v>-</v>
      </c>
      <c r="D26236" t="str">
        <v>-</v>
      </c>
      <c r="E26236" t="str">
        <v/>
      </c>
      <c r="F26236" t="str">
        <v>-</v>
      </c>
      <c r="G26236" t="str">
        <v>-</v>
      </c>
    </row>
    <row r="26237">
      <c r="B26237" t="str">
        <v>UBND Ủy ban nhân dân thị trấn Cái Dầu tỉnh An Giang</v>
      </c>
      <c r="C26237" t="str">
        <v>-</v>
      </c>
      <c r="D26237" t="str">
        <v>-</v>
      </c>
      <c r="E26237" t="str">
        <v>-</v>
      </c>
      <c r="F26237" t="str">
        <v>-</v>
      </c>
      <c r="G26237" t="str">
        <v>-</v>
      </c>
    </row>
    <row r="26238" xml:space="preserve">
      <c r="B26238" t="str" xml:space="preserve">
        <v xml:space="preserve">Công an thị trấn Ngan Dừa _x000d_
 tỉnh Bạc Liêu</v>
      </c>
      <c r="C26238" t="str">
        <v>-</v>
      </c>
      <c r="D26238" t="str">
        <v>-</v>
      </c>
      <c r="E26238" t="str">
        <v/>
      </c>
      <c r="F26238" t="str">
        <v>-</v>
      </c>
      <c r="G26238" t="str">
        <v>-</v>
      </c>
    </row>
    <row r="26239" xml:space="preserve">
      <c r="B26239" t="str" xml:space="preserve">
        <v xml:space="preserve">UBND Ủy ban nhân dân thị trấn Ngan Dừa _x000d_
 tỉnh Bạc Liêu</v>
      </c>
      <c r="C26239" t="str">
        <v>-</v>
      </c>
      <c r="D26239" t="str">
        <v>-</v>
      </c>
      <c r="E26239" t="str">
        <v>-</v>
      </c>
      <c r="F26239" t="str">
        <v>-</v>
      </c>
      <c r="G26239" t="str">
        <v>-</v>
      </c>
    </row>
    <row r="26240" xml:space="preserve">
      <c r="B26240" t="str" xml:space="preserve">
        <v xml:space="preserve">Công an thị trấn Phước Long _x000d_
 tỉnh Bạc Liêu</v>
      </c>
      <c r="C26240" t="str">
        <v>-</v>
      </c>
      <c r="D26240" t="str">
        <v>-</v>
      </c>
      <c r="E26240" t="str">
        <v/>
      </c>
      <c r="F26240" t="str">
        <v>-</v>
      </c>
      <c r="G26240" t="str">
        <v>-</v>
      </c>
    </row>
    <row r="26241" xml:space="preserve">
      <c r="B26241" t="str" xml:space="preserve">
        <v xml:space="preserve">UBND Ủy ban nhân dân thị trấn Phước Long _x000d_
 tỉnh Bạc Liêu</v>
      </c>
      <c r="C26241" t="str">
        <v>-</v>
      </c>
      <c r="D26241" t="str">
        <v>-</v>
      </c>
      <c r="E26241" t="str">
        <v>-</v>
      </c>
      <c r="F26241" t="str">
        <v>-</v>
      </c>
      <c r="G26241" t="str">
        <v>-</v>
      </c>
    </row>
    <row r="26242" xml:space="preserve">
      <c r="B26242" t="str" xml:space="preserve">
        <v xml:space="preserve">Công an thị trấn Gành Hào _x000d_
 tỉnh Bạc Liêu</v>
      </c>
      <c r="C26242" t="str">
        <v>-</v>
      </c>
      <c r="D26242" t="str">
        <v>-</v>
      </c>
      <c r="E26242" t="str">
        <v/>
      </c>
      <c r="F26242" t="str">
        <v>-</v>
      </c>
      <c r="G26242" t="str">
        <v>-</v>
      </c>
    </row>
    <row r="26243" xml:space="preserve">
      <c r="B26243" t="str" xml:space="preserve">
        <v xml:space="preserve">UBND Ủy ban nhân dân thị trấn Gành Hào _x000d_
 tỉnh Bạc Liêu</v>
      </c>
      <c r="C26243" t="str">
        <v>-</v>
      </c>
      <c r="D26243" t="str">
        <v>-</v>
      </c>
      <c r="E26243" t="str">
        <v>-</v>
      </c>
      <c r="F26243" t="str">
        <v>-</v>
      </c>
      <c r="G26243" t="str">
        <v>-</v>
      </c>
    </row>
    <row r="26244" xml:space="preserve">
      <c r="B26244" t="str" xml:space="preserve">
        <v xml:space="preserve">Công an thị trấn Hoà Bình _x000d_
 tỉnh Bạc Liêu</v>
      </c>
      <c r="C26244" t="str">
        <v>-</v>
      </c>
      <c r="D26244" t="str">
        <v>-</v>
      </c>
      <c r="E26244" t="str">
        <v/>
      </c>
      <c r="F26244" t="str">
        <v>-</v>
      </c>
      <c r="G26244" t="str">
        <v>-</v>
      </c>
    </row>
    <row r="26245" xml:space="preserve">
      <c r="B26245" t="str" xml:space="preserve">
        <v xml:space="preserve">UBND Ủy ban nhân dân thị trấn Hoà Bình _x000d_
 tỉnh Bạc Liêu</v>
      </c>
      <c r="C26245" t="str">
        <v>-</v>
      </c>
      <c r="D26245" t="str">
        <v>-</v>
      </c>
      <c r="E26245" t="str">
        <v>-</v>
      </c>
      <c r="F26245" t="str">
        <v>-</v>
      </c>
      <c r="G26245" t="str">
        <v>-</v>
      </c>
    </row>
    <row r="26246">
      <c r="B26246" t="str">
        <v>Công an thị trấn Châu Thành tỉnh Bến Tre</v>
      </c>
      <c r="C26246" t="str">
        <v>-</v>
      </c>
      <c r="D26246" t="str">
        <v>-</v>
      </c>
      <c r="E26246" t="str">
        <v/>
      </c>
      <c r="F26246" t="str">
        <v>-</v>
      </c>
      <c r="G26246" t="str">
        <v>-</v>
      </c>
    </row>
    <row r="26247">
      <c r="B26247" t="str">
        <v>UBND Ủy ban nhân dân thị trấn Châu Thành tỉnh Bến Tre</v>
      </c>
      <c r="C26247" t="str">
        <v>-</v>
      </c>
      <c r="D26247" t="str">
        <v>-</v>
      </c>
      <c r="E26247" t="str">
        <v>-</v>
      </c>
      <c r="F26247" t="str">
        <v>-</v>
      </c>
      <c r="G26247" t="str">
        <v>-</v>
      </c>
    </row>
    <row r="26248" xml:space="preserve">
      <c r="B26248" t="str" xml:space="preserve">
        <v xml:space="preserve">Công an thị trấn Mỏ Cày _x000d_
 tỉnh Bến Tre</v>
      </c>
      <c r="C26248" t="str">
        <v>-</v>
      </c>
      <c r="D26248" t="str">
        <v>-</v>
      </c>
      <c r="E26248" t="str">
        <v/>
      </c>
      <c r="F26248" t="str">
        <v>-</v>
      </c>
      <c r="G26248" t="str">
        <v>-</v>
      </c>
    </row>
    <row r="26249" xml:space="preserve">
      <c r="B26249" t="str" xml:space="preserve">
        <v xml:space="preserve">UBND Ủy ban nhân dân thị trấn Mỏ Cày _x000d_
 tỉnh Bến Tre</v>
      </c>
      <c r="C26249" t="str">
        <v>-</v>
      </c>
      <c r="D26249" t="str">
        <v>-</v>
      </c>
      <c r="E26249" t="str">
        <v>-</v>
      </c>
      <c r="F26249" t="str">
        <v>-</v>
      </c>
      <c r="G26249" t="str">
        <v>-</v>
      </c>
    </row>
    <row r="26250" xml:space="preserve">
      <c r="B26250" t="str" xml:space="preserve">
        <v xml:space="preserve">Công an thị trấn Giồng Trôm _x000d_
 tỉnh Bến Tre</v>
      </c>
      <c r="C26250" t="str">
        <v>-</v>
      </c>
      <c r="D26250" t="str">
        <v>-</v>
      </c>
      <c r="E26250" t="str">
        <v/>
      </c>
      <c r="F26250" t="str">
        <v>-</v>
      </c>
      <c r="G26250" t="str">
        <v>-</v>
      </c>
    </row>
    <row r="26251" xml:space="preserve">
      <c r="B26251" t="str" xml:space="preserve">
        <v xml:space="preserve">UBND Ủy ban nhân dân thị trấn Giồng Trôm _x000d_
 tỉnh Bến Tre</v>
      </c>
      <c r="C26251" t="str">
        <v>-</v>
      </c>
      <c r="D26251" t="str">
        <v>-</v>
      </c>
      <c r="E26251" t="str">
        <v>-</v>
      </c>
      <c r="F26251" t="str">
        <v>-</v>
      </c>
      <c r="G26251" t="str">
        <v>-</v>
      </c>
    </row>
    <row r="26252" xml:space="preserve">
      <c r="B26252" t="str" xml:space="preserve">
        <v xml:space="preserve">Công an thị trấn Bình Đại _x000d_
 tỉnh Bến Tre</v>
      </c>
      <c r="C26252" t="str">
        <v>-</v>
      </c>
      <c r="D26252" t="str">
        <v>-</v>
      </c>
      <c r="E26252" t="str">
        <v/>
      </c>
      <c r="F26252" t="str">
        <v>-</v>
      </c>
      <c r="G26252" t="str">
        <v>-</v>
      </c>
    </row>
    <row r="26253" xml:space="preserve">
      <c r="B26253" t="str" xml:space="preserve">
        <v xml:space="preserve">UBND Ủy ban nhân dân thị trấn Bình Đại _x000d_
 tỉnh Bến Tre</v>
      </c>
      <c r="C26253" t="str">
        <v>-</v>
      </c>
      <c r="D26253" t="str">
        <v>-</v>
      </c>
      <c r="E26253" t="str">
        <v>-</v>
      </c>
      <c r="F26253" t="str">
        <v>-</v>
      </c>
      <c r="G26253" t="str">
        <v>-</v>
      </c>
    </row>
    <row r="26254">
      <c r="B26254" t="str">
        <v>Công an thị trấn Thạnh Phú tỉnh Bến Tre</v>
      </c>
      <c r="C26254" t="str">
        <v>-</v>
      </c>
      <c r="D26254" t="str">
        <v>-</v>
      </c>
      <c r="E26254" t="str">
        <v/>
      </c>
      <c r="F26254" t="str">
        <v>-</v>
      </c>
      <c r="G26254" t="str">
        <v>-</v>
      </c>
    </row>
    <row r="26255">
      <c r="B26255" t="str">
        <v>UBND Ủy ban nhân dân thị trấn Thạnh Phú tỉnh Bến Tre</v>
      </c>
      <c r="C26255" t="str">
        <v>-</v>
      </c>
      <c r="D26255" t="str">
        <v>-</v>
      </c>
      <c r="E26255" t="str">
        <v>-</v>
      </c>
      <c r="F26255" t="str">
        <v>-</v>
      </c>
      <c r="G26255" t="str">
        <v>-</v>
      </c>
    </row>
    <row r="26256" xml:space="preserve">
      <c r="B26256" t="str" xml:space="preserve">
        <v xml:space="preserve">Công an thị trấn Vĩnh Thạnh _x000d_
 thành phố Cần Thơ</v>
      </c>
      <c r="C26256" t="str">
        <v>-</v>
      </c>
      <c r="D26256" t="str">
        <v>-</v>
      </c>
      <c r="E26256" t="str">
        <v/>
      </c>
      <c r="F26256" t="str">
        <v>-</v>
      </c>
      <c r="G26256" t="str">
        <v>-</v>
      </c>
    </row>
    <row r="26257" xml:space="preserve">
      <c r="B26257" t="str" xml:space="preserve">
        <v xml:space="preserve">UBND Ủy ban nhân dân thị trấn Vĩnh Thạnh _x000d_
 thành phố Cần Thơ</v>
      </c>
      <c r="C26257" t="str">
        <v>-</v>
      </c>
      <c r="D26257" t="str">
        <v>-</v>
      </c>
      <c r="E26257" t="str">
        <v>-</v>
      </c>
      <c r="F26257" t="str">
        <v>-</v>
      </c>
      <c r="G26257" t="str">
        <v>-</v>
      </c>
    </row>
    <row r="26258" xml:space="preserve">
      <c r="B26258" t="str" xml:space="preserve">
        <v xml:space="preserve">Công an thị trấn Cờ Đỏ _x000d_
 thành phố Cần Thơ</v>
      </c>
      <c r="C26258" t="str">
        <v>-</v>
      </c>
      <c r="D26258" t="str">
        <v>-</v>
      </c>
      <c r="E26258" t="str">
        <v/>
      </c>
      <c r="F26258" t="str">
        <v>-</v>
      </c>
      <c r="G26258" t="str">
        <v>-</v>
      </c>
    </row>
    <row r="26259" xml:space="preserve">
      <c r="B26259" t="str" xml:space="preserve">
        <v xml:space="preserve">UBND Ủy ban nhân dân thị trấn Cờ Đỏ _x000d_
 thành phố Cần Thơ</v>
      </c>
      <c r="C26259" t="str">
        <v>-</v>
      </c>
      <c r="D26259" t="str">
        <v>-</v>
      </c>
      <c r="E26259" t="str">
        <v>-</v>
      </c>
      <c r="F26259" t="str">
        <v>-</v>
      </c>
      <c r="G26259" t="str">
        <v>-</v>
      </c>
    </row>
    <row r="26260" xml:space="preserve">
      <c r="B26260" t="str" xml:space="preserve">
        <v xml:space="preserve">Công an thị trấn Vĩnh Thạnh _x000d_
 thành phố Cần Thơ</v>
      </c>
      <c r="C26260" t="str">
        <v>-</v>
      </c>
      <c r="D26260" t="str">
        <v>-</v>
      </c>
      <c r="E26260" t="str">
        <v/>
      </c>
      <c r="F26260" t="str">
        <v>-</v>
      </c>
      <c r="G26260" t="str">
        <v>-</v>
      </c>
    </row>
    <row r="26261" xml:space="preserve">
      <c r="B26261" t="str" xml:space="preserve">
        <v xml:space="preserve">UBND Ủy ban nhân dân thị trấn Vĩnh Thạnh _x000d_
 thành phố Cần Thơ</v>
      </c>
      <c r="C26261" t="str">
        <v>-</v>
      </c>
      <c r="D26261" t="str">
        <v>-</v>
      </c>
      <c r="E26261" t="str">
        <v>-</v>
      </c>
      <c r="F26261" t="str">
        <v>-</v>
      </c>
      <c r="G26261" t="str">
        <v>-</v>
      </c>
    </row>
    <row r="26262" xml:space="preserve">
      <c r="B26262" t="str" xml:space="preserve">
        <v xml:space="preserve">Công an thị trấn Phù Mỹ _x000d_
 tỉnh Bình Định</v>
      </c>
      <c r="C26262" t="str">
        <v>-</v>
      </c>
      <c r="D26262" t="str">
        <v>-</v>
      </c>
      <c r="E26262" t="str">
        <v/>
      </c>
      <c r="F26262" t="str">
        <v>-</v>
      </c>
      <c r="G26262" t="str">
        <v>-</v>
      </c>
    </row>
    <row r="26263" xml:space="preserve">
      <c r="B26263" t="str" xml:space="preserve">
        <v xml:space="preserve">UBND Ủy ban nhân dân thị trấn Phù Mỹ _x000d_
 tỉnh Bình Định</v>
      </c>
      <c r="C26263" t="str">
        <v>-</v>
      </c>
      <c r="D26263" t="str">
        <v>-</v>
      </c>
      <c r="E26263" t="str">
        <v>-</v>
      </c>
      <c r="F26263" t="str">
        <v>-</v>
      </c>
      <c r="G26263" t="str">
        <v>-</v>
      </c>
    </row>
    <row r="26264" xml:space="preserve">
      <c r="B26264" t="str" xml:space="preserve">
        <v xml:space="preserve">Công an thị trấn Vĩnh Thạnh _x000d_
 tỉnh Bình Định</v>
      </c>
      <c r="C26264" t="str">
        <v>-</v>
      </c>
      <c r="D26264" t="str">
        <v>-</v>
      </c>
      <c r="E26264" t="str">
        <v/>
      </c>
      <c r="F26264" t="str">
        <v>-</v>
      </c>
      <c r="G26264" t="str">
        <v>-</v>
      </c>
    </row>
    <row r="26265" xml:space="preserve">
      <c r="B26265" t="str" xml:space="preserve">
        <v xml:space="preserve">UBND Ủy ban nhân dân thị trấn Vĩnh Thạnh _x000d_
 tỉnh Bình Định</v>
      </c>
      <c r="C26265" t="str">
        <v>-</v>
      </c>
      <c r="D26265" t="str">
        <v>-</v>
      </c>
      <c r="E26265" t="str">
        <v>-</v>
      </c>
      <c r="F26265" t="str">
        <v>-</v>
      </c>
      <c r="G26265" t="str">
        <v>-</v>
      </c>
    </row>
    <row r="26266" xml:space="preserve">
      <c r="B26266" t="str" xml:space="preserve">
        <v xml:space="preserve">Công an thị trấn Phú Phong _x000d_
 tỉnh Bình Định</v>
      </c>
      <c r="C26266" t="str">
        <v>-</v>
      </c>
      <c r="D26266" t="str">
        <v>-</v>
      </c>
      <c r="E26266" t="str">
        <v/>
      </c>
      <c r="F26266" t="str">
        <v>-</v>
      </c>
      <c r="G26266" t="str">
        <v>-</v>
      </c>
    </row>
    <row r="26267" xml:space="preserve">
      <c r="B26267" t="str" xml:space="preserve">
        <v xml:space="preserve">UBND Ủy ban nhân dân thị trấn Phú Phong _x000d_
 tỉnh Bình Định</v>
      </c>
      <c r="C26267" t="str">
        <v>-</v>
      </c>
      <c r="D26267" t="str">
        <v>-</v>
      </c>
      <c r="E26267" t="str">
        <v>-</v>
      </c>
      <c r="F26267" t="str">
        <v>-</v>
      </c>
      <c r="G26267" t="str">
        <v>-</v>
      </c>
    </row>
    <row r="26268">
      <c r="B26268" t="str">
        <v>Công an thị trấn Tuy Phước tỉnh Bình Định</v>
      </c>
      <c r="C26268" t="str">
        <v>-</v>
      </c>
      <c r="D26268" t="str">
        <v>-</v>
      </c>
      <c r="E26268" t="str">
        <v/>
      </c>
      <c r="F26268" t="str">
        <v>-</v>
      </c>
      <c r="G26268" t="str">
        <v>-</v>
      </c>
    </row>
    <row r="26269">
      <c r="B26269" t="str">
        <v>UBND Ủy ban nhân dân thị trấn Tuy Phước tỉnh Bình Định</v>
      </c>
      <c r="C26269" t="str">
        <v>-</v>
      </c>
      <c r="D26269" t="str">
        <v>-</v>
      </c>
      <c r="E26269" t="str">
        <v>-</v>
      </c>
      <c r="F26269" t="str">
        <v>-</v>
      </c>
      <c r="G26269" t="str">
        <v>-</v>
      </c>
    </row>
    <row r="26270">
      <c r="B26270" t="str">
        <v>Công an thị trấn Diêu Trì tỉnh Bình Định</v>
      </c>
      <c r="C26270" t="str">
        <v>-</v>
      </c>
      <c r="D26270" t="str">
        <v>-</v>
      </c>
      <c r="E26270" t="str">
        <v/>
      </c>
      <c r="F26270" t="str">
        <v>-</v>
      </c>
      <c r="G26270" t="str">
        <v>-</v>
      </c>
    </row>
    <row r="26271">
      <c r="B26271" t="str">
        <v>UBND Ủy ban nhân dân thị trấn Diêu Trì tỉnh Bình Định</v>
      </c>
      <c r="C26271" t="str">
        <v>-</v>
      </c>
      <c r="D26271" t="str">
        <v>-</v>
      </c>
      <c r="E26271" t="str">
        <v>-</v>
      </c>
      <c r="F26271" t="str">
        <v>-</v>
      </c>
      <c r="G26271" t="str">
        <v>-</v>
      </c>
    </row>
    <row r="26272" xml:space="preserve">
      <c r="B26272" t="str" xml:space="preserve">
        <v xml:space="preserve">Công an thị trấn Vân Canh _x000d_
 tỉnh Bình Định</v>
      </c>
      <c r="C26272" t="str">
        <v>-</v>
      </c>
      <c r="D26272" t="str">
        <v>-</v>
      </c>
      <c r="E26272" t="str">
        <v/>
      </c>
      <c r="F26272" t="str">
        <v>-</v>
      </c>
      <c r="G26272" t="str">
        <v>-</v>
      </c>
    </row>
    <row r="26273" xml:space="preserve">
      <c r="B26273" t="str" xml:space="preserve">
        <v xml:space="preserve">UBND Ủy ban nhân dân thị trấn Vân Canh _x000d_
 tỉnh Bình Định</v>
      </c>
      <c r="C26273" t="str">
        <v>-</v>
      </c>
      <c r="D26273" t="str">
        <v>-</v>
      </c>
      <c r="E26273" t="str">
        <v>-</v>
      </c>
      <c r="F26273" t="str">
        <v>-</v>
      </c>
      <c r="G26273" t="str">
        <v>-</v>
      </c>
    </row>
    <row r="26274" xml:space="preserve">
      <c r="B26274" t="str" xml:space="preserve">
        <v xml:space="preserve">Công an thị trấn Lộc Ninh _x000d_
 tỉnh Bình Phước</v>
      </c>
      <c r="C26274" t="str">
        <v>-</v>
      </c>
      <c r="D26274" t="str">
        <v>-</v>
      </c>
      <c r="E26274" t="str">
        <v/>
      </c>
      <c r="F26274" t="str">
        <v>-</v>
      </c>
      <c r="G26274" t="str">
        <v>-</v>
      </c>
    </row>
    <row r="26275" xml:space="preserve">
      <c r="B26275" t="str" xml:space="preserve">
        <v xml:space="preserve">UBND Ủy ban nhân dân thị trấn Lộc Ninh _x000d_
 tỉnh Bình Phước</v>
      </c>
      <c r="C26275" t="str">
        <v>-</v>
      </c>
      <c r="D26275" t="str">
        <v>-</v>
      </c>
      <c r="E26275" t="str">
        <v>-</v>
      </c>
      <c r="F26275" t="str">
        <v>-</v>
      </c>
      <c r="G26275" t="str">
        <v>-</v>
      </c>
    </row>
    <row r="26276">
      <c r="B26276" t="str">
        <v>Công an thị trấn Tân Phú tỉnh Bình Phước</v>
      </c>
      <c r="C26276" t="str">
        <v>-</v>
      </c>
      <c r="D26276" t="str">
        <v>-</v>
      </c>
      <c r="E26276" t="str">
        <v/>
      </c>
      <c r="F26276" t="str">
        <v>-</v>
      </c>
      <c r="G26276" t="str">
        <v>-</v>
      </c>
    </row>
    <row r="26277">
      <c r="B26277" t="str">
        <v>UBND Ủy ban nhân dân thị trấn Tân Phú tỉnh Bình Phước</v>
      </c>
      <c r="C26277" t="str">
        <v>-</v>
      </c>
      <c r="D26277" t="str">
        <v>-</v>
      </c>
      <c r="E26277" t="str">
        <v>-</v>
      </c>
      <c r="F26277" t="str">
        <v>-</v>
      </c>
      <c r="G26277" t="str">
        <v>-</v>
      </c>
    </row>
    <row r="26278" xml:space="preserve">
      <c r="B26278" t="str" xml:space="preserve">
        <v xml:space="preserve">Công an thị trấn Đức Phong _x000d_
 tỉnh Bình Phước</v>
      </c>
      <c r="C26278" t="str">
        <v>-</v>
      </c>
      <c r="D26278" t="str">
        <v>-</v>
      </c>
      <c r="E26278" t="str">
        <v/>
      </c>
      <c r="F26278" t="str">
        <v>-</v>
      </c>
      <c r="G26278" t="str">
        <v>-</v>
      </c>
    </row>
    <row r="26279" xml:space="preserve">
      <c r="B26279" t="str" xml:space="preserve">
        <v xml:space="preserve">UBND Ủy ban nhân dân thị trấn Đức Phong _x000d_
 tỉnh Bình Phước</v>
      </c>
      <c r="C26279" t="str">
        <v>-</v>
      </c>
      <c r="D26279" t="str">
        <v>-</v>
      </c>
      <c r="E26279" t="str">
        <v>-</v>
      </c>
      <c r="F26279" t="str">
        <v>-</v>
      </c>
      <c r="G26279" t="str">
        <v>-</v>
      </c>
    </row>
    <row r="26280" xml:space="preserve">
      <c r="B26280" t="str" xml:space="preserve">
        <v xml:space="preserve">Công an thị trấn Krông Năng _x000d_
 tỉnh Đắk Lắk</v>
      </c>
      <c r="C26280" t="str">
        <v>-</v>
      </c>
      <c r="D26280" t="str">
        <v>-</v>
      </c>
      <c r="E26280" t="str">
        <v/>
      </c>
      <c r="F26280" t="str">
        <v>-</v>
      </c>
      <c r="G26280" t="str">
        <v>-</v>
      </c>
    </row>
    <row r="26281" xml:space="preserve">
      <c r="B26281" t="str" xml:space="preserve">
        <v xml:space="preserve">UBND Ủy ban nhân dân thị trấn Krông Năng _x000d_
 tỉnh Đắk Lắk</v>
      </c>
      <c r="C26281" t="str">
        <v>-</v>
      </c>
      <c r="D26281" t="str">
        <v>-</v>
      </c>
      <c r="E26281" t="str">
        <v>-</v>
      </c>
      <c r="F26281" t="str">
        <v>-</v>
      </c>
      <c r="G26281" t="str">
        <v>-</v>
      </c>
    </row>
    <row r="26282" xml:space="preserve">
      <c r="B26282" t="str" xml:space="preserve">
        <v xml:space="preserve">Công an thị trấn Ea Knốp _x000d_
 tỉnh Đắk Lắk</v>
      </c>
      <c r="C26282" t="str">
        <v>-</v>
      </c>
      <c r="D26282" t="str">
        <v>-</v>
      </c>
      <c r="E26282" t="str">
        <v/>
      </c>
      <c r="F26282" t="str">
        <v>-</v>
      </c>
      <c r="G26282" t="str">
        <v>-</v>
      </c>
    </row>
    <row r="26283" xml:space="preserve">
      <c r="B26283" t="str" xml:space="preserve">
        <v xml:space="preserve">UBND Ủy ban nhân dân thị trấn Ea Knốp _x000d_
 tỉnh Đắk Lắk</v>
      </c>
      <c r="C26283" t="str">
        <v>-</v>
      </c>
      <c r="D26283" t="str">
        <v>-</v>
      </c>
      <c r="E26283" t="str">
        <v>-</v>
      </c>
      <c r="F26283" t="str">
        <v>-</v>
      </c>
      <c r="G26283" t="str">
        <v>-</v>
      </c>
    </row>
    <row r="26284" xml:space="preserve">
      <c r="B26284" t="str" xml:space="preserve">
        <v xml:space="preserve">Công an thị trấn Liên Hương_x000d_
 tỉnh Bình Thuận</v>
      </c>
      <c r="C26284" t="str">
        <v>-</v>
      </c>
      <c r="D26284" t="str">
        <v>-</v>
      </c>
      <c r="E26284" t="str">
        <v/>
      </c>
      <c r="F26284" t="str">
        <v>-</v>
      </c>
      <c r="G26284" t="str">
        <v>-</v>
      </c>
    </row>
    <row r="26285" xml:space="preserve">
      <c r="B26285" t="str" xml:space="preserve">
        <v xml:space="preserve">UBND Ủy ban nhân dân thị trấn Liên Hương_x000d_
 tỉnh Bình Thuận</v>
      </c>
      <c r="C26285" t="str">
        <v>-</v>
      </c>
      <c r="D26285" t="str">
        <v>-</v>
      </c>
      <c r="E26285" t="str">
        <v>-</v>
      </c>
      <c r="F26285" t="str">
        <v>-</v>
      </c>
      <c r="G26285" t="str">
        <v>-</v>
      </c>
    </row>
    <row r="26286">
      <c r="B26286" t="str">
        <v>Công an thị trấn Chợ Lầu tỉnh Bình Thuận</v>
      </c>
      <c r="C26286" t="str">
        <v>-</v>
      </c>
      <c r="D26286" t="str">
        <v>-</v>
      </c>
      <c r="E26286" t="str">
        <v/>
      </c>
      <c r="F26286" t="str">
        <v>-</v>
      </c>
      <c r="G26286" t="str">
        <v>-</v>
      </c>
    </row>
    <row r="26287">
      <c r="B26287" t="str">
        <v>UBND Ủy ban nhân dân thị trấn Chợ Lầu tỉnh Bình Thuận</v>
      </c>
      <c r="C26287" t="str">
        <v>-</v>
      </c>
      <c r="D26287" t="str">
        <v>-</v>
      </c>
      <c r="E26287" t="str">
        <v>-</v>
      </c>
      <c r="F26287" t="str">
        <v>-</v>
      </c>
      <c r="G26287" t="str">
        <v>-</v>
      </c>
    </row>
    <row r="26288">
      <c r="B26288" t="str">
        <v>Công an thị trấn Lương Sơn tỉnh Bình Thuận</v>
      </c>
      <c r="C26288" t="str">
        <v>-</v>
      </c>
      <c r="D26288" t="str">
        <v>-</v>
      </c>
      <c r="E26288" t="str">
        <v/>
      </c>
      <c r="F26288" t="str">
        <v>-</v>
      </c>
      <c r="G26288" t="str">
        <v>-</v>
      </c>
    </row>
    <row r="26289">
      <c r="B26289" t="str">
        <v>UBND Ủy ban nhân dân thị trấn Lương Sơn tỉnh Bình Thuận</v>
      </c>
      <c r="C26289" t="str">
        <v>-</v>
      </c>
      <c r="D26289" t="str">
        <v>-</v>
      </c>
      <c r="E26289" t="str">
        <v>-</v>
      </c>
      <c r="F26289" t="str">
        <v>-</v>
      </c>
      <c r="G26289" t="str">
        <v>-</v>
      </c>
    </row>
    <row r="26290" xml:space="preserve">
      <c r="B26290" t="str" xml:space="preserve">
        <v xml:space="preserve">Công an thị trấn Ma Lâm _x000d_
 tỉnh Bình Thuận</v>
      </c>
      <c r="C26290" t="str">
        <v>-</v>
      </c>
      <c r="D26290" t="str">
        <v>-</v>
      </c>
      <c r="E26290" t="str">
        <v/>
      </c>
      <c r="F26290" t="str">
        <v>-</v>
      </c>
      <c r="G26290" t="str">
        <v>-</v>
      </c>
    </row>
    <row r="26291" xml:space="preserve">
      <c r="B26291" t="str" xml:space="preserve">
        <v xml:space="preserve">UBND Ủy ban nhân dân thị trấn Ma Lâm _x000d_
 tỉnh Bình Thuận</v>
      </c>
      <c r="C26291" t="str">
        <v>-</v>
      </c>
      <c r="D26291" t="str">
        <v>-</v>
      </c>
      <c r="E26291" t="str">
        <v>-</v>
      </c>
      <c r="F26291" t="str">
        <v>-</v>
      </c>
      <c r="G26291" t="str">
        <v>-</v>
      </c>
    </row>
    <row r="26292" xml:space="preserve">
      <c r="B26292" t="str" xml:space="preserve">
        <v xml:space="preserve">Công an thị trấn Cam Đức _x000d_
 tỉnh Khánh Hòa</v>
      </c>
      <c r="C26292" t="str">
        <v>-</v>
      </c>
      <c r="D26292" t="str">
        <v>-</v>
      </c>
      <c r="E26292" t="str">
        <v/>
      </c>
      <c r="F26292" t="str">
        <v>-</v>
      </c>
      <c r="G26292" t="str">
        <v>-</v>
      </c>
    </row>
    <row r="26293" xml:space="preserve">
      <c r="B26293" t="str" xml:space="preserve">
        <v xml:space="preserve">UBND Ủy ban nhân dân thị trấn Cam Đức _x000d_
 tỉnh Khánh Hòa</v>
      </c>
      <c r="C26293" t="str">
        <v>-</v>
      </c>
      <c r="D26293" t="str">
        <v>-</v>
      </c>
      <c r="E26293" t="str">
        <v>-</v>
      </c>
      <c r="F26293" t="str">
        <v>-</v>
      </c>
      <c r="G26293" t="str">
        <v>-</v>
      </c>
    </row>
    <row r="26294" xml:space="preserve">
      <c r="B26294" t="str" xml:space="preserve">
        <v xml:space="preserve">Công an thị trấn Vạn Giã _x000d_
 tỉnh Khánh Hòa</v>
      </c>
      <c r="C26294" t="str">
        <v>-</v>
      </c>
      <c r="D26294" t="str">
        <v>-</v>
      </c>
      <c r="E26294" t="str">
        <v/>
      </c>
      <c r="F26294" t="str">
        <v>-</v>
      </c>
      <c r="G26294" t="str">
        <v>-</v>
      </c>
    </row>
    <row r="26295" xml:space="preserve">
      <c r="B26295" t="str" xml:space="preserve">
        <v xml:space="preserve">UBND Ủy ban nhân dân thị trấn Vạn Giã _x000d_
 tỉnh Khánh Hòa</v>
      </c>
      <c r="C26295" t="str">
        <v>-</v>
      </c>
      <c r="D26295" t="str">
        <v>-</v>
      </c>
      <c r="E26295" t="str">
        <v>-</v>
      </c>
      <c r="F26295" t="str">
        <v>-</v>
      </c>
      <c r="G26295" t="str">
        <v>-</v>
      </c>
    </row>
    <row r="26296" xml:space="preserve">
      <c r="B26296" t="str" xml:space="preserve">
        <v xml:space="preserve">Công an thị trấn Lạc Tánh _x000d_
 tỉnh Bình Thuận</v>
      </c>
      <c r="C26296" t="str">
        <v>-</v>
      </c>
      <c r="D26296" t="str">
        <v>-</v>
      </c>
      <c r="E26296" t="str">
        <v/>
      </c>
      <c r="F26296" t="str">
        <v>-</v>
      </c>
      <c r="G26296" t="str">
        <v>-</v>
      </c>
    </row>
    <row r="26297" xml:space="preserve">
      <c r="B26297" t="str" xml:space="preserve">
        <v xml:space="preserve">UBND Ủy ban nhân dân thị trấn Lạc Tánh _x000d_
 tỉnh Bình Thuận</v>
      </c>
      <c r="C26297" t="str">
        <v>-</v>
      </c>
      <c r="D26297" t="str">
        <v>-</v>
      </c>
      <c r="E26297" t="str">
        <v>-</v>
      </c>
      <c r="F26297" t="str">
        <v>-</v>
      </c>
      <c r="G26297" t="str">
        <v>-</v>
      </c>
    </row>
    <row r="26298" xml:space="preserve">
      <c r="B26298" t="str" xml:space="preserve">
        <v xml:space="preserve">Công an thị trấn Đăk Mil _x000d_
 tỉnh Đắk Lắk</v>
      </c>
      <c r="C26298" t="str">
        <v>-</v>
      </c>
      <c r="D26298" t="str">
        <v>-</v>
      </c>
      <c r="E26298" t="str">
        <v/>
      </c>
      <c r="F26298" t="str">
        <v>-</v>
      </c>
      <c r="G26298" t="str">
        <v>-</v>
      </c>
    </row>
    <row r="26299" xml:space="preserve">
      <c r="B26299" t="str" xml:space="preserve">
        <v xml:space="preserve">UBND Ủy ban nhân dân thị trấn Đăk Mil _x000d_
 tỉnh Đắk Lắk</v>
      </c>
      <c r="C26299" t="str">
        <v>-</v>
      </c>
      <c r="D26299" t="str">
        <v>-</v>
      </c>
      <c r="E26299" t="str">
        <v>-</v>
      </c>
      <c r="F26299" t="str">
        <v>-</v>
      </c>
      <c r="G26299" t="str">
        <v>-</v>
      </c>
    </row>
    <row r="26300">
      <c r="B26300" t="str">
        <v>Công an thị trấn Đăk Lâm tỉnh Gia Lai</v>
      </c>
      <c r="C26300" t="str">
        <v>-</v>
      </c>
      <c r="D26300" t="str">
        <v>-</v>
      </c>
      <c r="E26300" t="str">
        <v/>
      </c>
      <c r="F26300" t="str">
        <v>-</v>
      </c>
      <c r="G26300" t="str">
        <v>-</v>
      </c>
    </row>
    <row r="26301">
      <c r="B26301" t="str">
        <v>UBND Ủy ban nhân dân thị trấn Đăk Lâm tỉnh Gia Lai</v>
      </c>
      <c r="C26301" t="str">
        <v>-</v>
      </c>
      <c r="D26301" t="str">
        <v>-</v>
      </c>
      <c r="E26301" t="str">
        <v>-</v>
      </c>
      <c r="F26301" t="str">
        <v>-</v>
      </c>
      <c r="G26301" t="str">
        <v>-</v>
      </c>
    </row>
    <row r="26302" xml:space="preserve">
      <c r="B26302" t="str" xml:space="preserve">
        <v xml:space="preserve">Công an thị trấn Đức An _x000d_
 tỉnh Đắk Nông</v>
      </c>
      <c r="C26302" t="str">
        <v>-</v>
      </c>
      <c r="D26302" t="str">
        <v>-</v>
      </c>
      <c r="E26302" t="str">
        <v/>
      </c>
      <c r="F26302" t="str">
        <v>-</v>
      </c>
      <c r="G26302" t="str">
        <v>-</v>
      </c>
    </row>
    <row r="26303" xml:space="preserve">
      <c r="B26303" t="str" xml:space="preserve">
        <v xml:space="preserve">UBND Ủy ban nhân dân thị trấn Đức An _x000d_
 tỉnh Đắk Nông</v>
      </c>
      <c r="C26303" t="str">
        <v>-</v>
      </c>
      <c r="D26303" t="str">
        <v>-</v>
      </c>
      <c r="E26303" t="str">
        <v>-</v>
      </c>
      <c r="F26303" t="str">
        <v>-</v>
      </c>
      <c r="G26303" t="str">
        <v>-</v>
      </c>
    </row>
    <row r="26304" xml:space="preserve">
      <c r="B26304" t="str" xml:space="preserve">
        <v xml:space="preserve">Công an thị trấn Vĩnh An _x000d_
 tỉnh Đồng Nai</v>
      </c>
      <c r="C26304" t="str">
        <v>-</v>
      </c>
      <c r="D26304" t="str">
        <v>-</v>
      </c>
      <c r="E26304" t="str">
        <v/>
      </c>
      <c r="F26304" t="str">
        <v>-</v>
      </c>
      <c r="G26304" t="str">
        <v>-</v>
      </c>
    </row>
    <row r="26305" xml:space="preserve">
      <c r="B26305" t="str" xml:space="preserve">
        <v xml:space="preserve">UBND Ủy ban nhân dân thị trấn Vĩnh An _x000d_
 tỉnh Đồng Nai</v>
      </c>
      <c r="C26305" t="str">
        <v>-</v>
      </c>
      <c r="D26305" t="str">
        <v>-</v>
      </c>
      <c r="E26305" t="str">
        <v>-</v>
      </c>
      <c r="F26305" t="str">
        <v>-</v>
      </c>
      <c r="G26305" t="str">
        <v>-</v>
      </c>
    </row>
    <row r="26306" xml:space="preserve">
      <c r="B26306" t="str" xml:space="preserve">
        <v xml:space="preserve">Công an thị trấn Định Quán _x000d_
 tỉnh Đồng Nai</v>
      </c>
      <c r="C26306" t="str">
        <v>-</v>
      </c>
      <c r="D26306" t="str">
        <v>-</v>
      </c>
      <c r="E26306" t="str">
        <v/>
      </c>
      <c r="F26306" t="str">
        <v>-</v>
      </c>
      <c r="G26306" t="str">
        <v>-</v>
      </c>
    </row>
    <row r="26307" xml:space="preserve">
      <c r="B26307" t="str" xml:space="preserve">
        <v xml:space="preserve">UBND Ủy ban nhân dân thị trấn Định Quán _x000d_
 tỉnh Đồng Nai</v>
      </c>
      <c r="C26307" t="str">
        <v>-</v>
      </c>
      <c r="D26307" t="str">
        <v>-</v>
      </c>
      <c r="E26307" t="str">
        <v>-</v>
      </c>
      <c r="F26307" t="str">
        <v>-</v>
      </c>
      <c r="G26307" t="str">
        <v>-</v>
      </c>
    </row>
    <row r="26308" xml:space="preserve">
      <c r="B26308" t="str" xml:space="preserve">
        <v xml:space="preserve">Công an thị trấn Long Thành _x000d_
 tỉnh Đồng Nai</v>
      </c>
      <c r="C26308" t="str">
        <v>-</v>
      </c>
      <c r="D26308" t="str">
        <v>-</v>
      </c>
      <c r="E26308" t="str">
        <v/>
      </c>
      <c r="F26308" t="str">
        <v>-</v>
      </c>
      <c r="G26308" t="str">
        <v>-</v>
      </c>
    </row>
    <row r="26309" xml:space="preserve">
      <c r="B26309" t="str" xml:space="preserve">
        <v xml:space="preserve">UBND Ủy ban nhân dân thị trấn Long Thành _x000d_
 tỉnh Đồng Nai</v>
      </c>
      <c r="C26309" t="str">
        <v>-</v>
      </c>
      <c r="D26309" t="str">
        <v>-</v>
      </c>
      <c r="E26309" t="str">
        <v>-</v>
      </c>
      <c r="F26309" t="str">
        <v>-</v>
      </c>
      <c r="G26309" t="str">
        <v>-</v>
      </c>
    </row>
    <row r="26310" xml:space="preserve">
      <c r="B26310" t="str" xml:space="preserve">
        <v xml:space="preserve">Công an thị trấn K’Bang _x000d_
 tỉnh Gia Lai</v>
      </c>
      <c r="C26310" t="str">
        <v>-</v>
      </c>
      <c r="D26310" t="str">
        <v>-</v>
      </c>
      <c r="E26310" t="str">
        <v/>
      </c>
      <c r="F26310" t="str">
        <v>-</v>
      </c>
      <c r="G26310" t="str">
        <v>-</v>
      </c>
    </row>
    <row r="26311" xml:space="preserve">
      <c r="B26311" t="str" xml:space="preserve">
        <v xml:space="preserve">UBND Ủy ban nhân dân thị trấn K’Bang _x000d_
 tỉnh Gia Lai</v>
      </c>
      <c r="C26311" t="str">
        <v>-</v>
      </c>
      <c r="D26311" t="str">
        <v>-</v>
      </c>
      <c r="E26311" t="str">
        <v>-</v>
      </c>
      <c r="F26311" t="str">
        <v>-</v>
      </c>
      <c r="G26311" t="str">
        <v>-</v>
      </c>
    </row>
    <row r="26312">
      <c r="B26312" t="str">
        <v>Công an thị trấn Đak Đoa tỉnh Gia Lai</v>
      </c>
      <c r="C26312" t="str">
        <v>-</v>
      </c>
      <c r="D26312" t="str">
        <v>-</v>
      </c>
      <c r="E26312" t="str">
        <v/>
      </c>
      <c r="F26312" t="str">
        <v>-</v>
      </c>
      <c r="G26312" t="str">
        <v>-</v>
      </c>
    </row>
    <row r="26313">
      <c r="B26313" t="str">
        <v>UBND Ủy ban nhân dân thị trấn Đak Đoa tỉnh Gia Lai</v>
      </c>
      <c r="C26313" t="str">
        <v>-</v>
      </c>
      <c r="D26313" t="str">
        <v>-</v>
      </c>
      <c r="E26313" t="str">
        <v>-</v>
      </c>
      <c r="F26313" t="str">
        <v>-</v>
      </c>
      <c r="G26313" t="str">
        <v>-</v>
      </c>
    </row>
    <row r="26314">
      <c r="B26314" t="str">
        <v>Công an thị trấn Ia Kha tỉnh Gia Lai</v>
      </c>
      <c r="C26314" t="str">
        <v>-</v>
      </c>
      <c r="D26314" t="str">
        <v>-</v>
      </c>
      <c r="E26314" t="str">
        <v/>
      </c>
      <c r="F26314" t="str">
        <v>-</v>
      </c>
      <c r="G26314" t="str">
        <v>-</v>
      </c>
    </row>
    <row r="26315">
      <c r="B26315" t="str">
        <v>UBND Ủy ban nhân dân thị trấn Ia Kha tỉnh Gia Lai</v>
      </c>
      <c r="C26315" t="str">
        <v>-</v>
      </c>
      <c r="D26315" t="str">
        <v>-</v>
      </c>
      <c r="E26315" t="str">
        <v>-</v>
      </c>
      <c r="F26315" t="str">
        <v>-</v>
      </c>
      <c r="G26315" t="str">
        <v>-</v>
      </c>
    </row>
    <row r="26316">
      <c r="B26316" t="str">
        <v>Công an thị trấn Kon Dơng tỉnh Gia Lai</v>
      </c>
      <c r="C26316" t="str">
        <v>-</v>
      </c>
      <c r="D26316" t="str">
        <v>-</v>
      </c>
      <c r="E26316" t="str">
        <v/>
      </c>
      <c r="F26316" t="str">
        <v>-</v>
      </c>
      <c r="G26316" t="str">
        <v>-</v>
      </c>
    </row>
    <row r="26317">
      <c r="B26317" t="str">
        <v>UBND Ủy ban nhân dân thị trấn Kon Dơng tỉnh Gia Lai</v>
      </c>
      <c r="C26317" t="str">
        <v>-</v>
      </c>
      <c r="D26317" t="str">
        <v>-</v>
      </c>
      <c r="E26317" t="str">
        <v>-</v>
      </c>
      <c r="F26317" t="str">
        <v>-</v>
      </c>
      <c r="G26317" t="str">
        <v>-</v>
      </c>
    </row>
    <row r="26318" xml:space="preserve">
      <c r="B26318" t="str" xml:space="preserve">
        <v xml:space="preserve">Công an thị trấn Kông Chro _x000d_
 tỉnh Gia Lai</v>
      </c>
      <c r="C26318" t="str">
        <v>-</v>
      </c>
      <c r="D26318" t="str">
        <v>-</v>
      </c>
      <c r="E26318" t="str">
        <v/>
      </c>
      <c r="F26318" t="str">
        <v>-</v>
      </c>
      <c r="G26318" t="str">
        <v>-</v>
      </c>
    </row>
    <row r="26319" xml:space="preserve">
      <c r="B26319" t="str" xml:space="preserve">
        <v xml:space="preserve">UBND Ủy ban nhân dân thị trấn Kông Chro _x000d_
 tỉnh Gia Lai</v>
      </c>
      <c r="C26319" t="str">
        <v>-</v>
      </c>
      <c r="D26319" t="str">
        <v>-</v>
      </c>
      <c r="E26319" t="str">
        <v>-</v>
      </c>
      <c r="F26319" t="str">
        <v>-</v>
      </c>
      <c r="G26319" t="str">
        <v>-</v>
      </c>
    </row>
    <row r="26320" xml:space="preserve">
      <c r="B26320" t="str" xml:space="preserve">
        <v xml:space="preserve">Công an thị trấn Chư Ty _x000d_
 tỉnh Gia Lai</v>
      </c>
      <c r="C26320" t="str">
        <v>-</v>
      </c>
      <c r="D26320" t="str">
        <v>-</v>
      </c>
      <c r="E26320" t="str">
        <v/>
      </c>
      <c r="F26320" t="str">
        <v>-</v>
      </c>
      <c r="G26320" t="str">
        <v>-</v>
      </c>
    </row>
    <row r="26321" xml:space="preserve">
      <c r="B26321" t="str" xml:space="preserve">
        <v xml:space="preserve">UBND Ủy ban nhân dân thị trấn Chư Ty _x000d_
 tỉnh Gia Lai</v>
      </c>
      <c r="C26321" t="str">
        <v>-</v>
      </c>
      <c r="D26321" t="str">
        <v>-</v>
      </c>
      <c r="E26321" t="str">
        <v>-</v>
      </c>
      <c r="F26321" t="str">
        <v>-</v>
      </c>
      <c r="G26321" t="str">
        <v>-</v>
      </c>
    </row>
    <row r="26322" xml:space="preserve">
      <c r="B26322" t="str" xml:space="preserve">
        <v xml:space="preserve">Công an thị trấn Chư Prông _x000d_
 tỉnh Gia Lai</v>
      </c>
      <c r="C26322" t="str">
        <v>-</v>
      </c>
      <c r="D26322" t="str">
        <v>-</v>
      </c>
      <c r="E26322" t="str">
        <v/>
      </c>
      <c r="F26322" t="str">
        <v>-</v>
      </c>
      <c r="G26322" t="str">
        <v>-</v>
      </c>
    </row>
    <row r="26323" xml:space="preserve">
      <c r="B26323" t="str" xml:space="preserve">
        <v xml:space="preserve">UBND Ủy ban nhân dân thị trấn Chư Prông _x000d_
 tỉnh Gia Lai</v>
      </c>
      <c r="C26323" t="str">
        <v>-</v>
      </c>
      <c r="D26323" t="str">
        <v>-</v>
      </c>
      <c r="E26323" t="str">
        <v>-</v>
      </c>
      <c r="F26323" t="str">
        <v>-</v>
      </c>
      <c r="G26323" t="str">
        <v>-</v>
      </c>
    </row>
    <row r="26324" xml:space="preserve">
      <c r="B26324" t="str" xml:space="preserve">
        <v xml:space="preserve">Công an thị trấn Chư Sê _x000d_
 tỉnh Gia Lai</v>
      </c>
      <c r="C26324" t="str">
        <v>-</v>
      </c>
      <c r="D26324" t="str">
        <v>-</v>
      </c>
      <c r="E26324" t="str">
        <v/>
      </c>
      <c r="F26324" t="str">
        <v>-</v>
      </c>
      <c r="G26324" t="str">
        <v>-</v>
      </c>
    </row>
    <row r="26325" xml:space="preserve">
      <c r="B26325" t="str" xml:space="preserve">
        <v xml:space="preserve">UBND Ủy ban nhân dân thị trấn Chư Sê _x000d_
 tỉnh Gia Lai</v>
      </c>
      <c r="C26325" t="str">
        <v>-</v>
      </c>
      <c r="D26325" t="str">
        <v>-</v>
      </c>
      <c r="E26325" t="str">
        <v>-</v>
      </c>
      <c r="F26325" t="str">
        <v>-</v>
      </c>
      <c r="G26325" t="str">
        <v>-</v>
      </c>
    </row>
    <row r="26326">
      <c r="B26326" t="str">
        <v>Công an thị trấn Đak Pơ tỉnh Gia Lai</v>
      </c>
      <c r="C26326" t="str">
        <v>-</v>
      </c>
      <c r="D26326" t="str">
        <v>-</v>
      </c>
      <c r="E26326" t="str">
        <v/>
      </c>
      <c r="F26326" t="str">
        <v>-</v>
      </c>
      <c r="G26326" t="str">
        <v>-</v>
      </c>
    </row>
    <row r="26327">
      <c r="B26327" t="str">
        <v>UBND Ủy ban nhân dân thị trấn Đak Pơ tỉnh Gia Lai</v>
      </c>
      <c r="C26327" t="str">
        <v>-</v>
      </c>
      <c r="D26327" t="str">
        <v>-</v>
      </c>
      <c r="E26327" t="str">
        <v>-</v>
      </c>
      <c r="F26327" t="str">
        <v>-</v>
      </c>
      <c r="G26327" t="str">
        <v>-</v>
      </c>
    </row>
    <row r="26328">
      <c r="B26328" t="str">
        <v>Công an thị trấn Phú Túc tỉnh Gia Lai</v>
      </c>
      <c r="C26328" t="str">
        <v>-</v>
      </c>
      <c r="D26328" t="str">
        <v>-</v>
      </c>
      <c r="E26328" t="str">
        <v/>
      </c>
      <c r="F26328" t="str">
        <v>-</v>
      </c>
      <c r="G26328" t="str">
        <v>-</v>
      </c>
    </row>
    <row r="26329">
      <c r="B26329" t="str">
        <v>UBND Ủy ban nhân dân thị trấn Phú Túc tỉnh Gia Lai</v>
      </c>
      <c r="C26329" t="str">
        <v>-</v>
      </c>
      <c r="D26329" t="str">
        <v>-</v>
      </c>
      <c r="E26329" t="str">
        <v>-</v>
      </c>
      <c r="F26329" t="str">
        <v>-</v>
      </c>
      <c r="G26329" t="str">
        <v>-</v>
      </c>
    </row>
    <row r="26330" xml:space="preserve">
      <c r="B26330" t="str" xml:space="preserve">
        <v xml:space="preserve">Công an thị trấn Phú Thiện _x000d_
 tỉnh Gia Lai</v>
      </c>
      <c r="C26330" t="str">
        <v>-</v>
      </c>
      <c r="D26330" t="str">
        <v>-</v>
      </c>
      <c r="E26330" t="str">
        <v/>
      </c>
      <c r="F26330" t="str">
        <v>-</v>
      </c>
      <c r="G26330" t="str">
        <v>-</v>
      </c>
    </row>
    <row r="26331" xml:space="preserve">
      <c r="B26331" t="str" xml:space="preserve">
        <v xml:space="preserve">UBND Ủy ban nhân dân thị trấn Phú Thiện _x000d_
 tỉnh Gia Lai</v>
      </c>
      <c r="C26331" t="str">
        <v>-</v>
      </c>
      <c r="D26331" t="str">
        <v>-</v>
      </c>
      <c r="E26331" t="str">
        <v>-</v>
      </c>
      <c r="F26331" t="str">
        <v>-</v>
      </c>
      <c r="G26331" t="str">
        <v>-</v>
      </c>
    </row>
    <row r="26332">
      <c r="B26332" t="str">
        <v>Công an thị trấn Nhơn Hoà tỉnh Gia Lai</v>
      </c>
      <c r="C26332" t="str">
        <v>-</v>
      </c>
      <c r="D26332" t="str">
        <v>-</v>
      </c>
      <c r="E26332" t="str">
        <v/>
      </c>
      <c r="F26332" t="str">
        <v>-</v>
      </c>
      <c r="G26332" t="str">
        <v>-</v>
      </c>
    </row>
    <row r="26333">
      <c r="B26333" t="str">
        <v>UBND Ủy ban nhân dân thị trấn Nhơn Hoà tỉnh Gia Lai</v>
      </c>
      <c r="C26333" t="str">
        <v>-</v>
      </c>
      <c r="D26333" t="str">
        <v>-</v>
      </c>
      <c r="E26333" t="str">
        <v>-</v>
      </c>
      <c r="F26333" t="str">
        <v>-</v>
      </c>
      <c r="G26333" t="str">
        <v>-</v>
      </c>
    </row>
    <row r="26334">
      <c r="B26334" t="str">
        <v>Công an thị trấn Phong Điền  tỉnh THỪA THIÊN HUẾ</v>
      </c>
      <c r="C26334" t="str">
        <v>-</v>
      </c>
      <c r="D26334" t="str">
        <v>-</v>
      </c>
      <c r="E26334" t="str">
        <v/>
      </c>
      <c r="F26334" t="str">
        <v>-</v>
      </c>
      <c r="G26334" t="str">
        <v>-</v>
      </c>
    </row>
    <row r="26335">
      <c r="B26335" t="str">
        <v>UBND Ủy ban nhân dân thị trấn Phong Điền  tỉnh THỪA THIÊN HUẾ</v>
      </c>
      <c r="C26335" t="str">
        <v>-</v>
      </c>
      <c r="D26335" t="str">
        <v>-</v>
      </c>
      <c r="E26335" t="str">
        <v>-</v>
      </c>
      <c r="F26335" t="str">
        <v>-</v>
      </c>
      <c r="G26335" t="str">
        <v>-</v>
      </c>
    </row>
    <row r="26336" xml:space="preserve">
      <c r="B26336" t="str" xml:space="preserve">
        <v xml:space="preserve">Công an phường Thuận An _x000d_
 tỉnh THỪA THIÊN HUẾ</v>
      </c>
      <c r="C26336" t="str">
        <v>-</v>
      </c>
      <c r="D26336" t="str">
        <v>-</v>
      </c>
      <c r="E26336" t="str">
        <v/>
      </c>
      <c r="F26336" t="str">
        <v>-</v>
      </c>
      <c r="G26336" t="str">
        <v>-</v>
      </c>
    </row>
    <row r="26337" xml:space="preserve">
      <c r="B26337" t="str" xml:space="preserve">
        <v xml:space="preserve">UBND Ủy ban nhân dân phường Thuận An _x000d_
 tỉnh THỪA THIÊN HUẾ</v>
      </c>
      <c r="C26337" t="str">
        <v>-</v>
      </c>
      <c r="D26337" t="str">
        <v>-</v>
      </c>
      <c r="E26337" t="str">
        <v>-</v>
      </c>
      <c r="F26337" t="str">
        <v>-</v>
      </c>
      <c r="G26337" t="str">
        <v>-</v>
      </c>
    </row>
    <row r="26338" xml:space="preserve">
      <c r="B26338" t="str" xml:space="preserve">
        <v xml:space="preserve">Công an thị trấn Phú Lộc _x000d_
 tỉnh THỪA THIÊN HUẾ</v>
      </c>
      <c r="C26338" t="str">
        <v>-</v>
      </c>
      <c r="D26338" t="str">
        <v>-</v>
      </c>
      <c r="E26338" t="str">
        <v/>
      </c>
      <c r="F26338" t="str">
        <v>-</v>
      </c>
      <c r="G26338" t="str">
        <v>-</v>
      </c>
    </row>
    <row r="26339" xml:space="preserve">
      <c r="B26339" t="str" xml:space="preserve">
        <v xml:space="preserve">UBND Ủy ban nhân dân thị trấn Phú Lộc _x000d_
 tỉnh THỪA THIÊN HUẾ</v>
      </c>
      <c r="C26339" t="str">
        <v>-</v>
      </c>
      <c r="D26339" t="str">
        <v>-</v>
      </c>
      <c r="E26339" t="str">
        <v>-</v>
      </c>
      <c r="F26339" t="str">
        <v>-</v>
      </c>
      <c r="G26339" t="str">
        <v>-</v>
      </c>
    </row>
    <row r="26340" xml:space="preserve">
      <c r="B26340" t="str" xml:space="preserve">
        <v xml:space="preserve">Công an thị trấn Khe Tre _x000d_
 tỉnh THỪA THIÊN HUẾ</v>
      </c>
      <c r="C26340" t="str">
        <v>-</v>
      </c>
      <c r="D26340" t="str">
        <v>-</v>
      </c>
      <c r="E26340" t="str">
        <v/>
      </c>
      <c r="F26340" t="str">
        <v>-</v>
      </c>
      <c r="G26340" t="str">
        <v>-</v>
      </c>
    </row>
    <row r="26341" xml:space="preserve">
      <c r="B26341" t="str" xml:space="preserve">
        <v xml:space="preserve">UBND Ủy ban nhân dân thị trấn Khe Tre _x000d_
 tỉnh THỪA THIÊN HUẾ</v>
      </c>
      <c r="C26341" t="str">
        <v>-</v>
      </c>
      <c r="D26341" t="str">
        <v>-</v>
      </c>
      <c r="E26341" t="str">
        <v>-</v>
      </c>
      <c r="F26341" t="str">
        <v>-</v>
      </c>
      <c r="G26341" t="str">
        <v>-</v>
      </c>
    </row>
    <row r="26342">
      <c r="B26342" t="str">
        <v>Công an thị trấn Tân Hiệp tỉnh Kiên Giang</v>
      </c>
      <c r="C26342" t="str">
        <v>-</v>
      </c>
      <c r="D26342" t="str">
        <v>-</v>
      </c>
      <c r="E26342" t="str">
        <v/>
      </c>
      <c r="F26342" t="str">
        <v>-</v>
      </c>
      <c r="G26342" t="str">
        <v>-</v>
      </c>
    </row>
    <row r="26343">
      <c r="B26343" t="str">
        <v>UBND Ủy ban nhân dân thị trấn Tân Hiệp tỉnh Kiên Giang</v>
      </c>
      <c r="C26343" t="str">
        <v>-</v>
      </c>
      <c r="D26343" t="str">
        <v>-</v>
      </c>
      <c r="E26343" t="str">
        <v>-</v>
      </c>
      <c r="F26343" t="str">
        <v>-</v>
      </c>
      <c r="G26343" t="str">
        <v>-</v>
      </c>
    </row>
    <row r="26344" xml:space="preserve">
      <c r="B26344" t="str" xml:space="preserve">
        <v xml:space="preserve">Công an thị trấn Đăk Glei _x000d_
 tỉnh Kon Tum</v>
      </c>
      <c r="C26344" t="str">
        <v>-</v>
      </c>
      <c r="D26344" t="str">
        <v>-</v>
      </c>
      <c r="E26344" t="str">
        <v/>
      </c>
      <c r="F26344" t="str">
        <v>-</v>
      </c>
      <c r="G26344" t="str">
        <v>-</v>
      </c>
    </row>
    <row r="26345" xml:space="preserve">
      <c r="B26345" t="str" xml:space="preserve">
        <v xml:space="preserve">UBND Ủy ban nhân dân thị trấn Đăk Glei _x000d_
 tỉnh Kon Tum</v>
      </c>
      <c r="C26345" t="str">
        <v>-</v>
      </c>
      <c r="D26345" t="str">
        <v>-</v>
      </c>
      <c r="E26345" t="str">
        <v>-</v>
      </c>
      <c r="F26345" t="str">
        <v>-</v>
      </c>
      <c r="G26345" t="str">
        <v>-</v>
      </c>
    </row>
    <row r="26346" xml:space="preserve">
      <c r="B26346" t="str" xml:space="preserve">
        <v xml:space="preserve">Công an thị trấn Đăk Tô _x000d_
 tỉnh Kon Tum</v>
      </c>
      <c r="C26346" t="str">
        <v>-</v>
      </c>
      <c r="D26346" t="str">
        <v>-</v>
      </c>
      <c r="E26346" t="str">
        <v/>
      </c>
      <c r="F26346" t="str">
        <v>-</v>
      </c>
      <c r="G26346" t="str">
        <v>-</v>
      </c>
    </row>
    <row r="26347" xml:space="preserve">
      <c r="B26347" t="str" xml:space="preserve">
        <v xml:space="preserve">UBND Ủy ban nhân dân thị trấn Đăk Tô _x000d_
 tỉnh Kon Tum</v>
      </c>
      <c r="C26347" t="str">
        <v>-</v>
      </c>
      <c r="D26347" t="str">
        <v>-</v>
      </c>
      <c r="E26347" t="str">
        <v>-</v>
      </c>
      <c r="F26347" t="str">
        <v>-</v>
      </c>
      <c r="G26347" t="str">
        <v>-</v>
      </c>
    </row>
    <row r="26348" xml:space="preserve">
      <c r="B26348" t="str" xml:space="preserve">
        <v xml:space="preserve">Công an thị trấn Đăk Rve _x000d_
 tỉnh Kon Tum</v>
      </c>
      <c r="C26348" t="str">
        <v>-</v>
      </c>
      <c r="D26348" t="str">
        <v>-</v>
      </c>
      <c r="E26348" t="str">
        <v/>
      </c>
      <c r="F26348" t="str">
        <v>-</v>
      </c>
      <c r="G26348" t="str">
        <v>-</v>
      </c>
    </row>
    <row r="26349" xml:space="preserve">
      <c r="B26349" t="str" xml:space="preserve">
        <v xml:space="preserve">UBND Ủy ban nhân dân thị trấn Đăk Rve _x000d_
 tỉnh Kon Tum</v>
      </c>
      <c r="C26349" t="str">
        <v>-</v>
      </c>
      <c r="D26349" t="str">
        <v>-</v>
      </c>
      <c r="E26349" t="str">
        <v>-</v>
      </c>
      <c r="F26349" t="str">
        <v>-</v>
      </c>
      <c r="G26349" t="str">
        <v>-</v>
      </c>
    </row>
    <row r="26350" xml:space="preserve">
      <c r="B26350" t="str" xml:space="preserve">
        <v xml:space="preserve">Công an thị trấn Vĩnh Thuận _x000d_
 tỉnh Kiên Giang</v>
      </c>
      <c r="C26350" t="str">
        <v>-</v>
      </c>
      <c r="D26350" t="str">
        <v>-</v>
      </c>
      <c r="E26350" t="str">
        <v/>
      </c>
      <c r="F26350" t="str">
        <v>-</v>
      </c>
      <c r="G26350" t="str">
        <v>-</v>
      </c>
    </row>
    <row r="26351" xml:space="preserve">
      <c r="B26351" t="str" xml:space="preserve">
        <v xml:space="preserve">UBND Ủy ban nhân dân thị trấn Vĩnh Thuận _x000d_
 tỉnh Kiên Giang</v>
      </c>
      <c r="C26351" t="str">
        <v>-</v>
      </c>
      <c r="D26351" t="str">
        <v>-</v>
      </c>
      <c r="E26351" t="str">
        <v>-</v>
      </c>
      <c r="F26351" t="str">
        <v>-</v>
      </c>
      <c r="G26351" t="str">
        <v>-</v>
      </c>
    </row>
    <row r="26352" xml:space="preserve">
      <c r="B26352" t="str" xml:space="preserve">
        <v xml:space="preserve">Công an thị trấn Lạc Dương _x000d_
 tỉnh Lâm Đồng</v>
      </c>
      <c r="C26352" t="str">
        <v>-</v>
      </c>
      <c r="D26352" t="str">
        <v>-</v>
      </c>
      <c r="E26352" t="str">
        <v/>
      </c>
      <c r="F26352" t="str">
        <v>-</v>
      </c>
      <c r="G26352" t="str">
        <v>-</v>
      </c>
    </row>
    <row r="26353" xml:space="preserve">
      <c r="B26353" t="str" xml:space="preserve">
        <v xml:space="preserve">UBND Ủy ban nhân dân thị trấn Lạc Dương _x000d_
 tỉnh Lâm Đồng</v>
      </c>
      <c r="C26353" t="str">
        <v>-</v>
      </c>
      <c r="D26353" t="str">
        <v>-</v>
      </c>
      <c r="E26353" t="str">
        <v>-</v>
      </c>
      <c r="F26353" t="str">
        <v>-</v>
      </c>
      <c r="G26353" t="str">
        <v>-</v>
      </c>
    </row>
    <row r="26354" xml:space="preserve">
      <c r="B26354" t="str" xml:space="preserve">
        <v xml:space="preserve">Công an thị trấn Tân Sơn _x000d_
 tỉnh Ninh Thuận</v>
      </c>
      <c r="C26354" t="str">
        <v>-</v>
      </c>
      <c r="D26354" t="str">
        <v>-</v>
      </c>
      <c r="E26354" t="str">
        <v/>
      </c>
      <c r="F26354" t="str">
        <v>-</v>
      </c>
      <c r="G26354" t="str">
        <v>-</v>
      </c>
    </row>
    <row r="26355" xml:space="preserve">
      <c r="B26355" t="str" xml:space="preserve">
        <v xml:space="preserve">UBND Ủy ban nhân dân thị trấn Tân Sơn _x000d_
 tỉnh Ninh Thuận</v>
      </c>
      <c r="C26355" t="str">
        <v>-</v>
      </c>
      <c r="D26355" t="str">
        <v>-</v>
      </c>
      <c r="E26355" t="str">
        <v>-</v>
      </c>
      <c r="F26355" t="str">
        <v>-</v>
      </c>
      <c r="G26355" t="str">
        <v>-</v>
      </c>
    </row>
    <row r="26356" xml:space="preserve">
      <c r="B26356" t="str" xml:space="preserve">
        <v xml:space="preserve">Công an thị trấn Phước Dân _x000d_
 tỉnh Ninh Thuận</v>
      </c>
      <c r="C26356" t="str">
        <v>-</v>
      </c>
      <c r="D26356" t="str">
        <v>-</v>
      </c>
      <c r="E26356" t="str">
        <v/>
      </c>
      <c r="F26356" t="str">
        <v>-</v>
      </c>
      <c r="G26356" t="str">
        <v>-</v>
      </c>
    </row>
    <row r="26357" xml:space="preserve">
      <c r="B26357" t="str" xml:space="preserve">
        <v xml:space="preserve">UBND Ủy ban nhân dân thị trấn Phước Dân _x000d_
 tỉnh Ninh Thuận</v>
      </c>
      <c r="C26357" t="str">
        <v>-</v>
      </c>
      <c r="D26357" t="str">
        <v>-</v>
      </c>
      <c r="E26357" t="str">
        <v>-</v>
      </c>
      <c r="F26357" t="str">
        <v>-</v>
      </c>
      <c r="G26357" t="str">
        <v>-</v>
      </c>
    </row>
    <row r="26358" xml:space="preserve">
      <c r="B26358" t="str" xml:space="preserve">
        <v xml:space="preserve">Công an thị trấn Củng Sơn _x000d_
 tỉnh Ninh Thuận</v>
      </c>
      <c r="C26358" t="str">
        <v>-</v>
      </c>
      <c r="D26358" t="str">
        <v>-</v>
      </c>
      <c r="E26358" t="str">
        <v/>
      </c>
      <c r="F26358" t="str">
        <v>-</v>
      </c>
      <c r="G26358" t="str">
        <v>-</v>
      </c>
    </row>
    <row r="26359" xml:space="preserve">
      <c r="B26359" t="str" xml:space="preserve">
        <v xml:space="preserve">UBND Ủy ban nhân dân thị trấn Củng Sơn _x000d_
 tỉnh Ninh Thuận</v>
      </c>
      <c r="C26359" t="str">
        <v>-</v>
      </c>
      <c r="D26359" t="str">
        <v>-</v>
      </c>
      <c r="E26359" t="str">
        <v>-</v>
      </c>
      <c r="F26359" t="str">
        <v>-</v>
      </c>
      <c r="G26359" t="str">
        <v>-</v>
      </c>
    </row>
    <row r="26360" xml:space="preserve">
      <c r="B26360" t="str" xml:space="preserve">
        <v xml:space="preserve">Công an thị trấn Hai Riêng _x000d_
 tỉnh Phú Yên</v>
      </c>
      <c r="C26360" t="str">
        <v>-</v>
      </c>
      <c r="D26360" t="str">
        <v>-</v>
      </c>
      <c r="E26360" t="str">
        <v/>
      </c>
      <c r="F26360" t="str">
        <v>-</v>
      </c>
      <c r="G26360" t="str">
        <v>-</v>
      </c>
    </row>
    <row r="26361" xml:space="preserve">
      <c r="B26361" t="str" xml:space="preserve">
        <v xml:space="preserve">UBND Ủy ban nhân dân thị trấn Hai Riêng _x000d_
 tỉnh Phú Yên</v>
      </c>
      <c r="C26361" t="str">
        <v>-</v>
      </c>
      <c r="D26361" t="str">
        <v>-</v>
      </c>
      <c r="E26361" t="str">
        <v>-</v>
      </c>
      <c r="F26361" t="str">
        <v>-</v>
      </c>
      <c r="G26361" t="str">
        <v>-</v>
      </c>
    </row>
    <row r="26362" xml:space="preserve">
      <c r="B26362" t="str" xml:space="preserve">
        <v xml:space="preserve">Công an thị trấn Phú Thứ _x000d_
 tỉnh Phú Yên</v>
      </c>
      <c r="C26362" t="str">
        <v>-</v>
      </c>
      <c r="D26362" t="str">
        <v>-</v>
      </c>
      <c r="E26362" t="str">
        <v/>
      </c>
      <c r="F26362" t="str">
        <v>-</v>
      </c>
      <c r="G26362" t="str">
        <v>-</v>
      </c>
    </row>
    <row r="26363" xml:space="preserve">
      <c r="B26363" t="str" xml:space="preserve">
        <v xml:space="preserve">UBND Ủy ban nhân dân thị trấn Phú Thứ _x000d_
 tỉnh Phú Yên</v>
      </c>
      <c r="C26363" t="str">
        <v>-</v>
      </c>
      <c r="D26363" t="str">
        <v>-</v>
      </c>
      <c r="E26363" t="str">
        <v>-</v>
      </c>
      <c r="F26363" t="str">
        <v>-</v>
      </c>
      <c r="G26363" t="str">
        <v>-</v>
      </c>
    </row>
    <row r="26364">
      <c r="B26364" t="str">
        <v>Công an thị trấn Chợ Chùa tỉnh Quảng Ngãi</v>
      </c>
      <c r="C26364" t="str">
        <v>-</v>
      </c>
      <c r="D26364" t="str">
        <v>-</v>
      </c>
      <c r="E26364" t="str">
        <v/>
      </c>
      <c r="F26364" t="str">
        <v>-</v>
      </c>
      <c r="G26364" t="str">
        <v>-</v>
      </c>
    </row>
    <row r="26365">
      <c r="B26365" t="str">
        <v>UBND Ủy ban nhân dân thị trấn Chợ Chùa tỉnh Quảng Ngãi</v>
      </c>
      <c r="C26365" t="str">
        <v>-</v>
      </c>
      <c r="D26365" t="str">
        <v>-</v>
      </c>
      <c r="E26365" t="str">
        <v>-</v>
      </c>
      <c r="F26365" t="str">
        <v>-</v>
      </c>
      <c r="G26365" t="str">
        <v>-</v>
      </c>
    </row>
    <row r="26366" xml:space="preserve">
      <c r="B26366" t="str" xml:space="preserve">
        <v xml:space="preserve">Công an thị trấn Đạ Tẻh _x000d_
 tỉnh Lâm Đồng</v>
      </c>
      <c r="C26366" t="str">
        <v>-</v>
      </c>
      <c r="D26366" t="str">
        <v>-</v>
      </c>
      <c r="E26366" t="str">
        <v/>
      </c>
      <c r="F26366" t="str">
        <v>-</v>
      </c>
      <c r="G26366" t="str">
        <v>-</v>
      </c>
    </row>
    <row r="26367" xml:space="preserve">
      <c r="B26367" t="str" xml:space="preserve">
        <v xml:space="preserve">UBND Ủy ban nhân dân thị trấn Đạ Tẻh _x000d_
 tỉnh Lâm Đồng</v>
      </c>
      <c r="C26367" t="str">
        <v>-</v>
      </c>
      <c r="D26367" t="str">
        <v>-</v>
      </c>
      <c r="E26367" t="str">
        <v>-</v>
      </c>
      <c r="F26367" t="str">
        <v>-</v>
      </c>
      <c r="G26367" t="str">
        <v>-</v>
      </c>
    </row>
    <row r="26368" xml:space="preserve">
      <c r="B26368" t="str" xml:space="preserve">
        <v xml:space="preserve">Công an thị trấn Quy Đạt _x000d_
 tỉnh Quảng Bình</v>
      </c>
      <c r="C26368" t="str">
        <v>-</v>
      </c>
      <c r="D26368" t="str">
        <v>-</v>
      </c>
      <c r="E26368" t="str">
        <v/>
      </c>
      <c r="F26368" t="str">
        <v>-</v>
      </c>
      <c r="G26368" t="str">
        <v>-</v>
      </c>
    </row>
    <row r="26369" xml:space="preserve">
      <c r="B26369" t="str" xml:space="preserve">
        <v xml:space="preserve">UBND Ủy ban nhân dân thị trấn Quy Đạt _x000d_
 tỉnh Quảng Bình</v>
      </c>
      <c r="C26369" t="str">
        <v>-</v>
      </c>
      <c r="D26369" t="str">
        <v>-</v>
      </c>
      <c r="E26369" t="str">
        <v>-</v>
      </c>
      <c r="F26369" t="str">
        <v>-</v>
      </c>
      <c r="G26369" t="str">
        <v>-</v>
      </c>
    </row>
    <row r="26370">
      <c r="B26370" t="str">
        <v>Công an thị trấn Đồng Lê tỉnh Quảng Bình</v>
      </c>
      <c r="C26370" t="str">
        <v>-</v>
      </c>
      <c r="D26370" t="str">
        <v>-</v>
      </c>
      <c r="E26370" t="str">
        <v/>
      </c>
      <c r="F26370" t="str">
        <v>-</v>
      </c>
      <c r="G26370" t="str">
        <v>-</v>
      </c>
    </row>
    <row r="26371">
      <c r="B26371" t="str">
        <v>UBND Ủy ban nhân dân thị trấn Đồng Lê tỉnh Quảng Bình</v>
      </c>
      <c r="C26371" t="str">
        <v>-</v>
      </c>
      <c r="D26371" t="str">
        <v>-</v>
      </c>
      <c r="E26371" t="str">
        <v>-</v>
      </c>
      <c r="F26371" t="str">
        <v>-</v>
      </c>
      <c r="G26371" t="str">
        <v>-</v>
      </c>
    </row>
    <row r="26372" xml:space="preserve">
      <c r="B26372" t="str" xml:space="preserve">
        <v xml:space="preserve">Công an thị trấn Hoàn Lão _x000d_
 tỉnh Quảng Bình</v>
      </c>
      <c r="C26372" t="str">
        <v>-</v>
      </c>
      <c r="D26372" t="str">
        <v>-</v>
      </c>
      <c r="E26372" t="str">
        <v/>
      </c>
      <c r="F26372" t="str">
        <v>-</v>
      </c>
      <c r="G26372" t="str">
        <v>-</v>
      </c>
    </row>
    <row r="26373" xml:space="preserve">
      <c r="B26373" t="str" xml:space="preserve">
        <v xml:space="preserve">UBND Ủy ban nhân dân thị trấn Hoàn Lão _x000d_
 tỉnh Quảng Bình</v>
      </c>
      <c r="C26373" t="str">
        <v>-</v>
      </c>
      <c r="D26373" t="str">
        <v>-</v>
      </c>
      <c r="E26373" t="str">
        <v>-</v>
      </c>
      <c r="F26373" t="str">
        <v>-</v>
      </c>
      <c r="G26373" t="str">
        <v>-</v>
      </c>
    </row>
    <row r="26374" xml:space="preserve">
      <c r="B26374" t="str" xml:space="preserve">
        <v xml:space="preserve">Công an thị trấn Nông Trường Việt Trung _x000d_
 tỉnh Quảng Bình</v>
      </c>
      <c r="C26374" t="str">
        <v>-</v>
      </c>
      <c r="D26374" t="str">
        <v>-</v>
      </c>
      <c r="E26374" t="str">
        <v/>
      </c>
      <c r="F26374" t="str">
        <v>-</v>
      </c>
      <c r="G26374" t="str">
        <v>-</v>
      </c>
    </row>
    <row r="26375" xml:space="preserve">
      <c r="B26375" t="str" xml:space="preserve">
        <v xml:space="preserve">UBND Ủy ban nhân dân thị trấn Nông Trường Việt Trung _x000d_
 tỉnh Quảng Bình</v>
      </c>
      <c r="C26375" t="str">
        <v>-</v>
      </c>
      <c r="D26375" t="str">
        <v>-</v>
      </c>
      <c r="E26375" t="str">
        <v>-</v>
      </c>
      <c r="F26375" t="str">
        <v>-</v>
      </c>
      <c r="G26375" t="str">
        <v>-</v>
      </c>
    </row>
    <row r="26376" xml:space="preserve">
      <c r="B26376" t="str" xml:space="preserve">
        <v xml:space="preserve">Công an thị trấn Quán Hàu _x000d_
 tỉnh Quảng Bình</v>
      </c>
      <c r="C26376" t="str">
        <v>-</v>
      </c>
      <c r="D26376" t="str">
        <v>-</v>
      </c>
      <c r="E26376" t="str">
        <v/>
      </c>
      <c r="F26376" t="str">
        <v>-</v>
      </c>
      <c r="G26376" t="str">
        <v>-</v>
      </c>
    </row>
    <row r="26377" xml:space="preserve">
      <c r="B26377" t="str" xml:space="preserve">
        <v xml:space="preserve">UBND Ủy ban nhân dân thị trấn Quán Hàu _x000d_
 tỉnh Quảng Bình</v>
      </c>
      <c r="C26377" t="str">
        <v>-</v>
      </c>
      <c r="D26377" t="str">
        <v>-</v>
      </c>
      <c r="E26377" t="str">
        <v>-</v>
      </c>
      <c r="F26377" t="str">
        <v>-</v>
      </c>
      <c r="G26377" t="str">
        <v>-</v>
      </c>
    </row>
    <row r="26378">
      <c r="B26378" t="str">
        <v>Công an thị trấn Nông Trường Lệ Ninh tỉnh Quảng Bình</v>
      </c>
      <c r="C26378" t="str">
        <v>-</v>
      </c>
      <c r="D26378" t="str">
        <v>-</v>
      </c>
      <c r="E26378" t="str">
        <v/>
      </c>
      <c r="F26378" t="str">
        <v>-</v>
      </c>
      <c r="G26378" t="str">
        <v>-</v>
      </c>
    </row>
    <row r="26379">
      <c r="B26379" t="str">
        <v>UBND Ủy ban nhân dân thị trấn Nông Trường Lệ Ninh tỉnh Quảng Bình</v>
      </c>
      <c r="C26379" t="str">
        <v>-</v>
      </c>
      <c r="D26379" t="str">
        <v>-</v>
      </c>
      <c r="E26379" t="str">
        <v>-</v>
      </c>
      <c r="F26379" t="str">
        <v>-</v>
      </c>
      <c r="G26379" t="str">
        <v>-</v>
      </c>
    </row>
    <row r="26380" xml:space="preserve">
      <c r="B26380" t="str" xml:space="preserve">
        <v xml:space="preserve">Công an thị trấn Kiến Giang _x000d_
 tỉnh Quảng Bình</v>
      </c>
      <c r="C26380" t="str">
        <v>-</v>
      </c>
      <c r="D26380" t="str">
        <v>-</v>
      </c>
      <c r="E26380" t="str">
        <v/>
      </c>
      <c r="F26380" t="str">
        <v>-</v>
      </c>
      <c r="G26380" t="str">
        <v>-</v>
      </c>
    </row>
    <row r="26381" xml:space="preserve">
      <c r="B26381" t="str" xml:space="preserve">
        <v xml:space="preserve">UBND Ủy ban nhân dân thị trấn Kiến Giang _x000d_
 tỉnh Quảng Bình</v>
      </c>
      <c r="C26381" t="str">
        <v>-</v>
      </c>
      <c r="D26381" t="str">
        <v>-</v>
      </c>
      <c r="E26381" t="str">
        <v>-</v>
      </c>
      <c r="F26381" t="str">
        <v>-</v>
      </c>
      <c r="G26381" t="str">
        <v>-</v>
      </c>
    </row>
    <row r="26382">
      <c r="B26382" t="str">
        <v>Công an thị trấn Prao  tỉnh Quảng Nam</v>
      </c>
      <c r="C26382" t="str">
        <v>-</v>
      </c>
      <c r="D26382" t="str">
        <v>-</v>
      </c>
      <c r="E26382" t="str">
        <v/>
      </c>
      <c r="F26382" t="str">
        <v>-</v>
      </c>
      <c r="G26382" t="str">
        <v>-</v>
      </c>
    </row>
    <row r="26383">
      <c r="B26383" t="str">
        <v>UBND Ủy ban nhân dân thị trấn Prao  tỉnh Quảng Nam</v>
      </c>
      <c r="C26383" t="str">
        <v>-</v>
      </c>
      <c r="D26383" t="str">
        <v>-</v>
      </c>
      <c r="E26383" t="str">
        <v>-</v>
      </c>
      <c r="F26383" t="str">
        <v>-</v>
      </c>
      <c r="G26383" t="str">
        <v>-</v>
      </c>
    </row>
    <row r="26384" xml:space="preserve">
      <c r="B26384" t="str" xml:space="preserve">
        <v xml:space="preserve">Công an thị trấn Ái Nghĩa _x000d_
 tỉnh Quảng Nam</v>
      </c>
      <c r="C26384" t="str">
        <v>-</v>
      </c>
      <c r="D26384" t="str">
        <v>-</v>
      </c>
      <c r="E26384" t="str">
        <v/>
      </c>
      <c r="F26384" t="str">
        <v>-</v>
      </c>
      <c r="G26384" t="str">
        <v>-</v>
      </c>
    </row>
    <row r="26385" xml:space="preserve">
      <c r="B26385" t="str" xml:space="preserve">
        <v xml:space="preserve">UBND Ủy ban nhân dân thị trấn Ái Nghĩa _x000d_
 tỉnh Quảng Nam</v>
      </c>
      <c r="C26385" t="str">
        <v>-</v>
      </c>
      <c r="D26385" t="str">
        <v>-</v>
      </c>
      <c r="E26385" t="str">
        <v>-</v>
      </c>
      <c r="F26385" t="str">
        <v>-</v>
      </c>
      <c r="G26385" t="str">
        <v>-</v>
      </c>
    </row>
    <row r="26386" xml:space="preserve">
      <c r="B26386" t="str" xml:space="preserve">
        <v xml:space="preserve">Công an thị trấn Nam Phước _x000d_
 tỉnh Quảng Nam</v>
      </c>
      <c r="C26386" t="str">
        <v>-</v>
      </c>
      <c r="D26386" t="str">
        <v>-</v>
      </c>
      <c r="E26386" t="str">
        <v/>
      </c>
      <c r="F26386" t="str">
        <v>-</v>
      </c>
      <c r="G26386" t="str">
        <v>-</v>
      </c>
    </row>
    <row r="26387" xml:space="preserve">
      <c r="B26387" t="str" xml:space="preserve">
        <v xml:space="preserve">UBND Ủy ban nhân dân thị trấn Nam Phước _x000d_
 tỉnh Quảng Nam</v>
      </c>
      <c r="C26387" t="str">
        <v>-</v>
      </c>
      <c r="D26387" t="str">
        <v>-</v>
      </c>
      <c r="E26387" t="str">
        <v>-</v>
      </c>
      <c r="F26387" t="str">
        <v>-</v>
      </c>
      <c r="G26387" t="str">
        <v>-</v>
      </c>
    </row>
    <row r="26388" xml:space="preserve">
      <c r="B26388" t="str" xml:space="preserve">
        <v xml:space="preserve">Công an thị trấn Đông Phú _x000d_
 tỉnh Quảng Nam</v>
      </c>
      <c r="C26388" t="str">
        <v>-</v>
      </c>
      <c r="D26388" t="str">
        <v>-</v>
      </c>
      <c r="E26388" t="str">
        <v/>
      </c>
      <c r="F26388" t="str">
        <v>-</v>
      </c>
      <c r="G26388" t="str">
        <v>-</v>
      </c>
    </row>
    <row r="26389" xml:space="preserve">
      <c r="B26389" t="str" xml:space="preserve">
        <v xml:space="preserve">UBND Ủy ban nhân dân thị trấn Đông Phú _x000d_
 tỉnh Quảng Nam</v>
      </c>
      <c r="C26389" t="str">
        <v>-</v>
      </c>
      <c r="D26389" t="str">
        <v>-</v>
      </c>
      <c r="E26389" t="str">
        <v>-</v>
      </c>
      <c r="F26389" t="str">
        <v>-</v>
      </c>
      <c r="G26389" t="str">
        <v>-</v>
      </c>
    </row>
    <row r="26390" xml:space="preserve">
      <c r="B26390" t="str" xml:space="preserve">
        <v xml:space="preserve">Công an thị trấn Thạnh Mỹ _x000d_
 tỉnh Quảng Nam</v>
      </c>
      <c r="C26390" t="str">
        <v>-</v>
      </c>
      <c r="D26390" t="str">
        <v>-</v>
      </c>
      <c r="E26390" t="str">
        <v/>
      </c>
      <c r="F26390" t="str">
        <v>-</v>
      </c>
      <c r="G26390" t="str">
        <v>-</v>
      </c>
    </row>
    <row r="26391" xml:space="preserve">
      <c r="B26391" t="str" xml:space="preserve">
        <v xml:space="preserve">UBND Ủy ban nhân dân thị trấn Thạnh Mỹ _x000d_
 tỉnh Quảng Nam</v>
      </c>
      <c r="C26391" t="str">
        <v>-</v>
      </c>
      <c r="D26391" t="str">
        <v>-</v>
      </c>
      <c r="E26391" t="str">
        <v>-</v>
      </c>
      <c r="F26391" t="str">
        <v>-</v>
      </c>
      <c r="G26391" t="str">
        <v>-</v>
      </c>
    </row>
    <row r="26392" xml:space="preserve">
      <c r="B26392" t="str" xml:space="preserve">
        <v xml:space="preserve">Công an thị trấn Khâm Đức _x000d_
 tỉnh Quảng Nam</v>
      </c>
      <c r="C26392" t="str">
        <v>-</v>
      </c>
      <c r="D26392" t="str">
        <v>-</v>
      </c>
      <c r="E26392" t="str">
        <v/>
      </c>
      <c r="F26392" t="str">
        <v>-</v>
      </c>
      <c r="G26392" t="str">
        <v>-</v>
      </c>
    </row>
    <row r="26393" xml:space="preserve">
      <c r="B26393" t="str" xml:space="preserve">
        <v xml:space="preserve">UBND Ủy ban nhân dân thị trấn Khâm Đức _x000d_
 tỉnh Quảng Nam</v>
      </c>
      <c r="C26393" t="str">
        <v>-</v>
      </c>
      <c r="D26393" t="str">
        <v>-</v>
      </c>
      <c r="E26393" t="str">
        <v>-</v>
      </c>
      <c r="F26393" t="str">
        <v>-</v>
      </c>
      <c r="G26393" t="str">
        <v>-</v>
      </c>
    </row>
    <row r="26394" xml:space="preserve">
      <c r="B26394" t="str" xml:space="preserve">
        <v xml:space="preserve">Công an thị trấn Hà Lam _x000d_
 tỉnh Quảng Nam</v>
      </c>
      <c r="C26394" t="str">
        <v>-</v>
      </c>
      <c r="D26394" t="str">
        <v>-</v>
      </c>
      <c r="E26394" t="str">
        <v/>
      </c>
      <c r="F26394" t="str">
        <v>-</v>
      </c>
      <c r="G26394" t="str">
        <v>-</v>
      </c>
    </row>
    <row r="26395" xml:space="preserve">
      <c r="B26395" t="str" xml:space="preserve">
        <v xml:space="preserve">UBND Ủy ban nhân dân thị trấn Hà Lam _x000d_
 tỉnh Quảng Nam</v>
      </c>
      <c r="C26395" t="str">
        <v>-</v>
      </c>
      <c r="D26395" t="str">
        <v>-</v>
      </c>
      <c r="E26395" t="str">
        <v>-</v>
      </c>
      <c r="F26395" t="str">
        <v>-</v>
      </c>
      <c r="G26395" t="str">
        <v>-</v>
      </c>
    </row>
    <row r="26396" xml:space="preserve">
      <c r="B26396" t="str" xml:space="preserve">
        <v xml:space="preserve">Công an thị trấn Tiên Kỳ _x000d_
 tỉnh Quảng Nam</v>
      </c>
      <c r="C26396" t="str">
        <v>-</v>
      </c>
      <c r="D26396" t="str">
        <v>-</v>
      </c>
      <c r="E26396" t="str">
        <v/>
      </c>
      <c r="F26396" t="str">
        <v>-</v>
      </c>
      <c r="G26396" t="str">
        <v>-</v>
      </c>
    </row>
    <row r="26397" xml:space="preserve">
      <c r="B26397" t="str" xml:space="preserve">
        <v xml:space="preserve">UBND Ủy ban nhân dân thị trấn Tiên Kỳ _x000d_
 tỉnh Quảng Nam</v>
      </c>
      <c r="C26397" t="str">
        <v>-</v>
      </c>
      <c r="D26397" t="str">
        <v>-</v>
      </c>
      <c r="E26397" t="str">
        <v>-</v>
      </c>
      <c r="F26397" t="str">
        <v>-</v>
      </c>
      <c r="G26397" t="str">
        <v>-</v>
      </c>
    </row>
    <row r="26398" xml:space="preserve">
      <c r="B26398" t="str" xml:space="preserve">
        <v xml:space="preserve">Công an thị trấn Trà My _x000d_
 tỉnh Quảng Nam</v>
      </c>
      <c r="C26398" t="str">
        <v>-</v>
      </c>
      <c r="D26398" t="str">
        <v>-</v>
      </c>
      <c r="E26398" t="str">
        <v/>
      </c>
      <c r="F26398" t="str">
        <v>-</v>
      </c>
      <c r="G26398" t="str">
        <v>-</v>
      </c>
    </row>
    <row r="26399" xml:space="preserve">
      <c r="B26399" t="str" xml:space="preserve">
        <v xml:space="preserve">UBND Ủy ban nhân dân thị trấn Trà My _x000d_
 tỉnh Quảng Nam</v>
      </c>
      <c r="C26399" t="str">
        <v>-</v>
      </c>
      <c r="D26399" t="str">
        <v>-</v>
      </c>
      <c r="E26399" t="str">
        <v>-</v>
      </c>
      <c r="F26399" t="str">
        <v>-</v>
      </c>
      <c r="G26399" t="str">
        <v>-</v>
      </c>
    </row>
    <row r="26400" xml:space="preserve">
      <c r="B26400" t="str" xml:space="preserve">
        <v xml:space="preserve">Công an thị trấn Núi Thành _x000d_
 tỉnh Quảng Nam</v>
      </c>
      <c r="C26400" t="str">
        <v>-</v>
      </c>
      <c r="D26400" t="str">
        <v>-</v>
      </c>
      <c r="E26400" t="str">
        <v/>
      </c>
      <c r="F26400" t="str">
        <v>-</v>
      </c>
      <c r="G26400" t="str">
        <v>-</v>
      </c>
    </row>
    <row r="26401" xml:space="preserve">
      <c r="B26401" t="str" xml:space="preserve">
        <v xml:space="preserve">UBND Ủy ban nhân dân thị trấn Núi Thành _x000d_
 tỉnh Quảng Nam</v>
      </c>
      <c r="C26401" t="str">
        <v>-</v>
      </c>
      <c r="D26401" t="str">
        <v>-</v>
      </c>
      <c r="E26401" t="str">
        <v>-</v>
      </c>
      <c r="F26401" t="str">
        <v>-</v>
      </c>
      <c r="G26401" t="str">
        <v>-</v>
      </c>
    </row>
    <row r="26402" xml:space="preserve">
      <c r="B26402" t="str" xml:space="preserve">
        <v xml:space="preserve">Công an thị trấn Phú Thịnh _x000d_
 tỉnh Quảng Nam</v>
      </c>
      <c r="C26402" t="str">
        <v>-</v>
      </c>
      <c r="D26402" t="str">
        <v>-</v>
      </c>
      <c r="E26402" t="str">
        <v/>
      </c>
      <c r="F26402" t="str">
        <v>-</v>
      </c>
      <c r="G26402" t="str">
        <v>-</v>
      </c>
    </row>
    <row r="26403" xml:space="preserve">
      <c r="B26403" t="str" xml:space="preserve">
        <v xml:space="preserve">UBND Ủy ban nhân dân thị trấn Phú Thịnh _x000d_
 tỉnh Quảng Nam</v>
      </c>
      <c r="C26403" t="str">
        <v>-</v>
      </c>
      <c r="D26403" t="str">
        <v>-</v>
      </c>
      <c r="E26403" t="str">
        <v>-</v>
      </c>
      <c r="F26403" t="str">
        <v>-</v>
      </c>
      <c r="G26403" t="str">
        <v>-</v>
      </c>
    </row>
    <row r="26404" xml:space="preserve">
      <c r="B26404" t="str" xml:space="preserve">
        <v xml:space="preserve">Công an thị trấn Hồ Xá _x000d_
 tỉnh Quảng Trị</v>
      </c>
      <c r="C26404" t="str">
        <v>-</v>
      </c>
      <c r="D26404" t="str">
        <v>-</v>
      </c>
      <c r="E26404" t="str">
        <v/>
      </c>
      <c r="F26404" t="str">
        <v>-</v>
      </c>
      <c r="G26404" t="str">
        <v>-</v>
      </c>
    </row>
    <row r="26405" xml:space="preserve">
      <c r="B26405" t="str" xml:space="preserve">
        <v xml:space="preserve">UBND Ủy ban nhân dân thị trấn Hồ Xá _x000d_
 tỉnh Quảng Trị</v>
      </c>
      <c r="C26405" t="str">
        <v>-</v>
      </c>
      <c r="D26405" t="str">
        <v>-</v>
      </c>
      <c r="E26405" t="str">
        <v>-</v>
      </c>
      <c r="F26405" t="str">
        <v>-</v>
      </c>
      <c r="G26405" t="str">
        <v>-</v>
      </c>
    </row>
    <row r="26406" xml:space="preserve">
      <c r="B26406" t="str" xml:space="preserve">
        <v xml:space="preserve">Công an thị trấn Cửa Tùng _x000d_
 tỉnh Quảng Trị</v>
      </c>
      <c r="C26406" t="str">
        <v>-</v>
      </c>
      <c r="D26406" t="str">
        <v>-</v>
      </c>
      <c r="E26406" t="str">
        <v/>
      </c>
      <c r="F26406" t="str">
        <v>-</v>
      </c>
      <c r="G26406" t="str">
        <v>-</v>
      </c>
    </row>
    <row r="26407" xml:space="preserve">
      <c r="B26407" t="str" xml:space="preserve">
        <v xml:space="preserve">UBND Ủy ban nhân dân thị trấn Cửa Tùng _x000d_
 tỉnh Quảng Trị</v>
      </c>
      <c r="C26407" t="str">
        <v>-</v>
      </c>
      <c r="D26407" t="str">
        <v>-</v>
      </c>
      <c r="E26407" t="str">
        <v>-</v>
      </c>
      <c r="F26407" t="str">
        <v>-</v>
      </c>
      <c r="G26407" t="str">
        <v>-</v>
      </c>
    </row>
    <row r="26408" xml:space="preserve">
      <c r="B26408" t="str" xml:space="preserve">
        <v xml:space="preserve">Công an thị trấn Lao Bảo _x000d_
 tỉnh Quảng Trị</v>
      </c>
      <c r="C26408" t="str">
        <v>-</v>
      </c>
      <c r="D26408" t="str">
        <v>-</v>
      </c>
      <c r="E26408" t="str">
        <v/>
      </c>
      <c r="F26408" t="str">
        <v>-</v>
      </c>
      <c r="G26408" t="str">
        <v>-</v>
      </c>
    </row>
    <row r="26409" xml:space="preserve">
      <c r="B26409" t="str" xml:space="preserve">
        <v xml:space="preserve">UBND Ủy ban nhân dân thị trấn Lao Bảo _x000d_
 tỉnh Quảng Trị</v>
      </c>
      <c r="C26409" t="str">
        <v>-</v>
      </c>
      <c r="D26409" t="str">
        <v>-</v>
      </c>
      <c r="E26409" t="str">
        <v>-</v>
      </c>
      <c r="F26409" t="str">
        <v>-</v>
      </c>
      <c r="G26409" t="str">
        <v>-</v>
      </c>
    </row>
    <row r="26410" xml:space="preserve">
      <c r="B26410" t="str" xml:space="preserve">
        <v xml:space="preserve">Công an thị trấn Gio Linh _x000d_
 tỉnh Quảng Trị</v>
      </c>
      <c r="C26410" t="str">
        <v>-</v>
      </c>
      <c r="D26410" t="str">
        <v>-</v>
      </c>
      <c r="E26410" t="str">
        <v/>
      </c>
      <c r="F26410" t="str">
        <v>-</v>
      </c>
      <c r="G26410" t="str">
        <v>-</v>
      </c>
    </row>
    <row r="26411" xml:space="preserve">
      <c r="B26411" t="str" xml:space="preserve">
        <v xml:space="preserve">UBND Ủy ban nhân dân thị trấn Gio Linh _x000d_
 tỉnh Quảng Trị</v>
      </c>
      <c r="C26411" t="str">
        <v>-</v>
      </c>
      <c r="D26411" t="str">
        <v>-</v>
      </c>
      <c r="E26411" t="str">
        <v>-</v>
      </c>
      <c r="F26411" t="str">
        <v>-</v>
      </c>
      <c r="G26411" t="str">
        <v>-</v>
      </c>
    </row>
    <row r="26412" xml:space="preserve">
      <c r="B26412" t="str" xml:space="preserve">
        <v xml:space="preserve">Công an thị trấn Cửa Việt _x000d_
 tỉnh Quảng Trị</v>
      </c>
      <c r="C26412" t="str">
        <v>-</v>
      </c>
      <c r="D26412" t="str">
        <v>-</v>
      </c>
      <c r="E26412" t="str">
        <v/>
      </c>
      <c r="F26412" t="str">
        <v>-</v>
      </c>
      <c r="G26412" t="str">
        <v>-</v>
      </c>
    </row>
    <row r="26413" xml:space="preserve">
      <c r="B26413" t="str" xml:space="preserve">
        <v xml:space="preserve">UBND Ủy ban nhân dân thị trấn Cửa Việt _x000d_
 tỉnh Quảng Trị</v>
      </c>
      <c r="C26413" t="str">
        <v>-</v>
      </c>
      <c r="D26413" t="str">
        <v>-</v>
      </c>
      <c r="E26413" t="str">
        <v>-</v>
      </c>
      <c r="F26413" t="str">
        <v>-</v>
      </c>
      <c r="G26413" t="str">
        <v>-</v>
      </c>
    </row>
    <row r="26414" xml:space="preserve">
      <c r="B26414" t="str" xml:space="preserve">
        <v xml:space="preserve">Công an thị trấn Ái Tử _x000d_
 tỉnh Quảng Trị</v>
      </c>
      <c r="C26414" t="str">
        <v>-</v>
      </c>
      <c r="D26414" t="str">
        <v>-</v>
      </c>
      <c r="E26414" t="str">
        <v/>
      </c>
      <c r="F26414" t="str">
        <v>-</v>
      </c>
      <c r="G26414" t="str">
        <v>-</v>
      </c>
    </row>
    <row r="26415" xml:space="preserve">
      <c r="B26415" t="str" xml:space="preserve">
        <v xml:space="preserve">UBND Ủy ban nhân dân thị trấn Ái Tử _x000d_
 tỉnh Quảng Trị</v>
      </c>
      <c r="C26415" t="str">
        <v>-</v>
      </c>
      <c r="D26415" t="str">
        <v>-</v>
      </c>
      <c r="E26415" t="str">
        <v>-</v>
      </c>
      <c r="F26415" t="str">
        <v>-</v>
      </c>
      <c r="G26415" t="str">
        <v>-</v>
      </c>
    </row>
    <row r="26416" xml:space="preserve">
      <c r="B26416" t="str" xml:space="preserve">
        <v xml:space="preserve">Công an thị trấn Huỳnh Hữu Nghĩa _x000d_
 tỉnh Sóc Trăng</v>
      </c>
      <c r="C26416" t="str">
        <v>-</v>
      </c>
      <c r="D26416" t="str">
        <v>-</v>
      </c>
      <c r="E26416" t="str">
        <v/>
      </c>
      <c r="F26416" t="str">
        <v>-</v>
      </c>
      <c r="G26416" t="str">
        <v>-</v>
      </c>
    </row>
    <row r="26417" xml:space="preserve">
      <c r="B26417" t="str" xml:space="preserve">
        <v xml:space="preserve">UBND Ủy ban nhân dân thị trấn Huỳnh Hữu Nghĩa _x000d_
 tỉnh Sóc Trăng</v>
      </c>
      <c r="C26417" t="str">
        <v>-</v>
      </c>
      <c r="D26417" t="str">
        <v>-</v>
      </c>
      <c r="E26417" t="str">
        <v>-</v>
      </c>
      <c r="F26417" t="str">
        <v>-</v>
      </c>
      <c r="G26417" t="str">
        <v>-</v>
      </c>
    </row>
    <row r="26418" xml:space="preserve">
      <c r="B26418" t="str" xml:space="preserve">
        <v xml:space="preserve">Công an thị trấn Tân Biên _x000d_
 tỉnh TÂY NINH</v>
      </c>
      <c r="C26418" t="str">
        <v>-</v>
      </c>
      <c r="D26418" t="str">
        <v>-</v>
      </c>
      <c r="E26418" t="str">
        <v/>
      </c>
      <c r="F26418" t="str">
        <v>-</v>
      </c>
      <c r="G26418" t="str">
        <v>-</v>
      </c>
    </row>
    <row r="26419" xml:space="preserve">
      <c r="B26419" t="str" xml:space="preserve">
        <v xml:space="preserve">UBND Ủy ban nhân dân thị trấn Tân Biên _x000d_
 tỉnh TÂY NINH</v>
      </c>
      <c r="C26419" t="str">
        <v>-</v>
      </c>
      <c r="D26419" t="str">
        <v>-</v>
      </c>
      <c r="E26419" t="str">
        <v>-</v>
      </c>
      <c r="F26419" t="str">
        <v>-</v>
      </c>
      <c r="G26419" t="str">
        <v>-</v>
      </c>
    </row>
    <row r="26420" xml:space="preserve">
      <c r="B26420" t="str" xml:space="preserve">
        <v xml:space="preserve">Công an thị trấn Tân Châu _x000d_
 tỉnh TÂY NINH</v>
      </c>
      <c r="C26420" t="str">
        <v>-</v>
      </c>
      <c r="D26420" t="str">
        <v>-</v>
      </c>
      <c r="E26420" t="str">
        <v/>
      </c>
      <c r="F26420" t="str">
        <v>-</v>
      </c>
      <c r="G26420" t="str">
        <v>-</v>
      </c>
    </row>
    <row r="26421" xml:space="preserve">
      <c r="B26421" t="str" xml:space="preserve">
        <v xml:space="preserve">UBND Ủy ban nhân dân thị trấn Tân Châu _x000d_
 tỉnh TÂY NINH</v>
      </c>
      <c r="C26421" t="str">
        <v>-</v>
      </c>
      <c r="D26421" t="str">
        <v>-</v>
      </c>
      <c r="E26421" t="str">
        <v>-</v>
      </c>
      <c r="F26421" t="str">
        <v>-</v>
      </c>
      <c r="G26421" t="str">
        <v>-</v>
      </c>
    </row>
    <row r="26422" xml:space="preserve">
      <c r="B26422" t="str" xml:space="preserve">
        <v xml:space="preserve">Công an thị trấn Dương Minh Châu _x000d_
 tỉnh TÂY NINH</v>
      </c>
      <c r="C26422" t="str">
        <v>-</v>
      </c>
      <c r="D26422" t="str">
        <v>-</v>
      </c>
      <c r="E26422" t="str">
        <v/>
      </c>
      <c r="F26422" t="str">
        <v>-</v>
      </c>
      <c r="G26422" t="str">
        <v>-</v>
      </c>
    </row>
    <row r="26423" xml:space="preserve">
      <c r="B26423" t="str" xml:space="preserve">
        <v xml:space="preserve">UBND Ủy ban nhân dân thị trấn Dương Minh Châu _x000d_
 tỉnh TÂY NINH</v>
      </c>
      <c r="C26423" t="str">
        <v>-</v>
      </c>
      <c r="D26423" t="str">
        <v>-</v>
      </c>
      <c r="E26423" t="str">
        <v>-</v>
      </c>
      <c r="F26423" t="str">
        <v>-</v>
      </c>
      <c r="G26423" t="str">
        <v>-</v>
      </c>
    </row>
    <row r="26424">
      <c r="B26424" t="str">
        <v>Công an thị trấn Châu Thành tỉnh TÂY NINH</v>
      </c>
      <c r="C26424" t="str">
        <v>-</v>
      </c>
      <c r="D26424" t="str">
        <v>-</v>
      </c>
      <c r="E26424" t="str">
        <v/>
      </c>
      <c r="F26424" t="str">
        <v>-</v>
      </c>
      <c r="G26424" t="str">
        <v>-</v>
      </c>
    </row>
    <row r="26425">
      <c r="B26425" t="str">
        <v>UBND Ủy ban nhân dân thị trấn Châu Thành tỉnh TÂY NINH</v>
      </c>
      <c r="C26425" t="str">
        <v>-</v>
      </c>
      <c r="D26425" t="str">
        <v>-</v>
      </c>
      <c r="E26425" t="str">
        <v>-</v>
      </c>
      <c r="F26425" t="str">
        <v>-</v>
      </c>
      <c r="G26425" t="str">
        <v>-</v>
      </c>
    </row>
    <row r="26426" xml:space="preserve">
      <c r="B26426" t="str" xml:space="preserve">
        <v xml:space="preserve">Công an thị trấn Gò Dầu _x000d_
 tỉnh TÂY NINH</v>
      </c>
      <c r="C26426" t="str">
        <v>-</v>
      </c>
      <c r="D26426" t="str">
        <v>-</v>
      </c>
      <c r="E26426" t="str">
        <v/>
      </c>
      <c r="F26426" t="str">
        <v>-</v>
      </c>
      <c r="G26426" t="str">
        <v>-</v>
      </c>
    </row>
    <row r="26427" xml:space="preserve">
      <c r="B26427" t="str" xml:space="preserve">
        <v xml:space="preserve">UBND Ủy ban nhân dân thị trấn Gò Dầu _x000d_
 tỉnh TÂY NINH</v>
      </c>
      <c r="C26427" t="str">
        <v>-</v>
      </c>
      <c r="D26427" t="str">
        <v>-</v>
      </c>
      <c r="E26427" t="str">
        <v>-</v>
      </c>
      <c r="F26427" t="str">
        <v>-</v>
      </c>
      <c r="G26427" t="str">
        <v>-</v>
      </c>
    </row>
    <row r="26428" xml:space="preserve">
      <c r="B26428" t="str" xml:space="preserve">
        <v xml:space="preserve">Công an thị trấn Bến Cầu _x000d_
 tỉnh TÂY NINH</v>
      </c>
      <c r="C26428" t="str">
        <v>-</v>
      </c>
      <c r="D26428" t="str">
        <v>-</v>
      </c>
      <c r="E26428" t="str">
        <v/>
      </c>
      <c r="F26428" t="str">
        <v>-</v>
      </c>
      <c r="G26428" t="str">
        <v>-</v>
      </c>
    </row>
    <row r="26429" xml:space="preserve">
      <c r="B26429" t="str" xml:space="preserve">
        <v xml:space="preserve">UBND Ủy ban nhân dân thị trấn Bến Cầu _x000d_
 tỉnh TÂY NINH</v>
      </c>
      <c r="C26429" t="str">
        <v>-</v>
      </c>
      <c r="D26429" t="str">
        <v>-</v>
      </c>
      <c r="E26429" t="str">
        <v>-</v>
      </c>
      <c r="F26429" t="str">
        <v>-</v>
      </c>
      <c r="G26429" t="str">
        <v>-</v>
      </c>
    </row>
    <row r="26430" xml:space="preserve">
      <c r="B26430" t="str" xml:space="preserve">
        <v xml:space="preserve">Công an thị trấn Cái Bè _x000d_
 tỉnh TIỀN GIANG</v>
      </c>
      <c r="C26430" t="str">
        <v>-</v>
      </c>
      <c r="D26430" t="str">
        <v>-</v>
      </c>
      <c r="E26430" t="str">
        <v/>
      </c>
      <c r="F26430" t="str">
        <v>-</v>
      </c>
      <c r="G26430" t="str">
        <v>-</v>
      </c>
    </row>
    <row r="26431" xml:space="preserve">
      <c r="B26431" t="str" xml:space="preserve">
        <v xml:space="preserve">UBND Ủy ban nhân dân thị trấn Cái Bè _x000d_
 tỉnh TIỀN GIANG</v>
      </c>
      <c r="C26431" t="str">
        <v>-</v>
      </c>
      <c r="D26431" t="str">
        <v>-</v>
      </c>
      <c r="E26431" t="str">
        <v>-</v>
      </c>
      <c r="F26431" t="str">
        <v>-</v>
      </c>
      <c r="G26431" t="str">
        <v>-</v>
      </c>
    </row>
    <row r="26432">
      <c r="B26432" t="str">
        <v>Công an thị trấn Tân Hiệp tỉnh TIỀN GIANG</v>
      </c>
      <c r="C26432" t="str">
        <v>-</v>
      </c>
      <c r="D26432" t="str">
        <v>-</v>
      </c>
      <c r="E26432" t="str">
        <v/>
      </c>
      <c r="F26432" t="str">
        <v>-</v>
      </c>
      <c r="G26432" t="str">
        <v>-</v>
      </c>
    </row>
    <row r="26433">
      <c r="B26433" t="str">
        <v>UBND Ủy ban nhân dân thị trấn Tân Hiệp tỉnh TIỀN GIANG</v>
      </c>
      <c r="C26433" t="str">
        <v>-</v>
      </c>
      <c r="D26433" t="str">
        <v>-</v>
      </c>
      <c r="E26433" t="str">
        <v>-</v>
      </c>
      <c r="F26433" t="str">
        <v>-</v>
      </c>
      <c r="G26433" t="str">
        <v>-</v>
      </c>
    </row>
    <row r="26434" xml:space="preserve">
      <c r="B26434" t="str" xml:space="preserve">
        <v xml:space="preserve">Công an thị trấn Càng Long _x000d_
 tỉnh Bến Tre</v>
      </c>
      <c r="C26434" t="str">
        <v>-</v>
      </c>
      <c r="D26434" t="str">
        <v>-</v>
      </c>
      <c r="E26434" t="str">
        <v/>
      </c>
      <c r="F26434" t="str">
        <v>-</v>
      </c>
      <c r="G26434" t="str">
        <v>-</v>
      </c>
    </row>
    <row r="26435" xml:space="preserve">
      <c r="B26435" t="str" xml:space="preserve">
        <v xml:space="preserve">UBND Ủy ban nhân dân thị trấn Càng Long _x000d_
 tỉnh Bến Tre</v>
      </c>
      <c r="C26435" t="str">
        <v>-</v>
      </c>
      <c r="D26435" t="str">
        <v>-</v>
      </c>
      <c r="E26435" t="str">
        <v>-</v>
      </c>
      <c r="F26435" t="str">
        <v>-</v>
      </c>
      <c r="G26435" t="str">
        <v>-</v>
      </c>
    </row>
    <row r="26436">
      <c r="B26436" t="str">
        <v>Công an thị trấn Cầu Kè  tỉnh Trà Vinh</v>
      </c>
      <c r="C26436" t="str">
        <v>-</v>
      </c>
      <c r="D26436" t="str">
        <v>-</v>
      </c>
      <c r="E26436" t="str">
        <v/>
      </c>
      <c r="F26436" t="str">
        <v>-</v>
      </c>
      <c r="G26436" t="str">
        <v>-</v>
      </c>
    </row>
    <row r="26437">
      <c r="B26437" t="str">
        <v>UBND Ủy ban nhân dân thị trấn Cầu Kè  tỉnh Trà Vinh</v>
      </c>
      <c r="C26437" t="str">
        <v>-</v>
      </c>
      <c r="D26437" t="str">
        <v>-</v>
      </c>
      <c r="E26437" t="str">
        <v>-</v>
      </c>
      <c r="F26437" t="str">
        <v>-</v>
      </c>
      <c r="G26437" t="str">
        <v>-</v>
      </c>
    </row>
    <row r="26438" xml:space="preserve">
      <c r="B26438" t="str" xml:space="preserve">
        <v xml:space="preserve">Công an thị trấn Cầu Quan _x000d_
 tỉnh Trà Vinh</v>
      </c>
      <c r="C26438" t="str">
        <v>-</v>
      </c>
      <c r="D26438" t="str">
        <v>-</v>
      </c>
      <c r="E26438" t="str">
        <v/>
      </c>
      <c r="F26438" t="str">
        <v>-</v>
      </c>
      <c r="G26438" t="str">
        <v>-</v>
      </c>
    </row>
    <row r="26439" xml:space="preserve">
      <c r="B26439" t="str" xml:space="preserve">
        <v xml:space="preserve">UBND Ủy ban nhân dân thị trấn Cầu Quan _x000d_
 tỉnh Trà Vinh</v>
      </c>
      <c r="C26439" t="str">
        <v>-</v>
      </c>
      <c r="D26439" t="str">
        <v>-</v>
      </c>
      <c r="E26439" t="str">
        <v>-</v>
      </c>
      <c r="F26439" t="str">
        <v>-</v>
      </c>
      <c r="G26439" t="str">
        <v>-</v>
      </c>
    </row>
    <row r="26440" xml:space="preserve">
      <c r="B26440" t="str" xml:space="preserve">
        <v xml:space="preserve">Công an thị trấn Châu Thành _x000d_
 tỉnh Trà Vinh</v>
      </c>
      <c r="C26440" t="str">
        <v>-</v>
      </c>
      <c r="D26440" t="str">
        <v>-</v>
      </c>
      <c r="E26440" t="str">
        <v/>
      </c>
      <c r="F26440" t="str">
        <v>-</v>
      </c>
      <c r="G26440" t="str">
        <v>-</v>
      </c>
    </row>
    <row r="26441" xml:space="preserve">
      <c r="B26441" t="str" xml:space="preserve">
        <v xml:space="preserve">UBND Ủy ban nhân dân thị trấn Châu Thành _x000d_
 tỉnh Trà Vinh</v>
      </c>
      <c r="C26441" t="str">
        <v>-</v>
      </c>
      <c r="D26441" t="str">
        <v>-</v>
      </c>
      <c r="E26441" t="str">
        <v>-</v>
      </c>
      <c r="F26441" t="str">
        <v>-</v>
      </c>
      <c r="G26441" t="str">
        <v>-</v>
      </c>
    </row>
    <row r="26442" xml:space="preserve">
      <c r="B26442" t="str" xml:space="preserve">
        <v xml:space="preserve">Công an thị trấn Cầu Ngang _x000d_
 tỉnh Trà Vinh</v>
      </c>
      <c r="C26442" t="str">
        <v>-</v>
      </c>
      <c r="D26442" t="str">
        <v>-</v>
      </c>
      <c r="E26442" t="str">
        <v/>
      </c>
      <c r="F26442" t="str">
        <v>-</v>
      </c>
      <c r="G26442" t="str">
        <v>-</v>
      </c>
    </row>
    <row r="26443" xml:space="preserve">
      <c r="B26443" t="str" xml:space="preserve">
        <v xml:space="preserve">UBND Ủy ban nhân dân thị trấn Cầu Ngang _x000d_
 tỉnh Trà Vinh</v>
      </c>
      <c r="C26443" t="str">
        <v>-</v>
      </c>
      <c r="D26443" t="str">
        <v>-</v>
      </c>
      <c r="E26443" t="str">
        <v>-</v>
      </c>
      <c r="F26443" t="str">
        <v>-</v>
      </c>
      <c r="G26443" t="str">
        <v>-</v>
      </c>
    </row>
    <row r="26444" xml:space="preserve">
      <c r="B26444" t="str" xml:space="preserve">
        <v xml:space="preserve">Công an thị trấn Mỹ Long _x000d_
 tỉnh Trà Vinh</v>
      </c>
      <c r="C26444" t="str">
        <v>-</v>
      </c>
      <c r="D26444" t="str">
        <v>-</v>
      </c>
      <c r="E26444" t="str">
        <v/>
      </c>
      <c r="F26444" t="str">
        <v>-</v>
      </c>
      <c r="G26444" t="str">
        <v>-</v>
      </c>
    </row>
    <row r="26445" xml:space="preserve">
      <c r="B26445" t="str" xml:space="preserve">
        <v xml:space="preserve">UBND Ủy ban nhân dân thị trấn Mỹ Long _x000d_
 tỉnh Trà Vinh</v>
      </c>
      <c r="C26445" t="str">
        <v>-</v>
      </c>
      <c r="D26445" t="str">
        <v>-</v>
      </c>
      <c r="E26445" t="str">
        <v>-</v>
      </c>
      <c r="F26445" t="str">
        <v>-</v>
      </c>
      <c r="G26445" t="str">
        <v>-</v>
      </c>
    </row>
    <row r="26446" xml:space="preserve">
      <c r="B26446" t="str" xml:space="preserve">
        <v xml:space="preserve">Công an thị trấn Trà Cú _x000d_
 tỉnh Trà Vinh</v>
      </c>
      <c r="C26446" t="str">
        <v>-</v>
      </c>
      <c r="D26446" t="str">
        <v>-</v>
      </c>
      <c r="E26446" t="str">
        <v/>
      </c>
      <c r="F26446" t="str">
        <v>-</v>
      </c>
      <c r="G26446" t="str">
        <v>-</v>
      </c>
    </row>
    <row r="26447" xml:space="preserve">
      <c r="B26447" t="str" xml:space="preserve">
        <v xml:space="preserve">UBND Ủy ban nhân dân thị trấn Trà Cú _x000d_
 tỉnh Trà Vinh</v>
      </c>
      <c r="C26447" t="str">
        <v>-</v>
      </c>
      <c r="D26447" t="str">
        <v>-</v>
      </c>
      <c r="E26447" t="str">
        <v>-</v>
      </c>
      <c r="F26447" t="str">
        <v>-</v>
      </c>
      <c r="G26447" t="str">
        <v>-</v>
      </c>
    </row>
    <row r="26448" xml:space="preserve">
      <c r="B26448" t="str" xml:space="preserve">
        <v xml:space="preserve">Công an thị trấn Định An _x000d_
 tỉnh Trà Vinh</v>
      </c>
      <c r="C26448" t="str">
        <v>-</v>
      </c>
      <c r="D26448" t="str">
        <v>-</v>
      </c>
      <c r="E26448" t="str">
        <v/>
      </c>
      <c r="F26448" t="str">
        <v>-</v>
      </c>
      <c r="G26448" t="str">
        <v>-</v>
      </c>
    </row>
    <row r="26449" xml:space="preserve">
      <c r="B26449" t="str" xml:space="preserve">
        <v xml:space="preserve">UBND Ủy ban nhân dân thị trấn Định An _x000d_
 tỉnh Trà Vinh</v>
      </c>
      <c r="C26449" t="str">
        <v>-</v>
      </c>
      <c r="D26449" t="str">
        <v>-</v>
      </c>
      <c r="E26449" t="str">
        <v>-</v>
      </c>
      <c r="F26449" t="str">
        <v>-</v>
      </c>
      <c r="G26449" t="str">
        <v>-</v>
      </c>
    </row>
    <row r="26450">
      <c r="B26450" t="str">
        <v>Công an xã Liên Hoa tỉnh Thái Bình</v>
      </c>
      <c r="C26450" t="str">
        <v>-</v>
      </c>
      <c r="D26450" t="str">
        <v>-</v>
      </c>
      <c r="E26450" t="str">
        <v/>
      </c>
      <c r="F26450" t="str">
        <v>-</v>
      </c>
      <c r="G26450" t="str">
        <v>-</v>
      </c>
    </row>
    <row r="26451">
      <c r="B26451" t="str">
        <v>UBND Ủy ban nhân dân xã Liên Hoa tỉnh Thái Bình</v>
      </c>
      <c r="C26451" t="str">
        <v>-</v>
      </c>
      <c r="D26451" t="str">
        <v>-</v>
      </c>
      <c r="E26451" t="str">
        <v>-</v>
      </c>
      <c r="F26451" t="str">
        <v>-</v>
      </c>
      <c r="G26451" t="str">
        <v>-</v>
      </c>
    </row>
    <row r="26452">
      <c r="B26452" t="str">
        <v>Công an xã Liên Khê tỉnh Hưng Yên</v>
      </c>
      <c r="C26452" t="str">
        <v>-</v>
      </c>
      <c r="D26452" t="str">
        <v>-</v>
      </c>
      <c r="E26452" t="str">
        <v/>
      </c>
      <c r="F26452" t="str">
        <v>-</v>
      </c>
      <c r="G26452" t="str">
        <v>-</v>
      </c>
    </row>
    <row r="26453">
      <c r="B26453" t="str">
        <v>UBND Ủy ban nhân dân xã Liên Khê tỉnh Hưng Yên</v>
      </c>
      <c r="C26453" t="str">
        <v>-</v>
      </c>
      <c r="D26453" t="str">
        <v>-</v>
      </c>
      <c r="E26453" t="str">
        <v>-</v>
      </c>
      <c r="F26453" t="str">
        <v>-</v>
      </c>
      <c r="G26453" t="str">
        <v>-</v>
      </c>
    </row>
    <row r="26454" xml:space="preserve">
      <c r="B26454" t="str" xml:space="preserve">
        <v xml:space="preserve">Công an xã Liên Sơn _x000d_
 tỉnh Ninh Bình</v>
      </c>
      <c r="C26454" t="str">
        <v>-</v>
      </c>
      <c r="D26454" t="str">
        <v>-</v>
      </c>
      <c r="E26454" t="str">
        <v/>
      </c>
      <c r="F26454" t="str">
        <v>-</v>
      </c>
      <c r="G26454" t="str">
        <v>-</v>
      </c>
    </row>
    <row r="26455" xml:space="preserve">
      <c r="B26455" t="str" xml:space="preserve">
        <v xml:space="preserve">UBND Ủy ban nhân dân xã Liên Sơn _x000d_
 tỉnh Ninh Bình</v>
      </c>
      <c r="C26455" t="str">
        <v>-</v>
      </c>
      <c r="D26455" t="str">
        <v>-</v>
      </c>
      <c r="E26455" t="str">
        <v>-</v>
      </c>
      <c r="F26455" t="str">
        <v>-</v>
      </c>
      <c r="G26455" t="str">
        <v>-</v>
      </c>
    </row>
    <row r="26456">
      <c r="B26456" t="str">
        <v>Công an xã Liễu Đô tỉnh Yên Bái</v>
      </c>
      <c r="C26456" t="str">
        <v>-</v>
      </c>
      <c r="D26456" t="str">
        <v>-</v>
      </c>
      <c r="E26456" t="str">
        <v/>
      </c>
      <c r="F26456" t="str">
        <v>-</v>
      </c>
      <c r="G26456" t="str">
        <v>-</v>
      </c>
    </row>
    <row r="26457">
      <c r="B26457" t="str">
        <v>UBND Ủy ban nhân dân xã Liễu Đô tỉnh Yên Bái</v>
      </c>
      <c r="C26457" t="str">
        <v>-</v>
      </c>
      <c r="D26457" t="str">
        <v>-</v>
      </c>
      <c r="E26457" t="str">
        <v>-</v>
      </c>
      <c r="F26457" t="str">
        <v>-</v>
      </c>
      <c r="G26457" t="str">
        <v>-</v>
      </c>
    </row>
    <row r="26458" xml:space="preserve">
      <c r="B26458" t="str" xml:space="preserve">
        <v xml:space="preserve">Công an xã Liệp Tè _x000d_
 tỉnh Sơn La</v>
      </c>
      <c r="C26458" t="str">
        <v>-</v>
      </c>
      <c r="D26458" t="str">
        <v>-</v>
      </c>
      <c r="E26458" t="str">
        <v/>
      </c>
      <c r="F26458" t="str">
        <v>-</v>
      </c>
      <c r="G26458" t="str">
        <v>-</v>
      </c>
    </row>
    <row r="26459" xml:space="preserve">
      <c r="B26459" t="str" xml:space="preserve">
        <v xml:space="preserve">UBND Ủy ban nhân dân xã Liệp Tè _x000d_
 tỉnh Sơn La</v>
      </c>
      <c r="C26459" t="str">
        <v>-</v>
      </c>
      <c r="D26459" t="str">
        <v>-</v>
      </c>
      <c r="E26459" t="str">
        <v>-</v>
      </c>
      <c r="F26459" t="str">
        <v>-</v>
      </c>
      <c r="G26459" t="str">
        <v>-</v>
      </c>
    </row>
    <row r="26460" xml:space="preserve">
      <c r="B26460" t="str" xml:space="preserve">
        <v xml:space="preserve">Công an xã Linh Hải _x000d_
 tỉnh Quảng Trị</v>
      </c>
      <c r="C26460" t="str">
        <v>-</v>
      </c>
      <c r="D26460" t="str">
        <v>-</v>
      </c>
      <c r="E26460" t="str">
        <v/>
      </c>
      <c r="F26460" t="str">
        <v>-</v>
      </c>
      <c r="G26460" t="str">
        <v>-</v>
      </c>
    </row>
    <row r="26461" xml:space="preserve">
      <c r="B26461" t="str" xml:space="preserve">
        <v xml:space="preserve">UBND Ủy ban nhân dân xã Linh Hải _x000d_
 tỉnh Quảng Trị</v>
      </c>
      <c r="C26461" t="str">
        <v>-</v>
      </c>
      <c r="D26461" t="str">
        <v>-</v>
      </c>
      <c r="E26461" t="str">
        <v>-</v>
      </c>
      <c r="F26461" t="str">
        <v>-</v>
      </c>
      <c r="G26461" t="str">
        <v>-</v>
      </c>
    </row>
    <row r="26462">
      <c r="B26462" t="str">
        <v>Công an xã Long Định tỉnh Bến Tre</v>
      </c>
      <c r="C26462" t="str">
        <v>-</v>
      </c>
      <c r="D26462" t="str">
        <v>-</v>
      </c>
      <c r="E26462" t="str">
        <v/>
      </c>
      <c r="F26462" t="str">
        <v>-</v>
      </c>
      <c r="G26462" t="str">
        <v>-</v>
      </c>
    </row>
    <row r="26463">
      <c r="B26463" t="str">
        <v>UBND Ủy ban nhân dân xã Long Định tỉnh Bến Tre</v>
      </c>
      <c r="C26463" t="str">
        <v>-</v>
      </c>
      <c r="D26463" t="str">
        <v>-</v>
      </c>
      <c r="E26463" t="str">
        <v>-</v>
      </c>
      <c r="F26463" t="str">
        <v>-</v>
      </c>
      <c r="G26463" t="str">
        <v>-</v>
      </c>
    </row>
    <row r="26464">
      <c r="B26464" t="str">
        <v>Công an xã Long Định tỉnh TIỀN GIANG</v>
      </c>
      <c r="C26464" t="str">
        <v>-</v>
      </c>
      <c r="D26464" t="str">
        <v>-</v>
      </c>
      <c r="E26464" t="str">
        <v/>
      </c>
      <c r="F26464" t="str">
        <v>-</v>
      </c>
      <c r="G26464" t="str">
        <v>-</v>
      </c>
    </row>
    <row r="26465">
      <c r="B26465" t="str">
        <v>UBND Ủy ban nhân dân xã Long Định tỉnh TIỀN GIANG</v>
      </c>
      <c r="C26465" t="str">
        <v>-</v>
      </c>
      <c r="D26465" t="str">
        <v>-</v>
      </c>
      <c r="E26465" t="str">
        <v>-</v>
      </c>
      <c r="F26465" t="str">
        <v>-</v>
      </c>
      <c r="G26465" t="str">
        <v>-</v>
      </c>
    </row>
    <row r="26466">
      <c r="B26466" t="str">
        <v>Công an xã Long Đống tỉnh Lạng Sơn</v>
      </c>
      <c r="C26466" t="str">
        <v>-</v>
      </c>
      <c r="D26466" t="str">
        <v>-</v>
      </c>
      <c r="E26466" t="str">
        <v/>
      </c>
      <c r="F26466" t="str">
        <v>-</v>
      </c>
      <c r="G26466" t="str">
        <v>-</v>
      </c>
    </row>
    <row r="26467">
      <c r="B26467" t="str">
        <v>UBND Ủy ban nhân dân xã Long Đống tỉnh Lạng Sơn</v>
      </c>
      <c r="C26467" t="str">
        <v>-</v>
      </c>
      <c r="D26467" t="str">
        <v>-</v>
      </c>
      <c r="E26467" t="str">
        <v>-</v>
      </c>
      <c r="F26467" t="str">
        <v>-</v>
      </c>
      <c r="G26467" t="str">
        <v>-</v>
      </c>
    </row>
    <row r="26468">
      <c r="B26468" t="str">
        <v>Công an xã Long An tỉnh TIỀN GIANG</v>
      </c>
      <c r="C26468" t="str">
        <v>-</v>
      </c>
      <c r="D26468" t="str">
        <v>-</v>
      </c>
      <c r="E26468" t="str">
        <v/>
      </c>
      <c r="F26468" t="str">
        <v>-</v>
      </c>
      <c r="G26468" t="str">
        <v>-</v>
      </c>
    </row>
    <row r="26469">
      <c r="B26469" t="str">
        <v>UBND Ủy ban nhân dân xã Long An tỉnh TIỀN GIANG</v>
      </c>
      <c r="C26469" t="str">
        <v>-</v>
      </c>
      <c r="D26469" t="str">
        <v>-</v>
      </c>
      <c r="E26469" t="str">
        <v>-</v>
      </c>
      <c r="F26469" t="str">
        <v>-</v>
      </c>
      <c r="G26469" t="str">
        <v>-</v>
      </c>
    </row>
    <row r="26470" xml:space="preserve">
      <c r="B26470" t="str" xml:space="preserve">
        <v xml:space="preserve">Công an xã Long Chánh _x000d_
 tỉnh TIỀN GIANG</v>
      </c>
      <c r="C26470" t="str">
        <v>-</v>
      </c>
      <c r="D26470" t="str">
        <v>-</v>
      </c>
      <c r="E26470" t="str">
        <v/>
      </c>
      <c r="F26470" t="str">
        <v>-</v>
      </c>
      <c r="G26470" t="str">
        <v>-</v>
      </c>
    </row>
    <row r="26471" xml:space="preserve">
      <c r="B26471" t="str" xml:space="preserve">
        <v xml:space="preserve">UBND Ủy ban nhân dân xã Long Chánh _x000d_
 tỉnh TIỀN GIANG</v>
      </c>
      <c r="C26471" t="str">
        <v>-</v>
      </c>
      <c r="D26471" t="str">
        <v>-</v>
      </c>
      <c r="E26471" t="str">
        <v>-</v>
      </c>
      <c r="F26471" t="str">
        <v>-</v>
      </c>
      <c r="G26471" t="str">
        <v>-</v>
      </c>
    </row>
    <row r="26472">
      <c r="B26472" t="str">
        <v>Công an xã Long Hưng tỉnh TIỀN GIANG</v>
      </c>
      <c r="C26472" t="str">
        <v>-</v>
      </c>
      <c r="D26472" t="str">
        <v>-</v>
      </c>
      <c r="E26472" t="str">
        <v/>
      </c>
      <c r="F26472" t="str">
        <v>-</v>
      </c>
      <c r="G26472" t="str">
        <v>-</v>
      </c>
    </row>
    <row r="26473">
      <c r="B26473" t="str">
        <v>UBND Ủy ban nhân dân xã Long Hưng tỉnh TIỀN GIANG</v>
      </c>
      <c r="C26473" t="str">
        <v>-</v>
      </c>
      <c r="D26473" t="str">
        <v>-</v>
      </c>
      <c r="E26473" t="str">
        <v>-</v>
      </c>
      <c r="F26473" t="str">
        <v>-</v>
      </c>
      <c r="G26473" t="str">
        <v>-</v>
      </c>
    </row>
    <row r="26474">
      <c r="B26474" t="str">
        <v>Công an xã Long Hải tỉnh Bình Thuận</v>
      </c>
      <c r="C26474" t="str">
        <v>-</v>
      </c>
      <c r="D26474" t="str">
        <v>-</v>
      </c>
      <c r="E26474" t="str">
        <v/>
      </c>
      <c r="F26474" t="str">
        <v>-</v>
      </c>
      <c r="G26474" t="str">
        <v>-</v>
      </c>
    </row>
    <row r="26475">
      <c r="B26475" t="str">
        <v>UBND Ủy ban nhân dân xã Long Hải tỉnh Bình Thuận</v>
      </c>
      <c r="C26475" t="str">
        <v>-</v>
      </c>
      <c r="D26475" t="str">
        <v>-</v>
      </c>
      <c r="E26475" t="str">
        <v>-</v>
      </c>
      <c r="F26475" t="str">
        <v>-</v>
      </c>
      <c r="G26475" t="str">
        <v>-</v>
      </c>
    </row>
    <row r="26476" xml:space="preserve">
      <c r="B26476" t="str" xml:space="preserve">
        <v xml:space="preserve">Công an xã Long Mỹ _x000d_
 tỉnh Bến Tre</v>
      </c>
      <c r="C26476" t="str">
        <v>-</v>
      </c>
      <c r="D26476" t="str">
        <v>-</v>
      </c>
      <c r="E26476" t="str">
        <v/>
      </c>
      <c r="F26476" t="str">
        <v>-</v>
      </c>
      <c r="G26476" t="str">
        <v>-</v>
      </c>
    </row>
    <row r="26477" xml:space="preserve">
      <c r="B26477" t="str" xml:space="preserve">
        <v xml:space="preserve">UBND Ủy ban nhân dân xã Long Mỹ _x000d_
 tỉnh Bến Tre</v>
      </c>
      <c r="C26477" t="str">
        <v>-</v>
      </c>
      <c r="D26477" t="str">
        <v>-</v>
      </c>
      <c r="E26477" t="str">
        <v>-</v>
      </c>
      <c r="F26477" t="str">
        <v>-</v>
      </c>
      <c r="G26477" t="str">
        <v>-</v>
      </c>
    </row>
    <row r="26478" xml:space="preserve">
      <c r="B26478" t="str" xml:space="preserve">
        <v xml:space="preserve">Công an xã Long Thọ _x000d_
 tỉnh Đồng Nai</v>
      </c>
      <c r="C26478" t="str">
        <v>-</v>
      </c>
      <c r="D26478" t="str">
        <v>-</v>
      </c>
      <c r="E26478" t="str">
        <v/>
      </c>
      <c r="F26478" t="str">
        <v>-</v>
      </c>
      <c r="G26478" t="str">
        <v>-</v>
      </c>
    </row>
    <row r="26479" xml:space="preserve">
      <c r="B26479" t="str" xml:space="preserve">
        <v xml:space="preserve">UBND Ủy ban nhân dân xã Long Thọ _x000d_
 tỉnh Đồng Nai</v>
      </c>
      <c r="C26479" t="str">
        <v>-</v>
      </c>
      <c r="D26479" t="str">
        <v>-</v>
      </c>
      <c r="E26479" t="str">
        <v>-</v>
      </c>
      <c r="F26479" t="str">
        <v>-</v>
      </c>
      <c r="G26479" t="str">
        <v>-</v>
      </c>
    </row>
    <row r="26480" xml:space="preserve">
      <c r="B26480" t="str" xml:space="preserve">
        <v xml:space="preserve">Công an xã Long Thuận _x000d_
 tỉnh TÂY NINH</v>
      </c>
      <c r="C26480" t="str">
        <v>-</v>
      </c>
      <c r="D26480" t="str">
        <v>-</v>
      </c>
      <c r="E26480" t="str">
        <v/>
      </c>
      <c r="F26480" t="str">
        <v>-</v>
      </c>
      <c r="G26480" t="str">
        <v>-</v>
      </c>
    </row>
    <row r="26481" xml:space="preserve">
      <c r="B26481" t="str" xml:space="preserve">
        <v xml:space="preserve">UBND Ủy ban nhân dân xã Long Thuận _x000d_
 tỉnh TÂY NINH</v>
      </c>
      <c r="C26481" t="str">
        <v>-</v>
      </c>
      <c r="D26481" t="str">
        <v>-</v>
      </c>
      <c r="E26481" t="str">
        <v>-</v>
      </c>
      <c r="F26481" t="str">
        <v>-</v>
      </c>
      <c r="G26481" t="str">
        <v>-</v>
      </c>
    </row>
    <row r="26482">
      <c r="B26482" t="str">
        <v>Công an xã Long Vĩnh tỉnh TÂY NINH</v>
      </c>
      <c r="C26482" t="str">
        <v>-</v>
      </c>
      <c r="D26482" t="str">
        <v>-</v>
      </c>
      <c r="E26482" t="str">
        <v/>
      </c>
      <c r="F26482" t="str">
        <v>-</v>
      </c>
      <c r="G26482" t="str">
        <v>-</v>
      </c>
    </row>
    <row r="26483">
      <c r="B26483" t="str">
        <v>UBND Ủy ban nhân dân xã Long Vĩnh tỉnh TÂY NINH</v>
      </c>
      <c r="C26483" t="str">
        <v>-</v>
      </c>
      <c r="D26483" t="str">
        <v>-</v>
      </c>
      <c r="E26483" t="str">
        <v>-</v>
      </c>
      <c r="F26483" t="str">
        <v>-</v>
      </c>
      <c r="G26483" t="str">
        <v>-</v>
      </c>
    </row>
    <row r="26484">
      <c r="B26484" t="str">
        <v>Công an xã Long Xuyên tỉnh Hải Dương</v>
      </c>
      <c r="C26484" t="str">
        <v>-</v>
      </c>
      <c r="D26484" t="str">
        <v>-</v>
      </c>
      <c r="E26484" t="str">
        <v/>
      </c>
      <c r="F26484" t="str">
        <v>-</v>
      </c>
      <c r="G26484" t="str">
        <v>-</v>
      </c>
    </row>
    <row r="26485">
      <c r="B26485" t="str">
        <v>UBND Ủy ban nhân dân xã Long Xuyên tỉnh Hải Dương</v>
      </c>
      <c r="C26485" t="str">
        <v>-</v>
      </c>
      <c r="D26485" t="str">
        <v>-</v>
      </c>
      <c r="E26485" t="str">
        <v>-</v>
      </c>
      <c r="F26485" t="str">
        <v>-</v>
      </c>
      <c r="G26485" t="str">
        <v>-</v>
      </c>
    </row>
    <row r="26486">
      <c r="B26486" t="str">
        <v>Công an xã Luận Thành tỉnh Thanh Hóa</v>
      </c>
      <c r="C26486" t="str">
        <v>-</v>
      </c>
      <c r="D26486" t="str">
        <v>-</v>
      </c>
      <c r="E26486" t="str">
        <v/>
      </c>
      <c r="F26486" t="str">
        <v>-</v>
      </c>
      <c r="G26486" t="str">
        <v>-</v>
      </c>
    </row>
    <row r="26487">
      <c r="B26487" t="str">
        <v>UBND Ủy ban nhân dân xã Luận Thành tỉnh Thanh Hóa</v>
      </c>
      <c r="C26487" t="str">
        <v>-</v>
      </c>
      <c r="D26487" t="str">
        <v>-</v>
      </c>
      <c r="E26487" t="str">
        <v>-</v>
      </c>
      <c r="F26487" t="str">
        <v>-</v>
      </c>
      <c r="G26487" t="str">
        <v>-</v>
      </c>
    </row>
    <row r="26488" xml:space="preserve">
      <c r="B26488" t="str" xml:space="preserve">
        <v xml:space="preserve">Công an xã Mão Điền _x000d_
 tỉnh Bắc Ninh</v>
      </c>
      <c r="C26488" t="str">
        <v>-</v>
      </c>
      <c r="D26488" t="str">
        <v>-</v>
      </c>
      <c r="E26488" t="str">
        <v/>
      </c>
      <c r="F26488" t="str">
        <v>-</v>
      </c>
      <c r="G26488" t="str">
        <v>-</v>
      </c>
    </row>
    <row r="26489" xml:space="preserve">
      <c r="B26489" t="str" xml:space="preserve">
        <v xml:space="preserve">UBND Ủy ban nhân dân xã Mão Điền _x000d_
 tỉnh Bắc Ninh</v>
      </c>
      <c r="C26489" t="str">
        <v>-</v>
      </c>
      <c r="D26489" t="str">
        <v>-</v>
      </c>
      <c r="E26489" t="str">
        <v>-</v>
      </c>
      <c r="F26489" t="str">
        <v>-</v>
      </c>
      <c r="G26489" t="str">
        <v>-</v>
      </c>
    </row>
    <row r="26490" xml:space="preserve">
      <c r="B26490" t="str" xml:space="preserve">
        <v xml:space="preserve">Công an xã Môn Sơn _x000d_
 tỉnh Nghệ An</v>
      </c>
      <c r="C26490" t="str">
        <v>-</v>
      </c>
      <c r="D26490" t="str">
        <v>-</v>
      </c>
      <c r="E26490" t="str">
        <v/>
      </c>
      <c r="F26490" t="str">
        <v>-</v>
      </c>
      <c r="G26490" t="str">
        <v>-</v>
      </c>
    </row>
    <row r="26491" xml:space="preserve">
      <c r="B26491" t="str" xml:space="preserve">
        <v xml:space="preserve">UBND Ủy ban nhân dân xã Môn Sơn _x000d_
 tỉnh Nghệ An</v>
      </c>
      <c r="C26491" t="str">
        <v>-</v>
      </c>
      <c r="D26491" t="str">
        <v>-</v>
      </c>
      <c r="E26491" t="str">
        <v>-</v>
      </c>
      <c r="F26491" t="str">
        <v>-</v>
      </c>
      <c r="G26491" t="str">
        <v>-</v>
      </c>
    </row>
    <row r="26492" xml:space="preserve">
      <c r="B26492" t="str" xml:space="preserve">
        <v xml:space="preserve">Công an xã Mù Cả _x000d_
 tỉnh Lai Châu</v>
      </c>
      <c r="C26492" t="str">
        <v>-</v>
      </c>
      <c r="D26492" t="str">
        <v>-</v>
      </c>
      <c r="E26492" t="str">
        <v/>
      </c>
      <c r="F26492" t="str">
        <v>-</v>
      </c>
      <c r="G26492" t="str">
        <v>-</v>
      </c>
    </row>
    <row r="26493" xml:space="preserve">
      <c r="B26493" t="str" xml:space="preserve">
        <v xml:space="preserve">UBND Ủy ban nhân dân xã Mù Cả _x000d_
 tỉnh Lai Châu</v>
      </c>
      <c r="C26493" t="str">
        <v>-</v>
      </c>
      <c r="D26493" t="str">
        <v>-</v>
      </c>
      <c r="E26493" t="str">
        <v>-</v>
      </c>
      <c r="F26493" t="str">
        <v>-</v>
      </c>
      <c r="G26493" t="str">
        <v>-</v>
      </c>
    </row>
    <row r="26494" xml:space="preserve">
      <c r="B26494" t="str" xml:space="preserve">
        <v xml:space="preserve">Công an xã Mường Đăng _x000d_
 tỉnh Nghệ An</v>
      </c>
      <c r="C26494" t="str">
        <v>-</v>
      </c>
      <c r="D26494" t="str">
        <v>-</v>
      </c>
      <c r="E26494" t="str">
        <v/>
      </c>
      <c r="F26494" t="str">
        <v>-</v>
      </c>
      <c r="G26494" t="str">
        <v>-</v>
      </c>
    </row>
    <row r="26495" xml:space="preserve">
      <c r="B26495" t="str" xml:space="preserve">
        <v xml:space="preserve">UBND Ủy ban nhân dân xã Mường Đăng _x000d_
 tỉnh Nghệ An</v>
      </c>
      <c r="C26495" t="str">
        <v>-</v>
      </c>
      <c r="D26495" t="str">
        <v>-</v>
      </c>
      <c r="E26495" t="str">
        <v>-</v>
      </c>
      <c r="F26495" t="str">
        <v>-</v>
      </c>
      <c r="G26495" t="str">
        <v>-</v>
      </c>
    </row>
    <row r="26496" xml:space="preserve">
      <c r="B26496" t="str" xml:space="preserve">
        <v xml:space="preserve">_x000d_
Công an xã Mường Đăng _x000d_
 tỉnh Nghệ An</v>
      </c>
    </row>
    <row r="26497" xml:space="preserve">
      <c r="B26497" t="str" xml:space="preserve">
        <v xml:space="preserve">UBND Ủy ban nhân dânn xã Mường Đăng _x000d_
 tỉnh Nghệ An</v>
      </c>
      <c r="C26497" t="str">
        <v>-</v>
      </c>
      <c r="D26497" t="str">
        <v>-</v>
      </c>
      <c r="E26497" t="str">
        <v>-</v>
      </c>
      <c r="F26497" t="str">
        <v>-</v>
      </c>
      <c r="G26497" t="str">
        <v>-</v>
      </c>
    </row>
    <row r="26498" xml:space="preserve">
      <c r="B26498" t="str" xml:space="preserve">
        <v xml:space="preserve">Công an xã Mường Ải _x000d_
 tỉnh Sơn La</v>
      </c>
      <c r="C26498" t="str">
        <v>-</v>
      </c>
      <c r="D26498" t="str">
        <v>-</v>
      </c>
      <c r="E26498" t="str">
        <v/>
      </c>
      <c r="F26498" t="str">
        <v>-</v>
      </c>
      <c r="G26498" t="str">
        <v>-</v>
      </c>
    </row>
    <row r="26499" xml:space="preserve">
      <c r="B26499" t="str" xml:space="preserve">
        <v xml:space="preserve">UBND Ủy ban nhân dân xã Mường Ải _x000d_
 tỉnh Sơn La</v>
      </c>
      <c r="C26499" t="str">
        <v>-</v>
      </c>
      <c r="D26499" t="str">
        <v>-</v>
      </c>
      <c r="E26499" t="str">
        <v>-</v>
      </c>
      <c r="F26499" t="str">
        <v>-</v>
      </c>
      <c r="G26499" t="str">
        <v>-</v>
      </c>
    </row>
    <row r="26500" xml:space="preserve">
      <c r="B26500" t="str" xml:space="preserve">
        <v xml:space="preserve">Công an xã Mường Báng _x000d_
 tỉnh Sơn La</v>
      </c>
      <c r="C26500" t="str">
        <v>-</v>
      </c>
      <c r="D26500" t="str">
        <v>-</v>
      </c>
      <c r="E26500" t="str">
        <v/>
      </c>
      <c r="F26500" t="str">
        <v>-</v>
      </c>
      <c r="G26500" t="str">
        <v>-</v>
      </c>
    </row>
    <row r="26501" xml:space="preserve">
      <c r="B26501" t="str" xml:space="preserve">
        <v xml:space="preserve">UBND Ủy ban nhân dân xã Mường Báng _x000d_
 tỉnh Sơn La</v>
      </c>
      <c r="C26501" t="str">
        <v>-</v>
      </c>
      <c r="D26501" t="str">
        <v>-</v>
      </c>
      <c r="E26501" t="str">
        <v>-</v>
      </c>
      <c r="F26501" t="str">
        <v>-</v>
      </c>
      <c r="G26501" t="str">
        <v>-</v>
      </c>
    </row>
    <row r="26502" xml:space="preserve">
      <c r="B26502" t="str" xml:space="preserve">
        <v xml:space="preserve">Công an xã Mường Bằng _x000d_
 tỉnh Sơn La</v>
      </c>
      <c r="C26502" t="str">
        <v>-</v>
      </c>
      <c r="D26502" t="str">
        <v>-</v>
      </c>
      <c r="E26502" t="str">
        <v/>
      </c>
      <c r="F26502" t="str">
        <v>-</v>
      </c>
      <c r="G26502" t="str">
        <v>-</v>
      </c>
    </row>
    <row r="26503" xml:space="preserve">
      <c r="B26503" t="str" xml:space="preserve">
        <v xml:space="preserve">UBND Ủy ban nhân dân xã Mường Bằng _x000d_
 tỉnh Sơn La</v>
      </c>
      <c r="C26503" t="str">
        <v>-</v>
      </c>
      <c r="D26503" t="str">
        <v>-</v>
      </c>
      <c r="E26503" t="str">
        <v>-</v>
      </c>
      <c r="F26503" t="str">
        <v>-</v>
      </c>
      <c r="G26503" t="str">
        <v>-</v>
      </c>
    </row>
    <row r="26504">
      <c r="B26504" t="str">
        <v>Công an xã Mường Bang tỉnh Sơn La</v>
      </c>
      <c r="C26504" t="str">
        <v>-</v>
      </c>
      <c r="D26504" t="str">
        <v>-</v>
      </c>
      <c r="E26504" t="str">
        <v/>
      </c>
      <c r="F26504" t="str">
        <v>-</v>
      </c>
      <c r="G26504" t="str">
        <v>-</v>
      </c>
    </row>
    <row r="26505">
      <c r="B26505" t="str">
        <v>UBND Ủy ban nhân dân xã Mường Bang tỉnh Sơn La</v>
      </c>
      <c r="C26505" t="str">
        <v>-</v>
      </c>
      <c r="D26505" t="str">
        <v>-</v>
      </c>
      <c r="E26505" t="str">
        <v>-</v>
      </c>
      <c r="F26505" t="str">
        <v>-</v>
      </c>
      <c r="G26505" t="str">
        <v>-</v>
      </c>
    </row>
    <row r="26506">
      <c r="B26506" t="str">
        <v>Công an xã Mường Cơi tỉnh Sơn La</v>
      </c>
      <c r="C26506" t="str">
        <v>-</v>
      </c>
      <c r="D26506" t="str">
        <v>-</v>
      </c>
      <c r="E26506" t="str">
        <v/>
      </c>
      <c r="F26506" t="str">
        <v>-</v>
      </c>
      <c r="G26506" t="str">
        <v>-</v>
      </c>
    </row>
    <row r="26507">
      <c r="B26507" t="str">
        <v>UBND Ủy ban nhân dân xã Mường Cơi tỉnh Sơn La</v>
      </c>
      <c r="C26507" t="str">
        <v>-</v>
      </c>
      <c r="D26507" t="str">
        <v>-</v>
      </c>
      <c r="E26507" t="str">
        <v>-</v>
      </c>
      <c r="F26507" t="str">
        <v>-</v>
      </c>
      <c r="G26507" t="str">
        <v>-</v>
      </c>
    </row>
    <row r="26508">
      <c r="B26508" t="str">
        <v>Công an xã Mường Cang tỉnh Lai Châu</v>
      </c>
      <c r="C26508" t="str">
        <v>-</v>
      </c>
      <c r="D26508" t="str">
        <v>-</v>
      </c>
      <c r="E26508" t="str">
        <v/>
      </c>
      <c r="F26508" t="str">
        <v>-</v>
      </c>
      <c r="G26508" t="str">
        <v>-</v>
      </c>
    </row>
    <row r="26509">
      <c r="B26509" t="str">
        <v>UBND Ủy ban nhân dân xã Mường Cang tỉnh Lai Châu</v>
      </c>
      <c r="C26509" t="str">
        <v>-</v>
      </c>
      <c r="D26509" t="str">
        <v>-</v>
      </c>
      <c r="E26509" t="str">
        <v>-</v>
      </c>
      <c r="F26509" t="str">
        <v>-</v>
      </c>
      <c r="G26509" t="str">
        <v>-</v>
      </c>
    </row>
    <row r="26510">
      <c r="B26510" t="str">
        <v>Công an xã Mường Chanh tỉnh Thanh Hóa</v>
      </c>
      <c r="C26510" t="str">
        <v>-</v>
      </c>
      <c r="D26510" t="str">
        <v>-</v>
      </c>
      <c r="E26510" t="str">
        <v/>
      </c>
      <c r="F26510" t="str">
        <v>-</v>
      </c>
      <c r="G26510" t="str">
        <v>-</v>
      </c>
    </row>
    <row r="26511">
      <c r="B26511" t="str">
        <v>UBND Ủy ban nhân dân xã Mường Chanh tỉnh Thanh Hóa</v>
      </c>
      <c r="C26511" t="str">
        <v>-</v>
      </c>
      <c r="D26511" t="str">
        <v>-</v>
      </c>
      <c r="E26511" t="str">
        <v>-</v>
      </c>
      <c r="F26511" t="str">
        <v>-</v>
      </c>
      <c r="G26511" t="str">
        <v>-</v>
      </c>
    </row>
    <row r="26512">
      <c r="B26512" t="str">
        <v>Công an xã Mường Chanh tỉnh Sơn La</v>
      </c>
      <c r="C26512" t="str">
        <v>-</v>
      </c>
      <c r="D26512" t="str">
        <v>-</v>
      </c>
      <c r="E26512" t="str">
        <v/>
      </c>
      <c r="F26512" t="str">
        <v>-</v>
      </c>
      <c r="G26512" t="str">
        <v>-</v>
      </c>
    </row>
    <row r="26513">
      <c r="B26513" t="str">
        <v>UBND Ủy ban nhân dân xã Mường Chanh tỉnh Sơn La</v>
      </c>
      <c r="C26513" t="str">
        <v>-</v>
      </c>
      <c r="D26513" t="str">
        <v>-</v>
      </c>
      <c r="E26513" t="str">
        <v>-</v>
      </c>
      <c r="F26513" t="str">
        <v>-</v>
      </c>
      <c r="G26513" t="str">
        <v>-</v>
      </c>
    </row>
    <row r="26514">
      <c r="B26514" t="str">
        <v>Công an xã Mường Hung tỉnh Sơn La</v>
      </c>
      <c r="C26514" t="str">
        <v>-</v>
      </c>
      <c r="D26514" t="str">
        <v>-</v>
      </c>
      <c r="E26514" t="str">
        <v/>
      </c>
      <c r="F26514" t="str">
        <v>-</v>
      </c>
      <c r="G26514" t="str">
        <v>-</v>
      </c>
    </row>
    <row r="26515">
      <c r="B26515" t="str">
        <v>UBND Ủy ban nhân dân xã Mường Hung tỉnh Sơn La</v>
      </c>
      <c r="C26515" t="str">
        <v>-</v>
      </c>
      <c r="D26515" t="str">
        <v>-</v>
      </c>
      <c r="E26515" t="str">
        <v>-</v>
      </c>
      <c r="F26515" t="str">
        <v>-</v>
      </c>
      <c r="G26515" t="str">
        <v>-</v>
      </c>
    </row>
    <row r="26516" xml:space="preserve">
      <c r="B26516" t="str" xml:space="preserve">
        <v xml:space="preserve">Công an xã Mường Kim _x000d_
 tỉnh Lai Châu</v>
      </c>
      <c r="C26516" t="str">
        <v>-</v>
      </c>
      <c r="D26516" t="str">
        <v>-</v>
      </c>
      <c r="E26516" t="str">
        <v/>
      </c>
      <c r="F26516" t="str">
        <v>-</v>
      </c>
      <c r="G26516" t="str">
        <v>-</v>
      </c>
    </row>
    <row r="26517" xml:space="preserve">
      <c r="B26517" t="str" xml:space="preserve">
        <v xml:space="preserve">UBND Ủy ban nhân dân xã Mường Kim _x000d_
 tỉnh Lai Châu</v>
      </c>
      <c r="C26517" t="str">
        <v>-</v>
      </c>
      <c r="D26517" t="str">
        <v>-</v>
      </c>
      <c r="E26517" t="str">
        <v>-</v>
      </c>
      <c r="F26517" t="str">
        <v>-</v>
      </c>
      <c r="G26517" t="str">
        <v>-</v>
      </c>
    </row>
    <row r="26518" xml:space="preserve">
      <c r="B26518" t="str" xml:space="preserve">
        <v xml:space="preserve">Công an xã Mường Lói _x000d_
 tỉnh Điện Biên</v>
      </c>
      <c r="C26518" t="str">
        <v>-</v>
      </c>
      <c r="D26518" t="str">
        <v>-</v>
      </c>
      <c r="E26518" t="str">
        <v/>
      </c>
      <c r="F26518" t="str">
        <v>-</v>
      </c>
      <c r="G26518" t="str">
        <v>-</v>
      </c>
    </row>
    <row r="26519" xml:space="preserve">
      <c r="B26519" t="str" xml:space="preserve">
        <v xml:space="preserve">UBND Ủy ban nhân dân xã Mường Lói _x000d_
 tỉnh Điện Biên</v>
      </c>
      <c r="C26519" t="str">
        <v>-</v>
      </c>
      <c r="D26519" t="str">
        <v>-</v>
      </c>
      <c r="E26519" t="str">
        <v>-</v>
      </c>
      <c r="F26519" t="str">
        <v>-</v>
      </c>
      <c r="G26519" t="str">
        <v>-</v>
      </c>
    </row>
    <row r="26520">
      <c r="B26520" t="str">
        <v>Công an xã Mường Lạn tỉnh Điện Biên</v>
      </c>
      <c r="C26520" t="str">
        <v>-</v>
      </c>
      <c r="D26520" t="str">
        <v>-</v>
      </c>
      <c r="E26520" t="str">
        <v/>
      </c>
      <c r="F26520" t="str">
        <v>-</v>
      </c>
      <c r="G26520" t="str">
        <v>-</v>
      </c>
    </row>
    <row r="26521">
      <c r="B26521" t="str">
        <v>UBND Ủy ban nhân dân xã Mường Lạn tỉnh Điện Biên</v>
      </c>
      <c r="C26521" t="str">
        <v>-</v>
      </c>
      <c r="D26521" t="str">
        <v>-</v>
      </c>
      <c r="E26521" t="str">
        <v>-</v>
      </c>
      <c r="F26521" t="str">
        <v>-</v>
      </c>
      <c r="G26521" t="str">
        <v>-</v>
      </c>
    </row>
    <row r="26522" xml:space="preserve">
      <c r="B26522" t="str" xml:space="preserve">
        <v xml:space="preserve">Công an xã Mường Luân _x000d_
 tỉnh Điện Biên</v>
      </c>
      <c r="C26522" t="str">
        <v>-</v>
      </c>
      <c r="D26522" t="str">
        <v>-</v>
      </c>
      <c r="E26522" t="str">
        <v/>
      </c>
      <c r="F26522" t="str">
        <v>-</v>
      </c>
      <c r="G26522" t="str">
        <v>-</v>
      </c>
    </row>
    <row r="26523" xml:space="preserve">
      <c r="B26523" t="str" xml:space="preserve">
        <v xml:space="preserve">UBND Ủy ban nhân dân xã Mường Luân _x000d_
 tỉnh Điện Biên</v>
      </c>
      <c r="C26523" t="str">
        <v>-</v>
      </c>
      <c r="D26523" t="str">
        <v>-</v>
      </c>
      <c r="E26523" t="str">
        <v>-</v>
      </c>
      <c r="F26523" t="str">
        <v>-</v>
      </c>
      <c r="G26523" t="str">
        <v>-</v>
      </c>
    </row>
    <row r="26524" xml:space="preserve">
      <c r="B26524" t="str" xml:space="preserve">
        <v xml:space="preserve">Công an xã Mường Mìn _x000d_
 tỉnh Thanh Hóa</v>
      </c>
      <c r="C26524" t="str">
        <v>-</v>
      </c>
      <c r="D26524" t="str">
        <v>-</v>
      </c>
      <c r="E26524" t="str">
        <v/>
      </c>
      <c r="F26524" t="str">
        <v>-</v>
      </c>
      <c r="G26524" t="str">
        <v>-</v>
      </c>
    </row>
    <row r="26525" xml:space="preserve">
      <c r="B26525" t="str" xml:space="preserve">
        <v xml:space="preserve">UBND Ủy ban nhân dân xã Mường Mìn _x000d_
 tỉnh Thanh Hóa</v>
      </c>
      <c r="C26525" t="str">
        <v>-</v>
      </c>
      <c r="D26525" t="str">
        <v>-</v>
      </c>
      <c r="E26525" t="str">
        <v>-</v>
      </c>
      <c r="F26525" t="str">
        <v>-</v>
      </c>
      <c r="G26525" t="str">
        <v>-</v>
      </c>
    </row>
    <row r="26526">
      <c r="B26526" t="str">
        <v>Công an xã Mường Mít tỉnh Lai Châu</v>
      </c>
      <c r="C26526" t="str">
        <v>-</v>
      </c>
      <c r="D26526" t="str">
        <v>-</v>
      </c>
      <c r="E26526" t="str">
        <v/>
      </c>
      <c r="F26526" t="str">
        <v>-</v>
      </c>
      <c r="G26526" t="str">
        <v>-</v>
      </c>
    </row>
    <row r="26527">
      <c r="B26527" t="str">
        <v>UBND Ủy ban nhân dân xã Mường Mít tỉnh Lai Châu</v>
      </c>
      <c r="C26527" t="str">
        <v>-</v>
      </c>
      <c r="D26527" t="str">
        <v>-</v>
      </c>
      <c r="E26527" t="str">
        <v>-</v>
      </c>
      <c r="F26527" t="str">
        <v>-</v>
      </c>
      <c r="G26527" t="str">
        <v>-</v>
      </c>
    </row>
    <row r="26528">
      <c r="B26528" t="str">
        <v>Công an xã Mường Sai tỉnh Sơn La</v>
      </c>
      <c r="C26528" t="str">
        <v>-</v>
      </c>
      <c r="D26528" t="str">
        <v>-</v>
      </c>
      <c r="E26528" t="str">
        <v/>
      </c>
      <c r="F26528" t="str">
        <v>-</v>
      </c>
      <c r="G26528" t="str">
        <v>-</v>
      </c>
    </row>
    <row r="26529">
      <c r="B26529" t="str">
        <v>UBND Ủy ban nhân dân xã Mường Sai tỉnh Sơn La</v>
      </c>
      <c r="C26529" t="str">
        <v>-</v>
      </c>
      <c r="D26529" t="str">
        <v>-</v>
      </c>
      <c r="E26529" t="str">
        <v>-</v>
      </c>
      <c r="F26529" t="str">
        <v>-</v>
      </c>
      <c r="G26529" t="str">
        <v>-</v>
      </c>
    </row>
    <row r="26530">
      <c r="B26530" t="str">
        <v>Công an xã Mường Tùng tỉnh Điện Biên</v>
      </c>
      <c r="C26530" t="str">
        <v>-</v>
      </c>
      <c r="D26530" t="str">
        <v>-</v>
      </c>
      <c r="E26530" t="str">
        <v/>
      </c>
      <c r="F26530" t="str">
        <v>-</v>
      </c>
      <c r="G26530" t="str">
        <v>-</v>
      </c>
    </row>
    <row r="26531">
      <c r="B26531" t="str">
        <v>UBND Ủy ban nhân dân xã Mường Tùng tỉnh Điện Biên</v>
      </c>
      <c r="C26531" t="str">
        <v>-</v>
      </c>
      <c r="D26531" t="str">
        <v>-</v>
      </c>
      <c r="E26531" t="str">
        <v>-</v>
      </c>
      <c r="F26531" t="str">
        <v>-</v>
      </c>
      <c r="G26531" t="str">
        <v>-</v>
      </c>
    </row>
    <row r="26532">
      <c r="B26532" t="str">
        <v>Công an xã Mường Thải tỉnh Sơn La</v>
      </c>
      <c r="C26532" t="str">
        <v>-</v>
      </c>
      <c r="D26532" t="str">
        <v>-</v>
      </c>
      <c r="E26532" t="str">
        <v/>
      </c>
      <c r="F26532" t="str">
        <v>-</v>
      </c>
      <c r="G26532" t="str">
        <v>-</v>
      </c>
    </row>
    <row r="26533">
      <c r="B26533" t="str">
        <v>UBND Ủy ban nhân dân xã Mường Thải tỉnh Sơn La</v>
      </c>
      <c r="C26533" t="str">
        <v>-</v>
      </c>
      <c r="D26533" t="str">
        <v>-</v>
      </c>
      <c r="E26533" t="str">
        <v>-</v>
      </c>
      <c r="F26533" t="str">
        <v>-</v>
      </c>
      <c r="G26533" t="str">
        <v>-</v>
      </c>
    </row>
    <row r="26534" xml:space="preserve">
      <c r="B26534" t="str" xml:space="preserve">
        <v xml:space="preserve">Công an xã Mường Than _x000d_
 tỉnh Lai Châu</v>
      </c>
      <c r="C26534" t="str">
        <v>-</v>
      </c>
      <c r="D26534" t="str">
        <v>-</v>
      </c>
      <c r="E26534" t="str">
        <v/>
      </c>
      <c r="F26534" t="str">
        <v>-</v>
      </c>
      <c r="G26534" t="str">
        <v>-</v>
      </c>
    </row>
    <row r="26535" xml:space="preserve">
      <c r="B26535" t="str" xml:space="preserve">
        <v xml:space="preserve">UBND Ủy ban nhân dân xã Mường Than _x000d_
 tỉnh Lai Châu</v>
      </c>
      <c r="C26535" t="str">
        <v>-</v>
      </c>
      <c r="D26535" t="str">
        <v>-</v>
      </c>
      <c r="E26535" t="str">
        <v>-</v>
      </c>
      <c r="F26535" t="str">
        <v>-</v>
      </c>
      <c r="G26535" t="str">
        <v>-</v>
      </c>
    </row>
    <row r="26536" xml:space="preserve">
      <c r="B26536" t="str" xml:space="preserve">
        <v xml:space="preserve">Công an xã Mường Toong _x000d_
 tỉnh Điện Biên</v>
      </c>
      <c r="C26536" t="str">
        <v>-</v>
      </c>
      <c r="D26536" t="str">
        <v>-</v>
      </c>
      <c r="E26536" t="str">
        <v/>
      </c>
      <c r="F26536" t="str">
        <v>-</v>
      </c>
      <c r="G26536" t="str">
        <v>-</v>
      </c>
    </row>
    <row r="26537" xml:space="preserve">
      <c r="B26537" t="str" xml:space="preserve">
        <v xml:space="preserve">UBND Ủy ban nhân dân xã Mường Toong _x000d_
 tỉnh Điện Biên</v>
      </c>
      <c r="C26537" t="str">
        <v>-</v>
      </c>
      <c r="D26537" t="str">
        <v>-</v>
      </c>
      <c r="E26537" t="str">
        <v>-</v>
      </c>
      <c r="F26537" t="str">
        <v>-</v>
      </c>
      <c r="G26537" t="str">
        <v>-</v>
      </c>
    </row>
    <row r="26538">
      <c r="B26538" t="str">
        <v>Công an xã Mường Và tỉnh Sơn La</v>
      </c>
      <c r="C26538" t="str">
        <v>-</v>
      </c>
      <c r="D26538" t="str">
        <v>-</v>
      </c>
      <c r="E26538" t="str">
        <v/>
      </c>
      <c r="F26538" t="str">
        <v>-</v>
      </c>
      <c r="G26538" t="str">
        <v>-</v>
      </c>
    </row>
    <row r="26539">
      <c r="B26539" t="str">
        <v>UBND Ủy ban nhân dân xã Mường Và tỉnh Sơn La</v>
      </c>
      <c r="C26539" t="str">
        <v>-</v>
      </c>
      <c r="D26539" t="str">
        <v>-</v>
      </c>
      <c r="E26539" t="str">
        <v>-</v>
      </c>
      <c r="F26539" t="str">
        <v>-</v>
      </c>
      <c r="G26539" t="str">
        <v>-</v>
      </c>
    </row>
    <row r="26540" xml:space="preserve">
      <c r="B26540" t="str" xml:space="preserve">
        <v xml:space="preserve">Công an xã Mạn Lạn _x000d_
 tỉnh Phú Thọ</v>
      </c>
      <c r="C26540" t="str">
        <v>-</v>
      </c>
      <c r="D26540" t="str">
        <v>-</v>
      </c>
      <c r="E26540" t="str">
        <v/>
      </c>
      <c r="F26540" t="str">
        <v>-</v>
      </c>
      <c r="G26540" t="str">
        <v>-</v>
      </c>
    </row>
    <row r="26541" xml:space="preserve">
      <c r="B26541" t="str" xml:space="preserve">
        <v xml:space="preserve">UBND Ủy ban nhân dân xã Mạn Lạn _x000d_
 tỉnh Phú Thọ</v>
      </c>
      <c r="C26541" t="str">
        <v>-</v>
      </c>
      <c r="D26541" t="str">
        <v>-</v>
      </c>
      <c r="E26541" t="str">
        <v>-</v>
      </c>
      <c r="F26541" t="str">
        <v>-</v>
      </c>
      <c r="G26541" t="str">
        <v>-</v>
      </c>
    </row>
    <row r="26542" xml:space="preserve">
      <c r="B26542" t="str" xml:space="preserve">
        <v xml:space="preserve">Công an xã Mễ Sở _x000d_
 tỉnh Hưng Yên</v>
      </c>
      <c r="C26542" t="str">
        <v>-</v>
      </c>
      <c r="D26542" t="str">
        <v>-</v>
      </c>
      <c r="E26542" t="str">
        <v/>
      </c>
      <c r="F26542" t="str">
        <v>-</v>
      </c>
      <c r="G26542" t="str">
        <v>-</v>
      </c>
    </row>
    <row r="26543" xml:space="preserve">
      <c r="B26543" t="str" xml:space="preserve">
        <v xml:space="preserve">UBND Ủy ban nhân dân xã Mễ Sở _x000d_
 tỉnh Hưng Yên</v>
      </c>
      <c r="C26543" t="str">
        <v>-</v>
      </c>
      <c r="D26543" t="str">
        <v>-</v>
      </c>
      <c r="E26543" t="str">
        <v>-</v>
      </c>
      <c r="F26543" t="str">
        <v>-</v>
      </c>
      <c r="G26543" t="str">
        <v>-</v>
      </c>
    </row>
    <row r="26544" xml:space="preserve">
      <c r="B26544" t="str" xml:space="preserve">
        <v xml:space="preserve">Công an xã Mỹ Hà _x000d_
 tỉnh Nam Định</v>
      </c>
      <c r="C26544" t="str">
        <v>-</v>
      </c>
      <c r="D26544" t="str">
        <v>-</v>
      </c>
      <c r="E26544" t="str">
        <v/>
      </c>
      <c r="F26544" t="str">
        <v>-</v>
      </c>
      <c r="G26544" t="str">
        <v>-</v>
      </c>
    </row>
    <row r="26545" xml:space="preserve">
      <c r="B26545" t="str" xml:space="preserve">
        <v xml:space="preserve">UBND Ủy ban nhân dân xã Mỹ Hà _x000d_
 tỉnh Nam Định</v>
      </c>
      <c r="C26545" t="str">
        <v>-</v>
      </c>
      <c r="D26545" t="str">
        <v>-</v>
      </c>
      <c r="E26545" t="str">
        <v>-</v>
      </c>
      <c r="F26545" t="str">
        <v>-</v>
      </c>
      <c r="G26545" t="str">
        <v>-</v>
      </c>
    </row>
    <row r="26546" xml:space="preserve">
      <c r="B26546" t="str" xml:space="preserve">
        <v xml:space="preserve">Công an xã Mỹ Hòa _x000d_
 tỉnh Bến Tre</v>
      </c>
      <c r="C26546" t="str">
        <v>-</v>
      </c>
      <c r="D26546" t="str">
        <v>-</v>
      </c>
      <c r="E26546" t="str">
        <v/>
      </c>
      <c r="F26546" t="str">
        <v>-</v>
      </c>
      <c r="G26546" t="str">
        <v>-</v>
      </c>
    </row>
    <row r="26547" xml:space="preserve">
      <c r="B26547" t="str" xml:space="preserve">
        <v xml:space="preserve">UBND Ủy ban nhân dân xã Mỹ Hòa _x000d_
 tỉnh Bến Tre</v>
      </c>
      <c r="C26547" t="str">
        <v>-</v>
      </c>
      <c r="D26547" t="str">
        <v>-</v>
      </c>
      <c r="E26547" t="str">
        <v>-</v>
      </c>
      <c r="F26547" t="str">
        <v>-</v>
      </c>
      <c r="G26547" t="str">
        <v>-</v>
      </c>
    </row>
    <row r="26548" xml:space="preserve">
      <c r="B26548" t="str" xml:space="preserve">
        <v xml:space="preserve">Công an xã Mỹ Hòa _x000d_
 tỉnh Trà Vinh</v>
      </c>
      <c r="C26548" t="str">
        <v>-</v>
      </c>
      <c r="D26548" t="str">
        <v>-</v>
      </c>
      <c r="E26548" t="str">
        <v/>
      </c>
      <c r="F26548" t="str">
        <v>-</v>
      </c>
      <c r="G26548" t="str">
        <v>-</v>
      </c>
    </row>
    <row r="26549" xml:space="preserve">
      <c r="B26549" t="str" xml:space="preserve">
        <v xml:space="preserve">UBND Ủy ban nhân dân xã Mỹ Hòa _x000d_
 tỉnh Trà Vinh</v>
      </c>
      <c r="C26549" t="str">
        <v>-</v>
      </c>
      <c r="D26549" t="str">
        <v>-</v>
      </c>
      <c r="E26549" t="str">
        <v>-</v>
      </c>
      <c r="F26549" t="str">
        <v>-</v>
      </c>
      <c r="G26549" t="str">
        <v>-</v>
      </c>
    </row>
    <row r="26550" xml:space="preserve">
      <c r="B26550" t="str" xml:space="preserve">
        <v xml:space="preserve">Công an xã Mỹ Hưng _x000d_
 tỉnh Cao Bằng</v>
      </c>
      <c r="C26550" t="str">
        <v>-</v>
      </c>
      <c r="D26550" t="str">
        <v>-</v>
      </c>
      <c r="E26550" t="str">
        <v/>
      </c>
      <c r="F26550" t="str">
        <v>-</v>
      </c>
      <c r="G26550" t="str">
        <v>-</v>
      </c>
    </row>
    <row r="26551" xml:space="preserve">
      <c r="B26551" t="str" xml:space="preserve">
        <v xml:space="preserve">UBND Ủy ban nhân dân xã Mỹ Hưng _x000d_
 tỉnh Cao Bằng</v>
      </c>
      <c r="C26551" t="str">
        <v>-</v>
      </c>
      <c r="D26551" t="str">
        <v>-</v>
      </c>
      <c r="E26551" t="str">
        <v>-</v>
      </c>
      <c r="F26551" t="str">
        <v>-</v>
      </c>
      <c r="G26551" t="str">
        <v>-</v>
      </c>
    </row>
    <row r="26552">
      <c r="B26552" t="str">
        <v>Công an xã Mỹ Hưng tỉnh Bến Tre</v>
      </c>
      <c r="C26552" t="str">
        <v>-</v>
      </c>
      <c r="D26552" t="str">
        <v>-</v>
      </c>
      <c r="E26552" t="str">
        <v/>
      </c>
      <c r="F26552" t="str">
        <v>-</v>
      </c>
      <c r="G26552" t="str">
        <v>-</v>
      </c>
    </row>
    <row r="26553">
      <c r="B26553" t="str">
        <v>UBND Ủy ban nhân dân xã Mỹ Hưng tỉnh Bến Tre</v>
      </c>
      <c r="C26553" t="str">
        <v>-</v>
      </c>
      <c r="D26553" t="str">
        <v>-</v>
      </c>
      <c r="E26553" t="str">
        <v>-</v>
      </c>
      <c r="F26553" t="str">
        <v>-</v>
      </c>
      <c r="G26553" t="str">
        <v>-</v>
      </c>
    </row>
    <row r="26554">
      <c r="B26554" t="str">
        <v>Công an xã Mỹ Hiệp  tỉnh Bình Định</v>
      </c>
      <c r="C26554" t="str">
        <v>-</v>
      </c>
      <c r="D26554" t="str">
        <v>-</v>
      </c>
      <c r="E26554" t="str">
        <v/>
      </c>
      <c r="F26554" t="str">
        <v>-</v>
      </c>
      <c r="G26554" t="str">
        <v>-</v>
      </c>
    </row>
    <row r="26555">
      <c r="B26555" t="str">
        <v>UBND Ủy ban nhân dân xã Mỹ Hiệp  tỉnh Bình Định</v>
      </c>
      <c r="C26555" t="str">
        <v>-</v>
      </c>
      <c r="D26555" t="str">
        <v>-</v>
      </c>
      <c r="E26555" t="str">
        <v>-</v>
      </c>
      <c r="F26555" t="str">
        <v>-</v>
      </c>
      <c r="G26555" t="str">
        <v>-</v>
      </c>
    </row>
    <row r="26556" xml:space="preserve">
      <c r="B26556" t="str" xml:space="preserve">
        <v xml:space="preserve">Công an xã Mỹ Khánh _x000d_
 thành phố Cần Thơ</v>
      </c>
      <c r="C26556" t="str">
        <v>-</v>
      </c>
      <c r="D26556" t="str">
        <v>-</v>
      </c>
      <c r="E26556" t="str">
        <v/>
      </c>
      <c r="F26556" t="str">
        <v>-</v>
      </c>
      <c r="G26556" t="str">
        <v>-</v>
      </c>
    </row>
    <row r="26557" xml:space="preserve">
      <c r="B26557" t="str" xml:space="preserve">
        <v xml:space="preserve">UBND Ủy ban nhân dân xã Mỹ Khánh _x000d_
 thành phố Cần Thơ</v>
      </c>
      <c r="C26557" t="str">
        <v>-</v>
      </c>
      <c r="D26557" t="str">
        <v>-</v>
      </c>
      <c r="E26557" t="str">
        <v>-</v>
      </c>
      <c r="F26557" t="str">
        <v>-</v>
      </c>
      <c r="G26557" t="str">
        <v>-</v>
      </c>
    </row>
    <row r="26558" xml:space="preserve">
      <c r="B26558" t="str" xml:space="preserve">
        <v xml:space="preserve">Công an xã Mỹ Lý _x000d_
 tỉnh Nghệ An</v>
      </c>
      <c r="C26558" t="str">
        <v>-</v>
      </c>
      <c r="D26558" t="str">
        <v>-</v>
      </c>
      <c r="E26558" t="str">
        <v/>
      </c>
      <c r="F26558" t="str">
        <v>-</v>
      </c>
      <c r="G26558" t="str">
        <v>-</v>
      </c>
    </row>
    <row r="26559" xml:space="preserve">
      <c r="B26559" t="str" xml:space="preserve">
        <v xml:space="preserve">UBND Ủy ban nhân dân xã Mỹ Lý _x000d_
 tỉnh Nghệ An</v>
      </c>
      <c r="C26559" t="str">
        <v>-</v>
      </c>
      <c r="D26559" t="str">
        <v>-</v>
      </c>
      <c r="E26559" t="str">
        <v>-</v>
      </c>
      <c r="F26559" t="str">
        <v>-</v>
      </c>
      <c r="G26559" t="str">
        <v>-</v>
      </c>
    </row>
    <row r="26560">
      <c r="B26560" t="str">
        <v>Công an xã Mỹ Lương tỉnh Phú Thọ</v>
      </c>
      <c r="C26560" t="str">
        <v>-</v>
      </c>
      <c r="D26560" t="str">
        <v>-</v>
      </c>
      <c r="E26560" t="str">
        <v/>
      </c>
      <c r="F26560" t="str">
        <v>-</v>
      </c>
      <c r="G26560" t="str">
        <v>-</v>
      </c>
    </row>
    <row r="26561">
      <c r="B26561" t="str">
        <v>UBND Ủy ban nhân dân xã Mỹ Lương tỉnh Phú Thọ</v>
      </c>
      <c r="C26561" t="str">
        <v>-</v>
      </c>
      <c r="D26561" t="str">
        <v>-</v>
      </c>
      <c r="E26561" t="str">
        <v>-</v>
      </c>
      <c r="F26561" t="str">
        <v>-</v>
      </c>
      <c r="G26561" t="str">
        <v>-</v>
      </c>
    </row>
    <row r="26562" xml:space="preserve">
      <c r="B26562" t="str" xml:space="preserve">
        <v xml:space="preserve">Công an xã Mỹ Lung _x000d_
 tỉnh Phú Thọ</v>
      </c>
      <c r="C26562" t="str">
        <v>-</v>
      </c>
      <c r="D26562" t="str">
        <v>-</v>
      </c>
      <c r="E26562" t="str">
        <v/>
      </c>
      <c r="F26562" t="str">
        <v>-</v>
      </c>
      <c r="G26562" t="str">
        <v>-</v>
      </c>
    </row>
    <row r="26563" xml:space="preserve">
      <c r="B26563" t="str" xml:space="preserve">
        <v xml:space="preserve">UBND Ủy ban nhân dân xã Mỹ Lung _x000d_
 tỉnh Phú Thọ</v>
      </c>
      <c r="C26563" t="str">
        <v>-</v>
      </c>
      <c r="D26563" t="str">
        <v>-</v>
      </c>
      <c r="E26563" t="str">
        <v>-</v>
      </c>
      <c r="F26563" t="str">
        <v>-</v>
      </c>
      <c r="G26563" t="str">
        <v>-</v>
      </c>
    </row>
    <row r="26564">
      <c r="B26564" t="str">
        <v>Công an xã Mỹ Phúc  tỉnh Nam Định</v>
      </c>
      <c r="C26564" t="str">
        <v>-</v>
      </c>
      <c r="D26564" t="str">
        <v>-</v>
      </c>
      <c r="E26564" t="str">
        <v/>
      </c>
      <c r="F26564" t="str">
        <v>-</v>
      </c>
      <c r="G26564" t="str">
        <v>-</v>
      </c>
    </row>
    <row r="26565">
      <c r="B26565" t="str">
        <v>UBND Ủy ban nhân dân xã Mỹ Phúc  tỉnh Nam Định</v>
      </c>
      <c r="C26565" t="str">
        <v>-</v>
      </c>
      <c r="D26565" t="str">
        <v>-</v>
      </c>
      <c r="E26565" t="str">
        <v>-</v>
      </c>
      <c r="F26565" t="str">
        <v>-</v>
      </c>
      <c r="G26565" t="str">
        <v>-</v>
      </c>
    </row>
    <row r="26566">
      <c r="B26566" t="str">
        <v>Công an xã Mỹ Tân tỉnh TIỀN GIANG</v>
      </c>
      <c r="C26566" t="str">
        <v>-</v>
      </c>
      <c r="D26566" t="str">
        <v>-</v>
      </c>
      <c r="E26566" t="str">
        <v/>
      </c>
      <c r="F26566" t="str">
        <v>-</v>
      </c>
      <c r="G26566" t="str">
        <v>-</v>
      </c>
    </row>
    <row r="26567">
      <c r="B26567" t="str">
        <v>UBND Ủy ban nhân dân xã Mỹ Tân tỉnh TIỀN GIANG</v>
      </c>
      <c r="C26567" t="str">
        <v>-</v>
      </c>
      <c r="D26567" t="str">
        <v>-</v>
      </c>
      <c r="E26567" t="str">
        <v>-</v>
      </c>
      <c r="F26567" t="str">
        <v>-</v>
      </c>
      <c r="G26567" t="str">
        <v>-</v>
      </c>
    </row>
    <row r="26568">
      <c r="B26568" t="str">
        <v>Công an xã Mỹ Tân tỉnh Thanh Hóa</v>
      </c>
      <c r="C26568" t="str">
        <v>-</v>
      </c>
      <c r="D26568" t="str">
        <v>-</v>
      </c>
      <c r="E26568" t="str">
        <v/>
      </c>
      <c r="F26568" t="str">
        <v>-</v>
      </c>
      <c r="G26568" t="str">
        <v>-</v>
      </c>
    </row>
    <row r="26569">
      <c r="B26569" t="str">
        <v>UBND Ủy ban nhân dân xã Mỹ Tân tỉnh Thanh Hóa</v>
      </c>
      <c r="C26569" t="str">
        <v>-</v>
      </c>
      <c r="D26569" t="str">
        <v>-</v>
      </c>
      <c r="E26569" t="str">
        <v>-</v>
      </c>
      <c r="F26569" t="str">
        <v>-</v>
      </c>
      <c r="G26569" t="str">
        <v>-</v>
      </c>
    </row>
    <row r="26570">
      <c r="B26570" t="str">
        <v>Công an xã Mỹ Tân tỉnh Nam Định</v>
      </c>
      <c r="C26570" t="str">
        <v>-</v>
      </c>
      <c r="D26570" t="str">
        <v>-</v>
      </c>
      <c r="E26570" t="str">
        <v/>
      </c>
      <c r="F26570" t="str">
        <v>-</v>
      </c>
      <c r="G26570" t="str">
        <v>-</v>
      </c>
    </row>
    <row r="26571">
      <c r="B26571" t="str">
        <v>UBND Ủy ban nhân dân xã Mỹ Tân tỉnh Nam Định</v>
      </c>
      <c r="C26571" t="str">
        <v>-</v>
      </c>
      <c r="D26571" t="str">
        <v>-</v>
      </c>
      <c r="E26571" t="str">
        <v>-</v>
      </c>
      <c r="F26571" t="str">
        <v>-</v>
      </c>
      <c r="G26571" t="str">
        <v>-</v>
      </c>
    </row>
    <row r="26572">
      <c r="B26572" t="str">
        <v>Công an xã Mỹ Thành tỉnh Hòa Bình</v>
      </c>
      <c r="C26572" t="str">
        <v>-</v>
      </c>
      <c r="D26572" t="str">
        <v>-</v>
      </c>
      <c r="E26572" t="str">
        <v/>
      </c>
      <c r="F26572" t="str">
        <v>-</v>
      </c>
      <c r="G26572" t="str">
        <v>-</v>
      </c>
    </row>
    <row r="26573">
      <c r="B26573" t="str">
        <v>UBND Ủy ban nhân dân xã Mỹ Thành tỉnh Hòa Bình</v>
      </c>
      <c r="C26573" t="str">
        <v>-</v>
      </c>
      <c r="D26573" t="str">
        <v>-</v>
      </c>
      <c r="E26573" t="str">
        <v>-</v>
      </c>
      <c r="F26573" t="str">
        <v>-</v>
      </c>
      <c r="G26573" t="str">
        <v>-</v>
      </c>
    </row>
    <row r="26574">
      <c r="B26574" t="str">
        <v>Công an xã Mỹ Thạnh An  tỉnh Bến Tre</v>
      </c>
      <c r="C26574" t="str">
        <v>-</v>
      </c>
      <c r="D26574" t="str">
        <v>-</v>
      </c>
      <c r="E26574" t="str">
        <v/>
      </c>
      <c r="F26574" t="str">
        <v>-</v>
      </c>
      <c r="G26574" t="str">
        <v>-</v>
      </c>
    </row>
    <row r="26575">
      <c r="B26575" t="str">
        <v>UBND Ủy ban nhân dân xã Mỹ Thạnh An  tỉnh Bến Tre</v>
      </c>
      <c r="C26575" t="str">
        <v>-</v>
      </c>
      <c r="D26575" t="str">
        <v>-</v>
      </c>
      <c r="E26575" t="str">
        <v>-</v>
      </c>
      <c r="F26575" t="str">
        <v>-</v>
      </c>
      <c r="G26575" t="str">
        <v>-</v>
      </c>
    </row>
    <row r="26576">
      <c r="B26576" t="str">
        <v>Công an xã Mỹ Thuận tỉnh Nam Định</v>
      </c>
      <c r="C26576" t="str">
        <v>-</v>
      </c>
      <c r="D26576" t="str">
        <v>-</v>
      </c>
      <c r="E26576" t="str">
        <v/>
      </c>
      <c r="F26576" t="str">
        <v>-</v>
      </c>
      <c r="G26576" t="str">
        <v>-</v>
      </c>
    </row>
    <row r="26577">
      <c r="B26577" t="str">
        <v>UBND Ủy ban nhân dân xã Mỹ Thuận tỉnh Nam Định</v>
      </c>
      <c r="C26577" t="str">
        <v>-</v>
      </c>
      <c r="D26577" t="str">
        <v>-</v>
      </c>
      <c r="E26577" t="str">
        <v>-</v>
      </c>
      <c r="F26577" t="str">
        <v>-</v>
      </c>
      <c r="G26577" t="str">
        <v>-</v>
      </c>
    </row>
    <row r="26578">
      <c r="B26578" t="str">
        <v>Công an xã Mỹ Thuận tỉnh Phú Thọ</v>
      </c>
      <c r="C26578" t="str">
        <v>-</v>
      </c>
      <c r="D26578" t="str">
        <v>-</v>
      </c>
      <c r="E26578" t="str">
        <v/>
      </c>
      <c r="F26578" t="str">
        <v>-</v>
      </c>
      <c r="G26578" t="str">
        <v>-</v>
      </c>
    </row>
    <row r="26579">
      <c r="B26579" t="str">
        <v>UBND Ủy ban nhân dân xã Mỹ Thuận tỉnh Phú Thọ</v>
      </c>
      <c r="C26579" t="str">
        <v>-</v>
      </c>
      <c r="D26579" t="str">
        <v>-</v>
      </c>
      <c r="E26579" t="str">
        <v>-</v>
      </c>
      <c r="F26579" t="str">
        <v>-</v>
      </c>
      <c r="G26579" t="str">
        <v>-</v>
      </c>
    </row>
    <row r="26580" xml:space="preserve">
      <c r="B26580" t="str" xml:space="preserve">
        <v xml:space="preserve">Công an xã Mỹ Trung _x000d_
 tỉnh TIỀN GIANG</v>
      </c>
      <c r="C26580" t="str">
        <v>-</v>
      </c>
      <c r="D26580" t="str">
        <v>-</v>
      </c>
      <c r="E26580" t="str">
        <v/>
      </c>
      <c r="F26580" t="str">
        <v>-</v>
      </c>
      <c r="G26580" t="str">
        <v>-</v>
      </c>
    </row>
    <row r="26581" xml:space="preserve">
      <c r="B26581" t="str" xml:space="preserve">
        <v xml:space="preserve">UBND Ủy ban nhân dân xã Mỹ Trung _x000d_
 tỉnh TIỀN GIANG</v>
      </c>
      <c r="C26581" t="str">
        <v>-</v>
      </c>
      <c r="D26581" t="str">
        <v>-</v>
      </c>
      <c r="E26581" t="str">
        <v>-</v>
      </c>
      <c r="F26581" t="str">
        <v>-</v>
      </c>
      <c r="G26581" t="str">
        <v>-</v>
      </c>
    </row>
    <row r="26582">
      <c r="B26582" t="str">
        <v>Công an xã Mai Lạp  tỉnh Bắc Kạn</v>
      </c>
      <c r="C26582" t="str">
        <v>-</v>
      </c>
      <c r="D26582" t="str">
        <v>-</v>
      </c>
      <c r="E26582" t="str">
        <v/>
      </c>
      <c r="F26582" t="str">
        <v>-</v>
      </c>
      <c r="G26582" t="str">
        <v>-</v>
      </c>
    </row>
    <row r="26583">
      <c r="B26583" t="str">
        <v>UBND Ủy ban nhân dân xã Mai Lạp  tỉnh Bắc Kạn</v>
      </c>
      <c r="C26583" t="str">
        <v>-</v>
      </c>
      <c r="D26583" t="str">
        <v>-</v>
      </c>
      <c r="E26583" t="str">
        <v>-</v>
      </c>
      <c r="F26583" t="str">
        <v>-</v>
      </c>
      <c r="G26583" t="str">
        <v>-</v>
      </c>
    </row>
    <row r="26584">
      <c r="B26584" t="str">
        <v>Công an xã Mai Sơn tỉnh Yên Bái</v>
      </c>
      <c r="C26584" t="str">
        <v>-</v>
      </c>
      <c r="D26584" t="str">
        <v>-</v>
      </c>
      <c r="E26584" t="str">
        <v/>
      </c>
      <c r="F26584" t="str">
        <v>-</v>
      </c>
      <c r="G26584" t="str">
        <v>-</v>
      </c>
    </row>
    <row r="26585">
      <c r="B26585" t="str">
        <v>UBND Ủy ban nhân dân xã Mai Sơn tỉnh Yên Bái</v>
      </c>
      <c r="C26585" t="str">
        <v>-</v>
      </c>
      <c r="D26585" t="str">
        <v>-</v>
      </c>
      <c r="E26585" t="str">
        <v>-</v>
      </c>
      <c r="F26585" t="str">
        <v>-</v>
      </c>
      <c r="G26585" t="str">
        <v>-</v>
      </c>
    </row>
    <row r="26586">
      <c r="B26586" t="str">
        <v>Công an xã Ma Thì Hồ tỉnh Điện Biên</v>
      </c>
      <c r="C26586" t="str">
        <v>-</v>
      </c>
      <c r="D26586" t="str">
        <v>-</v>
      </c>
      <c r="E26586" t="str">
        <v/>
      </c>
      <c r="F26586" t="str">
        <v>-</v>
      </c>
      <c r="G26586" t="str">
        <v>-</v>
      </c>
    </row>
    <row r="26587">
      <c r="B26587" t="str">
        <v>UBND Ủy ban nhân dân xã Ma Thì Hồ tỉnh Điện Biên</v>
      </c>
      <c r="C26587" t="str">
        <v>-</v>
      </c>
      <c r="D26587" t="str">
        <v>-</v>
      </c>
      <c r="E26587" t="str">
        <v>-</v>
      </c>
      <c r="F26587" t="str">
        <v>-</v>
      </c>
      <c r="G26587" t="str">
        <v>-</v>
      </c>
    </row>
    <row r="26588">
      <c r="B26588" t="str">
        <v>Công an xã Minh Đạo tỉnh Bắc Ninh</v>
      </c>
      <c r="C26588" t="str">
        <v>-</v>
      </c>
      <c r="D26588" t="str">
        <v>-</v>
      </c>
      <c r="E26588" t="str">
        <v/>
      </c>
      <c r="F26588" t="str">
        <v>-</v>
      </c>
      <c r="G26588" t="str">
        <v>-</v>
      </c>
    </row>
    <row r="26589">
      <c r="B26589" t="str">
        <v>UBND Ủy ban nhân dân xã Minh Đạo tỉnh Bắc Ninh</v>
      </c>
      <c r="C26589" t="str">
        <v>-</v>
      </c>
      <c r="D26589" t="str">
        <v>-</v>
      </c>
      <c r="E26589" t="str">
        <v>-</v>
      </c>
      <c r="F26589" t="str">
        <v>-</v>
      </c>
      <c r="G26589" t="str">
        <v>-</v>
      </c>
    </row>
    <row r="26590">
      <c r="B26590" t="str">
        <v>Công an xã Minh Đức tỉnh Thái Nguyên</v>
      </c>
      <c r="C26590" t="str">
        <v>-</v>
      </c>
      <c r="D26590" t="str">
        <v>-</v>
      </c>
      <c r="E26590" t="str">
        <v/>
      </c>
      <c r="F26590" t="str">
        <v>-</v>
      </c>
      <c r="G26590" t="str">
        <v>-</v>
      </c>
    </row>
    <row r="26591">
      <c r="B26591" t="str">
        <v>UBND Ủy ban nhân dân xã Minh Đức tỉnh Thái Nguyên</v>
      </c>
      <c r="C26591" t="str">
        <v>-</v>
      </c>
      <c r="D26591" t="str">
        <v>-</v>
      </c>
      <c r="E26591" t="str">
        <v>-</v>
      </c>
      <c r="F26591" t="str">
        <v>-</v>
      </c>
      <c r="G26591" t="str">
        <v>-</v>
      </c>
    </row>
    <row r="26592" xml:space="preserve">
      <c r="B26592" t="str" xml:space="preserve">
        <v xml:space="preserve">Công an xã Minh An _x000d_
 tỉnh Yên Bái</v>
      </c>
      <c r="C26592" t="str">
        <v>-</v>
      </c>
      <c r="D26592" t="str">
        <v>-</v>
      </c>
      <c r="E26592" t="str">
        <v/>
      </c>
      <c r="F26592" t="str">
        <v>-</v>
      </c>
      <c r="G26592" t="str">
        <v>-</v>
      </c>
    </row>
    <row r="26593" xml:space="preserve">
      <c r="B26593" t="str" xml:space="preserve">
        <v xml:space="preserve">UBND Ủy ban nhân dân xã Minh An _x000d_
 tỉnh Yên Bái</v>
      </c>
      <c r="C26593" t="str">
        <v>-</v>
      </c>
      <c r="D26593" t="str">
        <v>-</v>
      </c>
      <c r="E26593" t="str">
        <v>-</v>
      </c>
      <c r="F26593" t="str">
        <v>-</v>
      </c>
      <c r="G26593" t="str">
        <v>-</v>
      </c>
    </row>
    <row r="26594">
      <c r="B26594" t="str">
        <v>Công an xã Minh Bảo tỉnh Yên Bái</v>
      </c>
      <c r="C26594" t="str">
        <v>-</v>
      </c>
      <c r="D26594" t="str">
        <v>-</v>
      </c>
      <c r="E26594" t="str">
        <v/>
      </c>
      <c r="F26594" t="str">
        <v>-</v>
      </c>
      <c r="G26594" t="str">
        <v>-</v>
      </c>
    </row>
    <row r="26595">
      <c r="B26595" t="str">
        <v>UBND Ủy ban nhân dân xã Minh Bảo tỉnh Yên Bái</v>
      </c>
      <c r="C26595" t="str">
        <v>-</v>
      </c>
      <c r="D26595" t="str">
        <v>-</v>
      </c>
      <c r="E26595" t="str">
        <v>-</v>
      </c>
      <c r="F26595" t="str">
        <v>-</v>
      </c>
      <c r="G26595" t="str">
        <v>-</v>
      </c>
    </row>
    <row r="26596" xml:space="preserve">
      <c r="B26596" t="str" xml:space="preserve">
        <v xml:space="preserve"> Công an xã Minh Côi_x000d_
 tỉnh Phú Thọ</v>
      </c>
    </row>
    <row r="26597" xml:space="preserve">
      <c r="B26597" t="str" xml:space="preserve">
        <v xml:space="preserve">UBND Ủy ban nhân dânn xã Minh Côi_x000d_
 tỉnh Phú Thọ</v>
      </c>
      <c r="C26597" t="str">
        <v>-</v>
      </c>
      <c r="D26597" t="str">
        <v>-</v>
      </c>
      <c r="E26597" t="str">
        <v>-</v>
      </c>
      <c r="F26597" t="str">
        <v>-</v>
      </c>
      <c r="G26597" t="str">
        <v>-</v>
      </c>
    </row>
    <row r="26598" xml:space="preserve">
      <c r="B26598" t="str" xml:space="preserve">
        <v xml:space="preserve">Công an xã Minh Lương _x000d_
 tỉnh Phú Thọ</v>
      </c>
      <c r="C26598" t="str">
        <v>-</v>
      </c>
      <c r="D26598" t="str">
        <v>-</v>
      </c>
      <c r="E26598" t="str">
        <v/>
      </c>
      <c r="F26598" t="str">
        <v>-</v>
      </c>
      <c r="G26598" t="str">
        <v>-</v>
      </c>
    </row>
    <row r="26599" xml:space="preserve">
      <c r="B26599" t="str" xml:space="preserve">
        <v xml:space="preserve">UBND Ủy ban nhân dân xã Minh Lương _x000d_
 tỉnh Phú Thọ</v>
      </c>
      <c r="C26599" t="str">
        <v>-</v>
      </c>
      <c r="D26599" t="str">
        <v>-</v>
      </c>
      <c r="E26599" t="str">
        <v>-</v>
      </c>
      <c r="F26599" t="str">
        <v>-</v>
      </c>
      <c r="G26599" t="str">
        <v>-</v>
      </c>
    </row>
    <row r="26600" xml:space="preserve">
      <c r="B26600" t="str" xml:space="preserve">
        <v xml:space="preserve">Công an xã Minh Phú _x000d_
 tỉnh Phú Thọ</v>
      </c>
      <c r="C26600" t="str">
        <v>-</v>
      </c>
      <c r="D26600" t="str">
        <v>-</v>
      </c>
      <c r="E26600" t="str">
        <v/>
      </c>
      <c r="F26600" t="str">
        <v>-</v>
      </c>
      <c r="G26600" t="str">
        <v>-</v>
      </c>
    </row>
    <row r="26601" xml:space="preserve">
      <c r="B26601" t="str" xml:space="preserve">
        <v xml:space="preserve">UBND Ủy ban nhân dân xã Minh Phú _x000d_
 tỉnh Phú Thọ</v>
      </c>
      <c r="C26601" t="str">
        <v>-</v>
      </c>
      <c r="D26601" t="str">
        <v>-</v>
      </c>
      <c r="E26601" t="str">
        <v>-</v>
      </c>
      <c r="F26601" t="str">
        <v>-</v>
      </c>
      <c r="G26601" t="str">
        <v>-</v>
      </c>
    </row>
    <row r="26602" xml:space="preserve">
      <c r="B26602" t="str" xml:space="preserve">
        <v xml:space="preserve">Công an xã Minh Quân _x000d_
 tỉnh Yên Bái</v>
      </c>
      <c r="C26602" t="str">
        <v>-</v>
      </c>
      <c r="D26602" t="str">
        <v>-</v>
      </c>
      <c r="E26602" t="str">
        <v/>
      </c>
      <c r="F26602" t="str">
        <v>-</v>
      </c>
      <c r="G26602" t="str">
        <v>-</v>
      </c>
    </row>
    <row r="26603" xml:space="preserve">
      <c r="B26603" t="str" xml:space="preserve">
        <v xml:space="preserve">UBND Ủy ban nhân dân xã Minh Quân _x000d_
 tỉnh Yên Bái</v>
      </c>
      <c r="C26603" t="str">
        <v>-</v>
      </c>
      <c r="D26603" t="str">
        <v>-</v>
      </c>
      <c r="E26603" t="str">
        <v>-</v>
      </c>
      <c r="F26603" t="str">
        <v>-</v>
      </c>
      <c r="G26603" t="str">
        <v>-</v>
      </c>
    </row>
    <row r="26604">
      <c r="B26604" t="str">
        <v xml:space="preserve"> Công an xã Minh Quang tỉnh Thái Bình</v>
      </c>
    </row>
    <row r="26605">
      <c r="B26605" t="str">
        <v>UBND Ủy ban nhân dânn xã Minh Quang tỉnh Thái Bình</v>
      </c>
      <c r="C26605" t="str">
        <v>-</v>
      </c>
      <c r="D26605" t="str">
        <v>-</v>
      </c>
      <c r="E26605" t="str">
        <v>-</v>
      </c>
      <c r="F26605" t="str">
        <v>-</v>
      </c>
      <c r="G26605" t="str">
        <v>-</v>
      </c>
    </row>
    <row r="26606" xml:space="preserve">
      <c r="B26606" t="str" xml:space="preserve">
        <v xml:space="preserve">Công an xã Minh Tân _x000d_
 tỉnh Bắc Ninh</v>
      </c>
      <c r="C26606" t="str">
        <v>-</v>
      </c>
      <c r="D26606" t="str">
        <v>-</v>
      </c>
      <c r="E26606" t="str">
        <v/>
      </c>
      <c r="F26606" t="str">
        <v>-</v>
      </c>
      <c r="G26606" t="str">
        <v>-</v>
      </c>
    </row>
    <row r="26607" xml:space="preserve">
      <c r="B26607" t="str" xml:space="preserve">
        <v xml:space="preserve">UBND Ủy ban nhân dân xã Minh Tân _x000d_
 tỉnh Bắc Ninh</v>
      </c>
      <c r="C26607" t="str">
        <v>-</v>
      </c>
      <c r="D26607" t="str">
        <v>-</v>
      </c>
      <c r="E26607" t="str">
        <v>-</v>
      </c>
      <c r="F26607" t="str">
        <v>-</v>
      </c>
      <c r="G26607" t="str">
        <v>-</v>
      </c>
    </row>
    <row r="26608" xml:space="preserve">
      <c r="B26608" t="str" xml:space="preserve">
        <v xml:space="preserve">Công an xã Minh Tân _x000d_
 tỉnh Thanh Hóa</v>
      </c>
      <c r="C26608" t="str">
        <v>-</v>
      </c>
      <c r="D26608" t="str">
        <v>-</v>
      </c>
      <c r="E26608" t="str">
        <v/>
      </c>
      <c r="F26608" t="str">
        <v>-</v>
      </c>
      <c r="G26608" t="str">
        <v>-</v>
      </c>
    </row>
    <row r="26609" xml:space="preserve">
      <c r="B26609" t="str" xml:space="preserve">
        <v xml:space="preserve">UBND Ủy ban nhân dân xã Minh Tân _x000d_
 tỉnh Thanh Hóa</v>
      </c>
      <c r="C26609" t="str">
        <v>-</v>
      </c>
      <c r="D26609" t="str">
        <v>-</v>
      </c>
      <c r="E26609" t="str">
        <v>-</v>
      </c>
      <c r="F26609" t="str">
        <v>-</v>
      </c>
      <c r="G26609" t="str">
        <v>-</v>
      </c>
    </row>
    <row r="26610">
      <c r="B26610" t="str">
        <v>Công an xã Minh Tân tỉnh Hải Dương</v>
      </c>
      <c r="C26610" t="str">
        <v>-</v>
      </c>
      <c r="D26610" t="str">
        <v>-</v>
      </c>
      <c r="E26610" t="str">
        <v/>
      </c>
      <c r="F26610" t="str">
        <v>-</v>
      </c>
      <c r="G26610" t="str">
        <v>-</v>
      </c>
    </row>
    <row r="26611">
      <c r="B26611" t="str">
        <v>UBND Ủy ban nhân dân xã Minh Tân tỉnh Hải Dương</v>
      </c>
      <c r="C26611" t="str">
        <v>-</v>
      </c>
      <c r="D26611" t="str">
        <v>-</v>
      </c>
      <c r="E26611" t="str">
        <v>-</v>
      </c>
      <c r="F26611" t="str">
        <v>-</v>
      </c>
      <c r="G26611" t="str">
        <v>-</v>
      </c>
    </row>
    <row r="26612">
      <c r="B26612" t="str">
        <v>Công an xã Minh Tân tỉnh Phú Thọ</v>
      </c>
      <c r="C26612" t="str">
        <v>-</v>
      </c>
      <c r="D26612" t="str">
        <v>-</v>
      </c>
      <c r="E26612" t="str">
        <v/>
      </c>
      <c r="F26612" t="str">
        <v>-</v>
      </c>
      <c r="G26612" t="str">
        <v>-</v>
      </c>
    </row>
    <row r="26613">
      <c r="B26613" t="str">
        <v>UBND Ủy ban nhân dân xã Minh Tân tỉnh Phú Thọ</v>
      </c>
      <c r="C26613" t="str">
        <v>-</v>
      </c>
      <c r="D26613" t="str">
        <v>-</v>
      </c>
      <c r="E26613" t="str">
        <v>-</v>
      </c>
      <c r="F26613" t="str">
        <v>-</v>
      </c>
      <c r="G26613" t="str">
        <v>-</v>
      </c>
    </row>
    <row r="26614" xml:space="preserve">
      <c r="B26614" t="str" xml:space="preserve">
        <v xml:space="preserve">Công an xã Minh Tiến _x000d_
 tỉnh Thanh Hóa</v>
      </c>
      <c r="C26614" t="str">
        <v>-</v>
      </c>
      <c r="D26614" t="str">
        <v>-</v>
      </c>
      <c r="E26614" t="str">
        <v/>
      </c>
      <c r="F26614" t="str">
        <v>-</v>
      </c>
      <c r="G26614" t="str">
        <v>-</v>
      </c>
    </row>
    <row r="26615" xml:space="preserve">
      <c r="B26615" t="str" xml:space="preserve">
        <v xml:space="preserve">UBND Ủy ban nhân dân xã Minh Tiến _x000d_
 tỉnh Thanh Hóa</v>
      </c>
      <c r="C26615" t="str">
        <v>-</v>
      </c>
      <c r="D26615" t="str">
        <v>-</v>
      </c>
      <c r="E26615" t="str">
        <v>-</v>
      </c>
      <c r="F26615" t="str">
        <v>-</v>
      </c>
      <c r="G26615" t="str">
        <v>-</v>
      </c>
    </row>
    <row r="26616" xml:space="preserve">
      <c r="B26616" t="str" xml:space="preserve">
        <v xml:space="preserve">Công an xã Minh Tiến _x000d_
 tỉnh Phú Thọ</v>
      </c>
      <c r="C26616" t="str">
        <v>-</v>
      </c>
      <c r="D26616" t="str">
        <v>-</v>
      </c>
      <c r="E26616" t="str">
        <v/>
      </c>
      <c r="F26616" t="str">
        <v>-</v>
      </c>
      <c r="G26616" t="str">
        <v>-</v>
      </c>
    </row>
    <row r="26617" xml:space="preserve">
      <c r="B26617" t="str" xml:space="preserve">
        <v xml:space="preserve">UBND Ủy ban nhân dân xã Minh Tiến _x000d_
 tỉnh Phú Thọ</v>
      </c>
      <c r="C26617" t="str">
        <v>-</v>
      </c>
      <c r="D26617" t="str">
        <v>-</v>
      </c>
      <c r="E26617" t="str">
        <v>-</v>
      </c>
      <c r="F26617" t="str">
        <v>-</v>
      </c>
      <c r="G26617" t="str">
        <v>-</v>
      </c>
    </row>
    <row r="26618">
      <c r="B26618" t="str">
        <v>Công an xã Nà Ớt tỉnh Sơn La</v>
      </c>
      <c r="C26618" t="str">
        <v>-</v>
      </c>
      <c r="D26618" t="str">
        <v>-</v>
      </c>
      <c r="E26618" t="str">
        <v/>
      </c>
      <c r="F26618" t="str">
        <v>-</v>
      </c>
      <c r="G26618" t="str">
        <v>-</v>
      </c>
    </row>
    <row r="26619">
      <c r="B26619" t="str">
        <v>UBND Ủy ban nhân dân xã Nà Ớt tỉnh Sơn La</v>
      </c>
      <c r="C26619" t="str">
        <v>-</v>
      </c>
      <c r="D26619" t="str">
        <v>-</v>
      </c>
      <c r="E26619" t="str">
        <v>-</v>
      </c>
      <c r="F26619" t="str">
        <v>-</v>
      </c>
      <c r="G26619" t="str">
        <v>-</v>
      </c>
    </row>
    <row r="26620" xml:space="preserve">
      <c r="B26620" t="str" xml:space="preserve">
        <v xml:space="preserve">Công an xã Nà Hỳ _x000d_
 tỉnh Nghệ An</v>
      </c>
      <c r="C26620" t="str">
        <v>-</v>
      </c>
      <c r="D26620" t="str">
        <v>-</v>
      </c>
      <c r="E26620" t="str">
        <v/>
      </c>
      <c r="F26620" t="str">
        <v>-</v>
      </c>
      <c r="G26620" t="str">
        <v>-</v>
      </c>
    </row>
    <row r="26621" xml:space="preserve">
      <c r="B26621" t="str" xml:space="preserve">
        <v xml:space="preserve">UBND Ủy ban nhân dân xã Nà Hỳ _x000d_
 tỉnh Nghệ An</v>
      </c>
      <c r="C26621" t="str">
        <v>-</v>
      </c>
      <c r="D26621" t="str">
        <v>-</v>
      </c>
      <c r="E26621" t="str">
        <v>-</v>
      </c>
      <c r="F26621" t="str">
        <v>-</v>
      </c>
      <c r="G26621" t="str">
        <v>-</v>
      </c>
    </row>
    <row r="26622" xml:space="preserve">
      <c r="B26622" t="str" xml:space="preserve">
        <v xml:space="preserve">Công an xã Nà Nghịu _x000d_
 tỉnh Sơn La</v>
      </c>
      <c r="C26622" t="str">
        <v>-</v>
      </c>
      <c r="D26622" t="str">
        <v>-</v>
      </c>
      <c r="E26622" t="str">
        <v/>
      </c>
      <c r="F26622" t="str">
        <v>-</v>
      </c>
      <c r="G26622" t="str">
        <v>-</v>
      </c>
    </row>
    <row r="26623" xml:space="preserve">
      <c r="B26623" t="str" xml:space="preserve">
        <v xml:space="preserve">UBND Ủy ban nhân dân xã Nà Nghịu _x000d_
 tỉnh Sơn La</v>
      </c>
      <c r="C26623" t="str">
        <v>-</v>
      </c>
      <c r="D26623" t="str">
        <v>-</v>
      </c>
      <c r="E26623" t="str">
        <v>-</v>
      </c>
      <c r="F26623" t="str">
        <v>-</v>
      </c>
      <c r="G26623" t="str">
        <v>-</v>
      </c>
    </row>
    <row r="26624">
      <c r="B26624" t="str">
        <v>Công an xã Nà Phòn tỉnh Hòa Bình</v>
      </c>
      <c r="C26624" t="str">
        <v>-</v>
      </c>
      <c r="D26624" t="str">
        <v>-</v>
      </c>
      <c r="E26624" t="str">
        <v/>
      </c>
      <c r="F26624" t="str">
        <v>-</v>
      </c>
      <c r="G26624" t="str">
        <v>-</v>
      </c>
    </row>
    <row r="26625">
      <c r="B26625" t="str">
        <v>UBND Ủy ban nhân dân xã Nà Phòn tỉnh Hòa Bình</v>
      </c>
      <c r="C26625" t="str">
        <v>-</v>
      </c>
      <c r="D26625" t="str">
        <v>-</v>
      </c>
      <c r="E26625" t="str">
        <v>-</v>
      </c>
      <c r="F26625" t="str">
        <v>-</v>
      </c>
      <c r="G26625" t="str">
        <v>-</v>
      </c>
    </row>
    <row r="26626">
      <c r="B26626" t="str">
        <v>Công an xã Nà Sáy  tỉnh Điện Biên</v>
      </c>
      <c r="C26626" t="str">
        <v>-</v>
      </c>
      <c r="D26626" t="str">
        <v>-</v>
      </c>
      <c r="E26626" t="str">
        <v/>
      </c>
      <c r="F26626" t="str">
        <v>-</v>
      </c>
      <c r="G26626" t="str">
        <v>-</v>
      </c>
    </row>
    <row r="26627">
      <c r="B26627" t="str">
        <v>UBND Ủy ban nhân dân xã Nà Sáy  tỉnh Điện Biên</v>
      </c>
      <c r="C26627" t="str">
        <v>-</v>
      </c>
      <c r="D26627" t="str">
        <v>-</v>
      </c>
      <c r="E26627" t="str">
        <v>-</v>
      </c>
      <c r="F26627" t="str">
        <v>-</v>
      </c>
      <c r="G26627" t="str">
        <v>-</v>
      </c>
    </row>
    <row r="26628">
      <c r="B26628" t="str">
        <v>Công an xã Nà Tòng tỉnh Điện Biên</v>
      </c>
      <c r="C26628" t="str">
        <v>-</v>
      </c>
      <c r="D26628" t="str">
        <v>-</v>
      </c>
      <c r="E26628" t="str">
        <v/>
      </c>
      <c r="F26628" t="str">
        <v>-</v>
      </c>
      <c r="G26628" t="str">
        <v>-</v>
      </c>
    </row>
    <row r="26629">
      <c r="B26629" t="str">
        <v>UBND Ủy ban nhân dân xã Nà Tòng tỉnh Điện Biên</v>
      </c>
      <c r="C26629" t="str">
        <v>-</v>
      </c>
      <c r="D26629" t="str">
        <v>-</v>
      </c>
      <c r="E26629" t="str">
        <v>-</v>
      </c>
      <c r="F26629" t="str">
        <v>-</v>
      </c>
      <c r="G26629" t="str">
        <v>-</v>
      </c>
    </row>
    <row r="26630">
      <c r="B26630" t="str">
        <v>Công an xã Nà Tăm tỉnh Lai Châu</v>
      </c>
      <c r="C26630" t="str">
        <v>-</v>
      </c>
      <c r="D26630" t="str">
        <v>-</v>
      </c>
      <c r="E26630" t="str">
        <v/>
      </c>
      <c r="F26630" t="str">
        <v>-</v>
      </c>
      <c r="G26630" t="str">
        <v>-</v>
      </c>
    </row>
    <row r="26631">
      <c r="B26631" t="str">
        <v>UBND Ủy ban nhân dân xã Nà Tăm tỉnh Lai Châu</v>
      </c>
      <c r="C26631" t="str">
        <v>-</v>
      </c>
      <c r="D26631" t="str">
        <v>-</v>
      </c>
      <c r="E26631" t="str">
        <v>-</v>
      </c>
      <c r="F26631" t="str">
        <v>-</v>
      </c>
      <c r="G26631" t="str">
        <v>-</v>
      </c>
    </row>
    <row r="26632" xml:space="preserve">
      <c r="B26632" t="str" xml:space="preserve">
        <v xml:space="preserve">Công an xã Nậm Búng _x000d_
 tỉnh Yên Bái</v>
      </c>
      <c r="C26632" t="str">
        <v>-</v>
      </c>
      <c r="D26632" t="str">
        <v>-</v>
      </c>
      <c r="E26632" t="str">
        <v/>
      </c>
      <c r="F26632" t="str">
        <v>-</v>
      </c>
      <c r="G26632" t="str">
        <v>-</v>
      </c>
    </row>
    <row r="26633" xml:space="preserve">
      <c r="B26633" t="str" xml:space="preserve">
        <v xml:space="preserve">UBND Ủy ban nhân dân xã Nậm Búng _x000d_
 tỉnh Yên Bái</v>
      </c>
      <c r="C26633" t="str">
        <v>-</v>
      </c>
      <c r="D26633" t="str">
        <v>-</v>
      </c>
      <c r="E26633" t="str">
        <v>-</v>
      </c>
      <c r="F26633" t="str">
        <v>-</v>
      </c>
      <c r="G26633" t="str">
        <v>-</v>
      </c>
    </row>
    <row r="26634">
      <c r="B26634" t="str">
        <v>Công an xã Nậm Càn tỉnh Nghệ An</v>
      </c>
      <c r="C26634" t="str">
        <v>-</v>
      </c>
      <c r="D26634" t="str">
        <v>-</v>
      </c>
      <c r="E26634" t="str">
        <v/>
      </c>
      <c r="F26634" t="str">
        <v>-</v>
      </c>
      <c r="G26634" t="str">
        <v>-</v>
      </c>
    </row>
    <row r="26635">
      <c r="B26635" t="str">
        <v>UBND Ủy ban nhân dân xã Nậm Càn tỉnh Nghệ An</v>
      </c>
      <c r="C26635" t="str">
        <v>-</v>
      </c>
      <c r="D26635" t="str">
        <v>-</v>
      </c>
      <c r="E26635" t="str">
        <v>-</v>
      </c>
      <c r="F26635" t="str">
        <v>-</v>
      </c>
      <c r="G26635" t="str">
        <v>-</v>
      </c>
    </row>
    <row r="26636" xml:space="preserve">
      <c r="B26636" t="str" xml:space="preserve">
        <v xml:space="preserve">Công an xã Nậm Giôn _x000d_
 tỉnh Sơn La</v>
      </c>
      <c r="C26636" t="str">
        <v>-</v>
      </c>
      <c r="D26636" t="str">
        <v>-</v>
      </c>
      <c r="E26636" t="str">
        <v/>
      </c>
      <c r="F26636" t="str">
        <v>-</v>
      </c>
      <c r="G26636" t="str">
        <v>-</v>
      </c>
    </row>
    <row r="26637" xml:space="preserve">
      <c r="B26637" t="str" xml:space="preserve">
        <v xml:space="preserve">UBND Ủy ban nhân dân xã Nậm Giôn _x000d_
 tỉnh Sơn La</v>
      </c>
      <c r="C26637" t="str">
        <v>-</v>
      </c>
      <c r="D26637" t="str">
        <v>-</v>
      </c>
      <c r="E26637" t="str">
        <v>-</v>
      </c>
      <c r="F26637" t="str">
        <v>-</v>
      </c>
      <c r="G26637" t="str">
        <v>-</v>
      </c>
    </row>
    <row r="26638">
      <c r="B26638" t="str">
        <v>Công an xã Nậm Lạnh tỉnh Sơn La</v>
      </c>
      <c r="C26638" t="str">
        <v>-</v>
      </c>
      <c r="D26638" t="str">
        <v>-</v>
      </c>
      <c r="E26638" t="str">
        <v/>
      </c>
      <c r="F26638" t="str">
        <v>-</v>
      </c>
      <c r="G26638" t="str">
        <v>-</v>
      </c>
    </row>
    <row r="26639">
      <c r="B26639" t="str">
        <v>UBND Ủy ban nhân dân xã Nậm Lạnh tỉnh Sơn La</v>
      </c>
      <c r="C26639" t="str">
        <v>-</v>
      </c>
      <c r="D26639" t="str">
        <v>-</v>
      </c>
      <c r="E26639" t="str">
        <v>-</v>
      </c>
      <c r="F26639" t="str">
        <v>-</v>
      </c>
      <c r="G26639" t="str">
        <v>-</v>
      </c>
    </row>
    <row r="26640" xml:space="preserve">
      <c r="B26640" t="str" xml:space="preserve">
        <v xml:space="preserve">Công an xã Nậm Mười _x000d_
 tỉnh Yên Bái</v>
      </c>
      <c r="C26640" t="str">
        <v>-</v>
      </c>
      <c r="D26640" t="str">
        <v>-</v>
      </c>
      <c r="E26640" t="str">
        <v/>
      </c>
      <c r="F26640" t="str">
        <v>-</v>
      </c>
      <c r="G26640" t="str">
        <v>-</v>
      </c>
    </row>
    <row r="26641" xml:space="preserve">
      <c r="B26641" t="str" xml:space="preserve">
        <v xml:space="preserve">UBND Ủy ban nhân dân xã Nậm Mười _x000d_
 tỉnh Yên Bái</v>
      </c>
      <c r="C26641" t="str">
        <v>-</v>
      </c>
      <c r="D26641" t="str">
        <v>-</v>
      </c>
      <c r="E26641" t="str">
        <v>-</v>
      </c>
      <c r="F26641" t="str">
        <v>-</v>
      </c>
      <c r="G26641" t="str">
        <v>-</v>
      </c>
    </row>
    <row r="26642">
      <c r="B26642" t="str">
        <v>Công an xã Nậm Mằn tỉnh Sơn La</v>
      </c>
      <c r="C26642" t="str">
        <v>-</v>
      </c>
      <c r="D26642" t="str">
        <v>-</v>
      </c>
      <c r="E26642" t="str">
        <v/>
      </c>
      <c r="F26642" t="str">
        <v>-</v>
      </c>
      <c r="G26642" t="str">
        <v>-</v>
      </c>
    </row>
    <row r="26643">
      <c r="B26643" t="str">
        <v>UBND Ủy ban nhân dân xã Nậm Mằn tỉnh Sơn La</v>
      </c>
      <c r="C26643" t="str">
        <v>-</v>
      </c>
      <c r="D26643" t="str">
        <v>-</v>
      </c>
      <c r="E26643" t="str">
        <v>-</v>
      </c>
      <c r="F26643" t="str">
        <v>-</v>
      </c>
      <c r="G26643" t="str">
        <v>-</v>
      </c>
    </row>
    <row r="26644">
      <c r="B26644" t="str">
        <v>Công an xã Na Mao tỉnh Thái Nguyên</v>
      </c>
      <c r="C26644" t="str">
        <v>-</v>
      </c>
      <c r="D26644" t="str">
        <v>-</v>
      </c>
      <c r="E26644" t="str">
        <v/>
      </c>
      <c r="F26644" t="str">
        <v>-</v>
      </c>
      <c r="G26644" t="str">
        <v>-</v>
      </c>
    </row>
    <row r="26645">
      <c r="B26645" t="str">
        <v>UBND Ủy ban nhân dân xã Na Mao tỉnh Thái Nguyên</v>
      </c>
      <c r="C26645" t="str">
        <v>-</v>
      </c>
      <c r="D26645" t="str">
        <v>-</v>
      </c>
      <c r="E26645" t="str">
        <v>-</v>
      </c>
      <c r="F26645" t="str">
        <v>-</v>
      </c>
      <c r="G26645" t="str">
        <v>-</v>
      </c>
    </row>
    <row r="26646" xml:space="preserve">
      <c r="B26646" t="str" xml:space="preserve">
        <v xml:space="preserve">Công an xã Nam Cát _x000d_
 tỉnh Nghệ An</v>
      </c>
      <c r="C26646" t="str">
        <v>-</v>
      </c>
      <c r="D26646" t="str">
        <v>-</v>
      </c>
      <c r="E26646" t="str">
        <v/>
      </c>
      <c r="F26646" t="str">
        <v>-</v>
      </c>
      <c r="G26646" t="str">
        <v>-</v>
      </c>
    </row>
    <row r="26647" xml:space="preserve">
      <c r="B26647" t="str" xml:space="preserve">
        <v xml:space="preserve">UBND Ủy ban nhân dân xã Nam Cát _x000d_
 tỉnh Nghệ An</v>
      </c>
      <c r="C26647" t="str">
        <v>-</v>
      </c>
      <c r="D26647" t="str">
        <v>-</v>
      </c>
      <c r="E26647" t="str">
        <v>-</v>
      </c>
      <c r="F26647" t="str">
        <v>-</v>
      </c>
      <c r="G26647" t="str">
        <v>-</v>
      </c>
    </row>
    <row r="26648">
      <c r="B26648" t="str">
        <v>Công an xã Nam Hòa tỉnh Thái Nguyên</v>
      </c>
      <c r="C26648" t="str">
        <v>-</v>
      </c>
      <c r="D26648" t="str">
        <v>-</v>
      </c>
      <c r="E26648" t="str">
        <v/>
      </c>
      <c r="F26648" t="str">
        <v>-</v>
      </c>
      <c r="G26648" t="str">
        <v>-</v>
      </c>
    </row>
    <row r="26649">
      <c r="B26649" t="str">
        <v>UBND Ủy ban nhân dân xã Nam Hòa tỉnh Thái Nguyên</v>
      </c>
      <c r="C26649" t="str">
        <v>-</v>
      </c>
      <c r="D26649" t="str">
        <v>-</v>
      </c>
      <c r="E26649" t="str">
        <v>-</v>
      </c>
      <c r="F26649" t="str">
        <v>-</v>
      </c>
      <c r="G26649" t="str">
        <v>-</v>
      </c>
    </row>
    <row r="26650" xml:space="preserve">
      <c r="B26650" t="str" xml:space="preserve">
        <v xml:space="preserve">Công an xã Nam Kim _x000d_
 tỉnh Nghệ An</v>
      </c>
      <c r="C26650" t="str">
        <v>-</v>
      </c>
      <c r="D26650" t="str">
        <v>-</v>
      </c>
      <c r="E26650" t="str">
        <v/>
      </c>
      <c r="F26650" t="str">
        <v>-</v>
      </c>
      <c r="G26650" t="str">
        <v>-</v>
      </c>
    </row>
    <row r="26651" xml:space="preserve">
      <c r="B26651" t="str" xml:space="preserve">
        <v xml:space="preserve">UBND Ủy ban nhân dân xã Nam Kim _x000d_
 tỉnh Nghệ An</v>
      </c>
      <c r="C26651" t="str">
        <v>-</v>
      </c>
      <c r="D26651" t="str">
        <v>-</v>
      </c>
      <c r="E26651" t="str">
        <v>-</v>
      </c>
      <c r="F26651" t="str">
        <v>-</v>
      </c>
      <c r="G26651" t="str">
        <v>-</v>
      </c>
    </row>
    <row r="26652" xml:space="preserve">
      <c r="B26652" t="str" xml:space="preserve">
        <v xml:space="preserve">Công an xã Nam Phú _x000d_
 tỉnh Thái Bình</v>
      </c>
      <c r="C26652" t="str">
        <v>-</v>
      </c>
      <c r="D26652" t="str">
        <v>-</v>
      </c>
      <c r="E26652" t="str">
        <v/>
      </c>
      <c r="F26652" t="str">
        <v>-</v>
      </c>
      <c r="G26652" t="str">
        <v>-</v>
      </c>
    </row>
    <row r="26653" xml:space="preserve">
      <c r="B26653" t="str" xml:space="preserve">
        <v xml:space="preserve">UBND Ủy ban nhân dân xã Nam Phú _x000d_
 tỉnh Thái Bình</v>
      </c>
      <c r="C26653" t="str">
        <v>-</v>
      </c>
      <c r="D26653" t="str">
        <v>-</v>
      </c>
      <c r="E26653" t="str">
        <v>-</v>
      </c>
      <c r="F26653" t="str">
        <v>-</v>
      </c>
      <c r="G26653" t="str">
        <v>-</v>
      </c>
    </row>
    <row r="26654">
      <c r="B26654" t="str">
        <v>Công an xã Nam Phong tỉnh Sơn La</v>
      </c>
      <c r="C26654" t="str">
        <v>-</v>
      </c>
      <c r="D26654" t="str">
        <v>-</v>
      </c>
      <c r="E26654" t="str">
        <v/>
      </c>
      <c r="F26654" t="str">
        <v>-</v>
      </c>
      <c r="G26654" t="str">
        <v>-</v>
      </c>
    </row>
    <row r="26655">
      <c r="B26655" t="str">
        <v>UBND Ủy ban nhân dân xã Nam Phong tỉnh Sơn La</v>
      </c>
      <c r="C26655" t="str">
        <v>-</v>
      </c>
      <c r="D26655" t="str">
        <v>-</v>
      </c>
      <c r="E26655" t="str">
        <v>-</v>
      </c>
      <c r="F26655" t="str">
        <v>-</v>
      </c>
      <c r="G26655" t="str">
        <v>-</v>
      </c>
    </row>
    <row r="26656">
      <c r="B26656" t="str">
        <v>Công an xã Nam Sơn tỉnh Nghệ An</v>
      </c>
      <c r="C26656" t="str">
        <v>-</v>
      </c>
      <c r="D26656" t="str">
        <v>-</v>
      </c>
      <c r="E26656" t="str">
        <v/>
      </c>
      <c r="F26656" t="str">
        <v>-</v>
      </c>
      <c r="G26656" t="str">
        <v>-</v>
      </c>
    </row>
    <row r="26657">
      <c r="B26657" t="str">
        <v>UBND Ủy ban nhân dân xã Nam Sơn tỉnh Nghệ An</v>
      </c>
      <c r="C26657" t="str">
        <v>-</v>
      </c>
      <c r="D26657" t="str">
        <v>-</v>
      </c>
      <c r="E26657" t="str">
        <v>-</v>
      </c>
      <c r="F26657" t="str">
        <v>-</v>
      </c>
      <c r="G26657" t="str">
        <v>-</v>
      </c>
    </row>
    <row r="26658" xml:space="preserve">
      <c r="B26658" t="str" xml:space="preserve">
        <v xml:space="preserve">Công an xã Nam Sơn _x000d_
 tỉnh Nghệ An</v>
      </c>
      <c r="C26658" t="str">
        <v>-</v>
      </c>
      <c r="D26658" t="str">
        <v>-</v>
      </c>
      <c r="E26658" t="str">
        <v/>
      </c>
      <c r="F26658" t="str">
        <v>-</v>
      </c>
      <c r="G26658" t="str">
        <v>-</v>
      </c>
    </row>
    <row r="26659" xml:space="preserve">
      <c r="B26659" t="str" xml:space="preserve">
        <v xml:space="preserve">UBND Ủy ban nhân dân xã Nam Sơn _x000d_
 tỉnh Nghệ An</v>
      </c>
      <c r="C26659" t="str">
        <v>-</v>
      </c>
      <c r="D26659" t="str">
        <v>-</v>
      </c>
      <c r="E26659" t="str">
        <v>-</v>
      </c>
      <c r="F26659" t="str">
        <v>-</v>
      </c>
      <c r="G26659" t="str">
        <v>-</v>
      </c>
    </row>
    <row r="26660" xml:space="preserve">
      <c r="B26660" t="str" xml:space="preserve">
        <v xml:space="preserve">Công an xã Nam Thượng _x000d_
 tỉnh Hòa Bình</v>
      </c>
      <c r="C26660" t="str">
        <v>-</v>
      </c>
      <c r="D26660" t="str">
        <v>-</v>
      </c>
      <c r="E26660" t="str">
        <v/>
      </c>
      <c r="F26660" t="str">
        <v>-</v>
      </c>
      <c r="G26660" t="str">
        <v>-</v>
      </c>
    </row>
    <row r="26661" xml:space="preserve">
      <c r="B26661" t="str" xml:space="preserve">
        <v xml:space="preserve">UBND Ủy ban nhân dân xã Nam Thượng _x000d_
 tỉnh Hòa Bình</v>
      </c>
      <c r="C26661" t="str">
        <v>-</v>
      </c>
      <c r="D26661" t="str">
        <v>-</v>
      </c>
      <c r="E26661" t="str">
        <v>-</v>
      </c>
      <c r="F26661" t="str">
        <v>-</v>
      </c>
      <c r="G26661" t="str">
        <v>-</v>
      </c>
    </row>
    <row r="26662">
      <c r="B26662" t="str">
        <v>Công an xã Nam Thanh tỉnh Thái Bình</v>
      </c>
      <c r="C26662" t="str">
        <v>-</v>
      </c>
      <c r="D26662" t="str">
        <v>-</v>
      </c>
      <c r="E26662" t="str">
        <v/>
      </c>
      <c r="F26662" t="str">
        <v>-</v>
      </c>
      <c r="G26662" t="str">
        <v>-</v>
      </c>
    </row>
    <row r="26663">
      <c r="B26663" t="str">
        <v>UBND Ủy ban nhân dân xã Nam Thanh tỉnh Thái Bình</v>
      </c>
      <c r="C26663" t="str">
        <v>-</v>
      </c>
      <c r="D26663" t="str">
        <v>-</v>
      </c>
      <c r="E26663" t="str">
        <v>-</v>
      </c>
      <c r="F26663" t="str">
        <v>-</v>
      </c>
      <c r="G26663" t="str">
        <v>-</v>
      </c>
    </row>
    <row r="26664">
      <c r="B26664" t="str">
        <v>Công an xã Nam Tiến tỉnh Thanh Hóa</v>
      </c>
      <c r="C26664" t="str">
        <v>-</v>
      </c>
      <c r="D26664" t="str">
        <v>-</v>
      </c>
      <c r="E26664" t="str">
        <v/>
      </c>
      <c r="F26664" t="str">
        <v>-</v>
      </c>
      <c r="G26664" t="str">
        <v>-</v>
      </c>
    </row>
    <row r="26665">
      <c r="B26665" t="str">
        <v>UBND Ủy ban nhân dân xã Nam Tiến tỉnh Thanh Hóa</v>
      </c>
      <c r="C26665" t="str">
        <v>-</v>
      </c>
      <c r="D26665" t="str">
        <v>-</v>
      </c>
      <c r="E26665" t="str">
        <v>-</v>
      </c>
      <c r="F26665" t="str">
        <v>-</v>
      </c>
      <c r="G26665" t="str">
        <v>-</v>
      </c>
    </row>
    <row r="26666">
      <c r="B26666" t="str">
        <v>Công an xã Nam Trung tỉnh Hải Dương</v>
      </c>
      <c r="C26666" t="str">
        <v>-</v>
      </c>
      <c r="D26666" t="str">
        <v>-</v>
      </c>
      <c r="E26666" t="str">
        <v/>
      </c>
      <c r="F26666" t="str">
        <v>-</v>
      </c>
      <c r="G26666" t="str">
        <v>-</v>
      </c>
    </row>
    <row r="26667">
      <c r="B26667" t="str">
        <v>UBND Ủy ban nhân dân xã Nam Trung tỉnh Hải Dương</v>
      </c>
      <c r="C26667" t="str">
        <v>-</v>
      </c>
      <c r="D26667" t="str">
        <v>-</v>
      </c>
      <c r="E26667" t="str">
        <v>-</v>
      </c>
      <c r="F26667" t="str">
        <v>-</v>
      </c>
      <c r="G26667" t="str">
        <v>-</v>
      </c>
    </row>
    <row r="26668">
      <c r="B26668" t="str">
        <v>Công an xã Na Ngoi tỉnh Nghệ An</v>
      </c>
      <c r="C26668" t="str">
        <v>-</v>
      </c>
      <c r="D26668" t="str">
        <v>-</v>
      </c>
      <c r="E26668" t="str">
        <v/>
      </c>
      <c r="F26668" t="str">
        <v>-</v>
      </c>
      <c r="G26668" t="str">
        <v>-</v>
      </c>
    </row>
    <row r="26669">
      <c r="B26669" t="str">
        <v>UBND Ủy ban nhân dân xã Na Ngoi tỉnh Nghệ An</v>
      </c>
      <c r="C26669" t="str">
        <v>-</v>
      </c>
      <c r="D26669" t="str">
        <v>-</v>
      </c>
      <c r="E26669" t="str">
        <v>-</v>
      </c>
      <c r="F26669" t="str">
        <v>-</v>
      </c>
      <c r="G26669" t="str">
        <v>-</v>
      </c>
    </row>
    <row r="26670" xml:space="preserve">
      <c r="B26670" t="str" xml:space="preserve">
        <v xml:space="preserve">Công an xã Na Sang _x000d_
 tỉnh Điện Biên</v>
      </c>
      <c r="C26670" t="str">
        <v>-</v>
      </c>
      <c r="D26670" t="str">
        <v>-</v>
      </c>
      <c r="E26670" t="str">
        <v/>
      </c>
      <c r="F26670" t="str">
        <v>-</v>
      </c>
      <c r="G26670" t="str">
        <v>-</v>
      </c>
    </row>
    <row r="26671" xml:space="preserve">
      <c r="B26671" t="str" xml:space="preserve">
        <v xml:space="preserve">UBND Ủy ban nhân dân xã Na Sang _x000d_
 tỉnh Điện Biên</v>
      </c>
      <c r="C26671" t="str">
        <v>-</v>
      </c>
      <c r="D26671" t="str">
        <v>-</v>
      </c>
      <c r="E26671" t="str">
        <v>-</v>
      </c>
      <c r="F26671" t="str">
        <v>-</v>
      </c>
      <c r="G26671" t="str">
        <v>-</v>
      </c>
    </row>
    <row r="26672">
      <c r="B26672" t="str">
        <v>Công an xã Na Tông tỉnh Điện Biên</v>
      </c>
      <c r="C26672" t="str">
        <v>-</v>
      </c>
      <c r="D26672" t="str">
        <v>-</v>
      </c>
      <c r="E26672" t="str">
        <v/>
      </c>
      <c r="F26672" t="str">
        <v>-</v>
      </c>
      <c r="G26672" t="str">
        <v>-</v>
      </c>
    </row>
    <row r="26673">
      <c r="B26673" t="str">
        <v>UBND Ủy ban nhân dân xã Na Tông tỉnh Điện Biên</v>
      </c>
      <c r="C26673" t="str">
        <v>-</v>
      </c>
      <c r="D26673" t="str">
        <v>-</v>
      </c>
      <c r="E26673" t="str">
        <v>-</v>
      </c>
      <c r="F26673" t="str">
        <v>-</v>
      </c>
      <c r="G26673" t="str">
        <v>-</v>
      </c>
    </row>
    <row r="26674" xml:space="preserve">
      <c r="B26674" t="str" xml:space="preserve">
        <v xml:space="preserve">Công an xã Ngòi A _x000d_
 tỉnh Yên Bái</v>
      </c>
      <c r="C26674" t="str">
        <v>-</v>
      </c>
      <c r="D26674" t="str">
        <v>-</v>
      </c>
      <c r="E26674" t="str">
        <v/>
      </c>
      <c r="F26674" t="str">
        <v>-</v>
      </c>
      <c r="G26674" t="str">
        <v>-</v>
      </c>
    </row>
    <row r="26675" xml:space="preserve">
      <c r="B26675" t="str" xml:space="preserve">
        <v xml:space="preserve">UBND Ủy ban nhân dân xã Ngòi A _x000d_
 tỉnh Yên Bái</v>
      </c>
      <c r="C26675" t="str">
        <v>-</v>
      </c>
      <c r="D26675" t="str">
        <v>-</v>
      </c>
      <c r="E26675" t="str">
        <v>-</v>
      </c>
      <c r="F26675" t="str">
        <v>-</v>
      </c>
      <c r="G26675" t="str">
        <v>-</v>
      </c>
    </row>
    <row r="26676">
      <c r="B26676" t="str">
        <v>Công an xã Ngô Quyền tỉnh Hải Dương</v>
      </c>
      <c r="C26676" t="str">
        <v>-</v>
      </c>
      <c r="D26676" t="str">
        <v>-</v>
      </c>
      <c r="E26676" t="str">
        <v/>
      </c>
      <c r="F26676" t="str">
        <v>-</v>
      </c>
      <c r="G26676" t="str">
        <v>-</v>
      </c>
    </row>
    <row r="26677">
      <c r="B26677" t="str">
        <v>UBND Ủy ban nhân dân xã Ngô Quyền tỉnh Hải Dương</v>
      </c>
      <c r="C26677" t="str">
        <v>-</v>
      </c>
      <c r="D26677" t="str">
        <v>-</v>
      </c>
      <c r="E26677" t="str">
        <v>-</v>
      </c>
      <c r="F26677" t="str">
        <v>-</v>
      </c>
      <c r="G26677" t="str">
        <v>-</v>
      </c>
    </row>
    <row r="26678" xml:space="preserve">
      <c r="B26678" t="str" xml:space="preserve">
        <v xml:space="preserve">Công an xã Ngũ Lạc _x000d_
 tỉnh Trà Vinh</v>
      </c>
      <c r="C26678" t="str">
        <v>-</v>
      </c>
      <c r="D26678" t="str">
        <v>-</v>
      </c>
      <c r="E26678" t="str">
        <v/>
      </c>
      <c r="F26678" t="str">
        <v>-</v>
      </c>
      <c r="G26678" t="str">
        <v>-</v>
      </c>
    </row>
    <row r="26679" xml:space="preserve">
      <c r="B26679" t="str" xml:space="preserve">
        <v xml:space="preserve">UBND Ủy ban nhân dân xã Ngũ Lạc _x000d_
 tỉnh Trà Vinh</v>
      </c>
      <c r="C26679" t="str">
        <v>-</v>
      </c>
      <c r="D26679" t="str">
        <v>-</v>
      </c>
      <c r="E26679" t="str">
        <v>-</v>
      </c>
      <c r="F26679" t="str">
        <v>-</v>
      </c>
      <c r="G26679" t="str">
        <v>-</v>
      </c>
    </row>
    <row r="26680">
      <c r="B26680" t="str">
        <v>Công an xã Ngũ Phụng tỉnh Bình Thuận</v>
      </c>
      <c r="C26680" t="str">
        <v>-</v>
      </c>
      <c r="D26680" t="str">
        <v>-</v>
      </c>
      <c r="E26680" t="str">
        <v/>
      </c>
      <c r="F26680" t="str">
        <v>-</v>
      </c>
      <c r="G26680" t="str">
        <v>-</v>
      </c>
    </row>
    <row r="26681">
      <c r="B26681" t="str">
        <v>UBND Ủy ban nhân dân xã Ngũ Phụng tỉnh Bình Thuận</v>
      </c>
      <c r="C26681" t="str">
        <v>-</v>
      </c>
      <c r="D26681" t="str">
        <v>-</v>
      </c>
      <c r="E26681" t="str">
        <v>-</v>
      </c>
      <c r="F26681" t="str">
        <v>-</v>
      </c>
      <c r="G26681" t="str">
        <v>-</v>
      </c>
    </row>
    <row r="26682">
      <c r="B26682" t="str">
        <v>Công an xã Ngọc Côn tỉnh Cao Bằng</v>
      </c>
      <c r="C26682" t="str">
        <v>-</v>
      </c>
      <c r="D26682" t="str">
        <v>-</v>
      </c>
      <c r="E26682" t="str">
        <v/>
      </c>
      <c r="F26682" t="str">
        <v>-</v>
      </c>
      <c r="G26682" t="str">
        <v>-</v>
      </c>
    </row>
    <row r="26683">
      <c r="B26683" t="str">
        <v>UBND Ủy ban nhân dân xã Ngọc Côn tỉnh Cao Bằng</v>
      </c>
      <c r="C26683" t="str">
        <v>-</v>
      </c>
      <c r="D26683" t="str">
        <v>-</v>
      </c>
      <c r="E26683" t="str">
        <v>-</v>
      </c>
      <c r="F26683" t="str">
        <v>-</v>
      </c>
      <c r="G26683" t="str">
        <v>-</v>
      </c>
    </row>
    <row r="26684">
      <c r="B26684" t="str">
        <v>Công an xã Ngọc Chiến tỉnh Sơn La</v>
      </c>
      <c r="C26684" t="str">
        <v>-</v>
      </c>
      <c r="D26684" t="str">
        <v>-</v>
      </c>
      <c r="E26684" t="str">
        <v/>
      </c>
      <c r="F26684" t="str">
        <v>-</v>
      </c>
      <c r="G26684" t="str">
        <v>-</v>
      </c>
    </row>
    <row r="26685">
      <c r="B26685" t="str">
        <v>UBND Ủy ban nhân dân xã Ngọc Chiến tỉnh Sơn La</v>
      </c>
      <c r="C26685" t="str">
        <v>-</v>
      </c>
      <c r="D26685" t="str">
        <v>-</v>
      </c>
      <c r="E26685" t="str">
        <v>-</v>
      </c>
      <c r="F26685" t="str">
        <v>-</v>
      </c>
      <c r="G26685" t="str">
        <v>-</v>
      </c>
    </row>
    <row r="26686" xml:space="preserve">
      <c r="B26686" t="str" xml:space="preserve">
        <v xml:space="preserve">Công an xã Tái Sơn _x000d_
 tỉnh Hải Dương</v>
      </c>
      <c r="C26686" t="str">
        <v>-</v>
      </c>
      <c r="D26686" t="str">
        <v>-</v>
      </c>
      <c r="E26686" t="str">
        <v/>
      </c>
      <c r="F26686" t="str">
        <v>-</v>
      </c>
      <c r="G26686" t="str">
        <v>-</v>
      </c>
    </row>
    <row r="26687" xml:space="preserve">
      <c r="B26687" t="str" xml:space="preserve">
        <v xml:space="preserve">UBND Ủy ban nhân dân xã Tái Sơn _x000d_
 tỉnh Hải Dương</v>
      </c>
      <c r="C26687" t="str">
        <v>-</v>
      </c>
      <c r="D26687" t="str">
        <v>-</v>
      </c>
      <c r="E26687" t="str">
        <v>-</v>
      </c>
      <c r="F26687" t="str">
        <v>-</v>
      </c>
      <c r="G26687" t="str">
        <v>-</v>
      </c>
    </row>
    <row r="26688" xml:space="preserve">
      <c r="B26688" t="str" xml:space="preserve">
        <v xml:space="preserve">Công an xã Ngọc Lương _x000d_
 tỉnh Hòa Bình</v>
      </c>
      <c r="C26688" t="str">
        <v>-</v>
      </c>
      <c r="D26688" t="str">
        <v>-</v>
      </c>
      <c r="E26688" t="str">
        <v/>
      </c>
      <c r="F26688" t="str">
        <v>-</v>
      </c>
      <c r="G26688" t="str">
        <v>-</v>
      </c>
    </row>
    <row r="26689" xml:space="preserve">
      <c r="B26689" t="str" xml:space="preserve">
        <v xml:space="preserve">UBND Ủy ban nhân dân xã Ngọc Lương _x000d_
 tỉnh Hòa Bình</v>
      </c>
      <c r="C26689" t="str">
        <v>-</v>
      </c>
      <c r="D26689" t="str">
        <v>-</v>
      </c>
      <c r="E26689" t="str">
        <v>-</v>
      </c>
      <c r="F26689" t="str">
        <v>-</v>
      </c>
      <c r="G26689" t="str">
        <v>-</v>
      </c>
    </row>
    <row r="26690">
      <c r="B26690" t="str">
        <v>Công an xã Ngọc Liên tỉnh Thanh Hóa</v>
      </c>
      <c r="C26690" t="str">
        <v>-</v>
      </c>
      <c r="D26690" t="str">
        <v>-</v>
      </c>
      <c r="E26690" t="str">
        <v/>
      </c>
      <c r="F26690" t="str">
        <v>-</v>
      </c>
      <c r="G26690" t="str">
        <v>-</v>
      </c>
    </row>
    <row r="26691">
      <c r="B26691" t="str">
        <v>UBND Ủy ban nhân dân xã Ngọc Liên tỉnh Thanh Hóa</v>
      </c>
      <c r="C26691" t="str">
        <v>-</v>
      </c>
      <c r="D26691" t="str">
        <v>-</v>
      </c>
      <c r="E26691" t="str">
        <v>-</v>
      </c>
      <c r="F26691" t="str">
        <v>-</v>
      </c>
      <c r="G26691" t="str">
        <v>-</v>
      </c>
    </row>
    <row r="26692" xml:space="preserve">
      <c r="B26692" t="str" xml:space="preserve">
        <v xml:space="preserve">Công an xã Ngọc Sơn _x000d_
 tỉnh Nghệ An</v>
      </c>
      <c r="C26692" t="str">
        <v>-</v>
      </c>
      <c r="D26692" t="str">
        <v>-</v>
      </c>
      <c r="E26692" t="str">
        <v/>
      </c>
      <c r="F26692" t="str">
        <v>-</v>
      </c>
      <c r="G26692" t="str">
        <v>-</v>
      </c>
    </row>
    <row r="26693" xml:space="preserve">
      <c r="B26693" t="str" xml:space="preserve">
        <v xml:space="preserve">UBND Ủy ban nhân dân xã Ngọc Sơn _x000d_
 tỉnh Nghệ An</v>
      </c>
      <c r="C26693" t="str">
        <v>-</v>
      </c>
      <c r="D26693" t="str">
        <v>-</v>
      </c>
      <c r="E26693" t="str">
        <v>-</v>
      </c>
      <c r="F26693" t="str">
        <v>-</v>
      </c>
      <c r="G26693" t="str">
        <v>-</v>
      </c>
    </row>
    <row r="26694" xml:space="preserve">
      <c r="B26694" t="str" xml:space="preserve">
        <v xml:space="preserve">Công an xã Ngọc Sơn _x000d_
 tỉnh Hòa Bình</v>
      </c>
      <c r="C26694" t="str">
        <v>-</v>
      </c>
      <c r="D26694" t="str">
        <v>-</v>
      </c>
      <c r="E26694" t="str">
        <v/>
      </c>
      <c r="F26694" t="str">
        <v>-</v>
      </c>
      <c r="G26694" t="str">
        <v>-</v>
      </c>
    </row>
    <row r="26695" xml:space="preserve">
      <c r="B26695" t="str" xml:space="preserve">
        <v xml:space="preserve">UBND Ủy ban nhân dân xã Ngọc Sơn _x000d_
 tỉnh Hòa Bình</v>
      </c>
      <c r="C26695" t="str">
        <v>-</v>
      </c>
      <c r="D26695" t="str">
        <v>-</v>
      </c>
      <c r="E26695" t="str">
        <v>-</v>
      </c>
      <c r="F26695" t="str">
        <v>-</v>
      </c>
      <c r="G26695" t="str">
        <v>-</v>
      </c>
    </row>
    <row r="26696">
      <c r="B26696" t="str">
        <v>Công an xã Ngọc Thuận tỉnh Kiên Giang</v>
      </c>
      <c r="C26696" t="str">
        <v>-</v>
      </c>
      <c r="D26696" t="str">
        <v>-</v>
      </c>
      <c r="E26696" t="str">
        <v/>
      </c>
      <c r="F26696" t="str">
        <v>-</v>
      </c>
      <c r="G26696" t="str">
        <v>-</v>
      </c>
    </row>
    <row r="26697">
      <c r="B26697" t="str">
        <v>UBND Ủy ban nhân dân xã Ngọc Thuận tỉnh Kiên Giang</v>
      </c>
      <c r="C26697" t="str">
        <v>-</v>
      </c>
      <c r="D26697" t="str">
        <v>-</v>
      </c>
      <c r="E26697" t="str">
        <v>-</v>
      </c>
      <c r="F26697" t="str">
        <v>-</v>
      </c>
      <c r="G26697" t="str">
        <v>-</v>
      </c>
    </row>
    <row r="26698">
      <c r="B26698" t="str">
        <v>Công an xã Ngọc Xá tỉnh Bắc Ninh</v>
      </c>
      <c r="C26698" t="str">
        <v>-</v>
      </c>
      <c r="D26698" t="str">
        <v>-</v>
      </c>
      <c r="E26698" t="str">
        <v/>
      </c>
      <c r="F26698" t="str">
        <v>-</v>
      </c>
      <c r="G26698" t="str">
        <v>-</v>
      </c>
    </row>
    <row r="26699">
      <c r="B26699" t="str">
        <v>UBND Ủy ban nhân dân xã Ngọc Xá tỉnh Bắc Ninh</v>
      </c>
      <c r="C26699" t="str">
        <v>-</v>
      </c>
      <c r="D26699" t="str">
        <v>-</v>
      </c>
      <c r="E26699" t="str">
        <v>-</v>
      </c>
      <c r="F26699" t="str">
        <v>-</v>
      </c>
      <c r="G26699" t="str">
        <v>-</v>
      </c>
    </row>
    <row r="26700">
      <c r="B26700" t="str">
        <v>Công an xã Nga Bạch tỉnh Thanh Hóa</v>
      </c>
      <c r="C26700" t="str">
        <v>-</v>
      </c>
      <c r="D26700" t="str">
        <v>-</v>
      </c>
      <c r="E26700" t="str">
        <v/>
      </c>
      <c r="F26700" t="str">
        <v>-</v>
      </c>
      <c r="G26700" t="str">
        <v>-</v>
      </c>
    </row>
    <row r="26701">
      <c r="B26701" t="str">
        <v>UBND Ủy ban nhân dân xã Nga Bạch tỉnh Thanh Hóa</v>
      </c>
      <c r="C26701" t="str">
        <v>-</v>
      </c>
      <c r="D26701" t="str">
        <v>-</v>
      </c>
      <c r="E26701" t="str">
        <v>-</v>
      </c>
      <c r="F26701" t="str">
        <v>-</v>
      </c>
      <c r="G26701" t="str">
        <v>-</v>
      </c>
    </row>
    <row r="26702">
      <c r="B26702" t="str">
        <v>Công an xã Nga Quán tỉnh Thanh Hóa</v>
      </c>
      <c r="C26702" t="str">
        <v>-</v>
      </c>
      <c r="D26702" t="str">
        <v>-</v>
      </c>
      <c r="E26702" t="str">
        <v/>
      </c>
      <c r="F26702" t="str">
        <v>-</v>
      </c>
      <c r="G26702" t="str">
        <v>-</v>
      </c>
    </row>
    <row r="26703">
      <c r="B26703" t="str">
        <v>UBND Ủy ban nhân dân xã Nga Quán tỉnh Thanh Hóa</v>
      </c>
      <c r="C26703" t="str">
        <v>-</v>
      </c>
      <c r="D26703" t="str">
        <v>-</v>
      </c>
      <c r="E26703" t="str">
        <v>-</v>
      </c>
      <c r="F26703" t="str">
        <v>-</v>
      </c>
      <c r="G26703" t="str">
        <v>-</v>
      </c>
    </row>
    <row r="26704" xml:space="preserve">
      <c r="B26704" t="str" xml:space="preserve">
        <v xml:space="preserve">Công an xã Nga Thành _x000d_
 tỉnh Thanh Hóa</v>
      </c>
      <c r="C26704" t="str">
        <v>-</v>
      </c>
      <c r="D26704" t="str">
        <v>-</v>
      </c>
      <c r="E26704" t="str">
        <v/>
      </c>
      <c r="F26704" t="str">
        <v>-</v>
      </c>
      <c r="G26704" t="str">
        <v>-</v>
      </c>
    </row>
    <row r="26705" xml:space="preserve">
      <c r="B26705" t="str" xml:space="preserve">
        <v xml:space="preserve">UBND Ủy ban nhân dân xã Nga Thành _x000d_
 tỉnh Thanh Hóa</v>
      </c>
      <c r="C26705" t="str">
        <v>-</v>
      </c>
      <c r="D26705" t="str">
        <v>-</v>
      </c>
      <c r="E26705" t="str">
        <v>-</v>
      </c>
      <c r="F26705" t="str">
        <v>-</v>
      </c>
      <c r="G26705" t="str">
        <v>-</v>
      </c>
    </row>
    <row r="26706" xml:space="preserve">
      <c r="B26706" t="str" xml:space="preserve">
        <v xml:space="preserve">Công an xã Nghĩa An _x000d_
 tỉnh Hải Dương</v>
      </c>
      <c r="C26706" t="str">
        <v>-</v>
      </c>
      <c r="D26706" t="str">
        <v>-</v>
      </c>
      <c r="E26706" t="str">
        <v/>
      </c>
      <c r="F26706" t="str">
        <v>-</v>
      </c>
      <c r="G26706" t="str">
        <v>-</v>
      </c>
    </row>
    <row r="26707" xml:space="preserve">
      <c r="B26707" t="str" xml:space="preserve">
        <v xml:space="preserve">UBND Ủy ban nhân dân xã Nghĩa An _x000d_
 tỉnh Hải Dương</v>
      </c>
      <c r="C26707" t="str">
        <v>-</v>
      </c>
      <c r="D26707" t="str">
        <v>-</v>
      </c>
      <c r="E26707" t="str">
        <v>-</v>
      </c>
      <c r="F26707" t="str">
        <v>-</v>
      </c>
      <c r="G26707" t="str">
        <v>-</v>
      </c>
    </row>
    <row r="26708" xml:space="preserve">
      <c r="B26708" t="str" xml:space="preserve">
        <v xml:space="preserve">Công an xã Nghĩa An _x000d_
 tỉnh Hải Dương</v>
      </c>
      <c r="C26708" t="str">
        <v>-</v>
      </c>
      <c r="D26708" t="str">
        <v>-</v>
      </c>
      <c r="E26708" t="str">
        <v/>
      </c>
      <c r="F26708" t="str">
        <v>-</v>
      </c>
      <c r="G26708" t="str">
        <v>-</v>
      </c>
    </row>
    <row r="26709" xml:space="preserve">
      <c r="B26709" t="str" xml:space="preserve">
        <v xml:space="preserve">UBND Ủy ban nhân dân xã Nghĩa An _x000d_
 tỉnh Hải Dương</v>
      </c>
      <c r="C26709" t="str">
        <v>-</v>
      </c>
      <c r="D26709" t="str">
        <v>-</v>
      </c>
      <c r="E26709" t="str">
        <v>-</v>
      </c>
      <c r="F26709" t="str">
        <v>-</v>
      </c>
      <c r="G26709" t="str">
        <v>-</v>
      </c>
    </row>
    <row r="26710" xml:space="preserve">
      <c r="B26710" t="str" xml:space="preserve">
        <v xml:space="preserve">Công an xã Nghĩa Bình _x000d_
 tỉnh Hải Dương</v>
      </c>
      <c r="C26710" t="str">
        <v>-</v>
      </c>
      <c r="D26710" t="str">
        <v>-</v>
      </c>
      <c r="E26710" t="str">
        <v/>
      </c>
      <c r="F26710" t="str">
        <v>-</v>
      </c>
      <c r="G26710" t="str">
        <v>-</v>
      </c>
    </row>
    <row r="26711" xml:space="preserve">
      <c r="B26711" t="str" xml:space="preserve">
        <v xml:space="preserve">UBND Ủy ban nhân dân xã Nghĩa Bình _x000d_
 tỉnh Hải Dương</v>
      </c>
      <c r="C26711" t="str">
        <v>-</v>
      </c>
      <c r="D26711" t="str">
        <v>-</v>
      </c>
      <c r="E26711" t="str">
        <v>-</v>
      </c>
      <c r="F26711" t="str">
        <v>-</v>
      </c>
      <c r="G26711" t="str">
        <v>-</v>
      </c>
    </row>
    <row r="26712" xml:space="preserve">
      <c r="B26712" t="str" xml:space="preserve">
        <v xml:space="preserve">Công an xã Nghĩa Dũng _x000d_
 tỉnh Hải Dương</v>
      </c>
      <c r="C26712" t="str">
        <v>-</v>
      </c>
      <c r="D26712" t="str">
        <v>-</v>
      </c>
      <c r="E26712" t="str">
        <v/>
      </c>
      <c r="F26712" t="str">
        <v>-</v>
      </c>
      <c r="G26712" t="str">
        <v>-</v>
      </c>
    </row>
    <row r="26713" xml:space="preserve">
      <c r="B26713" t="str" xml:space="preserve">
        <v xml:space="preserve">UBND Ủy ban nhân dân xã Nghĩa Dũng _x000d_
 tỉnh Hải Dương</v>
      </c>
      <c r="C26713" t="str">
        <v>-</v>
      </c>
      <c r="D26713" t="str">
        <v>-</v>
      </c>
      <c r="E26713" t="str">
        <v>-</v>
      </c>
      <c r="F26713" t="str">
        <v>-</v>
      </c>
      <c r="G26713" t="str">
        <v>-</v>
      </c>
    </row>
    <row r="26714" xml:space="preserve">
      <c r="B26714" t="str" xml:space="preserve">
        <v xml:space="preserve">Công an xã Nghĩa Hành _x000d_
 tỉnh Hải Dương</v>
      </c>
      <c r="C26714" t="str">
        <v>-</v>
      </c>
      <c r="D26714" t="str">
        <v>-</v>
      </c>
      <c r="E26714" t="str">
        <v/>
      </c>
      <c r="F26714" t="str">
        <v>-</v>
      </c>
      <c r="G26714" t="str">
        <v>-</v>
      </c>
    </row>
    <row r="26715" xml:space="preserve">
      <c r="B26715" t="str" xml:space="preserve">
        <v xml:space="preserve">UBND Ủy ban nhân dân xã Nghĩa Hành _x000d_
 tỉnh Hải Dương</v>
      </c>
      <c r="C26715" t="str">
        <v>-</v>
      </c>
      <c r="D26715" t="str">
        <v>-</v>
      </c>
      <c r="E26715" t="str">
        <v>-</v>
      </c>
      <c r="F26715" t="str">
        <v>-</v>
      </c>
      <c r="G26715" t="str">
        <v>-</v>
      </c>
    </row>
    <row r="26716">
      <c r="B26716" t="str">
        <v>Công an xã Nghĩa Hòa tỉnh Gia Lai</v>
      </c>
      <c r="C26716" t="str">
        <v>-</v>
      </c>
      <c r="D26716" t="str">
        <v>-</v>
      </c>
      <c r="E26716" t="str">
        <v/>
      </c>
      <c r="F26716" t="str">
        <v>-</v>
      </c>
      <c r="G26716" t="str">
        <v>-</v>
      </c>
    </row>
    <row r="26717">
      <c r="B26717" t="str">
        <v>UBND Ủy ban nhân dân xã Nghĩa Hòa tỉnh Gia Lai</v>
      </c>
      <c r="C26717" t="str">
        <v>-</v>
      </c>
      <c r="D26717" t="str">
        <v>-</v>
      </c>
      <c r="E26717" t="str">
        <v>-</v>
      </c>
      <c r="F26717" t="str">
        <v>-</v>
      </c>
      <c r="G26717" t="str">
        <v>-</v>
      </c>
    </row>
    <row r="26718">
      <c r="B26718" t="str">
        <v>Công an xã Nghĩa Hưng tỉnh Gia Lai</v>
      </c>
      <c r="C26718" t="str">
        <v>-</v>
      </c>
      <c r="D26718" t="str">
        <v>-</v>
      </c>
      <c r="E26718" t="str">
        <v/>
      </c>
      <c r="F26718" t="str">
        <v>-</v>
      </c>
      <c r="G26718" t="str">
        <v>-</v>
      </c>
    </row>
    <row r="26719">
      <c r="B26719" t="str">
        <v>UBND Ủy ban nhân dân xã Nghĩa Hưng tỉnh Gia Lai</v>
      </c>
      <c r="C26719" t="str">
        <v>-</v>
      </c>
      <c r="D26719" t="str">
        <v>-</v>
      </c>
      <c r="E26719" t="str">
        <v>-</v>
      </c>
      <c r="F26719" t="str">
        <v>-</v>
      </c>
      <c r="G26719" t="str">
        <v>-</v>
      </c>
    </row>
    <row r="26720" xml:space="preserve">
      <c r="B26720" t="str" xml:space="preserve">
        <v xml:space="preserve">Công an xã Nghĩa Hiếu _x000d_
 tỉnh Gia Lai</v>
      </c>
      <c r="C26720" t="str">
        <v>-</v>
      </c>
      <c r="D26720" t="str">
        <v>-</v>
      </c>
      <c r="E26720" t="str">
        <v/>
      </c>
      <c r="F26720" t="str">
        <v>-</v>
      </c>
      <c r="G26720" t="str">
        <v>-</v>
      </c>
    </row>
    <row r="26721" xml:space="preserve">
      <c r="B26721" t="str" xml:space="preserve">
        <v xml:space="preserve">UBND Ủy ban nhân dân xã Nghĩa Hiếu _x000d_
 tỉnh Gia Lai</v>
      </c>
      <c r="C26721" t="str">
        <v>-</v>
      </c>
      <c r="D26721" t="str">
        <v>-</v>
      </c>
      <c r="E26721" t="str">
        <v>-</v>
      </c>
      <c r="F26721" t="str">
        <v>-</v>
      </c>
      <c r="G26721" t="str">
        <v>-</v>
      </c>
    </row>
    <row r="26722" xml:space="preserve">
      <c r="B26722" t="str" xml:space="preserve">
        <v xml:space="preserve">Công an xã Nghĩa Lạc _x000d_
 tỉnh Nghệ An</v>
      </c>
      <c r="C26722" t="str">
        <v>-</v>
      </c>
      <c r="D26722" t="str">
        <v>-</v>
      </c>
      <c r="E26722" t="str">
        <v/>
      </c>
      <c r="F26722" t="str">
        <v>-</v>
      </c>
      <c r="G26722" t="str">
        <v>-</v>
      </c>
    </row>
    <row r="26723" xml:space="preserve">
      <c r="B26723" t="str" xml:space="preserve">
        <v xml:space="preserve">UBND Ủy ban nhân dân xã Nghĩa Lạc _x000d_
 tỉnh Nghệ An</v>
      </c>
      <c r="C26723" t="str">
        <v>-</v>
      </c>
      <c r="D26723" t="str">
        <v>-</v>
      </c>
      <c r="E26723" t="str">
        <v>-</v>
      </c>
      <c r="F26723" t="str">
        <v>-</v>
      </c>
      <c r="G26723" t="str">
        <v>-</v>
      </c>
    </row>
    <row r="26724" xml:space="preserve">
      <c r="B26724" t="str" xml:space="preserve">
        <v xml:space="preserve">Công an xã Nghĩa Lợi _x000d_
 tỉnh Nghệ An</v>
      </c>
      <c r="C26724" t="str">
        <v>-</v>
      </c>
      <c r="D26724" t="str">
        <v>-</v>
      </c>
      <c r="E26724" t="str">
        <v/>
      </c>
      <c r="F26724" t="str">
        <v>-</v>
      </c>
      <c r="G26724" t="str">
        <v>-</v>
      </c>
    </row>
    <row r="26725" xml:space="preserve">
      <c r="B26725" t="str" xml:space="preserve">
        <v xml:space="preserve">UBND Ủy ban nhân dân xã Nghĩa Lợi _x000d_
 tỉnh Nghệ An</v>
      </c>
      <c r="C26725" t="str">
        <v>-</v>
      </c>
      <c r="D26725" t="str">
        <v>-</v>
      </c>
      <c r="E26725" t="str">
        <v>-</v>
      </c>
      <c r="F26725" t="str">
        <v>-</v>
      </c>
      <c r="G26725" t="str">
        <v>-</v>
      </c>
    </row>
    <row r="26726" xml:space="preserve">
      <c r="B26726" t="str" xml:space="preserve">
        <v xml:space="preserve">Công an xã Nghĩa Long _x000d_
 tỉnh Nghệ An</v>
      </c>
      <c r="C26726" t="str">
        <v>-</v>
      </c>
      <c r="D26726" t="str">
        <v>-</v>
      </c>
      <c r="E26726" t="str">
        <v/>
      </c>
      <c r="F26726" t="str">
        <v>-</v>
      </c>
      <c r="G26726" t="str">
        <v>-</v>
      </c>
    </row>
    <row r="26727" xml:space="preserve">
      <c r="B26727" t="str" xml:space="preserve">
        <v xml:space="preserve">UBND Ủy ban nhân dân xã Nghĩa Long _x000d_
 tỉnh Nghệ An</v>
      </c>
      <c r="C26727" t="str">
        <v>-</v>
      </c>
      <c r="D26727" t="str">
        <v>-</v>
      </c>
      <c r="E26727" t="str">
        <v>-</v>
      </c>
      <c r="F26727" t="str">
        <v>-</v>
      </c>
      <c r="G26727" t="str">
        <v>-</v>
      </c>
    </row>
    <row r="26728" xml:space="preserve">
      <c r="B26728" t="str" xml:space="preserve">
        <v xml:space="preserve">Công an xã Nghĩa Mai _x000d_
 tỉnh Nghệ An</v>
      </c>
      <c r="C26728" t="str">
        <v>-</v>
      </c>
      <c r="D26728" t="str">
        <v>-</v>
      </c>
      <c r="E26728" t="str">
        <v/>
      </c>
      <c r="F26728" t="str">
        <v>-</v>
      </c>
      <c r="G26728" t="str">
        <v>-</v>
      </c>
    </row>
    <row r="26729" xml:space="preserve">
      <c r="B26729" t="str" xml:space="preserve">
        <v xml:space="preserve">UBND Ủy ban nhân dân xã Nghĩa Mai _x000d_
 tỉnh Nghệ An</v>
      </c>
      <c r="C26729" t="str">
        <v>-</v>
      </c>
      <c r="D26729" t="str">
        <v>-</v>
      </c>
      <c r="E26729" t="str">
        <v>-</v>
      </c>
      <c r="F26729" t="str">
        <v>-</v>
      </c>
      <c r="G26729" t="str">
        <v>-</v>
      </c>
    </row>
    <row r="26730" xml:space="preserve">
      <c r="B26730" t="str" xml:space="preserve">
        <v xml:space="preserve">Công an xã Nghĩa Tâm _x000d_
 tỉnh Yên Bái</v>
      </c>
      <c r="C26730" t="str">
        <v>-</v>
      </c>
      <c r="D26730" t="str">
        <v>-</v>
      </c>
      <c r="E26730" t="str">
        <v/>
      </c>
      <c r="F26730" t="str">
        <v>-</v>
      </c>
      <c r="G26730" t="str">
        <v>-</v>
      </c>
    </row>
    <row r="26731" xml:space="preserve">
      <c r="B26731" t="str" xml:space="preserve">
        <v xml:space="preserve">UBND Ủy ban nhân dân xã Nghĩa Tâm _x000d_
 tỉnh Yên Bái</v>
      </c>
      <c r="C26731" t="str">
        <v>-</v>
      </c>
      <c r="D26731" t="str">
        <v>-</v>
      </c>
      <c r="E26731" t="str">
        <v>-</v>
      </c>
      <c r="F26731" t="str">
        <v>-</v>
      </c>
      <c r="G26731" t="str">
        <v>-</v>
      </c>
    </row>
    <row r="26732">
      <c r="B26732" t="str">
        <v>Công an xã Nghĩa Trụ tỉnh Hòa Bình</v>
      </c>
      <c r="C26732" t="str">
        <v>-</v>
      </c>
      <c r="D26732" t="str">
        <v>-</v>
      </c>
      <c r="E26732" t="str">
        <v/>
      </c>
      <c r="F26732" t="str">
        <v>-</v>
      </c>
      <c r="G26732" t="str">
        <v>-</v>
      </c>
    </row>
    <row r="26733">
      <c r="B26733" t="str">
        <v>UBND Ủy ban nhân dân xã Nghĩa Trụ tỉnh Hòa Bình</v>
      </c>
      <c r="C26733" t="str">
        <v>-</v>
      </c>
      <c r="D26733" t="str">
        <v>-</v>
      </c>
      <c r="E26733" t="str">
        <v>-</v>
      </c>
      <c r="F26733" t="str">
        <v>-</v>
      </c>
      <c r="G26733" t="str">
        <v>-</v>
      </c>
    </row>
    <row r="26734">
      <c r="B26734" t="str">
        <v>Công an xã Nghĩa Xuân tỉnh Nghệ An</v>
      </c>
      <c r="C26734" t="str">
        <v>-</v>
      </c>
      <c r="D26734" t="str">
        <v>-</v>
      </c>
      <c r="E26734" t="str">
        <v/>
      </c>
      <c r="F26734" t="str">
        <v>-</v>
      </c>
      <c r="G26734" t="str">
        <v>-</v>
      </c>
    </row>
    <row r="26735">
      <c r="B26735" t="str">
        <v>UBND Ủy ban nhân dân xã Nghĩa Xuân tỉnh Nghệ An</v>
      </c>
      <c r="C26735" t="str">
        <v>-</v>
      </c>
      <c r="D26735" t="str">
        <v>-</v>
      </c>
      <c r="E26735" t="str">
        <v>-</v>
      </c>
      <c r="F26735" t="str">
        <v>-</v>
      </c>
      <c r="G26735" t="str">
        <v>-</v>
      </c>
    </row>
    <row r="26736">
      <c r="B26736" t="str">
        <v>Công an xã Nghi Kim tỉnh Nghệ An</v>
      </c>
      <c r="C26736" t="str">
        <v>-</v>
      </c>
      <c r="D26736" t="str">
        <v>-</v>
      </c>
      <c r="E26736" t="str">
        <v/>
      </c>
      <c r="F26736" t="str">
        <v>-</v>
      </c>
      <c r="G26736" t="str">
        <v>-</v>
      </c>
    </row>
    <row r="26737">
      <c r="B26737" t="str">
        <v>UBND Ủy ban nhân dân xã Nghi Kim tỉnh Nghệ An</v>
      </c>
      <c r="C26737" t="str">
        <v>-</v>
      </c>
      <c r="D26737" t="str">
        <v>-</v>
      </c>
      <c r="E26737" t="str">
        <v>-</v>
      </c>
      <c r="F26737" t="str">
        <v>-</v>
      </c>
      <c r="G26737" t="str">
        <v>-</v>
      </c>
    </row>
    <row r="26738">
      <c r="B26738" t="str">
        <v>Công an xã Nguyên Giáp tỉnh Hải Dương</v>
      </c>
      <c r="C26738" t="str">
        <v>-</v>
      </c>
      <c r="D26738" t="str">
        <v>-</v>
      </c>
      <c r="E26738" t="str">
        <v/>
      </c>
      <c r="F26738" t="str">
        <v>-</v>
      </c>
      <c r="G26738" t="str">
        <v>-</v>
      </c>
    </row>
    <row r="26739">
      <c r="B26739" t="str">
        <v>UBND Ủy ban nhân dân xã Nguyên Giáp tỉnh Hải Dương</v>
      </c>
      <c r="C26739" t="str">
        <v>-</v>
      </c>
      <c r="D26739" t="str">
        <v>-</v>
      </c>
      <c r="E26739" t="str">
        <v>-</v>
      </c>
      <c r="F26739" t="str">
        <v>-</v>
      </c>
      <c r="G26739" t="str">
        <v>-</v>
      </c>
    </row>
    <row r="26740" xml:space="preserve">
      <c r="B26740" t="str" xml:space="preserve">
        <v xml:space="preserve">Công an xã Nguyên Phúc _x000d_
 tỉnh Bắc Kạn</v>
      </c>
      <c r="C26740" t="str">
        <v>-</v>
      </c>
      <c r="D26740" t="str">
        <v>-</v>
      </c>
      <c r="E26740" t="str">
        <v/>
      </c>
      <c r="F26740" t="str">
        <v>-</v>
      </c>
      <c r="G26740" t="str">
        <v>-</v>
      </c>
    </row>
    <row r="26741" xml:space="preserve">
      <c r="B26741" t="str" xml:space="preserve">
        <v xml:space="preserve">UBND Ủy ban nhân dân xã Nguyên Phúc _x000d_
 tỉnh Bắc Kạn</v>
      </c>
      <c r="C26741" t="str">
        <v>-</v>
      </c>
      <c r="D26741" t="str">
        <v>-</v>
      </c>
      <c r="E26741" t="str">
        <v>-</v>
      </c>
      <c r="F26741" t="str">
        <v>-</v>
      </c>
      <c r="G26741" t="str">
        <v>-</v>
      </c>
    </row>
    <row r="26742">
      <c r="B26742" t="str">
        <v>Công an xã Nguyên Xá tỉnh Thái Bình</v>
      </c>
      <c r="C26742" t="str">
        <v>-</v>
      </c>
      <c r="D26742" t="str">
        <v>-</v>
      </c>
      <c r="E26742" t="str">
        <v/>
      </c>
      <c r="F26742" t="str">
        <v>-</v>
      </c>
      <c r="G26742" t="str">
        <v>-</v>
      </c>
    </row>
    <row r="26743">
      <c r="B26743" t="str">
        <v>UBND Ủy ban nhân dân xã Nguyên Xá tỉnh Thái Bình</v>
      </c>
      <c r="C26743" t="str">
        <v>-</v>
      </c>
      <c r="D26743" t="str">
        <v>-</v>
      </c>
      <c r="E26743" t="str">
        <v>-</v>
      </c>
      <c r="F26743" t="str">
        <v>-</v>
      </c>
      <c r="G26743" t="str">
        <v>-</v>
      </c>
    </row>
    <row r="26744" xml:space="preserve">
      <c r="B26744" t="str" xml:space="preserve">
        <v xml:space="preserve">Công an xã Nguyệt Đức _x000d_
 tỉnh Bắc Ninh</v>
      </c>
      <c r="C26744" t="str">
        <v>-</v>
      </c>
      <c r="D26744" t="str">
        <v>-</v>
      </c>
      <c r="E26744" t="str">
        <v/>
      </c>
      <c r="F26744" t="str">
        <v>-</v>
      </c>
      <c r="G26744" t="str">
        <v>-</v>
      </c>
    </row>
    <row r="26745" xml:space="preserve">
      <c r="B26745" t="str" xml:space="preserve">
        <v xml:space="preserve">UBND Ủy ban nhân dân xã Nguyệt Đức _x000d_
 tỉnh Bắc Ninh</v>
      </c>
      <c r="C26745" t="str">
        <v>-</v>
      </c>
      <c r="D26745" t="str">
        <v>-</v>
      </c>
      <c r="E26745" t="str">
        <v>-</v>
      </c>
      <c r="F26745" t="str">
        <v>-</v>
      </c>
      <c r="G26745" t="str">
        <v>-</v>
      </c>
    </row>
    <row r="26746" xml:space="preserve">
      <c r="B26746" t="str" xml:space="preserve">
        <v xml:space="preserve">Công an xã Nhân Chính _x000d_
 tỉnh Hà Nam</v>
      </c>
      <c r="C26746" t="str">
        <v>-</v>
      </c>
      <c r="D26746" t="str">
        <v>-</v>
      </c>
      <c r="E26746" t="str">
        <v/>
      </c>
      <c r="F26746" t="str">
        <v>-</v>
      </c>
      <c r="G26746" t="str">
        <v>-</v>
      </c>
    </row>
    <row r="26747" xml:space="preserve">
      <c r="B26747" t="str" xml:space="preserve">
        <v xml:space="preserve">UBND Ủy ban nhân dân xã Nhân Chính _x000d_
 tỉnh Hà Nam</v>
      </c>
      <c r="C26747" t="str">
        <v>-</v>
      </c>
      <c r="D26747" t="str">
        <v>-</v>
      </c>
      <c r="E26747" t="str">
        <v>-</v>
      </c>
      <c r="F26747" t="str">
        <v>-</v>
      </c>
      <c r="G26747" t="str">
        <v>-</v>
      </c>
    </row>
    <row r="26748">
      <c r="B26748" t="str">
        <v>Công an xã Nhân Khang tỉnh Hà Nam</v>
      </c>
      <c r="C26748" t="str">
        <v>-</v>
      </c>
      <c r="D26748" t="str">
        <v>-</v>
      </c>
      <c r="E26748" t="str">
        <v/>
      </c>
      <c r="F26748" t="str">
        <v>-</v>
      </c>
      <c r="G26748" t="str">
        <v>-</v>
      </c>
    </row>
    <row r="26749">
      <c r="B26749" t="str">
        <v>UBND Ủy ban nhân dân xã Nhân Khang tỉnh Hà Nam</v>
      </c>
      <c r="C26749" t="str">
        <v>-</v>
      </c>
      <c r="D26749" t="str">
        <v>-</v>
      </c>
      <c r="E26749" t="str">
        <v>-</v>
      </c>
      <c r="F26749" t="str">
        <v>-</v>
      </c>
      <c r="G26749" t="str">
        <v>-</v>
      </c>
    </row>
    <row r="26750">
      <c r="B26750" t="str">
        <v>Công an xã Nhân Mỹ tỉnh Hà Nam</v>
      </c>
      <c r="C26750" t="str">
        <v>-</v>
      </c>
      <c r="D26750" t="str">
        <v>-</v>
      </c>
      <c r="E26750" t="str">
        <v/>
      </c>
      <c r="F26750" t="str">
        <v>-</v>
      </c>
      <c r="G26750" t="str">
        <v>-</v>
      </c>
    </row>
    <row r="26751">
      <c r="B26751" t="str">
        <v>UBND Ủy ban nhân dân xã Nhân Mỹ tỉnh Hà Nam</v>
      </c>
      <c r="C26751" t="str">
        <v>-</v>
      </c>
      <c r="D26751" t="str">
        <v>-</v>
      </c>
      <c r="E26751" t="str">
        <v>-</v>
      </c>
      <c r="F26751" t="str">
        <v>-</v>
      </c>
      <c r="G26751" t="str">
        <v>-</v>
      </c>
    </row>
    <row r="26752">
      <c r="B26752" t="str">
        <v>Công an xã Nhân Thịnh tỉnh Hà Nam</v>
      </c>
      <c r="C26752" t="str">
        <v>-</v>
      </c>
      <c r="D26752" t="str">
        <v>-</v>
      </c>
      <c r="E26752" t="str">
        <v/>
      </c>
      <c r="F26752" t="str">
        <v>-</v>
      </c>
      <c r="G26752" t="str">
        <v>-</v>
      </c>
    </row>
    <row r="26753">
      <c r="B26753" t="str">
        <v>UBND Ủy ban nhân dân xã Nhân Thịnh tỉnh Hà Nam</v>
      </c>
      <c r="C26753" t="str">
        <v>-</v>
      </c>
      <c r="D26753" t="str">
        <v>-</v>
      </c>
      <c r="E26753" t="str">
        <v>-</v>
      </c>
      <c r="F26753" t="str">
        <v>-</v>
      </c>
      <c r="G26753" t="str">
        <v>-</v>
      </c>
    </row>
    <row r="26754" xml:space="preserve">
      <c r="B26754" t="str" xml:space="preserve">
        <v xml:space="preserve">Công an xã Nhơn Bình _x000d_
 tỉnh Vĩnh Long</v>
      </c>
      <c r="C26754" t="str">
        <v>-</v>
      </c>
      <c r="D26754" t="str">
        <v>-</v>
      </c>
      <c r="E26754" t="str">
        <v/>
      </c>
      <c r="F26754" t="str">
        <v>-</v>
      </c>
      <c r="G26754" t="str">
        <v>-</v>
      </c>
    </row>
    <row r="26755" xml:space="preserve">
      <c r="B26755" t="str" xml:space="preserve">
        <v xml:space="preserve">UBND Ủy ban nhân dân xã Nhơn Bình _x000d_
 tỉnh Vĩnh Long</v>
      </c>
      <c r="C26755" t="str">
        <v>-</v>
      </c>
      <c r="D26755" t="str">
        <v>-</v>
      </c>
      <c r="E26755" t="str">
        <v>-</v>
      </c>
      <c r="F26755" t="str">
        <v>-</v>
      </c>
      <c r="G26755" t="str">
        <v>-</v>
      </c>
    </row>
    <row r="26756" xml:space="preserve">
      <c r="B26756" t="str" xml:space="preserve">
        <v xml:space="preserve">Công an xã Nhơn Nghĩa _x000d_
 thành phố Cần Thơ</v>
      </c>
      <c r="C26756" t="str">
        <v>-</v>
      </c>
      <c r="D26756" t="str">
        <v>-</v>
      </c>
      <c r="E26756" t="str">
        <v/>
      </c>
      <c r="F26756" t="str">
        <v>-</v>
      </c>
      <c r="G26756" t="str">
        <v>-</v>
      </c>
    </row>
    <row r="26757" xml:space="preserve">
      <c r="B26757" t="str" xml:space="preserve">
        <v xml:space="preserve">UBND Ủy ban nhân dân xã Nhơn Nghĩa _x000d_
 thành phố Cần Thơ</v>
      </c>
      <c r="C26757" t="str">
        <v>-</v>
      </c>
      <c r="D26757" t="str">
        <v>-</v>
      </c>
      <c r="E26757" t="str">
        <v>-</v>
      </c>
      <c r="F26757" t="str">
        <v>-</v>
      </c>
      <c r="G26757" t="str">
        <v>-</v>
      </c>
    </row>
    <row r="26758" xml:space="preserve">
      <c r="B26758" t="str" xml:space="preserve">
        <v xml:space="preserve">Công an xã Nhơn Sơn _x000d_
 tỉnh Ninh Thuận</v>
      </c>
      <c r="C26758" t="str">
        <v>-</v>
      </c>
      <c r="D26758" t="str">
        <v>-</v>
      </c>
      <c r="E26758" t="str">
        <v/>
      </c>
      <c r="F26758" t="str">
        <v>-</v>
      </c>
      <c r="G26758" t="str">
        <v>-</v>
      </c>
    </row>
    <row r="26759" xml:space="preserve">
      <c r="B26759" t="str" xml:space="preserve">
        <v xml:space="preserve">UBND Ủy ban nhân dân xã Nhơn Sơn _x000d_
 tỉnh Ninh Thuận</v>
      </c>
      <c r="C26759" t="str">
        <v>-</v>
      </c>
      <c r="D26759" t="str">
        <v>-</v>
      </c>
      <c r="E26759" t="str">
        <v>-</v>
      </c>
      <c r="F26759" t="str">
        <v>-</v>
      </c>
      <c r="G26759" t="str">
        <v>-</v>
      </c>
    </row>
    <row r="26760" xml:space="preserve">
      <c r="B26760" t="str" xml:space="preserve">
        <v xml:space="preserve">Công an xã Nhơn Tân _x000d_
 tỉnh Bình Định</v>
      </c>
      <c r="C26760" t="str">
        <v>-</v>
      </c>
      <c r="D26760" t="str">
        <v>-</v>
      </c>
      <c r="E26760" t="str">
        <v/>
      </c>
      <c r="F26760" t="str">
        <v>-</v>
      </c>
      <c r="G26760" t="str">
        <v>-</v>
      </c>
    </row>
    <row r="26761" xml:space="preserve">
      <c r="B26761" t="str" xml:space="preserve">
        <v xml:space="preserve">UBND Ủy ban nhân dân xã Nhơn Tân _x000d_
 tỉnh Bình Định</v>
      </c>
      <c r="C26761" t="str">
        <v>-</v>
      </c>
      <c r="D26761" t="str">
        <v>-</v>
      </c>
      <c r="E26761" t="str">
        <v>-</v>
      </c>
      <c r="F26761" t="str">
        <v>-</v>
      </c>
      <c r="G26761" t="str">
        <v>-</v>
      </c>
    </row>
    <row r="26762">
      <c r="B26762" t="str">
        <v>Công an xã Nhạc Kỳ tỉnh Lạng Sơn</v>
      </c>
      <c r="C26762" t="str">
        <v>-</v>
      </c>
      <c r="D26762" t="str">
        <v>-</v>
      </c>
      <c r="E26762" t="str">
        <v/>
      </c>
      <c r="F26762" t="str">
        <v>-</v>
      </c>
      <c r="G26762" t="str">
        <v>-</v>
      </c>
    </row>
    <row r="26763">
      <c r="B26763" t="str">
        <v>UBND Ủy ban nhân dân xã Nhạc Kỳ tỉnh Lạng Sơn</v>
      </c>
      <c r="C26763" t="str">
        <v>-</v>
      </c>
      <c r="D26763" t="str">
        <v>-</v>
      </c>
      <c r="E26763" t="str">
        <v>-</v>
      </c>
      <c r="F26763" t="str">
        <v>-</v>
      </c>
      <c r="G26763" t="str">
        <v>-</v>
      </c>
    </row>
    <row r="26764" xml:space="preserve">
      <c r="B26764" t="str" xml:space="preserve">
        <v xml:space="preserve">Công an xã Nhật Tựu _x000d_
 tỉnh Hà Nam</v>
      </c>
      <c r="C26764" t="str">
        <v>-</v>
      </c>
      <c r="D26764" t="str">
        <v>-</v>
      </c>
      <c r="E26764" t="str">
        <v/>
      </c>
      <c r="F26764" t="str">
        <v>-</v>
      </c>
      <c r="G26764" t="str">
        <v>-</v>
      </c>
    </row>
    <row r="26765" xml:space="preserve">
      <c r="B26765" t="str" xml:space="preserve">
        <v xml:space="preserve">UBND Ủy ban nhân dân xã Nhật Tựu _x000d_
 tỉnh Hà Nam</v>
      </c>
      <c r="C26765" t="str">
        <v>-</v>
      </c>
      <c r="D26765" t="str">
        <v>-</v>
      </c>
      <c r="E26765" t="str">
        <v>-</v>
      </c>
      <c r="F26765" t="str">
        <v>-</v>
      </c>
      <c r="G26765" t="str">
        <v>-</v>
      </c>
    </row>
    <row r="26766">
      <c r="B26766" t="str">
        <v>Công an xã Nhị Long tỉnh Trà Vinh</v>
      </c>
      <c r="C26766" t="str">
        <v>-</v>
      </c>
      <c r="D26766" t="str">
        <v>-</v>
      </c>
      <c r="E26766" t="str">
        <v/>
      </c>
      <c r="F26766" t="str">
        <v>-</v>
      </c>
      <c r="G26766" t="str">
        <v>-</v>
      </c>
    </row>
    <row r="26767">
      <c r="B26767" t="str">
        <v>UBND Ủy ban nhân dân xã Nhị Long tỉnh Trà Vinh</v>
      </c>
      <c r="C26767" t="str">
        <v>-</v>
      </c>
      <c r="D26767" t="str">
        <v>-</v>
      </c>
      <c r="E26767" t="str">
        <v>-</v>
      </c>
      <c r="F26767" t="str">
        <v>-</v>
      </c>
      <c r="G26767" t="str">
        <v>-</v>
      </c>
    </row>
    <row r="26768">
      <c r="B26768" t="str">
        <v>Công an xã Nhữ Hán tỉnh Tuyên Quang</v>
      </c>
      <c r="C26768" t="str">
        <v>-</v>
      </c>
      <c r="D26768" t="str">
        <v>-</v>
      </c>
      <c r="E26768" t="str">
        <v/>
      </c>
      <c r="F26768" t="str">
        <v>-</v>
      </c>
      <c r="G26768" t="str">
        <v>-</v>
      </c>
    </row>
    <row r="26769">
      <c r="B26769" t="str">
        <v>UBND Ủy ban nhân dân xã Nhữ Hán tỉnh Tuyên Quang</v>
      </c>
      <c r="C26769" t="str">
        <v>-</v>
      </c>
      <c r="D26769" t="str">
        <v>-</v>
      </c>
      <c r="E26769" t="str">
        <v>-</v>
      </c>
      <c r="F26769" t="str">
        <v>-</v>
      </c>
      <c r="G26769" t="str">
        <v>-</v>
      </c>
    </row>
    <row r="26770">
      <c r="B26770" t="str">
        <v>Công an xã Ninh Dân tỉnh Phú Thọ</v>
      </c>
      <c r="C26770" t="str">
        <v>-</v>
      </c>
      <c r="D26770" t="str">
        <v>-</v>
      </c>
      <c r="E26770" t="str">
        <v/>
      </c>
      <c r="F26770" t="str">
        <v>-</v>
      </c>
      <c r="G26770" t="str">
        <v>-</v>
      </c>
    </row>
    <row r="26771">
      <c r="B26771" t="str">
        <v>UBND Ủy ban nhân dân xã Ninh Dân tỉnh Phú Thọ</v>
      </c>
      <c r="C26771" t="str">
        <v>-</v>
      </c>
      <c r="D26771" t="str">
        <v>-</v>
      </c>
      <c r="E26771" t="str">
        <v>-</v>
      </c>
      <c r="F26771" t="str">
        <v>-</v>
      </c>
      <c r="G26771" t="str">
        <v>-</v>
      </c>
    </row>
    <row r="26772">
      <c r="B26772" t="str">
        <v>Công an xã Ninh Gia tỉnh Lâm Đồng</v>
      </c>
      <c r="C26772" t="str">
        <v>-</v>
      </c>
      <c r="D26772" t="str">
        <v>-</v>
      </c>
      <c r="E26772" t="str">
        <v/>
      </c>
      <c r="F26772" t="str">
        <v>-</v>
      </c>
      <c r="G26772" t="str">
        <v>-</v>
      </c>
    </row>
    <row r="26773">
      <c r="B26773" t="str">
        <v>UBND Ủy ban nhân dân xã Ninh Gia tỉnh Lâm Đồng</v>
      </c>
      <c r="C26773" t="str">
        <v>-</v>
      </c>
      <c r="D26773" t="str">
        <v>-</v>
      </c>
      <c r="E26773" t="str">
        <v>-</v>
      </c>
      <c r="F26773" t="str">
        <v>-</v>
      </c>
      <c r="G26773" t="str">
        <v>-</v>
      </c>
    </row>
    <row r="26774" xml:space="preserve">
      <c r="B26774" t="str" xml:space="preserve">
        <v xml:space="preserve">Công an xã Ninh Hải _x000d_
 tỉnh Ninh Bình</v>
      </c>
      <c r="C26774" t="str">
        <v>-</v>
      </c>
      <c r="D26774" t="str">
        <v>-</v>
      </c>
      <c r="E26774" t="str">
        <v/>
      </c>
      <c r="F26774" t="str">
        <v>-</v>
      </c>
      <c r="G26774" t="str">
        <v>-</v>
      </c>
    </row>
    <row r="26775" xml:space="preserve">
      <c r="B26775" t="str" xml:space="preserve">
        <v xml:space="preserve">UBND Ủy ban nhân dân xã Ninh Hải _x000d_
 tỉnh Ninh Bình</v>
      </c>
      <c r="C26775" t="str">
        <v>-</v>
      </c>
      <c r="D26775" t="str">
        <v>-</v>
      </c>
      <c r="E26775" t="str">
        <v>-</v>
      </c>
      <c r="F26775" t="str">
        <v>-</v>
      </c>
      <c r="G26775" t="str">
        <v>-</v>
      </c>
    </row>
    <row r="26776" xml:space="preserve">
      <c r="B26776" t="str" xml:space="preserve">
        <v xml:space="preserve">Công an xã Ninh Lộc _x000d_
 tỉnh Ninh Bình</v>
      </c>
      <c r="C26776" t="str">
        <v>-</v>
      </c>
      <c r="D26776" t="str">
        <v>-</v>
      </c>
      <c r="E26776" t="str">
        <v/>
      </c>
      <c r="F26776" t="str">
        <v>-</v>
      </c>
      <c r="G26776" t="str">
        <v>-</v>
      </c>
    </row>
    <row r="26777" xml:space="preserve">
      <c r="B26777" t="str" xml:space="preserve">
        <v xml:space="preserve">UBND Ủy ban nhân dân xã Ninh Lộc _x000d_
 tỉnh Ninh Bình</v>
      </c>
      <c r="C26777" t="str">
        <v>-</v>
      </c>
      <c r="D26777" t="str">
        <v>-</v>
      </c>
      <c r="E26777" t="str">
        <v>-</v>
      </c>
      <c r="F26777" t="str">
        <v>-</v>
      </c>
      <c r="G26777" t="str">
        <v>-</v>
      </c>
    </row>
    <row r="26778" xml:space="preserve">
      <c r="B26778" t="str" xml:space="preserve">
        <v xml:space="preserve">Công an xã Ninh Quới _x000d_
 tỉnh Bạc Liêu</v>
      </c>
      <c r="C26778" t="str">
        <v>-</v>
      </c>
      <c r="D26778" t="str">
        <v>-</v>
      </c>
      <c r="E26778" t="str">
        <v/>
      </c>
      <c r="F26778" t="str">
        <v>-</v>
      </c>
      <c r="G26778" t="str">
        <v>-</v>
      </c>
    </row>
    <row r="26779" xml:space="preserve">
      <c r="B26779" t="str" xml:space="preserve">
        <v xml:space="preserve">UBND Ủy ban nhân dân xã Ninh Quới _x000d_
 tỉnh Bạc Liêu</v>
      </c>
      <c r="C26779" t="str">
        <v>-</v>
      </c>
      <c r="D26779" t="str">
        <v>-</v>
      </c>
      <c r="E26779" t="str">
        <v>-</v>
      </c>
      <c r="F26779" t="str">
        <v>-</v>
      </c>
      <c r="G26779" t="str">
        <v>-</v>
      </c>
    </row>
    <row r="26780">
      <c r="B26780" t="str">
        <v>Công an xã Ninh Thắng tỉnh Ninh Bình</v>
      </c>
      <c r="C26780" t="str">
        <v>-</v>
      </c>
      <c r="D26780" t="str">
        <v>-</v>
      </c>
      <c r="E26780" t="str">
        <v/>
      </c>
      <c r="F26780" t="str">
        <v>-</v>
      </c>
      <c r="G26780" t="str">
        <v>-</v>
      </c>
    </row>
    <row r="26781">
      <c r="B26781" t="str">
        <v>UBND Ủy ban nhân dân xã Ninh Thắng tỉnh Ninh Bình</v>
      </c>
      <c r="C26781" t="str">
        <v>-</v>
      </c>
      <c r="D26781" t="str">
        <v>-</v>
      </c>
      <c r="E26781" t="str">
        <v>-</v>
      </c>
      <c r="F26781" t="str">
        <v>-</v>
      </c>
      <c r="G26781" t="str">
        <v>-</v>
      </c>
    </row>
    <row r="26782">
      <c r="B26782" t="str">
        <v>Công an xã Pá Lông tỉnh Sơn La</v>
      </c>
      <c r="C26782" t="str">
        <v>-</v>
      </c>
      <c r="D26782" t="str">
        <v>-</v>
      </c>
      <c r="E26782" t="str">
        <v/>
      </c>
      <c r="F26782" t="str">
        <v>-</v>
      </c>
      <c r="G26782" t="str">
        <v>-</v>
      </c>
    </row>
    <row r="26783">
      <c r="B26783" t="str">
        <v>UBND Ủy ban nhân dân xã Pá Lông tỉnh Sơn La</v>
      </c>
      <c r="C26783" t="str">
        <v>-</v>
      </c>
      <c r="D26783" t="str">
        <v>-</v>
      </c>
      <c r="E26783" t="str">
        <v>-</v>
      </c>
      <c r="F26783" t="str">
        <v>-</v>
      </c>
      <c r="G26783" t="str">
        <v>-</v>
      </c>
    </row>
    <row r="26784">
      <c r="B26784" t="str">
        <v>Công an xã Pá Ma Pha Khinh tỉnh Sơn La</v>
      </c>
      <c r="C26784" t="str">
        <v>-</v>
      </c>
      <c r="D26784" t="str">
        <v>-</v>
      </c>
      <c r="E26784" t="str">
        <v/>
      </c>
      <c r="F26784" t="str">
        <v>-</v>
      </c>
      <c r="G26784" t="str">
        <v>-</v>
      </c>
    </row>
    <row r="26785">
      <c r="B26785" t="str">
        <v>UBND Ủy ban nhân dân xã Pá Ma Pha Khinh tỉnh Sơn La</v>
      </c>
      <c r="C26785" t="str">
        <v>-</v>
      </c>
      <c r="D26785" t="str">
        <v>-</v>
      </c>
      <c r="E26785" t="str">
        <v>-</v>
      </c>
      <c r="F26785" t="str">
        <v>-</v>
      </c>
      <c r="G26785" t="str">
        <v>-</v>
      </c>
    </row>
    <row r="26786">
      <c r="B26786" t="str">
        <v>Công an xã Pú Nhung tỉnh Điện Biên</v>
      </c>
      <c r="C26786" t="str">
        <v>-</v>
      </c>
      <c r="D26786" t="str">
        <v>-</v>
      </c>
      <c r="E26786" t="str">
        <v/>
      </c>
      <c r="F26786" t="str">
        <v>-</v>
      </c>
      <c r="G26786" t="str">
        <v>-</v>
      </c>
    </row>
    <row r="26787">
      <c r="B26787" t="str">
        <v>UBND Ủy ban nhân dân xã Pú Nhung tỉnh Điện Biên</v>
      </c>
      <c r="C26787" t="str">
        <v>-</v>
      </c>
      <c r="D26787" t="str">
        <v>-</v>
      </c>
      <c r="E26787" t="str">
        <v>-</v>
      </c>
      <c r="F26787" t="str">
        <v>-</v>
      </c>
      <c r="G26787" t="str">
        <v>-</v>
      </c>
    </row>
    <row r="26788">
      <c r="B26788" t="str">
        <v>Công an xã Pú Xi tỉnh Điện Biên</v>
      </c>
      <c r="C26788" t="str">
        <v>-</v>
      </c>
      <c r="D26788" t="str">
        <v>-</v>
      </c>
      <c r="E26788" t="str">
        <v/>
      </c>
      <c r="F26788" t="str">
        <v>-</v>
      </c>
      <c r="G26788" t="str">
        <v>-</v>
      </c>
    </row>
    <row r="26789">
      <c r="B26789" t="str">
        <v>UBND Ủy ban nhân dân xã Pú Xi tỉnh Điện Biên</v>
      </c>
      <c r="C26789" t="str">
        <v>-</v>
      </c>
      <c r="D26789" t="str">
        <v>-</v>
      </c>
      <c r="E26789" t="str">
        <v>-</v>
      </c>
      <c r="F26789" t="str">
        <v>-</v>
      </c>
      <c r="G26789" t="str">
        <v>-</v>
      </c>
    </row>
    <row r="26790">
      <c r="B26790" t="str">
        <v>Công an xã Pờ Tó_Ia Pa tỉnh Gia Lai</v>
      </c>
      <c r="C26790" t="str">
        <v>-</v>
      </c>
      <c r="D26790" t="str">
        <v>-</v>
      </c>
      <c r="E26790" t="str">
        <v/>
      </c>
      <c r="F26790" t="str">
        <v>-</v>
      </c>
      <c r="G26790" t="str">
        <v>-</v>
      </c>
    </row>
    <row r="26791">
      <c r="B26791" t="str">
        <v>UBND Ủy ban nhân dân xã Pờ Tó_Ia Pa tỉnh Gia Lai</v>
      </c>
      <c r="C26791" t="str">
        <v>-</v>
      </c>
      <c r="D26791" t="str">
        <v>-</v>
      </c>
      <c r="E26791" t="str">
        <v>-</v>
      </c>
      <c r="F26791" t="str">
        <v>-</v>
      </c>
      <c r="G26791" t="str">
        <v>-</v>
      </c>
    </row>
    <row r="26792">
      <c r="B26792" t="str">
        <v>Công an xã Phìn Hồ tỉnh Lai Châu</v>
      </c>
      <c r="C26792" t="str">
        <v>-</v>
      </c>
      <c r="D26792" t="str">
        <v>-</v>
      </c>
      <c r="E26792" t="str">
        <v/>
      </c>
      <c r="F26792" t="str">
        <v>-</v>
      </c>
      <c r="G26792" t="str">
        <v>-</v>
      </c>
    </row>
    <row r="26793">
      <c r="B26793" t="str">
        <v>UBND Ủy ban nhân dân xã Phìn Hồ tỉnh Lai Châu</v>
      </c>
      <c r="C26793" t="str">
        <v>-</v>
      </c>
      <c r="D26793" t="str">
        <v>-</v>
      </c>
      <c r="E26793" t="str">
        <v>-</v>
      </c>
      <c r="F26793" t="str">
        <v>-</v>
      </c>
      <c r="G26793" t="str">
        <v>-</v>
      </c>
    </row>
    <row r="26794">
      <c r="B26794" t="str">
        <v>Công an xã Phìn Hồ tỉnh Điện Biên</v>
      </c>
      <c r="C26794" t="str">
        <v>-</v>
      </c>
      <c r="D26794" t="str">
        <v>-</v>
      </c>
      <c r="E26794" t="str">
        <v/>
      </c>
      <c r="F26794" t="str">
        <v>-</v>
      </c>
      <c r="G26794" t="str">
        <v>-</v>
      </c>
    </row>
    <row r="26795">
      <c r="B26795" t="str">
        <v>UBND Ủy ban nhân dân xã Phìn Hồ tỉnh Điện Biên</v>
      </c>
      <c r="C26795" t="str">
        <v>-</v>
      </c>
      <c r="D26795" t="str">
        <v>-</v>
      </c>
      <c r="E26795" t="str">
        <v>-</v>
      </c>
      <c r="F26795" t="str">
        <v>-</v>
      </c>
      <c r="G26795" t="str">
        <v>-</v>
      </c>
    </row>
    <row r="26796">
      <c r="B26796" t="str">
        <v>Công an xã Phình Hồ tỉnh Yên Bái</v>
      </c>
      <c r="C26796" t="str">
        <v>-</v>
      </c>
      <c r="D26796" t="str">
        <v>-</v>
      </c>
      <c r="E26796" t="str">
        <v/>
      </c>
      <c r="F26796" t="str">
        <v>-</v>
      </c>
      <c r="G26796" t="str">
        <v>-</v>
      </c>
    </row>
    <row r="26797">
      <c r="B26797" t="str">
        <v>UBND Ủy ban nhân dân xã Phình Hồ tỉnh Yên Bái</v>
      </c>
      <c r="C26797" t="str">
        <v>-</v>
      </c>
      <c r="D26797" t="str">
        <v>-</v>
      </c>
      <c r="E26797" t="str">
        <v>-</v>
      </c>
      <c r="F26797" t="str">
        <v>-</v>
      </c>
      <c r="G26797" t="str">
        <v>-</v>
      </c>
    </row>
    <row r="26798" xml:space="preserve">
      <c r="B26798" t="str" xml:space="preserve">
        <v xml:space="preserve">Công an xã Phù Hoá _x000d_
 tỉnh Quảng Bình</v>
      </c>
      <c r="C26798" t="str">
        <v>-</v>
      </c>
      <c r="D26798" t="str">
        <v>-</v>
      </c>
      <c r="E26798" t="str">
        <v/>
      </c>
      <c r="F26798" t="str">
        <v>-</v>
      </c>
      <c r="G26798" t="str">
        <v>-</v>
      </c>
    </row>
    <row r="26799" xml:space="preserve">
      <c r="B26799" t="str" xml:space="preserve">
        <v xml:space="preserve">UBND Ủy ban nhân dân xã Phù Hoá _x000d_
 tỉnh Quảng Bình</v>
      </c>
      <c r="C26799" t="str">
        <v>-</v>
      </c>
      <c r="D26799" t="str">
        <v>-</v>
      </c>
      <c r="E26799" t="str">
        <v>-</v>
      </c>
      <c r="F26799" t="str">
        <v>-</v>
      </c>
      <c r="G26799" t="str">
        <v>-</v>
      </c>
    </row>
    <row r="26800" xml:space="preserve">
      <c r="B26800" t="str" xml:space="preserve">
        <v xml:space="preserve">Công an xã Phù Linh _x000d_
 thành phố Hà Nội</v>
      </c>
      <c r="C26800" t="str">
        <v>-</v>
      </c>
      <c r="D26800" t="str">
        <v>-</v>
      </c>
      <c r="E26800" t="str">
        <v/>
      </c>
      <c r="F26800" t="str">
        <v>-</v>
      </c>
      <c r="G26800" t="str">
        <v>-</v>
      </c>
    </row>
    <row r="26801" xml:space="preserve">
      <c r="B26801" t="str" xml:space="preserve">
        <v xml:space="preserve">UBND Ủy ban nhân dân xã Phù Linh _x000d_
 thành phố Hà Nội</v>
      </c>
      <c r="C26801" t="str">
        <v>-</v>
      </c>
      <c r="D26801" t="str">
        <v>-</v>
      </c>
      <c r="E26801" t="str">
        <v>-</v>
      </c>
      <c r="F26801" t="str">
        <v>-</v>
      </c>
      <c r="G26801" t="str">
        <v>-</v>
      </c>
    </row>
    <row r="26802">
      <c r="B26802" t="str">
        <v>Công an xã Phùng Hưng tỉnh Hưng Yên</v>
      </c>
      <c r="C26802" t="str">
        <v>-</v>
      </c>
      <c r="D26802" t="str">
        <v>-</v>
      </c>
      <c r="E26802" t="str">
        <v/>
      </c>
      <c r="F26802" t="str">
        <v>-</v>
      </c>
      <c r="G26802" t="str">
        <v>-</v>
      </c>
    </row>
    <row r="26803">
      <c r="B26803" t="str">
        <v>UBND Ủy ban nhân dân xã Phùng Hưng tỉnh Hưng Yên</v>
      </c>
      <c r="C26803" t="str">
        <v>-</v>
      </c>
      <c r="D26803" t="str">
        <v>-</v>
      </c>
      <c r="E26803" t="str">
        <v>-</v>
      </c>
      <c r="F26803" t="str">
        <v>-</v>
      </c>
      <c r="G26803" t="str">
        <v>-</v>
      </c>
    </row>
    <row r="26804">
      <c r="B26804" t="str">
        <v>Công an xã Phùng Minh tỉnh Thanh Hóa</v>
      </c>
      <c r="C26804" t="str">
        <v>-</v>
      </c>
      <c r="D26804" t="str">
        <v>-</v>
      </c>
      <c r="E26804" t="str">
        <v/>
      </c>
      <c r="F26804" t="str">
        <v>-</v>
      </c>
      <c r="G26804" t="str">
        <v>-</v>
      </c>
    </row>
    <row r="26805">
      <c r="B26805" t="str">
        <v>UBND Ủy ban nhân dân xã Phùng Minh tỉnh Thanh Hóa</v>
      </c>
      <c r="C26805" t="str">
        <v>-</v>
      </c>
      <c r="D26805" t="str">
        <v>-</v>
      </c>
      <c r="E26805" t="str">
        <v>-</v>
      </c>
      <c r="F26805" t="str">
        <v>-</v>
      </c>
      <c r="G26805" t="str">
        <v>-</v>
      </c>
    </row>
    <row r="26806" xml:space="preserve">
      <c r="B26806" t="str" xml:space="preserve">
        <v xml:space="preserve">Công an xã Phùng Nguyên _x000d_
 tỉnh Phú Thọ</v>
      </c>
      <c r="C26806" t="str">
        <v>-</v>
      </c>
      <c r="D26806" t="str">
        <v>-</v>
      </c>
      <c r="E26806" t="str">
        <v/>
      </c>
      <c r="F26806" t="str">
        <v>-</v>
      </c>
      <c r="G26806" t="str">
        <v>-</v>
      </c>
    </row>
    <row r="26807" xml:space="preserve">
      <c r="B26807" t="str" xml:space="preserve">
        <v xml:space="preserve">UBND Ủy ban nhân dân xã Phùng Nguyên _x000d_
 tỉnh Phú Thọ</v>
      </c>
      <c r="C26807" t="str">
        <v>-</v>
      </c>
      <c r="D26807" t="str">
        <v>-</v>
      </c>
      <c r="E26807" t="str">
        <v>-</v>
      </c>
      <c r="F26807" t="str">
        <v>-</v>
      </c>
      <c r="G26807" t="str">
        <v>-</v>
      </c>
    </row>
    <row r="26808">
      <c r="B26808" t="str">
        <v>Công an xã Phù Vân tỉnh Hà Nam</v>
      </c>
      <c r="C26808" t="str">
        <v>-</v>
      </c>
      <c r="D26808" t="str">
        <v>-</v>
      </c>
      <c r="E26808" t="str">
        <v/>
      </c>
      <c r="F26808" t="str">
        <v>-</v>
      </c>
      <c r="G26808" t="str">
        <v>-</v>
      </c>
    </row>
    <row r="26809">
      <c r="B26809" t="str">
        <v>UBND Ủy ban nhân dân xã Phù Vân tỉnh Hà Nam</v>
      </c>
      <c r="C26809" t="str">
        <v>-</v>
      </c>
      <c r="D26809" t="str">
        <v>-</v>
      </c>
      <c r="E26809" t="str">
        <v>-</v>
      </c>
      <c r="F26809" t="str">
        <v>-</v>
      </c>
      <c r="G26809" t="str">
        <v>-</v>
      </c>
    </row>
    <row r="26810" xml:space="preserve">
      <c r="B26810" t="str" xml:space="preserve">
        <v xml:space="preserve">Công an xã Phú Định _x000d_
 tỉnh Quảng Bình</v>
      </c>
      <c r="C26810" t="str">
        <v>-</v>
      </c>
      <c r="D26810" t="str">
        <v>-</v>
      </c>
      <c r="E26810" t="str">
        <v/>
      </c>
      <c r="F26810" t="str">
        <v>-</v>
      </c>
      <c r="G26810" t="str">
        <v>-</v>
      </c>
    </row>
    <row r="26811" xml:space="preserve">
      <c r="B26811" t="str" xml:space="preserve">
        <v xml:space="preserve">UBND Ủy ban nhân dân xã Phú Định _x000d_
 tỉnh Quảng Bình</v>
      </c>
      <c r="C26811" t="str">
        <v>-</v>
      </c>
      <c r="D26811" t="str">
        <v>-</v>
      </c>
      <c r="E26811" t="str">
        <v>-</v>
      </c>
      <c r="F26811" t="str">
        <v>-</v>
      </c>
      <c r="G26811" t="str">
        <v>-</v>
      </c>
    </row>
    <row r="26812" xml:space="preserve">
      <c r="B26812" t="str" xml:space="preserve">
        <v xml:space="preserve">Công an xã Phú An Hòa _x000d_
 tỉnh Bến Tre</v>
      </c>
      <c r="C26812" t="str">
        <v>-</v>
      </c>
      <c r="D26812" t="str">
        <v>-</v>
      </c>
      <c r="E26812" t="str">
        <v/>
      </c>
      <c r="F26812" t="str">
        <v>-</v>
      </c>
      <c r="G26812" t="str">
        <v>-</v>
      </c>
    </row>
    <row r="26813" xml:space="preserve">
      <c r="B26813" t="str" xml:space="preserve">
        <v xml:space="preserve">UBND Ủy ban nhân dân xã Phú An Hòa _x000d_
 tỉnh Bến Tre</v>
      </c>
      <c r="C26813" t="str">
        <v>-</v>
      </c>
      <c r="D26813" t="str">
        <v>-</v>
      </c>
      <c r="E26813" t="str">
        <v>-</v>
      </c>
      <c r="F26813" t="str">
        <v>-</v>
      </c>
      <c r="G26813" t="str">
        <v>-</v>
      </c>
    </row>
    <row r="26814">
      <c r="B26814" t="str">
        <v>Công an xã Phú Cường thành phố Hà Nội</v>
      </c>
      <c r="C26814" t="str">
        <v>-</v>
      </c>
      <c r="D26814" t="str">
        <v>-</v>
      </c>
      <c r="E26814" t="str">
        <v/>
      </c>
      <c r="F26814" t="str">
        <v>-</v>
      </c>
      <c r="G26814" t="str">
        <v>-</v>
      </c>
    </row>
    <row r="26815">
      <c r="B26815" t="str">
        <v>UBND Ủy ban nhân dân xã Phú Cường thành phố Hà Nội</v>
      </c>
      <c r="C26815" t="str">
        <v>-</v>
      </c>
      <c r="D26815" t="str">
        <v>-</v>
      </c>
      <c r="E26815" t="str">
        <v>-</v>
      </c>
      <c r="F26815" t="str">
        <v>-</v>
      </c>
      <c r="G26815" t="str">
        <v>-</v>
      </c>
    </row>
    <row r="26816" xml:space="preserve">
      <c r="B26816" t="str" xml:space="preserve">
        <v xml:space="preserve">Công an xã Phúc Khánh _x000d_
 tỉnh Phú Thọ</v>
      </c>
      <c r="C26816" t="str">
        <v>-</v>
      </c>
      <c r="D26816" t="str">
        <v>-</v>
      </c>
      <c r="E26816" t="str">
        <v/>
      </c>
      <c r="F26816" t="str">
        <v>-</v>
      </c>
      <c r="G26816" t="str">
        <v>-</v>
      </c>
    </row>
    <row r="26817" xml:space="preserve">
      <c r="B26817" t="str" xml:space="preserve">
        <v xml:space="preserve">UBND Ủy ban nhân dân xã Phúc Khánh _x000d_
 tỉnh Phú Thọ</v>
      </c>
      <c r="C26817" t="str">
        <v>-</v>
      </c>
      <c r="D26817" t="str">
        <v>-</v>
      </c>
      <c r="E26817" t="str">
        <v>-</v>
      </c>
      <c r="F26817" t="str">
        <v>-</v>
      </c>
      <c r="G26817" t="str">
        <v>-</v>
      </c>
    </row>
    <row r="26818">
      <c r="B26818" t="str">
        <v>Công an xã Phúc Lương tỉnh Thái Nguyên</v>
      </c>
      <c r="C26818" t="str">
        <v>-</v>
      </c>
      <c r="D26818" t="str">
        <v>-</v>
      </c>
      <c r="E26818" t="str">
        <v/>
      </c>
      <c r="F26818" t="str">
        <v>-</v>
      </c>
      <c r="G26818" t="str">
        <v>-</v>
      </c>
    </row>
    <row r="26819">
      <c r="B26819" t="str">
        <v>UBND Ủy ban nhân dân xã Phúc Lương tỉnh Thái Nguyên</v>
      </c>
      <c r="C26819" t="str">
        <v>-</v>
      </c>
      <c r="D26819" t="str">
        <v>-</v>
      </c>
      <c r="E26819" t="str">
        <v>-</v>
      </c>
      <c r="F26819" t="str">
        <v>-</v>
      </c>
      <c r="G26819" t="str">
        <v>-</v>
      </c>
    </row>
    <row r="26820">
      <c r="B26820" t="str">
        <v>Công an xã Phúc Lợi tỉnh Yên Bái</v>
      </c>
      <c r="C26820" t="str">
        <v>-</v>
      </c>
      <c r="D26820" t="str">
        <v>-</v>
      </c>
      <c r="E26820" t="str">
        <v/>
      </c>
      <c r="F26820" t="str">
        <v>-</v>
      </c>
      <c r="G26820" t="str">
        <v>-</v>
      </c>
    </row>
    <row r="26821">
      <c r="B26821" t="str">
        <v>UBND Ủy ban nhân dân xã Phúc Lợi tỉnh Yên Bái</v>
      </c>
      <c r="C26821" t="str">
        <v>-</v>
      </c>
      <c r="D26821" t="str">
        <v>-</v>
      </c>
      <c r="E26821" t="str">
        <v>-</v>
      </c>
      <c r="F26821" t="str">
        <v>-</v>
      </c>
      <c r="G26821" t="str">
        <v>-</v>
      </c>
    </row>
    <row r="26822">
      <c r="B26822" t="str">
        <v>Công an xã Phúc Ninh tỉnh Tuyên Quang</v>
      </c>
      <c r="C26822" t="str">
        <v>-</v>
      </c>
      <c r="D26822" t="str">
        <v>-</v>
      </c>
      <c r="E26822" t="str">
        <v/>
      </c>
      <c r="F26822" t="str">
        <v>-</v>
      </c>
      <c r="G26822" t="str">
        <v>-</v>
      </c>
    </row>
    <row r="26823">
      <c r="B26823" t="str">
        <v>UBND Ủy ban nhân dân xã Phúc Ninh tỉnh Tuyên Quang</v>
      </c>
      <c r="C26823" t="str">
        <v>-</v>
      </c>
      <c r="D26823" t="str">
        <v>-</v>
      </c>
      <c r="E26823" t="str">
        <v>-</v>
      </c>
      <c r="F26823" t="str">
        <v>-</v>
      </c>
      <c r="G26823" t="str">
        <v>-</v>
      </c>
    </row>
    <row r="26824">
      <c r="B26824" t="str">
        <v>Công an xã Phúc Sơn tỉnh Nghệ An</v>
      </c>
      <c r="C26824" t="str">
        <v>-</v>
      </c>
      <c r="D26824" t="str">
        <v>-</v>
      </c>
      <c r="E26824" t="str">
        <v/>
      </c>
      <c r="F26824" t="str">
        <v>-</v>
      </c>
      <c r="G26824" t="str">
        <v>-</v>
      </c>
    </row>
    <row r="26825">
      <c r="B26825" t="str">
        <v>UBND Ủy ban nhân dân xã Phúc Sơn tỉnh Nghệ An</v>
      </c>
      <c r="C26825" t="str">
        <v>-</v>
      </c>
      <c r="D26825" t="str">
        <v>-</v>
      </c>
      <c r="E26825" t="str">
        <v>-</v>
      </c>
      <c r="F26825" t="str">
        <v>-</v>
      </c>
      <c r="G26825" t="str">
        <v>-</v>
      </c>
    </row>
    <row r="26826">
      <c r="B26826" t="str">
        <v>Công an xã Phúc Than tỉnh Lai Châu</v>
      </c>
      <c r="C26826" t="str">
        <v>-</v>
      </c>
      <c r="D26826" t="str">
        <v>-</v>
      </c>
      <c r="E26826" t="str">
        <v/>
      </c>
      <c r="F26826" t="str">
        <v>-</v>
      </c>
      <c r="G26826" t="str">
        <v>-</v>
      </c>
    </row>
    <row r="26827">
      <c r="B26827" t="str">
        <v>UBND Ủy ban nhân dân xã Phúc Than tỉnh Lai Châu</v>
      </c>
      <c r="C26827" t="str">
        <v>-</v>
      </c>
      <c r="D26827" t="str">
        <v>-</v>
      </c>
      <c r="E26827" t="str">
        <v>-</v>
      </c>
      <c r="F26827" t="str">
        <v>-</v>
      </c>
      <c r="G26827" t="str">
        <v>-</v>
      </c>
    </row>
    <row r="26828">
      <c r="B26828" t="str">
        <v>Công an xã Phúc Xuân tỉnh Thái Nguyên</v>
      </c>
      <c r="C26828" t="str">
        <v>-</v>
      </c>
      <c r="D26828" t="str">
        <v>-</v>
      </c>
      <c r="E26828" t="str">
        <v/>
      </c>
      <c r="F26828" t="str">
        <v>-</v>
      </c>
      <c r="G26828" t="str">
        <v>-</v>
      </c>
    </row>
    <row r="26829">
      <c r="B26829" t="str">
        <v>UBND Ủy ban nhân dân xã Phúc Xuân tỉnh Thái Nguyên</v>
      </c>
      <c r="C26829" t="str">
        <v>-</v>
      </c>
      <c r="D26829" t="str">
        <v>-</v>
      </c>
      <c r="E26829" t="str">
        <v>-</v>
      </c>
      <c r="F26829" t="str">
        <v>-</v>
      </c>
      <c r="G26829" t="str">
        <v>-</v>
      </c>
    </row>
    <row r="26830" xml:space="preserve">
      <c r="B26830" t="str" xml:space="preserve">
        <v xml:space="preserve">Công an xã Phú Hữu _x000d_
 tỉnh Đồng Nai</v>
      </c>
      <c r="C26830" t="str">
        <v>-</v>
      </c>
      <c r="D26830" t="str">
        <v>-</v>
      </c>
      <c r="E26830" t="str">
        <v/>
      </c>
      <c r="F26830" t="str">
        <v>-</v>
      </c>
      <c r="G26830" t="str">
        <v>-</v>
      </c>
    </row>
    <row r="26831" xml:space="preserve">
      <c r="B26831" t="str" xml:space="preserve">
        <v xml:space="preserve">UBND Ủy ban nhân dân xã Phú Hữu _x000d_
 tỉnh Đồng Nai</v>
      </c>
      <c r="C26831" t="str">
        <v>-</v>
      </c>
      <c r="D26831" t="str">
        <v>-</v>
      </c>
      <c r="E26831" t="str">
        <v>-</v>
      </c>
      <c r="F26831" t="str">
        <v>-</v>
      </c>
      <c r="G26831" t="str">
        <v>-</v>
      </c>
    </row>
    <row r="26832">
      <c r="B26832" t="str">
        <v>Công an xã Phú Hoà tỉnh Bắc Ninh</v>
      </c>
      <c r="C26832" t="str">
        <v>-</v>
      </c>
      <c r="D26832" t="str">
        <v>-</v>
      </c>
      <c r="E26832" t="str">
        <v/>
      </c>
      <c r="F26832" t="str">
        <v>-</v>
      </c>
      <c r="G26832" t="str">
        <v>-</v>
      </c>
    </row>
    <row r="26833">
      <c r="B26833" t="str">
        <v>UBND Ủy ban nhân dân xã Phú Hoà tỉnh Bắc Ninh</v>
      </c>
      <c r="C26833" t="str">
        <v>-</v>
      </c>
      <c r="D26833" t="str">
        <v>-</v>
      </c>
      <c r="E26833" t="str">
        <v>-</v>
      </c>
      <c r="F26833" t="str">
        <v>-</v>
      </c>
      <c r="G26833" t="str">
        <v>-</v>
      </c>
    </row>
    <row r="26834" xml:space="preserve">
      <c r="B26834" t="str" xml:space="preserve">
        <v xml:space="preserve">Công an xã Phú Lâm _x000d_
 tỉnh Phú Thọ</v>
      </c>
      <c r="C26834" t="str">
        <v>-</v>
      </c>
      <c r="D26834" t="str">
        <v>-</v>
      </c>
      <c r="E26834" t="str">
        <v/>
      </c>
      <c r="F26834" t="str">
        <v>-</v>
      </c>
      <c r="G26834" t="str">
        <v>-</v>
      </c>
    </row>
    <row r="26835" xml:space="preserve">
      <c r="B26835" t="str" xml:space="preserve">
        <v xml:space="preserve">UBND Ủy ban nhân dân xã Phú Lâm _x000d_
 tỉnh Phú Thọ</v>
      </c>
      <c r="C26835" t="str">
        <v>-</v>
      </c>
      <c r="D26835" t="str">
        <v>-</v>
      </c>
      <c r="E26835" t="str">
        <v>-</v>
      </c>
      <c r="F26835" t="str">
        <v>-</v>
      </c>
      <c r="G26835" t="str">
        <v>-</v>
      </c>
    </row>
    <row r="26836" xml:space="preserve">
      <c r="B26836" t="str" xml:space="preserve">
        <v xml:space="preserve">Công an xã Phú Lâm _x000d_
 tỉnh Thanh Hóa</v>
      </c>
      <c r="C26836" t="str">
        <v>-</v>
      </c>
      <c r="D26836" t="str">
        <v>-</v>
      </c>
      <c r="E26836" t="str">
        <v/>
      </c>
      <c r="F26836" t="str">
        <v>-</v>
      </c>
      <c r="G26836" t="str">
        <v>-</v>
      </c>
    </row>
    <row r="26837" xml:space="preserve">
      <c r="B26837" t="str" xml:space="preserve">
        <v xml:space="preserve">UBND Ủy ban nhân dân xã Phú Lâm _x000d_
 tỉnh Thanh Hóa</v>
      </c>
      <c r="C26837" t="str">
        <v>-</v>
      </c>
      <c r="D26837" t="str">
        <v>-</v>
      </c>
      <c r="E26837" t="str">
        <v>-</v>
      </c>
      <c r="F26837" t="str">
        <v>-</v>
      </c>
      <c r="G26837" t="str">
        <v>-</v>
      </c>
    </row>
    <row r="26838" xml:space="preserve">
      <c r="B26838" t="str" xml:space="preserve">
        <v xml:space="preserve">Công an xã Phú Lâm _x000d_
 tỉnh Thanh Hóa</v>
      </c>
      <c r="C26838" t="str">
        <v>-</v>
      </c>
      <c r="D26838" t="str">
        <v>-</v>
      </c>
      <c r="E26838" t="str">
        <v/>
      </c>
      <c r="F26838" t="str">
        <v>-</v>
      </c>
      <c r="G26838" t="str">
        <v>-</v>
      </c>
    </row>
    <row r="26839" xml:space="preserve">
      <c r="B26839" t="str" xml:space="preserve">
        <v xml:space="preserve">UBND Ủy ban nhân dân xã Phú Lâm _x000d_
 tỉnh Thanh Hóa</v>
      </c>
      <c r="C26839" t="str">
        <v>-</v>
      </c>
      <c r="D26839" t="str">
        <v>-</v>
      </c>
      <c r="E26839" t="str">
        <v>-</v>
      </c>
      <c r="F26839" t="str">
        <v>-</v>
      </c>
      <c r="G26839" t="str">
        <v>-</v>
      </c>
    </row>
    <row r="26840" xml:space="preserve">
      <c r="B26840" t="str" xml:space="preserve">
        <v xml:space="preserve">Công an xã Phú Lâm _x000d_
 tỉnh Thanh Hóa</v>
      </c>
      <c r="C26840" t="str">
        <v>-</v>
      </c>
      <c r="D26840" t="str">
        <v>-</v>
      </c>
      <c r="E26840" t="str">
        <v/>
      </c>
      <c r="F26840" t="str">
        <v>-</v>
      </c>
      <c r="G26840" t="str">
        <v>-</v>
      </c>
    </row>
    <row r="26841" xml:space="preserve">
      <c r="B26841" t="str" xml:space="preserve">
        <v xml:space="preserve">UBND Ủy ban nhân dân xã Phú Lâm _x000d_
 tỉnh Thanh Hóa</v>
      </c>
      <c r="C26841" t="str">
        <v>-</v>
      </c>
      <c r="D26841" t="str">
        <v>-</v>
      </c>
      <c r="E26841" t="str">
        <v>-</v>
      </c>
      <c r="F26841" t="str">
        <v>-</v>
      </c>
      <c r="G26841" t="str">
        <v>-</v>
      </c>
    </row>
    <row r="26842" xml:space="preserve">
      <c r="B26842" t="str" xml:space="preserve">
        <v xml:space="preserve">Công an xã Phú Lâm _x000d_
 tỉnh Thanh Hóa</v>
      </c>
      <c r="C26842" t="str">
        <v>-</v>
      </c>
      <c r="D26842" t="str">
        <v>-</v>
      </c>
      <c r="E26842" t="str">
        <v/>
      </c>
      <c r="F26842" t="str">
        <v>-</v>
      </c>
      <c r="G26842" t="str">
        <v>-</v>
      </c>
    </row>
    <row r="26843" xml:space="preserve">
      <c r="B26843" t="str" xml:space="preserve">
        <v xml:space="preserve">UBND Ủy ban nhân dân xã Phú Lâm _x000d_
 tỉnh Thanh Hóa</v>
      </c>
      <c r="C26843" t="str">
        <v>-</v>
      </c>
      <c r="D26843" t="str">
        <v>-</v>
      </c>
      <c r="E26843" t="str">
        <v>-</v>
      </c>
      <c r="F26843" t="str">
        <v>-</v>
      </c>
      <c r="G26843" t="str">
        <v>-</v>
      </c>
    </row>
    <row r="26844" xml:space="preserve">
      <c r="B26844" t="str" xml:space="preserve">
        <v xml:space="preserve">Công an xã Phú Lộc _x000d_
 tỉnh Hà Tĩnh</v>
      </c>
      <c r="C26844" t="str">
        <v>-</v>
      </c>
      <c r="D26844" t="str">
        <v>-</v>
      </c>
      <c r="E26844" t="str">
        <v/>
      </c>
      <c r="F26844" t="str">
        <v>-</v>
      </c>
      <c r="G26844" t="str">
        <v>-</v>
      </c>
    </row>
    <row r="26845" xml:space="preserve">
      <c r="B26845" t="str" xml:space="preserve">
        <v xml:space="preserve">UBND Ủy ban nhân dân xã Phú Lộc _x000d_
 tỉnh Hà Tĩnh</v>
      </c>
      <c r="C26845" t="str">
        <v>-</v>
      </c>
      <c r="D26845" t="str">
        <v>-</v>
      </c>
      <c r="E26845" t="str">
        <v>-</v>
      </c>
      <c r="F26845" t="str">
        <v>-</v>
      </c>
      <c r="G26845" t="str">
        <v>-</v>
      </c>
    </row>
    <row r="26846">
      <c r="B26846" t="str">
        <v>Công an xã Phú Lộc  tỉnh Thanh Hóa</v>
      </c>
      <c r="C26846" t="str">
        <v>-</v>
      </c>
      <c r="D26846" t="str">
        <v>-</v>
      </c>
      <c r="E26846" t="str">
        <v/>
      </c>
      <c r="F26846" t="str">
        <v>-</v>
      </c>
      <c r="G26846" t="str">
        <v>-</v>
      </c>
    </row>
    <row r="26847">
      <c r="B26847" t="str">
        <v>UBND Ủy ban nhân dân xã Phú Lộc  tỉnh Thanh Hóa</v>
      </c>
      <c r="C26847" t="str">
        <v>-</v>
      </c>
      <c r="D26847" t="str">
        <v>-</v>
      </c>
      <c r="E26847" t="str">
        <v>-</v>
      </c>
      <c r="F26847" t="str">
        <v>-</v>
      </c>
      <c r="G26847" t="str">
        <v>-</v>
      </c>
    </row>
    <row r="26848" xml:space="preserve">
      <c r="B26848" t="str" xml:space="preserve">
        <v xml:space="preserve">Công an xã Phú Long _x000d_
 tỉnh Bến Tre</v>
      </c>
      <c r="C26848" t="str">
        <v>-</v>
      </c>
      <c r="D26848" t="str">
        <v>-</v>
      </c>
      <c r="E26848" t="str">
        <v/>
      </c>
      <c r="F26848" t="str">
        <v>-</v>
      </c>
      <c r="G26848" t="str">
        <v>-</v>
      </c>
    </row>
    <row r="26849" xml:space="preserve">
      <c r="B26849" t="str" xml:space="preserve">
        <v xml:space="preserve">UBND Ủy ban nhân dân xã Phú Long _x000d_
 tỉnh Bến Tre</v>
      </c>
      <c r="C26849" t="str">
        <v>-</v>
      </c>
      <c r="D26849" t="str">
        <v>-</v>
      </c>
      <c r="E26849" t="str">
        <v>-</v>
      </c>
      <c r="F26849" t="str">
        <v>-</v>
      </c>
      <c r="G26849" t="str">
        <v>-</v>
      </c>
    </row>
    <row r="26850" xml:space="preserve">
      <c r="B26850" t="str" xml:space="preserve">
        <v xml:space="preserve">Công an xã Phú Long _x000d_
 tỉnh Bến Tre</v>
      </c>
      <c r="C26850" t="str">
        <v>-</v>
      </c>
      <c r="D26850" t="str">
        <v>-</v>
      </c>
      <c r="E26850" t="str">
        <v/>
      </c>
      <c r="F26850" t="str">
        <v>-</v>
      </c>
      <c r="G26850" t="str">
        <v>-</v>
      </c>
    </row>
    <row r="26851" xml:space="preserve">
      <c r="B26851" t="str" xml:space="preserve">
        <v xml:space="preserve">UBND Ủy ban nhân dân xã Phú Long _x000d_
 tỉnh Bến Tre</v>
      </c>
      <c r="C26851" t="str">
        <v>-</v>
      </c>
      <c r="D26851" t="str">
        <v>-</v>
      </c>
      <c r="E26851" t="str">
        <v>-</v>
      </c>
      <c r="F26851" t="str">
        <v>-</v>
      </c>
      <c r="G26851" t="str">
        <v>-</v>
      </c>
    </row>
    <row r="26852">
      <c r="B26852" t="str">
        <v>Công an xã Phú Mỹ tỉnh TIỀN GIANG</v>
      </c>
      <c r="C26852" t="str">
        <v>-</v>
      </c>
      <c r="D26852" t="str">
        <v>-</v>
      </c>
      <c r="E26852" t="str">
        <v/>
      </c>
      <c r="F26852" t="str">
        <v>-</v>
      </c>
      <c r="G26852" t="str">
        <v>-</v>
      </c>
    </row>
    <row r="26853">
      <c r="B26853" t="str">
        <v>UBND Ủy ban nhân dân xã Phú Mỹ tỉnh TIỀN GIANG</v>
      </c>
      <c r="C26853" t="str">
        <v>-</v>
      </c>
      <c r="D26853" t="str">
        <v>-</v>
      </c>
      <c r="E26853" t="str">
        <v>-</v>
      </c>
      <c r="F26853" t="str">
        <v>-</v>
      </c>
      <c r="G26853" t="str">
        <v>-</v>
      </c>
    </row>
    <row r="26854" xml:space="preserve">
      <c r="B26854" t="str" xml:space="preserve">
        <v xml:space="preserve">Công an xã Phú Nghiêm _x000d_
 tỉnh Thanh Hóa</v>
      </c>
      <c r="C26854" t="str">
        <v>-</v>
      </c>
      <c r="D26854" t="str">
        <v>-</v>
      </c>
      <c r="E26854" t="str">
        <v/>
      </c>
      <c r="F26854" t="str">
        <v>-</v>
      </c>
      <c r="G26854" t="str">
        <v>-</v>
      </c>
    </row>
    <row r="26855" xml:space="preserve">
      <c r="B26855" t="str" xml:space="preserve">
        <v xml:space="preserve">UBND Ủy ban nhân dân xã Phú Nghiêm _x000d_
 tỉnh Thanh Hóa</v>
      </c>
      <c r="C26855" t="str">
        <v>-</v>
      </c>
      <c r="D26855" t="str">
        <v>-</v>
      </c>
      <c r="E26855" t="str">
        <v>-</v>
      </c>
      <c r="F26855" t="str">
        <v>-</v>
      </c>
      <c r="G26855" t="str">
        <v>-</v>
      </c>
    </row>
    <row r="26856">
      <c r="B26856" t="str">
        <v>Công an xã Phú Nhuận  tỉnh Thanh Hóa</v>
      </c>
      <c r="C26856" t="str">
        <v>-</v>
      </c>
      <c r="D26856" t="str">
        <v>-</v>
      </c>
      <c r="E26856" t="str">
        <v/>
      </c>
      <c r="F26856" t="str">
        <v>-</v>
      </c>
      <c r="G26856" t="str">
        <v>-</v>
      </c>
    </row>
    <row r="26857">
      <c r="B26857" t="str">
        <v>UBND Ủy ban nhân dân xã Phú Nhuận  tỉnh Thanh Hóa</v>
      </c>
      <c r="C26857" t="str">
        <v>-</v>
      </c>
      <c r="D26857" t="str">
        <v>-</v>
      </c>
      <c r="E26857" t="str">
        <v>-</v>
      </c>
      <c r="F26857" t="str">
        <v>-</v>
      </c>
      <c r="G26857" t="str">
        <v>-</v>
      </c>
    </row>
    <row r="26858">
      <c r="B26858" t="str">
        <v>Công an xã Phú Phong tỉnh Hà Tĩnh</v>
      </c>
      <c r="C26858" t="str">
        <v>-</v>
      </c>
      <c r="D26858" t="str">
        <v>-</v>
      </c>
      <c r="E26858" t="str">
        <v/>
      </c>
      <c r="F26858" t="str">
        <v>-</v>
      </c>
      <c r="G26858" t="str">
        <v>-</v>
      </c>
    </row>
    <row r="26859">
      <c r="B26859" t="str">
        <v>UBND Ủy ban nhân dân xã Phú Phong tỉnh Hà Tĩnh</v>
      </c>
      <c r="C26859" t="str">
        <v>-</v>
      </c>
      <c r="D26859" t="str">
        <v>-</v>
      </c>
      <c r="E26859" t="str">
        <v>-</v>
      </c>
      <c r="F26859" t="str">
        <v>-</v>
      </c>
      <c r="G26859" t="str">
        <v>-</v>
      </c>
    </row>
    <row r="26860" xml:space="preserve">
      <c r="B26860" t="str" xml:space="preserve">
        <v xml:space="preserve">Công an xã Phú Quới _x000d_
 tỉnh Vĩnh Long</v>
      </c>
      <c r="C26860" t="str">
        <v>-</v>
      </c>
      <c r="D26860" t="str">
        <v>-</v>
      </c>
      <c r="E26860" t="str">
        <v/>
      </c>
      <c r="F26860" t="str">
        <v>-</v>
      </c>
      <c r="G26860" t="str">
        <v>-</v>
      </c>
    </row>
    <row r="26861" xml:space="preserve">
      <c r="B26861" t="str" xml:space="preserve">
        <v xml:space="preserve">UBND Ủy ban nhân dân xã Phú Quới _x000d_
 tỉnh Vĩnh Long</v>
      </c>
      <c r="C26861" t="str">
        <v>-</v>
      </c>
      <c r="D26861" t="str">
        <v>-</v>
      </c>
      <c r="E26861" t="str">
        <v>-</v>
      </c>
      <c r="F26861" t="str">
        <v>-</v>
      </c>
      <c r="G26861" t="str">
        <v>-</v>
      </c>
    </row>
    <row r="26862">
      <c r="B26862" t="str">
        <v>Công an xã Phú Sơn tỉnh Bến Tre</v>
      </c>
      <c r="C26862" t="str">
        <v>-</v>
      </c>
      <c r="D26862" t="str">
        <v>-</v>
      </c>
      <c r="E26862" t="str">
        <v/>
      </c>
      <c r="F26862" t="str">
        <v>-</v>
      </c>
      <c r="G26862" t="str">
        <v>-</v>
      </c>
    </row>
    <row r="26863">
      <c r="B26863" t="str">
        <v>UBND Ủy ban nhân dân xã Phú Sơn tỉnh Bến Tre</v>
      </c>
      <c r="C26863" t="str">
        <v>-</v>
      </c>
      <c r="D26863" t="str">
        <v>-</v>
      </c>
      <c r="E26863" t="str">
        <v>-</v>
      </c>
      <c r="F26863" t="str">
        <v>-</v>
      </c>
      <c r="G26863" t="str">
        <v>-</v>
      </c>
    </row>
    <row r="26864">
      <c r="B26864" t="str">
        <v>Công an xã Phú Sơn tỉnh Thanh Hóa</v>
      </c>
      <c r="C26864" t="str">
        <v>-</v>
      </c>
      <c r="D26864" t="str">
        <v>-</v>
      </c>
      <c r="E26864" t="str">
        <v/>
      </c>
      <c r="F26864" t="str">
        <v>-</v>
      </c>
      <c r="G26864" t="str">
        <v>-</v>
      </c>
    </row>
    <row r="26865">
      <c r="B26865" t="str">
        <v>UBND Ủy ban nhân dân xã Phú Sơn tỉnh Thanh Hóa</v>
      </c>
      <c r="C26865" t="str">
        <v>-</v>
      </c>
      <c r="D26865" t="str">
        <v>-</v>
      </c>
      <c r="E26865" t="str">
        <v>-</v>
      </c>
      <c r="F26865" t="str">
        <v>-</v>
      </c>
      <c r="G26865" t="str">
        <v>-</v>
      </c>
    </row>
    <row r="26866">
      <c r="B26866" t="str">
        <v>Công an xã Phú Sơn tỉnh Nghệ An</v>
      </c>
      <c r="C26866" t="str">
        <v>-</v>
      </c>
      <c r="D26866" t="str">
        <v>-</v>
      </c>
      <c r="E26866" t="str">
        <v/>
      </c>
      <c r="F26866" t="str">
        <v>-</v>
      </c>
      <c r="G26866" t="str">
        <v>-</v>
      </c>
    </row>
    <row r="26867">
      <c r="B26867" t="str">
        <v>UBND Ủy ban nhân dân xã Phú Sơn tỉnh Nghệ An</v>
      </c>
      <c r="C26867" t="str">
        <v>-</v>
      </c>
      <c r="D26867" t="str">
        <v>-</v>
      </c>
      <c r="E26867" t="str">
        <v>-</v>
      </c>
      <c r="F26867" t="str">
        <v>-</v>
      </c>
      <c r="G26867" t="str">
        <v>-</v>
      </c>
    </row>
    <row r="26868" xml:space="preserve">
      <c r="B26868" t="str" xml:space="preserve">
        <v xml:space="preserve">Công an xã Phú Túc _x000d_
 tỉnh Bến Tre</v>
      </c>
      <c r="C26868" t="str">
        <v>-</v>
      </c>
      <c r="D26868" t="str">
        <v>-</v>
      </c>
      <c r="E26868" t="str">
        <v/>
      </c>
      <c r="F26868" t="str">
        <v>-</v>
      </c>
      <c r="G26868" t="str">
        <v>-</v>
      </c>
    </row>
    <row r="26869" xml:space="preserve">
      <c r="B26869" t="str" xml:space="preserve">
        <v xml:space="preserve">UBND Ủy ban nhân dân xã Phú Túc _x000d_
 tỉnh Bến Tre</v>
      </c>
      <c r="C26869" t="str">
        <v>-</v>
      </c>
      <c r="D26869" t="str">
        <v>-</v>
      </c>
      <c r="E26869" t="str">
        <v>-</v>
      </c>
      <c r="F26869" t="str">
        <v>-</v>
      </c>
      <c r="G26869" t="str">
        <v>-</v>
      </c>
    </row>
    <row r="26870" xml:space="preserve">
      <c r="B26870" t="str" xml:space="preserve">
        <v xml:space="preserve">Công an xã Phú Thạnh _x000d_
 tỉnh Bến Tre</v>
      </c>
      <c r="C26870" t="str">
        <v>-</v>
      </c>
      <c r="D26870" t="str">
        <v>-</v>
      </c>
      <c r="E26870" t="str">
        <v/>
      </c>
      <c r="F26870" t="str">
        <v>-</v>
      </c>
      <c r="G26870" t="str">
        <v>-</v>
      </c>
    </row>
    <row r="26871" xml:space="preserve">
      <c r="B26871" t="str" xml:space="preserve">
        <v xml:space="preserve">UBND Ủy ban nhân dân xã Phú Thạnh _x000d_
 tỉnh Bến Tre</v>
      </c>
      <c r="C26871" t="str">
        <v>-</v>
      </c>
      <c r="D26871" t="str">
        <v>-</v>
      </c>
      <c r="E26871" t="str">
        <v>-</v>
      </c>
      <c r="F26871" t="str">
        <v>-</v>
      </c>
      <c r="G26871" t="str">
        <v>-</v>
      </c>
    </row>
    <row r="26872" xml:space="preserve">
      <c r="B26872" t="str" xml:space="preserve">
        <v xml:space="preserve">Công an xã Phú Thịnh _x000d_
 tỉnh Vĩnh Long</v>
      </c>
      <c r="C26872" t="str">
        <v>-</v>
      </c>
      <c r="D26872" t="str">
        <v>-</v>
      </c>
      <c r="E26872" t="str">
        <v/>
      </c>
      <c r="F26872" t="str">
        <v>-</v>
      </c>
      <c r="G26872" t="str">
        <v>-</v>
      </c>
    </row>
    <row r="26873" xml:space="preserve">
      <c r="B26873" t="str" xml:space="preserve">
        <v xml:space="preserve">UBND Ủy ban nhân dân xã Phú Thịnh _x000d_
 tỉnh Vĩnh Long</v>
      </c>
      <c r="C26873" t="str">
        <v>-</v>
      </c>
      <c r="D26873" t="str">
        <v>-</v>
      </c>
      <c r="E26873" t="str">
        <v>-</v>
      </c>
      <c r="F26873" t="str">
        <v>-</v>
      </c>
      <c r="G26873" t="str">
        <v>-</v>
      </c>
    </row>
    <row r="26874">
      <c r="B26874" t="str">
        <v>Công an xã Phú Thịnh tỉnh Tuyên Quang</v>
      </c>
      <c r="C26874" t="str">
        <v>-</v>
      </c>
      <c r="D26874" t="str">
        <v>-</v>
      </c>
      <c r="E26874" t="str">
        <v/>
      </c>
      <c r="F26874" t="str">
        <v>-</v>
      </c>
      <c r="G26874" t="str">
        <v>-</v>
      </c>
    </row>
    <row r="26875">
      <c r="B26875" t="str">
        <v>UBND Ủy ban nhân dân xã Phú Thịnh tỉnh Tuyên Quang</v>
      </c>
      <c r="C26875" t="str">
        <v>-</v>
      </c>
      <c r="D26875" t="str">
        <v>-</v>
      </c>
      <c r="E26875" t="str">
        <v>-</v>
      </c>
      <c r="F26875" t="str">
        <v>-</v>
      </c>
      <c r="G26875" t="str">
        <v>-</v>
      </c>
    </row>
    <row r="26876">
      <c r="B26876" t="str">
        <v>Công an xã Phương Công  tỉnh Thái Bình</v>
      </c>
      <c r="C26876" t="str">
        <v>-</v>
      </c>
      <c r="D26876" t="str">
        <v>-</v>
      </c>
      <c r="E26876" t="str">
        <v/>
      </c>
      <c r="F26876" t="str">
        <v>-</v>
      </c>
      <c r="G26876" t="str">
        <v>-</v>
      </c>
    </row>
    <row r="26877">
      <c r="B26877" t="str">
        <v>UBND Ủy ban nhân dân xã Phương Công  tỉnh Thái Bình</v>
      </c>
      <c r="C26877" t="str">
        <v>-</v>
      </c>
      <c r="D26877" t="str">
        <v>-</v>
      </c>
      <c r="E26877" t="str">
        <v>-</v>
      </c>
      <c r="F26877" t="str">
        <v>-</v>
      </c>
      <c r="G26877" t="str">
        <v>-</v>
      </c>
    </row>
    <row r="26878">
      <c r="B26878" t="str">
        <v>Công an xã Phương Giao tỉnh Thái Nguyên</v>
      </c>
      <c r="C26878" t="str">
        <v>-</v>
      </c>
      <c r="D26878" t="str">
        <v>-</v>
      </c>
      <c r="E26878" t="str">
        <v/>
      </c>
      <c r="F26878" t="str">
        <v>-</v>
      </c>
      <c r="G26878" t="str">
        <v>-</v>
      </c>
    </row>
    <row r="26879">
      <c r="B26879" t="str">
        <v>UBND Ủy ban nhân dân xã Phương Giao tỉnh Thái Nguyên</v>
      </c>
      <c r="C26879" t="str">
        <v>-</v>
      </c>
      <c r="D26879" t="str">
        <v>-</v>
      </c>
      <c r="E26879" t="str">
        <v>-</v>
      </c>
      <c r="F26879" t="str">
        <v>-</v>
      </c>
      <c r="G26879" t="str">
        <v>-</v>
      </c>
    </row>
    <row r="26880" xml:space="preserve">
      <c r="B26880" t="str" xml:space="preserve">
        <v xml:space="preserve">Công an phường Phương Liễu _x000d_
 tỉnh Bắc Ninh</v>
      </c>
      <c r="C26880" t="str">
        <v>-</v>
      </c>
      <c r="D26880" t="str">
        <v>-</v>
      </c>
      <c r="E26880" t="str">
        <v/>
      </c>
      <c r="F26880" t="str">
        <v>-</v>
      </c>
      <c r="G26880" t="str">
        <v>-</v>
      </c>
    </row>
    <row r="26881" xml:space="preserve">
      <c r="B26881" t="str" xml:space="preserve">
        <v xml:space="preserve">UBND Ủy ban nhân dân phường Phương Liễu _x000d_
 tỉnh Bắc Ninh</v>
      </c>
      <c r="C26881" t="str">
        <v>-</v>
      </c>
      <c r="D26881" t="str">
        <v>-</v>
      </c>
      <c r="E26881" t="str">
        <v>-</v>
      </c>
      <c r="F26881" t="str">
        <v>-</v>
      </c>
      <c r="G26881" t="str">
        <v>-</v>
      </c>
    </row>
    <row r="26882">
      <c r="B26882" t="str">
        <v>Công an xã Phước Diêm tỉnh Ninh Thuận</v>
      </c>
      <c r="C26882" t="str">
        <v>-</v>
      </c>
      <c r="D26882" t="str">
        <v>-</v>
      </c>
      <c r="E26882" t="str">
        <v/>
      </c>
      <c r="F26882" t="str">
        <v>-</v>
      </c>
      <c r="G26882" t="str">
        <v>-</v>
      </c>
    </row>
    <row r="26883">
      <c r="B26883" t="str">
        <v>UBND Ủy ban nhân dân xã Phước Diêm tỉnh Ninh Thuận</v>
      </c>
      <c r="C26883" t="str">
        <v>-</v>
      </c>
      <c r="D26883" t="str">
        <v>-</v>
      </c>
      <c r="E26883" t="str">
        <v>-</v>
      </c>
      <c r="F26883" t="str">
        <v>-</v>
      </c>
      <c r="G26883" t="str">
        <v>-</v>
      </c>
    </row>
    <row r="26884">
      <c r="B26884" t="str">
        <v>Công an xã Phước Dinh  tỉnh Ninh Thuận</v>
      </c>
      <c r="C26884" t="str">
        <v>-</v>
      </c>
      <c r="D26884" t="str">
        <v>-</v>
      </c>
      <c r="E26884" t="str">
        <v/>
      </c>
      <c r="F26884" t="str">
        <v>-</v>
      </c>
      <c r="G26884" t="str">
        <v>-</v>
      </c>
    </row>
    <row r="26885">
      <c r="B26885" t="str">
        <v>UBND Ủy ban nhân dân xã Phước Dinh  tỉnh Ninh Thuận</v>
      </c>
      <c r="C26885" t="str">
        <v>-</v>
      </c>
      <c r="D26885" t="str">
        <v>-</v>
      </c>
      <c r="E26885" t="str">
        <v>-</v>
      </c>
      <c r="F26885" t="str">
        <v>-</v>
      </c>
      <c r="G26885" t="str">
        <v>-</v>
      </c>
    </row>
    <row r="26886" xml:space="preserve">
      <c r="B26886" t="str" xml:space="preserve">
        <v xml:space="preserve">Công an xã Phước Hưng _x000d_
 tỉnh Bình Định</v>
      </c>
      <c r="C26886" t="str">
        <v>-</v>
      </c>
      <c r="D26886" t="str">
        <v>-</v>
      </c>
      <c r="E26886" t="str">
        <v/>
      </c>
      <c r="F26886" t="str">
        <v>-</v>
      </c>
      <c r="G26886" t="str">
        <v>-</v>
      </c>
    </row>
    <row r="26887" xml:space="preserve">
      <c r="B26887" t="str" xml:space="preserve">
        <v xml:space="preserve">UBND Ủy ban nhân dân xã Phước Hưng _x000d_
 tỉnh Bình Định</v>
      </c>
      <c r="C26887" t="str">
        <v>-</v>
      </c>
      <c r="D26887" t="str">
        <v>-</v>
      </c>
      <c r="E26887" t="str">
        <v>-</v>
      </c>
      <c r="F26887" t="str">
        <v>-</v>
      </c>
      <c r="G26887" t="str">
        <v>-</v>
      </c>
    </row>
    <row r="26888" xml:space="preserve">
      <c r="B26888" t="str" xml:space="preserve">
        <v xml:space="preserve">Công an xã Phước Hưng _x000d_
 tỉnh Bình Định</v>
      </c>
      <c r="C26888" t="str">
        <v>-</v>
      </c>
      <c r="D26888" t="str">
        <v>-</v>
      </c>
      <c r="E26888" t="str">
        <v/>
      </c>
      <c r="F26888" t="str">
        <v>-</v>
      </c>
      <c r="G26888" t="str">
        <v>-</v>
      </c>
    </row>
    <row r="26889" xml:space="preserve">
      <c r="B26889" t="str" xml:space="preserve">
        <v xml:space="preserve">UBND Ủy ban nhân dân xã Phước Hưng _x000d_
 tỉnh Bình Định</v>
      </c>
      <c r="C26889" t="str">
        <v>-</v>
      </c>
      <c r="D26889" t="str">
        <v>-</v>
      </c>
      <c r="E26889" t="str">
        <v>-</v>
      </c>
      <c r="F26889" t="str">
        <v>-</v>
      </c>
      <c r="G26889" t="str">
        <v>-</v>
      </c>
    </row>
    <row r="26890" xml:space="preserve">
      <c r="B26890" t="str" xml:space="preserve">
        <v xml:space="preserve">Công an xã Phước Hảo _x000d_
 tỉnh Trà Vinh</v>
      </c>
      <c r="C26890" t="str">
        <v>-</v>
      </c>
      <c r="D26890" t="str">
        <v>-</v>
      </c>
      <c r="E26890" t="str">
        <v/>
      </c>
      <c r="F26890" t="str">
        <v>-</v>
      </c>
      <c r="G26890" t="str">
        <v>-</v>
      </c>
    </row>
    <row r="26891" xml:space="preserve">
      <c r="B26891" t="str" xml:space="preserve">
        <v xml:space="preserve">UBND Ủy ban nhân dân xã Phước Hảo _x000d_
 tỉnh Trà Vinh</v>
      </c>
      <c r="C26891" t="str">
        <v>-</v>
      </c>
      <c r="D26891" t="str">
        <v>-</v>
      </c>
      <c r="E26891" t="str">
        <v>-</v>
      </c>
      <c r="F26891" t="str">
        <v>-</v>
      </c>
      <c r="G26891" t="str">
        <v>-</v>
      </c>
    </row>
    <row r="26892" xml:space="preserve">
      <c r="B26892" t="str" xml:space="preserve">
        <v xml:space="preserve">Công an xã Phước Hội _x000d_
 tỉnh Bà Rịa - Vũng Tàu</v>
      </c>
      <c r="C26892" t="str">
        <v>-</v>
      </c>
      <c r="D26892" t="str">
        <v>-</v>
      </c>
      <c r="E26892" t="str">
        <v/>
      </c>
      <c r="F26892" t="str">
        <v>-</v>
      </c>
      <c r="G26892" t="str">
        <v>-</v>
      </c>
    </row>
    <row r="26893" xml:space="preserve">
      <c r="B26893" t="str" xml:space="preserve">
        <v xml:space="preserve">UBND Ủy ban nhân dân xã Phước Hội _x000d_
 tỉnh Bà Rịa - Vũng Tàu</v>
      </c>
      <c r="C26893" t="str">
        <v>-</v>
      </c>
      <c r="D26893" t="str">
        <v>-</v>
      </c>
      <c r="E26893" t="str">
        <v>-</v>
      </c>
      <c r="F26893" t="str">
        <v>-</v>
      </c>
      <c r="G26893" t="str">
        <v>-</v>
      </c>
    </row>
    <row r="26894" xml:space="preserve">
      <c r="B26894" t="str" xml:space="preserve">
        <v xml:space="preserve">Công an xã Phước Kháng _x000d_
 tỉnh Ninh Thuận</v>
      </c>
      <c r="C26894" t="str">
        <v>-</v>
      </c>
      <c r="D26894" t="str">
        <v>-</v>
      </c>
      <c r="E26894" t="str">
        <v/>
      </c>
      <c r="F26894" t="str">
        <v>-</v>
      </c>
      <c r="G26894" t="str">
        <v>-</v>
      </c>
    </row>
    <row r="26895" xml:space="preserve">
      <c r="B26895" t="str" xml:space="preserve">
        <v xml:space="preserve">UBND Ủy ban nhân dân xã Phước Kháng _x000d_
 tỉnh Ninh Thuận</v>
      </c>
      <c r="C26895" t="str">
        <v>-</v>
      </c>
      <c r="D26895" t="str">
        <v>-</v>
      </c>
      <c r="E26895" t="str">
        <v>-</v>
      </c>
      <c r="F26895" t="str">
        <v>-</v>
      </c>
      <c r="G26895" t="str">
        <v>-</v>
      </c>
    </row>
    <row r="26896" xml:space="preserve">
      <c r="B26896" t="str" xml:space="preserve">
        <v xml:space="preserve">Công an xã Phước Khánh _x000d_
 tỉnh Đồng Nai</v>
      </c>
      <c r="C26896" t="str">
        <v>-</v>
      </c>
      <c r="D26896" t="str">
        <v>-</v>
      </c>
      <c r="E26896" t="str">
        <v/>
      </c>
      <c r="F26896" t="str">
        <v>-</v>
      </c>
      <c r="G26896" t="str">
        <v>-</v>
      </c>
    </row>
    <row r="26897" xml:space="preserve">
      <c r="B26897" t="str" xml:space="preserve">
        <v xml:space="preserve">UBND Ủy ban nhân dân xã Phước Khánh _x000d_
 tỉnh Đồng Nai</v>
      </c>
      <c r="C26897" t="str">
        <v>-</v>
      </c>
      <c r="D26897" t="str">
        <v>-</v>
      </c>
      <c r="E26897" t="str">
        <v>-</v>
      </c>
      <c r="F26897" t="str">
        <v>-</v>
      </c>
      <c r="G26897" t="str">
        <v>-</v>
      </c>
    </row>
    <row r="26898" xml:space="preserve">
      <c r="B26898" t="str" xml:space="preserve">
        <v xml:space="preserve">Công an xã Phước Long _x000d_
 tỉnh Bạc Liêu</v>
      </c>
      <c r="C26898" t="str">
        <v>-</v>
      </c>
      <c r="D26898" t="str">
        <v>-</v>
      </c>
      <c r="E26898" t="str">
        <v/>
      </c>
      <c r="F26898" t="str">
        <v>-</v>
      </c>
      <c r="G26898" t="str">
        <v>-</v>
      </c>
    </row>
    <row r="26899" xml:space="preserve">
      <c r="B26899" t="str" xml:space="preserve">
        <v xml:space="preserve">UBND Ủy ban nhân dân xã Phước Long _x000d_
 tỉnh Bạc Liêu</v>
      </c>
      <c r="C26899" t="str">
        <v>-</v>
      </c>
      <c r="D26899" t="str">
        <v>-</v>
      </c>
      <c r="E26899" t="str">
        <v>-</v>
      </c>
      <c r="F26899" t="str">
        <v>-</v>
      </c>
      <c r="G26899" t="str">
        <v>-</v>
      </c>
    </row>
    <row r="26900" xml:space="preserve">
      <c r="B26900" t="str" xml:space="preserve">
        <v xml:space="preserve">Công an xã Phước Long _x000d_
 tỉnh Bến Tre</v>
      </c>
      <c r="C26900" t="str">
        <v>-</v>
      </c>
      <c r="D26900" t="str">
        <v>-</v>
      </c>
      <c r="E26900" t="str">
        <v/>
      </c>
      <c r="F26900" t="str">
        <v>-</v>
      </c>
      <c r="G26900" t="str">
        <v>-</v>
      </c>
    </row>
    <row r="26901" xml:space="preserve">
      <c r="B26901" t="str" xml:space="preserve">
        <v xml:space="preserve">UBND Ủy ban nhân dân xã Phước Long _x000d_
 tỉnh Bến Tre</v>
      </c>
      <c r="C26901" t="str">
        <v>-</v>
      </c>
      <c r="D26901" t="str">
        <v>-</v>
      </c>
      <c r="E26901" t="str">
        <v>-</v>
      </c>
      <c r="F26901" t="str">
        <v>-</v>
      </c>
      <c r="G26901" t="str">
        <v>-</v>
      </c>
    </row>
    <row r="26902" xml:space="preserve">
      <c r="B26902" t="str" xml:space="preserve">
        <v xml:space="preserve">Công an xã Phước Minh _x000d_
 tỉnh TÂY NINH</v>
      </c>
      <c r="C26902" t="str">
        <v>-</v>
      </c>
      <c r="D26902" t="str">
        <v>-</v>
      </c>
      <c r="E26902" t="str">
        <v/>
      </c>
      <c r="F26902" t="str">
        <v>-</v>
      </c>
      <c r="G26902" t="str">
        <v>-</v>
      </c>
    </row>
    <row r="26903" xml:space="preserve">
      <c r="B26903" t="str" xml:space="preserve">
        <v xml:space="preserve">UBND Ủy ban nhân dân xã Phước Minh _x000d_
 tỉnh TÂY NINH</v>
      </c>
      <c r="C26903" t="str">
        <v>-</v>
      </c>
      <c r="D26903" t="str">
        <v>-</v>
      </c>
      <c r="E26903" t="str">
        <v>-</v>
      </c>
      <c r="F26903" t="str">
        <v>-</v>
      </c>
      <c r="G26903" t="str">
        <v>-</v>
      </c>
    </row>
    <row r="26904">
      <c r="B26904" t="str">
        <v>Công an xã Phước Nghĩa tỉnh Bình Định</v>
      </c>
      <c r="C26904" t="str">
        <v>-</v>
      </c>
      <c r="D26904" t="str">
        <v>-</v>
      </c>
      <c r="E26904" t="str">
        <v/>
      </c>
      <c r="F26904" t="str">
        <v>-</v>
      </c>
      <c r="G26904" t="str">
        <v>-</v>
      </c>
    </row>
    <row r="26905">
      <c r="B26905" t="str">
        <v>UBND Ủy ban nhân dân xã Phước Nghĩa tỉnh Bình Định</v>
      </c>
      <c r="C26905" t="str">
        <v>-</v>
      </c>
      <c r="D26905" t="str">
        <v>-</v>
      </c>
      <c r="E26905" t="str">
        <v>-</v>
      </c>
      <c r="F26905" t="str">
        <v>-</v>
      </c>
      <c r="G26905" t="str">
        <v>-</v>
      </c>
    </row>
    <row r="26906" xml:space="preserve">
      <c r="B26906" t="str" xml:space="preserve">
        <v xml:space="preserve">Công an xã Phước Ninh _x000d_
 tỉnh TÂY NINH</v>
      </c>
      <c r="C26906" t="str">
        <v>-</v>
      </c>
      <c r="D26906" t="str">
        <v>-</v>
      </c>
      <c r="E26906" t="str">
        <v/>
      </c>
      <c r="F26906" t="str">
        <v>-</v>
      </c>
      <c r="G26906" t="str">
        <v>-</v>
      </c>
    </row>
    <row r="26907" xml:space="preserve">
      <c r="B26907" t="str" xml:space="preserve">
        <v xml:space="preserve">UBND Ủy ban nhân dân xã Phước Ninh _x000d_
 tỉnh TÂY NINH</v>
      </c>
      <c r="C26907" t="str">
        <v>-</v>
      </c>
      <c r="D26907" t="str">
        <v>-</v>
      </c>
      <c r="E26907" t="str">
        <v>-</v>
      </c>
      <c r="F26907" t="str">
        <v>-</v>
      </c>
      <c r="G26907" t="str">
        <v>-</v>
      </c>
    </row>
    <row r="26908">
      <c r="B26908" t="str">
        <v>Công an xã Phước Vinh tỉnh Ninh Thuận</v>
      </c>
      <c r="C26908" t="str">
        <v>-</v>
      </c>
      <c r="D26908" t="str">
        <v>-</v>
      </c>
      <c r="E26908" t="str">
        <v/>
      </c>
      <c r="F26908" t="str">
        <v>-</v>
      </c>
      <c r="G26908" t="str">
        <v>-</v>
      </c>
    </row>
    <row r="26909">
      <c r="B26909" t="str">
        <v>UBND Ủy ban nhân dân xã Phước Vinh tỉnh Ninh Thuận</v>
      </c>
      <c r="C26909" t="str">
        <v>-</v>
      </c>
      <c r="D26909" t="str">
        <v>-</v>
      </c>
      <c r="E26909" t="str">
        <v>-</v>
      </c>
      <c r="F26909" t="str">
        <v>-</v>
      </c>
      <c r="G26909" t="str">
        <v>-</v>
      </c>
    </row>
    <row r="26910" xml:space="preserve">
      <c r="B26910" t="str" xml:space="preserve">
        <v xml:space="preserve">Công an xã Phượng Kỳ _x000d_
 tỉnh Hải Dương</v>
      </c>
      <c r="C26910" t="str">
        <v>-</v>
      </c>
      <c r="D26910" t="str">
        <v>-</v>
      </c>
      <c r="E26910" t="str">
        <v/>
      </c>
      <c r="F26910" t="str">
        <v>-</v>
      </c>
      <c r="G26910" t="str">
        <v>-</v>
      </c>
    </row>
    <row r="26911" xml:space="preserve">
      <c r="B26911" t="str" xml:space="preserve">
        <v xml:space="preserve">UBND Ủy ban nhân dân xã Phượng Kỳ _x000d_
 tỉnh Hải Dương</v>
      </c>
      <c r="C26911" t="str">
        <v>-</v>
      </c>
      <c r="D26911" t="str">
        <v>-</v>
      </c>
      <c r="E26911" t="str">
        <v>-</v>
      </c>
      <c r="F26911" t="str">
        <v>-</v>
      </c>
      <c r="G26911" t="str">
        <v>-</v>
      </c>
    </row>
    <row r="26912">
      <c r="B26912" t="str">
        <v>Công an xã Phượng Tiến tỉnh Thái Nguyên</v>
      </c>
      <c r="C26912" t="str">
        <v>-</v>
      </c>
      <c r="D26912" t="str">
        <v>-</v>
      </c>
      <c r="E26912" t="str">
        <v/>
      </c>
      <c r="F26912" t="str">
        <v>-</v>
      </c>
      <c r="G26912" t="str">
        <v>-</v>
      </c>
    </row>
    <row r="26913">
      <c r="B26913" t="str">
        <v>UBND Ủy ban nhân dân xã Phượng Tiến tỉnh Thái Nguyên</v>
      </c>
      <c r="C26913" t="str">
        <v>-</v>
      </c>
      <c r="D26913" t="str">
        <v>-</v>
      </c>
      <c r="E26913" t="str">
        <v>-</v>
      </c>
      <c r="F26913" t="str">
        <v>-</v>
      </c>
      <c r="G26913" t="str">
        <v>-</v>
      </c>
    </row>
    <row r="26914">
      <c r="B26914" t="str">
        <v>Công an xã Phượng Vĩ tỉnh Phú Thọ</v>
      </c>
      <c r="C26914" t="str">
        <v>-</v>
      </c>
      <c r="D26914" t="str">
        <v>-</v>
      </c>
      <c r="E26914" t="str">
        <v/>
      </c>
      <c r="F26914" t="str">
        <v>-</v>
      </c>
      <c r="G26914" t="str">
        <v>-</v>
      </c>
    </row>
    <row r="26915">
      <c r="B26915" t="str">
        <v>UBND Ủy ban nhân dân xã Phượng Vĩ tỉnh Phú Thọ</v>
      </c>
      <c r="C26915" t="str">
        <v>-</v>
      </c>
      <c r="D26915" t="str">
        <v>-</v>
      </c>
      <c r="E26915" t="str">
        <v>-</v>
      </c>
      <c r="F26915" t="str">
        <v>-</v>
      </c>
      <c r="G26915" t="str">
        <v>-</v>
      </c>
    </row>
    <row r="26916">
      <c r="B26916" t="str">
        <v>Công an xã Phục Linh  tỉnh Thái Nguyên</v>
      </c>
      <c r="C26916" t="str">
        <v>-</v>
      </c>
      <c r="D26916" t="str">
        <v>-</v>
      </c>
      <c r="E26916" t="str">
        <v/>
      </c>
      <c r="F26916" t="str">
        <v>-</v>
      </c>
      <c r="G26916" t="str">
        <v>-</v>
      </c>
    </row>
    <row r="26917">
      <c r="B26917" t="str">
        <v>UBND Ủy ban nhân dân xã Phục Linh  tỉnh Thái Nguyên</v>
      </c>
      <c r="C26917" t="str">
        <v>-</v>
      </c>
      <c r="D26917" t="str">
        <v>-</v>
      </c>
      <c r="E26917" t="str">
        <v>-</v>
      </c>
      <c r="F26917" t="str">
        <v>-</v>
      </c>
      <c r="G26917" t="str">
        <v>-</v>
      </c>
    </row>
    <row r="26918" xml:space="preserve">
      <c r="B26918" t="str" xml:space="preserve">
        <v xml:space="preserve">Công an xã Pha Mu _x000d_
 tỉnh Lai Châu</v>
      </c>
      <c r="C26918" t="str">
        <v>-</v>
      </c>
      <c r="D26918" t="str">
        <v>-</v>
      </c>
      <c r="E26918" t="str">
        <v/>
      </c>
      <c r="F26918" t="str">
        <v>-</v>
      </c>
      <c r="G26918" t="str">
        <v>-</v>
      </c>
    </row>
    <row r="26919" xml:space="preserve">
      <c r="B26919" t="str" xml:space="preserve">
        <v xml:space="preserve">UBND Ủy ban nhân dân xã Pha Mu _x000d_
 tỉnh Lai Châu</v>
      </c>
      <c r="C26919" t="str">
        <v>-</v>
      </c>
      <c r="D26919" t="str">
        <v>-</v>
      </c>
      <c r="E26919" t="str">
        <v>-</v>
      </c>
      <c r="F26919" t="str">
        <v>-</v>
      </c>
      <c r="G26919" t="str">
        <v>-</v>
      </c>
    </row>
    <row r="26920" xml:space="preserve">
      <c r="B26920" t="str" xml:space="preserve">
        <v xml:space="preserve">Công an xã Phan _x000d_
 tỉnh TÂY NINH</v>
      </c>
      <c r="C26920" t="str">
        <v>-</v>
      </c>
      <c r="D26920" t="str">
        <v>-</v>
      </c>
      <c r="E26920" t="str">
        <v/>
      </c>
      <c r="F26920" t="str">
        <v>-</v>
      </c>
      <c r="G26920" t="str">
        <v>-</v>
      </c>
    </row>
    <row r="26921" xml:space="preserve">
      <c r="B26921" t="str" xml:space="preserve">
        <v xml:space="preserve">UBND Ủy ban nhân dân xã Phan _x000d_
 tỉnh TÂY NINH</v>
      </c>
      <c r="C26921" t="str">
        <v>-</v>
      </c>
      <c r="D26921" t="str">
        <v>-</v>
      </c>
      <c r="E26921" t="str">
        <v>-</v>
      </c>
      <c r="F26921" t="str">
        <v>-</v>
      </c>
      <c r="G26921" t="str">
        <v>-</v>
      </c>
    </row>
    <row r="26922" xml:space="preserve">
      <c r="B26922" t="str" xml:space="preserve">
        <v xml:space="preserve">Công an xã Phan Rí Thành _x000d_
 tỉnh Bình Thuận</v>
      </c>
      <c r="C26922" t="str">
        <v>-</v>
      </c>
      <c r="D26922" t="str">
        <v>-</v>
      </c>
      <c r="E26922" t="str">
        <v/>
      </c>
      <c r="F26922" t="str">
        <v>-</v>
      </c>
      <c r="G26922" t="str">
        <v>-</v>
      </c>
    </row>
    <row r="26923" xml:space="preserve">
      <c r="B26923" t="str" xml:space="preserve">
        <v xml:space="preserve">UBND Ủy ban nhân dân xã Phan Rí Thành _x000d_
 tỉnh Bình Thuận</v>
      </c>
      <c r="C26923" t="str">
        <v>-</v>
      </c>
      <c r="D26923" t="str">
        <v>-</v>
      </c>
      <c r="E26923" t="str">
        <v>-</v>
      </c>
      <c r="F26923" t="str">
        <v>-</v>
      </c>
      <c r="G26923" t="str">
        <v>-</v>
      </c>
    </row>
    <row r="26924">
      <c r="B26924" t="str">
        <v>Công an xã Phiêng Ban  tỉnh Hà Tĩnh</v>
      </c>
      <c r="C26924" t="str">
        <v>-</v>
      </c>
      <c r="D26924" t="str">
        <v>-</v>
      </c>
      <c r="E26924" t="str">
        <v/>
      </c>
      <c r="F26924" t="str">
        <v>-</v>
      </c>
      <c r="G26924" t="str">
        <v>-</v>
      </c>
    </row>
    <row r="26925">
      <c r="B26925" t="str">
        <v>UBND Ủy ban nhân dân xã Phiêng Ban  tỉnh Hà Tĩnh</v>
      </c>
      <c r="C26925" t="str">
        <v>-</v>
      </c>
      <c r="D26925" t="str">
        <v>-</v>
      </c>
      <c r="E26925" t="str">
        <v>-</v>
      </c>
      <c r="F26925" t="str">
        <v>-</v>
      </c>
      <c r="G26925" t="str">
        <v>-</v>
      </c>
    </row>
    <row r="26926">
      <c r="B26926" t="str">
        <v>Công an xã Phiêng Cằm tỉnh Sơn La</v>
      </c>
      <c r="C26926" t="str">
        <v>-</v>
      </c>
      <c r="D26926" t="str">
        <v>-</v>
      </c>
      <c r="E26926" t="str">
        <v/>
      </c>
      <c r="F26926" t="str">
        <v>-</v>
      </c>
      <c r="G26926" t="str">
        <v>-</v>
      </c>
    </row>
    <row r="26927">
      <c r="B26927" t="str">
        <v>UBND Ủy ban nhân dân xã Phiêng Cằm tỉnh Sơn La</v>
      </c>
      <c r="C26927" t="str">
        <v>-</v>
      </c>
      <c r="D26927" t="str">
        <v>-</v>
      </c>
      <c r="E26927" t="str">
        <v>-</v>
      </c>
      <c r="F26927" t="str">
        <v>-</v>
      </c>
      <c r="G26927" t="str">
        <v>-</v>
      </c>
    </row>
    <row r="26928">
      <c r="B26928" t="str">
        <v>Công an xã Phiêng Luông tỉnh Sơn La</v>
      </c>
      <c r="C26928" t="str">
        <v>-</v>
      </c>
      <c r="D26928" t="str">
        <v>-</v>
      </c>
      <c r="E26928" t="str">
        <v/>
      </c>
      <c r="F26928" t="str">
        <v>-</v>
      </c>
      <c r="G26928" t="str">
        <v>-</v>
      </c>
    </row>
    <row r="26929">
      <c r="B26929" t="str">
        <v>UBND Ủy ban nhân dân xã Phiêng Luông tỉnh Sơn La</v>
      </c>
      <c r="C26929" t="str">
        <v>-</v>
      </c>
      <c r="D26929" t="str">
        <v>-</v>
      </c>
      <c r="E26929" t="str">
        <v>-</v>
      </c>
      <c r="F26929" t="str">
        <v>-</v>
      </c>
      <c r="G26929" t="str">
        <v>-</v>
      </c>
    </row>
    <row r="26930" xml:space="preserve">
      <c r="B26930" t="str" xml:space="preserve">
        <v xml:space="preserve">Công an xã Phong Dụ_x000d_
 tỉnh Yên Bái</v>
      </c>
      <c r="C26930" t="str">
        <v>-</v>
      </c>
      <c r="D26930" t="str">
        <v>-</v>
      </c>
      <c r="E26930" t="str">
        <v/>
      </c>
      <c r="F26930" t="str">
        <v>-</v>
      </c>
      <c r="G26930" t="str">
        <v>-</v>
      </c>
    </row>
    <row r="26931" xml:space="preserve">
      <c r="B26931" t="str" xml:space="preserve">
        <v xml:space="preserve">UBND Ủy ban nhân dân xã Phong Dụ_x000d_
 tỉnh Yên Bái</v>
      </c>
      <c r="C26931" t="str">
        <v>-</v>
      </c>
      <c r="D26931" t="str">
        <v>-</v>
      </c>
      <c r="E26931" t="str">
        <v>-</v>
      </c>
      <c r="F26931" t="str">
        <v>-</v>
      </c>
      <c r="G26931" t="str">
        <v>-</v>
      </c>
    </row>
    <row r="26932">
      <c r="B26932" t="str">
        <v>Công an xã Phong Dụ tỉnh Quảng Ninh</v>
      </c>
      <c r="C26932" t="str">
        <v>-</v>
      </c>
      <c r="D26932" t="str">
        <v>-</v>
      </c>
      <c r="E26932" t="str">
        <v/>
      </c>
      <c r="F26932" t="str">
        <v>-</v>
      </c>
      <c r="G26932" t="str">
        <v>-</v>
      </c>
    </row>
    <row r="26933">
      <c r="B26933" t="str">
        <v>UBND Ủy ban nhân dân xã Phong Dụ tỉnh Quảng Ninh</v>
      </c>
      <c r="C26933" t="str">
        <v>-</v>
      </c>
      <c r="D26933" t="str">
        <v>-</v>
      </c>
      <c r="E26933" t="str">
        <v>-</v>
      </c>
      <c r="F26933" t="str">
        <v>-</v>
      </c>
      <c r="G26933" t="str">
        <v>-</v>
      </c>
    </row>
    <row r="26934">
      <c r="B26934" t="str">
        <v>Công an xã Phong Dụ tỉnh Quảng Ninh</v>
      </c>
      <c r="C26934" t="str">
        <v>-</v>
      </c>
      <c r="D26934" t="str">
        <v>-</v>
      </c>
      <c r="E26934" t="str">
        <v/>
      </c>
      <c r="F26934" t="str">
        <v>-</v>
      </c>
      <c r="G26934" t="str">
        <v>-</v>
      </c>
    </row>
    <row r="26935">
      <c r="B26935" t="str">
        <v>UBND Ủy ban nhân dân xã Phong Dụ tỉnh Quảng Ninh</v>
      </c>
      <c r="C26935" t="str">
        <v>-</v>
      </c>
      <c r="D26935" t="str">
        <v>-</v>
      </c>
      <c r="E26935" t="str">
        <v>-</v>
      </c>
      <c r="F26935" t="str">
        <v>-</v>
      </c>
      <c r="G26935" t="str">
        <v>-</v>
      </c>
    </row>
    <row r="26936" xml:space="preserve">
      <c r="B26936" t="str" xml:space="preserve">
        <v xml:space="preserve">Công an xã Phong Minh _x000d_
 tỉnh Bắc Giang</v>
      </c>
      <c r="C26936" t="str">
        <v>-</v>
      </c>
      <c r="D26936" t="str">
        <v>-</v>
      </c>
      <c r="E26936" t="str">
        <v/>
      </c>
      <c r="F26936" t="str">
        <v>-</v>
      </c>
      <c r="G26936" t="str">
        <v>-</v>
      </c>
    </row>
    <row r="26937" xml:space="preserve">
      <c r="B26937" t="str" xml:space="preserve">
        <v xml:space="preserve">UBND Ủy ban nhân dân xã Phong Minh _x000d_
 tỉnh Bắc Giang</v>
      </c>
      <c r="C26937" t="str">
        <v>-</v>
      </c>
      <c r="D26937" t="str">
        <v>-</v>
      </c>
      <c r="E26937" t="str">
        <v>-</v>
      </c>
      <c r="F26937" t="str">
        <v>-</v>
      </c>
      <c r="G26937" t="str">
        <v>-</v>
      </c>
    </row>
    <row r="26938" xml:space="preserve">
      <c r="B26938" t="str" xml:space="preserve">
        <v xml:space="preserve">Công an xã Phong Thạnh _x000d_
 tỉnh Bạc Liêu</v>
      </c>
      <c r="C26938" t="str">
        <v>-</v>
      </c>
      <c r="D26938" t="str">
        <v>-</v>
      </c>
      <c r="E26938" t="str">
        <v/>
      </c>
      <c r="F26938" t="str">
        <v>-</v>
      </c>
      <c r="G26938" t="str">
        <v>-</v>
      </c>
    </row>
    <row r="26939" xml:space="preserve">
      <c r="B26939" t="str" xml:space="preserve">
        <v xml:space="preserve">UBND Ủy ban nhân dân xã Phong Thạnh _x000d_
 tỉnh Bạc Liêu</v>
      </c>
      <c r="C26939" t="str">
        <v>-</v>
      </c>
      <c r="D26939" t="str">
        <v>-</v>
      </c>
      <c r="E26939" t="str">
        <v>-</v>
      </c>
      <c r="F26939" t="str">
        <v>-</v>
      </c>
      <c r="G26939" t="str">
        <v>-</v>
      </c>
    </row>
    <row r="26940">
      <c r="B26940" t="str">
        <v>Công an xã Phong Vân tỉnh Bắc Giang</v>
      </c>
      <c r="C26940" t="str">
        <v>-</v>
      </c>
      <c r="D26940" t="str">
        <v>-</v>
      </c>
      <c r="E26940" t="str">
        <v/>
      </c>
      <c r="F26940" t="str">
        <v>-</v>
      </c>
      <c r="G26940" t="str">
        <v>-</v>
      </c>
    </row>
    <row r="26941">
      <c r="B26941" t="str">
        <v>UBND Ủy ban nhân dân xã Phong Vân tỉnh Bắc Giang</v>
      </c>
      <c r="C26941" t="str">
        <v>-</v>
      </c>
      <c r="D26941" t="str">
        <v>-</v>
      </c>
      <c r="E26941" t="str">
        <v>-</v>
      </c>
      <c r="F26941" t="str">
        <v>-</v>
      </c>
      <c r="G26941" t="str">
        <v>-</v>
      </c>
    </row>
    <row r="26942" xml:space="preserve">
      <c r="B26942" t="str" xml:space="preserve">
        <v xml:space="preserve">Công an xã Quài Cang _x000d_
 tỉnh Điện Biên</v>
      </c>
      <c r="C26942" t="str">
        <v>-</v>
      </c>
      <c r="D26942" t="str">
        <v>-</v>
      </c>
      <c r="E26942" t="str">
        <v/>
      </c>
      <c r="F26942" t="str">
        <v>-</v>
      </c>
      <c r="G26942" t="str">
        <v>-</v>
      </c>
    </row>
    <row r="26943" xml:space="preserve">
      <c r="B26943" t="str" xml:space="preserve">
        <v xml:space="preserve">UBND Ủy ban nhân dân xã Quài Cang _x000d_
 tỉnh Điện Biên</v>
      </c>
      <c r="C26943" t="str">
        <v>-</v>
      </c>
      <c r="D26943" t="str">
        <v>-</v>
      </c>
      <c r="E26943" t="str">
        <v>-</v>
      </c>
      <c r="F26943" t="str">
        <v>-</v>
      </c>
      <c r="G26943" t="str">
        <v>-</v>
      </c>
    </row>
    <row r="26944" xml:space="preserve">
      <c r="B26944" t="str" xml:space="preserve">
        <v xml:space="preserve">Công an xã Quài Nưa _x000d_
 tỉnh Điện Biên</v>
      </c>
      <c r="C26944" t="str">
        <v>-</v>
      </c>
      <c r="D26944" t="str">
        <v>-</v>
      </c>
      <c r="E26944" t="str">
        <v/>
      </c>
      <c r="F26944" t="str">
        <v>-</v>
      </c>
      <c r="G26944" t="str">
        <v>-</v>
      </c>
    </row>
    <row r="26945" xml:space="preserve">
      <c r="B26945" t="str" xml:space="preserve">
        <v xml:space="preserve">UBND Ủy ban nhân dân xã Quài Nưa _x000d_
 tỉnh Điện Biên</v>
      </c>
      <c r="C26945" t="str">
        <v>-</v>
      </c>
      <c r="D26945" t="str">
        <v>-</v>
      </c>
      <c r="E26945" t="str">
        <v>-</v>
      </c>
      <c r="F26945" t="str">
        <v>-</v>
      </c>
      <c r="G26945" t="str">
        <v>-</v>
      </c>
    </row>
    <row r="26946">
      <c r="B26946" t="str">
        <v>Công an xã Quài Tở tỉnh Điện Biên</v>
      </c>
      <c r="C26946" t="str">
        <v>-</v>
      </c>
      <c r="D26946" t="str">
        <v>-</v>
      </c>
      <c r="E26946" t="str">
        <v/>
      </c>
      <c r="F26946" t="str">
        <v>-</v>
      </c>
      <c r="G26946" t="str">
        <v>-</v>
      </c>
    </row>
    <row r="26947">
      <c r="B26947" t="str">
        <v>UBND Ủy ban nhân dân xã Quài Tở tỉnh Điện Biên</v>
      </c>
      <c r="C26947" t="str">
        <v>-</v>
      </c>
      <c r="D26947" t="str">
        <v>-</v>
      </c>
      <c r="E26947" t="str">
        <v>-</v>
      </c>
      <c r="F26947" t="str">
        <v>-</v>
      </c>
      <c r="G26947" t="str">
        <v>-</v>
      </c>
    </row>
    <row r="26948">
      <c r="B26948" t="str">
        <v>Công an xã Quảng Định tỉnh Thanh Hóa</v>
      </c>
      <c r="C26948" t="str">
        <v>-</v>
      </c>
      <c r="D26948" t="str">
        <v>-</v>
      </c>
      <c r="E26948" t="str">
        <v/>
      </c>
      <c r="F26948" t="str">
        <v>-</v>
      </c>
      <c r="G26948" t="str">
        <v>-</v>
      </c>
    </row>
    <row r="26949">
      <c r="B26949" t="str">
        <v>UBND Ủy ban nhân dân xã Quảng Định tỉnh Thanh Hóa</v>
      </c>
      <c r="C26949" t="str">
        <v>-</v>
      </c>
      <c r="D26949" t="str">
        <v>-</v>
      </c>
      <c r="E26949" t="str">
        <v>-</v>
      </c>
      <c r="F26949" t="str">
        <v>-</v>
      </c>
      <c r="G26949" t="str">
        <v>-</v>
      </c>
    </row>
    <row r="26950" xml:space="preserve">
      <c r="B26950" t="str" xml:space="preserve">
        <v xml:space="preserve">Công an xã Quảng Đức _x000d_
 tỉnh Thanh Hóa</v>
      </c>
      <c r="C26950" t="str">
        <v>-</v>
      </c>
      <c r="D26950" t="str">
        <v>-</v>
      </c>
      <c r="E26950" t="str">
        <v/>
      </c>
      <c r="F26950" t="str">
        <v>-</v>
      </c>
      <c r="G26950" t="str">
        <v>-</v>
      </c>
    </row>
    <row r="26951" xml:space="preserve">
      <c r="B26951" t="str" xml:space="preserve">
        <v xml:space="preserve">UBND Ủy ban nhân dân xã Quảng Đức _x000d_
 tỉnh Thanh Hóa</v>
      </c>
      <c r="C26951" t="str">
        <v>-</v>
      </c>
      <c r="D26951" t="str">
        <v>-</v>
      </c>
      <c r="E26951" t="str">
        <v>-</v>
      </c>
      <c r="F26951" t="str">
        <v>-</v>
      </c>
      <c r="G26951" t="str">
        <v>-</v>
      </c>
    </row>
    <row r="26952">
      <c r="B26952" t="str">
        <v>Công an xã Quảng Đức tỉnh Thanh Hóa</v>
      </c>
      <c r="C26952" t="str">
        <v>-</v>
      </c>
      <c r="D26952" t="str">
        <v>-</v>
      </c>
      <c r="E26952" t="str">
        <v/>
      </c>
      <c r="F26952" t="str">
        <v>-</v>
      </c>
      <c r="G26952" t="str">
        <v>-</v>
      </c>
    </row>
    <row r="26953">
      <c r="B26953" t="str">
        <v>UBND Ủy ban nhân dân xã Quảng Đức tỉnh Thanh Hóa</v>
      </c>
      <c r="C26953" t="str">
        <v>-</v>
      </c>
      <c r="D26953" t="str">
        <v>-</v>
      </c>
      <c r="E26953" t="str">
        <v>-</v>
      </c>
      <c r="F26953" t="str">
        <v>-</v>
      </c>
      <c r="G26953" t="str">
        <v>-</v>
      </c>
    </row>
    <row r="26954">
      <c r="B26954" t="str">
        <v>Công an xã Quảng Bình tỉnh Thanh Hóa</v>
      </c>
      <c r="C26954" t="str">
        <v>-</v>
      </c>
      <c r="D26954" t="str">
        <v>-</v>
      </c>
      <c r="E26954" t="str">
        <v/>
      </c>
      <c r="F26954" t="str">
        <v>-</v>
      </c>
      <c r="G26954" t="str">
        <v>-</v>
      </c>
    </row>
    <row r="26955">
      <c r="B26955" t="str">
        <v>UBND Ủy ban nhân dân xã Quảng Bình tỉnh Thanh Hóa</v>
      </c>
      <c r="C26955" t="str">
        <v>-</v>
      </c>
      <c r="D26955" t="str">
        <v>-</v>
      </c>
      <c r="E26955" t="str">
        <v>-</v>
      </c>
      <c r="F26955" t="str">
        <v>-</v>
      </c>
      <c r="G26955" t="str">
        <v>-</v>
      </c>
    </row>
    <row r="26956" xml:space="preserve">
      <c r="B26956" t="str" xml:space="preserve">
        <v xml:space="preserve">Công an xã Quảng Hòa _x000d_
 tỉnh Thanh Hóa</v>
      </c>
      <c r="C26956" t="str">
        <v>-</v>
      </c>
      <c r="D26956" t="str">
        <v>-</v>
      </c>
      <c r="E26956" t="str">
        <v/>
      </c>
      <c r="F26956" t="str">
        <v>-</v>
      </c>
      <c r="G26956" t="str">
        <v>-</v>
      </c>
    </row>
    <row r="26957" xml:space="preserve">
      <c r="B26957" t="str" xml:space="preserve">
        <v xml:space="preserve">UBND Ủy ban nhân dân xã Quảng Hòa _x000d_
 tỉnh Thanh Hóa</v>
      </c>
      <c r="C26957" t="str">
        <v>-</v>
      </c>
      <c r="D26957" t="str">
        <v>-</v>
      </c>
      <c r="E26957" t="str">
        <v>-</v>
      </c>
      <c r="F26957" t="str">
        <v>-</v>
      </c>
      <c r="G26957" t="str">
        <v>-</v>
      </c>
    </row>
    <row r="26958">
      <c r="B26958" t="str">
        <v>Công an xã Quảng Hùng tỉnh Thanh Hóa</v>
      </c>
      <c r="C26958" t="str">
        <v>-</v>
      </c>
      <c r="D26958" t="str">
        <v>-</v>
      </c>
      <c r="E26958" t="str">
        <v/>
      </c>
      <c r="F26958" t="str">
        <v>-</v>
      </c>
      <c r="G26958" t="str">
        <v>-</v>
      </c>
    </row>
    <row r="26959">
      <c r="B26959" t="str">
        <v>UBND Ủy ban nhân dân xã Quảng Hùng tỉnh Thanh Hóa</v>
      </c>
      <c r="C26959" t="str">
        <v>-</v>
      </c>
      <c r="D26959" t="str">
        <v>-</v>
      </c>
      <c r="E26959" t="str">
        <v>-</v>
      </c>
      <c r="F26959" t="str">
        <v>-</v>
      </c>
      <c r="G26959" t="str">
        <v>-</v>
      </c>
    </row>
    <row r="26960">
      <c r="B26960" t="str">
        <v>Công an xã Quảng Kim tỉnh Quảng Bình</v>
      </c>
      <c r="C26960" t="str">
        <v>-</v>
      </c>
      <c r="D26960" t="str">
        <v>-</v>
      </c>
      <c r="E26960" t="str">
        <v/>
      </c>
      <c r="F26960" t="str">
        <v>-</v>
      </c>
      <c r="G26960" t="str">
        <v>-</v>
      </c>
    </row>
    <row r="26961">
      <c r="B26961" t="str">
        <v>UBND Ủy ban nhân dân xã Quảng Kim tỉnh Quảng Bình</v>
      </c>
      <c r="C26961" t="str">
        <v>-</v>
      </c>
      <c r="D26961" t="str">
        <v>-</v>
      </c>
      <c r="E26961" t="str">
        <v>-</v>
      </c>
      <c r="F26961" t="str">
        <v>-</v>
      </c>
      <c r="G26961" t="str">
        <v>-</v>
      </c>
    </row>
    <row r="26962">
      <c r="B26962" t="str">
        <v>Công an xã Quảng Lạc tỉnh Thanh Hóa</v>
      </c>
      <c r="C26962" t="str">
        <v>-</v>
      </c>
      <c r="D26962" t="str">
        <v>-</v>
      </c>
      <c r="E26962" t="str">
        <v/>
      </c>
      <c r="F26962" t="str">
        <v>-</v>
      </c>
      <c r="G26962" t="str">
        <v>-</v>
      </c>
    </row>
    <row r="26963">
      <c r="B26963" t="str">
        <v>UBND Ủy ban nhân dân xã Quảng Lạc tỉnh Thanh Hóa</v>
      </c>
      <c r="C26963" t="str">
        <v>-</v>
      </c>
      <c r="D26963" t="str">
        <v>-</v>
      </c>
      <c r="E26963" t="str">
        <v>-</v>
      </c>
      <c r="F26963" t="str">
        <v>-</v>
      </c>
      <c r="G26963" t="str">
        <v>-</v>
      </c>
    </row>
    <row r="26964" xml:space="preserve">
      <c r="B26964" t="str" xml:space="preserve">
        <v xml:space="preserve">Công an xã Quảng La _x000d_
 tỉnh Thanh Hóa</v>
      </c>
      <c r="C26964" t="str">
        <v>-</v>
      </c>
      <c r="D26964" t="str">
        <v>-</v>
      </c>
      <c r="E26964" t="str">
        <v/>
      </c>
      <c r="F26964" t="str">
        <v>-</v>
      </c>
      <c r="G26964" t="str">
        <v>-</v>
      </c>
    </row>
    <row r="26965" xml:space="preserve">
      <c r="B26965" t="str" xml:space="preserve">
        <v xml:space="preserve">UBND Ủy ban nhân dân xã Quảng La _x000d_
 tỉnh Thanh Hóa</v>
      </c>
      <c r="C26965" t="str">
        <v>-</v>
      </c>
      <c r="D26965" t="str">
        <v>-</v>
      </c>
      <c r="E26965" t="str">
        <v>-</v>
      </c>
      <c r="F26965" t="str">
        <v>-</v>
      </c>
      <c r="G26965" t="str">
        <v>-</v>
      </c>
    </row>
    <row r="26966">
      <c r="B26966" t="str">
        <v>Công an xã Quảng Long tỉnh Thanh Hóa</v>
      </c>
      <c r="C26966" t="str">
        <v>-</v>
      </c>
      <c r="D26966" t="str">
        <v>-</v>
      </c>
      <c r="E26966" t="str">
        <v/>
      </c>
      <c r="F26966" t="str">
        <v>-</v>
      </c>
      <c r="G26966" t="str">
        <v>-</v>
      </c>
    </row>
    <row r="26967">
      <c r="B26967" t="str">
        <v>UBND Ủy ban nhân dân xã Quảng Long tỉnh Thanh Hóa</v>
      </c>
      <c r="C26967" t="str">
        <v>-</v>
      </c>
      <c r="D26967" t="str">
        <v>-</v>
      </c>
      <c r="E26967" t="str">
        <v>-</v>
      </c>
      <c r="F26967" t="str">
        <v>-</v>
      </c>
      <c r="G26967" t="str">
        <v>-</v>
      </c>
    </row>
    <row r="26968" xml:space="preserve">
      <c r="B26968" t="str" xml:space="preserve">
        <v xml:space="preserve">Công an xã Quảng Nhân _x000d_
 tỉnh Thanh Hóa</v>
      </c>
      <c r="C26968" t="str">
        <v>-</v>
      </c>
      <c r="D26968" t="str">
        <v>-</v>
      </c>
      <c r="E26968" t="str">
        <v/>
      </c>
      <c r="F26968" t="str">
        <v>-</v>
      </c>
      <c r="G26968" t="str">
        <v>-</v>
      </c>
    </row>
    <row r="26969" xml:space="preserve">
      <c r="B26969" t="str" xml:space="preserve">
        <v xml:space="preserve">UBND Ủy ban nhân dân xã Quảng Nhân _x000d_
 tỉnh Thanh Hóa</v>
      </c>
      <c r="C26969" t="str">
        <v>-</v>
      </c>
      <c r="D26969" t="str">
        <v>-</v>
      </c>
      <c r="E26969" t="str">
        <v>-</v>
      </c>
      <c r="F26969" t="str">
        <v>-</v>
      </c>
      <c r="G26969" t="str">
        <v>-</v>
      </c>
    </row>
    <row r="26970">
      <c r="B26970" t="str">
        <v>Công an xã Quảng Nham tỉnh Thanh Hóa</v>
      </c>
      <c r="C26970" t="str">
        <v>-</v>
      </c>
      <c r="D26970" t="str">
        <v>-</v>
      </c>
      <c r="E26970" t="str">
        <v/>
      </c>
      <c r="F26970" t="str">
        <v>-</v>
      </c>
      <c r="G26970" t="str">
        <v>-</v>
      </c>
    </row>
    <row r="26971">
      <c r="B26971" t="str">
        <v>UBND Ủy ban nhân dân xã Quảng Nham tỉnh Thanh Hóa</v>
      </c>
      <c r="C26971" t="str">
        <v>-</v>
      </c>
      <c r="D26971" t="str">
        <v>-</v>
      </c>
      <c r="E26971" t="str">
        <v>-</v>
      </c>
      <c r="F26971" t="str">
        <v>-</v>
      </c>
      <c r="G26971" t="str">
        <v>-</v>
      </c>
    </row>
    <row r="26972" xml:space="preserve">
      <c r="B26972" t="str" xml:space="preserve">
        <v xml:space="preserve">Công an xã Quảng Phú _x000d_
 tỉnh Quảng Bình</v>
      </c>
      <c r="C26972" t="str">
        <v>-</v>
      </c>
      <c r="D26972" t="str">
        <v>-</v>
      </c>
      <c r="E26972" t="str">
        <v/>
      </c>
      <c r="F26972" t="str">
        <v>-</v>
      </c>
      <c r="G26972" t="str">
        <v>-</v>
      </c>
    </row>
    <row r="26973" xml:space="preserve">
      <c r="B26973" t="str" xml:space="preserve">
        <v xml:space="preserve">UBND Ủy ban nhân dân xã Quảng Phú _x000d_
 tỉnh Quảng Bình</v>
      </c>
      <c r="C26973" t="str">
        <v>-</v>
      </c>
      <c r="D26973" t="str">
        <v>-</v>
      </c>
      <c r="E26973" t="str">
        <v>-</v>
      </c>
      <c r="F26973" t="str">
        <v>-</v>
      </c>
      <c r="G26973" t="str">
        <v>-</v>
      </c>
    </row>
    <row r="26974" xml:space="preserve">
      <c r="B26974" t="str" xml:space="preserve">
        <v xml:space="preserve">Công an xã Quảng Thuỷ _x000d_
 tỉnh Quảng Bình</v>
      </c>
      <c r="C26974" t="str">
        <v>-</v>
      </c>
      <c r="D26974" t="str">
        <v>-</v>
      </c>
      <c r="E26974" t="str">
        <v/>
      </c>
      <c r="F26974" t="str">
        <v>-</v>
      </c>
      <c r="G26974" t="str">
        <v>-</v>
      </c>
    </row>
    <row r="26975" xml:space="preserve">
      <c r="B26975" t="str" xml:space="preserve">
        <v xml:space="preserve">UBND Ủy ban nhân dân xã Quảng Thuỷ _x000d_
 tỉnh Quảng Bình</v>
      </c>
      <c r="C26975" t="str">
        <v>-</v>
      </c>
      <c r="D26975" t="str">
        <v>-</v>
      </c>
      <c r="E26975" t="str">
        <v>-</v>
      </c>
      <c r="F26975" t="str">
        <v>-</v>
      </c>
      <c r="G26975" t="str">
        <v>-</v>
      </c>
    </row>
    <row r="26976" xml:space="preserve">
      <c r="B26976" t="str" xml:space="preserve">
        <v xml:space="preserve">Công an xã Quảng Tiên _x000d_
 tỉnh Quảng Bình</v>
      </c>
      <c r="C26976" t="str">
        <v>-</v>
      </c>
      <c r="D26976" t="str">
        <v>-</v>
      </c>
      <c r="E26976" t="str">
        <v/>
      </c>
      <c r="F26976" t="str">
        <v>-</v>
      </c>
      <c r="G26976" t="str">
        <v>-</v>
      </c>
    </row>
    <row r="26977" xml:space="preserve">
      <c r="B26977" t="str" xml:space="preserve">
        <v xml:space="preserve">UBND Ủy ban nhân dân xã Quảng Tiên _x000d_
 tỉnh Quảng Bình</v>
      </c>
      <c r="C26977" t="str">
        <v>-</v>
      </c>
      <c r="D26977" t="str">
        <v>-</v>
      </c>
      <c r="E26977" t="str">
        <v>-</v>
      </c>
      <c r="F26977" t="str">
        <v>-</v>
      </c>
      <c r="G26977" t="str">
        <v>-</v>
      </c>
    </row>
    <row r="26978">
      <c r="B26978" t="str">
        <v>Công an xã Quảng Trường tỉnh Thanh Hóa</v>
      </c>
      <c r="C26978" t="str">
        <v>-</v>
      </c>
      <c r="D26978" t="str">
        <v>-</v>
      </c>
      <c r="E26978" t="str">
        <v/>
      </c>
      <c r="F26978" t="str">
        <v>-</v>
      </c>
      <c r="G26978" t="str">
        <v>-</v>
      </c>
    </row>
    <row r="26979">
      <c r="B26979" t="str">
        <v>UBND Ủy ban nhân dân xã Quảng Trường tỉnh Thanh Hóa</v>
      </c>
      <c r="C26979" t="str">
        <v>-</v>
      </c>
      <c r="D26979" t="str">
        <v>-</v>
      </c>
      <c r="E26979" t="str">
        <v>-</v>
      </c>
      <c r="F26979" t="str">
        <v>-</v>
      </c>
      <c r="G26979" t="str">
        <v>-</v>
      </c>
    </row>
    <row r="26980">
      <c r="B26980" t="str">
        <v>Công an xã Quảng Văn tỉnh Thanh Hóa</v>
      </c>
      <c r="C26980" t="str">
        <v>-</v>
      </c>
      <c r="D26980" t="str">
        <v>-</v>
      </c>
      <c r="E26980" t="str">
        <v/>
      </c>
      <c r="F26980" t="str">
        <v>-</v>
      </c>
      <c r="G26980" t="str">
        <v>-</v>
      </c>
    </row>
    <row r="26981">
      <c r="B26981" t="str">
        <v>UBND Ủy ban nhân dân xã Quảng Văn tỉnh Thanh Hóa</v>
      </c>
      <c r="C26981" t="str">
        <v>-</v>
      </c>
      <c r="D26981" t="str">
        <v>-</v>
      </c>
      <c r="E26981" t="str">
        <v>-</v>
      </c>
      <c r="F26981" t="str">
        <v>-</v>
      </c>
      <c r="G26981" t="str">
        <v>-</v>
      </c>
    </row>
    <row r="26982" xml:space="preserve">
      <c r="B26982" t="str" xml:space="preserve">
        <v xml:space="preserve">Công an xã Quế Lưu _x000d_
 tỉnh Quảng Nam</v>
      </c>
      <c r="C26982" t="str">
        <v>-</v>
      </c>
      <c r="D26982" t="str">
        <v>-</v>
      </c>
      <c r="E26982" t="str">
        <v/>
      </c>
      <c r="F26982" t="str">
        <v>-</v>
      </c>
      <c r="G26982" t="str">
        <v>-</v>
      </c>
    </row>
    <row r="26983" xml:space="preserve">
      <c r="B26983" t="str" xml:space="preserve">
        <v xml:space="preserve">UBND Ủy ban nhân dân xã Quế Lưu _x000d_
 tỉnh Quảng Nam</v>
      </c>
      <c r="C26983" t="str">
        <v>-</v>
      </c>
      <c r="D26983" t="str">
        <v>-</v>
      </c>
      <c r="E26983" t="str">
        <v>-</v>
      </c>
      <c r="F26983" t="str">
        <v>-</v>
      </c>
      <c r="G26983" t="str">
        <v>-</v>
      </c>
    </row>
    <row r="26984" xml:space="preserve">
      <c r="B26984" t="str" xml:space="preserve">
        <v xml:space="preserve">Công an xã Quế Thọ _x000d_
 tỉnh Quảng Nam</v>
      </c>
      <c r="C26984" t="str">
        <v>-</v>
      </c>
      <c r="D26984" t="str">
        <v>-</v>
      </c>
      <c r="E26984" t="str">
        <v/>
      </c>
      <c r="F26984" t="str">
        <v>-</v>
      </c>
      <c r="G26984" t="str">
        <v>-</v>
      </c>
    </row>
    <row r="26985" xml:space="preserve">
      <c r="B26985" t="str" xml:space="preserve">
        <v xml:space="preserve">UBND Ủy ban nhân dân xã Quế Thọ _x000d_
 tỉnh Quảng Nam</v>
      </c>
      <c r="C26985" t="str">
        <v>-</v>
      </c>
      <c r="D26985" t="str">
        <v>-</v>
      </c>
      <c r="E26985" t="str">
        <v>-</v>
      </c>
      <c r="F26985" t="str">
        <v>-</v>
      </c>
      <c r="G26985" t="str">
        <v>-</v>
      </c>
    </row>
    <row r="26986" xml:space="preserve">
      <c r="B26986" t="str" xml:space="preserve">
        <v xml:space="preserve">Công an xã Quế Xuân 2 _x000d_
 tỉnh Quảng Nam</v>
      </c>
      <c r="C26986" t="str">
        <v>-</v>
      </c>
      <c r="D26986" t="str">
        <v>-</v>
      </c>
      <c r="E26986" t="str">
        <v/>
      </c>
      <c r="F26986" t="str">
        <v>-</v>
      </c>
      <c r="G26986" t="str">
        <v>-</v>
      </c>
    </row>
    <row r="26987" xml:space="preserve">
      <c r="B26987" t="str" xml:space="preserve">
        <v xml:space="preserve">UBND Ủy ban nhân dân xã Quế Xuân 2 _x000d_
 tỉnh Quảng Nam</v>
      </c>
      <c r="C26987" t="str">
        <v>-</v>
      </c>
      <c r="D26987" t="str">
        <v>-</v>
      </c>
      <c r="E26987" t="str">
        <v>-</v>
      </c>
      <c r="F26987" t="str">
        <v>-</v>
      </c>
      <c r="G26987" t="str">
        <v>-</v>
      </c>
    </row>
    <row r="26988">
      <c r="B26988" t="str">
        <v>Công an xã Quới Điền tỉnh Bến Tre</v>
      </c>
      <c r="C26988" t="str">
        <v>-</v>
      </c>
      <c r="D26988" t="str">
        <v>-</v>
      </c>
      <c r="E26988" t="str">
        <v/>
      </c>
      <c r="F26988" t="str">
        <v>-</v>
      </c>
      <c r="G26988" t="str">
        <v>-</v>
      </c>
    </row>
    <row r="26989">
      <c r="B26989" t="str">
        <v>UBND Ủy ban nhân dân xã Quới Điền tỉnh Bến Tre</v>
      </c>
      <c r="C26989" t="str">
        <v>-</v>
      </c>
      <c r="D26989" t="str">
        <v>-</v>
      </c>
      <c r="E26989" t="str">
        <v>-</v>
      </c>
      <c r="F26989" t="str">
        <v>-</v>
      </c>
      <c r="G26989" t="str">
        <v>-</v>
      </c>
    </row>
    <row r="26990" xml:space="preserve">
      <c r="B26990" t="str" xml:space="preserve">
        <v xml:space="preserve">Công an xã Quới Sơn _x000d_
 tỉnh Bến Tre</v>
      </c>
      <c r="C26990" t="str">
        <v>-</v>
      </c>
      <c r="D26990" t="str">
        <v>-</v>
      </c>
      <c r="E26990" t="str">
        <v/>
      </c>
      <c r="F26990" t="str">
        <v>-</v>
      </c>
      <c r="G26990" t="str">
        <v>-</v>
      </c>
    </row>
    <row r="26991" xml:space="preserve">
      <c r="B26991" t="str" xml:space="preserve">
        <v xml:space="preserve">UBND Ủy ban nhân dân xã Quới Sơn _x000d_
 tỉnh Bến Tre</v>
      </c>
      <c r="C26991" t="str">
        <v>-</v>
      </c>
      <c r="D26991" t="str">
        <v>-</v>
      </c>
      <c r="E26991" t="str">
        <v>-</v>
      </c>
      <c r="F26991" t="str">
        <v>-</v>
      </c>
      <c r="G26991" t="str">
        <v>-</v>
      </c>
    </row>
    <row r="26992" xml:space="preserve">
      <c r="B26992" t="str" xml:space="preserve">
        <v xml:space="preserve">Công an xã Quới Thành _x000d_
 tỉnh Bến Tre</v>
      </c>
      <c r="C26992" t="str">
        <v>-</v>
      </c>
      <c r="D26992" t="str">
        <v>-</v>
      </c>
      <c r="E26992" t="str">
        <v/>
      </c>
      <c r="F26992" t="str">
        <v>-</v>
      </c>
      <c r="G26992" t="str">
        <v>-</v>
      </c>
    </row>
    <row r="26993" xml:space="preserve">
      <c r="B26993" t="str" xml:space="preserve">
        <v xml:space="preserve">UBND Ủy ban nhân dân xã Quới Thành _x000d_
 tỉnh Bến Tre</v>
      </c>
      <c r="C26993" t="str">
        <v>-</v>
      </c>
      <c r="D26993" t="str">
        <v>-</v>
      </c>
      <c r="E26993" t="str">
        <v>-</v>
      </c>
      <c r="F26993" t="str">
        <v>-</v>
      </c>
      <c r="G26993" t="str">
        <v>-</v>
      </c>
    </row>
    <row r="26994" xml:space="preserve">
      <c r="B26994" t="str" xml:space="preserve">
        <v xml:space="preserve">Công an xã Quỳnh Bá _x000d_
 tỉnh Nghệ An</v>
      </c>
      <c r="C26994" t="str">
        <v>-</v>
      </c>
      <c r="D26994" t="str">
        <v>-</v>
      </c>
      <c r="E26994" t="str">
        <v/>
      </c>
      <c r="F26994" t="str">
        <v>-</v>
      </c>
      <c r="G26994" t="str">
        <v>-</v>
      </c>
    </row>
    <row r="26995" xml:space="preserve">
      <c r="B26995" t="str" xml:space="preserve">
        <v xml:space="preserve">UBND Ủy ban nhân dân xã Quỳnh Bá _x000d_
 tỉnh Nghệ An</v>
      </c>
      <c r="C26995" t="str">
        <v>-</v>
      </c>
      <c r="D26995" t="str">
        <v>-</v>
      </c>
      <c r="E26995" t="str">
        <v>-</v>
      </c>
      <c r="F26995" t="str">
        <v>-</v>
      </c>
      <c r="G26995" t="str">
        <v>-</v>
      </c>
    </row>
    <row r="26996">
      <c r="B26996" t="str">
        <v>Công an xã Quỳnh Hồng tỉnh Thái Bình</v>
      </c>
      <c r="C26996" t="str">
        <v>-</v>
      </c>
      <c r="D26996" t="str">
        <v>-</v>
      </c>
      <c r="E26996" t="str">
        <v/>
      </c>
      <c r="F26996" t="str">
        <v>-</v>
      </c>
      <c r="G26996" t="str">
        <v>-</v>
      </c>
    </row>
    <row r="26997">
      <c r="B26997" t="str">
        <v>UBND Ủy ban nhân dân xã Quỳnh Hồng tỉnh Thái Bình</v>
      </c>
      <c r="C26997" t="str">
        <v>-</v>
      </c>
      <c r="D26997" t="str">
        <v>-</v>
      </c>
      <c r="E26997" t="str">
        <v>-</v>
      </c>
      <c r="F26997" t="str">
        <v>-</v>
      </c>
      <c r="G26997" t="str">
        <v>-</v>
      </c>
    </row>
    <row r="26998">
      <c r="B26998" t="str">
        <v>Công an xã Quỳnh Hồng tỉnh Thái Bình</v>
      </c>
      <c r="C26998" t="str">
        <v>-</v>
      </c>
      <c r="D26998" t="str">
        <v>-</v>
      </c>
      <c r="E26998" t="str">
        <v/>
      </c>
      <c r="F26998" t="str">
        <v>-</v>
      </c>
      <c r="G26998" t="str">
        <v>-</v>
      </c>
    </row>
    <row r="26999">
      <c r="B26999" t="str">
        <v>UBND Ủy ban nhân dân xã Quỳnh Hồng tỉnh Thái Bình</v>
      </c>
      <c r="C26999" t="str">
        <v>-</v>
      </c>
      <c r="D26999" t="str">
        <v>-</v>
      </c>
      <c r="E26999" t="str">
        <v>-</v>
      </c>
      <c r="F26999" t="str">
        <v>-</v>
      </c>
      <c r="G26999" t="str">
        <v>-</v>
      </c>
    </row>
    <row r="27000">
      <c r="B27000" t="str">
        <v>Công an xã Quỳnh Hoa tỉnh Thái Bình</v>
      </c>
      <c r="C27000" t="str">
        <v>-</v>
      </c>
      <c r="D27000" t="str">
        <v>-</v>
      </c>
      <c r="E27000" t="str">
        <v/>
      </c>
      <c r="F27000" t="str">
        <v>-</v>
      </c>
      <c r="G27000" t="str">
        <v>-</v>
      </c>
    </row>
    <row r="27001">
      <c r="B27001" t="str">
        <v>UBND Ủy ban nhân dân xã Quỳnh Hoa tỉnh Thái Bình</v>
      </c>
      <c r="C27001" t="str">
        <v>-</v>
      </c>
      <c r="D27001" t="str">
        <v>-</v>
      </c>
      <c r="E27001" t="str">
        <v>-</v>
      </c>
      <c r="F27001" t="str">
        <v>-</v>
      </c>
      <c r="G27001" t="str">
        <v>-</v>
      </c>
    </row>
    <row r="27002">
      <c r="B27002" t="str">
        <v>Công an xã Quỳnh Mỹ tỉnh Thái Bình</v>
      </c>
      <c r="C27002" t="str">
        <v>-</v>
      </c>
      <c r="D27002" t="str">
        <v>-</v>
      </c>
      <c r="E27002" t="str">
        <v/>
      </c>
      <c r="F27002" t="str">
        <v>-</v>
      </c>
      <c r="G27002" t="str">
        <v>-</v>
      </c>
    </row>
    <row r="27003">
      <c r="B27003" t="str">
        <v>UBND Ủy ban nhân dân xã Quỳnh Mỹ tỉnh Thái Bình</v>
      </c>
      <c r="C27003" t="str">
        <v>-</v>
      </c>
      <c r="D27003" t="str">
        <v>-</v>
      </c>
      <c r="E27003" t="str">
        <v>-</v>
      </c>
      <c r="F27003" t="str">
        <v>-</v>
      </c>
      <c r="G27003" t="str">
        <v>-</v>
      </c>
    </row>
    <row r="27004">
      <c r="B27004" t="str">
        <v>Công an xã Quỳnh Ngọc tỉnh Thái Bình</v>
      </c>
      <c r="C27004" t="str">
        <v>-</v>
      </c>
      <c r="D27004" t="str">
        <v>-</v>
      </c>
      <c r="E27004" t="str">
        <v/>
      </c>
      <c r="F27004" t="str">
        <v>-</v>
      </c>
      <c r="G27004" t="str">
        <v>-</v>
      </c>
    </row>
    <row r="27005">
      <c r="B27005" t="str">
        <v>UBND Ủy ban nhân dân xã Quỳnh Ngọc tỉnh Thái Bình</v>
      </c>
      <c r="C27005" t="str">
        <v>-</v>
      </c>
      <c r="D27005" t="str">
        <v>-</v>
      </c>
      <c r="E27005" t="str">
        <v>-</v>
      </c>
      <c r="F27005" t="str">
        <v>-</v>
      </c>
      <c r="G27005" t="str">
        <v>-</v>
      </c>
    </row>
    <row r="27006">
      <c r="B27006" t="str">
        <v>Công an xã Quỳnh Sơn tỉnh Bắc Giang</v>
      </c>
      <c r="C27006" t="str">
        <v>-</v>
      </c>
      <c r="D27006" t="str">
        <v>-</v>
      </c>
      <c r="E27006" t="str">
        <v/>
      </c>
      <c r="F27006" t="str">
        <v>-</v>
      </c>
      <c r="G27006" t="str">
        <v>-</v>
      </c>
    </row>
    <row r="27007">
      <c r="B27007" t="str">
        <v>UBND Ủy ban nhân dân xã Quỳnh Sơn tỉnh Bắc Giang</v>
      </c>
      <c r="C27007" t="str">
        <v>-</v>
      </c>
      <c r="D27007" t="str">
        <v>-</v>
      </c>
      <c r="E27007" t="str">
        <v>-</v>
      </c>
      <c r="F27007" t="str">
        <v>-</v>
      </c>
      <c r="G27007" t="str">
        <v>-</v>
      </c>
    </row>
    <row r="27008" xml:space="preserve">
      <c r="B27008" t="str" xml:space="preserve">
        <v xml:space="preserve">Công an xã Quỳnh Thuận _x000d_
 tỉnh Gia Lai</v>
      </c>
      <c r="C27008" t="str">
        <v>-</v>
      </c>
      <c r="D27008" t="str">
        <v>-</v>
      </c>
      <c r="E27008" t="str">
        <v/>
      </c>
      <c r="F27008" t="str">
        <v>-</v>
      </c>
      <c r="G27008" t="str">
        <v>-</v>
      </c>
    </row>
    <row r="27009" xml:space="preserve">
      <c r="B27009" t="str" xml:space="preserve">
        <v xml:space="preserve">UBND Ủy ban nhân dân xã Quỳnh Thuận _x000d_
 tỉnh Gia Lai</v>
      </c>
      <c r="C27009" t="str">
        <v>-</v>
      </c>
      <c r="D27009" t="str">
        <v>-</v>
      </c>
      <c r="E27009" t="str">
        <v>-</v>
      </c>
      <c r="F27009" t="str">
        <v>-</v>
      </c>
      <c r="G27009" t="str">
        <v>-</v>
      </c>
    </row>
    <row r="27010">
      <c r="B27010" t="str">
        <v>Công an xã Quang Chiểu tỉnh Thanh Hóa</v>
      </c>
      <c r="C27010" t="str">
        <v>-</v>
      </c>
      <c r="D27010" t="str">
        <v>-</v>
      </c>
      <c r="E27010" t="str">
        <v/>
      </c>
      <c r="F27010" t="str">
        <v>-</v>
      </c>
      <c r="G27010" t="str">
        <v>-</v>
      </c>
    </row>
    <row r="27011">
      <c r="B27011" t="str">
        <v>UBND Ủy ban nhân dân xã Quang Chiểu tỉnh Thanh Hóa</v>
      </c>
      <c r="C27011" t="str">
        <v>-</v>
      </c>
      <c r="D27011" t="str">
        <v>-</v>
      </c>
      <c r="E27011" t="str">
        <v>-</v>
      </c>
      <c r="F27011" t="str">
        <v>-</v>
      </c>
      <c r="G27011" t="str">
        <v>-</v>
      </c>
    </row>
    <row r="27012">
      <c r="B27012" t="str">
        <v>Công an xã Quang Húc tỉnh Phú Thọ</v>
      </c>
      <c r="C27012" t="str">
        <v>-</v>
      </c>
      <c r="D27012" t="str">
        <v>-</v>
      </c>
      <c r="E27012" t="str">
        <v/>
      </c>
      <c r="F27012" t="str">
        <v>-</v>
      </c>
      <c r="G27012" t="str">
        <v>-</v>
      </c>
    </row>
    <row r="27013">
      <c r="B27013" t="str">
        <v>UBND Ủy ban nhân dân xã Quang Húc tỉnh Phú Thọ</v>
      </c>
      <c r="C27013" t="str">
        <v>-</v>
      </c>
      <c r="D27013" t="str">
        <v>-</v>
      </c>
      <c r="E27013" t="str">
        <v>-</v>
      </c>
      <c r="F27013" t="str">
        <v>-</v>
      </c>
      <c r="G27013" t="str">
        <v>-</v>
      </c>
    </row>
    <row r="27014">
      <c r="B27014" t="str">
        <v>Công an xã Quang Huy tỉnh Sơn La</v>
      </c>
      <c r="C27014" t="str">
        <v>-</v>
      </c>
      <c r="D27014" t="str">
        <v>-</v>
      </c>
      <c r="E27014" t="str">
        <v/>
      </c>
      <c r="F27014" t="str">
        <v>-</v>
      </c>
      <c r="G27014" t="str">
        <v>-</v>
      </c>
    </row>
    <row r="27015">
      <c r="B27015" t="str">
        <v>UBND Ủy ban nhân dân xã Quang Huy tỉnh Sơn La</v>
      </c>
      <c r="C27015" t="str">
        <v>-</v>
      </c>
      <c r="D27015" t="str">
        <v>-</v>
      </c>
      <c r="E27015" t="str">
        <v>-</v>
      </c>
      <c r="F27015" t="str">
        <v>-</v>
      </c>
      <c r="G27015" t="str">
        <v>-</v>
      </c>
    </row>
    <row r="27016">
      <c r="B27016" t="str">
        <v>Công an xã Quang Lộc tỉnh Thanh Hóa</v>
      </c>
      <c r="C27016" t="str">
        <v>-</v>
      </c>
      <c r="D27016" t="str">
        <v>-</v>
      </c>
      <c r="E27016" t="str">
        <v/>
      </c>
      <c r="F27016" t="str">
        <v>-</v>
      </c>
      <c r="G27016" t="str">
        <v>-</v>
      </c>
    </row>
    <row r="27017">
      <c r="B27017" t="str">
        <v>UBND Ủy ban nhân dân xã Quang Lộc tỉnh Thanh Hóa</v>
      </c>
      <c r="C27017" t="str">
        <v>-</v>
      </c>
      <c r="D27017" t="str">
        <v>-</v>
      </c>
      <c r="E27017" t="str">
        <v>-</v>
      </c>
      <c r="F27017" t="str">
        <v>-</v>
      </c>
      <c r="G27017" t="str">
        <v>-</v>
      </c>
    </row>
    <row r="27018">
      <c r="B27018" t="str">
        <v>Công an xã Quang Minh  tỉnh Hải Dương</v>
      </c>
      <c r="C27018" t="str">
        <v>-</v>
      </c>
      <c r="D27018" t="str">
        <v>-</v>
      </c>
      <c r="E27018" t="str">
        <v/>
      </c>
      <c r="F27018" t="str">
        <v>-</v>
      </c>
      <c r="G27018" t="str">
        <v>-</v>
      </c>
    </row>
    <row r="27019">
      <c r="B27019" t="str">
        <v>UBND Ủy ban nhân dân xã Quang Minh  tỉnh Hải Dương</v>
      </c>
      <c r="C27019" t="str">
        <v>-</v>
      </c>
      <c r="D27019" t="str">
        <v>-</v>
      </c>
      <c r="E27019" t="str">
        <v>-</v>
      </c>
      <c r="F27019" t="str">
        <v>-</v>
      </c>
      <c r="G27019" t="str">
        <v>-</v>
      </c>
    </row>
    <row r="27020">
      <c r="B27020" t="str">
        <v>Công an xã Quang Minh  tỉnh Hải Dương</v>
      </c>
      <c r="C27020" t="str">
        <v>-</v>
      </c>
      <c r="D27020" t="str">
        <v>-</v>
      </c>
      <c r="E27020" t="str">
        <v/>
      </c>
      <c r="F27020" t="str">
        <v>-</v>
      </c>
      <c r="G27020" t="str">
        <v>-</v>
      </c>
    </row>
    <row r="27021">
      <c r="B27021" t="str">
        <v>UBND Ủy ban nhân dân xã Quang Minh  tỉnh Hải Dương</v>
      </c>
      <c r="C27021" t="str">
        <v>-</v>
      </c>
      <c r="D27021" t="str">
        <v>-</v>
      </c>
      <c r="E27021" t="str">
        <v>-</v>
      </c>
      <c r="F27021" t="str">
        <v>-</v>
      </c>
      <c r="G27021" t="str">
        <v>-</v>
      </c>
    </row>
    <row r="27022">
      <c r="B27022" t="str">
        <v>Công an xã Quang Phục tỉnh Hải Dương</v>
      </c>
      <c r="C27022" t="str">
        <v>-</v>
      </c>
      <c r="D27022" t="str">
        <v>-</v>
      </c>
      <c r="E27022" t="str">
        <v/>
      </c>
      <c r="F27022" t="str">
        <v>-</v>
      </c>
      <c r="G27022" t="str">
        <v>-</v>
      </c>
    </row>
    <row r="27023">
      <c r="B27023" t="str">
        <v>UBND Ủy ban nhân dân xã Quang Phục tỉnh Hải Dương</v>
      </c>
      <c r="C27023" t="str">
        <v>-</v>
      </c>
      <c r="D27023" t="str">
        <v>-</v>
      </c>
      <c r="E27023" t="str">
        <v>-</v>
      </c>
      <c r="F27023" t="str">
        <v>-</v>
      </c>
      <c r="G27023" t="str">
        <v>-</v>
      </c>
    </row>
    <row r="27024">
      <c r="B27024" t="str">
        <v>Công an xã Quang Sơn  tỉnh Ninh Bình</v>
      </c>
      <c r="C27024" t="str">
        <v>-</v>
      </c>
      <c r="D27024" t="str">
        <v>-</v>
      </c>
      <c r="E27024" t="str">
        <v/>
      </c>
      <c r="F27024" t="str">
        <v>-</v>
      </c>
      <c r="G27024" t="str">
        <v>-</v>
      </c>
    </row>
    <row r="27025">
      <c r="B27025" t="str">
        <v>UBND Ủy ban nhân dân xã Quang Sơn  tỉnh Ninh Bình</v>
      </c>
      <c r="C27025" t="str">
        <v>-</v>
      </c>
      <c r="D27025" t="str">
        <v>-</v>
      </c>
      <c r="E27025" t="str">
        <v>-</v>
      </c>
      <c r="F27025" t="str">
        <v>-</v>
      </c>
      <c r="G27025" t="str">
        <v>-</v>
      </c>
    </row>
    <row r="27026">
      <c r="B27026" t="str">
        <v>Công an xã Quang Thành tỉnh Cao Bằng</v>
      </c>
      <c r="C27026" t="str">
        <v>-</v>
      </c>
      <c r="D27026" t="str">
        <v>-</v>
      </c>
      <c r="E27026" t="str">
        <v/>
      </c>
      <c r="F27026" t="str">
        <v>-</v>
      </c>
      <c r="G27026" t="str">
        <v>-</v>
      </c>
    </row>
    <row r="27027">
      <c r="B27027" t="str">
        <v>UBND Ủy ban nhân dân xã Quang Thành tỉnh Cao Bằng</v>
      </c>
      <c r="C27027" t="str">
        <v>-</v>
      </c>
      <c r="D27027" t="str">
        <v>-</v>
      </c>
      <c r="E27027" t="str">
        <v>-</v>
      </c>
      <c r="F27027" t="str">
        <v>-</v>
      </c>
      <c r="G27027" t="str">
        <v>-</v>
      </c>
    </row>
    <row r="27028" xml:space="preserve">
      <c r="B27028" t="str" xml:space="preserve">
        <v xml:space="preserve">Công an xã Quang Thịnh _x000d_
 tỉnh Bắc Giang</v>
      </c>
      <c r="C27028" t="str">
        <v>-</v>
      </c>
      <c r="D27028" t="str">
        <v>-</v>
      </c>
      <c r="E27028" t="str">
        <v/>
      </c>
      <c r="F27028" t="str">
        <v>-</v>
      </c>
      <c r="G27028" t="str">
        <v>-</v>
      </c>
    </row>
    <row r="27029" xml:space="preserve">
      <c r="B27029" t="str" xml:space="preserve">
        <v xml:space="preserve">UBND Ủy ban nhân dân xã Quang Thịnh _x000d_
 tỉnh Bắc Giang</v>
      </c>
      <c r="C27029" t="str">
        <v>-</v>
      </c>
      <c r="D27029" t="str">
        <v>-</v>
      </c>
      <c r="E27029" t="str">
        <v>-</v>
      </c>
      <c r="F27029" t="str">
        <v>-</v>
      </c>
      <c r="G27029" t="str">
        <v>-</v>
      </c>
    </row>
    <row r="27030" xml:space="preserve">
      <c r="B27030" t="str" xml:space="preserve">
        <v xml:space="preserve">Công an xã Quang Thọ _x000d_
 tỉnh Ninh Bình</v>
      </c>
      <c r="C27030" t="str">
        <v>-</v>
      </c>
      <c r="D27030" t="str">
        <v>-</v>
      </c>
      <c r="E27030" t="str">
        <v/>
      </c>
      <c r="F27030" t="str">
        <v>-</v>
      </c>
      <c r="G27030" t="str">
        <v>-</v>
      </c>
    </row>
    <row r="27031" xml:space="preserve">
      <c r="B27031" t="str" xml:space="preserve">
        <v xml:space="preserve">UBND Ủy ban nhân dân xã Quang Thọ _x000d_
 tỉnh Ninh Bình</v>
      </c>
      <c r="C27031" t="str">
        <v>-</v>
      </c>
      <c r="D27031" t="str">
        <v>-</v>
      </c>
      <c r="E27031" t="str">
        <v>-</v>
      </c>
      <c r="F27031" t="str">
        <v>-</v>
      </c>
      <c r="G27031" t="str">
        <v>-</v>
      </c>
    </row>
    <row r="27032" xml:space="preserve">
      <c r="B27032" t="str" xml:space="preserve">
        <v xml:space="preserve">Công an xã Quang Thiện _x000d_
 tỉnh Ninh Bình</v>
      </c>
      <c r="C27032" t="str">
        <v>-</v>
      </c>
      <c r="D27032" t="str">
        <v>-</v>
      </c>
      <c r="E27032" t="str">
        <v/>
      </c>
      <c r="F27032" t="str">
        <v>-</v>
      </c>
      <c r="G27032" t="str">
        <v>-</v>
      </c>
    </row>
    <row r="27033" xml:space="preserve">
      <c r="B27033" t="str" xml:space="preserve">
        <v xml:space="preserve">UBND Ủy ban nhân dân xã Quang Thiện _x000d_
 tỉnh Ninh Bình</v>
      </c>
      <c r="C27033" t="str">
        <v>-</v>
      </c>
      <c r="D27033" t="str">
        <v>-</v>
      </c>
      <c r="E27033" t="str">
        <v>-</v>
      </c>
      <c r="F27033" t="str">
        <v>-</v>
      </c>
      <c r="G27033" t="str">
        <v>-</v>
      </c>
    </row>
    <row r="27034" xml:space="preserve">
      <c r="B27034" t="str" xml:space="preserve">
        <v xml:space="preserve">Công an xã Quang Trung _x000d_
 tỉnh Thanh Hóa</v>
      </c>
      <c r="C27034" t="str">
        <v>-</v>
      </c>
      <c r="D27034" t="str">
        <v>-</v>
      </c>
      <c r="E27034" t="str">
        <v/>
      </c>
      <c r="F27034" t="str">
        <v>-</v>
      </c>
      <c r="G27034" t="str">
        <v>-</v>
      </c>
    </row>
    <row r="27035" xml:space="preserve">
      <c r="B27035" t="str" xml:space="preserve">
        <v xml:space="preserve">UBND Ủy ban nhân dân xã Quang Trung _x000d_
 tỉnh Thanh Hóa</v>
      </c>
      <c r="C27035" t="str">
        <v>-</v>
      </c>
      <c r="D27035" t="str">
        <v>-</v>
      </c>
      <c r="E27035" t="str">
        <v>-</v>
      </c>
      <c r="F27035" t="str">
        <v>-</v>
      </c>
      <c r="G27035" t="str">
        <v>-</v>
      </c>
    </row>
    <row r="27036">
      <c r="B27036" t="str">
        <v>Công an xã Quang Vinh tỉnh Hưng Yên</v>
      </c>
      <c r="C27036" t="str">
        <v>-</v>
      </c>
      <c r="D27036" t="str">
        <v>-</v>
      </c>
      <c r="E27036" t="str">
        <v/>
      </c>
      <c r="F27036" t="str">
        <v>-</v>
      </c>
      <c r="G27036" t="str">
        <v>-</v>
      </c>
    </row>
    <row r="27037">
      <c r="B27037" t="str">
        <v>UBND Ủy ban nhân dân xã Quang Vinh tỉnh Hưng Yên</v>
      </c>
      <c r="C27037" t="str">
        <v>-</v>
      </c>
      <c r="D27037" t="str">
        <v>-</v>
      </c>
      <c r="E27037" t="str">
        <v>-</v>
      </c>
      <c r="F27037" t="str">
        <v>-</v>
      </c>
      <c r="G27037" t="str">
        <v>-</v>
      </c>
    </row>
    <row r="27038" xml:space="preserve">
      <c r="B27038" t="str" xml:space="preserve">
        <v xml:space="preserve">Công an xã Quyết Thắng _x000d_
 tỉnh Thái Nguyên</v>
      </c>
      <c r="C27038" t="str">
        <v>-</v>
      </c>
      <c r="D27038" t="str">
        <v>-</v>
      </c>
      <c r="E27038" t="str">
        <v/>
      </c>
      <c r="F27038" t="str">
        <v>-</v>
      </c>
      <c r="G27038" t="str">
        <v>-</v>
      </c>
    </row>
    <row r="27039" xml:space="preserve">
      <c r="B27039" t="str" xml:space="preserve">
        <v xml:space="preserve">UBND Ủy ban nhân dân xã Quyết Thắng _x000d_
 tỉnh Thái Nguyên</v>
      </c>
      <c r="C27039" t="str">
        <v>-</v>
      </c>
      <c r="D27039" t="str">
        <v>-</v>
      </c>
      <c r="E27039" t="str">
        <v>-</v>
      </c>
      <c r="F27039" t="str">
        <v>-</v>
      </c>
      <c r="G27039" t="str">
        <v>-</v>
      </c>
    </row>
    <row r="27040" xml:space="preserve">
      <c r="B27040" t="str" xml:space="preserve">
        <v xml:space="preserve">Công an xã Quyết Thắng _x000d_
 tỉnh Hòa Bình</v>
      </c>
      <c r="C27040" t="str">
        <v>-</v>
      </c>
      <c r="D27040" t="str">
        <v>-</v>
      </c>
      <c r="E27040" t="str">
        <v/>
      </c>
      <c r="F27040" t="str">
        <v>-</v>
      </c>
      <c r="G27040" t="str">
        <v>-</v>
      </c>
    </row>
    <row r="27041" xml:space="preserve">
      <c r="B27041" t="str" xml:space="preserve">
        <v xml:space="preserve">UBND Ủy ban nhân dân xã Quyết Thắng _x000d_
 tỉnh Hòa Bình</v>
      </c>
      <c r="C27041" t="str">
        <v>-</v>
      </c>
      <c r="D27041" t="str">
        <v>-</v>
      </c>
      <c r="E27041" t="str">
        <v>-</v>
      </c>
      <c r="F27041" t="str">
        <v>-</v>
      </c>
      <c r="G27041" t="str">
        <v>-</v>
      </c>
    </row>
    <row r="27042" xml:space="preserve">
      <c r="B27042" t="str" xml:space="preserve">
        <v xml:space="preserve">Công an xã Quyết Thắng _x000d_
 tỉnh Thái Nguyên</v>
      </c>
      <c r="C27042" t="str">
        <v>-</v>
      </c>
      <c r="D27042" t="str">
        <v>-</v>
      </c>
      <c r="E27042" t="str">
        <v/>
      </c>
      <c r="F27042" t="str">
        <v>-</v>
      </c>
      <c r="G27042" t="str">
        <v>-</v>
      </c>
    </row>
    <row r="27043" xml:space="preserve">
      <c r="B27043" t="str" xml:space="preserve">
        <v xml:space="preserve">UBND Ủy ban nhân dân xã Quyết Thắng _x000d_
 tỉnh Thái Nguyên</v>
      </c>
      <c r="C27043" t="str">
        <v>-</v>
      </c>
      <c r="D27043" t="str">
        <v>-</v>
      </c>
      <c r="E27043" t="str">
        <v>-</v>
      </c>
      <c r="F27043" t="str">
        <v>-</v>
      </c>
      <c r="G27043" t="str">
        <v>-</v>
      </c>
    </row>
    <row r="27044">
      <c r="B27044" t="str">
        <v>Công an xã Quy Hướng tỉnh Sơn La</v>
      </c>
      <c r="C27044" t="str">
        <v>-</v>
      </c>
      <c r="D27044" t="str">
        <v>-</v>
      </c>
      <c r="E27044" t="str">
        <v/>
      </c>
      <c r="F27044" t="str">
        <v>-</v>
      </c>
      <c r="G27044" t="str">
        <v>-</v>
      </c>
    </row>
    <row r="27045">
      <c r="B27045" t="str">
        <v>UBND Ủy ban nhân dân xã Quy Hướng tỉnh Sơn La</v>
      </c>
      <c r="C27045" t="str">
        <v>-</v>
      </c>
      <c r="D27045" t="str">
        <v>-</v>
      </c>
      <c r="E27045" t="str">
        <v>-</v>
      </c>
      <c r="F27045" t="str">
        <v>-</v>
      </c>
      <c r="G27045" t="str">
        <v>-</v>
      </c>
    </row>
    <row r="27046">
      <c r="B27046" t="str">
        <v>Công an xã Rờ Kơi tỉnh Kon Tum</v>
      </c>
      <c r="C27046" t="str">
        <v>-</v>
      </c>
      <c r="D27046" t="str">
        <v>-</v>
      </c>
      <c r="E27046" t="str">
        <v/>
      </c>
      <c r="F27046" t="str">
        <v>-</v>
      </c>
      <c r="G27046" t="str">
        <v>-</v>
      </c>
    </row>
    <row r="27047">
      <c r="B27047" t="str">
        <v>UBND Ủy ban nhân dân xã Rờ Kơi tỉnh Kon Tum</v>
      </c>
      <c r="C27047" t="str">
        <v>-</v>
      </c>
      <c r="D27047" t="str">
        <v>-</v>
      </c>
      <c r="E27047" t="str">
        <v>-</v>
      </c>
      <c r="F27047" t="str">
        <v>-</v>
      </c>
      <c r="G27047" t="str">
        <v>-</v>
      </c>
    </row>
    <row r="27048" xml:space="preserve">
      <c r="B27048" t="str" xml:space="preserve">
        <v xml:space="preserve">Công an xã Sào Báy _x000d_
 tỉnh Hòa Bình</v>
      </c>
      <c r="C27048" t="str">
        <v>-</v>
      </c>
      <c r="D27048" t="str">
        <v>-</v>
      </c>
      <c r="E27048" t="str">
        <v/>
      </c>
      <c r="F27048" t="str">
        <v>-</v>
      </c>
      <c r="G27048" t="str">
        <v>-</v>
      </c>
    </row>
    <row r="27049" xml:space="preserve">
      <c r="B27049" t="str" xml:space="preserve">
        <v xml:space="preserve">UBND Ủy ban nhân dân xã Sào Báy _x000d_
 tỉnh Hòa Bình</v>
      </c>
      <c r="C27049" t="str">
        <v>-</v>
      </c>
      <c r="D27049" t="str">
        <v>-</v>
      </c>
      <c r="E27049" t="str">
        <v>-</v>
      </c>
      <c r="F27049" t="str">
        <v>-</v>
      </c>
      <c r="G27049" t="str">
        <v>-</v>
      </c>
    </row>
    <row r="27050" xml:space="preserve">
      <c r="B27050" t="str" xml:space="preserve">
        <v xml:space="preserve">Công an xã Sá Tổng _x000d_
 tỉnh Điện Biên</v>
      </c>
      <c r="C27050" t="str">
        <v>-</v>
      </c>
      <c r="D27050" t="str">
        <v>-</v>
      </c>
      <c r="E27050" t="str">
        <v/>
      </c>
      <c r="F27050" t="str">
        <v>-</v>
      </c>
      <c r="G27050" t="str">
        <v>-</v>
      </c>
    </row>
    <row r="27051" xml:space="preserve">
      <c r="B27051" t="str" xml:space="preserve">
        <v xml:space="preserve">UBND Ủy ban nhân dân xã Sá Tổng _x000d_
 tỉnh Điện Biên</v>
      </c>
      <c r="C27051" t="str">
        <v>-</v>
      </c>
      <c r="D27051" t="str">
        <v>-</v>
      </c>
      <c r="E27051" t="str">
        <v>-</v>
      </c>
      <c r="F27051" t="str">
        <v>-</v>
      </c>
      <c r="G27051" t="str">
        <v>-</v>
      </c>
    </row>
    <row r="27052" xml:space="preserve">
      <c r="B27052" t="str" xml:space="preserve">
        <v xml:space="preserve">Công an xã Sông Lô _x000d_
 tỉnh Phú Thọ</v>
      </c>
      <c r="C27052" t="str">
        <v>-</v>
      </c>
      <c r="D27052" t="str">
        <v>-</v>
      </c>
      <c r="E27052" t="str">
        <v/>
      </c>
      <c r="F27052" t="str">
        <v>-</v>
      </c>
      <c r="G27052" t="str">
        <v>-</v>
      </c>
    </row>
    <row r="27053" xml:space="preserve">
      <c r="B27053" t="str" xml:space="preserve">
        <v xml:space="preserve">UBND Ủy ban nhân dân xã Sông Lô _x000d_
 tỉnh Phú Thọ</v>
      </c>
      <c r="C27053" t="str">
        <v>-</v>
      </c>
      <c r="D27053" t="str">
        <v>-</v>
      </c>
      <c r="E27053" t="str">
        <v>-</v>
      </c>
      <c r="F27053" t="str">
        <v>-</v>
      </c>
      <c r="G27053" t="str">
        <v>-</v>
      </c>
    </row>
    <row r="27054" xml:space="preserve">
      <c r="B27054" t="str" xml:space="preserve">
        <v xml:space="preserve">Công an xã Sông Ray _x000d_
 tỉnh Quảng Nam</v>
      </c>
      <c r="C27054" t="str">
        <v>-</v>
      </c>
      <c r="D27054" t="str">
        <v>-</v>
      </c>
      <c r="E27054" t="str">
        <v/>
      </c>
      <c r="F27054" t="str">
        <v>-</v>
      </c>
      <c r="G27054" t="str">
        <v>-</v>
      </c>
    </row>
    <row r="27055" xml:space="preserve">
      <c r="B27055" t="str" xml:space="preserve">
        <v xml:space="preserve">UBND Ủy ban nhân dân xã Sông Ray _x000d_
 tỉnh Quảng Nam</v>
      </c>
      <c r="C27055" t="str">
        <v>-</v>
      </c>
      <c r="D27055" t="str">
        <v>-</v>
      </c>
      <c r="E27055" t="str">
        <v>-</v>
      </c>
      <c r="F27055" t="str">
        <v>-</v>
      </c>
      <c r="G27055" t="str">
        <v>-</v>
      </c>
    </row>
    <row r="27056" xml:space="preserve">
      <c r="B27056" t="str" xml:space="preserve">
        <v xml:space="preserve">Công an xã Sông Trà _x000d_
 tỉnh Quảng Nam</v>
      </c>
      <c r="C27056" t="str">
        <v>-</v>
      </c>
      <c r="D27056" t="str">
        <v>-</v>
      </c>
      <c r="E27056" t="str">
        <v/>
      </c>
      <c r="F27056" t="str">
        <v>-</v>
      </c>
      <c r="G27056" t="str">
        <v>-</v>
      </c>
    </row>
    <row r="27057" xml:space="preserve">
      <c r="B27057" t="str" xml:space="preserve">
        <v xml:space="preserve">UBND Ủy ban nhân dân xã Sông Trà _x000d_
 tỉnh Quảng Nam</v>
      </c>
      <c r="C27057" t="str">
        <v>-</v>
      </c>
      <c r="D27057" t="str">
        <v>-</v>
      </c>
      <c r="E27057" t="str">
        <v>-</v>
      </c>
      <c r="F27057" t="str">
        <v>-</v>
      </c>
      <c r="G27057" t="str">
        <v>-</v>
      </c>
    </row>
    <row r="27058" xml:space="preserve">
      <c r="B27058" t="str" xml:space="preserve">
        <v xml:space="preserve">Công an xã Sơn Định _x000d_
 tỉnh Bến Tre</v>
      </c>
      <c r="C27058" t="str">
        <v>-</v>
      </c>
      <c r="D27058" t="str">
        <v>-</v>
      </c>
      <c r="E27058" t="str">
        <v/>
      </c>
      <c r="F27058" t="str">
        <v>-</v>
      </c>
      <c r="G27058" t="str">
        <v>-</v>
      </c>
    </row>
    <row r="27059" xml:space="preserve">
      <c r="B27059" t="str" xml:space="preserve">
        <v xml:space="preserve">UBND Ủy ban nhân dân xã Sơn Định _x000d_
 tỉnh Bến Tre</v>
      </c>
      <c r="C27059" t="str">
        <v>-</v>
      </c>
      <c r="D27059" t="str">
        <v>-</v>
      </c>
      <c r="E27059" t="str">
        <v>-</v>
      </c>
      <c r="F27059" t="str">
        <v>-</v>
      </c>
      <c r="G27059" t="str">
        <v>-</v>
      </c>
    </row>
    <row r="27060">
      <c r="B27060" t="str">
        <v>Công an xã Sơn Bình tỉnh Hà Tĩnh</v>
      </c>
      <c r="C27060" t="str">
        <v>-</v>
      </c>
      <c r="D27060" t="str">
        <v>-</v>
      </c>
      <c r="E27060" t="str">
        <v/>
      </c>
      <c r="F27060" t="str">
        <v>-</v>
      </c>
      <c r="G27060" t="str">
        <v>-</v>
      </c>
    </row>
    <row r="27061">
      <c r="B27061" t="str">
        <v>UBND Ủy ban nhân dân xã Sơn Bình tỉnh Hà Tĩnh</v>
      </c>
      <c r="C27061" t="str">
        <v>-</v>
      </c>
      <c r="D27061" t="str">
        <v>-</v>
      </c>
      <c r="E27061" t="str">
        <v>-</v>
      </c>
      <c r="F27061" t="str">
        <v>-</v>
      </c>
      <c r="G27061" t="str">
        <v>-</v>
      </c>
    </row>
    <row r="27062" xml:space="preserve">
      <c r="B27062" t="str" xml:space="preserve">
        <v xml:space="preserve">Công an xã Sơn Bình _x000d_
 tỉnh Bà Rịa - Vũng Tàu</v>
      </c>
      <c r="C27062" t="str">
        <v>-</v>
      </c>
      <c r="D27062" t="str">
        <v>-</v>
      </c>
      <c r="E27062" t="str">
        <v/>
      </c>
      <c r="F27062" t="str">
        <v>-</v>
      </c>
      <c r="G27062" t="str">
        <v>-</v>
      </c>
    </row>
    <row r="27063" xml:space="preserve">
      <c r="B27063" t="str" xml:space="preserve">
        <v xml:space="preserve">UBND Ủy ban nhân dân xã Sơn Bình _x000d_
 tỉnh Bà Rịa - Vũng Tàu</v>
      </c>
      <c r="C27063" t="str">
        <v>-</v>
      </c>
      <c r="D27063" t="str">
        <v>-</v>
      </c>
      <c r="E27063" t="str">
        <v>-</v>
      </c>
      <c r="F27063" t="str">
        <v>-</v>
      </c>
      <c r="G27063" t="str">
        <v>-</v>
      </c>
    </row>
    <row r="27064">
      <c r="B27064" t="str">
        <v>Công an xã Sơn Bằng tỉnh Hà Tĩnh</v>
      </c>
      <c r="C27064" t="str">
        <v>-</v>
      </c>
      <c r="D27064" t="str">
        <v>-</v>
      </c>
      <c r="E27064" t="str">
        <v/>
      </c>
      <c r="F27064" t="str">
        <v>-</v>
      </c>
      <c r="G27064" t="str">
        <v>-</v>
      </c>
    </row>
    <row r="27065">
      <c r="B27065" t="str">
        <v>UBND Ủy ban nhân dân xã Sơn Bằng tỉnh Hà Tĩnh</v>
      </c>
      <c r="C27065" t="str">
        <v>-</v>
      </c>
      <c r="D27065" t="str">
        <v>-</v>
      </c>
      <c r="E27065" t="str">
        <v>-</v>
      </c>
      <c r="F27065" t="str">
        <v>-</v>
      </c>
      <c r="G27065" t="str">
        <v>-</v>
      </c>
    </row>
    <row r="27066">
      <c r="B27066" t="str">
        <v>Công an xã Sơn Giang tỉnh Hà Tĩnh</v>
      </c>
      <c r="C27066" t="str">
        <v>-</v>
      </c>
      <c r="D27066" t="str">
        <v>-</v>
      </c>
      <c r="E27066" t="str">
        <v/>
      </c>
      <c r="F27066" t="str">
        <v>-</v>
      </c>
      <c r="G27066" t="str">
        <v>-</v>
      </c>
    </row>
    <row r="27067">
      <c r="B27067" t="str">
        <v>UBND Ủy ban nhân dân xã Sơn Giang tỉnh Hà Tĩnh</v>
      </c>
      <c r="C27067" t="str">
        <v>-</v>
      </c>
      <c r="D27067" t="str">
        <v>-</v>
      </c>
      <c r="E27067" t="str">
        <v>-</v>
      </c>
      <c r="F27067" t="str">
        <v>-</v>
      </c>
      <c r="G27067" t="str">
        <v>-</v>
      </c>
    </row>
    <row r="27068" xml:space="preserve">
      <c r="B27068" t="str" xml:space="preserve">
        <v xml:space="preserve">Công an xã Sơn Hà _x000d_
 tỉnh Thái Bình</v>
      </c>
      <c r="C27068" t="str">
        <v>-</v>
      </c>
      <c r="D27068" t="str">
        <v>-</v>
      </c>
      <c r="E27068" t="str">
        <v/>
      </c>
      <c r="F27068" t="str">
        <v>-</v>
      </c>
      <c r="G27068" t="str">
        <v>-</v>
      </c>
    </row>
    <row r="27069" xml:space="preserve">
      <c r="B27069" t="str" xml:space="preserve">
        <v xml:space="preserve">UBND Ủy ban nhân dân xã Sơn Hà _x000d_
 tỉnh Thái Bình</v>
      </c>
      <c r="C27069" t="str">
        <v>-</v>
      </c>
      <c r="D27069" t="str">
        <v>-</v>
      </c>
      <c r="E27069" t="str">
        <v>-</v>
      </c>
      <c r="F27069" t="str">
        <v>-</v>
      </c>
      <c r="G27069" t="str">
        <v>-</v>
      </c>
    </row>
    <row r="27070" xml:space="preserve">
      <c r="B27070" t="str" xml:space="preserve">
        <v xml:space="preserve">Công an xã Sơn Hòa _x000d_
 tỉnh Bến Tre</v>
      </c>
      <c r="C27070" t="str">
        <v>-</v>
      </c>
      <c r="D27070" t="str">
        <v>-</v>
      </c>
      <c r="E27070" t="str">
        <v/>
      </c>
      <c r="F27070" t="str">
        <v>-</v>
      </c>
      <c r="G27070" t="str">
        <v>-</v>
      </c>
    </row>
    <row r="27071" xml:space="preserve">
      <c r="B27071" t="str" xml:space="preserve">
        <v xml:space="preserve">UBND Ủy ban nhân dân xã Sơn Hòa _x000d_
 tỉnh Bến Tre</v>
      </c>
      <c r="C27071" t="str">
        <v>-</v>
      </c>
      <c r="D27071" t="str">
        <v>-</v>
      </c>
      <c r="E27071" t="str">
        <v>-</v>
      </c>
      <c r="F27071" t="str">
        <v>-</v>
      </c>
      <c r="G27071" t="str">
        <v>-</v>
      </c>
    </row>
    <row r="27072">
      <c r="B27072" t="str">
        <v>Công an xã Sơn Hóa tỉnh Bến Tre</v>
      </c>
      <c r="C27072" t="str">
        <v>-</v>
      </c>
      <c r="D27072" t="str">
        <v>-</v>
      </c>
      <c r="E27072" t="str">
        <v/>
      </c>
      <c r="F27072" t="str">
        <v>-</v>
      </c>
      <c r="G27072" t="str">
        <v>-</v>
      </c>
    </row>
    <row r="27073">
      <c r="B27073" t="str">
        <v>UBND Ủy ban nhân dân xã Sơn Hóa tỉnh Bến Tre</v>
      </c>
      <c r="C27073" t="str">
        <v>-</v>
      </c>
      <c r="D27073" t="str">
        <v>-</v>
      </c>
      <c r="E27073" t="str">
        <v>-</v>
      </c>
      <c r="F27073" t="str">
        <v>-</v>
      </c>
      <c r="G27073" t="str">
        <v>-</v>
      </c>
    </row>
    <row r="27074">
      <c r="B27074" t="str">
        <v>Công an xã Sơn Hải tỉnh Kiên Giang</v>
      </c>
      <c r="C27074" t="str">
        <v>-</v>
      </c>
      <c r="D27074" t="str">
        <v>-</v>
      </c>
      <c r="E27074" t="str">
        <v/>
      </c>
      <c r="F27074" t="str">
        <v>-</v>
      </c>
      <c r="G27074" t="str">
        <v>-</v>
      </c>
    </row>
    <row r="27075">
      <c r="B27075" t="str">
        <v>UBND Ủy ban nhân dân xã Sơn Hải tỉnh Kiên Giang</v>
      </c>
      <c r="C27075" t="str">
        <v>-</v>
      </c>
      <c r="D27075" t="str">
        <v>-</v>
      </c>
      <c r="E27075" t="str">
        <v>-</v>
      </c>
      <c r="F27075" t="str">
        <v>-</v>
      </c>
      <c r="G27075" t="str">
        <v>-</v>
      </c>
    </row>
    <row r="27076">
      <c r="B27076" t="str">
        <v>Công an xã Sơn Lập tỉnh Cao Bằng</v>
      </c>
      <c r="C27076" t="str">
        <v>-</v>
      </c>
      <c r="D27076" t="str">
        <v>-</v>
      </c>
      <c r="E27076" t="str">
        <v/>
      </c>
      <c r="F27076" t="str">
        <v>-</v>
      </c>
      <c r="G27076" t="str">
        <v>-</v>
      </c>
    </row>
    <row r="27077">
      <c r="B27077" t="str">
        <v>UBND Ủy ban nhân dân xã Sơn Lập tỉnh Cao Bằng</v>
      </c>
      <c r="C27077" t="str">
        <v>-</v>
      </c>
      <c r="D27077" t="str">
        <v>-</v>
      </c>
      <c r="E27077" t="str">
        <v>-</v>
      </c>
      <c r="F27077" t="str">
        <v>-</v>
      </c>
      <c r="G27077" t="str">
        <v>-</v>
      </c>
    </row>
    <row r="27078" xml:space="preserve">
      <c r="B27078" t="str" xml:space="preserve">
        <v xml:space="preserve">Công an xã Sơn Lễ _x000d_
 tỉnh Hà Tĩnh</v>
      </c>
      <c r="C27078" t="str">
        <v>-</v>
      </c>
      <c r="D27078" t="str">
        <v>-</v>
      </c>
      <c r="E27078" t="str">
        <v/>
      </c>
      <c r="F27078" t="str">
        <v>-</v>
      </c>
      <c r="G27078" t="str">
        <v>-</v>
      </c>
    </row>
    <row r="27079" xml:space="preserve">
      <c r="B27079" t="str" xml:space="preserve">
        <v xml:space="preserve">UBND Ủy ban nhân dân xã Sơn Lễ _x000d_
 tỉnh Hà Tĩnh</v>
      </c>
      <c r="C27079" t="str">
        <v>-</v>
      </c>
      <c r="D27079" t="str">
        <v>-</v>
      </c>
      <c r="E27079" t="str">
        <v>-</v>
      </c>
      <c r="F27079" t="str">
        <v>-</v>
      </c>
      <c r="G27079" t="str">
        <v>-</v>
      </c>
    </row>
    <row r="27080">
      <c r="B27080" t="str">
        <v>Công an xã Sơn Lộ tỉnh Cao Bằng</v>
      </c>
      <c r="C27080" t="str">
        <v>-</v>
      </c>
      <c r="D27080" t="str">
        <v>-</v>
      </c>
      <c r="E27080" t="str">
        <v/>
      </c>
      <c r="F27080" t="str">
        <v>-</v>
      </c>
      <c r="G27080" t="str">
        <v>-</v>
      </c>
    </row>
    <row r="27081">
      <c r="B27081" t="str">
        <v>UBND Ủy ban nhân dân xã Sơn Lộ tỉnh Cao Bằng</v>
      </c>
      <c r="C27081" t="str">
        <v>-</v>
      </c>
      <c r="D27081" t="str">
        <v>-</v>
      </c>
      <c r="E27081" t="str">
        <v>-</v>
      </c>
      <c r="F27081" t="str">
        <v>-</v>
      </c>
      <c r="G27081" t="str">
        <v>-</v>
      </c>
    </row>
    <row r="27082">
      <c r="B27082" t="str">
        <v>Công an xã Sơn Lộc tỉnh Hà Tĩnh</v>
      </c>
      <c r="C27082" t="str">
        <v>-</v>
      </c>
      <c r="D27082" t="str">
        <v>-</v>
      </c>
      <c r="E27082" t="str">
        <v/>
      </c>
      <c r="F27082" t="str">
        <v>-</v>
      </c>
      <c r="G27082" t="str">
        <v>-</v>
      </c>
    </row>
    <row r="27083">
      <c r="B27083" t="str">
        <v>UBND Ủy ban nhân dân xã Sơn Lộc tỉnh Hà Tĩnh</v>
      </c>
      <c r="C27083" t="str">
        <v>-</v>
      </c>
      <c r="D27083" t="str">
        <v>-</v>
      </c>
      <c r="E27083" t="str">
        <v>-</v>
      </c>
      <c r="F27083" t="str">
        <v>-</v>
      </c>
      <c r="G27083" t="str">
        <v>-</v>
      </c>
    </row>
    <row r="27084">
      <c r="B27084" t="str">
        <v>Công an xã Sơn Lai tỉnh Ninh Bình</v>
      </c>
      <c r="C27084" t="str">
        <v>-</v>
      </c>
      <c r="D27084" t="str">
        <v>-</v>
      </c>
      <c r="E27084" t="str">
        <v/>
      </c>
      <c r="F27084" t="str">
        <v>-</v>
      </c>
      <c r="G27084" t="str">
        <v>-</v>
      </c>
    </row>
    <row r="27085">
      <c r="B27085" t="str">
        <v>UBND Ủy ban nhân dân xã Sơn Lai tỉnh Ninh Bình</v>
      </c>
      <c r="C27085" t="str">
        <v>-</v>
      </c>
      <c r="D27085" t="str">
        <v>-</v>
      </c>
      <c r="E27085" t="str">
        <v>-</v>
      </c>
      <c r="F27085" t="str">
        <v>-</v>
      </c>
      <c r="G27085" t="str">
        <v>-</v>
      </c>
    </row>
    <row r="27086">
      <c r="B27086" t="str">
        <v>Công an xã Sơn Lang tỉnh Gia Lai</v>
      </c>
      <c r="C27086" t="str">
        <v>-</v>
      </c>
      <c r="D27086" t="str">
        <v>-</v>
      </c>
      <c r="E27086" t="str">
        <v/>
      </c>
      <c r="F27086" t="str">
        <v>-</v>
      </c>
      <c r="G27086" t="str">
        <v>-</v>
      </c>
    </row>
    <row r="27087">
      <c r="B27087" t="str">
        <v>UBND Ủy ban nhân dân xã Sơn Lang tỉnh Gia Lai</v>
      </c>
      <c r="C27087" t="str">
        <v>-</v>
      </c>
      <c r="D27087" t="str">
        <v>-</v>
      </c>
      <c r="E27087" t="str">
        <v>-</v>
      </c>
      <c r="F27087" t="str">
        <v>-</v>
      </c>
      <c r="G27087" t="str">
        <v>-</v>
      </c>
    </row>
    <row r="27088" xml:space="preserve">
      <c r="B27088" t="str" xml:space="preserve">
        <v xml:space="preserve">Công an xã Sơn Nam _x000d_
 tỉnh Tuyên Quang</v>
      </c>
      <c r="C27088" t="str">
        <v>-</v>
      </c>
      <c r="D27088" t="str">
        <v>-</v>
      </c>
      <c r="E27088" t="str">
        <v/>
      </c>
      <c r="F27088" t="str">
        <v>-</v>
      </c>
      <c r="G27088" t="str">
        <v>-</v>
      </c>
    </row>
    <row r="27089" xml:space="preserve">
      <c r="B27089" t="str" xml:space="preserve">
        <v xml:space="preserve">UBND Ủy ban nhân dân xã Sơn Nam _x000d_
 tỉnh Tuyên Quang</v>
      </c>
      <c r="C27089" t="str">
        <v>-</v>
      </c>
      <c r="D27089" t="str">
        <v>-</v>
      </c>
      <c r="E27089" t="str">
        <v>-</v>
      </c>
      <c r="F27089" t="str">
        <v>-</v>
      </c>
      <c r="G27089" t="str">
        <v>-</v>
      </c>
    </row>
    <row r="27090" xml:space="preserve">
      <c r="B27090" t="str" xml:space="preserve">
        <v xml:space="preserve">Công an xã Sơn Phú _x000d_
 tỉnh Bến Tre</v>
      </c>
      <c r="C27090" t="str">
        <v>-</v>
      </c>
      <c r="D27090" t="str">
        <v>-</v>
      </c>
      <c r="E27090" t="str">
        <v/>
      </c>
      <c r="F27090" t="str">
        <v>-</v>
      </c>
      <c r="G27090" t="str">
        <v>-</v>
      </c>
    </row>
    <row r="27091" xml:space="preserve">
      <c r="B27091" t="str" xml:space="preserve">
        <v xml:space="preserve">UBND Ủy ban nhân dân xã Sơn Phú _x000d_
 tỉnh Bến Tre</v>
      </c>
      <c r="C27091" t="str">
        <v>-</v>
      </c>
      <c r="D27091" t="str">
        <v>-</v>
      </c>
      <c r="E27091" t="str">
        <v>-</v>
      </c>
      <c r="F27091" t="str">
        <v>-</v>
      </c>
      <c r="G27091" t="str">
        <v>-</v>
      </c>
    </row>
    <row r="27092" xml:space="preserve">
      <c r="B27092" t="str" xml:space="preserve">
        <v xml:space="preserve">Công an xã Sơn Phú _x000d_
 tỉnh Tuyên Quang</v>
      </c>
      <c r="C27092" t="str">
        <v>-</v>
      </c>
      <c r="D27092" t="str">
        <v>-</v>
      </c>
      <c r="E27092" t="str">
        <v/>
      </c>
      <c r="F27092" t="str">
        <v>-</v>
      </c>
      <c r="G27092" t="str">
        <v>-</v>
      </c>
    </row>
    <row r="27093" xml:space="preserve">
      <c r="B27093" t="str" xml:space="preserve">
        <v xml:space="preserve">UBND Ủy ban nhân dân xã Sơn Phú _x000d_
 tỉnh Tuyên Quang</v>
      </c>
      <c r="C27093" t="str">
        <v>-</v>
      </c>
      <c r="D27093" t="str">
        <v>-</v>
      </c>
      <c r="E27093" t="str">
        <v>-</v>
      </c>
      <c r="F27093" t="str">
        <v>-</v>
      </c>
      <c r="G27093" t="str">
        <v>-</v>
      </c>
    </row>
    <row r="27094">
      <c r="B27094" t="str">
        <v>Công an xã Sơn Thủy tỉnh Quảng Bình</v>
      </c>
      <c r="C27094" t="str">
        <v>-</v>
      </c>
      <c r="D27094" t="str">
        <v>-</v>
      </c>
      <c r="E27094" t="str">
        <v/>
      </c>
      <c r="F27094" t="str">
        <v>-</v>
      </c>
      <c r="G27094" t="str">
        <v>-</v>
      </c>
    </row>
    <row r="27095">
      <c r="B27095" t="str">
        <v>UBND Ủy ban nhân dân xã Sơn Thủy tỉnh Quảng Bình</v>
      </c>
      <c r="C27095" t="str">
        <v>-</v>
      </c>
      <c r="D27095" t="str">
        <v>-</v>
      </c>
      <c r="E27095" t="str">
        <v>-</v>
      </c>
      <c r="F27095" t="str">
        <v>-</v>
      </c>
      <c r="G27095" t="str">
        <v>-</v>
      </c>
    </row>
    <row r="27096" xml:space="preserve">
      <c r="B27096" t="str" xml:space="preserve">
        <v xml:space="preserve">Công an xã Sam Mứn _x000d_
 tỉnh Điện Biên</v>
      </c>
      <c r="C27096" t="str">
        <v>-</v>
      </c>
      <c r="D27096" t="str">
        <v>-</v>
      </c>
      <c r="E27096" t="str">
        <v/>
      </c>
      <c r="F27096" t="str">
        <v>-</v>
      </c>
      <c r="G27096" t="str">
        <v>-</v>
      </c>
    </row>
    <row r="27097" xml:space="preserve">
      <c r="B27097" t="str" xml:space="preserve">
        <v xml:space="preserve">UBND Ủy ban nhân dân xã Sam Mứn _x000d_
 tỉnh Điện Biên</v>
      </c>
      <c r="C27097" t="str">
        <v>-</v>
      </c>
      <c r="D27097" t="str">
        <v>-</v>
      </c>
      <c r="E27097" t="str">
        <v>-</v>
      </c>
      <c r="F27097" t="str">
        <v>-</v>
      </c>
      <c r="G27097" t="str">
        <v>-</v>
      </c>
    </row>
    <row r="27098" xml:space="preserve">
      <c r="B27098" t="str" xml:space="preserve">
        <v xml:space="preserve">Công an xã Sa Nghĩa _x000d_
 tỉnh Kon Tum</v>
      </c>
      <c r="C27098" t="str">
        <v>-</v>
      </c>
      <c r="D27098" t="str">
        <v>-</v>
      </c>
      <c r="E27098" t="str">
        <v/>
      </c>
      <c r="F27098" t="str">
        <v>-</v>
      </c>
      <c r="G27098" t="str">
        <v>-</v>
      </c>
    </row>
    <row r="27099" xml:space="preserve">
      <c r="B27099" t="str" xml:space="preserve">
        <v xml:space="preserve">UBND Ủy ban nhân dân xã Sa Nghĩa _x000d_
 tỉnh Kon Tum</v>
      </c>
      <c r="C27099" t="str">
        <v>-</v>
      </c>
      <c r="D27099" t="str">
        <v>-</v>
      </c>
      <c r="E27099" t="str">
        <v>-</v>
      </c>
      <c r="F27099" t="str">
        <v>-</v>
      </c>
      <c r="G27099" t="str">
        <v>-</v>
      </c>
    </row>
    <row r="27100">
      <c r="B27100" t="str">
        <v>Công an xã Sinh Long tỉnh Tuyên Quang</v>
      </c>
      <c r="C27100" t="str">
        <v>-</v>
      </c>
      <c r="D27100" t="str">
        <v>-</v>
      </c>
      <c r="E27100" t="str">
        <v/>
      </c>
      <c r="F27100" t="str">
        <v>-</v>
      </c>
      <c r="G27100" t="str">
        <v>-</v>
      </c>
    </row>
    <row r="27101">
      <c r="B27101" t="str">
        <v>UBND Ủy ban nhân dân xã Sinh Long tỉnh Tuyên Quang</v>
      </c>
      <c r="C27101" t="str">
        <v>-</v>
      </c>
      <c r="D27101" t="str">
        <v>-</v>
      </c>
      <c r="E27101" t="str">
        <v>-</v>
      </c>
      <c r="F27101" t="str">
        <v>-</v>
      </c>
      <c r="G27101" t="str">
        <v>-</v>
      </c>
    </row>
    <row r="27102" xml:space="preserve">
      <c r="B27102" t="str" xml:space="preserve">
        <v xml:space="preserve">Công an xã Song An _x000d_
 tỉnh Gia Lai</v>
      </c>
      <c r="C27102" t="str">
        <v>-</v>
      </c>
      <c r="D27102" t="str">
        <v>-</v>
      </c>
      <c r="E27102" t="str">
        <v/>
      </c>
      <c r="F27102" t="str">
        <v>-</v>
      </c>
      <c r="G27102" t="str">
        <v>-</v>
      </c>
    </row>
    <row r="27103" xml:space="preserve">
      <c r="B27103" t="str" xml:space="preserve">
        <v xml:space="preserve">UBND Ủy ban nhân dân xã Song An _x000d_
 tỉnh Gia Lai</v>
      </c>
      <c r="C27103" t="str">
        <v>-</v>
      </c>
      <c r="D27103" t="str">
        <v>-</v>
      </c>
      <c r="E27103" t="str">
        <v>-</v>
      </c>
      <c r="F27103" t="str">
        <v>-</v>
      </c>
      <c r="G27103" t="str">
        <v>-</v>
      </c>
    </row>
    <row r="27104" xml:space="preserve">
      <c r="B27104" t="str" xml:space="preserve">
        <v xml:space="preserve">Công an xã Song An _x000d_
 tỉnh Gia Lai</v>
      </c>
      <c r="C27104" t="str">
        <v>-</v>
      </c>
      <c r="D27104" t="str">
        <v>-</v>
      </c>
      <c r="E27104" t="str">
        <v/>
      </c>
      <c r="F27104" t="str">
        <v>-</v>
      </c>
      <c r="G27104" t="str">
        <v>-</v>
      </c>
    </row>
    <row r="27105" xml:space="preserve">
      <c r="B27105" t="str" xml:space="preserve">
        <v xml:space="preserve">UBND Ủy ban nhân dân xã Song An _x000d_
 tỉnh Gia Lai</v>
      </c>
      <c r="C27105" t="str">
        <v>-</v>
      </c>
      <c r="D27105" t="str">
        <v>-</v>
      </c>
      <c r="E27105" t="str">
        <v>-</v>
      </c>
      <c r="F27105" t="str">
        <v>-</v>
      </c>
      <c r="G27105" t="str">
        <v>-</v>
      </c>
    </row>
    <row r="27106">
      <c r="B27106" t="str">
        <v>Công an phường Song Hồ tỉnh Bắc Ninh</v>
      </c>
      <c r="C27106" t="str">
        <v>-</v>
      </c>
      <c r="D27106" t="str">
        <v>-</v>
      </c>
      <c r="E27106" t="str">
        <v/>
      </c>
      <c r="F27106" t="str">
        <v>-</v>
      </c>
      <c r="G27106" t="str">
        <v>-</v>
      </c>
    </row>
    <row r="27107">
      <c r="B27107" t="str">
        <v>UBND Ủy ban nhân dân phường Song Hồ tỉnh Bắc Ninh</v>
      </c>
      <c r="C27107" t="str">
        <v>-</v>
      </c>
      <c r="D27107" t="str">
        <v>-</v>
      </c>
      <c r="E27107" t="str">
        <v>-</v>
      </c>
      <c r="F27107" t="str">
        <v>-</v>
      </c>
      <c r="G27107" t="str">
        <v>-</v>
      </c>
    </row>
    <row r="27108" xml:space="preserve">
      <c r="B27108" t="str" xml:space="preserve">
        <v xml:space="preserve">Công an xã Song Pe _x000d_
 tỉnh Sơn La</v>
      </c>
      <c r="C27108" t="str">
        <v>-</v>
      </c>
      <c r="D27108" t="str">
        <v>-</v>
      </c>
      <c r="E27108" t="str">
        <v/>
      </c>
      <c r="F27108" t="str">
        <v>-</v>
      </c>
      <c r="G27108" t="str">
        <v>-</v>
      </c>
    </row>
    <row r="27109" xml:space="preserve">
      <c r="B27109" t="str" xml:space="preserve">
        <v xml:space="preserve">UBND Ủy ban nhân dân xã Song Pe _x000d_
 tỉnh Sơn La</v>
      </c>
      <c r="C27109" t="str">
        <v>-</v>
      </c>
      <c r="D27109" t="str">
        <v>-</v>
      </c>
      <c r="E27109" t="str">
        <v>-</v>
      </c>
      <c r="F27109" t="str">
        <v>-</v>
      </c>
      <c r="G27109" t="str">
        <v>-</v>
      </c>
    </row>
    <row r="27110">
      <c r="B27110" t="str">
        <v>Công an xã Song Thuận tỉnh TIỀN GIANG</v>
      </c>
      <c r="C27110" t="str">
        <v>-</v>
      </c>
      <c r="D27110" t="str">
        <v>-</v>
      </c>
      <c r="E27110" t="str">
        <v/>
      </c>
      <c r="F27110" t="str">
        <v>-</v>
      </c>
      <c r="G27110" t="str">
        <v>-</v>
      </c>
    </row>
    <row r="27111">
      <c r="B27111" t="str">
        <v>UBND Ủy ban nhân dân xã Song Thuận tỉnh TIỀN GIANG</v>
      </c>
      <c r="C27111" t="str">
        <v>-</v>
      </c>
      <c r="D27111" t="str">
        <v>-</v>
      </c>
      <c r="E27111" t="str">
        <v>-</v>
      </c>
      <c r="F27111" t="str">
        <v>-</v>
      </c>
      <c r="G27111" t="str">
        <v>-</v>
      </c>
    </row>
    <row r="27112" xml:space="preserve">
      <c r="B27112" t="str" xml:space="preserve">
        <v xml:space="preserve">Công an xã Suối Đá _x000d_
 tỉnh TÂY NINH</v>
      </c>
      <c r="C27112" t="str">
        <v>-</v>
      </c>
      <c r="D27112" t="str">
        <v>-</v>
      </c>
      <c r="E27112" t="str">
        <v/>
      </c>
      <c r="F27112" t="str">
        <v>-</v>
      </c>
      <c r="G27112" t="str">
        <v>-</v>
      </c>
    </row>
    <row r="27113" xml:space="preserve">
      <c r="B27113" t="str" xml:space="preserve">
        <v xml:space="preserve">UBND Ủy ban nhân dân xã Suối Đá _x000d_
 tỉnh TÂY NINH</v>
      </c>
      <c r="C27113" t="str">
        <v>-</v>
      </c>
      <c r="D27113" t="str">
        <v>-</v>
      </c>
      <c r="E27113" t="str">
        <v>-</v>
      </c>
      <c r="F27113" t="str">
        <v>-</v>
      </c>
      <c r="G27113" t="str">
        <v>-</v>
      </c>
    </row>
    <row r="27114">
      <c r="B27114" t="str">
        <v>Công an xã Suối Bau tỉnh Sơn La</v>
      </c>
      <c r="C27114" t="str">
        <v>-</v>
      </c>
      <c r="D27114" t="str">
        <v>-</v>
      </c>
      <c r="E27114" t="str">
        <v/>
      </c>
      <c r="F27114" t="str">
        <v>-</v>
      </c>
      <c r="G27114" t="str">
        <v>-</v>
      </c>
    </row>
    <row r="27115">
      <c r="B27115" t="str">
        <v>UBND Ủy ban nhân dân xã Suối Bau tỉnh Sơn La</v>
      </c>
      <c r="C27115" t="str">
        <v>-</v>
      </c>
      <c r="D27115" t="str">
        <v>-</v>
      </c>
      <c r="E27115" t="str">
        <v>-</v>
      </c>
      <c r="F27115" t="str">
        <v>-</v>
      </c>
      <c r="G27115" t="str">
        <v>-</v>
      </c>
    </row>
    <row r="27116">
      <c r="B27116" t="str">
        <v>Công an xã Suối Tọ tỉnh Sơn La</v>
      </c>
      <c r="C27116" t="str">
        <v>-</v>
      </c>
      <c r="D27116" t="str">
        <v>-</v>
      </c>
      <c r="E27116" t="str">
        <v/>
      </c>
      <c r="F27116" t="str">
        <v>-</v>
      </c>
      <c r="G27116" t="str">
        <v>-</v>
      </c>
    </row>
    <row r="27117">
      <c r="B27117" t="str">
        <v>UBND Ủy ban nhân dân xã Suối Tọ tỉnh Sơn La</v>
      </c>
      <c r="C27117" t="str">
        <v>-</v>
      </c>
      <c r="D27117" t="str">
        <v>-</v>
      </c>
      <c r="E27117" t="str">
        <v>-</v>
      </c>
      <c r="F27117" t="str">
        <v>-</v>
      </c>
      <c r="G27117" t="str">
        <v>-</v>
      </c>
    </row>
    <row r="27118">
      <c r="B27118" t="str">
        <v>Công an xã Tà Hộc tỉnh Sơn La</v>
      </c>
      <c r="C27118" t="str">
        <v>-</v>
      </c>
      <c r="D27118" t="str">
        <v>-</v>
      </c>
      <c r="E27118" t="str">
        <v/>
      </c>
      <c r="F27118" t="str">
        <v>-</v>
      </c>
      <c r="G27118" t="str">
        <v>-</v>
      </c>
    </row>
    <row r="27119">
      <c r="B27119" t="str">
        <v>UBND Ủy ban nhân dân xã Tà Hộc tỉnh Sơn La</v>
      </c>
      <c r="C27119" t="str">
        <v>-</v>
      </c>
      <c r="D27119" t="str">
        <v>-</v>
      </c>
      <c r="E27119" t="str">
        <v>-</v>
      </c>
      <c r="F27119" t="str">
        <v>-</v>
      </c>
      <c r="G27119" t="str">
        <v>-</v>
      </c>
    </row>
    <row r="27120">
      <c r="B27120" t="str">
        <v>Công an xã Tà Hừa  tỉnh Lai Châu</v>
      </c>
      <c r="C27120" t="str">
        <v>-</v>
      </c>
      <c r="D27120" t="str">
        <v>-</v>
      </c>
      <c r="E27120" t="str">
        <v/>
      </c>
      <c r="F27120" t="str">
        <v>-</v>
      </c>
      <c r="G27120" t="str">
        <v>-</v>
      </c>
    </row>
    <row r="27121">
      <c r="B27121" t="str">
        <v>UBND Ủy ban nhân dân xã Tà Hừa  tỉnh Lai Châu</v>
      </c>
      <c r="C27121" t="str">
        <v>-</v>
      </c>
      <c r="D27121" t="str">
        <v>-</v>
      </c>
      <c r="E27121" t="str">
        <v>-</v>
      </c>
      <c r="F27121" t="str">
        <v>-</v>
      </c>
      <c r="G27121" t="str">
        <v>-</v>
      </c>
    </row>
    <row r="27122">
      <c r="B27122" t="str">
        <v>Công an xã Tà Lại tỉnh Sơn La</v>
      </c>
      <c r="C27122" t="str">
        <v>-</v>
      </c>
      <c r="D27122" t="str">
        <v>-</v>
      </c>
      <c r="E27122" t="str">
        <v/>
      </c>
      <c r="F27122" t="str">
        <v>-</v>
      </c>
      <c r="G27122" t="str">
        <v>-</v>
      </c>
    </row>
    <row r="27123">
      <c r="B27123" t="str">
        <v>UBND Ủy ban nhân dân xã Tà Lại tỉnh Sơn La</v>
      </c>
      <c r="C27123" t="str">
        <v>-</v>
      </c>
      <c r="D27123" t="str">
        <v>-</v>
      </c>
      <c r="E27123" t="str">
        <v>-</v>
      </c>
      <c r="F27123" t="str">
        <v>-</v>
      </c>
      <c r="G27123" t="str">
        <v>-</v>
      </c>
    </row>
    <row r="27124" xml:space="preserve">
      <c r="B27124" t="str" xml:space="preserve">
        <v xml:space="preserve">Công an xã Tà Mung _x000d_
 tỉnh Lai Châu</v>
      </c>
      <c r="C27124" t="str">
        <v>-</v>
      </c>
      <c r="D27124" t="str">
        <v>-</v>
      </c>
      <c r="E27124" t="str">
        <v/>
      </c>
      <c r="F27124" t="str">
        <v>-</v>
      </c>
      <c r="G27124" t="str">
        <v>-</v>
      </c>
    </row>
    <row r="27125" xml:space="preserve">
      <c r="B27125" t="str" xml:space="preserve">
        <v xml:space="preserve">UBND Ủy ban nhân dân xã Tà Mung _x000d_
 tỉnh Lai Châu</v>
      </c>
      <c r="C27125" t="str">
        <v>-</v>
      </c>
      <c r="D27125" t="str">
        <v>-</v>
      </c>
      <c r="E27125" t="str">
        <v>-</v>
      </c>
      <c r="F27125" t="str">
        <v>-</v>
      </c>
      <c r="G27125" t="str">
        <v>-</v>
      </c>
    </row>
    <row r="27126" xml:space="preserve">
      <c r="B27126" t="str" xml:space="preserve">
        <v xml:space="preserve">Công an xã Tào Sơn _x000d_
 tỉnh Nghệ An</v>
      </c>
      <c r="C27126" t="str">
        <v>-</v>
      </c>
      <c r="D27126" t="str">
        <v>-</v>
      </c>
      <c r="E27126" t="str">
        <v/>
      </c>
      <c r="F27126" t="str">
        <v>-</v>
      </c>
      <c r="G27126" t="str">
        <v>-</v>
      </c>
    </row>
    <row r="27127" xml:space="preserve">
      <c r="B27127" t="str" xml:space="preserve">
        <v xml:space="preserve">UBND Ủy ban nhân dân xã Tào Sơn _x000d_
 tỉnh Nghệ An</v>
      </c>
      <c r="C27127" t="str">
        <v>-</v>
      </c>
      <c r="D27127" t="str">
        <v>-</v>
      </c>
      <c r="E27127" t="str">
        <v>-</v>
      </c>
      <c r="F27127" t="str">
        <v>-</v>
      </c>
      <c r="G27127" t="str">
        <v>-</v>
      </c>
    </row>
    <row r="27128">
      <c r="B27128" t="str">
        <v>Công an xã Tà Pơơ tỉnh Quảng Nam</v>
      </c>
      <c r="C27128" t="str">
        <v>-</v>
      </c>
      <c r="D27128" t="str">
        <v>-</v>
      </c>
      <c r="E27128" t="str">
        <v/>
      </c>
      <c r="F27128" t="str">
        <v>-</v>
      </c>
      <c r="G27128" t="str">
        <v>-</v>
      </c>
    </row>
    <row r="27129">
      <c r="B27129" t="str">
        <v>UBND Ủy ban nhân dân xã Tà Pơơ tỉnh Quảng Nam</v>
      </c>
      <c r="C27129" t="str">
        <v>-</v>
      </c>
      <c r="D27129" t="str">
        <v>-</v>
      </c>
      <c r="E27129" t="str">
        <v>-</v>
      </c>
      <c r="F27129" t="str">
        <v>-</v>
      </c>
      <c r="G27129" t="str">
        <v>-</v>
      </c>
    </row>
    <row r="27130">
      <c r="B27130" t="str">
        <v>Công an xã Tà Pơơ tỉnh Quảng Nam</v>
      </c>
      <c r="C27130" t="str">
        <v>-</v>
      </c>
      <c r="D27130" t="str">
        <v>-</v>
      </c>
      <c r="E27130" t="str">
        <v/>
      </c>
      <c r="F27130" t="str">
        <v>-</v>
      </c>
      <c r="G27130" t="str">
        <v>-</v>
      </c>
    </row>
    <row r="27131">
      <c r="B27131" t="str">
        <v>UBND Ủy ban nhân dân xã Tà Pơơ tỉnh Quảng Nam</v>
      </c>
      <c r="C27131" t="str">
        <v>-</v>
      </c>
      <c r="D27131" t="str">
        <v>-</v>
      </c>
      <c r="E27131" t="str">
        <v>-</v>
      </c>
      <c r="F27131" t="str">
        <v>-</v>
      </c>
      <c r="G27131" t="str">
        <v>-</v>
      </c>
    </row>
    <row r="27132">
      <c r="B27132" t="str">
        <v>Công an xã Tân Đức tỉnh Thái Nguyên</v>
      </c>
      <c r="C27132" t="str">
        <v>-</v>
      </c>
      <c r="D27132" t="str">
        <v>-</v>
      </c>
      <c r="E27132" t="str">
        <v/>
      </c>
      <c r="F27132" t="str">
        <v>-</v>
      </c>
      <c r="G27132" t="str">
        <v>-</v>
      </c>
    </row>
    <row r="27133">
      <c r="B27133" t="str">
        <v>UBND Ủy ban nhân dân xã Tân Đức tỉnh Thái Nguyên</v>
      </c>
      <c r="C27133" t="str">
        <v>-</v>
      </c>
      <c r="D27133" t="str">
        <v>-</v>
      </c>
      <c r="E27133" t="str">
        <v>-</v>
      </c>
      <c r="F27133" t="str">
        <v>-</v>
      </c>
      <c r="G27133" t="str">
        <v>-</v>
      </c>
    </row>
    <row r="27134" xml:space="preserve">
      <c r="B27134" t="str" xml:space="preserve">
        <v xml:space="preserve">Công an xã Tân An _x000d_
 tỉnh Gia Lai</v>
      </c>
      <c r="C27134" t="str">
        <v>-</v>
      </c>
      <c r="D27134" t="str">
        <v>-</v>
      </c>
      <c r="E27134" t="str">
        <v/>
      </c>
      <c r="F27134" t="str">
        <v>-</v>
      </c>
      <c r="G27134" t="str">
        <v>-</v>
      </c>
    </row>
    <row r="27135" xml:space="preserve">
      <c r="B27135" t="str" xml:space="preserve">
        <v xml:space="preserve">UBND Ủy ban nhân dân xã Tân An _x000d_
 tỉnh Gia Lai</v>
      </c>
      <c r="C27135" t="str">
        <v>-</v>
      </c>
      <c r="D27135" t="str">
        <v>-</v>
      </c>
      <c r="E27135" t="str">
        <v>-</v>
      </c>
      <c r="F27135" t="str">
        <v>-</v>
      </c>
      <c r="G27135" t="str">
        <v>-</v>
      </c>
    </row>
    <row r="27136" xml:space="preserve">
      <c r="B27136" t="str" xml:space="preserve">
        <v xml:space="preserve">Công an xã Tân Bình _x000d_
 tỉnh Đồng Nai</v>
      </c>
      <c r="C27136" t="str">
        <v>-</v>
      </c>
      <c r="D27136" t="str">
        <v>-</v>
      </c>
      <c r="E27136" t="str">
        <v/>
      </c>
      <c r="F27136" t="str">
        <v>-</v>
      </c>
      <c r="G27136" t="str">
        <v>-</v>
      </c>
    </row>
    <row r="27137" xml:space="preserve">
      <c r="B27137" t="str" xml:space="preserve">
        <v xml:space="preserve">UBND Ủy ban nhân dân xã Tân Bình _x000d_
 tỉnh Đồng Nai</v>
      </c>
      <c r="C27137" t="str">
        <v>-</v>
      </c>
      <c r="D27137" t="str">
        <v>-</v>
      </c>
      <c r="E27137" t="str">
        <v>-</v>
      </c>
      <c r="F27137" t="str">
        <v>-</v>
      </c>
      <c r="G27137" t="str">
        <v>-</v>
      </c>
    </row>
    <row r="27138">
      <c r="B27138" t="str">
        <v>Công an xã Tân Cương tỉnh Thái Nguyên</v>
      </c>
      <c r="C27138" t="str">
        <v>-</v>
      </c>
      <c r="D27138" t="str">
        <v>-</v>
      </c>
      <c r="E27138" t="str">
        <v/>
      </c>
      <c r="F27138" t="str">
        <v>-</v>
      </c>
      <c r="G27138" t="str">
        <v>-</v>
      </c>
    </row>
    <row r="27139">
      <c r="B27139" t="str">
        <v>UBND Ủy ban nhân dân xã Tân Cương tỉnh Thái Nguyên</v>
      </c>
      <c r="C27139" t="str">
        <v>-</v>
      </c>
      <c r="D27139" t="str">
        <v>-</v>
      </c>
      <c r="E27139" t="str">
        <v>-</v>
      </c>
      <c r="F27139" t="str">
        <v>-</v>
      </c>
      <c r="G27139" t="str">
        <v>-</v>
      </c>
    </row>
    <row r="27140">
      <c r="B27140" t="str">
        <v>Công an xã Tân Châu tỉnh Thanh Hóa</v>
      </c>
      <c r="C27140" t="str">
        <v>-</v>
      </c>
      <c r="D27140" t="str">
        <v>-</v>
      </c>
      <c r="E27140" t="str">
        <v/>
      </c>
      <c r="F27140" t="str">
        <v>-</v>
      </c>
      <c r="G27140" t="str">
        <v>-</v>
      </c>
    </row>
    <row r="27141">
      <c r="B27141" t="str">
        <v>UBND Ủy ban nhân dân xã Tân Châu tỉnh Thanh Hóa</v>
      </c>
      <c r="C27141" t="str">
        <v>-</v>
      </c>
      <c r="D27141" t="str">
        <v>-</v>
      </c>
      <c r="E27141" t="str">
        <v>-</v>
      </c>
      <c r="F27141" t="str">
        <v>-</v>
      </c>
      <c r="G27141" t="str">
        <v>-</v>
      </c>
    </row>
    <row r="27142">
      <c r="B27142" t="str">
        <v>Công an xã Tân Dân tỉnh Quảng Ninh</v>
      </c>
      <c r="C27142" t="str">
        <v>-</v>
      </c>
      <c r="D27142" t="str">
        <v>-</v>
      </c>
      <c r="E27142" t="str">
        <v/>
      </c>
      <c r="F27142" t="str">
        <v>-</v>
      </c>
      <c r="G27142" t="str">
        <v>-</v>
      </c>
    </row>
    <row r="27143">
      <c r="B27143" t="str">
        <v>UBND Ủy ban nhân dân xã Tân Dân tỉnh Quảng Ninh</v>
      </c>
      <c r="C27143" t="str">
        <v>-</v>
      </c>
      <c r="D27143" t="str">
        <v>-</v>
      </c>
      <c r="E27143" t="str">
        <v>-</v>
      </c>
      <c r="F27143" t="str">
        <v>-</v>
      </c>
      <c r="G27143" t="str">
        <v>-</v>
      </c>
    </row>
    <row r="27144" xml:space="preserve">
      <c r="B27144" t="str" xml:space="preserve">
        <v xml:space="preserve">Công an xã Tân Dân _x000d_
 tỉnh Quảng Ninh</v>
      </c>
      <c r="C27144" t="str">
        <v>-</v>
      </c>
      <c r="D27144" t="str">
        <v>-</v>
      </c>
      <c r="E27144" t="str">
        <v/>
      </c>
      <c r="F27144" t="str">
        <v>-</v>
      </c>
      <c r="G27144" t="str">
        <v>-</v>
      </c>
    </row>
    <row r="27145" xml:space="preserve">
      <c r="B27145" t="str" xml:space="preserve">
        <v xml:space="preserve">UBND Ủy ban nhân dân xã Tân Dân _x000d_
 tỉnh Quảng Ninh</v>
      </c>
      <c r="C27145" t="str">
        <v>-</v>
      </c>
      <c r="D27145" t="str">
        <v>-</v>
      </c>
      <c r="E27145" t="str">
        <v>-</v>
      </c>
      <c r="F27145" t="str">
        <v>-</v>
      </c>
      <c r="G27145" t="str">
        <v>-</v>
      </c>
    </row>
    <row r="27146">
      <c r="B27146" t="str">
        <v>Công an xã Tân Dân tỉnh Quảng Ninh</v>
      </c>
      <c r="C27146" t="str">
        <v>-</v>
      </c>
      <c r="D27146" t="str">
        <v>-</v>
      </c>
      <c r="E27146" t="str">
        <v/>
      </c>
      <c r="F27146" t="str">
        <v>-</v>
      </c>
      <c r="G27146" t="str">
        <v>-</v>
      </c>
    </row>
    <row r="27147">
      <c r="B27147" t="str">
        <v>UBND Ủy ban nhân dân xã Tân Dân tỉnh Quảng Ninh</v>
      </c>
      <c r="C27147" t="str">
        <v>-</v>
      </c>
      <c r="D27147" t="str">
        <v>-</v>
      </c>
      <c r="E27147" t="str">
        <v>-</v>
      </c>
      <c r="F27147" t="str">
        <v>-</v>
      </c>
      <c r="G27147" t="str">
        <v>-</v>
      </c>
    </row>
    <row r="27148" xml:space="preserve">
      <c r="B27148" t="str" xml:space="preserve">
        <v xml:space="preserve">Công an xã Tân Hào _x000d_
 tỉnh Bến Tre</v>
      </c>
      <c r="C27148" t="str">
        <v>-</v>
      </c>
      <c r="D27148" t="str">
        <v>-</v>
      </c>
      <c r="E27148" t="str">
        <v/>
      </c>
      <c r="F27148" t="str">
        <v>-</v>
      </c>
      <c r="G27148" t="str">
        <v>-</v>
      </c>
    </row>
    <row r="27149" xml:space="preserve">
      <c r="B27149" t="str" xml:space="preserve">
        <v xml:space="preserve">UBND Ủy ban nhân dân xã Tân Hào _x000d_
 tỉnh Bến Tre</v>
      </c>
      <c r="C27149" t="str">
        <v>-</v>
      </c>
      <c r="D27149" t="str">
        <v>-</v>
      </c>
      <c r="E27149" t="str">
        <v>-</v>
      </c>
      <c r="F27149" t="str">
        <v>-</v>
      </c>
      <c r="G27149" t="str">
        <v>-</v>
      </c>
    </row>
    <row r="27150">
      <c r="B27150" t="str">
        <v>Công an xã Tân Hòa tỉnh Thái Nguyên</v>
      </c>
      <c r="C27150" t="str">
        <v>-</v>
      </c>
      <c r="D27150" t="str">
        <v>-</v>
      </c>
      <c r="E27150" t="str">
        <v/>
      </c>
      <c r="F27150" t="str">
        <v>-</v>
      </c>
      <c r="G27150" t="str">
        <v>-</v>
      </c>
    </row>
    <row r="27151">
      <c r="B27151" t="str">
        <v>UBND Ủy ban nhân dân xã Tân Hòa tỉnh Thái Nguyên</v>
      </c>
      <c r="C27151" t="str">
        <v>-</v>
      </c>
      <c r="D27151" t="str">
        <v>-</v>
      </c>
      <c r="E27151" t="str">
        <v>-</v>
      </c>
      <c r="F27151" t="str">
        <v>-</v>
      </c>
      <c r="G27151" t="str">
        <v>-</v>
      </c>
    </row>
    <row r="27152" xml:space="preserve">
      <c r="B27152" t="str" xml:space="preserve">
        <v xml:space="preserve">Công an xã Tân Hương _x000d_
 tỉnh Hải Dương</v>
      </c>
      <c r="C27152" t="str">
        <v>-</v>
      </c>
      <c r="D27152" t="str">
        <v>-</v>
      </c>
      <c r="E27152" t="str">
        <v/>
      </c>
      <c r="F27152" t="str">
        <v>-</v>
      </c>
      <c r="G27152" t="str">
        <v>-</v>
      </c>
    </row>
    <row r="27153" xml:space="preserve">
      <c r="B27153" t="str" xml:space="preserve">
        <v xml:space="preserve">UBND Ủy ban nhân dân xã Tân Hương _x000d_
 tỉnh Hải Dương</v>
      </c>
      <c r="C27153" t="str">
        <v>-</v>
      </c>
      <c r="D27153" t="str">
        <v>-</v>
      </c>
      <c r="E27153" t="str">
        <v>-</v>
      </c>
      <c r="F27153" t="str">
        <v>-</v>
      </c>
      <c r="G27153" t="str">
        <v>-</v>
      </c>
    </row>
    <row r="27154" xml:space="preserve">
      <c r="B27154" t="str" xml:space="preserve">
        <v xml:space="preserve">Công an xã Tân Hương _x000d_
 tỉnh Hải Dương</v>
      </c>
      <c r="C27154" t="str">
        <v>-</v>
      </c>
      <c r="D27154" t="str">
        <v>-</v>
      </c>
      <c r="E27154" t="str">
        <v/>
      </c>
      <c r="F27154" t="str">
        <v>-</v>
      </c>
      <c r="G27154" t="str">
        <v>-</v>
      </c>
    </row>
    <row r="27155" xml:space="preserve">
      <c r="B27155" t="str" xml:space="preserve">
        <v xml:space="preserve">UBND Ủy ban nhân dân xã Tân Hương _x000d_
 tỉnh Hải Dương</v>
      </c>
      <c r="C27155" t="str">
        <v>-</v>
      </c>
      <c r="D27155" t="str">
        <v>-</v>
      </c>
      <c r="E27155" t="str">
        <v>-</v>
      </c>
      <c r="F27155" t="str">
        <v>-</v>
      </c>
      <c r="G27155" t="str">
        <v>-</v>
      </c>
    </row>
    <row r="27156">
      <c r="B27156" t="str">
        <v>Công an xã Tân Hưng tỉnh Hải Dương</v>
      </c>
      <c r="C27156" t="str">
        <v>-</v>
      </c>
      <c r="D27156" t="str">
        <v>-</v>
      </c>
      <c r="E27156" t="str">
        <v/>
      </c>
      <c r="F27156" t="str">
        <v>-</v>
      </c>
      <c r="G27156" t="str">
        <v>-</v>
      </c>
    </row>
    <row r="27157">
      <c r="B27157" t="str">
        <v>UBND Ủy ban nhân dân xã Tân Hưng tỉnh Hải Dương</v>
      </c>
      <c r="C27157" t="str">
        <v>-</v>
      </c>
      <c r="D27157" t="str">
        <v>-</v>
      </c>
      <c r="E27157" t="str">
        <v>-</v>
      </c>
      <c r="F27157" t="str">
        <v>-</v>
      </c>
      <c r="G27157" t="str">
        <v>-</v>
      </c>
    </row>
    <row r="27158" xml:space="preserve">
      <c r="B27158" t="str" xml:space="preserve">
        <v xml:space="preserve">Công an xã Tân Hưng _x000d_
 tỉnh Hải Dương</v>
      </c>
      <c r="C27158" t="str">
        <v>-</v>
      </c>
      <c r="D27158" t="str">
        <v>-</v>
      </c>
      <c r="E27158" t="str">
        <v/>
      </c>
      <c r="F27158" t="str">
        <v>-</v>
      </c>
      <c r="G27158" t="str">
        <v>-</v>
      </c>
    </row>
    <row r="27159" xml:space="preserve">
      <c r="B27159" t="str" xml:space="preserve">
        <v xml:space="preserve">UBND Ủy ban nhân dân xã Tân Hưng _x000d_
 tỉnh Hải Dương</v>
      </c>
      <c r="C27159" t="str">
        <v>-</v>
      </c>
      <c r="D27159" t="str">
        <v>-</v>
      </c>
      <c r="E27159" t="str">
        <v>-</v>
      </c>
      <c r="F27159" t="str">
        <v>-</v>
      </c>
      <c r="G27159" t="str">
        <v>-</v>
      </c>
    </row>
    <row r="27160" xml:space="preserve">
      <c r="B27160" t="str" xml:space="preserve">
        <v xml:space="preserve">Công an xã Tân Hưng Tây_x000d_
 tỉnh Cà Mau</v>
      </c>
      <c r="C27160" t="str">
        <v>-</v>
      </c>
      <c r="D27160" t="str">
        <v>-</v>
      </c>
      <c r="E27160" t="str">
        <v/>
      </c>
      <c r="F27160" t="str">
        <v>-</v>
      </c>
      <c r="G27160" t="str">
        <v>-</v>
      </c>
    </row>
    <row r="27161" xml:space="preserve">
      <c r="B27161" t="str" xml:space="preserve">
        <v xml:space="preserve">UBND Ủy ban nhân dân xã Tân Hưng Tây_x000d_
 tỉnh Cà Mau</v>
      </c>
      <c r="C27161" t="str">
        <v>-</v>
      </c>
      <c r="D27161" t="str">
        <v>-</v>
      </c>
      <c r="E27161" t="str">
        <v>-</v>
      </c>
      <c r="F27161" t="str">
        <v>-</v>
      </c>
      <c r="G27161" t="str">
        <v>-</v>
      </c>
    </row>
    <row r="27162">
      <c r="B27162" t="str">
        <v>Công an xã Tân Hợp tỉnh Sơn La</v>
      </c>
      <c r="C27162" t="str">
        <v>-</v>
      </c>
      <c r="D27162" t="str">
        <v>-</v>
      </c>
      <c r="E27162" t="str">
        <v/>
      </c>
      <c r="F27162" t="str">
        <v>-</v>
      </c>
      <c r="G27162" t="str">
        <v>-</v>
      </c>
    </row>
    <row r="27163">
      <c r="B27163" t="str">
        <v>UBND Ủy ban nhân dân xã Tân Hợp tỉnh Sơn La</v>
      </c>
      <c r="C27163" t="str">
        <v>-</v>
      </c>
      <c r="D27163" t="str">
        <v>-</v>
      </c>
      <c r="E27163" t="str">
        <v>-</v>
      </c>
      <c r="F27163" t="str">
        <v>-</v>
      </c>
      <c r="G27163" t="str">
        <v>-</v>
      </c>
    </row>
    <row r="27164">
      <c r="B27164" t="str">
        <v>Công an xã Tân Hợp tỉnh Nghệ An</v>
      </c>
      <c r="C27164" t="str">
        <v>-</v>
      </c>
      <c r="D27164" t="str">
        <v>-</v>
      </c>
      <c r="E27164" t="str">
        <v/>
      </c>
      <c r="F27164" t="str">
        <v>-</v>
      </c>
      <c r="G27164" t="str">
        <v>-</v>
      </c>
    </row>
    <row r="27165">
      <c r="B27165" t="str">
        <v>UBND Ủy ban nhân dân xã Tân Hợp tỉnh Nghệ An</v>
      </c>
      <c r="C27165" t="str">
        <v>-</v>
      </c>
      <c r="D27165" t="str">
        <v>-</v>
      </c>
      <c r="E27165" t="str">
        <v>-</v>
      </c>
      <c r="F27165" t="str">
        <v>-</v>
      </c>
      <c r="G27165" t="str">
        <v>-</v>
      </c>
    </row>
    <row r="27166" xml:space="preserve">
      <c r="B27166" t="str" xml:space="preserve">
        <v xml:space="preserve">Công an xã Tân Hiệp _x000d_
 tỉnh Trà Vinh</v>
      </c>
      <c r="C27166" t="str">
        <v>-</v>
      </c>
      <c r="D27166" t="str">
        <v>-</v>
      </c>
      <c r="E27166" t="str">
        <v/>
      </c>
      <c r="F27166" t="str">
        <v>-</v>
      </c>
      <c r="G27166" t="str">
        <v>-</v>
      </c>
    </row>
    <row r="27167" xml:space="preserve">
      <c r="B27167" t="str" xml:space="preserve">
        <v xml:space="preserve">UBND Ủy ban nhân dân xã Tân Hiệp _x000d_
 tỉnh Trà Vinh</v>
      </c>
      <c r="C27167" t="str">
        <v>-</v>
      </c>
      <c r="D27167" t="str">
        <v>-</v>
      </c>
      <c r="E27167" t="str">
        <v>-</v>
      </c>
      <c r="F27167" t="str">
        <v>-</v>
      </c>
      <c r="G27167" t="str">
        <v>-</v>
      </c>
    </row>
    <row r="27168">
      <c r="B27168" t="str">
        <v>Công an xã Tân Khánh tỉnh Thái Nguyên</v>
      </c>
      <c r="C27168" t="str">
        <v>-</v>
      </c>
      <c r="D27168" t="str">
        <v>-</v>
      </c>
      <c r="E27168" t="str">
        <v/>
      </c>
      <c r="F27168" t="str">
        <v>-</v>
      </c>
      <c r="G27168" t="str">
        <v>-</v>
      </c>
    </row>
    <row r="27169">
      <c r="B27169" t="str">
        <v>UBND Ủy ban nhân dân xã Tân Khánh tỉnh Thái Nguyên</v>
      </c>
      <c r="C27169" t="str">
        <v>-</v>
      </c>
      <c r="D27169" t="str">
        <v>-</v>
      </c>
      <c r="E27169" t="str">
        <v>-</v>
      </c>
      <c r="F27169" t="str">
        <v>-</v>
      </c>
      <c r="G27169" t="str">
        <v>-</v>
      </c>
    </row>
    <row r="27170" xml:space="preserve">
      <c r="B27170" t="str" xml:space="preserve">
        <v xml:space="preserve">Công an xã Tân Lập _x000d_
 tỉnh Bình Phước</v>
      </c>
      <c r="C27170" t="str">
        <v>-</v>
      </c>
      <c r="D27170" t="str">
        <v>-</v>
      </c>
      <c r="E27170" t="str">
        <v/>
      </c>
      <c r="F27170" t="str">
        <v>-</v>
      </c>
      <c r="G27170" t="str">
        <v>-</v>
      </c>
    </row>
    <row r="27171" xml:space="preserve">
      <c r="B27171" t="str" xml:space="preserve">
        <v xml:space="preserve">UBND Ủy ban nhân dân xã Tân Lập _x000d_
 tỉnh Bình Phước</v>
      </c>
      <c r="C27171" t="str">
        <v>-</v>
      </c>
      <c r="D27171" t="str">
        <v>-</v>
      </c>
      <c r="E27171" t="str">
        <v>-</v>
      </c>
      <c r="F27171" t="str">
        <v>-</v>
      </c>
      <c r="G27171" t="str">
        <v>-</v>
      </c>
    </row>
    <row r="27172" xml:space="preserve">
      <c r="B27172" t="str" xml:space="preserve">
        <v xml:space="preserve">Công an xã Tân Lập _x000d_
 tỉnh Bình Phước</v>
      </c>
      <c r="C27172" t="str">
        <v>-</v>
      </c>
      <c r="D27172" t="str">
        <v>-</v>
      </c>
      <c r="E27172" t="str">
        <v/>
      </c>
      <c r="F27172" t="str">
        <v>-</v>
      </c>
      <c r="G27172" t="str">
        <v>-</v>
      </c>
    </row>
    <row r="27173" xml:space="preserve">
      <c r="B27173" t="str" xml:space="preserve">
        <v xml:space="preserve">UBND Ủy ban nhân dân xã Tân Lập _x000d_
 tỉnh Bình Phước</v>
      </c>
      <c r="C27173" t="str">
        <v>-</v>
      </c>
      <c r="D27173" t="str">
        <v>-</v>
      </c>
      <c r="E27173" t="str">
        <v>-</v>
      </c>
      <c r="F27173" t="str">
        <v>-</v>
      </c>
      <c r="G27173" t="str">
        <v>-</v>
      </c>
    </row>
    <row r="27174">
      <c r="B27174" t="str">
        <v>Công an xã Tân Lập tỉnh Bình Phước</v>
      </c>
      <c r="C27174" t="str">
        <v>-</v>
      </c>
      <c r="D27174" t="str">
        <v>-</v>
      </c>
      <c r="E27174" t="str">
        <v/>
      </c>
      <c r="F27174" t="str">
        <v>-</v>
      </c>
      <c r="G27174" t="str">
        <v>-</v>
      </c>
    </row>
    <row r="27175">
      <c r="B27175" t="str">
        <v>UBND Ủy ban nhân dân xã Tân Lập tỉnh Bình Phước</v>
      </c>
      <c r="C27175" t="str">
        <v>-</v>
      </c>
      <c r="D27175" t="str">
        <v>-</v>
      </c>
      <c r="E27175" t="str">
        <v>-</v>
      </c>
      <c r="F27175" t="str">
        <v>-</v>
      </c>
      <c r="G27175" t="str">
        <v>-</v>
      </c>
    </row>
    <row r="27176">
      <c r="B27176" t="str">
        <v>Công an xã Tân Lập tỉnh Lạng Sơn</v>
      </c>
      <c r="C27176" t="str">
        <v>-</v>
      </c>
      <c r="D27176" t="str">
        <v>-</v>
      </c>
      <c r="E27176" t="str">
        <v/>
      </c>
      <c r="F27176" t="str">
        <v>-</v>
      </c>
      <c r="G27176" t="str">
        <v>-</v>
      </c>
    </row>
    <row r="27177">
      <c r="B27177" t="str">
        <v>UBND Ủy ban nhân dân xã Tân Lập tỉnh Lạng Sơn</v>
      </c>
      <c r="C27177" t="str">
        <v>-</v>
      </c>
      <c r="D27177" t="str">
        <v>-</v>
      </c>
      <c r="E27177" t="str">
        <v>-</v>
      </c>
      <c r="F27177" t="str">
        <v>-</v>
      </c>
      <c r="G27177" t="str">
        <v>-</v>
      </c>
    </row>
    <row r="27178">
      <c r="B27178" t="str">
        <v>Công an xã Tân Lập  tỉnh Phú Thọ</v>
      </c>
      <c r="C27178" t="str">
        <v>-</v>
      </c>
      <c r="D27178" t="str">
        <v>-</v>
      </c>
      <c r="E27178" t="str">
        <v/>
      </c>
      <c r="F27178" t="str">
        <v>-</v>
      </c>
      <c r="G27178" t="str">
        <v>-</v>
      </c>
    </row>
    <row r="27179">
      <c r="B27179" t="str">
        <v>UBND Ủy ban nhân dân xã Tân Lập  tỉnh Phú Thọ</v>
      </c>
      <c r="C27179" t="str">
        <v>-</v>
      </c>
      <c r="D27179" t="str">
        <v>-</v>
      </c>
      <c r="E27179" t="str">
        <v>-</v>
      </c>
      <c r="F27179" t="str">
        <v>-</v>
      </c>
      <c r="G27179" t="str">
        <v>-</v>
      </c>
    </row>
    <row r="27180">
      <c r="B27180" t="str">
        <v>Công an xã Tân Lộc tỉnh Hà Tĩnh</v>
      </c>
      <c r="C27180" t="str">
        <v>-</v>
      </c>
      <c r="D27180" t="str">
        <v>-</v>
      </c>
      <c r="E27180" t="str">
        <v/>
      </c>
      <c r="F27180" t="str">
        <v>-</v>
      </c>
      <c r="G27180" t="str">
        <v>-</v>
      </c>
    </row>
    <row r="27181">
      <c r="B27181" t="str">
        <v>UBND Ủy ban nhân dân xã Tân Lộc tỉnh Hà Tĩnh</v>
      </c>
      <c r="C27181" t="str">
        <v>-</v>
      </c>
      <c r="D27181" t="str">
        <v>-</v>
      </c>
      <c r="E27181" t="str">
        <v>-</v>
      </c>
      <c r="F27181" t="str">
        <v>-</v>
      </c>
      <c r="G27181" t="str">
        <v>-</v>
      </c>
    </row>
    <row r="27182">
      <c r="B27182" t="str">
        <v>Công an xã Tân Lộc  tỉnh Vĩnh Long</v>
      </c>
      <c r="C27182" t="str">
        <v>-</v>
      </c>
      <c r="D27182" t="str">
        <v>-</v>
      </c>
      <c r="E27182" t="str">
        <v/>
      </c>
      <c r="F27182" t="str">
        <v>-</v>
      </c>
      <c r="G27182" t="str">
        <v>-</v>
      </c>
    </row>
    <row r="27183">
      <c r="B27183" t="str">
        <v>UBND Ủy ban nhân dân xã Tân Lộc  tỉnh Vĩnh Long</v>
      </c>
      <c r="C27183" t="str">
        <v>-</v>
      </c>
      <c r="D27183" t="str">
        <v>-</v>
      </c>
      <c r="E27183" t="str">
        <v>-</v>
      </c>
      <c r="F27183" t="str">
        <v>-</v>
      </c>
      <c r="G27183" t="str">
        <v>-</v>
      </c>
    </row>
    <row r="27184" xml:space="preserve">
      <c r="B27184" t="str" xml:space="preserve">
        <v xml:space="preserve">Công an xã Tân Lợi _x000d_
 tỉnh Bình Phước</v>
      </c>
      <c r="C27184" t="str">
        <v>-</v>
      </c>
      <c r="D27184" t="str">
        <v>-</v>
      </c>
      <c r="E27184" t="str">
        <v/>
      </c>
      <c r="F27184" t="str">
        <v>-</v>
      </c>
      <c r="G27184" t="str">
        <v>-</v>
      </c>
    </row>
    <row r="27185" xml:space="preserve">
      <c r="B27185" t="str" xml:space="preserve">
        <v xml:space="preserve">UBND Ủy ban nhân dân xã Tân Lợi _x000d_
 tỉnh Bình Phước</v>
      </c>
      <c r="C27185" t="str">
        <v>-</v>
      </c>
      <c r="D27185" t="str">
        <v>-</v>
      </c>
      <c r="E27185" t="str">
        <v>-</v>
      </c>
      <c r="F27185" t="str">
        <v>-</v>
      </c>
      <c r="G27185" t="str">
        <v>-</v>
      </c>
    </row>
    <row r="27186">
      <c r="B27186" t="str">
        <v>Công an xã Tân Lang  tỉnh Sơn La</v>
      </c>
      <c r="C27186" t="str">
        <v>-</v>
      </c>
      <c r="D27186" t="str">
        <v>-</v>
      </c>
      <c r="E27186" t="str">
        <v/>
      </c>
      <c r="F27186" t="str">
        <v>-</v>
      </c>
      <c r="G27186" t="str">
        <v>-</v>
      </c>
    </row>
    <row r="27187">
      <c r="B27187" t="str">
        <v>UBND Ủy ban nhân dân xã Tân Lang  tỉnh Sơn La</v>
      </c>
      <c r="C27187" t="str">
        <v>-</v>
      </c>
      <c r="D27187" t="str">
        <v>-</v>
      </c>
      <c r="E27187" t="str">
        <v>-</v>
      </c>
      <c r="F27187" t="str">
        <v>-</v>
      </c>
      <c r="G27187" t="str">
        <v>-</v>
      </c>
    </row>
    <row r="27188">
      <c r="B27188" t="str">
        <v>Công an xã Tân Linh tỉnh Thái Nguyên</v>
      </c>
      <c r="C27188" t="str">
        <v>-</v>
      </c>
      <c r="D27188" t="str">
        <v>-</v>
      </c>
      <c r="E27188" t="str">
        <v/>
      </c>
      <c r="F27188" t="str">
        <v>-</v>
      </c>
      <c r="G27188" t="str">
        <v>-</v>
      </c>
    </row>
    <row r="27189">
      <c r="B27189" t="str">
        <v>UBND Ủy ban nhân dân xã Tân Linh tỉnh Thái Nguyên</v>
      </c>
      <c r="C27189" t="str">
        <v>-</v>
      </c>
      <c r="D27189" t="str">
        <v>-</v>
      </c>
      <c r="E27189" t="str">
        <v>-</v>
      </c>
      <c r="F27189" t="str">
        <v>-</v>
      </c>
      <c r="G27189" t="str">
        <v>-</v>
      </c>
    </row>
    <row r="27190">
      <c r="B27190" t="str">
        <v>Công an xã Tân Long Hội tỉnh Vĩnh Long</v>
      </c>
      <c r="C27190" t="str">
        <v>-</v>
      </c>
      <c r="D27190" t="str">
        <v>-</v>
      </c>
      <c r="E27190" t="str">
        <v/>
      </c>
      <c r="F27190" t="str">
        <v>-</v>
      </c>
      <c r="G27190" t="str">
        <v>-</v>
      </c>
    </row>
    <row r="27191">
      <c r="B27191" t="str">
        <v>UBND Ủy ban nhân dân xã Tân Long Hội tỉnh Vĩnh Long</v>
      </c>
      <c r="C27191" t="str">
        <v>-</v>
      </c>
      <c r="D27191" t="str">
        <v>-</v>
      </c>
      <c r="E27191" t="str">
        <v>-</v>
      </c>
      <c r="F27191" t="str">
        <v>-</v>
      </c>
      <c r="G27191" t="str">
        <v>-</v>
      </c>
    </row>
    <row r="27192">
      <c r="B27192" t="str">
        <v>Công an xã Tân Long tỉnh Tuyên Quang</v>
      </c>
      <c r="C27192" t="str">
        <v>-</v>
      </c>
      <c r="D27192" t="str">
        <v>-</v>
      </c>
      <c r="E27192" t="str">
        <v/>
      </c>
      <c r="F27192" t="str">
        <v>-</v>
      </c>
      <c r="G27192" t="str">
        <v>-</v>
      </c>
    </row>
    <row r="27193">
      <c r="B27193" t="str">
        <v>UBND Ủy ban nhân dân xã Tân Long tỉnh Tuyên Quang</v>
      </c>
      <c r="C27193" t="str">
        <v>-</v>
      </c>
      <c r="D27193" t="str">
        <v>-</v>
      </c>
      <c r="E27193" t="str">
        <v>-</v>
      </c>
      <c r="F27193" t="str">
        <v>-</v>
      </c>
      <c r="G27193" t="str">
        <v>-</v>
      </c>
    </row>
    <row r="27194" xml:space="preserve">
      <c r="B27194" t="str" xml:space="preserve">
        <v xml:space="preserve">Công an xã Tân Mỹ _x000d_
 tỉnh Hòa Bình</v>
      </c>
      <c r="C27194" t="str">
        <v>-</v>
      </c>
      <c r="D27194" t="str">
        <v>-</v>
      </c>
      <c r="E27194" t="str">
        <v/>
      </c>
      <c r="F27194" t="str">
        <v>-</v>
      </c>
      <c r="G27194" t="str">
        <v>-</v>
      </c>
    </row>
    <row r="27195" xml:space="preserve">
      <c r="B27195" t="str" xml:space="preserve">
        <v xml:space="preserve">UBND Ủy ban nhân dân xã Tân Mỹ _x000d_
 tỉnh Hòa Bình</v>
      </c>
      <c r="C27195" t="str">
        <v>-</v>
      </c>
      <c r="D27195" t="str">
        <v>-</v>
      </c>
      <c r="E27195" t="str">
        <v>-</v>
      </c>
      <c r="F27195" t="str">
        <v>-</v>
      </c>
      <c r="G27195" t="str">
        <v>-</v>
      </c>
    </row>
    <row r="27196" xml:space="preserve">
      <c r="B27196" t="str" xml:space="preserve">
        <v xml:space="preserve">Công an xã Tân Mỹ _x000d_
 tỉnh Bến Tre</v>
      </c>
      <c r="C27196" t="str">
        <v>-</v>
      </c>
      <c r="D27196" t="str">
        <v>-</v>
      </c>
      <c r="E27196" t="str">
        <v/>
      </c>
      <c r="F27196" t="str">
        <v>-</v>
      </c>
      <c r="G27196" t="str">
        <v>-</v>
      </c>
    </row>
    <row r="27197" xml:space="preserve">
      <c r="B27197" t="str" xml:space="preserve">
        <v xml:space="preserve">UBND Ủy ban nhân dân xã Tân Mỹ _x000d_
 tỉnh Bến Tre</v>
      </c>
      <c r="C27197" t="str">
        <v>-</v>
      </c>
      <c r="D27197" t="str">
        <v>-</v>
      </c>
      <c r="E27197" t="str">
        <v>-</v>
      </c>
      <c r="F27197" t="str">
        <v>-</v>
      </c>
      <c r="G27197" t="str">
        <v>-</v>
      </c>
    </row>
    <row r="27198" xml:space="preserve">
      <c r="B27198" t="str" xml:space="preserve">
        <v xml:space="preserve">Công an xã Tân Minh _x000d_
 tỉnh Phú Thọ</v>
      </c>
      <c r="C27198" t="str">
        <v>-</v>
      </c>
      <c r="D27198" t="str">
        <v>-</v>
      </c>
      <c r="E27198" t="str">
        <v/>
      </c>
      <c r="F27198" t="str">
        <v>-</v>
      </c>
      <c r="G27198" t="str">
        <v>-</v>
      </c>
    </row>
    <row r="27199" xml:space="preserve">
      <c r="B27199" t="str" xml:space="preserve">
        <v xml:space="preserve">UBND Ủy ban nhân dân xã Tân Minh _x000d_
 tỉnh Phú Thọ</v>
      </c>
      <c r="C27199" t="str">
        <v>-</v>
      </c>
      <c r="D27199" t="str">
        <v>-</v>
      </c>
      <c r="E27199" t="str">
        <v>-</v>
      </c>
      <c r="F27199" t="str">
        <v>-</v>
      </c>
      <c r="G27199" t="str">
        <v>-</v>
      </c>
    </row>
    <row r="27200" xml:space="preserve">
      <c r="B27200" t="str" xml:space="preserve">
        <v xml:space="preserve">Công an xã Tân Minh _x000d_
 tỉnh Phú Thọ</v>
      </c>
      <c r="C27200" t="str">
        <v>-</v>
      </c>
      <c r="D27200" t="str">
        <v>-</v>
      </c>
      <c r="E27200" t="str">
        <v/>
      </c>
      <c r="F27200" t="str">
        <v>-</v>
      </c>
      <c r="G27200" t="str">
        <v>-</v>
      </c>
    </row>
    <row r="27201" xml:space="preserve">
      <c r="B27201" t="str" xml:space="preserve">
        <v xml:space="preserve">UBND Ủy ban nhân dân xã Tân Minh _x000d_
 tỉnh Phú Thọ</v>
      </c>
      <c r="C27201" t="str">
        <v>-</v>
      </c>
      <c r="D27201" t="str">
        <v>-</v>
      </c>
      <c r="E27201" t="str">
        <v>-</v>
      </c>
      <c r="F27201" t="str">
        <v>-</v>
      </c>
      <c r="G27201" t="str">
        <v>-</v>
      </c>
    </row>
    <row r="27202" xml:space="preserve">
      <c r="B27202" t="str" xml:space="preserve">
        <v xml:space="preserve">Công an xã Tân Minh _x000d_
 tỉnh Hòa Bình</v>
      </c>
      <c r="C27202" t="str">
        <v>-</v>
      </c>
      <c r="D27202" t="str">
        <v>-</v>
      </c>
      <c r="E27202" t="str">
        <v/>
      </c>
      <c r="F27202" t="str">
        <v>-</v>
      </c>
      <c r="G27202" t="str">
        <v>-</v>
      </c>
    </row>
    <row r="27203" xml:space="preserve">
      <c r="B27203" t="str" xml:space="preserve">
        <v xml:space="preserve">UBND Ủy ban nhân dân xã Tân Minh _x000d_
 tỉnh Hòa Bình</v>
      </c>
      <c r="C27203" t="str">
        <v>-</v>
      </c>
      <c r="D27203" t="str">
        <v>-</v>
      </c>
      <c r="E27203" t="str">
        <v>-</v>
      </c>
      <c r="F27203" t="str">
        <v>-</v>
      </c>
      <c r="G27203" t="str">
        <v>-</v>
      </c>
    </row>
    <row r="27204">
      <c r="B27204" t="str">
        <v>Công an xã Tân Nhựt tỉnh Đồng Tháp</v>
      </c>
      <c r="C27204" t="str">
        <v>-</v>
      </c>
      <c r="D27204" t="str">
        <v>-</v>
      </c>
      <c r="E27204" t="str">
        <v/>
      </c>
      <c r="F27204" t="str">
        <v>-</v>
      </c>
      <c r="G27204" t="str">
        <v>-</v>
      </c>
    </row>
    <row r="27205">
      <c r="B27205" t="str">
        <v>UBND Ủy ban nhân dân xã Tân Nhựt tỉnh Đồng Tháp</v>
      </c>
      <c r="C27205" t="str">
        <v>-</v>
      </c>
      <c r="D27205" t="str">
        <v>-</v>
      </c>
      <c r="E27205" t="str">
        <v>-</v>
      </c>
      <c r="F27205" t="str">
        <v>-</v>
      </c>
      <c r="G27205" t="str">
        <v>-</v>
      </c>
    </row>
    <row r="27206">
      <c r="B27206" t="str">
        <v>Công an xã Tân Phúc tỉnh Hưng Yên</v>
      </c>
      <c r="C27206" t="str">
        <v>-</v>
      </c>
      <c r="D27206" t="str">
        <v>-</v>
      </c>
      <c r="E27206" t="str">
        <v/>
      </c>
      <c r="F27206" t="str">
        <v>-</v>
      </c>
      <c r="G27206" t="str">
        <v>-</v>
      </c>
    </row>
    <row r="27207">
      <c r="B27207" t="str">
        <v>UBND Ủy ban nhân dân xã Tân Phúc tỉnh Hưng Yên</v>
      </c>
      <c r="C27207" t="str">
        <v>-</v>
      </c>
      <c r="D27207" t="str">
        <v>-</v>
      </c>
      <c r="E27207" t="str">
        <v>-</v>
      </c>
      <c r="F27207" t="str">
        <v>-</v>
      </c>
      <c r="G27207" t="str">
        <v>-</v>
      </c>
    </row>
    <row r="27208">
      <c r="B27208" t="str">
        <v>Công an xã Tân Phúc  tỉnh Thanh Hóa</v>
      </c>
      <c r="C27208" t="str">
        <v>-</v>
      </c>
      <c r="D27208" t="str">
        <v>-</v>
      </c>
      <c r="E27208" t="str">
        <v/>
      </c>
      <c r="F27208" t="str">
        <v>-</v>
      </c>
      <c r="G27208" t="str">
        <v>-</v>
      </c>
    </row>
    <row r="27209">
      <c r="B27209" t="str">
        <v>UBND Ủy ban nhân dân xã Tân Phúc  tỉnh Thanh Hóa</v>
      </c>
      <c r="C27209" t="str">
        <v>-</v>
      </c>
      <c r="D27209" t="str">
        <v>-</v>
      </c>
      <c r="E27209" t="str">
        <v>-</v>
      </c>
      <c r="F27209" t="str">
        <v>-</v>
      </c>
      <c r="G27209" t="str">
        <v>-</v>
      </c>
    </row>
    <row r="27210">
      <c r="B27210" t="str">
        <v>Công an xã Tân Phú tỉnh Phú Thọ</v>
      </c>
      <c r="C27210" t="str">
        <v>-</v>
      </c>
      <c r="D27210" t="str">
        <v>-</v>
      </c>
      <c r="E27210" t="str">
        <v/>
      </c>
      <c r="F27210" t="str">
        <v>-</v>
      </c>
      <c r="G27210" t="str">
        <v>-</v>
      </c>
    </row>
    <row r="27211">
      <c r="B27211" t="str">
        <v>UBND Ủy ban nhân dân xã Tân Phú tỉnh Phú Thọ</v>
      </c>
      <c r="C27211" t="str">
        <v>-</v>
      </c>
      <c r="D27211" t="str">
        <v>-</v>
      </c>
      <c r="E27211" t="str">
        <v>-</v>
      </c>
      <c r="F27211" t="str">
        <v>-</v>
      </c>
      <c r="G27211" t="str">
        <v>-</v>
      </c>
    </row>
    <row r="27212">
      <c r="B27212" t="str">
        <v>Công an xã Tân Phong tỉnh Hải Dương</v>
      </c>
      <c r="C27212" t="str">
        <v>-</v>
      </c>
      <c r="D27212" t="str">
        <v>-</v>
      </c>
      <c r="E27212" t="str">
        <v/>
      </c>
      <c r="F27212" t="str">
        <v>-</v>
      </c>
      <c r="G27212" t="str">
        <v>-</v>
      </c>
    </row>
    <row r="27213">
      <c r="B27213" t="str">
        <v>UBND Ủy ban nhân dân xã Tân Phong tỉnh Hải Dương</v>
      </c>
      <c r="C27213" t="str">
        <v>-</v>
      </c>
      <c r="D27213" t="str">
        <v>-</v>
      </c>
      <c r="E27213" t="str">
        <v>-</v>
      </c>
      <c r="F27213" t="str">
        <v>-</v>
      </c>
      <c r="G27213" t="str">
        <v>-</v>
      </c>
    </row>
    <row r="27214">
      <c r="B27214" t="str">
        <v>Công an xã Tân Phong tỉnh Sơn La</v>
      </c>
      <c r="C27214" t="str">
        <v>-</v>
      </c>
      <c r="D27214" t="str">
        <v>-</v>
      </c>
      <c r="E27214" t="str">
        <v/>
      </c>
      <c r="F27214" t="str">
        <v>-</v>
      </c>
      <c r="G27214" t="str">
        <v>-</v>
      </c>
    </row>
    <row r="27215">
      <c r="B27215" t="str">
        <v>UBND Ủy ban nhân dân xã Tân Phong tỉnh Sơn La</v>
      </c>
      <c r="C27215" t="str">
        <v>-</v>
      </c>
      <c r="D27215" t="str">
        <v>-</v>
      </c>
      <c r="E27215" t="str">
        <v>-</v>
      </c>
      <c r="F27215" t="str">
        <v>-</v>
      </c>
      <c r="G27215" t="str">
        <v>-</v>
      </c>
    </row>
    <row r="27216">
      <c r="B27216" t="str">
        <v>Công an xã Tân Sỏi tỉnh Bắc Giang</v>
      </c>
      <c r="C27216" t="str">
        <v>-</v>
      </c>
      <c r="D27216" t="str">
        <v>-</v>
      </c>
      <c r="E27216" t="str">
        <v/>
      </c>
      <c r="F27216" t="str">
        <v>-</v>
      </c>
      <c r="G27216" t="str">
        <v>-</v>
      </c>
    </row>
    <row r="27217">
      <c r="B27217" t="str">
        <v>UBND Ủy ban nhân dân xã Tân Sỏi tỉnh Bắc Giang</v>
      </c>
      <c r="C27217" t="str">
        <v>-</v>
      </c>
      <c r="D27217" t="str">
        <v>-</v>
      </c>
      <c r="E27217" t="str">
        <v>-</v>
      </c>
      <c r="F27217" t="str">
        <v>-</v>
      </c>
      <c r="G27217" t="str">
        <v>-</v>
      </c>
    </row>
    <row r="27218" xml:space="preserve">
      <c r="B27218" t="str" xml:space="preserve">
        <v xml:space="preserve">Công an xã Tân Thành Bình _x000d_
 tỉnh Nghệ An</v>
      </c>
      <c r="C27218" t="str">
        <v>-</v>
      </c>
      <c r="D27218" t="str">
        <v>-</v>
      </c>
      <c r="E27218" t="str">
        <v/>
      </c>
      <c r="F27218" t="str">
        <v>-</v>
      </c>
      <c r="G27218" t="str">
        <v>-</v>
      </c>
    </row>
    <row r="27219" xml:space="preserve">
      <c r="B27219" t="str" xml:space="preserve">
        <v xml:space="preserve">UBND Ủy ban nhân dân xã Tân Thành Bình _x000d_
 tỉnh Nghệ An</v>
      </c>
      <c r="C27219" t="str">
        <v>-</v>
      </c>
      <c r="D27219" t="str">
        <v>-</v>
      </c>
      <c r="E27219" t="str">
        <v>-</v>
      </c>
      <c r="F27219" t="str">
        <v>-</v>
      </c>
      <c r="G27219" t="str">
        <v>-</v>
      </c>
    </row>
    <row r="27220" xml:space="preserve">
      <c r="B27220" t="str" xml:space="preserve">
        <v xml:space="preserve">Công an xã Tân Thành Bình _x000d_
 tỉnh Nghệ An</v>
      </c>
      <c r="C27220" t="str">
        <v>-</v>
      </c>
      <c r="D27220" t="str">
        <v>-</v>
      </c>
      <c r="E27220" t="str">
        <v/>
      </c>
      <c r="F27220" t="str">
        <v>-</v>
      </c>
      <c r="G27220" t="str">
        <v>-</v>
      </c>
    </row>
    <row r="27221" xml:space="preserve">
      <c r="B27221" t="str" xml:space="preserve">
        <v xml:space="preserve">UBND Ủy ban nhân dân xã Tân Thành Bình _x000d_
 tỉnh Nghệ An</v>
      </c>
      <c r="C27221" t="str">
        <v>-</v>
      </c>
      <c r="D27221" t="str">
        <v>-</v>
      </c>
      <c r="E27221" t="str">
        <v>-</v>
      </c>
      <c r="F27221" t="str">
        <v>-</v>
      </c>
      <c r="G27221" t="str">
        <v>-</v>
      </c>
    </row>
    <row r="27222">
      <c r="B27222" t="str">
        <v>Công an xã Tân Thạch tỉnh Bến Tre</v>
      </c>
      <c r="C27222" t="str">
        <v>-</v>
      </c>
      <c r="D27222" t="str">
        <v>-</v>
      </c>
      <c r="E27222" t="str">
        <v/>
      </c>
      <c r="F27222" t="str">
        <v>-</v>
      </c>
      <c r="G27222" t="str">
        <v>-</v>
      </c>
    </row>
    <row r="27223">
      <c r="B27223" t="str">
        <v>UBND Ủy ban nhân dân xã Tân Thạch tỉnh Bến Tre</v>
      </c>
      <c r="C27223" t="str">
        <v>-</v>
      </c>
      <c r="D27223" t="str">
        <v>-</v>
      </c>
      <c r="E27223" t="str">
        <v>-</v>
      </c>
      <c r="F27223" t="str">
        <v>-</v>
      </c>
      <c r="G27223" t="str">
        <v>-</v>
      </c>
    </row>
    <row r="27224" xml:space="preserve">
      <c r="B27224" t="str" xml:space="preserve">
        <v xml:space="preserve">Công an xã Tân Thắng _x000d_
 tỉnh Bà Rịa - Vũng Tàu</v>
      </c>
      <c r="C27224" t="str">
        <v>-</v>
      </c>
      <c r="D27224" t="str">
        <v>-</v>
      </c>
      <c r="E27224" t="str">
        <v/>
      </c>
      <c r="F27224" t="str">
        <v>-</v>
      </c>
      <c r="G27224" t="str">
        <v>-</v>
      </c>
    </row>
    <row r="27225" xml:space="preserve">
      <c r="B27225" t="str" xml:space="preserve">
        <v xml:space="preserve">UBND Ủy ban nhân dân xã Tân Thắng _x000d_
 tỉnh Bà Rịa - Vũng Tàu</v>
      </c>
      <c r="C27225" t="str">
        <v>-</v>
      </c>
      <c r="D27225" t="str">
        <v>-</v>
      </c>
      <c r="E27225" t="str">
        <v>-</v>
      </c>
      <c r="F27225" t="str">
        <v>-</v>
      </c>
      <c r="G27225" t="str">
        <v>-</v>
      </c>
    </row>
    <row r="27226">
      <c r="B27226" t="str">
        <v>Công an xã Tân Thọ tỉnh Thanh Hóa</v>
      </c>
      <c r="C27226" t="str">
        <v>-</v>
      </c>
      <c r="D27226" t="str">
        <v>-</v>
      </c>
      <c r="E27226" t="str">
        <v/>
      </c>
      <c r="F27226" t="str">
        <v>-</v>
      </c>
      <c r="G27226" t="str">
        <v>-</v>
      </c>
    </row>
    <row r="27227">
      <c r="B27227" t="str">
        <v>UBND Ủy ban nhân dân xã Tân Thọ tỉnh Thanh Hóa</v>
      </c>
      <c r="C27227" t="str">
        <v>-</v>
      </c>
      <c r="D27227" t="str">
        <v>-</v>
      </c>
      <c r="E27227" t="str">
        <v>-</v>
      </c>
      <c r="F27227" t="str">
        <v>-</v>
      </c>
      <c r="G27227" t="str">
        <v>-</v>
      </c>
    </row>
    <row r="27228">
      <c r="B27228" t="str">
        <v>Công an xã Tân Thanh tỉnh Tuyên Quang</v>
      </c>
      <c r="C27228" t="str">
        <v>-</v>
      </c>
      <c r="D27228" t="str">
        <v>-</v>
      </c>
      <c r="E27228" t="str">
        <v/>
      </c>
      <c r="F27228" t="str">
        <v>-</v>
      </c>
      <c r="G27228" t="str">
        <v>-</v>
      </c>
    </row>
    <row r="27229">
      <c r="B27229" t="str">
        <v>UBND Ủy ban nhân dân xã Tân Thanh tỉnh Tuyên Quang</v>
      </c>
      <c r="C27229" t="str">
        <v>-</v>
      </c>
      <c r="D27229" t="str">
        <v>-</v>
      </c>
      <c r="E27229" t="str">
        <v>-</v>
      </c>
      <c r="F27229" t="str">
        <v>-</v>
      </c>
      <c r="G27229" t="str">
        <v>-</v>
      </c>
    </row>
    <row r="27230" xml:space="preserve">
      <c r="B27230" t="str" xml:space="preserve">
        <v xml:space="preserve">Công an xã Tân Thuỷ _x000d_
 tỉnh Quảng Bình</v>
      </c>
      <c r="C27230" t="str">
        <v>-</v>
      </c>
      <c r="D27230" t="str">
        <v>-</v>
      </c>
      <c r="E27230" t="str">
        <v/>
      </c>
      <c r="F27230" t="str">
        <v>-</v>
      </c>
      <c r="G27230" t="str">
        <v>-</v>
      </c>
    </row>
    <row r="27231" xml:space="preserve">
      <c r="B27231" t="str" xml:space="preserve">
        <v xml:space="preserve">UBND Ủy ban nhân dân xã Tân Thuỷ _x000d_
 tỉnh Quảng Bình</v>
      </c>
      <c r="C27231" t="str">
        <v>-</v>
      </c>
      <c r="D27231" t="str">
        <v>-</v>
      </c>
      <c r="E27231" t="str">
        <v>-</v>
      </c>
      <c r="F27231" t="str">
        <v>-</v>
      </c>
      <c r="G27231" t="str">
        <v>-</v>
      </c>
    </row>
    <row r="27232">
      <c r="B27232" t="str">
        <v>Công an xã Tân Tiến tỉnh Tuyên Quang</v>
      </c>
      <c r="C27232" t="str">
        <v>-</v>
      </c>
      <c r="D27232" t="str">
        <v>-</v>
      </c>
      <c r="E27232" t="str">
        <v/>
      </c>
      <c r="F27232" t="str">
        <v>-</v>
      </c>
      <c r="G27232" t="str">
        <v>-</v>
      </c>
    </row>
    <row r="27233">
      <c r="B27233" t="str">
        <v>UBND Ủy ban nhân dân xã Tân Tiến tỉnh Tuyên Quang</v>
      </c>
      <c r="C27233" t="str">
        <v>-</v>
      </c>
      <c r="D27233" t="str">
        <v>-</v>
      </c>
      <c r="E27233" t="str">
        <v>-</v>
      </c>
      <c r="F27233" t="str">
        <v>-</v>
      </c>
      <c r="G27233" t="str">
        <v>-</v>
      </c>
    </row>
    <row r="27234">
      <c r="B27234" t="str">
        <v>Công an xã Tân Trào tỉnh Hải Dương</v>
      </c>
      <c r="C27234" t="str">
        <v>-</v>
      </c>
      <c r="D27234" t="str">
        <v>-</v>
      </c>
      <c r="E27234" t="str">
        <v/>
      </c>
      <c r="F27234" t="str">
        <v>-</v>
      </c>
      <c r="G27234" t="str">
        <v>-</v>
      </c>
    </row>
    <row r="27235">
      <c r="B27235" t="str">
        <v>UBND Ủy ban nhân dân xã Tân Trào tỉnh Hải Dương</v>
      </c>
      <c r="C27235" t="str">
        <v>-</v>
      </c>
      <c r="D27235" t="str">
        <v>-</v>
      </c>
      <c r="E27235" t="str">
        <v>-</v>
      </c>
      <c r="F27235" t="str">
        <v>-</v>
      </c>
      <c r="G27235" t="str">
        <v>-</v>
      </c>
    </row>
    <row r="27236">
      <c r="B27236" t="str">
        <v>Công an xã Tân Trường  tỉnh Hải Dương</v>
      </c>
      <c r="C27236" t="str">
        <v>-</v>
      </c>
      <c r="D27236" t="str">
        <v>-</v>
      </c>
      <c r="E27236" t="str">
        <v/>
      </c>
      <c r="F27236" t="str">
        <v>-</v>
      </c>
      <c r="G27236" t="str">
        <v>-</v>
      </c>
    </row>
    <row r="27237">
      <c r="B27237" t="str">
        <v>UBND Ủy ban nhân dân xã Tân Trường  tỉnh Hải Dương</v>
      </c>
      <c r="C27237" t="str">
        <v>-</v>
      </c>
      <c r="D27237" t="str">
        <v>-</v>
      </c>
      <c r="E27237" t="str">
        <v>-</v>
      </c>
      <c r="F27237" t="str">
        <v>-</v>
      </c>
      <c r="G27237" t="str">
        <v>-</v>
      </c>
    </row>
    <row r="27238">
      <c r="B27238" t="str">
        <v>Công an xã Tây Thành tỉnh Nghệ An</v>
      </c>
      <c r="C27238" t="str">
        <v>-</v>
      </c>
      <c r="D27238" t="str">
        <v>-</v>
      </c>
      <c r="E27238" t="str">
        <v/>
      </c>
      <c r="F27238" t="str">
        <v>-</v>
      </c>
      <c r="G27238" t="str">
        <v>-</v>
      </c>
    </row>
    <row r="27239">
      <c r="B27239" t="str">
        <v>UBND Ủy ban nhân dân xã Tây Thành tỉnh Nghệ An</v>
      </c>
      <c r="C27239" t="str">
        <v>-</v>
      </c>
      <c r="D27239" t="str">
        <v>-</v>
      </c>
      <c r="E27239" t="str">
        <v>-</v>
      </c>
      <c r="F27239" t="str">
        <v>-</v>
      </c>
      <c r="G27239" t="str">
        <v>-</v>
      </c>
    </row>
    <row r="27240">
      <c r="B27240" t="str">
        <v>Công an xã Tây Tiến tỉnh Thái Bình</v>
      </c>
      <c r="C27240" t="str">
        <v>-</v>
      </c>
      <c r="D27240" t="str">
        <v>-</v>
      </c>
      <c r="E27240" t="str">
        <v/>
      </c>
      <c r="F27240" t="str">
        <v>-</v>
      </c>
      <c r="G27240" t="str">
        <v>-</v>
      </c>
    </row>
    <row r="27241">
      <c r="B27241" t="str">
        <v>UBND Ủy ban nhân dân xã Tây Tiến tỉnh Thái Bình</v>
      </c>
      <c r="C27241" t="str">
        <v>-</v>
      </c>
      <c r="D27241" t="str">
        <v>-</v>
      </c>
      <c r="E27241" t="str">
        <v>-</v>
      </c>
      <c r="F27241" t="str">
        <v>-</v>
      </c>
      <c r="G27241" t="str">
        <v>-</v>
      </c>
    </row>
    <row r="27242" xml:space="preserve">
      <c r="B27242" t="str" xml:space="preserve">
        <v xml:space="preserve">Công an xã Tây Xuân _x000d_
 tỉnh Bình Định</v>
      </c>
      <c r="C27242" t="str">
        <v>-</v>
      </c>
      <c r="D27242" t="str">
        <v>-</v>
      </c>
      <c r="E27242" t="str">
        <v/>
      </c>
      <c r="F27242" t="str">
        <v>-</v>
      </c>
      <c r="G27242" t="str">
        <v>-</v>
      </c>
    </row>
    <row r="27243" xml:space="preserve">
      <c r="B27243" t="str" xml:space="preserve">
        <v xml:space="preserve">UBND Ủy ban nhân dân xã Tây Xuân _x000d_
 tỉnh Bình Định</v>
      </c>
      <c r="C27243" t="str">
        <v>-</v>
      </c>
      <c r="D27243" t="str">
        <v>-</v>
      </c>
      <c r="E27243" t="str">
        <v>-</v>
      </c>
      <c r="F27243" t="str">
        <v>-</v>
      </c>
      <c r="G27243" t="str">
        <v>-</v>
      </c>
    </row>
    <row r="27244">
      <c r="B27244" t="str">
        <v>Công an xã Tòng Đậu tỉnh Hòa Bình</v>
      </c>
      <c r="C27244" t="str">
        <v>-</v>
      </c>
      <c r="D27244" t="str">
        <v>-</v>
      </c>
      <c r="E27244" t="str">
        <v/>
      </c>
      <c r="F27244" t="str">
        <v>-</v>
      </c>
      <c r="G27244" t="str">
        <v>-</v>
      </c>
    </row>
    <row r="27245">
      <c r="B27245" t="str">
        <v>UBND Ủy ban nhân dân xã Tòng Đậu tỉnh Hòa Bình</v>
      </c>
      <c r="C27245" t="str">
        <v>-</v>
      </c>
      <c r="D27245" t="str">
        <v>-</v>
      </c>
      <c r="E27245" t="str">
        <v>-</v>
      </c>
      <c r="F27245" t="str">
        <v>-</v>
      </c>
      <c r="G27245" t="str">
        <v>-</v>
      </c>
    </row>
    <row r="27246" xml:space="preserve">
      <c r="B27246" t="str" xml:space="preserve">
        <v xml:space="preserve">Công an xã Tô Múa _x000d_
 tỉnh Sơn La</v>
      </c>
      <c r="C27246" t="str">
        <v>-</v>
      </c>
      <c r="D27246" t="str">
        <v>-</v>
      </c>
      <c r="E27246" t="str">
        <v/>
      </c>
      <c r="F27246" t="str">
        <v>-</v>
      </c>
      <c r="G27246" t="str">
        <v>-</v>
      </c>
    </row>
    <row r="27247" xml:space="preserve">
      <c r="B27247" t="str" xml:space="preserve">
        <v xml:space="preserve">UBND Ủy ban nhân dân xã Tô Múa _x000d_
 tỉnh Sơn La</v>
      </c>
      <c r="C27247" t="str">
        <v>-</v>
      </c>
      <c r="D27247" t="str">
        <v>-</v>
      </c>
      <c r="E27247" t="str">
        <v>-</v>
      </c>
      <c r="F27247" t="str">
        <v>-</v>
      </c>
      <c r="G27247" t="str">
        <v>-</v>
      </c>
    </row>
    <row r="27248" xml:space="preserve">
      <c r="B27248" t="str" xml:space="preserve">
        <v xml:space="preserve">Công an xã Tô Mậu _x000d_
 tỉnh Sơn La</v>
      </c>
      <c r="C27248" t="str">
        <v>-</v>
      </c>
      <c r="D27248" t="str">
        <v>-</v>
      </c>
      <c r="E27248" t="str">
        <v/>
      </c>
      <c r="F27248" t="str">
        <v>-</v>
      </c>
      <c r="G27248" t="str">
        <v>-</v>
      </c>
    </row>
    <row r="27249" xml:space="preserve">
      <c r="B27249" t="str" xml:space="preserve">
        <v xml:space="preserve">UBND Ủy ban nhân dân xã Tô Mậu _x000d_
 tỉnh Sơn La</v>
      </c>
      <c r="C27249" t="str">
        <v>-</v>
      </c>
      <c r="D27249" t="str">
        <v>-</v>
      </c>
      <c r="E27249" t="str">
        <v>-</v>
      </c>
      <c r="F27249" t="str">
        <v>-</v>
      </c>
      <c r="G27249" t="str">
        <v>-</v>
      </c>
    </row>
    <row r="27250">
      <c r="B27250" t="str">
        <v>Công an xã Tông Cọ tỉnh Sơn La</v>
      </c>
      <c r="C27250" t="str">
        <v>-</v>
      </c>
      <c r="D27250" t="str">
        <v>-</v>
      </c>
      <c r="E27250" t="str">
        <v/>
      </c>
      <c r="F27250" t="str">
        <v>-</v>
      </c>
      <c r="G27250" t="str">
        <v>-</v>
      </c>
    </row>
    <row r="27251">
      <c r="B27251" t="str">
        <v>UBND Ủy ban nhân dân xã Tông Cọ tỉnh Sơn La</v>
      </c>
      <c r="C27251" t="str">
        <v>-</v>
      </c>
      <c r="D27251" t="str">
        <v>-</v>
      </c>
      <c r="E27251" t="str">
        <v>-</v>
      </c>
      <c r="F27251" t="str">
        <v>-</v>
      </c>
      <c r="G27251" t="str">
        <v>-</v>
      </c>
    </row>
    <row r="27252" xml:space="preserve">
      <c r="B27252" t="str" xml:space="preserve">
        <v xml:space="preserve">Công an xã Tùng Lộc _x000d_
 tỉnh Hà Tĩnh</v>
      </c>
      <c r="C27252" t="str">
        <v>-</v>
      </c>
      <c r="D27252" t="str">
        <v>-</v>
      </c>
      <c r="E27252" t="str">
        <v/>
      </c>
      <c r="F27252" t="str">
        <v>-</v>
      </c>
      <c r="G27252" t="str">
        <v>-</v>
      </c>
    </row>
    <row r="27253" xml:space="preserve">
      <c r="B27253" t="str" xml:space="preserve">
        <v xml:space="preserve">UBND Ủy ban nhân dân xã Tùng Lộc _x000d_
 tỉnh Hà Tĩnh</v>
      </c>
      <c r="C27253" t="str">
        <v>-</v>
      </c>
      <c r="D27253" t="str">
        <v>-</v>
      </c>
      <c r="E27253" t="str">
        <v>-</v>
      </c>
      <c r="F27253" t="str">
        <v>-</v>
      </c>
      <c r="G27253" t="str">
        <v>-</v>
      </c>
    </row>
    <row r="27254" xml:space="preserve">
      <c r="B27254" t="str" xml:space="preserve">
        <v xml:space="preserve">Công an xã Túc Đán _x000d_
 tỉnh Yên Bái</v>
      </c>
      <c r="C27254" t="str">
        <v>-</v>
      </c>
      <c r="D27254" t="str">
        <v>-</v>
      </c>
      <c r="E27254" t="str">
        <v/>
      </c>
      <c r="F27254" t="str">
        <v>-</v>
      </c>
      <c r="G27254" t="str">
        <v>-</v>
      </c>
    </row>
    <row r="27255" xml:space="preserve">
      <c r="B27255" t="str" xml:space="preserve">
        <v xml:space="preserve">UBND Ủy ban nhân dân xã Túc Đán _x000d_
 tỉnh Yên Bái</v>
      </c>
      <c r="C27255" t="str">
        <v>-</v>
      </c>
      <c r="D27255" t="str">
        <v>-</v>
      </c>
      <c r="E27255" t="str">
        <v>-</v>
      </c>
      <c r="F27255" t="str">
        <v>-</v>
      </c>
      <c r="G27255" t="str">
        <v>-</v>
      </c>
    </row>
    <row r="27256">
      <c r="B27256" t="str">
        <v>Công an xã Tú Lý tỉnh Hòa Bình</v>
      </c>
      <c r="C27256" t="str">
        <v>-</v>
      </c>
      <c r="D27256" t="str">
        <v>-</v>
      </c>
      <c r="E27256" t="str">
        <v/>
      </c>
      <c r="F27256" t="str">
        <v>-</v>
      </c>
      <c r="G27256" t="str">
        <v>-</v>
      </c>
    </row>
    <row r="27257">
      <c r="B27257" t="str">
        <v>UBND Ủy ban nhân dân xã Tú Lý tỉnh Hòa Bình</v>
      </c>
      <c r="C27257" t="str">
        <v>-</v>
      </c>
      <c r="D27257" t="str">
        <v>-</v>
      </c>
      <c r="E27257" t="str">
        <v>-</v>
      </c>
      <c r="F27257" t="str">
        <v>-</v>
      </c>
      <c r="G27257" t="str">
        <v>-</v>
      </c>
    </row>
    <row r="27258">
      <c r="B27258" t="str">
        <v>Công an xã Tú Thịnh tỉnh Tuyên Quang</v>
      </c>
      <c r="C27258" t="str">
        <v>-</v>
      </c>
      <c r="D27258" t="str">
        <v>-</v>
      </c>
      <c r="E27258" t="str">
        <v/>
      </c>
      <c r="F27258" t="str">
        <v>-</v>
      </c>
      <c r="G27258" t="str">
        <v>-</v>
      </c>
    </row>
    <row r="27259">
      <c r="B27259" t="str">
        <v>UBND Ủy ban nhân dân xã Tú Thịnh tỉnh Tuyên Quang</v>
      </c>
      <c r="C27259" t="str">
        <v>-</v>
      </c>
      <c r="D27259" t="str">
        <v>-</v>
      </c>
      <c r="E27259" t="str">
        <v>-</v>
      </c>
      <c r="F27259" t="str">
        <v>-</v>
      </c>
      <c r="G27259" t="str">
        <v>-</v>
      </c>
    </row>
    <row r="27260">
      <c r="B27260" t="str">
        <v>Công an xã Tường Phù tỉnh Sơn La</v>
      </c>
      <c r="C27260" t="str">
        <v>-</v>
      </c>
      <c r="D27260" t="str">
        <v>-</v>
      </c>
      <c r="E27260" t="str">
        <v/>
      </c>
      <c r="F27260" t="str">
        <v>-</v>
      </c>
      <c r="G27260" t="str">
        <v>-</v>
      </c>
    </row>
    <row r="27261">
      <c r="B27261" t="str">
        <v>UBND Ủy ban nhân dân xã Tường Phù tỉnh Sơn La</v>
      </c>
      <c r="C27261" t="str">
        <v>-</v>
      </c>
      <c r="D27261" t="str">
        <v>-</v>
      </c>
      <c r="E27261" t="str">
        <v>-</v>
      </c>
      <c r="F27261" t="str">
        <v>-</v>
      </c>
      <c r="G27261" t="str">
        <v>-</v>
      </c>
    </row>
    <row r="27262">
      <c r="B27262" t="str">
        <v>Công an xã Tường Phong tỉnh Sơn La</v>
      </c>
      <c r="C27262" t="str">
        <v>-</v>
      </c>
      <c r="D27262" t="str">
        <v>-</v>
      </c>
      <c r="E27262" t="str">
        <v/>
      </c>
      <c r="F27262" t="str">
        <v>-</v>
      </c>
      <c r="G27262" t="str">
        <v>-</v>
      </c>
    </row>
    <row r="27263">
      <c r="B27263" t="str">
        <v>UBND Ủy ban nhân dân xã Tường Phong tỉnh Sơn La</v>
      </c>
      <c r="C27263" t="str">
        <v>-</v>
      </c>
      <c r="D27263" t="str">
        <v>-</v>
      </c>
      <c r="E27263" t="str">
        <v>-</v>
      </c>
      <c r="F27263" t="str">
        <v>-</v>
      </c>
      <c r="G27263" t="str">
        <v>-</v>
      </c>
    </row>
    <row r="27264">
      <c r="B27264" t="str">
        <v>Công an xã Tường Thượng tỉnh Sơn La</v>
      </c>
      <c r="C27264" t="str">
        <v>-</v>
      </c>
      <c r="D27264" t="str">
        <v>-</v>
      </c>
      <c r="E27264" t="str">
        <v/>
      </c>
      <c r="F27264" t="str">
        <v>-</v>
      </c>
      <c r="G27264" t="str">
        <v>-</v>
      </c>
    </row>
    <row r="27265">
      <c r="B27265" t="str">
        <v>UBND Ủy ban nhân dân xã Tường Thượng tỉnh Sơn La</v>
      </c>
      <c r="C27265" t="str">
        <v>-</v>
      </c>
      <c r="D27265" t="str">
        <v>-</v>
      </c>
      <c r="E27265" t="str">
        <v>-</v>
      </c>
      <c r="F27265" t="str">
        <v>-</v>
      </c>
      <c r="G27265" t="str">
        <v>-</v>
      </c>
    </row>
    <row r="27266">
      <c r="B27266" t="str">
        <v>Công an xã Tượng Lĩnh tỉnh Thanh Hóa</v>
      </c>
      <c r="C27266" t="str">
        <v>-</v>
      </c>
      <c r="D27266" t="str">
        <v>-</v>
      </c>
      <c r="E27266" t="str">
        <v/>
      </c>
      <c r="F27266" t="str">
        <v>-</v>
      </c>
      <c r="G27266" t="str">
        <v>-</v>
      </c>
    </row>
    <row r="27267">
      <c r="B27267" t="str">
        <v>UBND Ủy ban nhân dân xã Tượng Lĩnh tỉnh Thanh Hóa</v>
      </c>
      <c r="C27267" t="str">
        <v>-</v>
      </c>
      <c r="D27267" t="str">
        <v>-</v>
      </c>
      <c r="E27267" t="str">
        <v>-</v>
      </c>
      <c r="F27267" t="str">
        <v>-</v>
      </c>
      <c r="G27267" t="str">
        <v>-</v>
      </c>
    </row>
    <row r="27268">
      <c r="B27268" t="str">
        <v>Công an xã Tượng Văn tỉnh Thanh Hóa</v>
      </c>
      <c r="C27268" t="str">
        <v>-</v>
      </c>
      <c r="D27268" t="str">
        <v>-</v>
      </c>
      <c r="E27268" t="str">
        <v/>
      </c>
      <c r="F27268" t="str">
        <v>-</v>
      </c>
      <c r="G27268" t="str">
        <v>-</v>
      </c>
    </row>
    <row r="27269">
      <c r="B27269" t="str">
        <v>UBND Ủy ban nhân dân xã Tượng Văn tỉnh Thanh Hóa</v>
      </c>
      <c r="C27269" t="str">
        <v>-</v>
      </c>
      <c r="D27269" t="str">
        <v>-</v>
      </c>
      <c r="E27269" t="str">
        <v>-</v>
      </c>
      <c r="F27269" t="str">
        <v>-</v>
      </c>
      <c r="G27269" t="str">
        <v>-</v>
      </c>
    </row>
    <row r="27270">
      <c r="B27270" t="str">
        <v>Công an xã Tạ Xá tỉnh Phú Thọ</v>
      </c>
      <c r="C27270" t="str">
        <v>-</v>
      </c>
      <c r="D27270" t="str">
        <v>-</v>
      </c>
      <c r="E27270" t="str">
        <v/>
      </c>
      <c r="F27270" t="str">
        <v>-</v>
      </c>
      <c r="G27270" t="str">
        <v>-</v>
      </c>
    </row>
    <row r="27271">
      <c r="B27271" t="str">
        <v>UBND Ủy ban nhân dân xã Tạ Xá tỉnh Phú Thọ</v>
      </c>
      <c r="C27271" t="str">
        <v>-</v>
      </c>
      <c r="D27271" t="str">
        <v>-</v>
      </c>
      <c r="E27271" t="str">
        <v>-</v>
      </c>
      <c r="F27271" t="str">
        <v>-</v>
      </c>
      <c r="G27271" t="str">
        <v>-</v>
      </c>
    </row>
    <row r="27272">
      <c r="B27272" t="str">
        <v>Công an xã Tả Lèng tỉnh Lai Châu</v>
      </c>
      <c r="C27272" t="str">
        <v>-</v>
      </c>
      <c r="D27272" t="str">
        <v>-</v>
      </c>
      <c r="E27272" t="str">
        <v/>
      </c>
      <c r="F27272" t="str">
        <v>-</v>
      </c>
      <c r="G27272" t="str">
        <v>-</v>
      </c>
    </row>
    <row r="27273">
      <c r="B27273" t="str">
        <v>UBND Ủy ban nhân dân xã Tả Lèng tỉnh Lai Châu</v>
      </c>
      <c r="C27273" t="str">
        <v>-</v>
      </c>
      <c r="D27273" t="str">
        <v>-</v>
      </c>
      <c r="E27273" t="str">
        <v>-</v>
      </c>
      <c r="F27273" t="str">
        <v>-</v>
      </c>
      <c r="G27273" t="str">
        <v>-</v>
      </c>
    </row>
    <row r="27274">
      <c r="B27274" t="str">
        <v>Công an xã Tả Ngảo tỉnh Lai Châu</v>
      </c>
      <c r="C27274" t="str">
        <v>-</v>
      </c>
      <c r="D27274" t="str">
        <v>-</v>
      </c>
      <c r="E27274" t="str">
        <v/>
      </c>
      <c r="F27274" t="str">
        <v>-</v>
      </c>
      <c r="G27274" t="str">
        <v>-</v>
      </c>
    </row>
    <row r="27275">
      <c r="B27275" t="str">
        <v>UBND Ủy ban nhân dân xã Tả Ngảo tỉnh Lai Châu</v>
      </c>
      <c r="C27275" t="str">
        <v>-</v>
      </c>
      <c r="D27275" t="str">
        <v>-</v>
      </c>
      <c r="E27275" t="str">
        <v>-</v>
      </c>
      <c r="F27275" t="str">
        <v>-</v>
      </c>
      <c r="G27275" t="str">
        <v>-</v>
      </c>
    </row>
    <row r="27276" xml:space="preserve">
      <c r="B27276" t="str" xml:space="preserve">
        <v xml:space="preserve">Công an xã Tả Van _x000d_
 tỉnh Hà Giang</v>
      </c>
      <c r="C27276" t="str">
        <v>-</v>
      </c>
      <c r="D27276" t="str">
        <v>-</v>
      </c>
      <c r="E27276" t="str">
        <v/>
      </c>
      <c r="F27276" t="str">
        <v>-</v>
      </c>
      <c r="G27276" t="str">
        <v>-</v>
      </c>
    </row>
    <row r="27277" xml:space="preserve">
      <c r="B27277" t="str" xml:space="preserve">
        <v xml:space="preserve">UBND Ủy ban nhân dân xã Tả Van _x000d_
 tỉnh Hà Giang</v>
      </c>
      <c r="C27277" t="str">
        <v>-</v>
      </c>
      <c r="D27277" t="str">
        <v>-</v>
      </c>
      <c r="E27277" t="str">
        <v>-</v>
      </c>
      <c r="F27277" t="str">
        <v>-</v>
      </c>
      <c r="G27277" t="str">
        <v>-</v>
      </c>
    </row>
    <row r="27278">
      <c r="B27278" t="str">
        <v>Công an xã Tế Nông tỉnh Thanh Hóa</v>
      </c>
      <c r="C27278" t="str">
        <v>-</v>
      </c>
      <c r="D27278" t="str">
        <v>-</v>
      </c>
      <c r="E27278" t="str">
        <v/>
      </c>
      <c r="F27278" t="str">
        <v>-</v>
      </c>
      <c r="G27278" t="str">
        <v>-</v>
      </c>
    </row>
    <row r="27279">
      <c r="B27279" t="str">
        <v>UBND Ủy ban nhân dân xã Tế Nông tỉnh Thanh Hóa</v>
      </c>
      <c r="C27279" t="str">
        <v>-</v>
      </c>
      <c r="D27279" t="str">
        <v>-</v>
      </c>
      <c r="E27279" t="str">
        <v>-</v>
      </c>
      <c r="F27279" t="str">
        <v>-</v>
      </c>
      <c r="G27279" t="str">
        <v>-</v>
      </c>
    </row>
    <row r="27280">
      <c r="B27280" t="str">
        <v>Công an xã Tổng Cọt tỉnh Cao Bằng</v>
      </c>
      <c r="C27280" t="str">
        <v>-</v>
      </c>
      <c r="D27280" t="str">
        <v>-</v>
      </c>
      <c r="E27280" t="str">
        <v/>
      </c>
      <c r="F27280" t="str">
        <v>-</v>
      </c>
      <c r="G27280" t="str">
        <v>-</v>
      </c>
    </row>
    <row r="27281">
      <c r="B27281" t="str">
        <v>UBND Ủy ban nhân dân xã Tổng Cọt tỉnh Cao Bằng</v>
      </c>
      <c r="C27281" t="str">
        <v>-</v>
      </c>
      <c r="D27281" t="str">
        <v>-</v>
      </c>
      <c r="E27281" t="str">
        <v>-</v>
      </c>
      <c r="F27281" t="str">
        <v>-</v>
      </c>
      <c r="G27281" t="str">
        <v>-</v>
      </c>
    </row>
    <row r="27282">
      <c r="B27282" t="str">
        <v>Công an xã Tứ Cường tỉnh Hải Dương</v>
      </c>
      <c r="C27282" t="str">
        <v>-</v>
      </c>
      <c r="D27282" t="str">
        <v>-</v>
      </c>
      <c r="E27282" t="str">
        <v/>
      </c>
      <c r="F27282" t="str">
        <v>-</v>
      </c>
      <c r="G27282" t="str">
        <v>-</v>
      </c>
    </row>
    <row r="27283">
      <c r="B27283" t="str">
        <v>UBND Ủy ban nhân dân xã Tứ Cường tỉnh Hải Dương</v>
      </c>
      <c r="C27283" t="str">
        <v>-</v>
      </c>
      <c r="D27283" t="str">
        <v>-</v>
      </c>
      <c r="E27283" t="str">
        <v>-</v>
      </c>
      <c r="F27283" t="str">
        <v>-</v>
      </c>
      <c r="G27283" t="str">
        <v>-</v>
      </c>
    </row>
    <row r="27284" xml:space="preserve">
      <c r="B27284" t="str" xml:space="preserve">
        <v xml:space="preserve">Công an xã Tứ Dân _x000d_
 tỉnh Hưng Yên</v>
      </c>
      <c r="C27284" t="str">
        <v>-</v>
      </c>
      <c r="D27284" t="str">
        <v>-</v>
      </c>
      <c r="E27284" t="str">
        <v/>
      </c>
      <c r="F27284" t="str">
        <v>-</v>
      </c>
      <c r="G27284" t="str">
        <v>-</v>
      </c>
    </row>
    <row r="27285" xml:space="preserve">
      <c r="B27285" t="str" xml:space="preserve">
        <v xml:space="preserve">UBND Ủy ban nhân dân xã Tứ Dân _x000d_
 tỉnh Hưng Yên</v>
      </c>
      <c r="C27285" t="str">
        <v>-</v>
      </c>
      <c r="D27285" t="str">
        <v>-</v>
      </c>
      <c r="E27285" t="str">
        <v>-</v>
      </c>
      <c r="F27285" t="str">
        <v>-</v>
      </c>
      <c r="G27285" t="str">
        <v>-</v>
      </c>
    </row>
    <row r="27286" xml:space="preserve">
      <c r="B27286" t="str" xml:space="preserve">
        <v xml:space="preserve">Công an xã Tứ Hiệp _x000d_
 tỉnh Phú Thọ</v>
      </c>
      <c r="C27286" t="str">
        <v>-</v>
      </c>
      <c r="D27286" t="str">
        <v>-</v>
      </c>
      <c r="E27286" t="str">
        <v/>
      </c>
      <c r="F27286" t="str">
        <v>-</v>
      </c>
      <c r="G27286" t="str">
        <v>-</v>
      </c>
    </row>
    <row r="27287" xml:space="preserve">
      <c r="B27287" t="str" xml:space="preserve">
        <v xml:space="preserve">UBND Ủy ban nhân dân xã Tứ Hiệp _x000d_
 tỉnh Phú Thọ</v>
      </c>
      <c r="C27287" t="str">
        <v>-</v>
      </c>
      <c r="D27287" t="str">
        <v>-</v>
      </c>
      <c r="E27287" t="str">
        <v>-</v>
      </c>
      <c r="F27287" t="str">
        <v>-</v>
      </c>
      <c r="G27287" t="str">
        <v>-</v>
      </c>
    </row>
    <row r="27288" xml:space="preserve">
      <c r="B27288" t="str" xml:space="preserve">
        <v xml:space="preserve">_x0008_Công an xã Tự Tân_x000d_
 tỉnh Thái Bình</v>
      </c>
    </row>
    <row r="27289" xml:space="preserve">
      <c r="B27289" t="str" xml:space="preserve">
        <v xml:space="preserve">UBND Ủy ban nhân dânn xã Tự Tân_x000d_
 tỉnh Thái Bình</v>
      </c>
      <c r="C27289" t="str">
        <v>-</v>
      </c>
      <c r="D27289" t="str">
        <v>-</v>
      </c>
      <c r="E27289" t="str">
        <v>-</v>
      </c>
      <c r="F27289" t="str">
        <v>-</v>
      </c>
      <c r="G27289" t="str">
        <v>-</v>
      </c>
    </row>
    <row r="27290" xml:space="preserve">
      <c r="B27290" t="str" xml:space="preserve">
        <v xml:space="preserve">Công an xã Tà Hine _x000d_
 tỉnh Lâm Đồng</v>
      </c>
      <c r="C27290" t="str">
        <v>-</v>
      </c>
      <c r="D27290" t="str">
        <v>-</v>
      </c>
      <c r="E27290" t="str">
        <v/>
      </c>
      <c r="F27290" t="str">
        <v>-</v>
      </c>
      <c r="G27290" t="str">
        <v>-</v>
      </c>
    </row>
    <row r="27291" xml:space="preserve">
      <c r="B27291" t="str" xml:space="preserve">
        <v xml:space="preserve">UBND Ủy ban nhân dân xã Tà Hine _x000d_
 tỉnh Lâm Đồng</v>
      </c>
      <c r="C27291" t="str">
        <v>-</v>
      </c>
      <c r="D27291" t="str">
        <v>-</v>
      </c>
      <c r="E27291" t="str">
        <v>-</v>
      </c>
      <c r="F27291" t="str">
        <v>-</v>
      </c>
      <c r="G27291" t="str">
        <v>-</v>
      </c>
    </row>
    <row r="27292">
      <c r="B27292" t="str">
        <v>Công an xã Tam Đình  tỉnh Nghệ An</v>
      </c>
      <c r="C27292" t="str">
        <v>-</v>
      </c>
      <c r="D27292" t="str">
        <v>-</v>
      </c>
      <c r="E27292" t="str">
        <v/>
      </c>
      <c r="F27292" t="str">
        <v>-</v>
      </c>
      <c r="G27292" t="str">
        <v>-</v>
      </c>
    </row>
    <row r="27293">
      <c r="B27293" t="str">
        <v>UBND Ủy ban nhân dân xã Tam Đình  tỉnh Nghệ An</v>
      </c>
      <c r="C27293" t="str">
        <v>-</v>
      </c>
      <c r="D27293" t="str">
        <v>-</v>
      </c>
      <c r="E27293" t="str">
        <v>-</v>
      </c>
      <c r="F27293" t="str">
        <v>-</v>
      </c>
      <c r="G27293" t="str">
        <v>-</v>
      </c>
    </row>
    <row r="27294">
      <c r="B27294" t="str">
        <v>Công an xã Tam Đa tỉnh Tuyên Quang</v>
      </c>
      <c r="C27294" t="str">
        <v>-</v>
      </c>
      <c r="D27294" t="str">
        <v>-</v>
      </c>
      <c r="E27294" t="str">
        <v/>
      </c>
      <c r="F27294" t="str">
        <v>-</v>
      </c>
      <c r="G27294" t="str">
        <v>-</v>
      </c>
    </row>
    <row r="27295">
      <c r="B27295" t="str">
        <v>UBND Ủy ban nhân dân xã Tam Đa tỉnh Tuyên Quang</v>
      </c>
      <c r="C27295" t="str">
        <v>-</v>
      </c>
      <c r="D27295" t="str">
        <v>-</v>
      </c>
      <c r="E27295" t="str">
        <v>-</v>
      </c>
      <c r="F27295" t="str">
        <v>-</v>
      </c>
      <c r="G27295" t="str">
        <v>-</v>
      </c>
    </row>
    <row r="27296" xml:space="preserve">
      <c r="B27296" t="str" xml:space="preserve">
        <v xml:space="preserve">Công an Tam Anh Bắc _x000d_
 tỉnh Quảng Nam</v>
      </c>
      <c r="C27296" t="str">
        <v>-</v>
      </c>
      <c r="D27296" t="str">
        <v>-</v>
      </c>
      <c r="E27296" t="str">
        <v/>
      </c>
      <c r="F27296" t="str">
        <v>-</v>
      </c>
      <c r="G27296" t="str">
        <v>-</v>
      </c>
    </row>
    <row r="27297" xml:space="preserve">
      <c r="B27297" t="str" xml:space="preserve">
        <v xml:space="preserve">UBND Ủy ban nhân dân Tam Anh Bắc _x000d_
 tỉnh Quảng Nam</v>
      </c>
      <c r="C27297" t="str">
        <v>-</v>
      </c>
      <c r="D27297" t="str">
        <v>-</v>
      </c>
      <c r="E27297" t="str">
        <v>-</v>
      </c>
      <c r="F27297" t="str">
        <v>-</v>
      </c>
      <c r="G27297" t="str">
        <v>-</v>
      </c>
    </row>
    <row r="27298">
      <c r="B27298" t="str">
        <v>Công an xã Tam Dị tỉnh Bắc Giang</v>
      </c>
      <c r="C27298" t="str">
        <v>-</v>
      </c>
      <c r="D27298" t="str">
        <v>-</v>
      </c>
      <c r="E27298" t="str">
        <v/>
      </c>
      <c r="F27298" t="str">
        <v>-</v>
      </c>
      <c r="G27298" t="str">
        <v>-</v>
      </c>
    </row>
    <row r="27299">
      <c r="B27299" t="str">
        <v>UBND Ủy ban nhân dân xã Tam Dị tỉnh Bắc Giang</v>
      </c>
      <c r="C27299" t="str">
        <v>-</v>
      </c>
      <c r="D27299" t="str">
        <v>-</v>
      </c>
      <c r="E27299" t="str">
        <v>-</v>
      </c>
      <c r="F27299" t="str">
        <v>-</v>
      </c>
      <c r="G27299" t="str">
        <v>-</v>
      </c>
    </row>
    <row r="27300" xml:space="preserve">
      <c r="B27300" t="str" xml:space="preserve">
        <v xml:space="preserve">Công an xã Tam Giang _x000d_
 tỉnh Quảng Nam</v>
      </c>
      <c r="C27300" t="str">
        <v>-</v>
      </c>
      <c r="D27300" t="str">
        <v>-</v>
      </c>
      <c r="E27300" t="str">
        <v/>
      </c>
      <c r="F27300" t="str">
        <v>-</v>
      </c>
      <c r="G27300" t="str">
        <v>-</v>
      </c>
    </row>
    <row r="27301" xml:space="preserve">
      <c r="B27301" t="str" xml:space="preserve">
        <v xml:space="preserve">UBND Ủy ban nhân dân xã Tam Giang _x000d_
 tỉnh Quảng Nam</v>
      </c>
      <c r="C27301" t="str">
        <v>-</v>
      </c>
      <c r="D27301" t="str">
        <v>-</v>
      </c>
      <c r="E27301" t="str">
        <v>-</v>
      </c>
      <c r="F27301" t="str">
        <v>-</v>
      </c>
      <c r="G27301" t="str">
        <v>-</v>
      </c>
    </row>
    <row r="27302">
      <c r="B27302" t="str">
        <v>Công an xã Tam Hợp tỉnh Nghệ An</v>
      </c>
      <c r="C27302" t="str">
        <v>-</v>
      </c>
      <c r="D27302" t="str">
        <v>-</v>
      </c>
      <c r="E27302" t="str">
        <v/>
      </c>
      <c r="F27302" t="str">
        <v>-</v>
      </c>
      <c r="G27302" t="str">
        <v>-</v>
      </c>
    </row>
    <row r="27303">
      <c r="B27303" t="str">
        <v>UBND Ủy ban nhân dân xã Tam Hợp tỉnh Nghệ An</v>
      </c>
      <c r="C27303" t="str">
        <v>-</v>
      </c>
      <c r="D27303" t="str">
        <v>-</v>
      </c>
      <c r="E27303" t="str">
        <v>-</v>
      </c>
      <c r="F27303" t="str">
        <v>-</v>
      </c>
      <c r="G27303" t="str">
        <v>-</v>
      </c>
    </row>
    <row r="27304" xml:space="preserve">
      <c r="B27304" t="str" xml:space="preserve">
        <v xml:space="preserve">Công an xã Tam Hiệp _x000d_
 thành phố Hà Nội</v>
      </c>
      <c r="C27304" t="str">
        <v>-</v>
      </c>
      <c r="D27304" t="str">
        <v>-</v>
      </c>
      <c r="E27304" t="str">
        <v/>
      </c>
      <c r="F27304" t="str">
        <v>-</v>
      </c>
      <c r="G27304" t="str">
        <v>-</v>
      </c>
    </row>
    <row r="27305" xml:space="preserve">
      <c r="B27305" t="str" xml:space="preserve">
        <v xml:space="preserve">UBND Ủy ban nhân dân xã Tam Hiệp _x000d_
 thành phố Hà Nội</v>
      </c>
      <c r="C27305" t="str">
        <v>-</v>
      </c>
      <c r="D27305" t="str">
        <v>-</v>
      </c>
      <c r="E27305" t="str">
        <v>-</v>
      </c>
      <c r="F27305" t="str">
        <v>-</v>
      </c>
      <c r="G27305" t="str">
        <v>-</v>
      </c>
    </row>
    <row r="27306" xml:space="preserve">
      <c r="B27306" t="str" xml:space="preserve">
        <v xml:space="preserve">Công an xã Tam Lãnh _x000d_
 tỉnh Quảng Nam</v>
      </c>
      <c r="C27306" t="str">
        <v>-</v>
      </c>
      <c r="D27306" t="str">
        <v>-</v>
      </c>
      <c r="E27306" t="str">
        <v/>
      </c>
      <c r="F27306" t="str">
        <v>-</v>
      </c>
      <c r="G27306" t="str">
        <v>-</v>
      </c>
    </row>
    <row r="27307" xml:space="preserve">
      <c r="B27307" t="str" xml:space="preserve">
        <v xml:space="preserve">UBND Ủy ban nhân dân xã Tam Lãnh _x000d_
 tỉnh Quảng Nam</v>
      </c>
      <c r="C27307" t="str">
        <v>-</v>
      </c>
      <c r="D27307" t="str">
        <v>-</v>
      </c>
      <c r="E27307" t="str">
        <v>-</v>
      </c>
      <c r="F27307" t="str">
        <v>-</v>
      </c>
      <c r="G27307" t="str">
        <v>-</v>
      </c>
    </row>
    <row r="27308" xml:space="preserve">
      <c r="B27308" t="str" xml:space="preserve">
        <v xml:space="preserve">Công an Tam Mỹ Đông _x000d_
 tỉnh Quảng Nam</v>
      </c>
      <c r="C27308" t="str">
        <v>-</v>
      </c>
      <c r="D27308" t="str">
        <v>-</v>
      </c>
      <c r="E27308" t="str">
        <v/>
      </c>
      <c r="F27308" t="str">
        <v>-</v>
      </c>
      <c r="G27308" t="str">
        <v>-</v>
      </c>
    </row>
    <row r="27309" xml:space="preserve">
      <c r="B27309" t="str" xml:space="preserve">
        <v xml:space="preserve">UBND Ủy ban nhân dân Tam Mỹ Đông _x000d_
 tỉnh Quảng Nam</v>
      </c>
      <c r="C27309" t="str">
        <v>-</v>
      </c>
      <c r="D27309" t="str">
        <v>-</v>
      </c>
      <c r="E27309" t="str">
        <v>-</v>
      </c>
      <c r="F27309" t="str">
        <v>-</v>
      </c>
      <c r="G27309" t="str">
        <v>-</v>
      </c>
    </row>
    <row r="27310" xml:space="preserve">
      <c r="B27310" t="str" xml:space="preserve">
        <v xml:space="preserve">Công an xã Tam Ngọc _x000d_
 tỉnh Quảng Nam</v>
      </c>
      <c r="C27310" t="str">
        <v>-</v>
      </c>
      <c r="D27310" t="str">
        <v>-</v>
      </c>
      <c r="E27310" t="str">
        <v/>
      </c>
      <c r="F27310" t="str">
        <v>-</v>
      </c>
      <c r="G27310" t="str">
        <v>-</v>
      </c>
    </row>
    <row r="27311" xml:space="preserve">
      <c r="B27311" t="str" xml:space="preserve">
        <v xml:space="preserve">UBND Ủy ban nhân dân xã Tam Ngọc _x000d_
 tỉnh Quảng Nam</v>
      </c>
      <c r="C27311" t="str">
        <v>-</v>
      </c>
      <c r="D27311" t="str">
        <v>-</v>
      </c>
      <c r="E27311" t="str">
        <v>-</v>
      </c>
      <c r="F27311" t="str">
        <v>-</v>
      </c>
      <c r="G27311" t="str">
        <v>-</v>
      </c>
    </row>
    <row r="27312" xml:space="preserve">
      <c r="B27312" t="str" xml:space="preserve">
        <v xml:space="preserve">Công an xã Tam Thạnh _x000d_
 tỉnh Quảng Nam</v>
      </c>
      <c r="C27312" t="str">
        <v>-</v>
      </c>
      <c r="D27312" t="str">
        <v>-</v>
      </c>
      <c r="E27312" t="str">
        <v/>
      </c>
      <c r="F27312" t="str">
        <v>-</v>
      </c>
      <c r="G27312" t="str">
        <v>-</v>
      </c>
    </row>
    <row r="27313" xml:space="preserve">
      <c r="B27313" t="str" xml:space="preserve">
        <v xml:space="preserve">UBND Ủy ban nhân dân xã Tam Thạnh _x000d_
 tỉnh Quảng Nam</v>
      </c>
      <c r="C27313" t="str">
        <v>-</v>
      </c>
      <c r="D27313" t="str">
        <v>-</v>
      </c>
      <c r="E27313" t="str">
        <v>-</v>
      </c>
      <c r="F27313" t="str">
        <v>-</v>
      </c>
      <c r="G27313" t="str">
        <v>-</v>
      </c>
    </row>
    <row r="27314">
      <c r="B27314" t="str">
        <v>Công an xã Tam Thanh tỉnh Phú Thọ</v>
      </c>
      <c r="C27314" t="str">
        <v>-</v>
      </c>
      <c r="D27314" t="str">
        <v>-</v>
      </c>
      <c r="E27314" t="str">
        <v/>
      </c>
      <c r="F27314" t="str">
        <v>-</v>
      </c>
      <c r="G27314" t="str">
        <v>-</v>
      </c>
    </row>
    <row r="27315">
      <c r="B27315" t="str">
        <v>UBND Ủy ban nhân dân xã Tam Thanh tỉnh Phú Thọ</v>
      </c>
      <c r="C27315" t="str">
        <v>-</v>
      </c>
      <c r="D27315" t="str">
        <v>-</v>
      </c>
      <c r="E27315" t="str">
        <v>-</v>
      </c>
      <c r="F27315" t="str">
        <v>-</v>
      </c>
      <c r="G27315" t="str">
        <v>-</v>
      </c>
    </row>
    <row r="27316">
      <c r="B27316" t="str">
        <v>Công an xã Tam Thanh tỉnh Nam Định</v>
      </c>
      <c r="C27316" t="str">
        <v>-</v>
      </c>
      <c r="D27316" t="str">
        <v>-</v>
      </c>
      <c r="E27316" t="str">
        <v/>
      </c>
      <c r="F27316" t="str">
        <v>-</v>
      </c>
      <c r="G27316" t="str">
        <v>-</v>
      </c>
    </row>
    <row r="27317">
      <c r="B27317" t="str">
        <v>UBND Ủy ban nhân dân xã Tam Thanh tỉnh Nam Định</v>
      </c>
      <c r="C27317" t="str">
        <v>-</v>
      </c>
      <c r="D27317" t="str">
        <v>-</v>
      </c>
      <c r="E27317" t="str">
        <v>-</v>
      </c>
      <c r="F27317" t="str">
        <v>-</v>
      </c>
      <c r="G27317" t="str">
        <v>-</v>
      </c>
    </row>
    <row r="27318" xml:space="preserve">
      <c r="B27318" t="str" xml:space="preserve">
        <v xml:space="preserve">Công an Tam Xuân II _x000d_
 tỉnh Quảng Nam</v>
      </c>
      <c r="C27318" t="str">
        <v>-</v>
      </c>
      <c r="D27318" t="str">
        <v>-</v>
      </c>
      <c r="E27318" t="str">
        <v/>
      </c>
      <c r="F27318" t="str">
        <v>-</v>
      </c>
      <c r="G27318" t="str">
        <v>-</v>
      </c>
    </row>
    <row r="27319" xml:space="preserve">
      <c r="B27319" t="str" xml:space="preserve">
        <v xml:space="preserve">UBND Ủy ban nhân dân Tam Xuân II _x000d_
 tỉnh Quảng Nam</v>
      </c>
      <c r="C27319" t="str">
        <v>-</v>
      </c>
      <c r="D27319" t="str">
        <v>-</v>
      </c>
      <c r="E27319" t="str">
        <v>-</v>
      </c>
      <c r="F27319" t="str">
        <v>-</v>
      </c>
      <c r="G27319" t="str">
        <v>-</v>
      </c>
    </row>
    <row r="27320">
      <c r="B27320" t="str">
        <v>Công an xã Thành Công tỉnh Hưng Yên</v>
      </c>
      <c r="C27320" t="str">
        <v>-</v>
      </c>
      <c r="D27320" t="str">
        <v>-</v>
      </c>
      <c r="E27320" t="str">
        <v/>
      </c>
      <c r="F27320" t="str">
        <v>-</v>
      </c>
      <c r="G27320" t="str">
        <v>-</v>
      </c>
    </row>
    <row r="27321">
      <c r="B27321" t="str">
        <v>UBND Ủy ban nhân dân xã Thành Công tỉnh Hưng Yên</v>
      </c>
      <c r="C27321" t="str">
        <v>-</v>
      </c>
      <c r="D27321" t="str">
        <v>-</v>
      </c>
      <c r="E27321" t="str">
        <v>-</v>
      </c>
      <c r="F27321" t="str">
        <v>-</v>
      </c>
      <c r="G27321" t="str">
        <v>-</v>
      </c>
    </row>
    <row r="27322">
      <c r="B27322" t="str">
        <v>Công an xã Thành Công tỉnh Thái Nguyên</v>
      </c>
      <c r="C27322" t="str">
        <v>-</v>
      </c>
      <c r="D27322" t="str">
        <v>-</v>
      </c>
      <c r="E27322" t="str">
        <v/>
      </c>
      <c r="F27322" t="str">
        <v>-</v>
      </c>
      <c r="G27322" t="str">
        <v>-</v>
      </c>
    </row>
    <row r="27323">
      <c r="B27323" t="str">
        <v>UBND Ủy ban nhân dân xã Thành Công tỉnh Thái Nguyên</v>
      </c>
      <c r="C27323" t="str">
        <v>-</v>
      </c>
      <c r="D27323" t="str">
        <v>-</v>
      </c>
      <c r="E27323" t="str">
        <v>-</v>
      </c>
      <c r="F27323" t="str">
        <v>-</v>
      </c>
      <c r="G27323" t="str">
        <v>-</v>
      </c>
    </row>
    <row r="27324" xml:space="preserve">
      <c r="B27324" t="str" xml:space="preserve">
        <v xml:space="preserve">Công an xã Thành Hưng _x000d_
 tỉnh Thanh Hóa</v>
      </c>
      <c r="C27324" t="str">
        <v>-</v>
      </c>
      <c r="D27324" t="str">
        <v>-</v>
      </c>
      <c r="E27324" t="str">
        <v/>
      </c>
      <c r="F27324" t="str">
        <v>-</v>
      </c>
      <c r="G27324" t="str">
        <v>-</v>
      </c>
    </row>
    <row r="27325" xml:space="preserve">
      <c r="B27325" t="str" xml:space="preserve">
        <v xml:space="preserve">UBND Ủy ban nhân dân xã Thành Hưng _x000d_
 tỉnh Thanh Hóa</v>
      </c>
      <c r="C27325" t="str">
        <v>-</v>
      </c>
      <c r="D27325" t="str">
        <v>-</v>
      </c>
      <c r="E27325" t="str">
        <v>-</v>
      </c>
      <c r="F27325" t="str">
        <v>-</v>
      </c>
      <c r="G27325" t="str">
        <v>-</v>
      </c>
    </row>
    <row r="27326">
      <c r="B27326" t="str">
        <v>Công an xã Thành Lộc tỉnh Thanh Hóa</v>
      </c>
      <c r="C27326" t="str">
        <v>-</v>
      </c>
      <c r="D27326" t="str">
        <v>-</v>
      </c>
      <c r="E27326" t="str">
        <v/>
      </c>
      <c r="F27326" t="str">
        <v>-</v>
      </c>
      <c r="G27326" t="str">
        <v>-</v>
      </c>
    </row>
    <row r="27327">
      <c r="B27327" t="str">
        <v>UBND Ủy ban nhân dân xã Thành Lộc tỉnh Thanh Hóa</v>
      </c>
      <c r="C27327" t="str">
        <v>-</v>
      </c>
      <c r="D27327" t="str">
        <v>-</v>
      </c>
      <c r="E27327" t="str">
        <v>-</v>
      </c>
      <c r="F27327" t="str">
        <v>-</v>
      </c>
      <c r="G27327" t="str">
        <v>-</v>
      </c>
    </row>
    <row r="27328" xml:space="preserve">
      <c r="B27328" t="str" xml:space="preserve">
        <v xml:space="preserve">Công an xã Thành Thới A _x000d_
 tỉnh Bến Tre</v>
      </c>
      <c r="C27328" t="str">
        <v>-</v>
      </c>
      <c r="D27328" t="str">
        <v>-</v>
      </c>
      <c r="E27328" t="str">
        <v/>
      </c>
      <c r="F27328" t="str">
        <v>-</v>
      </c>
      <c r="G27328" t="str">
        <v>-</v>
      </c>
    </row>
    <row r="27329" xml:space="preserve">
      <c r="B27329" t="str" xml:space="preserve">
        <v xml:space="preserve">UBND Ủy ban nhân dân xã Thành Thới A _x000d_
 tỉnh Bến Tre</v>
      </c>
      <c r="C27329" t="str">
        <v>-</v>
      </c>
      <c r="D27329" t="str">
        <v>-</v>
      </c>
      <c r="E27329" t="str">
        <v>-</v>
      </c>
      <c r="F27329" t="str">
        <v>-</v>
      </c>
      <c r="G27329" t="str">
        <v>-</v>
      </c>
    </row>
    <row r="27330" xml:space="preserve">
      <c r="B27330" t="str" xml:space="preserve">
        <v xml:space="preserve">Công an xã Thành Triệu _x000d_
 tỉnh Bến Tre</v>
      </c>
      <c r="C27330" t="str">
        <v>-</v>
      </c>
      <c r="D27330" t="str">
        <v>-</v>
      </c>
      <c r="E27330" t="str">
        <v/>
      </c>
      <c r="F27330" t="str">
        <v>-</v>
      </c>
      <c r="G27330" t="str">
        <v>-</v>
      </c>
    </row>
    <row r="27331" xml:space="preserve">
      <c r="B27331" t="str" xml:space="preserve">
        <v xml:space="preserve">UBND Ủy ban nhân dân xã Thành Triệu _x000d_
 tỉnh Bến Tre</v>
      </c>
      <c r="C27331" t="str">
        <v>-</v>
      </c>
      <c r="D27331" t="str">
        <v>-</v>
      </c>
      <c r="E27331" t="str">
        <v>-</v>
      </c>
      <c r="F27331" t="str">
        <v>-</v>
      </c>
      <c r="G27331" t="str">
        <v>-</v>
      </c>
    </row>
    <row r="27332">
      <c r="B27332" t="str">
        <v>Công an xã Thành Yên tỉnh Thanh Hóa</v>
      </c>
      <c r="C27332" t="str">
        <v>-</v>
      </c>
      <c r="D27332" t="str">
        <v>-</v>
      </c>
      <c r="E27332" t="str">
        <v/>
      </c>
      <c r="F27332" t="str">
        <v>-</v>
      </c>
      <c r="G27332" t="str">
        <v>-</v>
      </c>
    </row>
    <row r="27333">
      <c r="B27333" t="str">
        <v>UBND Ủy ban nhân dân xã Thành Yên tỉnh Thanh Hóa</v>
      </c>
      <c r="C27333" t="str">
        <v>-</v>
      </c>
      <c r="D27333" t="str">
        <v>-</v>
      </c>
      <c r="E27333" t="str">
        <v>-</v>
      </c>
      <c r="F27333" t="str">
        <v>-</v>
      </c>
      <c r="G27333" t="str">
        <v>-</v>
      </c>
    </row>
    <row r="27334" xml:space="preserve">
      <c r="B27334" t="str" xml:space="preserve">
        <v xml:space="preserve">Công an xã Thái Nguyên _x000d_
 tỉnh Thái Bình</v>
      </c>
      <c r="C27334" t="str">
        <v>-</v>
      </c>
      <c r="D27334" t="str">
        <v>-</v>
      </c>
      <c r="E27334" t="str">
        <v/>
      </c>
      <c r="F27334" t="str">
        <v>-</v>
      </c>
      <c r="G27334" t="str">
        <v>-</v>
      </c>
    </row>
    <row r="27335" xml:space="preserve">
      <c r="B27335" t="str" xml:space="preserve">
        <v xml:space="preserve">UBND Ủy ban nhân dân xã Thái Nguyên _x000d_
 tỉnh Thái Bình</v>
      </c>
      <c r="C27335" t="str">
        <v>-</v>
      </c>
      <c r="D27335" t="str">
        <v>-</v>
      </c>
      <c r="E27335" t="str">
        <v>-</v>
      </c>
      <c r="F27335" t="str">
        <v>-</v>
      </c>
      <c r="G27335" t="str">
        <v>-</v>
      </c>
    </row>
    <row r="27336">
      <c r="B27336" t="str">
        <v>Công an xã Thái Phúc tỉnh Thái Bình</v>
      </c>
      <c r="C27336" t="str">
        <v>-</v>
      </c>
      <c r="D27336" t="str">
        <v>-</v>
      </c>
      <c r="E27336" t="str">
        <v/>
      </c>
      <c r="F27336" t="str">
        <v>-</v>
      </c>
      <c r="G27336" t="str">
        <v>-</v>
      </c>
    </row>
    <row r="27337">
      <c r="B27337" t="str">
        <v>UBND Ủy ban nhân dân xã Thái Phúc tỉnh Thái Bình</v>
      </c>
      <c r="C27337" t="str">
        <v>-</v>
      </c>
      <c r="D27337" t="str">
        <v>-</v>
      </c>
      <c r="E27337" t="str">
        <v>-</v>
      </c>
      <c r="F27337" t="str">
        <v>-</v>
      </c>
      <c r="G27337" t="str">
        <v>-</v>
      </c>
    </row>
    <row r="27338" xml:space="preserve">
      <c r="B27338" t="str" xml:space="preserve">
        <v xml:space="preserve">Công an xã Thái Sơn _x000d_
 tỉnh Nghệ An</v>
      </c>
      <c r="C27338" t="str">
        <v>-</v>
      </c>
      <c r="D27338" t="str">
        <v>-</v>
      </c>
      <c r="E27338" t="str">
        <v/>
      </c>
      <c r="F27338" t="str">
        <v>-</v>
      </c>
      <c r="G27338" t="str">
        <v>-</v>
      </c>
    </row>
    <row r="27339" xml:space="preserve">
      <c r="B27339" t="str" xml:space="preserve">
        <v xml:space="preserve">UBND Ủy ban nhân dân xã Thái Sơn _x000d_
 tỉnh Nghệ An</v>
      </c>
      <c r="C27339" t="str">
        <v>-</v>
      </c>
      <c r="D27339" t="str">
        <v>-</v>
      </c>
      <c r="E27339" t="str">
        <v>-</v>
      </c>
      <c r="F27339" t="str">
        <v>-</v>
      </c>
      <c r="G27339" t="str">
        <v>-</v>
      </c>
    </row>
    <row r="27340">
      <c r="B27340" t="str">
        <v>Công an xã Thái Tân tỉnh Hải Dương</v>
      </c>
      <c r="C27340" t="str">
        <v>-</v>
      </c>
      <c r="D27340" t="str">
        <v>-</v>
      </c>
      <c r="E27340" t="str">
        <v/>
      </c>
      <c r="F27340" t="str">
        <v>-</v>
      </c>
      <c r="G27340" t="str">
        <v>-</v>
      </c>
    </row>
    <row r="27341">
      <c r="B27341" t="str">
        <v>UBND Ủy ban nhân dân xã Thái Tân tỉnh Hải Dương</v>
      </c>
      <c r="C27341" t="str">
        <v>-</v>
      </c>
      <c r="D27341" t="str">
        <v>-</v>
      </c>
      <c r="E27341" t="str">
        <v>-</v>
      </c>
      <c r="F27341" t="str">
        <v>-</v>
      </c>
      <c r="G27341" t="str">
        <v>-</v>
      </c>
    </row>
    <row r="27342" xml:space="preserve">
      <c r="B27342" t="str" xml:space="preserve">
        <v xml:space="preserve">Công an xã Thái Thủy _x000d_
 tỉnh Quảng Bình</v>
      </c>
      <c r="C27342" t="str">
        <v>-</v>
      </c>
      <c r="D27342" t="str">
        <v>-</v>
      </c>
      <c r="E27342" t="str">
        <v/>
      </c>
      <c r="F27342" t="str">
        <v>-</v>
      </c>
      <c r="G27342" t="str">
        <v>-</v>
      </c>
    </row>
    <row r="27343" xml:space="preserve">
      <c r="B27343" t="str" xml:space="preserve">
        <v xml:space="preserve">UBND Ủy ban nhân dân xã Thái Thủy _x000d_
 tỉnh Quảng Bình</v>
      </c>
      <c r="C27343" t="str">
        <v>-</v>
      </c>
      <c r="D27343" t="str">
        <v>-</v>
      </c>
      <c r="E27343" t="str">
        <v>-</v>
      </c>
      <c r="F27343" t="str">
        <v>-</v>
      </c>
      <c r="G27343" t="str">
        <v>-</v>
      </c>
    </row>
    <row r="27344">
      <c r="B27344" t="str">
        <v>Công an xã Thăng Bình tỉnh Thanh Hóa</v>
      </c>
      <c r="C27344" t="str">
        <v>-</v>
      </c>
      <c r="D27344" t="str">
        <v>-</v>
      </c>
      <c r="E27344" t="str">
        <v/>
      </c>
      <c r="F27344" t="str">
        <v>-</v>
      </c>
      <c r="G27344" t="str">
        <v>-</v>
      </c>
    </row>
    <row r="27345">
      <c r="B27345" t="str">
        <v>UBND Ủy ban nhân dân xã Thăng Bình tỉnh Thanh Hóa</v>
      </c>
      <c r="C27345" t="str">
        <v>-</v>
      </c>
      <c r="D27345" t="str">
        <v>-</v>
      </c>
      <c r="E27345" t="str">
        <v>-</v>
      </c>
      <c r="F27345" t="str">
        <v>-</v>
      </c>
      <c r="G27345" t="str">
        <v>-</v>
      </c>
    </row>
    <row r="27346">
      <c r="B27346" t="str">
        <v>Công an xã Thăng Long  tỉnh Hải Dương</v>
      </c>
      <c r="C27346" t="str">
        <v>-</v>
      </c>
      <c r="D27346" t="str">
        <v>-</v>
      </c>
      <c r="E27346" t="str">
        <v/>
      </c>
      <c r="F27346" t="str">
        <v>-</v>
      </c>
      <c r="G27346" t="str">
        <v>-</v>
      </c>
    </row>
    <row r="27347">
      <c r="B27347" t="str">
        <v>UBND Ủy ban nhân dân xã Thăng Long  tỉnh Hải Dương</v>
      </c>
      <c r="C27347" t="str">
        <v>-</v>
      </c>
      <c r="D27347" t="str">
        <v>-</v>
      </c>
      <c r="E27347" t="str">
        <v>-</v>
      </c>
      <c r="F27347" t="str">
        <v>-</v>
      </c>
      <c r="G27347" t="str">
        <v>-</v>
      </c>
    </row>
    <row r="27348" xml:space="preserve">
      <c r="B27348" t="str" xml:space="preserve">
        <v xml:space="preserve">Công an xã Thăng Thọ _x000d_
 tỉnh Thanh Hóa</v>
      </c>
      <c r="C27348" t="str">
        <v>-</v>
      </c>
      <c r="D27348" t="str">
        <v>-</v>
      </c>
      <c r="E27348" t="str">
        <v/>
      </c>
      <c r="F27348" t="str">
        <v>-</v>
      </c>
      <c r="G27348" t="str">
        <v>-</v>
      </c>
    </row>
    <row r="27349" xml:space="preserve">
      <c r="B27349" t="str" xml:space="preserve">
        <v xml:space="preserve">UBND Ủy ban nhân dân xã Thăng Thọ _x000d_
 tỉnh Thanh Hóa</v>
      </c>
      <c r="C27349" t="str">
        <v>-</v>
      </c>
      <c r="D27349" t="str">
        <v>-</v>
      </c>
      <c r="E27349" t="str">
        <v>-</v>
      </c>
      <c r="F27349" t="str">
        <v>-</v>
      </c>
      <c r="G27349" t="str">
        <v>-</v>
      </c>
    </row>
    <row r="27350">
      <c r="B27350" t="str">
        <v>Công an xã Thượng Đình tỉnh Thái Nguyên</v>
      </c>
      <c r="C27350" t="str">
        <v>-</v>
      </c>
      <c r="D27350" t="str">
        <v>-</v>
      </c>
      <c r="E27350" t="str">
        <v/>
      </c>
      <c r="F27350" t="str">
        <v>-</v>
      </c>
      <c r="G27350" t="str">
        <v>-</v>
      </c>
    </row>
    <row r="27351">
      <c r="B27351" t="str">
        <v>UBND Ủy ban nhân dân xã Thượng Đình tỉnh Thái Nguyên</v>
      </c>
      <c r="C27351" t="str">
        <v>-</v>
      </c>
      <c r="D27351" t="str">
        <v>-</v>
      </c>
      <c r="E27351" t="str">
        <v>-</v>
      </c>
      <c r="F27351" t="str">
        <v>-</v>
      </c>
      <c r="G27351" t="str">
        <v>-</v>
      </c>
    </row>
    <row r="27352" xml:space="preserve">
      <c r="B27352" t="str" xml:space="preserve">
        <v xml:space="preserve">Công an xã Thượng Ấm _x000d_
 tỉnh Tuyên Quang</v>
      </c>
      <c r="C27352" t="str">
        <v>-</v>
      </c>
      <c r="D27352" t="str">
        <v>-</v>
      </c>
      <c r="E27352" t="str">
        <v/>
      </c>
      <c r="F27352" t="str">
        <v>-</v>
      </c>
      <c r="G27352" t="str">
        <v>-</v>
      </c>
    </row>
    <row r="27353" xml:space="preserve">
      <c r="B27353" t="str" xml:space="preserve">
        <v xml:space="preserve">UBND Ủy ban nhân dân xã Thượng Ấm _x000d_
 tỉnh Tuyên Quang</v>
      </c>
      <c r="C27353" t="str">
        <v>-</v>
      </c>
      <c r="D27353" t="str">
        <v>-</v>
      </c>
      <c r="E27353" t="str">
        <v>-</v>
      </c>
      <c r="F27353" t="str">
        <v>-</v>
      </c>
      <c r="G27353" t="str">
        <v>-</v>
      </c>
    </row>
    <row r="27354">
      <c r="B27354" t="str">
        <v>Công an xã Thượng Giáp tỉnh Tuyên Quang</v>
      </c>
      <c r="C27354" t="str">
        <v>-</v>
      </c>
      <c r="D27354" t="str">
        <v>-</v>
      </c>
      <c r="E27354" t="str">
        <v/>
      </c>
      <c r="F27354" t="str">
        <v>-</v>
      </c>
      <c r="G27354" t="str">
        <v>-</v>
      </c>
    </row>
    <row r="27355">
      <c r="B27355" t="str">
        <v>UBND Ủy ban nhân dân xã Thượng Giáp tỉnh Tuyên Quang</v>
      </c>
      <c r="C27355" t="str">
        <v>-</v>
      </c>
      <c r="D27355" t="str">
        <v>-</v>
      </c>
      <c r="E27355" t="str">
        <v>-</v>
      </c>
      <c r="F27355" t="str">
        <v>-</v>
      </c>
      <c r="G27355" t="str">
        <v>-</v>
      </c>
    </row>
    <row r="27356">
      <c r="B27356" t="str">
        <v>Công an xã Thượng Hà tỉnh Cao Bằng</v>
      </c>
      <c r="C27356" t="str">
        <v>-</v>
      </c>
      <c r="D27356" t="str">
        <v>-</v>
      </c>
      <c r="E27356" t="str">
        <v/>
      </c>
      <c r="F27356" t="str">
        <v>-</v>
      </c>
      <c r="G27356" t="str">
        <v>-</v>
      </c>
    </row>
    <row r="27357">
      <c r="B27357" t="str">
        <v>UBND Ủy ban nhân dân xã Thượng Hà tỉnh Cao Bằng</v>
      </c>
      <c r="C27357" t="str">
        <v>-</v>
      </c>
      <c r="D27357" t="str">
        <v>-</v>
      </c>
      <c r="E27357" t="str">
        <v>-</v>
      </c>
      <c r="F27357" t="str">
        <v>-</v>
      </c>
      <c r="G27357" t="str">
        <v>-</v>
      </c>
    </row>
    <row r="27358" xml:space="preserve">
      <c r="B27358" t="str" xml:space="preserve">
        <v xml:space="preserve">Công an xã Thượng Lộc _x000d_
 tỉnh Hà Tĩnh</v>
      </c>
      <c r="C27358" t="str">
        <v>-</v>
      </c>
      <c r="D27358" t="str">
        <v>-</v>
      </c>
      <c r="E27358" t="str">
        <v/>
      </c>
      <c r="F27358" t="str">
        <v>-</v>
      </c>
      <c r="G27358" t="str">
        <v>-</v>
      </c>
    </row>
    <row r="27359" xml:space="preserve">
      <c r="B27359" t="str" xml:space="preserve">
        <v xml:space="preserve">UBND Ủy ban nhân dân xã Thượng Lộc _x000d_
 tỉnh Hà Tĩnh</v>
      </c>
      <c r="C27359" t="str">
        <v>-</v>
      </c>
      <c r="D27359" t="str">
        <v>-</v>
      </c>
      <c r="E27359" t="str">
        <v>-</v>
      </c>
      <c r="F27359" t="str">
        <v>-</v>
      </c>
      <c r="G27359" t="str">
        <v>-</v>
      </c>
    </row>
    <row r="27360" xml:space="preserve">
      <c r="B27360" t="str" xml:space="preserve">
        <v xml:space="preserve">Công an xã Thượng Long _x000d_
 tỉnh Phú Thọ</v>
      </c>
      <c r="C27360" t="str">
        <v>-</v>
      </c>
      <c r="D27360" t="str">
        <v>-</v>
      </c>
      <c r="E27360" t="str">
        <v/>
      </c>
      <c r="F27360" t="str">
        <v>-</v>
      </c>
      <c r="G27360" t="str">
        <v>-</v>
      </c>
    </row>
    <row r="27361" xml:space="preserve">
      <c r="B27361" t="str" xml:space="preserve">
        <v xml:space="preserve">UBND Ủy ban nhân dân xã Thượng Long _x000d_
 tỉnh Phú Thọ</v>
      </c>
      <c r="C27361" t="str">
        <v>-</v>
      </c>
      <c r="D27361" t="str">
        <v>-</v>
      </c>
      <c r="E27361" t="str">
        <v>-</v>
      </c>
      <c r="F27361" t="str">
        <v>-</v>
      </c>
      <c r="G27361" t="str">
        <v>-</v>
      </c>
    </row>
    <row r="27362">
      <c r="B27362" t="str">
        <v>Công an xã Thạch Châu tỉnh Hà Tĩnh</v>
      </c>
      <c r="C27362" t="str">
        <v>-</v>
      </c>
      <c r="D27362" t="str">
        <v>-</v>
      </c>
      <c r="E27362" t="str">
        <v/>
      </c>
      <c r="F27362" t="str">
        <v>-</v>
      </c>
      <c r="G27362" t="str">
        <v>-</v>
      </c>
    </row>
    <row r="27363">
      <c r="B27363" t="str">
        <v>UBND Ủy ban nhân dân xã Thạch Châu tỉnh Hà Tĩnh</v>
      </c>
      <c r="C27363" t="str">
        <v>-</v>
      </c>
      <c r="D27363" t="str">
        <v>-</v>
      </c>
      <c r="E27363" t="str">
        <v>-</v>
      </c>
      <c r="F27363" t="str">
        <v>-</v>
      </c>
      <c r="G27363" t="str">
        <v>-</v>
      </c>
    </row>
    <row r="27364">
      <c r="B27364" t="str">
        <v>Công an xã Thạch Hoá tỉnh Quảng Bình</v>
      </c>
      <c r="C27364" t="str">
        <v>-</v>
      </c>
      <c r="D27364" t="str">
        <v>-</v>
      </c>
      <c r="E27364" t="str">
        <v/>
      </c>
      <c r="F27364" t="str">
        <v>-</v>
      </c>
      <c r="G27364" t="str">
        <v>-</v>
      </c>
    </row>
    <row r="27365">
      <c r="B27365" t="str">
        <v>UBND Ủy ban nhân dân xã Thạch Hoá tỉnh Quảng Bình</v>
      </c>
      <c r="C27365" t="str">
        <v>-</v>
      </c>
      <c r="D27365" t="str">
        <v>-</v>
      </c>
      <c r="E27365" t="str">
        <v>-</v>
      </c>
      <c r="F27365" t="str">
        <v>-</v>
      </c>
      <c r="G27365" t="str">
        <v>-</v>
      </c>
    </row>
    <row r="27366">
      <c r="B27366" t="str">
        <v>Công an xã Thạch Kiệt tỉnh Phú Thọ</v>
      </c>
      <c r="C27366" t="str">
        <v>-</v>
      </c>
      <c r="D27366" t="str">
        <v>-</v>
      </c>
      <c r="E27366" t="str">
        <v/>
      </c>
      <c r="F27366" t="str">
        <v>-</v>
      </c>
      <c r="G27366" t="str">
        <v>-</v>
      </c>
    </row>
    <row r="27367">
      <c r="B27367" t="str">
        <v>UBND Ủy ban nhân dân xã Thạch Kiệt tỉnh Phú Thọ</v>
      </c>
      <c r="C27367" t="str">
        <v>-</v>
      </c>
      <c r="D27367" t="str">
        <v>-</v>
      </c>
      <c r="E27367" t="str">
        <v>-</v>
      </c>
      <c r="F27367" t="str">
        <v>-</v>
      </c>
      <c r="G27367" t="str">
        <v>-</v>
      </c>
    </row>
    <row r="27368">
      <c r="B27368" t="str">
        <v>Công an xã Thạch Lâm tỉnh Thanh Hóa</v>
      </c>
      <c r="C27368" t="str">
        <v>-</v>
      </c>
      <c r="D27368" t="str">
        <v>-</v>
      </c>
      <c r="E27368" t="str">
        <v/>
      </c>
      <c r="F27368" t="str">
        <v>-</v>
      </c>
      <c r="G27368" t="str">
        <v>-</v>
      </c>
    </row>
    <row r="27369">
      <c r="B27369" t="str">
        <v>UBND Ủy ban nhân dân xã Thạch Lâm tỉnh Thanh Hóa</v>
      </c>
      <c r="C27369" t="str">
        <v>-</v>
      </c>
      <c r="D27369" t="str">
        <v>-</v>
      </c>
      <c r="E27369" t="str">
        <v>-</v>
      </c>
      <c r="F27369" t="str">
        <v>-</v>
      </c>
      <c r="G27369" t="str">
        <v>-</v>
      </c>
    </row>
    <row r="27370">
      <c r="B27370" t="str">
        <v>Công an xã Thạch Lập tỉnh Thanh Hóa</v>
      </c>
      <c r="C27370" t="str">
        <v>-</v>
      </c>
      <c r="D27370" t="str">
        <v>-</v>
      </c>
      <c r="E27370" t="str">
        <v/>
      </c>
      <c r="F27370" t="str">
        <v>-</v>
      </c>
      <c r="G27370" t="str">
        <v>-</v>
      </c>
    </row>
    <row r="27371">
      <c r="B27371" t="str">
        <v>UBND Ủy ban nhân dân xã Thạch Lập tỉnh Thanh Hóa</v>
      </c>
      <c r="C27371" t="str">
        <v>-</v>
      </c>
      <c r="D27371" t="str">
        <v>-</v>
      </c>
      <c r="E27371" t="str">
        <v>-</v>
      </c>
      <c r="F27371" t="str">
        <v>-</v>
      </c>
      <c r="G27371" t="str">
        <v>-</v>
      </c>
    </row>
    <row r="27372">
      <c r="B27372" t="str">
        <v>Công an xã Thạch Long tỉnh Thanh Hóa</v>
      </c>
      <c r="C27372" t="str">
        <v>-</v>
      </c>
      <c r="D27372" t="str">
        <v>-</v>
      </c>
      <c r="E27372" t="str">
        <v/>
      </c>
      <c r="F27372" t="str">
        <v>-</v>
      </c>
      <c r="G27372" t="str">
        <v>-</v>
      </c>
    </row>
    <row r="27373">
      <c r="B27373" t="str">
        <v>UBND Ủy ban nhân dân xã Thạch Long tỉnh Thanh Hóa</v>
      </c>
      <c r="C27373" t="str">
        <v>-</v>
      </c>
      <c r="D27373" t="str">
        <v>-</v>
      </c>
      <c r="E27373" t="str">
        <v>-</v>
      </c>
      <c r="F27373" t="str">
        <v>-</v>
      </c>
      <c r="G27373" t="str">
        <v>-</v>
      </c>
    </row>
    <row r="27374">
      <c r="B27374" t="str">
        <v>Công an xã Thạch Sơn  tỉnh Thanh Hóa</v>
      </c>
      <c r="C27374" t="str">
        <v>-</v>
      </c>
      <c r="D27374" t="str">
        <v>-</v>
      </c>
      <c r="E27374" t="str">
        <v/>
      </c>
      <c r="F27374" t="str">
        <v>-</v>
      </c>
      <c r="G27374" t="str">
        <v>-</v>
      </c>
    </row>
    <row r="27375">
      <c r="B27375" t="str">
        <v>UBND Ủy ban nhân dân xã Thạch Sơn  tỉnh Thanh Hóa</v>
      </c>
      <c r="C27375" t="str">
        <v>-</v>
      </c>
      <c r="D27375" t="str">
        <v>-</v>
      </c>
      <c r="E27375" t="str">
        <v>-</v>
      </c>
      <c r="F27375" t="str">
        <v>-</v>
      </c>
      <c r="G27375" t="str">
        <v>-</v>
      </c>
    </row>
    <row r="27376" xml:space="preserve">
      <c r="B27376" t="str" xml:space="preserve">
        <v xml:space="preserve">Công an xã Thạch Yên _x000d_
 tỉnh Hòa Bình</v>
      </c>
      <c r="C27376" t="str">
        <v>-</v>
      </c>
      <c r="D27376" t="str">
        <v>-</v>
      </c>
      <c r="E27376" t="str">
        <v/>
      </c>
      <c r="F27376" t="str">
        <v>-</v>
      </c>
      <c r="G27376" t="str">
        <v>-</v>
      </c>
    </row>
    <row r="27377" xml:space="preserve">
      <c r="B27377" t="str" xml:space="preserve">
        <v xml:space="preserve">UBND Ủy ban nhân dân xã Thạch Yên _x000d_
 tỉnh Hòa Bình</v>
      </c>
      <c r="C27377" t="str">
        <v>-</v>
      </c>
      <c r="D27377" t="str">
        <v>-</v>
      </c>
      <c r="E27377" t="str">
        <v>-</v>
      </c>
      <c r="F27377" t="str">
        <v>-</v>
      </c>
      <c r="G27377" t="str">
        <v>-</v>
      </c>
    </row>
    <row r="27378" xml:space="preserve">
      <c r="B27378" t="str" xml:space="preserve">
        <v xml:space="preserve">Công an xã Thạnh Phú _x000d_
 tỉnh Trà Vinh</v>
      </c>
      <c r="C27378" t="str">
        <v>-</v>
      </c>
      <c r="D27378" t="str">
        <v>-</v>
      </c>
      <c r="E27378" t="str">
        <v/>
      </c>
      <c r="F27378" t="str">
        <v>-</v>
      </c>
      <c r="G27378" t="str">
        <v>-</v>
      </c>
    </row>
    <row r="27379" xml:space="preserve">
      <c r="B27379" t="str" xml:space="preserve">
        <v xml:space="preserve">UBND Ủy ban nhân dân xã Thạnh Phú _x000d_
 tỉnh Trà Vinh</v>
      </c>
      <c r="C27379" t="str">
        <v>-</v>
      </c>
      <c r="D27379" t="str">
        <v>-</v>
      </c>
      <c r="E27379" t="str">
        <v>-</v>
      </c>
      <c r="F27379" t="str">
        <v>-</v>
      </c>
      <c r="G27379" t="str">
        <v>-</v>
      </c>
    </row>
    <row r="27380" xml:space="preserve">
      <c r="B27380" t="str" xml:space="preserve">
        <v xml:space="preserve">Công an xã Thạnh Phước _x000d_
 tỉnh Bến Tre</v>
      </c>
      <c r="C27380" t="str">
        <v>-</v>
      </c>
      <c r="D27380" t="str">
        <v>-</v>
      </c>
      <c r="E27380" t="str">
        <v/>
      </c>
      <c r="F27380" t="str">
        <v>-</v>
      </c>
      <c r="G27380" t="str">
        <v>-</v>
      </c>
    </row>
    <row r="27381" xml:space="preserve">
      <c r="B27381" t="str" xml:space="preserve">
        <v xml:space="preserve">UBND Ủy ban nhân dân xã Thạnh Phước _x000d_
 tỉnh Bến Tre</v>
      </c>
      <c r="C27381" t="str">
        <v>-</v>
      </c>
      <c r="D27381" t="str">
        <v>-</v>
      </c>
      <c r="E27381" t="str">
        <v>-</v>
      </c>
      <c r="F27381" t="str">
        <v>-</v>
      </c>
      <c r="G27381" t="str">
        <v>-</v>
      </c>
    </row>
    <row r="27382" xml:space="preserve">
      <c r="B27382" t="str" xml:space="preserve">
        <v xml:space="preserve">Công an xã Thạnh Quới _x000d_
 tỉnh Sóc Trăng</v>
      </c>
      <c r="C27382" t="str">
        <v>-</v>
      </c>
      <c r="D27382" t="str">
        <v>-</v>
      </c>
      <c r="E27382" t="str">
        <v/>
      </c>
      <c r="F27382" t="str">
        <v>-</v>
      </c>
      <c r="G27382" t="str">
        <v>-</v>
      </c>
    </row>
    <row r="27383" xml:space="preserve">
      <c r="B27383" t="str" xml:space="preserve">
        <v xml:space="preserve">UBND Ủy ban nhân dân xã Thạnh Quới _x000d_
 tỉnh Sóc Trăng</v>
      </c>
      <c r="C27383" t="str">
        <v>-</v>
      </c>
      <c r="D27383" t="str">
        <v>-</v>
      </c>
      <c r="E27383" t="str">
        <v>-</v>
      </c>
      <c r="F27383" t="str">
        <v>-</v>
      </c>
      <c r="G27383" t="str">
        <v>-</v>
      </c>
    </row>
    <row r="27384">
      <c r="B27384" t="str">
        <v>Công an xã Thọ Lập  tỉnh Thanh Hóa</v>
      </c>
      <c r="C27384" t="str">
        <v>-</v>
      </c>
      <c r="D27384" t="str">
        <v>-</v>
      </c>
      <c r="E27384" t="str">
        <v/>
      </c>
      <c r="F27384" t="str">
        <v>-</v>
      </c>
      <c r="G27384" t="str">
        <v>-</v>
      </c>
    </row>
    <row r="27385">
      <c r="B27385" t="str">
        <v>UBND Ủy ban nhân dân xã Thọ Lập  tỉnh Thanh Hóa</v>
      </c>
      <c r="C27385" t="str">
        <v>-</v>
      </c>
      <c r="D27385" t="str">
        <v>-</v>
      </c>
      <c r="E27385" t="str">
        <v>-</v>
      </c>
      <c r="F27385" t="str">
        <v>-</v>
      </c>
      <c r="G27385" t="str">
        <v>-</v>
      </c>
    </row>
    <row r="27386" xml:space="preserve">
      <c r="B27386" t="str" xml:space="preserve">
        <v xml:space="preserve">Công an Thọ Nghiệp _x000d_
 tỉnh Nam Định</v>
      </c>
      <c r="C27386" t="str">
        <v>-</v>
      </c>
      <c r="D27386" t="str">
        <v>-</v>
      </c>
      <c r="E27386" t="str">
        <v/>
      </c>
      <c r="F27386" t="str">
        <v>-</v>
      </c>
      <c r="G27386" t="str">
        <v>-</v>
      </c>
    </row>
    <row r="27387" xml:space="preserve">
      <c r="B27387" t="str" xml:space="preserve">
        <v xml:space="preserve">UBND Ủy ban nhân dân Thọ Nghiệp _x000d_
 tỉnh Nam Định</v>
      </c>
      <c r="C27387" t="str">
        <v>-</v>
      </c>
      <c r="D27387" t="str">
        <v>-</v>
      </c>
      <c r="E27387" t="str">
        <v>-</v>
      </c>
      <c r="F27387" t="str">
        <v>-</v>
      </c>
      <c r="G27387" t="str">
        <v>-</v>
      </c>
    </row>
    <row r="27388">
      <c r="B27388" t="str">
        <v>Công an xã Thọ Tiến tỉnh Thanh Hóa</v>
      </c>
      <c r="C27388" t="str">
        <v>-</v>
      </c>
      <c r="D27388" t="str">
        <v>-</v>
      </c>
      <c r="E27388" t="str">
        <v/>
      </c>
      <c r="F27388" t="str">
        <v>-</v>
      </c>
      <c r="G27388" t="str">
        <v>-</v>
      </c>
    </row>
    <row r="27389">
      <c r="B27389" t="str">
        <v>UBND Ủy ban nhân dân xã Thọ Tiến tỉnh Thanh Hóa</v>
      </c>
      <c r="C27389" t="str">
        <v>-</v>
      </c>
      <c r="D27389" t="str">
        <v>-</v>
      </c>
      <c r="E27389" t="str">
        <v>-</v>
      </c>
      <c r="F27389" t="str">
        <v>-</v>
      </c>
      <c r="G27389" t="str">
        <v>-</v>
      </c>
    </row>
    <row r="27390">
      <c r="B27390" t="str">
        <v>Công an xã Thọ Văn tỉnh Phú Thọ</v>
      </c>
      <c r="C27390" t="str">
        <v>-</v>
      </c>
      <c r="D27390" t="str">
        <v>-</v>
      </c>
      <c r="E27390" t="str">
        <v/>
      </c>
      <c r="F27390" t="str">
        <v>-</v>
      </c>
      <c r="G27390" t="str">
        <v>-</v>
      </c>
    </row>
    <row r="27391">
      <c r="B27391" t="str">
        <v>UBND Ủy ban nhân dân xã Thọ Văn tỉnh Phú Thọ</v>
      </c>
      <c r="C27391" t="str">
        <v>-</v>
      </c>
      <c r="D27391" t="str">
        <v>-</v>
      </c>
      <c r="E27391" t="str">
        <v>-</v>
      </c>
      <c r="F27391" t="str">
        <v>-</v>
      </c>
      <c r="G27391" t="str">
        <v>-</v>
      </c>
    </row>
    <row r="27392">
      <c r="B27392" t="str">
        <v>Công an xã Thống Kênh tỉnh Hải Dương</v>
      </c>
      <c r="C27392" t="str">
        <v>-</v>
      </c>
      <c r="D27392" t="str">
        <v>-</v>
      </c>
      <c r="E27392" t="str">
        <v/>
      </c>
      <c r="F27392" t="str">
        <v>-</v>
      </c>
      <c r="G27392" t="str">
        <v>-</v>
      </c>
    </row>
    <row r="27393">
      <c r="B27393" t="str">
        <v>UBND Ủy ban nhân dân xã Thống Kênh tỉnh Hải Dương</v>
      </c>
      <c r="C27393" t="str">
        <v>-</v>
      </c>
      <c r="D27393" t="str">
        <v>-</v>
      </c>
      <c r="E27393" t="str">
        <v>-</v>
      </c>
      <c r="F27393" t="str">
        <v>-</v>
      </c>
      <c r="G27393" t="str">
        <v>-</v>
      </c>
    </row>
    <row r="27394" xml:space="preserve">
      <c r="B27394" t="str" xml:space="preserve">
        <v xml:space="preserve">Công an xã Thống Nhất _x000d_
 tỉnh Bình Phước</v>
      </c>
      <c r="C27394" t="str">
        <v>-</v>
      </c>
      <c r="D27394" t="str">
        <v>-</v>
      </c>
      <c r="E27394" t="str">
        <v/>
      </c>
      <c r="F27394" t="str">
        <v>-</v>
      </c>
      <c r="G27394" t="str">
        <v>-</v>
      </c>
    </row>
    <row r="27395" xml:space="preserve">
      <c r="B27395" t="str" xml:space="preserve">
        <v xml:space="preserve">UBND Ủy ban nhân dân xã Thống Nhất _x000d_
 tỉnh Bình Phước</v>
      </c>
      <c r="C27395" t="str">
        <v>-</v>
      </c>
      <c r="D27395" t="str">
        <v>-</v>
      </c>
      <c r="E27395" t="str">
        <v>-</v>
      </c>
      <c r="F27395" t="str">
        <v>-</v>
      </c>
      <c r="G27395" t="str">
        <v>-</v>
      </c>
    </row>
    <row r="27396" xml:space="preserve">
      <c r="B27396" t="str" xml:space="preserve">
        <v xml:space="preserve">Công an xã Thống Nhất _x000d_
 tỉnh Cao Bằng</v>
      </c>
      <c r="C27396" t="str">
        <v>-</v>
      </c>
      <c r="D27396" t="str">
        <v>-</v>
      </c>
      <c r="E27396" t="str">
        <v/>
      </c>
      <c r="F27396" t="str">
        <v>-</v>
      </c>
      <c r="G27396" t="str">
        <v>-</v>
      </c>
    </row>
    <row r="27397" xml:space="preserve">
      <c r="B27397" t="str" xml:space="preserve">
        <v xml:space="preserve">UBND Ủy ban nhân dân xã Thống Nhất _x000d_
 tỉnh Cao Bằng</v>
      </c>
      <c r="C27397" t="str">
        <v>-</v>
      </c>
      <c r="D27397" t="str">
        <v>-</v>
      </c>
      <c r="E27397" t="str">
        <v>-</v>
      </c>
      <c r="F27397" t="str">
        <v>-</v>
      </c>
      <c r="G27397" t="str">
        <v>-</v>
      </c>
    </row>
    <row r="27398">
      <c r="B27398" t="str">
        <v>Công an xã Thới Thạnh tỉnh Bến Tre</v>
      </c>
      <c r="C27398" t="str">
        <v>-</v>
      </c>
      <c r="D27398" t="str">
        <v>-</v>
      </c>
      <c r="E27398" t="str">
        <v/>
      </c>
      <c r="F27398" t="str">
        <v>-</v>
      </c>
      <c r="G27398" t="str">
        <v>-</v>
      </c>
    </row>
    <row r="27399">
      <c r="B27399" t="str">
        <v>UBND Ủy ban nhân dân xã Thới Thạnh tỉnh Bến Tre</v>
      </c>
      <c r="C27399" t="str">
        <v>-</v>
      </c>
      <c r="D27399" t="str">
        <v>-</v>
      </c>
      <c r="E27399" t="str">
        <v>-</v>
      </c>
      <c r="F27399" t="str">
        <v>-</v>
      </c>
      <c r="G27399" t="str">
        <v>-</v>
      </c>
    </row>
    <row r="27400" xml:space="preserve">
      <c r="B27400" t="str" xml:space="preserve">
        <v xml:space="preserve">Công an xã Thụy Lâm _x000d_
 thành phố Hà Nội</v>
      </c>
      <c r="C27400" t="str">
        <v>-</v>
      </c>
      <c r="D27400" t="str">
        <v>-</v>
      </c>
      <c r="E27400" t="str">
        <v/>
      </c>
      <c r="F27400" t="str">
        <v>-</v>
      </c>
      <c r="G27400" t="str">
        <v>-</v>
      </c>
    </row>
    <row r="27401" xml:space="preserve">
      <c r="B27401" t="str" xml:space="preserve">
        <v xml:space="preserve">UBND Ủy ban nhân dân xã Thụy Lâm _x000d_
 thành phố Hà Nội</v>
      </c>
      <c r="C27401" t="str">
        <v>-</v>
      </c>
      <c r="D27401" t="str">
        <v>-</v>
      </c>
      <c r="E27401" t="str">
        <v>-</v>
      </c>
      <c r="F27401" t="str">
        <v>-</v>
      </c>
      <c r="G27401" t="str">
        <v>-</v>
      </c>
    </row>
    <row r="27402" xml:space="preserve">
      <c r="B27402" t="str" xml:space="preserve">
        <v xml:space="preserve">Công an xã Thanh An _x000d_
 tỉnh Quảng Trị</v>
      </c>
      <c r="C27402" t="str">
        <v>-</v>
      </c>
      <c r="D27402" t="str">
        <v>-</v>
      </c>
      <c r="E27402" t="str">
        <v/>
      </c>
      <c r="F27402" t="str">
        <v>-</v>
      </c>
      <c r="G27402" t="str">
        <v>-</v>
      </c>
    </row>
    <row r="27403" xml:space="preserve">
      <c r="B27403" t="str" xml:space="preserve">
        <v xml:space="preserve">UBND Ủy ban nhân dân xã Thanh An _x000d_
 tỉnh Quảng Trị</v>
      </c>
      <c r="C27403" t="str">
        <v>-</v>
      </c>
      <c r="D27403" t="str">
        <v>-</v>
      </c>
      <c r="E27403" t="str">
        <v>-</v>
      </c>
      <c r="F27403" t="str">
        <v>-</v>
      </c>
      <c r="G27403" t="str">
        <v>-</v>
      </c>
    </row>
    <row r="27404" xml:space="preserve">
      <c r="B27404" t="str" xml:space="preserve">
        <v xml:space="preserve">Công an xã Thanh An _x000d_
 tỉnh Nghệ An</v>
      </c>
      <c r="C27404" t="str">
        <v>-</v>
      </c>
      <c r="D27404" t="str">
        <v>-</v>
      </c>
      <c r="E27404" t="str">
        <v/>
      </c>
      <c r="F27404" t="str">
        <v>-</v>
      </c>
      <c r="G27404" t="str">
        <v>-</v>
      </c>
    </row>
    <row r="27405" xml:space="preserve">
      <c r="B27405" t="str" xml:space="preserve">
        <v xml:space="preserve">UBND Ủy ban nhân dân xã Thanh An _x000d_
 tỉnh Nghệ An</v>
      </c>
      <c r="C27405" t="str">
        <v>-</v>
      </c>
      <c r="D27405" t="str">
        <v>-</v>
      </c>
      <c r="E27405" t="str">
        <v>-</v>
      </c>
      <c r="F27405" t="str">
        <v>-</v>
      </c>
      <c r="G27405" t="str">
        <v>-</v>
      </c>
    </row>
    <row r="27406">
      <c r="B27406" t="str">
        <v>Công an xã Thanh An tỉnh Hải Dương</v>
      </c>
      <c r="C27406" t="str">
        <v>-</v>
      </c>
      <c r="D27406" t="str">
        <v>-</v>
      </c>
      <c r="E27406" t="str">
        <v/>
      </c>
      <c r="F27406" t="str">
        <v>-</v>
      </c>
      <c r="G27406" t="str">
        <v>-</v>
      </c>
    </row>
    <row r="27407">
      <c r="B27407" t="str">
        <v>UBND Ủy ban nhân dân xã Thanh An tỉnh Hải Dương</v>
      </c>
      <c r="C27407" t="str">
        <v>-</v>
      </c>
      <c r="D27407" t="str">
        <v>-</v>
      </c>
      <c r="E27407" t="str">
        <v>-</v>
      </c>
      <c r="F27407" t="str">
        <v>-</v>
      </c>
      <c r="G27407" t="str">
        <v>-</v>
      </c>
    </row>
    <row r="27408" xml:space="preserve">
      <c r="B27408" t="str" xml:space="preserve">
        <v xml:space="preserve">Công an xã Thanh Cao _x000d_
 tỉnh Hòa Bình</v>
      </c>
      <c r="C27408" t="str">
        <v>-</v>
      </c>
      <c r="D27408" t="str">
        <v>-</v>
      </c>
      <c r="E27408" t="str">
        <v/>
      </c>
      <c r="F27408" t="str">
        <v>-</v>
      </c>
      <c r="G27408" t="str">
        <v>-</v>
      </c>
    </row>
    <row r="27409" xml:space="preserve">
      <c r="B27409" t="str" xml:space="preserve">
        <v xml:space="preserve">UBND Ủy ban nhân dân xã Thanh Cao _x000d_
 tỉnh Hòa Bình</v>
      </c>
      <c r="C27409" t="str">
        <v>-</v>
      </c>
      <c r="D27409" t="str">
        <v>-</v>
      </c>
      <c r="E27409" t="str">
        <v>-</v>
      </c>
      <c r="F27409" t="str">
        <v>-</v>
      </c>
      <c r="G27409" t="str">
        <v>-</v>
      </c>
    </row>
    <row r="27410" xml:space="preserve">
      <c r="B27410" t="str" xml:space="preserve">
        <v xml:space="preserve">Công an xã Thanh Dương _x000d_
 tỉnh Nghệ An</v>
      </c>
      <c r="C27410" t="str">
        <v>-</v>
      </c>
      <c r="D27410" t="str">
        <v>-</v>
      </c>
      <c r="E27410" t="str">
        <v/>
      </c>
      <c r="F27410" t="str">
        <v>-</v>
      </c>
      <c r="G27410" t="str">
        <v>-</v>
      </c>
    </row>
    <row r="27411" xml:space="preserve">
      <c r="B27411" t="str" xml:space="preserve">
        <v xml:space="preserve">UBND Ủy ban nhân dân xã Thanh Dương _x000d_
 tỉnh Nghệ An</v>
      </c>
      <c r="C27411" t="str">
        <v>-</v>
      </c>
      <c r="D27411" t="str">
        <v>-</v>
      </c>
      <c r="E27411" t="str">
        <v>-</v>
      </c>
      <c r="F27411" t="str">
        <v>-</v>
      </c>
      <c r="G27411" t="str">
        <v>-</v>
      </c>
    </row>
    <row r="27412" xml:space="preserve">
      <c r="B27412" t="str" xml:space="preserve">
        <v xml:space="preserve">Công an xã Thanh Dương _x000d_
 tỉnh Nghệ An</v>
      </c>
      <c r="C27412" t="str">
        <v>-</v>
      </c>
      <c r="D27412" t="str">
        <v>-</v>
      </c>
      <c r="E27412" t="str">
        <v/>
      </c>
      <c r="F27412" t="str">
        <v>-</v>
      </c>
      <c r="G27412" t="str">
        <v>-</v>
      </c>
    </row>
    <row r="27413" xml:space="preserve">
      <c r="B27413" t="str" xml:space="preserve">
        <v xml:space="preserve">UBND Ủy ban nhân dân xã Thanh Dương _x000d_
 tỉnh Nghệ An</v>
      </c>
      <c r="C27413" t="str">
        <v>-</v>
      </c>
      <c r="D27413" t="str">
        <v>-</v>
      </c>
      <c r="E27413" t="str">
        <v>-</v>
      </c>
      <c r="F27413" t="str">
        <v>-</v>
      </c>
      <c r="G27413" t="str">
        <v>-</v>
      </c>
    </row>
    <row r="27414">
      <c r="B27414" t="str">
        <v>Công an xã Thanh Hòa tỉnh Thanh Hóa</v>
      </c>
      <c r="C27414" t="str">
        <v>-</v>
      </c>
      <c r="D27414" t="str">
        <v>-</v>
      </c>
      <c r="E27414" t="str">
        <v/>
      </c>
      <c r="F27414" t="str">
        <v>-</v>
      </c>
      <c r="G27414" t="str">
        <v>-</v>
      </c>
    </row>
    <row r="27415">
      <c r="B27415" t="str">
        <v>UBND Ủy ban nhân dân xã Thanh Hòa tỉnh Thanh Hóa</v>
      </c>
      <c r="C27415" t="str">
        <v>-</v>
      </c>
      <c r="D27415" t="str">
        <v>-</v>
      </c>
      <c r="E27415" t="str">
        <v>-</v>
      </c>
      <c r="F27415" t="str">
        <v>-</v>
      </c>
      <c r="G27415" t="str">
        <v>-</v>
      </c>
    </row>
    <row r="27416">
      <c r="B27416" t="str">
        <v>Công an xã Thanh Hương tỉnh Hà Nam</v>
      </c>
      <c r="C27416" t="str">
        <v>-</v>
      </c>
      <c r="D27416" t="str">
        <v>-</v>
      </c>
      <c r="E27416" t="str">
        <v/>
      </c>
      <c r="F27416" t="str">
        <v>-</v>
      </c>
      <c r="G27416" t="str">
        <v>-</v>
      </c>
    </row>
    <row r="27417">
      <c r="B27417" t="str">
        <v>UBND Ủy ban nhân dân xã Thanh Hương tỉnh Hà Nam</v>
      </c>
      <c r="C27417" t="str">
        <v>-</v>
      </c>
      <c r="D27417" t="str">
        <v>-</v>
      </c>
      <c r="E27417" t="str">
        <v>-</v>
      </c>
      <c r="F27417" t="str">
        <v>-</v>
      </c>
      <c r="G27417" t="str">
        <v>-</v>
      </c>
    </row>
    <row r="27418" xml:space="preserve">
      <c r="B27418" t="str" xml:space="preserve">
        <v xml:space="preserve">Công an xã Thanh Lâm _x000d_
 thành phố Hà Nội</v>
      </c>
      <c r="C27418" t="str">
        <v>-</v>
      </c>
      <c r="D27418" t="str">
        <v>-</v>
      </c>
      <c r="E27418" t="str">
        <v/>
      </c>
      <c r="F27418" t="str">
        <v>-</v>
      </c>
      <c r="G27418" t="str">
        <v>-</v>
      </c>
    </row>
    <row r="27419" xml:space="preserve">
      <c r="B27419" t="str" xml:space="preserve">
        <v xml:space="preserve">UBND Ủy ban nhân dân xã Thanh Lâm _x000d_
 thành phố Hà Nội</v>
      </c>
      <c r="C27419" t="str">
        <v>-</v>
      </c>
      <c r="D27419" t="str">
        <v>-</v>
      </c>
      <c r="E27419" t="str">
        <v>-</v>
      </c>
      <c r="F27419" t="str">
        <v>-</v>
      </c>
      <c r="G27419" t="str">
        <v>-</v>
      </c>
    </row>
    <row r="27420" xml:space="preserve">
      <c r="B27420" t="str" xml:space="preserve">
        <v xml:space="preserve">Công an xã Thanh Lương _x000d_
 tỉnh Nghệ An</v>
      </c>
      <c r="C27420" t="str">
        <v>-</v>
      </c>
      <c r="D27420" t="str">
        <v>-</v>
      </c>
      <c r="E27420" t="str">
        <v/>
      </c>
      <c r="F27420" t="str">
        <v>-</v>
      </c>
      <c r="G27420" t="str">
        <v>-</v>
      </c>
    </row>
    <row r="27421" xml:space="preserve">
      <c r="B27421" t="str" xml:space="preserve">
        <v xml:space="preserve">UBND Ủy ban nhân dân xã Thanh Lương _x000d_
 tỉnh Nghệ An</v>
      </c>
      <c r="C27421" t="str">
        <v>-</v>
      </c>
      <c r="D27421" t="str">
        <v>-</v>
      </c>
      <c r="E27421" t="str">
        <v>-</v>
      </c>
      <c r="F27421" t="str">
        <v>-</v>
      </c>
      <c r="G27421" t="str">
        <v>-</v>
      </c>
    </row>
    <row r="27422">
      <c r="B27422" t="str">
        <v>Công an xã Thanh Lang tỉnh Hải Dương</v>
      </c>
      <c r="C27422" t="str">
        <v>-</v>
      </c>
      <c r="D27422" t="str">
        <v>-</v>
      </c>
      <c r="E27422" t="str">
        <v/>
      </c>
      <c r="F27422" t="str">
        <v>-</v>
      </c>
      <c r="G27422" t="str">
        <v>-</v>
      </c>
    </row>
    <row r="27423">
      <c r="B27423" t="str">
        <v>UBND Ủy ban nhân dân xã Thanh Lang tỉnh Hải Dương</v>
      </c>
      <c r="C27423" t="str">
        <v>-</v>
      </c>
      <c r="D27423" t="str">
        <v>-</v>
      </c>
      <c r="E27423" t="str">
        <v>-</v>
      </c>
      <c r="F27423" t="str">
        <v>-</v>
      </c>
      <c r="G27423" t="str">
        <v>-</v>
      </c>
    </row>
    <row r="27424">
      <c r="B27424" t="str">
        <v>Công an xã Thanh Long tỉnh Lạng Sơn</v>
      </c>
      <c r="C27424" t="str">
        <v>-</v>
      </c>
      <c r="D27424" t="str">
        <v>-</v>
      </c>
      <c r="E27424" t="str">
        <v/>
      </c>
      <c r="F27424" t="str">
        <v>-</v>
      </c>
      <c r="G27424" t="str">
        <v>-</v>
      </c>
    </row>
    <row r="27425">
      <c r="B27425" t="str">
        <v>UBND Ủy ban nhân dân xã Thanh Long tỉnh Lạng Sơn</v>
      </c>
      <c r="C27425" t="str">
        <v>-</v>
      </c>
      <c r="D27425" t="str">
        <v>-</v>
      </c>
      <c r="E27425" t="str">
        <v>-</v>
      </c>
      <c r="F27425" t="str">
        <v>-</v>
      </c>
      <c r="G27425" t="str">
        <v>-</v>
      </c>
    </row>
    <row r="27426" xml:space="preserve">
      <c r="B27426" t="str" xml:space="preserve">
        <v xml:space="preserve">Công an xã Thanh Minh _x000d_
 tỉnh Phú Thọ</v>
      </c>
      <c r="C27426" t="str">
        <v>-</v>
      </c>
      <c r="D27426" t="str">
        <v>-</v>
      </c>
      <c r="E27426" t="str">
        <v/>
      </c>
      <c r="F27426" t="str">
        <v>-</v>
      </c>
      <c r="G27426" t="str">
        <v>-</v>
      </c>
    </row>
    <row r="27427" xml:space="preserve">
      <c r="B27427" t="str" xml:space="preserve">
        <v xml:space="preserve">UBND Ủy ban nhân dân xã Thanh Minh _x000d_
 tỉnh Phú Thọ</v>
      </c>
      <c r="C27427" t="str">
        <v>-</v>
      </c>
      <c r="D27427" t="str">
        <v>-</v>
      </c>
      <c r="E27427" t="str">
        <v>-</v>
      </c>
      <c r="F27427" t="str">
        <v>-</v>
      </c>
      <c r="G27427" t="str">
        <v>-</v>
      </c>
    </row>
    <row r="27428" xml:space="preserve">
      <c r="B27428" t="str" xml:space="preserve">
        <v xml:space="preserve">Công an xã Thanh Nưa _x000d_
 tỉnh Điện Biên</v>
      </c>
      <c r="C27428" t="str">
        <v>-</v>
      </c>
      <c r="D27428" t="str">
        <v>-</v>
      </c>
      <c r="E27428" t="str">
        <v/>
      </c>
      <c r="F27428" t="str">
        <v>-</v>
      </c>
      <c r="G27428" t="str">
        <v>-</v>
      </c>
    </row>
    <row r="27429" xml:space="preserve">
      <c r="B27429" t="str" xml:space="preserve">
        <v xml:space="preserve">UBND Ủy ban nhân dân xã Thanh Nưa _x000d_
 tỉnh Điện Biên</v>
      </c>
      <c r="C27429" t="str">
        <v>-</v>
      </c>
      <c r="D27429" t="str">
        <v>-</v>
      </c>
      <c r="E27429" t="str">
        <v>-</v>
      </c>
      <c r="F27429" t="str">
        <v>-</v>
      </c>
      <c r="G27429" t="str">
        <v>-</v>
      </c>
    </row>
    <row r="27430" xml:space="preserve">
      <c r="B27430" t="str" xml:space="preserve">
        <v xml:space="preserve">Công an xã Thanh Phước _x000d_
 tỉnh TÂY NINH</v>
      </c>
      <c r="C27430" t="str">
        <v>-</v>
      </c>
      <c r="D27430" t="str">
        <v>-</v>
      </c>
      <c r="E27430" t="str">
        <v/>
      </c>
      <c r="F27430" t="str">
        <v>-</v>
      </c>
      <c r="G27430" t="str">
        <v>-</v>
      </c>
    </row>
    <row r="27431" xml:space="preserve">
      <c r="B27431" t="str" xml:space="preserve">
        <v xml:space="preserve">UBND Ủy ban nhân dân xã Thanh Phước _x000d_
 tỉnh TÂY NINH</v>
      </c>
      <c r="C27431" t="str">
        <v>-</v>
      </c>
      <c r="D27431" t="str">
        <v>-</v>
      </c>
      <c r="E27431" t="str">
        <v>-</v>
      </c>
      <c r="F27431" t="str">
        <v>-</v>
      </c>
      <c r="G27431" t="str">
        <v>-</v>
      </c>
    </row>
    <row r="27432">
      <c r="B27432" t="str">
        <v>Công an xã Thanh Phong tỉnh Nghệ An</v>
      </c>
      <c r="C27432" t="str">
        <v>-</v>
      </c>
      <c r="D27432" t="str">
        <v>-</v>
      </c>
      <c r="E27432" t="str">
        <v/>
      </c>
      <c r="F27432" t="str">
        <v>-</v>
      </c>
      <c r="G27432" t="str">
        <v>-</v>
      </c>
    </row>
    <row r="27433">
      <c r="B27433" t="str">
        <v>UBND Ủy ban nhân dân xã Thanh Phong tỉnh Nghệ An</v>
      </c>
      <c r="C27433" t="str">
        <v>-</v>
      </c>
      <c r="D27433" t="str">
        <v>-</v>
      </c>
      <c r="E27433" t="str">
        <v>-</v>
      </c>
      <c r="F27433" t="str">
        <v>-</v>
      </c>
      <c r="G27433" t="str">
        <v>-</v>
      </c>
    </row>
    <row r="27434">
      <c r="B27434" t="str">
        <v>Công an xã Thanh Tân tỉnh Thanh Hóa</v>
      </c>
      <c r="C27434" t="str">
        <v>-</v>
      </c>
      <c r="D27434" t="str">
        <v>-</v>
      </c>
      <c r="E27434" t="str">
        <v/>
      </c>
      <c r="F27434" t="str">
        <v>-</v>
      </c>
      <c r="G27434" t="str">
        <v>-</v>
      </c>
    </row>
    <row r="27435">
      <c r="B27435" t="str">
        <v>UBND Ủy ban nhân dân xã Thanh Tân tỉnh Thanh Hóa</v>
      </c>
      <c r="C27435" t="str">
        <v>-</v>
      </c>
      <c r="D27435" t="str">
        <v>-</v>
      </c>
      <c r="E27435" t="str">
        <v>-</v>
      </c>
      <c r="F27435" t="str">
        <v>-</v>
      </c>
      <c r="G27435" t="str">
        <v>-</v>
      </c>
    </row>
    <row r="27436">
      <c r="B27436" t="str">
        <v>Công an xã Thanh Tùng tỉnh Hải Dương</v>
      </c>
      <c r="C27436" t="str">
        <v>-</v>
      </c>
      <c r="D27436" t="str">
        <v>-</v>
      </c>
      <c r="E27436" t="str">
        <v/>
      </c>
      <c r="F27436" t="str">
        <v>-</v>
      </c>
      <c r="G27436" t="str">
        <v>-</v>
      </c>
    </row>
    <row r="27437">
      <c r="B27437" t="str">
        <v>UBND Ủy ban nhân dân xã Thanh Tùng tỉnh Hải Dương</v>
      </c>
      <c r="C27437" t="str">
        <v>-</v>
      </c>
      <c r="D27437" t="str">
        <v>-</v>
      </c>
      <c r="E27437" t="str">
        <v>-</v>
      </c>
      <c r="F27437" t="str">
        <v>-</v>
      </c>
      <c r="G27437" t="str">
        <v>-</v>
      </c>
    </row>
    <row r="27438" xml:space="preserve">
      <c r="B27438" t="str" xml:space="preserve">
        <v xml:space="preserve">Công an xã Thanh Thủy _x000d_
 tỉnh Nghệ An</v>
      </c>
      <c r="C27438" t="str">
        <v>-</v>
      </c>
      <c r="D27438" t="str">
        <v>-</v>
      </c>
      <c r="E27438" t="str">
        <v/>
      </c>
      <c r="F27438" t="str">
        <v>-</v>
      </c>
      <c r="G27438" t="str">
        <v>-</v>
      </c>
    </row>
    <row r="27439" xml:space="preserve">
      <c r="B27439" t="str" xml:space="preserve">
        <v xml:space="preserve">UBND Ủy ban nhân dân xã Thanh Thủy _x000d_
 tỉnh Nghệ An</v>
      </c>
      <c r="C27439" t="str">
        <v>-</v>
      </c>
      <c r="D27439" t="str">
        <v>-</v>
      </c>
      <c r="E27439" t="str">
        <v>-</v>
      </c>
      <c r="F27439" t="str">
        <v>-</v>
      </c>
      <c r="G27439" t="str">
        <v>-</v>
      </c>
    </row>
    <row r="27440" xml:space="preserve">
      <c r="B27440" t="str" xml:space="preserve">
        <v xml:space="preserve">Công an xã Thanh Xuân _x000d_
 tỉnh Quảng Nam</v>
      </c>
      <c r="C27440" t="str">
        <v>-</v>
      </c>
      <c r="D27440" t="str">
        <v>-</v>
      </c>
      <c r="E27440" t="str">
        <v/>
      </c>
      <c r="F27440" t="str">
        <v>-</v>
      </c>
      <c r="G27440" t="str">
        <v>-</v>
      </c>
    </row>
    <row r="27441" xml:space="preserve">
      <c r="B27441" t="str" xml:space="preserve">
        <v xml:space="preserve">UBND Ủy ban nhân dân xã Thanh Xuân _x000d_
 tỉnh Quảng Nam</v>
      </c>
      <c r="C27441" t="str">
        <v>-</v>
      </c>
      <c r="D27441" t="str">
        <v>-</v>
      </c>
      <c r="E27441" t="str">
        <v>-</v>
      </c>
      <c r="F27441" t="str">
        <v>-</v>
      </c>
      <c r="G27441" t="str">
        <v>-</v>
      </c>
    </row>
    <row r="27442" xml:space="preserve">
      <c r="B27442" t="str" xml:space="preserve">
        <v xml:space="preserve">Công an xã Thanh Xuân _x000d_
 tỉnh Thanh Hóa</v>
      </c>
      <c r="C27442" t="str">
        <v>-</v>
      </c>
      <c r="D27442" t="str">
        <v>-</v>
      </c>
      <c r="E27442" t="str">
        <v/>
      </c>
      <c r="F27442" t="str">
        <v>-</v>
      </c>
      <c r="G27442" t="str">
        <v>-</v>
      </c>
    </row>
    <row r="27443" xml:space="preserve">
      <c r="B27443" t="str" xml:space="preserve">
        <v xml:space="preserve">UBND Ủy ban nhân dân xã Thanh Xuân _x000d_
 tỉnh Thanh Hóa</v>
      </c>
      <c r="C27443" t="str">
        <v>-</v>
      </c>
      <c r="D27443" t="str">
        <v>-</v>
      </c>
      <c r="E27443" t="str">
        <v>-</v>
      </c>
      <c r="F27443" t="str">
        <v>-</v>
      </c>
      <c r="G27443" t="str">
        <v>-</v>
      </c>
    </row>
    <row r="27444" xml:space="preserve">
      <c r="B27444" t="str" xml:space="preserve">
        <v xml:space="preserve">Công an xã Thanh Xuân _x000d_
 tỉnh Hải Dương</v>
      </c>
      <c r="C27444" t="str">
        <v>-</v>
      </c>
      <c r="D27444" t="str">
        <v>-</v>
      </c>
      <c r="E27444" t="str">
        <v/>
      </c>
      <c r="F27444" t="str">
        <v>-</v>
      </c>
      <c r="G27444" t="str">
        <v>-</v>
      </c>
    </row>
    <row r="27445" xml:space="preserve">
      <c r="B27445" t="str" xml:space="preserve">
        <v xml:space="preserve">UBND Ủy ban nhân dân xã Thanh Xuân _x000d_
 tỉnh Hải Dương</v>
      </c>
      <c r="C27445" t="str">
        <v>-</v>
      </c>
      <c r="D27445" t="str">
        <v>-</v>
      </c>
      <c r="E27445" t="str">
        <v>-</v>
      </c>
      <c r="F27445" t="str">
        <v>-</v>
      </c>
      <c r="G27445" t="str">
        <v>-</v>
      </c>
    </row>
    <row r="27446">
      <c r="B27446" t="str">
        <v>Công an xã Thanh Xuân  tỉnh Nghệ An</v>
      </c>
      <c r="C27446" t="str">
        <v>-</v>
      </c>
      <c r="D27446" t="str">
        <v>-</v>
      </c>
      <c r="E27446" t="str">
        <v/>
      </c>
      <c r="F27446" t="str">
        <v>-</v>
      </c>
      <c r="G27446" t="str">
        <v>-</v>
      </c>
    </row>
    <row r="27447">
      <c r="B27447" t="str">
        <v>UBND Ủy ban nhân dân xã Thanh Xuân  tỉnh Nghệ An</v>
      </c>
      <c r="C27447" t="str">
        <v>-</v>
      </c>
      <c r="D27447" t="str">
        <v>-</v>
      </c>
      <c r="E27447" t="str">
        <v>-</v>
      </c>
      <c r="F27447" t="str">
        <v>-</v>
      </c>
      <c r="G27447" t="str">
        <v>-</v>
      </c>
    </row>
    <row r="27448" xml:space="preserve">
      <c r="B27448" t="str" xml:space="preserve">
        <v xml:space="preserve">Công an xã Thanh Yên _x000d_
 tỉnh Nghệ An</v>
      </c>
      <c r="C27448" t="str">
        <v>-</v>
      </c>
      <c r="D27448" t="str">
        <v>-</v>
      </c>
      <c r="E27448" t="str">
        <v/>
      </c>
      <c r="F27448" t="str">
        <v>-</v>
      </c>
      <c r="G27448" t="str">
        <v>-</v>
      </c>
    </row>
    <row r="27449" xml:space="preserve">
      <c r="B27449" t="str" xml:space="preserve">
        <v xml:space="preserve">UBND Ủy ban nhân dân xã Thanh Yên _x000d_
 tỉnh Nghệ An</v>
      </c>
      <c r="C27449" t="str">
        <v>-</v>
      </c>
      <c r="D27449" t="str">
        <v>-</v>
      </c>
      <c r="E27449" t="str">
        <v>-</v>
      </c>
      <c r="F27449" t="str">
        <v>-</v>
      </c>
      <c r="G27449" t="str">
        <v>-</v>
      </c>
    </row>
    <row r="27450">
      <c r="B27450" t="str">
        <v>Công an xã Thiên Lộc tỉnh Hà Tĩnh</v>
      </c>
      <c r="C27450" t="str">
        <v>-</v>
      </c>
      <c r="D27450" t="str">
        <v>-</v>
      </c>
      <c r="E27450" t="str">
        <v/>
      </c>
      <c r="F27450" t="str">
        <v>-</v>
      </c>
      <c r="G27450" t="str">
        <v>-</v>
      </c>
    </row>
    <row r="27451">
      <c r="B27451" t="str">
        <v>UBND Ủy ban nhân dân xã Thiên Lộc tỉnh Hà Tĩnh</v>
      </c>
      <c r="C27451" t="str">
        <v>-</v>
      </c>
      <c r="D27451" t="str">
        <v>-</v>
      </c>
      <c r="E27451" t="str">
        <v>-</v>
      </c>
      <c r="F27451" t="str">
        <v>-</v>
      </c>
      <c r="G27451" t="str">
        <v>-</v>
      </c>
    </row>
    <row r="27452" xml:space="preserve">
      <c r="B27452" t="str" xml:space="preserve">
        <v xml:space="preserve">Công an xã Thiên Phủ _x000d_
 tỉnh Thanh Hóa</v>
      </c>
      <c r="C27452" t="str">
        <v>-</v>
      </c>
      <c r="D27452" t="str">
        <v>-</v>
      </c>
      <c r="E27452" t="str">
        <v/>
      </c>
      <c r="F27452" t="str">
        <v>-</v>
      </c>
      <c r="G27452" t="str">
        <v>-</v>
      </c>
    </row>
    <row r="27453" xml:space="preserve">
      <c r="B27453" t="str" xml:space="preserve">
        <v xml:space="preserve">UBND Ủy ban nhân dân xã Thiên Phủ _x000d_
 tỉnh Thanh Hóa</v>
      </c>
      <c r="C27453" t="str">
        <v>-</v>
      </c>
      <c r="D27453" t="str">
        <v>-</v>
      </c>
      <c r="E27453" t="str">
        <v>-</v>
      </c>
      <c r="F27453" t="str">
        <v>-</v>
      </c>
      <c r="G27453" t="str">
        <v>-</v>
      </c>
    </row>
    <row r="27454">
      <c r="B27454" t="str">
        <v>Công an xã Thiết Kế tỉnh Thanh Hóa</v>
      </c>
      <c r="C27454" t="str">
        <v>-</v>
      </c>
      <c r="D27454" t="str">
        <v>-</v>
      </c>
      <c r="E27454" t="str">
        <v/>
      </c>
      <c r="F27454" t="str">
        <v>-</v>
      </c>
      <c r="G27454" t="str">
        <v>-</v>
      </c>
    </row>
    <row r="27455">
      <c r="B27455" t="str">
        <v>UBND Ủy ban nhân dân xã Thiết Kế tỉnh Thanh Hóa</v>
      </c>
      <c r="C27455" t="str">
        <v>-</v>
      </c>
      <c r="D27455" t="str">
        <v>-</v>
      </c>
      <c r="E27455" t="str">
        <v>-</v>
      </c>
      <c r="F27455" t="str">
        <v>-</v>
      </c>
      <c r="G27455" t="str">
        <v>-</v>
      </c>
    </row>
    <row r="27456" xml:space="preserve">
      <c r="B27456" t="str" xml:space="preserve">
        <v xml:space="preserve">Công an xã Thiện Kế _x000d_
 tỉnh Vĩnh Phúc</v>
      </c>
      <c r="C27456" t="str">
        <v>-</v>
      </c>
      <c r="D27456" t="str">
        <v>-</v>
      </c>
      <c r="E27456" t="str">
        <v/>
      </c>
      <c r="F27456" t="str">
        <v>-</v>
      </c>
      <c r="G27456" t="str">
        <v>-</v>
      </c>
    </row>
    <row r="27457" xml:space="preserve">
      <c r="B27457" t="str" xml:space="preserve">
        <v xml:space="preserve">UBND Ủy ban nhân dân xã Thiện Kế _x000d_
 tỉnh Vĩnh Phúc</v>
      </c>
      <c r="C27457" t="str">
        <v>-</v>
      </c>
      <c r="D27457" t="str">
        <v>-</v>
      </c>
      <c r="E27457" t="str">
        <v>-</v>
      </c>
      <c r="F27457" t="str">
        <v>-</v>
      </c>
      <c r="G27457" t="str">
        <v>-</v>
      </c>
    </row>
    <row r="27458" xml:space="preserve">
      <c r="B27458" t="str" xml:space="preserve">
        <v xml:space="preserve">Công an xã Thiện Mỹ _x000d_
 tỉnh Vĩnh Long</v>
      </c>
      <c r="C27458" t="str">
        <v>-</v>
      </c>
      <c r="D27458" t="str">
        <v>-</v>
      </c>
      <c r="E27458" t="str">
        <v/>
      </c>
      <c r="F27458" t="str">
        <v>-</v>
      </c>
      <c r="G27458" t="str">
        <v>-</v>
      </c>
    </row>
    <row r="27459" xml:space="preserve">
      <c r="B27459" t="str" xml:space="preserve">
        <v xml:space="preserve">UBND Ủy ban nhân dân xã Thiện Mỹ _x000d_
 tỉnh Vĩnh Long</v>
      </c>
      <c r="C27459" t="str">
        <v>-</v>
      </c>
      <c r="D27459" t="str">
        <v>-</v>
      </c>
      <c r="E27459" t="str">
        <v>-</v>
      </c>
      <c r="F27459" t="str">
        <v>-</v>
      </c>
      <c r="G27459" t="str">
        <v>-</v>
      </c>
    </row>
    <row r="27460">
      <c r="B27460" t="str">
        <v>Công an xã Thiệu Công  tỉnh Thanh Hóa</v>
      </c>
      <c r="C27460" t="str">
        <v>-</v>
      </c>
      <c r="D27460" t="str">
        <v>-</v>
      </c>
      <c r="E27460" t="str">
        <v/>
      </c>
      <c r="F27460" t="str">
        <v>-</v>
      </c>
      <c r="G27460" t="str">
        <v>-</v>
      </c>
    </row>
    <row r="27461">
      <c r="B27461" t="str">
        <v>UBND Ủy ban nhân dân xã Thiệu Công  tỉnh Thanh Hóa</v>
      </c>
      <c r="C27461" t="str">
        <v>-</v>
      </c>
      <c r="D27461" t="str">
        <v>-</v>
      </c>
      <c r="E27461" t="str">
        <v>-</v>
      </c>
      <c r="F27461" t="str">
        <v>-</v>
      </c>
      <c r="G27461" t="str">
        <v>-</v>
      </c>
    </row>
    <row r="27462" xml:space="preserve">
      <c r="B27462" t="str" xml:space="preserve">
        <v xml:space="preserve">Công an xã Thiệu Dương _x000d_
 tỉnh Thanh Hóa</v>
      </c>
      <c r="C27462" t="str">
        <v>-</v>
      </c>
      <c r="D27462" t="str">
        <v>-</v>
      </c>
      <c r="E27462" t="str">
        <v/>
      </c>
      <c r="F27462" t="str">
        <v>-</v>
      </c>
      <c r="G27462" t="str">
        <v>-</v>
      </c>
    </row>
    <row r="27463" xml:space="preserve">
      <c r="B27463" t="str" xml:space="preserve">
        <v xml:space="preserve">UBND Ủy ban nhân dân xã Thiệu Dương _x000d_
 tỉnh Thanh Hóa</v>
      </c>
      <c r="C27463" t="str">
        <v>-</v>
      </c>
      <c r="D27463" t="str">
        <v>-</v>
      </c>
      <c r="E27463" t="str">
        <v>-</v>
      </c>
      <c r="F27463" t="str">
        <v>-</v>
      </c>
      <c r="G27463" t="str">
        <v>-</v>
      </c>
    </row>
    <row r="27464" xml:space="preserve">
      <c r="B27464" t="str" xml:space="preserve">
        <v xml:space="preserve">Công an xã Thiệu Long _x000d_
 tỉnh Thanh Hóa</v>
      </c>
      <c r="C27464" t="str">
        <v>-</v>
      </c>
      <c r="D27464" t="str">
        <v>-</v>
      </c>
      <c r="E27464" t="str">
        <v/>
      </c>
      <c r="F27464" t="str">
        <v>-</v>
      </c>
      <c r="G27464" t="str">
        <v>-</v>
      </c>
    </row>
    <row r="27465" xml:space="preserve">
      <c r="B27465" t="str" xml:space="preserve">
        <v xml:space="preserve">UBND Ủy ban nhân dân xã Thiệu Long _x000d_
 tỉnh Thanh Hóa</v>
      </c>
      <c r="C27465" t="str">
        <v>-</v>
      </c>
      <c r="D27465" t="str">
        <v>-</v>
      </c>
      <c r="E27465" t="str">
        <v>-</v>
      </c>
      <c r="F27465" t="str">
        <v>-</v>
      </c>
      <c r="G27465" t="str">
        <v>-</v>
      </c>
    </row>
    <row r="27466" xml:space="preserve">
      <c r="B27466" t="str" xml:space="preserve">
        <v xml:space="preserve">Công an xã Thiệu Nguyên _x000d_
 tỉnh Thanh Hóa</v>
      </c>
      <c r="C27466" t="str">
        <v>-</v>
      </c>
      <c r="D27466" t="str">
        <v>-</v>
      </c>
      <c r="E27466" t="str">
        <v/>
      </c>
      <c r="F27466" t="str">
        <v>-</v>
      </c>
      <c r="G27466" t="str">
        <v>-</v>
      </c>
    </row>
    <row r="27467" xml:space="preserve">
      <c r="B27467" t="str" xml:space="preserve">
        <v xml:space="preserve">UBND Ủy ban nhân dân xã Thiệu Nguyên _x000d_
 tỉnh Thanh Hóa</v>
      </c>
      <c r="C27467" t="str">
        <v>-</v>
      </c>
      <c r="D27467" t="str">
        <v>-</v>
      </c>
      <c r="E27467" t="str">
        <v>-</v>
      </c>
      <c r="F27467" t="str">
        <v>-</v>
      </c>
      <c r="G27467" t="str">
        <v>-</v>
      </c>
    </row>
    <row r="27468" xml:space="preserve">
      <c r="B27468" t="str" xml:space="preserve">
        <v xml:space="preserve">Công an xã Thuần Lộc _x000d_
 tỉnh Thanh Hóa</v>
      </c>
      <c r="C27468" t="str">
        <v>-</v>
      </c>
      <c r="D27468" t="str">
        <v>-</v>
      </c>
      <c r="E27468" t="str">
        <v/>
      </c>
      <c r="F27468" t="str">
        <v>-</v>
      </c>
      <c r="G27468" t="str">
        <v>-</v>
      </c>
    </row>
    <row r="27469" xml:space="preserve">
      <c r="B27469" t="str" xml:space="preserve">
        <v xml:space="preserve">UBND Ủy ban nhân dân xã Thuần Lộc _x000d_
 tỉnh Thanh Hóa</v>
      </c>
      <c r="C27469" t="str">
        <v>-</v>
      </c>
      <c r="D27469" t="str">
        <v>-</v>
      </c>
      <c r="E27469" t="str">
        <v>-</v>
      </c>
      <c r="F27469" t="str">
        <v>-</v>
      </c>
      <c r="G27469" t="str">
        <v>-</v>
      </c>
    </row>
    <row r="27470" xml:space="preserve">
      <c r="B27470" t="str" xml:space="preserve">
        <v xml:space="preserve">Công an xã Thuần Thành _x000d_
 tỉnh Thái Bình</v>
      </c>
      <c r="C27470" t="str">
        <v>-</v>
      </c>
      <c r="D27470" t="str">
        <v>-</v>
      </c>
      <c r="E27470" t="str">
        <v/>
      </c>
      <c r="F27470" t="str">
        <v>-</v>
      </c>
      <c r="G27470" t="str">
        <v>-</v>
      </c>
    </row>
    <row r="27471" xml:space="preserve">
      <c r="B27471" t="str" xml:space="preserve">
        <v xml:space="preserve">UBND Ủy ban nhân dân xã Thuần Thành _x000d_
 tỉnh Thái Bình</v>
      </c>
      <c r="C27471" t="str">
        <v>-</v>
      </c>
      <c r="D27471" t="str">
        <v>-</v>
      </c>
      <c r="E27471" t="str">
        <v>-</v>
      </c>
      <c r="F27471" t="str">
        <v>-</v>
      </c>
      <c r="G27471" t="str">
        <v>-</v>
      </c>
    </row>
    <row r="27472" xml:space="preserve">
      <c r="B27472" t="str" xml:space="preserve">
        <v xml:space="preserve">Công an xã Thuận Đức _x000d_
 tỉnh Quảng Bình</v>
      </c>
      <c r="C27472" t="str">
        <v>-</v>
      </c>
      <c r="D27472" t="str">
        <v>-</v>
      </c>
      <c r="E27472" t="str">
        <v/>
      </c>
      <c r="F27472" t="str">
        <v>-</v>
      </c>
      <c r="G27472" t="str">
        <v>-</v>
      </c>
    </row>
    <row r="27473" xml:space="preserve">
      <c r="B27473" t="str" xml:space="preserve">
        <v xml:space="preserve">UBND Ủy ban nhân dân xã Thuận Đức _x000d_
 tỉnh Quảng Bình</v>
      </c>
      <c r="C27473" t="str">
        <v>-</v>
      </c>
      <c r="D27473" t="str">
        <v>-</v>
      </c>
      <c r="E27473" t="str">
        <v>-</v>
      </c>
      <c r="F27473" t="str">
        <v>-</v>
      </c>
      <c r="G27473" t="str">
        <v>-</v>
      </c>
    </row>
    <row r="27474" xml:space="preserve">
      <c r="B27474" t="str" xml:space="preserve">
        <v xml:space="preserve">Công an xã Thuận Hóa _x000d_
 tỉnh Quảng Bình</v>
      </c>
      <c r="C27474" t="str">
        <v>-</v>
      </c>
      <c r="D27474" t="str">
        <v>-</v>
      </c>
      <c r="E27474" t="str">
        <v/>
      </c>
      <c r="F27474" t="str">
        <v>-</v>
      </c>
      <c r="G27474" t="str">
        <v>-</v>
      </c>
    </row>
    <row r="27475" xml:space="preserve">
      <c r="B27475" t="str" xml:space="preserve">
        <v xml:space="preserve">UBND Ủy ban nhân dân xã Thuận Hóa _x000d_
 tỉnh Quảng Bình</v>
      </c>
      <c r="C27475" t="str">
        <v>-</v>
      </c>
      <c r="D27475" t="str">
        <v>-</v>
      </c>
      <c r="E27475" t="str">
        <v>-</v>
      </c>
      <c r="F27475" t="str">
        <v>-</v>
      </c>
      <c r="G27475" t="str">
        <v>-</v>
      </c>
    </row>
    <row r="27476" xml:space="preserve">
      <c r="B27476" t="str" xml:space="preserve">
        <v xml:space="preserve">Công an xã Thuận Hoà _x000d_
 tỉnh Trà Vinh</v>
      </c>
      <c r="C27476" t="str">
        <v>-</v>
      </c>
      <c r="D27476" t="str">
        <v>-</v>
      </c>
      <c r="E27476" t="str">
        <v/>
      </c>
      <c r="F27476" t="str">
        <v>-</v>
      </c>
      <c r="G27476" t="str">
        <v>-</v>
      </c>
    </row>
    <row r="27477" xml:space="preserve">
      <c r="B27477" t="str" xml:space="preserve">
        <v xml:space="preserve">UBND Ủy ban nhân dân xã Thuận Hoà _x000d_
 tỉnh Trà Vinh</v>
      </c>
      <c r="C27477" t="str">
        <v>-</v>
      </c>
      <c r="D27477" t="str">
        <v>-</v>
      </c>
      <c r="E27477" t="str">
        <v>-</v>
      </c>
      <c r="F27477" t="str">
        <v>-</v>
      </c>
      <c r="G27477" t="str">
        <v>-</v>
      </c>
    </row>
    <row r="27478" xml:space="preserve">
      <c r="B27478" t="str" xml:space="preserve">
        <v xml:space="preserve">Công an xã Thuận Lợi _x000d_
 tỉnh Quảng Bình</v>
      </c>
      <c r="C27478" t="str">
        <v>-</v>
      </c>
      <c r="D27478" t="str">
        <v>-</v>
      </c>
      <c r="E27478" t="str">
        <v/>
      </c>
      <c r="F27478" t="str">
        <v>-</v>
      </c>
      <c r="G27478" t="str">
        <v>-</v>
      </c>
    </row>
    <row r="27479" xml:space="preserve">
      <c r="B27479" t="str" xml:space="preserve">
        <v xml:space="preserve">UBND Ủy ban nhân dân xã Thuận Lợi _x000d_
 tỉnh Quảng Bình</v>
      </c>
      <c r="C27479" t="str">
        <v>-</v>
      </c>
      <c r="D27479" t="str">
        <v>-</v>
      </c>
      <c r="E27479" t="str">
        <v>-</v>
      </c>
      <c r="F27479" t="str">
        <v>-</v>
      </c>
      <c r="G27479" t="str">
        <v>-</v>
      </c>
    </row>
    <row r="27480">
      <c r="B27480" t="str">
        <v>Công an xã Thuận Minh tỉnh Thanh Hóa</v>
      </c>
      <c r="C27480" t="str">
        <v>-</v>
      </c>
      <c r="D27480" t="str">
        <v>-</v>
      </c>
      <c r="E27480" t="str">
        <v/>
      </c>
      <c r="F27480" t="str">
        <v>-</v>
      </c>
      <c r="G27480" t="str">
        <v>-</v>
      </c>
    </row>
    <row r="27481">
      <c r="B27481" t="str">
        <v>UBND Ủy ban nhân dân xã Thuận Minh tỉnh Thanh Hóa</v>
      </c>
      <c r="C27481" t="str">
        <v>-</v>
      </c>
      <c r="D27481" t="str">
        <v>-</v>
      </c>
      <c r="E27481" t="str">
        <v>-</v>
      </c>
      <c r="F27481" t="str">
        <v>-</v>
      </c>
      <c r="G27481" t="str">
        <v>-</v>
      </c>
    </row>
    <row r="27482" xml:space="preserve">
      <c r="B27482" t="str" xml:space="preserve">
        <v xml:space="preserve">Công an xã Thuận Phú _x000d_
 tỉnh Bình Phước</v>
      </c>
      <c r="C27482" t="str">
        <v>-</v>
      </c>
      <c r="D27482" t="str">
        <v>-</v>
      </c>
      <c r="E27482" t="str">
        <v/>
      </c>
      <c r="F27482" t="str">
        <v>-</v>
      </c>
      <c r="G27482" t="str">
        <v>-</v>
      </c>
    </row>
    <row r="27483" xml:space="preserve">
      <c r="B27483" t="str" xml:space="preserve">
        <v xml:space="preserve">UBND Ủy ban nhân dân xã Thuận Phú _x000d_
 tỉnh Bình Phước</v>
      </c>
      <c r="C27483" t="str">
        <v>-</v>
      </c>
      <c r="D27483" t="str">
        <v>-</v>
      </c>
      <c r="E27483" t="str">
        <v>-</v>
      </c>
      <c r="F27483" t="str">
        <v>-</v>
      </c>
      <c r="G27483" t="str">
        <v>-</v>
      </c>
    </row>
    <row r="27484" xml:space="preserve">
      <c r="B27484" t="str" xml:space="preserve">
        <v xml:space="preserve">Công an xã Thuận Thới _x000d_
 tỉnh Vĩnh Long</v>
      </c>
      <c r="C27484" t="str">
        <v>-</v>
      </c>
      <c r="D27484" t="str">
        <v>-</v>
      </c>
      <c r="E27484" t="str">
        <v/>
      </c>
      <c r="F27484" t="str">
        <v>-</v>
      </c>
      <c r="G27484" t="str">
        <v>-</v>
      </c>
    </row>
    <row r="27485" xml:space="preserve">
      <c r="B27485" t="str" xml:space="preserve">
        <v xml:space="preserve">UBND Ủy ban nhân dân xã Thuận Thới _x000d_
 tỉnh Vĩnh Long</v>
      </c>
      <c r="C27485" t="str">
        <v>-</v>
      </c>
      <c r="D27485" t="str">
        <v>-</v>
      </c>
      <c r="E27485" t="str">
        <v>-</v>
      </c>
      <c r="F27485" t="str">
        <v>-</v>
      </c>
      <c r="G27485" t="str">
        <v>-</v>
      </c>
    </row>
    <row r="27486">
      <c r="B27486" t="str">
        <v>Công an xã Thuỵ Ninh tỉnh Thái Bình</v>
      </c>
      <c r="C27486" t="str">
        <v>-</v>
      </c>
      <c r="D27486" t="str">
        <v>-</v>
      </c>
      <c r="E27486" t="str">
        <v/>
      </c>
      <c r="F27486" t="str">
        <v>-</v>
      </c>
      <c r="G27486" t="str">
        <v>-</v>
      </c>
    </row>
    <row r="27487">
      <c r="B27487" t="str">
        <v>UBND Ủy ban nhân dân xã Thuỵ Ninh tỉnh Thái Bình</v>
      </c>
      <c r="C27487" t="str">
        <v>-</v>
      </c>
      <c r="D27487" t="str">
        <v>-</v>
      </c>
      <c r="E27487" t="str">
        <v>-</v>
      </c>
      <c r="F27487" t="str">
        <v>-</v>
      </c>
      <c r="G27487" t="str">
        <v>-</v>
      </c>
    </row>
    <row r="27488">
      <c r="B27488" t="str">
        <v>Công an xã Thu Cúc  tỉnh Phú Thọ</v>
      </c>
      <c r="C27488" t="str">
        <v>-</v>
      </c>
      <c r="D27488" t="str">
        <v>-</v>
      </c>
      <c r="E27488" t="str">
        <v/>
      </c>
      <c r="F27488" t="str">
        <v>-</v>
      </c>
      <c r="G27488" t="str">
        <v>-</v>
      </c>
    </row>
    <row r="27489">
      <c r="B27489" t="str">
        <v>UBND Ủy ban nhân dân xã Thu Cúc  tỉnh Phú Thọ</v>
      </c>
      <c r="C27489" t="str">
        <v>-</v>
      </c>
      <c r="D27489" t="str">
        <v>-</v>
      </c>
      <c r="E27489" t="str">
        <v>-</v>
      </c>
      <c r="F27489" t="str">
        <v>-</v>
      </c>
      <c r="G27489" t="str">
        <v>-</v>
      </c>
    </row>
    <row r="27490">
      <c r="B27490" t="str">
        <v>Công an xã Thu Ngạc tỉnh Phú Thọ</v>
      </c>
      <c r="C27490" t="str">
        <v>-</v>
      </c>
      <c r="D27490" t="str">
        <v>-</v>
      </c>
      <c r="E27490" t="str">
        <v/>
      </c>
      <c r="F27490" t="str">
        <v>-</v>
      </c>
      <c r="G27490" t="str">
        <v>-</v>
      </c>
    </row>
    <row r="27491">
      <c r="B27491" t="str">
        <v>UBND Ủy ban nhân dân xã Thu Ngạc tỉnh Phú Thọ</v>
      </c>
      <c r="C27491" t="str">
        <v>-</v>
      </c>
      <c r="D27491" t="str">
        <v>-</v>
      </c>
      <c r="E27491" t="str">
        <v>-</v>
      </c>
      <c r="F27491" t="str">
        <v>-</v>
      </c>
      <c r="G27491" t="str">
        <v>-</v>
      </c>
    </row>
    <row r="27492">
      <c r="B27492" t="str">
        <v>Công an xã Tiên Hội tỉnh Vĩnh Phúc</v>
      </c>
      <c r="C27492" t="str">
        <v>-</v>
      </c>
      <c r="D27492" t="str">
        <v>-</v>
      </c>
      <c r="E27492" t="str">
        <v/>
      </c>
      <c r="F27492" t="str">
        <v>-</v>
      </c>
      <c r="G27492" t="str">
        <v>-</v>
      </c>
    </row>
    <row r="27493">
      <c r="B27493" t="str">
        <v>UBND Ủy ban nhân dân xã Tiên Hội tỉnh Vĩnh Phúc</v>
      </c>
      <c r="C27493" t="str">
        <v>-</v>
      </c>
      <c r="D27493" t="str">
        <v>-</v>
      </c>
      <c r="E27493" t="str">
        <v>-</v>
      </c>
      <c r="F27493" t="str">
        <v>-</v>
      </c>
      <c r="G27493" t="str">
        <v>-</v>
      </c>
    </row>
    <row r="27494" xml:space="preserve">
      <c r="B27494" t="str" xml:space="preserve">
        <v xml:space="preserve">Công an xã Tiên Hiệp _x000d_
 tỉnh Hà Nam</v>
      </c>
      <c r="C27494" t="str">
        <v>-</v>
      </c>
      <c r="D27494" t="str">
        <v>-</v>
      </c>
      <c r="E27494" t="str">
        <v/>
      </c>
      <c r="F27494" t="str">
        <v>-</v>
      </c>
      <c r="G27494" t="str">
        <v>-</v>
      </c>
    </row>
    <row r="27495" xml:space="preserve">
      <c r="B27495" t="str" xml:space="preserve">
        <v xml:space="preserve">UBND Ủy ban nhân dân xã Tiên Hiệp _x000d_
 tỉnh Hà Nam</v>
      </c>
      <c r="C27495" t="str">
        <v>-</v>
      </c>
      <c r="D27495" t="str">
        <v>-</v>
      </c>
      <c r="E27495" t="str">
        <v>-</v>
      </c>
      <c r="F27495" t="str">
        <v>-</v>
      </c>
      <c r="G27495" t="str">
        <v>-</v>
      </c>
    </row>
    <row r="27496" xml:space="preserve">
      <c r="B27496" t="str" xml:space="preserve">
        <v xml:space="preserve">Công an xã Tiên Hiệp _x000d_
 tỉnh Hà Nam</v>
      </c>
      <c r="C27496" t="str">
        <v>-</v>
      </c>
      <c r="D27496" t="str">
        <v>-</v>
      </c>
      <c r="E27496" t="str">
        <v/>
      </c>
      <c r="F27496" t="str">
        <v>-</v>
      </c>
      <c r="G27496" t="str">
        <v>-</v>
      </c>
    </row>
    <row r="27497" xml:space="preserve">
      <c r="B27497" t="str" xml:space="preserve">
        <v xml:space="preserve">UBND Ủy ban nhân dân xã Tiên Hiệp _x000d_
 tỉnh Hà Nam</v>
      </c>
      <c r="C27497" t="str">
        <v>-</v>
      </c>
      <c r="D27497" t="str">
        <v>-</v>
      </c>
      <c r="E27497" t="str">
        <v>-</v>
      </c>
      <c r="F27497" t="str">
        <v>-</v>
      </c>
      <c r="G27497" t="str">
        <v>-</v>
      </c>
    </row>
    <row r="27498" xml:space="preserve">
      <c r="B27498" t="str" xml:space="preserve">
        <v xml:space="preserve">Công an xã Tiên Kỳ _x000d_
 tỉnh Nghệ An</v>
      </c>
      <c r="C27498" t="str">
        <v>-</v>
      </c>
      <c r="D27498" t="str">
        <v>-</v>
      </c>
      <c r="E27498" t="str">
        <v/>
      </c>
      <c r="F27498" t="str">
        <v>-</v>
      </c>
      <c r="G27498" t="str">
        <v>-</v>
      </c>
    </row>
    <row r="27499" xml:space="preserve">
      <c r="B27499" t="str" xml:space="preserve">
        <v xml:space="preserve">UBND Ủy ban nhân dân xã Tiên Kỳ _x000d_
 tỉnh Nghệ An</v>
      </c>
      <c r="C27499" t="str">
        <v>-</v>
      </c>
      <c r="D27499" t="str">
        <v>-</v>
      </c>
      <c r="E27499" t="str">
        <v>-</v>
      </c>
      <c r="F27499" t="str">
        <v>-</v>
      </c>
      <c r="G27499" t="str">
        <v>-</v>
      </c>
    </row>
    <row r="27500">
      <c r="B27500" t="str">
        <v>Công an xã Tiên Lãng tỉnh Quảng Ninh</v>
      </c>
      <c r="C27500" t="str">
        <v>-</v>
      </c>
      <c r="D27500" t="str">
        <v>-</v>
      </c>
      <c r="E27500" t="str">
        <v/>
      </c>
      <c r="F27500" t="str">
        <v>-</v>
      </c>
      <c r="G27500" t="str">
        <v>-</v>
      </c>
    </row>
    <row r="27501">
      <c r="B27501" t="str">
        <v>UBND Ủy ban nhân dân xã Tiên Lãng tỉnh Quảng Ninh</v>
      </c>
      <c r="C27501" t="str">
        <v>-</v>
      </c>
      <c r="D27501" t="str">
        <v>-</v>
      </c>
      <c r="E27501" t="str">
        <v>-</v>
      </c>
      <c r="F27501" t="str">
        <v>-</v>
      </c>
      <c r="G27501" t="str">
        <v>-</v>
      </c>
    </row>
    <row r="27502" xml:space="preserve">
      <c r="B27502" t="str" xml:space="preserve">
        <v xml:space="preserve">Công an xã Tiên Lục _x000d_
 tỉnh Bắc Giang</v>
      </c>
      <c r="C27502" t="str">
        <v>-</v>
      </c>
      <c r="D27502" t="str">
        <v>-</v>
      </c>
      <c r="E27502" t="str">
        <v/>
      </c>
      <c r="F27502" t="str">
        <v>-</v>
      </c>
      <c r="G27502" t="str">
        <v>-</v>
      </c>
    </row>
    <row r="27503" xml:space="preserve">
      <c r="B27503" t="str" xml:space="preserve">
        <v xml:space="preserve">UBND Ủy ban nhân dân xã Tiên Lục _x000d_
 tỉnh Bắc Giang</v>
      </c>
      <c r="C27503" t="str">
        <v>-</v>
      </c>
      <c r="D27503" t="str">
        <v>-</v>
      </c>
      <c r="E27503" t="str">
        <v>-</v>
      </c>
      <c r="F27503" t="str">
        <v>-</v>
      </c>
      <c r="G27503" t="str">
        <v>-</v>
      </c>
    </row>
    <row r="27504" xml:space="preserve">
      <c r="B27504" t="str" xml:space="preserve">
        <v xml:space="preserve">Công an xã Tiên Long _x000d_
 tỉnh Bến Tre</v>
      </c>
      <c r="C27504" t="str">
        <v>-</v>
      </c>
      <c r="D27504" t="str">
        <v>-</v>
      </c>
      <c r="E27504" t="str">
        <v/>
      </c>
      <c r="F27504" t="str">
        <v>-</v>
      </c>
      <c r="G27504" t="str">
        <v>-</v>
      </c>
    </row>
    <row r="27505" xml:space="preserve">
      <c r="B27505" t="str" xml:space="preserve">
        <v xml:space="preserve">UBND Ủy ban nhân dân xã Tiên Long _x000d_
 tỉnh Bến Tre</v>
      </c>
      <c r="C27505" t="str">
        <v>-</v>
      </c>
      <c r="D27505" t="str">
        <v>-</v>
      </c>
      <c r="E27505" t="str">
        <v>-</v>
      </c>
      <c r="F27505" t="str">
        <v>-</v>
      </c>
      <c r="G27505" t="str">
        <v>-</v>
      </c>
    </row>
    <row r="27506" xml:space="preserve">
      <c r="B27506" t="str" xml:space="preserve">
        <v xml:space="preserve">Công an xã Tiên Sơn _x000d_
 tỉnh Hà Nam</v>
      </c>
      <c r="C27506" t="str">
        <v>-</v>
      </c>
      <c r="D27506" t="str">
        <v>-</v>
      </c>
      <c r="E27506" t="str">
        <v/>
      </c>
      <c r="F27506" t="str">
        <v>-</v>
      </c>
      <c r="G27506" t="str">
        <v>-</v>
      </c>
    </row>
    <row r="27507" xml:space="preserve">
      <c r="B27507" t="str" xml:space="preserve">
        <v xml:space="preserve">UBND Ủy ban nhân dân xã Tiên Sơn _x000d_
 tỉnh Hà Nam</v>
      </c>
      <c r="C27507" t="str">
        <v>-</v>
      </c>
      <c r="D27507" t="str">
        <v>-</v>
      </c>
      <c r="E27507" t="str">
        <v>-</v>
      </c>
      <c r="F27507" t="str">
        <v>-</v>
      </c>
      <c r="G27507" t="str">
        <v>-</v>
      </c>
    </row>
    <row r="27508">
      <c r="B27508" t="str">
        <v>Công an xã Tiên Thành tỉnh Cao Bằng</v>
      </c>
      <c r="C27508" t="str">
        <v>-</v>
      </c>
      <c r="D27508" t="str">
        <v>-</v>
      </c>
      <c r="E27508" t="str">
        <v/>
      </c>
      <c r="F27508" t="str">
        <v>-</v>
      </c>
      <c r="G27508" t="str">
        <v>-</v>
      </c>
    </row>
    <row r="27509">
      <c r="B27509" t="str">
        <v>UBND Ủy ban nhân dân xã Tiên Thành tỉnh Cao Bằng</v>
      </c>
      <c r="C27509" t="str">
        <v>-</v>
      </c>
      <c r="D27509" t="str">
        <v>-</v>
      </c>
      <c r="E27509" t="str">
        <v>-</v>
      </c>
      <c r="F27509" t="str">
        <v>-</v>
      </c>
      <c r="G27509" t="str">
        <v>-</v>
      </c>
    </row>
    <row r="27510">
      <c r="B27510" t="str">
        <v>Công an xã Tiêu Sơn tỉnh Phú Thọ</v>
      </c>
      <c r="C27510" t="str">
        <v>-</v>
      </c>
      <c r="D27510" t="str">
        <v>-</v>
      </c>
      <c r="E27510" t="str">
        <v/>
      </c>
      <c r="F27510" t="str">
        <v>-</v>
      </c>
      <c r="G27510" t="str">
        <v>-</v>
      </c>
    </row>
    <row r="27511">
      <c r="B27511" t="str">
        <v>UBND Ủy ban nhân dân xã Tiêu Sơn tỉnh Phú Thọ</v>
      </c>
      <c r="C27511" t="str">
        <v>-</v>
      </c>
      <c r="D27511" t="str">
        <v>-</v>
      </c>
      <c r="E27511" t="str">
        <v>-</v>
      </c>
      <c r="F27511" t="str">
        <v>-</v>
      </c>
      <c r="G27511" t="str">
        <v>-</v>
      </c>
    </row>
    <row r="27512">
      <c r="B27512" t="str">
        <v>Công an xã Tiến Dũng tỉnh Bắc Giang</v>
      </c>
      <c r="C27512" t="str">
        <v>-</v>
      </c>
      <c r="D27512" t="str">
        <v>-</v>
      </c>
      <c r="E27512" t="str">
        <v/>
      </c>
      <c r="F27512" t="str">
        <v>-</v>
      </c>
      <c r="G27512" t="str">
        <v>-</v>
      </c>
    </row>
    <row r="27513">
      <c r="B27513" t="str">
        <v>UBND Ủy ban nhân dân xã Tiến Dũng tỉnh Bắc Giang</v>
      </c>
      <c r="C27513" t="str">
        <v>-</v>
      </c>
      <c r="D27513" t="str">
        <v>-</v>
      </c>
      <c r="E27513" t="str">
        <v>-</v>
      </c>
      <c r="F27513" t="str">
        <v>-</v>
      </c>
      <c r="G27513" t="str">
        <v>-</v>
      </c>
    </row>
    <row r="27514" xml:space="preserve">
      <c r="B27514" t="str" xml:space="preserve">
        <v xml:space="preserve">Công an xã Tiến Hóa _x000d_
 tỉnh Thanh Hóa</v>
      </c>
      <c r="C27514" t="str">
        <v>-</v>
      </c>
      <c r="D27514" t="str">
        <v>-</v>
      </c>
      <c r="E27514" t="str">
        <v/>
      </c>
      <c r="F27514" t="str">
        <v>-</v>
      </c>
      <c r="G27514" t="str">
        <v>-</v>
      </c>
    </row>
    <row r="27515" xml:space="preserve">
      <c r="B27515" t="str" xml:space="preserve">
        <v xml:space="preserve">UBND Ủy ban nhân dân xã Tiến Hóa _x000d_
 tỉnh Thanh Hóa</v>
      </c>
      <c r="C27515" t="str">
        <v>-</v>
      </c>
      <c r="D27515" t="str">
        <v>-</v>
      </c>
      <c r="E27515" t="str">
        <v>-</v>
      </c>
      <c r="F27515" t="str">
        <v>-</v>
      </c>
      <c r="G27515" t="str">
        <v>-</v>
      </c>
    </row>
    <row r="27516" xml:space="preserve">
      <c r="B27516" t="str" xml:space="preserve">
        <v xml:space="preserve">Công an xã Tiến Nông _x000d_
 tỉnh Thanh Hóa</v>
      </c>
      <c r="C27516" t="str">
        <v>-</v>
      </c>
      <c r="D27516" t="str">
        <v>-</v>
      </c>
      <c r="E27516" t="str">
        <v/>
      </c>
      <c r="F27516" t="str">
        <v>-</v>
      </c>
      <c r="G27516" t="str">
        <v>-</v>
      </c>
    </row>
    <row r="27517" xml:space="preserve">
      <c r="B27517" t="str" xml:space="preserve">
        <v xml:space="preserve">UBND Ủy ban nhân dân xã Tiến Nông _x000d_
 tỉnh Thanh Hóa</v>
      </c>
      <c r="C27517" t="str">
        <v>-</v>
      </c>
      <c r="D27517" t="str">
        <v>-</v>
      </c>
      <c r="E27517" t="str">
        <v>-</v>
      </c>
      <c r="F27517" t="str">
        <v>-</v>
      </c>
      <c r="G27517" t="str">
        <v>-</v>
      </c>
    </row>
    <row r="27518">
      <c r="B27518" t="str">
        <v>Công an xã Tiến Thắng tỉnh Hà Nam</v>
      </c>
      <c r="C27518" t="str">
        <v>-</v>
      </c>
      <c r="D27518" t="str">
        <v>-</v>
      </c>
      <c r="E27518" t="str">
        <v/>
      </c>
      <c r="F27518" t="str">
        <v>-</v>
      </c>
      <c r="G27518" t="str">
        <v>-</v>
      </c>
    </row>
    <row r="27519">
      <c r="B27519" t="str">
        <v>UBND Ủy ban nhân dân xã Tiến Thắng tỉnh Hà Nam</v>
      </c>
      <c r="C27519" t="str">
        <v>-</v>
      </c>
      <c r="D27519" t="str">
        <v>-</v>
      </c>
      <c r="E27519" t="str">
        <v>-</v>
      </c>
      <c r="F27519" t="str">
        <v>-</v>
      </c>
      <c r="G27519" t="str">
        <v>-</v>
      </c>
    </row>
    <row r="27520">
      <c r="B27520" t="str">
        <v>Công an xã Tiền Phong tỉnh Hưng Yên</v>
      </c>
      <c r="C27520" t="str">
        <v>-</v>
      </c>
      <c r="D27520" t="str">
        <v>-</v>
      </c>
      <c r="E27520" t="str">
        <v/>
      </c>
      <c r="F27520" t="str">
        <v>-</v>
      </c>
      <c r="G27520" t="str">
        <v>-</v>
      </c>
    </row>
    <row r="27521">
      <c r="B27521" t="str">
        <v>UBND Ủy ban nhân dân xã Tiền Phong tỉnh Hưng Yên</v>
      </c>
      <c r="C27521" t="str">
        <v>-</v>
      </c>
      <c r="D27521" t="str">
        <v>-</v>
      </c>
      <c r="E27521" t="str">
        <v>-</v>
      </c>
      <c r="F27521" t="str">
        <v>-</v>
      </c>
      <c r="G27521" t="str">
        <v>-</v>
      </c>
    </row>
    <row r="27522">
      <c r="B27522" t="str">
        <v>Công an xã Tiền Phong tỉnh Hòa Bình</v>
      </c>
      <c r="C27522" t="str">
        <v>-</v>
      </c>
      <c r="D27522" t="str">
        <v>-</v>
      </c>
      <c r="E27522" t="str">
        <v/>
      </c>
      <c r="F27522" t="str">
        <v>-</v>
      </c>
      <c r="G27522" t="str">
        <v>-</v>
      </c>
    </row>
    <row r="27523">
      <c r="B27523" t="str">
        <v>UBND Ủy ban nhân dân xã Tiền Phong tỉnh Hòa Bình</v>
      </c>
      <c r="C27523" t="str">
        <v>-</v>
      </c>
      <c r="D27523" t="str">
        <v>-</v>
      </c>
      <c r="E27523" t="str">
        <v>-</v>
      </c>
      <c r="F27523" t="str">
        <v>-</v>
      </c>
      <c r="G27523" t="str">
        <v>-</v>
      </c>
    </row>
    <row r="27524">
      <c r="B27524" t="str">
        <v>Công an xã Tiền Phong tỉnh Bắc Giang</v>
      </c>
      <c r="C27524" t="str">
        <v>-</v>
      </c>
      <c r="D27524" t="str">
        <v>-</v>
      </c>
      <c r="E27524" t="str">
        <v/>
      </c>
      <c r="F27524" t="str">
        <v>-</v>
      </c>
      <c r="G27524" t="str">
        <v>-</v>
      </c>
    </row>
    <row r="27525">
      <c r="B27525" t="str">
        <v>UBND Ủy ban nhân dân xã Tiền Phong tỉnh Bắc Giang</v>
      </c>
      <c r="C27525" t="str">
        <v>-</v>
      </c>
      <c r="D27525" t="str">
        <v>-</v>
      </c>
      <c r="E27525" t="str">
        <v>-</v>
      </c>
      <c r="F27525" t="str">
        <v>-</v>
      </c>
      <c r="G27525" t="str">
        <v>-</v>
      </c>
    </row>
    <row r="27526" xml:space="preserve">
      <c r="B27526" t="str" xml:space="preserve">
        <v xml:space="preserve">Công an xã Tiền Tiến _x000d_
 tỉnh Hải Dương</v>
      </c>
      <c r="C27526" t="str">
        <v>-</v>
      </c>
      <c r="D27526" t="str">
        <v>-</v>
      </c>
      <c r="E27526" t="str">
        <v/>
      </c>
      <c r="F27526" t="str">
        <v>-</v>
      </c>
      <c r="G27526" t="str">
        <v>-</v>
      </c>
    </row>
    <row r="27527" xml:space="preserve">
      <c r="B27527" t="str" xml:space="preserve">
        <v xml:space="preserve">UBND Ủy ban nhân dân xã Tiền Tiến _x000d_
 tỉnh Hải Dương</v>
      </c>
      <c r="C27527" t="str">
        <v>-</v>
      </c>
      <c r="D27527" t="str">
        <v>-</v>
      </c>
      <c r="E27527" t="str">
        <v>-</v>
      </c>
      <c r="F27527" t="str">
        <v>-</v>
      </c>
      <c r="G27527" t="str">
        <v>-</v>
      </c>
    </row>
    <row r="27528" xml:space="preserve">
      <c r="B27528" t="str" xml:space="preserve">
        <v xml:space="preserve">Công an xã Tinh Nhuệ _x000d_
 tỉnh Phú Thọ</v>
      </c>
      <c r="C27528" t="str">
        <v>-</v>
      </c>
      <c r="D27528" t="str">
        <v>-</v>
      </c>
      <c r="E27528" t="str">
        <v/>
      </c>
      <c r="F27528" t="str">
        <v>-</v>
      </c>
      <c r="G27528" t="str">
        <v>-</v>
      </c>
    </row>
    <row r="27529" xml:space="preserve">
      <c r="B27529" t="str" xml:space="preserve">
        <v xml:space="preserve">UBND Ủy ban nhân dân xã Tinh Nhuệ _x000d_
 tỉnh Phú Thọ</v>
      </c>
      <c r="C27529" t="str">
        <v>-</v>
      </c>
      <c r="D27529" t="str">
        <v>-</v>
      </c>
      <c r="E27529" t="str">
        <v>-</v>
      </c>
      <c r="F27529" t="str">
        <v>-</v>
      </c>
      <c r="G27529" t="str">
        <v>-</v>
      </c>
    </row>
    <row r="27530" xml:space="preserve">
      <c r="B27530" t="str" xml:space="preserve">
        <v xml:space="preserve">Công an xã Trà Bui _x000d_
 tỉnh Quảng Nam</v>
      </c>
      <c r="C27530" t="str">
        <v>-</v>
      </c>
      <c r="D27530" t="str">
        <v>-</v>
      </c>
      <c r="E27530" t="str">
        <v/>
      </c>
      <c r="F27530" t="str">
        <v>-</v>
      </c>
      <c r="G27530" t="str">
        <v>-</v>
      </c>
    </row>
    <row r="27531" xml:space="preserve">
      <c r="B27531" t="str" xml:space="preserve">
        <v xml:space="preserve">UBND Ủy ban nhân dân xã Trà Bui _x000d_
 tỉnh Quảng Nam</v>
      </c>
      <c r="C27531" t="str">
        <v>-</v>
      </c>
      <c r="D27531" t="str">
        <v>-</v>
      </c>
      <c r="E27531" t="str">
        <v>-</v>
      </c>
      <c r="F27531" t="str">
        <v>-</v>
      </c>
      <c r="G27531" t="str">
        <v>-</v>
      </c>
    </row>
    <row r="27532" xml:space="preserve">
      <c r="B27532" t="str" xml:space="preserve">
        <v xml:space="preserve">Công an xã Trà Dương _x000d_
 tỉnh Quảng Nam</v>
      </c>
      <c r="C27532" t="str">
        <v>-</v>
      </c>
      <c r="D27532" t="str">
        <v>-</v>
      </c>
      <c r="E27532" t="str">
        <v/>
      </c>
      <c r="F27532" t="str">
        <v>-</v>
      </c>
      <c r="G27532" t="str">
        <v>-</v>
      </c>
    </row>
    <row r="27533" xml:space="preserve">
      <c r="B27533" t="str" xml:space="preserve">
        <v xml:space="preserve">UBND Ủy ban nhân dân xã Trà Dương _x000d_
 tỉnh Quảng Nam</v>
      </c>
      <c r="C27533" t="str">
        <v>-</v>
      </c>
      <c r="D27533" t="str">
        <v>-</v>
      </c>
      <c r="E27533" t="str">
        <v>-</v>
      </c>
      <c r="F27533" t="str">
        <v>-</v>
      </c>
      <c r="G27533" t="str">
        <v>-</v>
      </c>
    </row>
    <row r="27534" xml:space="preserve">
      <c r="B27534" t="str" xml:space="preserve">
        <v xml:space="preserve">Công an xã Trà Giáp _x000d_
 tỉnh Quảng Nam</v>
      </c>
      <c r="C27534" t="str">
        <v>-</v>
      </c>
      <c r="D27534" t="str">
        <v>-</v>
      </c>
      <c r="E27534" t="str">
        <v/>
      </c>
      <c r="F27534" t="str">
        <v>-</v>
      </c>
      <c r="G27534" t="str">
        <v>-</v>
      </c>
    </row>
    <row r="27535" xml:space="preserve">
      <c r="B27535" t="str" xml:space="preserve">
        <v xml:space="preserve">UBND Ủy ban nhân dân xã Trà Giáp _x000d_
 tỉnh Quảng Nam</v>
      </c>
      <c r="C27535" t="str">
        <v>-</v>
      </c>
      <c r="D27535" t="str">
        <v>-</v>
      </c>
      <c r="E27535" t="str">
        <v>-</v>
      </c>
      <c r="F27535" t="str">
        <v>-</v>
      </c>
      <c r="G27535" t="str">
        <v>-</v>
      </c>
    </row>
    <row r="27536">
      <c r="B27536" t="str">
        <v>Công an xã Trà Giang tỉnh Thái Bình</v>
      </c>
      <c r="C27536" t="str">
        <v>-</v>
      </c>
      <c r="D27536" t="str">
        <v>-</v>
      </c>
      <c r="E27536" t="str">
        <v/>
      </c>
      <c r="F27536" t="str">
        <v>-</v>
      </c>
      <c r="G27536" t="str">
        <v>-</v>
      </c>
    </row>
    <row r="27537">
      <c r="B27537" t="str">
        <v>UBND Ủy ban nhân dân xã Trà Giang tỉnh Thái Bình</v>
      </c>
      <c r="C27537" t="str">
        <v>-</v>
      </c>
      <c r="D27537" t="str">
        <v>-</v>
      </c>
      <c r="E27537" t="str">
        <v>-</v>
      </c>
      <c r="F27537" t="str">
        <v>-</v>
      </c>
      <c r="G27537" t="str">
        <v>-</v>
      </c>
    </row>
    <row r="27538" xml:space="preserve">
      <c r="B27538" t="str" xml:space="preserve">
        <v xml:space="preserve">Công an xã Trà Nú _x000d_
 tỉnh Quảng Nam</v>
      </c>
      <c r="C27538" t="str">
        <v>-</v>
      </c>
      <c r="D27538" t="str">
        <v>-</v>
      </c>
      <c r="E27538" t="str">
        <v/>
      </c>
      <c r="F27538" t="str">
        <v>-</v>
      </c>
      <c r="G27538" t="str">
        <v>-</v>
      </c>
    </row>
    <row r="27539" xml:space="preserve">
      <c r="B27539" t="str" xml:space="preserve">
        <v xml:space="preserve">UBND Ủy ban nhân dân xã Trà Nú _x000d_
 tỉnh Quảng Nam</v>
      </c>
      <c r="C27539" t="str">
        <v>-</v>
      </c>
      <c r="D27539" t="str">
        <v>-</v>
      </c>
      <c r="E27539" t="str">
        <v>-</v>
      </c>
      <c r="F27539" t="str">
        <v>-</v>
      </c>
      <c r="G27539" t="str">
        <v>-</v>
      </c>
    </row>
    <row r="27540">
      <c r="B27540" t="str">
        <v>Công an xã Tràng Đà tỉnh Tuyên Quang</v>
      </c>
      <c r="C27540" t="str">
        <v>-</v>
      </c>
      <c r="D27540" t="str">
        <v>-</v>
      </c>
      <c r="E27540" t="str">
        <v/>
      </c>
      <c r="F27540" t="str">
        <v>-</v>
      </c>
      <c r="G27540" t="str">
        <v>-</v>
      </c>
    </row>
    <row r="27541">
      <c r="B27541" t="str">
        <v>UBND Ủy ban nhân dân xã Tràng Đà tỉnh Tuyên Quang</v>
      </c>
      <c r="C27541" t="str">
        <v>-</v>
      </c>
      <c r="D27541" t="str">
        <v>-</v>
      </c>
      <c r="E27541" t="str">
        <v>-</v>
      </c>
      <c r="F27541" t="str">
        <v>-</v>
      </c>
      <c r="G27541" t="str">
        <v>-</v>
      </c>
    </row>
    <row r="27542">
      <c r="B27542" t="str">
        <v>Công an xã Tràng Xá  tỉnh Thái Nguyên</v>
      </c>
      <c r="C27542" t="str">
        <v>-</v>
      </c>
      <c r="D27542" t="str">
        <v>-</v>
      </c>
      <c r="E27542" t="str">
        <v/>
      </c>
      <c r="F27542" t="str">
        <v>-</v>
      </c>
      <c r="G27542" t="str">
        <v>-</v>
      </c>
    </row>
    <row r="27543">
      <c r="B27543" t="str">
        <v>UBND Ủy ban nhân dân xã Tràng Xá  tỉnh Thái Nguyên</v>
      </c>
      <c r="C27543" t="str">
        <v>-</v>
      </c>
      <c r="D27543" t="str">
        <v>-</v>
      </c>
      <c r="E27543" t="str">
        <v>-</v>
      </c>
      <c r="F27543" t="str">
        <v>-</v>
      </c>
      <c r="G27543" t="str">
        <v>-</v>
      </c>
    </row>
    <row r="27544" xml:space="preserve">
      <c r="B27544" t="str" xml:space="preserve">
        <v xml:space="preserve">Công an xã Trà Tân _x000d_
 tỉnh Quảng Nam</v>
      </c>
      <c r="C27544" t="str">
        <v>-</v>
      </c>
      <c r="D27544" t="str">
        <v>-</v>
      </c>
      <c r="E27544" t="str">
        <v/>
      </c>
      <c r="F27544" t="str">
        <v>-</v>
      </c>
      <c r="G27544" t="str">
        <v>-</v>
      </c>
    </row>
    <row r="27545" xml:space="preserve">
      <c r="B27545" t="str" xml:space="preserve">
        <v xml:space="preserve">UBND Ủy ban nhân dân xã Trà Tân _x000d_
 tỉnh Quảng Nam</v>
      </c>
      <c r="C27545" t="str">
        <v>-</v>
      </c>
      <c r="D27545" t="str">
        <v>-</v>
      </c>
      <c r="E27545" t="str">
        <v>-</v>
      </c>
      <c r="F27545" t="str">
        <v>-</v>
      </c>
      <c r="G27545" t="str">
        <v>-</v>
      </c>
    </row>
    <row r="27546" xml:space="preserve">
      <c r="B27546" t="str" xml:space="preserve">
        <v xml:space="preserve">Công an xã Trác Văn _x000d_
 tỉnh Hà Nam</v>
      </c>
      <c r="C27546" t="str">
        <v>-</v>
      </c>
      <c r="D27546" t="str">
        <v>-</v>
      </c>
      <c r="E27546" t="str">
        <v/>
      </c>
      <c r="F27546" t="str">
        <v>-</v>
      </c>
      <c r="G27546" t="str">
        <v>-</v>
      </c>
    </row>
    <row r="27547" xml:space="preserve">
      <c r="B27547" t="str" xml:space="preserve">
        <v xml:space="preserve">UBND Ủy ban nhân dân xã Trác Văn _x000d_
 tỉnh Hà Nam</v>
      </c>
      <c r="C27547" t="str">
        <v>-</v>
      </c>
      <c r="D27547" t="str">
        <v>-</v>
      </c>
      <c r="E27547" t="str">
        <v>-</v>
      </c>
      <c r="F27547" t="str">
        <v>-</v>
      </c>
      <c r="G27547" t="str">
        <v>-</v>
      </c>
    </row>
    <row r="27548" xml:space="preserve">
      <c r="B27548" t="str" xml:space="preserve">
        <v xml:space="preserve">Công an xã Trì Quang _x000d_
 tỉnh Lào Cai</v>
      </c>
      <c r="C27548" t="str">
        <v>-</v>
      </c>
      <c r="D27548" t="str">
        <v>-</v>
      </c>
      <c r="E27548" t="str">
        <v/>
      </c>
      <c r="F27548" t="str">
        <v>-</v>
      </c>
      <c r="G27548" t="str">
        <v>-</v>
      </c>
    </row>
    <row r="27549" xml:space="preserve">
      <c r="B27549" t="str" xml:space="preserve">
        <v xml:space="preserve">UBND Ủy ban nhân dân xã Trì Quang _x000d_
 tỉnh Lào Cai</v>
      </c>
      <c r="C27549" t="str">
        <v>-</v>
      </c>
      <c r="D27549" t="str">
        <v>-</v>
      </c>
      <c r="E27549" t="str">
        <v>-</v>
      </c>
      <c r="F27549" t="str">
        <v>-</v>
      </c>
      <c r="G27549" t="str">
        <v>-</v>
      </c>
    </row>
    <row r="27550">
      <c r="B27550" t="str">
        <v>Công an xã Trí Bình tỉnh TÂY NINH</v>
      </c>
      <c r="C27550" t="str">
        <v>-</v>
      </c>
      <c r="D27550" t="str">
        <v>-</v>
      </c>
      <c r="E27550" t="str">
        <v/>
      </c>
      <c r="F27550" t="str">
        <v>-</v>
      </c>
      <c r="G27550" t="str">
        <v>-</v>
      </c>
    </row>
    <row r="27551">
      <c r="B27551" t="str">
        <v>UBND Ủy ban nhân dân xã Trí Bình tỉnh TÂY NINH</v>
      </c>
      <c r="C27551" t="str">
        <v>-</v>
      </c>
      <c r="D27551" t="str">
        <v>-</v>
      </c>
      <c r="E27551" t="str">
        <v>-</v>
      </c>
      <c r="F27551" t="str">
        <v>-</v>
      </c>
      <c r="G27551" t="str">
        <v>-</v>
      </c>
    </row>
    <row r="27552" xml:space="preserve">
      <c r="B27552" t="str" xml:space="preserve">
        <v xml:space="preserve">Công an xã Trí Nang _x000d_
 tỉnh Thanh Hóa</v>
      </c>
      <c r="C27552" t="str">
        <v>-</v>
      </c>
      <c r="D27552" t="str">
        <v>-</v>
      </c>
      <c r="E27552" t="str">
        <v/>
      </c>
      <c r="F27552" t="str">
        <v>-</v>
      </c>
      <c r="G27552" t="str">
        <v>-</v>
      </c>
    </row>
    <row r="27553" xml:space="preserve">
      <c r="B27553" t="str" xml:space="preserve">
        <v xml:space="preserve">UBND Ủy ban nhân dân xã Trí Nang _x000d_
 tỉnh Thanh Hóa</v>
      </c>
      <c r="C27553" t="str">
        <v>-</v>
      </c>
      <c r="D27553" t="str">
        <v>-</v>
      </c>
      <c r="E27553" t="str">
        <v>-</v>
      </c>
      <c r="F27553" t="str">
        <v>-</v>
      </c>
      <c r="G27553" t="str">
        <v>-</v>
      </c>
    </row>
    <row r="27554" xml:space="preserve">
      <c r="B27554" t="str" xml:space="preserve">
        <v xml:space="preserve">Công an xã Trù Sơn _x000d_
 tỉnh Nghệ An</v>
      </c>
      <c r="C27554" t="str">
        <v>-</v>
      </c>
      <c r="D27554" t="str">
        <v>-</v>
      </c>
      <c r="E27554" t="str">
        <v/>
      </c>
      <c r="F27554" t="str">
        <v>-</v>
      </c>
      <c r="G27554" t="str">
        <v>-</v>
      </c>
    </row>
    <row r="27555" xml:space="preserve">
      <c r="B27555" t="str" xml:space="preserve">
        <v xml:space="preserve">UBND Ủy ban nhân dân xã Trù Sơn _x000d_
 tỉnh Nghệ An</v>
      </c>
      <c r="C27555" t="str">
        <v>-</v>
      </c>
      <c r="D27555" t="str">
        <v>-</v>
      </c>
      <c r="E27555" t="str">
        <v>-</v>
      </c>
      <c r="F27555" t="str">
        <v>-</v>
      </c>
      <c r="G27555" t="str">
        <v>-</v>
      </c>
    </row>
    <row r="27556">
      <c r="B27556" t="str">
        <v>Công an xã Trương Lương, tỉnh Cao Bằng</v>
      </c>
      <c r="C27556" t="str">
        <v>-</v>
      </c>
      <c r="D27556" t="str">
        <v>-</v>
      </c>
      <c r="E27556" t="str">
        <v/>
      </c>
      <c r="F27556" t="str">
        <v>-</v>
      </c>
      <c r="G27556" t="str">
        <v>-</v>
      </c>
    </row>
    <row r="27557">
      <c r="B27557" t="str">
        <v>UBND Ủy ban nhân dân xã Trương Lương, tỉnh Cao Bằng</v>
      </c>
      <c r="C27557" t="str">
        <v>-</v>
      </c>
      <c r="D27557" t="str">
        <v>-</v>
      </c>
      <c r="E27557" t="str">
        <v>-</v>
      </c>
      <c r="F27557" t="str">
        <v>-</v>
      </c>
      <c r="G27557" t="str">
        <v>-</v>
      </c>
    </row>
    <row r="27558">
      <c r="B27558" t="str">
        <v>Công an xã Trương Lương, tỉnh Cao Bằng</v>
      </c>
      <c r="C27558" t="str">
        <v>-</v>
      </c>
      <c r="D27558" t="str">
        <v>-</v>
      </c>
      <c r="E27558" t="str">
        <v/>
      </c>
      <c r="F27558" t="str">
        <v>-</v>
      </c>
      <c r="G27558" t="str">
        <v>-</v>
      </c>
    </row>
    <row r="27559">
      <c r="B27559" t="str">
        <v>UBND Ủy ban nhân dân xã Trương Lương, tỉnh Cao Bằng</v>
      </c>
      <c r="C27559" t="str">
        <v>-</v>
      </c>
      <c r="D27559" t="str">
        <v>-</v>
      </c>
      <c r="E27559" t="str">
        <v>-</v>
      </c>
      <c r="F27559" t="str">
        <v>-</v>
      </c>
      <c r="G27559" t="str">
        <v>-</v>
      </c>
    </row>
    <row r="27560">
      <c r="B27560" t="str">
        <v>Công an xã Trường Minh tỉnh Thanh Hóa</v>
      </c>
      <c r="C27560" t="str">
        <v>-</v>
      </c>
      <c r="D27560" t="str">
        <v>-</v>
      </c>
      <c r="E27560" t="str">
        <v/>
      </c>
      <c r="F27560" t="str">
        <v>-</v>
      </c>
      <c r="G27560" t="str">
        <v>-</v>
      </c>
    </row>
    <row r="27561">
      <c r="B27561" t="str">
        <v>UBND Ủy ban nhân dân xã Trường Minh tỉnh Thanh Hóa</v>
      </c>
      <c r="C27561" t="str">
        <v>-</v>
      </c>
      <c r="D27561" t="str">
        <v>-</v>
      </c>
      <c r="E27561" t="str">
        <v>-</v>
      </c>
      <c r="F27561" t="str">
        <v>-</v>
      </c>
      <c r="G27561" t="str">
        <v>-</v>
      </c>
    </row>
    <row r="27562">
      <c r="B27562" t="str">
        <v>Công an xã Trường Sơn tỉnh Thanh Hóa</v>
      </c>
      <c r="C27562" t="str">
        <v>-</v>
      </c>
      <c r="D27562" t="str">
        <v>-</v>
      </c>
      <c r="E27562" t="str">
        <v/>
      </c>
      <c r="F27562" t="str">
        <v>-</v>
      </c>
      <c r="G27562" t="str">
        <v>-</v>
      </c>
    </row>
    <row r="27563">
      <c r="B27563" t="str">
        <v>UBND Ủy ban nhân dân xã Trường Sơn tỉnh Thanh Hóa</v>
      </c>
      <c r="C27563" t="str">
        <v>-</v>
      </c>
      <c r="D27563" t="str">
        <v>-</v>
      </c>
      <c r="E27563" t="str">
        <v>-</v>
      </c>
      <c r="F27563" t="str">
        <v>-</v>
      </c>
      <c r="G27563" t="str">
        <v>-</v>
      </c>
    </row>
    <row r="27564">
      <c r="B27564" t="str">
        <v>Công an xã Trường Sơn tỉnh Hà Tĩnh</v>
      </c>
      <c r="C27564" t="str">
        <v>-</v>
      </c>
      <c r="D27564" t="str">
        <v>-</v>
      </c>
      <c r="E27564" t="str">
        <v/>
      </c>
      <c r="F27564" t="str">
        <v>-</v>
      </c>
      <c r="G27564" t="str">
        <v>-</v>
      </c>
    </row>
    <row r="27565">
      <c r="B27565" t="str">
        <v>UBND Ủy ban nhân dân xã Trường Sơn tỉnh Hà Tĩnh</v>
      </c>
      <c r="C27565" t="str">
        <v>-</v>
      </c>
      <c r="D27565" t="str">
        <v>-</v>
      </c>
      <c r="E27565" t="str">
        <v>-</v>
      </c>
      <c r="F27565" t="str">
        <v>-</v>
      </c>
      <c r="G27565" t="str">
        <v>-</v>
      </c>
    </row>
    <row r="27566" xml:space="preserve">
      <c r="B27566" t="str" xml:space="preserve">
        <v xml:space="preserve">Công an xã Trường Xuân _x000d_
 tỉnh Thanh Hóa</v>
      </c>
      <c r="C27566" t="str">
        <v>-</v>
      </c>
      <c r="D27566" t="str">
        <v>-</v>
      </c>
      <c r="E27566" t="str">
        <v/>
      </c>
      <c r="F27566" t="str">
        <v>-</v>
      </c>
      <c r="G27566" t="str">
        <v>-</v>
      </c>
    </row>
    <row r="27567" xml:space="preserve">
      <c r="B27567" t="str" xml:space="preserve">
        <v xml:space="preserve">UBND Ủy ban nhân dân xã Trường Xuân _x000d_
 tỉnh Thanh Hóa</v>
      </c>
      <c r="C27567" t="str">
        <v>-</v>
      </c>
      <c r="D27567" t="str">
        <v>-</v>
      </c>
      <c r="E27567" t="str">
        <v>-</v>
      </c>
      <c r="F27567" t="str">
        <v>-</v>
      </c>
      <c r="G27567" t="str">
        <v>-</v>
      </c>
    </row>
    <row r="27568">
      <c r="B27568" t="str">
        <v>Công an xã Trường Yên tỉnh Ninh Bình</v>
      </c>
      <c r="C27568" t="str">
        <v>-</v>
      </c>
      <c r="D27568" t="str">
        <v>-</v>
      </c>
      <c r="E27568" t="str">
        <v/>
      </c>
      <c r="F27568" t="str">
        <v>-</v>
      </c>
      <c r="G27568" t="str">
        <v>-</v>
      </c>
    </row>
    <row r="27569">
      <c r="B27569" t="str">
        <v>UBND Ủy ban nhân dân xã Trường Yên tỉnh Ninh Bình</v>
      </c>
      <c r="C27569" t="str">
        <v>-</v>
      </c>
      <c r="D27569" t="str">
        <v>-</v>
      </c>
      <c r="E27569" t="str">
        <v>-</v>
      </c>
      <c r="F27569" t="str">
        <v>-</v>
      </c>
      <c r="G27569" t="str">
        <v>-</v>
      </c>
    </row>
    <row r="27570" xml:space="preserve">
      <c r="B27570" t="str" xml:space="preserve">
        <v xml:space="preserve">Công an xã Trọng Con _x000d_
 tỉnh Cao Bằng</v>
      </c>
      <c r="C27570" t="str">
        <v>-</v>
      </c>
      <c r="D27570" t="str">
        <v>-</v>
      </c>
      <c r="E27570" t="str">
        <v/>
      </c>
      <c r="F27570" t="str">
        <v>-</v>
      </c>
      <c r="G27570" t="str">
        <v>-</v>
      </c>
    </row>
    <row r="27571" xml:space="preserve">
      <c r="B27571" t="str" xml:space="preserve">
        <v xml:space="preserve">UBND Ủy ban nhân dân xã Trọng Con _x000d_
 tỉnh Cao Bằng</v>
      </c>
      <c r="C27571" t="str">
        <v>-</v>
      </c>
      <c r="D27571" t="str">
        <v>-</v>
      </c>
      <c r="E27571" t="str">
        <v>-</v>
      </c>
      <c r="F27571" t="str">
        <v>-</v>
      </c>
      <c r="G27571" t="str">
        <v>-</v>
      </c>
    </row>
    <row r="27572">
      <c r="B27572" t="str">
        <v>Công an xã Trực Đạo tỉnh Nam Định</v>
      </c>
      <c r="C27572" t="str">
        <v>-</v>
      </c>
      <c r="D27572" t="str">
        <v>-</v>
      </c>
      <c r="E27572" t="str">
        <v/>
      </c>
      <c r="F27572" t="str">
        <v>-</v>
      </c>
      <c r="G27572" t="str">
        <v>-</v>
      </c>
    </row>
    <row r="27573">
      <c r="B27573" t="str">
        <v>UBND Ủy ban nhân dân xã Trực Đạo tỉnh Nam Định</v>
      </c>
      <c r="C27573" t="str">
        <v>-</v>
      </c>
      <c r="D27573" t="str">
        <v>-</v>
      </c>
      <c r="E27573" t="str">
        <v>-</v>
      </c>
      <c r="F27573" t="str">
        <v>-</v>
      </c>
      <c r="G27573" t="str">
        <v>-</v>
      </c>
    </row>
    <row r="27574" xml:space="preserve">
      <c r="B27574" t="str" xml:space="preserve">
        <v xml:space="preserve">Công an xã Trực Cường _x000d_
 tỉnh Nam Định</v>
      </c>
      <c r="C27574" t="str">
        <v>-</v>
      </c>
      <c r="D27574" t="str">
        <v>-</v>
      </c>
      <c r="E27574" t="str">
        <v/>
      </c>
      <c r="F27574" t="str">
        <v>-</v>
      </c>
      <c r="G27574" t="str">
        <v>-</v>
      </c>
    </row>
    <row r="27575" xml:space="preserve">
      <c r="B27575" t="str" xml:space="preserve">
        <v xml:space="preserve">UBND Ủy ban nhân dân xã Trực Cường _x000d_
 tỉnh Nam Định</v>
      </c>
      <c r="C27575" t="str">
        <v>-</v>
      </c>
      <c r="D27575" t="str">
        <v>-</v>
      </c>
      <c r="E27575" t="str">
        <v>-</v>
      </c>
      <c r="F27575" t="str">
        <v>-</v>
      </c>
      <c r="G27575" t="str">
        <v>-</v>
      </c>
    </row>
    <row r="27576" xml:space="preserve">
      <c r="B27576" t="str" xml:space="preserve">
        <v xml:space="preserve">Công an xã Trực Hùng _x000d_
 tỉnh Nam Định</v>
      </c>
      <c r="C27576" t="str">
        <v>-</v>
      </c>
      <c r="D27576" t="str">
        <v>-</v>
      </c>
      <c r="E27576" t="str">
        <v/>
      </c>
      <c r="F27576" t="str">
        <v>-</v>
      </c>
      <c r="G27576" t="str">
        <v>-</v>
      </c>
    </row>
    <row r="27577" xml:space="preserve">
      <c r="B27577" t="str" xml:space="preserve">
        <v xml:space="preserve">UBND Ủy ban nhân dân xã Trực Hùng _x000d_
 tỉnh Nam Định</v>
      </c>
      <c r="C27577" t="str">
        <v>-</v>
      </c>
      <c r="D27577" t="str">
        <v>-</v>
      </c>
      <c r="E27577" t="str">
        <v>-</v>
      </c>
      <c r="F27577" t="str">
        <v>-</v>
      </c>
      <c r="G27577" t="str">
        <v>-</v>
      </c>
    </row>
    <row r="27578" xml:space="preserve">
      <c r="B27578" t="str" xml:space="preserve">
        <v xml:space="preserve">Công an xã Trực Thanh _x000d_
 tỉnh Nam Định</v>
      </c>
      <c r="C27578" t="str">
        <v>-</v>
      </c>
      <c r="D27578" t="str">
        <v>-</v>
      </c>
      <c r="E27578" t="str">
        <v/>
      </c>
      <c r="F27578" t="str">
        <v>-</v>
      </c>
      <c r="G27578" t="str">
        <v>-</v>
      </c>
    </row>
    <row r="27579" xml:space="preserve">
      <c r="B27579" t="str" xml:space="preserve">
        <v xml:space="preserve">UBND Ủy ban nhân dân xã Trực Thanh _x000d_
 tỉnh Nam Định</v>
      </c>
      <c r="C27579" t="str">
        <v>-</v>
      </c>
      <c r="D27579" t="str">
        <v>-</v>
      </c>
      <c r="E27579" t="str">
        <v>-</v>
      </c>
      <c r="F27579" t="str">
        <v>-</v>
      </c>
      <c r="G27579" t="str">
        <v>-</v>
      </c>
    </row>
    <row r="27580">
      <c r="B27580" t="str">
        <v>Công an xã Triệu Nguyên tỉnh Cao Bằng</v>
      </c>
      <c r="C27580" t="str">
        <v>-</v>
      </c>
      <c r="D27580" t="str">
        <v>-</v>
      </c>
      <c r="E27580" t="str">
        <v/>
      </c>
      <c r="F27580" t="str">
        <v>-</v>
      </c>
      <c r="G27580" t="str">
        <v>-</v>
      </c>
    </row>
    <row r="27581">
      <c r="B27581" t="str">
        <v>UBND Ủy ban nhân dân xã Triệu Nguyên tỉnh Cao Bằng</v>
      </c>
      <c r="C27581" t="str">
        <v>-</v>
      </c>
      <c r="D27581" t="str">
        <v>-</v>
      </c>
      <c r="E27581" t="str">
        <v>-</v>
      </c>
      <c r="F27581" t="str">
        <v>-</v>
      </c>
      <c r="G27581" t="str">
        <v>-</v>
      </c>
    </row>
    <row r="27582" xml:space="preserve">
      <c r="B27582" t="str" xml:space="preserve">
        <v xml:space="preserve">Công an xã Triệu Thuận _x000d_
 tỉnh Thanh Hóa</v>
      </c>
      <c r="C27582" t="str">
        <v>-</v>
      </c>
      <c r="D27582" t="str">
        <v>-</v>
      </c>
      <c r="E27582" t="str">
        <v/>
      </c>
      <c r="F27582" t="str">
        <v>-</v>
      </c>
      <c r="G27582" t="str">
        <v>-</v>
      </c>
    </row>
    <row r="27583" xml:space="preserve">
      <c r="B27583" t="str" xml:space="preserve">
        <v xml:space="preserve">UBND Ủy ban nhân dân xã Triệu Thuận _x000d_
 tỉnh Thanh Hóa</v>
      </c>
      <c r="C27583" t="str">
        <v>-</v>
      </c>
      <c r="D27583" t="str">
        <v>-</v>
      </c>
      <c r="E27583" t="str">
        <v>-</v>
      </c>
      <c r="F27583" t="str">
        <v>-</v>
      </c>
      <c r="G27583" t="str">
        <v>-</v>
      </c>
    </row>
    <row r="27584" xml:space="preserve">
      <c r="B27584" t="str" xml:space="preserve">
        <v xml:space="preserve">Công an xã Triệu Trung _x000d_
 tỉnh Quảng Trị</v>
      </c>
      <c r="C27584" t="str">
        <v>-</v>
      </c>
      <c r="D27584" t="str">
        <v>-</v>
      </c>
      <c r="E27584" t="str">
        <v/>
      </c>
      <c r="F27584" t="str">
        <v>-</v>
      </c>
      <c r="G27584" t="str">
        <v>-</v>
      </c>
    </row>
    <row r="27585" xml:space="preserve">
      <c r="B27585" t="str" xml:space="preserve">
        <v xml:space="preserve">UBND Ủy ban nhân dân xã Triệu Trung _x000d_
 tỉnh Quảng Trị</v>
      </c>
      <c r="C27585" t="str">
        <v>-</v>
      </c>
      <c r="D27585" t="str">
        <v>-</v>
      </c>
      <c r="E27585" t="str">
        <v>-</v>
      </c>
      <c r="F27585" t="str">
        <v>-</v>
      </c>
      <c r="G27585" t="str">
        <v>-</v>
      </c>
    </row>
    <row r="27586">
      <c r="B27586" t="str">
        <v>Công an xã Tri Phương tỉnh Bắc Ninh</v>
      </c>
      <c r="C27586" t="str">
        <v>-</v>
      </c>
      <c r="D27586" t="str">
        <v>-</v>
      </c>
      <c r="E27586" t="str">
        <v/>
      </c>
      <c r="F27586" t="str">
        <v>-</v>
      </c>
      <c r="G27586" t="str">
        <v>-</v>
      </c>
    </row>
    <row r="27587">
      <c r="B27587" t="str">
        <v>UBND Ủy ban nhân dân xã Tri Phương tỉnh Bắc Ninh</v>
      </c>
      <c r="C27587" t="str">
        <v>-</v>
      </c>
      <c r="D27587" t="str">
        <v>-</v>
      </c>
      <c r="E27587" t="str">
        <v>-</v>
      </c>
      <c r="F27587" t="str">
        <v>-</v>
      </c>
      <c r="G27587" t="str">
        <v>-</v>
      </c>
    </row>
    <row r="27588">
      <c r="B27588" t="str">
        <v>Công an xã Trung Hà tỉnh Hà Giang</v>
      </c>
      <c r="C27588" t="str">
        <v>-</v>
      </c>
      <c r="D27588" t="str">
        <v>-</v>
      </c>
      <c r="E27588" t="str">
        <v/>
      </c>
      <c r="F27588" t="str">
        <v>-</v>
      </c>
      <c r="G27588" t="str">
        <v>-</v>
      </c>
    </row>
    <row r="27589">
      <c r="B27589" t="str">
        <v>UBND Ủy ban nhân dân xã Trung Hà tỉnh Hà Giang</v>
      </c>
      <c r="C27589" t="str">
        <v>-</v>
      </c>
      <c r="D27589" t="str">
        <v>-</v>
      </c>
      <c r="E27589" t="str">
        <v>-</v>
      </c>
      <c r="F27589" t="str">
        <v>-</v>
      </c>
      <c r="G27589" t="str">
        <v>-</v>
      </c>
    </row>
    <row r="27590">
      <c r="B27590" t="str">
        <v>Công an xã Trung Lý tỉnh Thanh Hóa</v>
      </c>
      <c r="C27590" t="str">
        <v>-</v>
      </c>
      <c r="D27590" t="str">
        <v>-</v>
      </c>
      <c r="E27590" t="str">
        <v/>
      </c>
      <c r="F27590" t="str">
        <v>-</v>
      </c>
      <c r="G27590" t="str">
        <v>-</v>
      </c>
    </row>
    <row r="27591">
      <c r="B27591" t="str">
        <v>UBND Ủy ban nhân dân xã Trung Lý tỉnh Thanh Hóa</v>
      </c>
      <c r="C27591" t="str">
        <v>-</v>
      </c>
      <c r="D27591" t="str">
        <v>-</v>
      </c>
      <c r="E27591" t="str">
        <v>-</v>
      </c>
      <c r="F27591" t="str">
        <v>-</v>
      </c>
      <c r="G27591" t="str">
        <v>-</v>
      </c>
    </row>
    <row r="27592">
      <c r="B27592" t="str">
        <v>Công an xã Trung Lương tỉnh Thái Nguyên</v>
      </c>
      <c r="C27592" t="str">
        <v>-</v>
      </c>
      <c r="D27592" t="str">
        <v>-</v>
      </c>
      <c r="E27592" t="str">
        <v/>
      </c>
      <c r="F27592" t="str">
        <v>-</v>
      </c>
      <c r="G27592" t="str">
        <v>-</v>
      </c>
    </row>
    <row r="27593">
      <c r="B27593" t="str">
        <v>UBND Ủy ban nhân dân xã Trung Lương tỉnh Thái Nguyên</v>
      </c>
      <c r="C27593" t="str">
        <v>-</v>
      </c>
      <c r="D27593" t="str">
        <v>-</v>
      </c>
      <c r="E27593" t="str">
        <v>-</v>
      </c>
      <c r="F27593" t="str">
        <v>-</v>
      </c>
      <c r="G27593" t="str">
        <v>-</v>
      </c>
    </row>
    <row r="27594">
      <c r="B27594" t="str">
        <v>Công an xã Trung Minh tỉnh Tuyên Quang</v>
      </c>
      <c r="C27594" t="str">
        <v>-</v>
      </c>
      <c r="D27594" t="str">
        <v>-</v>
      </c>
      <c r="E27594" t="str">
        <v/>
      </c>
      <c r="F27594" t="str">
        <v>-</v>
      </c>
      <c r="G27594" t="str">
        <v>-</v>
      </c>
    </row>
    <row r="27595">
      <c r="B27595" t="str">
        <v>UBND Ủy ban nhân dân xã Trung Minh tỉnh Tuyên Quang</v>
      </c>
      <c r="C27595" t="str">
        <v>-</v>
      </c>
      <c r="D27595" t="str">
        <v>-</v>
      </c>
      <c r="E27595" t="str">
        <v>-</v>
      </c>
      <c r="F27595" t="str">
        <v>-</v>
      </c>
      <c r="G27595" t="str">
        <v>-</v>
      </c>
    </row>
    <row r="27596" xml:space="preserve">
      <c r="B27596" t="str" xml:space="preserve">
        <v xml:space="preserve">Công an xã Trung Nghĩa _x000d_
 tỉnh Bắc Ninh</v>
      </c>
      <c r="C27596" t="str">
        <v>-</v>
      </c>
      <c r="D27596" t="str">
        <v>-</v>
      </c>
      <c r="E27596" t="str">
        <v/>
      </c>
      <c r="F27596" t="str">
        <v>-</v>
      </c>
      <c r="G27596" t="str">
        <v>-</v>
      </c>
    </row>
    <row r="27597" xml:space="preserve">
      <c r="B27597" t="str" xml:space="preserve">
        <v xml:space="preserve">UBND Ủy ban nhân dân xã Trung Nghĩa _x000d_
 tỉnh Bắc Ninh</v>
      </c>
      <c r="C27597" t="str">
        <v>-</v>
      </c>
      <c r="D27597" t="str">
        <v>-</v>
      </c>
      <c r="E27597" t="str">
        <v>-</v>
      </c>
      <c r="F27597" t="str">
        <v>-</v>
      </c>
      <c r="G27597" t="str">
        <v>-</v>
      </c>
    </row>
    <row r="27598">
      <c r="B27598" t="str">
        <v>Công an xã Trung Sơn tỉnh Thanh Hóa</v>
      </c>
      <c r="C27598" t="str">
        <v>-</v>
      </c>
      <c r="D27598" t="str">
        <v>-</v>
      </c>
      <c r="E27598" t="str">
        <v/>
      </c>
      <c r="F27598" t="str">
        <v>-</v>
      </c>
      <c r="G27598" t="str">
        <v>-</v>
      </c>
    </row>
    <row r="27599">
      <c r="B27599" t="str">
        <v>UBND Ủy ban nhân dân xã Trung Sơn tỉnh Thanh Hóa</v>
      </c>
      <c r="C27599" t="str">
        <v>-</v>
      </c>
      <c r="D27599" t="str">
        <v>-</v>
      </c>
      <c r="E27599" t="str">
        <v>-</v>
      </c>
      <c r="F27599" t="str">
        <v>-</v>
      </c>
      <c r="G27599" t="str">
        <v>-</v>
      </c>
    </row>
    <row r="27600" xml:space="preserve">
      <c r="B27600" t="str" xml:space="preserve">
        <v xml:space="preserve">Công an xã Trung Thành _x000d_
 tỉnh Thanh Hóa</v>
      </c>
      <c r="C27600" t="str">
        <v>-</v>
      </c>
      <c r="D27600" t="str">
        <v>-</v>
      </c>
      <c r="E27600" t="str">
        <v/>
      </c>
      <c r="F27600" t="str">
        <v>-</v>
      </c>
      <c r="G27600" t="str">
        <v>-</v>
      </c>
    </row>
    <row r="27601" xml:space="preserve">
      <c r="B27601" t="str" xml:space="preserve">
        <v xml:space="preserve">UBND Ủy ban nhân dân xã Trung Thành _x000d_
 tỉnh Thanh Hóa</v>
      </c>
      <c r="C27601" t="str">
        <v>-</v>
      </c>
      <c r="D27601" t="str">
        <v>-</v>
      </c>
      <c r="E27601" t="str">
        <v>-</v>
      </c>
      <c r="F27601" t="str">
        <v>-</v>
      </c>
      <c r="G27601" t="str">
        <v>-</v>
      </c>
    </row>
    <row r="27602">
      <c r="B27602" t="str">
        <v>Công an xã Trung Thượng tỉnh Thanh Hóa</v>
      </c>
      <c r="C27602" t="str">
        <v>-</v>
      </c>
      <c r="D27602" t="str">
        <v>-</v>
      </c>
      <c r="E27602" t="str">
        <v/>
      </c>
      <c r="F27602" t="str">
        <v>-</v>
      </c>
      <c r="G27602" t="str">
        <v>-</v>
      </c>
    </row>
    <row r="27603">
      <c r="B27603" t="str">
        <v>UBND Ủy ban nhân dân xã Trung Thượng tỉnh Thanh Hóa</v>
      </c>
      <c r="C27603" t="str">
        <v>-</v>
      </c>
      <c r="D27603" t="str">
        <v>-</v>
      </c>
      <c r="E27603" t="str">
        <v>-</v>
      </c>
      <c r="F27603" t="str">
        <v>-</v>
      </c>
      <c r="G27603" t="str">
        <v>-</v>
      </c>
    </row>
    <row r="27604" xml:space="preserve">
      <c r="B27604" t="str" xml:space="preserve">
        <v xml:space="preserve">Công an xã Trung Tiến _x000d_
 tỉnh Thanh Hóa</v>
      </c>
      <c r="C27604" t="str">
        <v>-</v>
      </c>
      <c r="D27604" t="str">
        <v>-</v>
      </c>
      <c r="E27604" t="str">
        <v/>
      </c>
      <c r="F27604" t="str">
        <v>-</v>
      </c>
      <c r="G27604" t="str">
        <v>-</v>
      </c>
    </row>
    <row r="27605" xml:space="preserve">
      <c r="B27605" t="str" xml:space="preserve">
        <v xml:space="preserve">UBND Ủy ban nhân dân xã Trung Tiến _x000d_
 tỉnh Thanh Hóa</v>
      </c>
      <c r="C27605" t="str">
        <v>-</v>
      </c>
      <c r="D27605" t="str">
        <v>-</v>
      </c>
      <c r="E27605" t="str">
        <v>-</v>
      </c>
      <c r="F27605" t="str">
        <v>-</v>
      </c>
      <c r="G27605" t="str">
        <v>-</v>
      </c>
    </row>
    <row r="27606">
      <c r="B27606" t="str">
        <v>Công an xã Trung Xuân tỉnh Thanh Hóa</v>
      </c>
      <c r="C27606" t="str">
        <v>-</v>
      </c>
      <c r="D27606" t="str">
        <v>-</v>
      </c>
      <c r="E27606" t="str">
        <v/>
      </c>
      <c r="F27606" t="str">
        <v>-</v>
      </c>
      <c r="G27606" t="str">
        <v>-</v>
      </c>
    </row>
    <row r="27607">
      <c r="B27607" t="str">
        <v>UBND Ủy ban nhân dân xã Trung Xuân tỉnh Thanh Hóa</v>
      </c>
      <c r="C27607" t="str">
        <v>-</v>
      </c>
      <c r="D27607" t="str">
        <v>-</v>
      </c>
      <c r="E27607" t="str">
        <v>-</v>
      </c>
      <c r="F27607" t="str">
        <v>-</v>
      </c>
      <c r="G27607" t="str">
        <v>-</v>
      </c>
    </row>
    <row r="27608" xml:space="preserve">
      <c r="B27608" t="str" xml:space="preserve">
        <v xml:space="preserve">Công an xã Tu Mơ Rông _x000d_
 tỉnh Kon Tum</v>
      </c>
      <c r="C27608" t="str">
        <v>-</v>
      </c>
      <c r="D27608" t="str">
        <v>-</v>
      </c>
      <c r="E27608" t="str">
        <v/>
      </c>
      <c r="F27608" t="str">
        <v>-</v>
      </c>
      <c r="G27608" t="str">
        <v>-</v>
      </c>
    </row>
    <row r="27609" xml:space="preserve">
      <c r="B27609" t="str" xml:space="preserve">
        <v xml:space="preserve">UBND Ủy ban nhân dân xã Tu Mơ Rông _x000d_
 tỉnh Kon Tum</v>
      </c>
      <c r="C27609" t="str">
        <v>-</v>
      </c>
      <c r="D27609" t="str">
        <v>-</v>
      </c>
      <c r="E27609" t="str">
        <v>-</v>
      </c>
      <c r="F27609" t="str">
        <v>-</v>
      </c>
      <c r="G27609" t="str">
        <v>-</v>
      </c>
    </row>
    <row r="27610" xml:space="preserve">
      <c r="B27610" t="str" xml:space="preserve">
        <v xml:space="preserve">Công an xã Tung Chung Phố _x000d_
 tỉnh Lào Cai</v>
      </c>
      <c r="C27610" t="str">
        <v>-</v>
      </c>
      <c r="D27610" t="str">
        <v>-</v>
      </c>
      <c r="E27610" t="str">
        <v/>
      </c>
      <c r="F27610" t="str">
        <v>-</v>
      </c>
      <c r="G27610" t="str">
        <v>-</v>
      </c>
    </row>
    <row r="27611" xml:space="preserve">
      <c r="B27611" t="str" xml:space="preserve">
        <v xml:space="preserve">UBND Ủy ban nhân dân xã Tung Chung Phố _x000d_
 tỉnh Lào Cai</v>
      </c>
      <c r="C27611" t="str">
        <v>-</v>
      </c>
      <c r="D27611" t="str">
        <v>-</v>
      </c>
      <c r="E27611" t="str">
        <v>-</v>
      </c>
      <c r="F27611" t="str">
        <v>-</v>
      </c>
      <c r="G27611" t="str">
        <v>-</v>
      </c>
    </row>
    <row r="27612">
      <c r="B27612" t="str">
        <v>Công an xã Tu Vũ tỉnh Phú Thọ</v>
      </c>
      <c r="C27612" t="str">
        <v>-</v>
      </c>
      <c r="D27612" t="str">
        <v>-</v>
      </c>
      <c r="E27612" t="str">
        <v/>
      </c>
      <c r="F27612" t="str">
        <v>-</v>
      </c>
      <c r="G27612" t="str">
        <v>-</v>
      </c>
    </row>
    <row r="27613">
      <c r="B27613" t="str">
        <v>UBND Ủy ban nhân dân xã Tu Vũ tỉnh Phú Thọ</v>
      </c>
      <c r="C27613" t="str">
        <v>-</v>
      </c>
      <c r="D27613" t="str">
        <v>-</v>
      </c>
      <c r="E27613" t="str">
        <v>-</v>
      </c>
      <c r="F27613" t="str">
        <v>-</v>
      </c>
      <c r="G27613" t="str">
        <v>-</v>
      </c>
    </row>
    <row r="27614" xml:space="preserve">
      <c r="B27614" t="str" xml:space="preserve">
        <v xml:space="preserve">Công an xã Tuy Lộc _x000d_
 tỉnh Thanh Hóa</v>
      </c>
      <c r="C27614" t="str">
        <v>-</v>
      </c>
      <c r="D27614" t="str">
        <v>-</v>
      </c>
      <c r="E27614" t="str">
        <v/>
      </c>
      <c r="F27614" t="str">
        <v>-</v>
      </c>
      <c r="G27614" t="str">
        <v>-</v>
      </c>
    </row>
    <row r="27615" xml:space="preserve">
      <c r="B27615" t="str" xml:space="preserve">
        <v xml:space="preserve">UBND Ủy ban nhân dân xã Tuy Lộc _x000d_
 tỉnh Thanh Hóa</v>
      </c>
      <c r="C27615" t="str">
        <v>-</v>
      </c>
      <c r="D27615" t="str">
        <v>-</v>
      </c>
      <c r="E27615" t="str">
        <v>-</v>
      </c>
      <c r="F27615" t="str">
        <v>-</v>
      </c>
      <c r="G27615" t="str">
        <v>-</v>
      </c>
    </row>
    <row r="27616">
      <c r="B27616" t="str">
        <v>Công an xã Uar  tỉnh Gia Lai</v>
      </c>
      <c r="C27616" t="str">
        <v>-</v>
      </c>
      <c r="D27616" t="str">
        <v>-</v>
      </c>
      <c r="E27616" t="str">
        <v/>
      </c>
      <c r="F27616" t="str">
        <v>-</v>
      </c>
      <c r="G27616" t="str">
        <v>-</v>
      </c>
    </row>
    <row r="27617">
      <c r="B27617" t="str">
        <v>UBND Ủy ban nhân dân xã Uar  tỉnh Gia Lai</v>
      </c>
      <c r="C27617" t="str">
        <v>-</v>
      </c>
      <c r="D27617" t="str">
        <v>-</v>
      </c>
      <c r="E27617" t="str">
        <v>-</v>
      </c>
      <c r="F27617" t="str">
        <v>-</v>
      </c>
      <c r="G27617" t="str">
        <v>-</v>
      </c>
    </row>
    <row r="27618" xml:space="preserve">
      <c r="B27618" t="str" xml:space="preserve">
        <v xml:space="preserve">Công an xã Vân Am _x000d_
 tỉnh Thanh Hóa</v>
      </c>
      <c r="C27618" t="str">
        <v>-</v>
      </c>
      <c r="D27618" t="str">
        <v>-</v>
      </c>
      <c r="E27618" t="str">
        <v/>
      </c>
      <c r="F27618" t="str">
        <v>-</v>
      </c>
      <c r="G27618" t="str">
        <v>-</v>
      </c>
    </row>
    <row r="27619" xml:space="preserve">
      <c r="B27619" t="str" xml:space="preserve">
        <v xml:space="preserve">UBND Ủy ban nhân dân xã Vân Am _x000d_
 tỉnh Thanh Hóa</v>
      </c>
      <c r="C27619" t="str">
        <v>-</v>
      </c>
      <c r="D27619" t="str">
        <v>-</v>
      </c>
      <c r="E27619" t="str">
        <v>-</v>
      </c>
      <c r="F27619" t="str">
        <v>-</v>
      </c>
      <c r="G27619" t="str">
        <v>-</v>
      </c>
    </row>
    <row r="27620">
      <c r="B27620" t="str">
        <v>Công an xã Vô Tranh tỉnh Thái Nguyên</v>
      </c>
      <c r="C27620" t="str">
        <v>-</v>
      </c>
      <c r="D27620" t="str">
        <v>-</v>
      </c>
      <c r="E27620" t="str">
        <v/>
      </c>
      <c r="F27620" t="str">
        <v>-</v>
      </c>
      <c r="G27620" t="str">
        <v>-</v>
      </c>
    </row>
    <row r="27621">
      <c r="B27621" t="str">
        <v>UBND Ủy ban nhân dân xã Vô Tranh tỉnh Thái Nguyên</v>
      </c>
      <c r="C27621" t="str">
        <v>-</v>
      </c>
      <c r="D27621" t="str">
        <v>-</v>
      </c>
      <c r="E27621" t="str">
        <v>-</v>
      </c>
      <c r="F27621" t="str">
        <v>-</v>
      </c>
      <c r="G27621" t="str">
        <v>-</v>
      </c>
    </row>
    <row r="27622" xml:space="preserve">
      <c r="B27622" t="str" xml:space="preserve">
        <v xml:space="preserve">Công an xã Võng La _x000d_
 thành phố Hà Nội</v>
      </c>
      <c r="C27622" t="str">
        <v>-</v>
      </c>
      <c r="D27622" t="str">
        <v>-</v>
      </c>
      <c r="E27622" t="str">
        <v/>
      </c>
      <c r="F27622" t="str">
        <v>-</v>
      </c>
      <c r="G27622" t="str">
        <v>-</v>
      </c>
    </row>
    <row r="27623" xml:space="preserve">
      <c r="B27623" t="str" xml:space="preserve">
        <v xml:space="preserve">UBND Ủy ban nhân dân xã Võng La _x000d_
 thành phố Hà Nội</v>
      </c>
      <c r="C27623" t="str">
        <v>-</v>
      </c>
      <c r="D27623" t="str">
        <v>-</v>
      </c>
      <c r="E27623" t="str">
        <v>-</v>
      </c>
      <c r="F27623" t="str">
        <v>-</v>
      </c>
      <c r="G27623" t="str">
        <v>-</v>
      </c>
    </row>
    <row r="27624" xml:space="preserve">
      <c r="B27624" t="str" xml:space="preserve">
        <v xml:space="preserve">Công an xã Võ Ninh _x000d_
 tỉnh Quảng Bình</v>
      </c>
      <c r="C27624" t="str">
        <v>-</v>
      </c>
      <c r="D27624" t="str">
        <v>-</v>
      </c>
      <c r="E27624" t="str">
        <v/>
      </c>
      <c r="F27624" t="str">
        <v>-</v>
      </c>
      <c r="G27624" t="str">
        <v>-</v>
      </c>
    </row>
    <row r="27625" xml:space="preserve">
      <c r="B27625" t="str" xml:space="preserve">
        <v xml:space="preserve">UBND Ủy ban nhân dân xã Võ Ninh _x000d_
 tỉnh Quảng Bình</v>
      </c>
      <c r="C27625" t="str">
        <v>-</v>
      </c>
      <c r="D27625" t="str">
        <v>-</v>
      </c>
      <c r="E27625" t="str">
        <v>-</v>
      </c>
      <c r="F27625" t="str">
        <v>-</v>
      </c>
      <c r="G27625" t="str">
        <v>-</v>
      </c>
    </row>
    <row r="27626" xml:space="preserve">
      <c r="B27626" t="str" xml:space="preserve">
        <v xml:space="preserve">Công an xã Văn Lý _x000d_
 tỉnh Hà Nam</v>
      </c>
      <c r="C27626" t="str">
        <v>-</v>
      </c>
      <c r="D27626" t="str">
        <v>-</v>
      </c>
      <c r="E27626" t="str">
        <v/>
      </c>
      <c r="F27626" t="str">
        <v>-</v>
      </c>
      <c r="G27626" t="str">
        <v>-</v>
      </c>
    </row>
    <row r="27627" xml:space="preserve">
      <c r="B27627" t="str" xml:space="preserve">
        <v xml:space="preserve">UBND Ủy ban nhân dân xã Văn Lý _x000d_
 tỉnh Hà Nam</v>
      </c>
      <c r="C27627" t="str">
        <v>-</v>
      </c>
      <c r="D27627" t="str">
        <v>-</v>
      </c>
      <c r="E27627" t="str">
        <v>-</v>
      </c>
      <c r="F27627" t="str">
        <v>-</v>
      </c>
      <c r="G27627" t="str">
        <v>-</v>
      </c>
    </row>
    <row r="27628" xml:space="preserve">
      <c r="B27628" t="str" xml:space="preserve">
        <v xml:space="preserve">Công an xã Văn Lang _x000d_
 tỉnh Phú Thọ</v>
      </c>
      <c r="C27628" t="str">
        <v>-</v>
      </c>
      <c r="D27628" t="str">
        <v>-</v>
      </c>
      <c r="E27628" t="str">
        <v/>
      </c>
      <c r="F27628" t="str">
        <v>-</v>
      </c>
      <c r="G27628" t="str">
        <v>-</v>
      </c>
    </row>
    <row r="27629" xml:space="preserve">
      <c r="B27629" t="str" xml:space="preserve">
        <v xml:space="preserve">UBND Ủy ban nhân dân xã Văn Lang _x000d_
 tỉnh Phú Thọ</v>
      </c>
      <c r="C27629" t="str">
        <v>-</v>
      </c>
      <c r="D27629" t="str">
        <v>-</v>
      </c>
      <c r="E27629" t="str">
        <v>-</v>
      </c>
      <c r="F27629" t="str">
        <v>-</v>
      </c>
      <c r="G27629" t="str">
        <v>-</v>
      </c>
    </row>
    <row r="27630" xml:space="preserve">
      <c r="B27630" t="str" xml:space="preserve">
        <v xml:space="preserve">Công an xã Văn Lung _x000d_
 tỉnh Phú Thọ</v>
      </c>
      <c r="C27630" t="str">
        <v>-</v>
      </c>
      <c r="D27630" t="str">
        <v>-</v>
      </c>
      <c r="E27630" t="str">
        <v/>
      </c>
      <c r="F27630" t="str">
        <v>-</v>
      </c>
      <c r="G27630" t="str">
        <v>-</v>
      </c>
    </row>
    <row r="27631" xml:space="preserve">
      <c r="B27631" t="str" xml:space="preserve">
        <v xml:space="preserve">UBND Ủy ban nhân dân xã Văn Lung _x000d_
 tỉnh Phú Thọ</v>
      </c>
      <c r="C27631" t="str">
        <v>-</v>
      </c>
      <c r="D27631" t="str">
        <v>-</v>
      </c>
      <c r="E27631" t="str">
        <v>-</v>
      </c>
      <c r="F27631" t="str">
        <v>-</v>
      </c>
      <c r="G27631" t="str">
        <v>-</v>
      </c>
    </row>
    <row r="27632">
      <c r="B27632" t="str">
        <v>Công an xã Văn Môn tỉnh Bắc Ninh</v>
      </c>
      <c r="C27632" t="str">
        <v>-</v>
      </c>
      <c r="D27632" t="str">
        <v>-</v>
      </c>
      <c r="E27632" t="str">
        <v/>
      </c>
      <c r="F27632" t="str">
        <v>-</v>
      </c>
      <c r="G27632" t="str">
        <v>-</v>
      </c>
    </row>
    <row r="27633">
      <c r="B27633" t="str">
        <v>UBND Ủy ban nhân dân xã Văn Môn tỉnh Bắc Ninh</v>
      </c>
      <c r="C27633" t="str">
        <v>-</v>
      </c>
      <c r="D27633" t="str">
        <v>-</v>
      </c>
      <c r="E27633" t="str">
        <v>-</v>
      </c>
      <c r="F27633" t="str">
        <v>-</v>
      </c>
      <c r="G27633" t="str">
        <v>-</v>
      </c>
    </row>
    <row r="27634">
      <c r="B27634" t="str">
        <v>Công an xã Văn Nghĩa tỉnh Hòa Bình</v>
      </c>
      <c r="C27634" t="str">
        <v>-</v>
      </c>
      <c r="D27634" t="str">
        <v>-</v>
      </c>
      <c r="E27634" t="str">
        <v/>
      </c>
      <c r="F27634" t="str">
        <v>-</v>
      </c>
      <c r="G27634" t="str">
        <v>-</v>
      </c>
    </row>
    <row r="27635">
      <c r="B27635" t="str">
        <v>UBND Ủy ban nhân dân xã Văn Nghĩa tỉnh Hòa Bình</v>
      </c>
      <c r="C27635" t="str">
        <v>-</v>
      </c>
      <c r="D27635" t="str">
        <v>-</v>
      </c>
      <c r="E27635" t="str">
        <v>-</v>
      </c>
      <c r="F27635" t="str">
        <v>-</v>
      </c>
      <c r="G27635" t="str">
        <v>-</v>
      </c>
    </row>
    <row r="27636" xml:space="preserve">
      <c r="B27636" t="str" xml:space="preserve">
        <v xml:space="preserve">Công an xã Văn Nho _x000d_
 tỉnh Thanh Hóa</v>
      </c>
      <c r="C27636" t="str">
        <v>-</v>
      </c>
      <c r="D27636" t="str">
        <v>-</v>
      </c>
      <c r="E27636" t="str">
        <v/>
      </c>
      <c r="F27636" t="str">
        <v>-</v>
      </c>
      <c r="G27636" t="str">
        <v>-</v>
      </c>
    </row>
    <row r="27637" xml:space="preserve">
      <c r="B27637" t="str" xml:space="preserve">
        <v xml:space="preserve">UBND Ủy ban nhân dân xã Văn Nho _x000d_
 tỉnh Thanh Hóa</v>
      </c>
      <c r="C27637" t="str">
        <v>-</v>
      </c>
      <c r="D27637" t="str">
        <v>-</v>
      </c>
      <c r="E27637" t="str">
        <v>-</v>
      </c>
      <c r="F27637" t="str">
        <v>-</v>
      </c>
      <c r="G27637" t="str">
        <v>-</v>
      </c>
    </row>
    <row r="27638">
      <c r="B27638" t="str">
        <v>Công an xã Văn Nhuệ  tỉnh Hưng Yên</v>
      </c>
      <c r="C27638" t="str">
        <v>-</v>
      </c>
      <c r="D27638" t="str">
        <v>-</v>
      </c>
      <c r="E27638" t="str">
        <v/>
      </c>
      <c r="F27638" t="str">
        <v>-</v>
      </c>
      <c r="G27638" t="str">
        <v>-</v>
      </c>
    </row>
    <row r="27639">
      <c r="B27639" t="str">
        <v>UBND Ủy ban nhân dân xã Văn Nhuệ  tỉnh Hưng Yên</v>
      </c>
      <c r="C27639" t="str">
        <v>-</v>
      </c>
      <c r="D27639" t="str">
        <v>-</v>
      </c>
      <c r="E27639" t="str">
        <v>-</v>
      </c>
      <c r="F27639" t="str">
        <v>-</v>
      </c>
      <c r="G27639" t="str">
        <v>-</v>
      </c>
    </row>
    <row r="27640">
      <c r="B27640" t="str">
        <v>Công an xã Văn Phú  tỉnh Yên Bái</v>
      </c>
      <c r="C27640" t="str">
        <v>-</v>
      </c>
      <c r="D27640" t="str">
        <v>-</v>
      </c>
      <c r="E27640" t="str">
        <v/>
      </c>
      <c r="F27640" t="str">
        <v>-</v>
      </c>
      <c r="G27640" t="str">
        <v>-</v>
      </c>
    </row>
    <row r="27641">
      <c r="B27641" t="str">
        <v>UBND Ủy ban nhân dân xã Văn Phú  tỉnh Yên Bái</v>
      </c>
      <c r="C27641" t="str">
        <v>-</v>
      </c>
      <c r="D27641" t="str">
        <v>-</v>
      </c>
      <c r="E27641" t="str">
        <v>-</v>
      </c>
      <c r="F27641" t="str">
        <v>-</v>
      </c>
      <c r="G27641" t="str">
        <v>-</v>
      </c>
    </row>
    <row r="27642">
      <c r="B27642" t="str">
        <v>Công an xã Văn Sơn tỉnh Lạng Sơn</v>
      </c>
      <c r="C27642" t="str">
        <v>-</v>
      </c>
      <c r="D27642" t="str">
        <v>-</v>
      </c>
      <c r="E27642" t="str">
        <v/>
      </c>
      <c r="F27642" t="str">
        <v>-</v>
      </c>
      <c r="G27642" t="str">
        <v>-</v>
      </c>
    </row>
    <row r="27643">
      <c r="B27643" t="str">
        <v>UBND Ủy ban nhân dân xã Văn Sơn tỉnh Lạng Sơn</v>
      </c>
      <c r="C27643" t="str">
        <v>-</v>
      </c>
      <c r="D27643" t="str">
        <v>-</v>
      </c>
      <c r="E27643" t="str">
        <v>-</v>
      </c>
      <c r="F27643" t="str">
        <v>-</v>
      </c>
      <c r="G27643" t="str">
        <v>-</v>
      </c>
    </row>
    <row r="27644" xml:space="preserve">
      <c r="B27644" t="str" xml:space="preserve">
        <v xml:space="preserve">Công an xã Văn Thành _x000d_
 tỉnh Khánh Hòa</v>
      </c>
      <c r="C27644" t="str">
        <v>-</v>
      </c>
      <c r="D27644" t="str">
        <v>-</v>
      </c>
      <c r="E27644" t="str">
        <v/>
      </c>
      <c r="F27644" t="str">
        <v>-</v>
      </c>
      <c r="G27644" t="str">
        <v>-</v>
      </c>
    </row>
    <row r="27645" xml:space="preserve">
      <c r="B27645" t="str" xml:space="preserve">
        <v xml:space="preserve">UBND Ủy ban nhân dân xã Văn Thành _x000d_
 tỉnh Khánh Hòa</v>
      </c>
      <c r="C27645" t="str">
        <v>-</v>
      </c>
      <c r="D27645" t="str">
        <v>-</v>
      </c>
      <c r="E27645" t="str">
        <v>-</v>
      </c>
      <c r="F27645" t="str">
        <v>-</v>
      </c>
      <c r="G27645" t="str">
        <v>-</v>
      </c>
    </row>
    <row r="27646">
      <c r="B27646" t="str">
        <v>Công an xã Văn Vũ tỉnh Bắc Kạn</v>
      </c>
      <c r="C27646" t="str">
        <v>-</v>
      </c>
      <c r="D27646" t="str">
        <v>-</v>
      </c>
      <c r="E27646" t="str">
        <v/>
      </c>
      <c r="F27646" t="str">
        <v>-</v>
      </c>
      <c r="G27646" t="str">
        <v>-</v>
      </c>
    </row>
    <row r="27647">
      <c r="B27647" t="str">
        <v>UBND Ủy ban nhân dân xã Văn Vũ tỉnh Bắc Kạn</v>
      </c>
      <c r="C27647" t="str">
        <v>-</v>
      </c>
      <c r="D27647" t="str">
        <v>-</v>
      </c>
      <c r="E27647" t="str">
        <v>-</v>
      </c>
      <c r="F27647" t="str">
        <v>-</v>
      </c>
      <c r="G27647" t="str">
        <v>-</v>
      </c>
    </row>
    <row r="27648" xml:space="preserve">
      <c r="B27648" t="str" xml:space="preserve">
        <v xml:space="preserve">Công an xã văn xá _x000d_
 tỉnh Hà Nam</v>
      </c>
      <c r="C27648" t="str">
        <v>-</v>
      </c>
      <c r="D27648" t="str">
        <v>-</v>
      </c>
      <c r="E27648" t="str">
        <v/>
      </c>
      <c r="F27648" t="str">
        <v>-</v>
      </c>
      <c r="G27648" t="str">
        <v>-</v>
      </c>
    </row>
    <row r="27649" xml:space="preserve">
      <c r="B27649" t="str" xml:space="preserve">
        <v xml:space="preserve">UBND Ủy ban nhân dân xã văn xá _x000d_
 tỉnh Hà Nam</v>
      </c>
      <c r="C27649" t="str">
        <v>-</v>
      </c>
      <c r="D27649" t="str">
        <v>-</v>
      </c>
      <c r="E27649" t="str">
        <v>-</v>
      </c>
      <c r="F27649" t="str">
        <v>-</v>
      </c>
      <c r="G27649" t="str">
        <v>-</v>
      </c>
    </row>
    <row r="27650" xml:space="preserve">
      <c r="B27650" t="str" xml:space="preserve">
        <v xml:space="preserve">Công an xã Vĩnh An _x000d_
 tỉnh Bến Tre</v>
      </c>
      <c r="C27650" t="str">
        <v>-</v>
      </c>
      <c r="D27650" t="str">
        <v>-</v>
      </c>
      <c r="E27650" t="str">
        <v/>
      </c>
      <c r="F27650" t="str">
        <v>-</v>
      </c>
      <c r="G27650" t="str">
        <v>-</v>
      </c>
    </row>
    <row r="27651" xml:space="preserve">
      <c r="B27651" t="str" xml:space="preserve">
        <v xml:space="preserve">UBND Ủy ban nhân dân xã Vĩnh An _x000d_
 tỉnh Bến Tre</v>
      </c>
      <c r="C27651" t="str">
        <v>-</v>
      </c>
      <c r="D27651" t="str">
        <v>-</v>
      </c>
      <c r="E27651" t="str">
        <v>-</v>
      </c>
      <c r="F27651" t="str">
        <v>-</v>
      </c>
      <c r="G27651" t="str">
        <v>-</v>
      </c>
    </row>
    <row r="27652" xml:space="preserve">
      <c r="B27652" t="str" xml:space="preserve">
        <v xml:space="preserve">Công an xã Vĩnh An _x000d_
 tỉnh Bến Tre</v>
      </c>
      <c r="C27652" t="str">
        <v>-</v>
      </c>
      <c r="D27652" t="str">
        <v>-</v>
      </c>
      <c r="E27652" t="str">
        <v/>
      </c>
      <c r="F27652" t="str">
        <v>-</v>
      </c>
      <c r="G27652" t="str">
        <v>-</v>
      </c>
    </row>
    <row r="27653" xml:space="preserve">
      <c r="B27653" t="str" xml:space="preserve">
        <v xml:space="preserve">UBND Ủy ban nhân dân xã Vĩnh An _x000d_
 tỉnh Bến Tre</v>
      </c>
      <c r="C27653" t="str">
        <v>-</v>
      </c>
      <c r="D27653" t="str">
        <v>-</v>
      </c>
      <c r="E27653" t="str">
        <v>-</v>
      </c>
      <c r="F27653" t="str">
        <v>-</v>
      </c>
      <c r="G27653" t="str">
        <v>-</v>
      </c>
    </row>
    <row r="27654">
      <c r="B27654" t="str">
        <v>Công an xã Vĩnh Bình tỉnh Bến Tre</v>
      </c>
      <c r="C27654" t="str">
        <v>-</v>
      </c>
      <c r="D27654" t="str">
        <v>-</v>
      </c>
      <c r="E27654" t="str">
        <v/>
      </c>
      <c r="F27654" t="str">
        <v>-</v>
      </c>
      <c r="G27654" t="str">
        <v>-</v>
      </c>
    </row>
    <row r="27655">
      <c r="B27655" t="str">
        <v>UBND Ủy ban nhân dân xã Vĩnh Bình tỉnh Bến Tre</v>
      </c>
      <c r="C27655" t="str">
        <v>-</v>
      </c>
      <c r="D27655" t="str">
        <v>-</v>
      </c>
      <c r="E27655" t="str">
        <v>-</v>
      </c>
      <c r="F27655" t="str">
        <v>-</v>
      </c>
      <c r="G27655" t="str">
        <v>-</v>
      </c>
    </row>
    <row r="27656" xml:space="preserve">
      <c r="B27656" t="str" xml:space="preserve">
        <v xml:space="preserve">Công an xã Vĩnh Chấp _x000d_
 tỉnh Quảng Trị</v>
      </c>
      <c r="C27656" t="str">
        <v>-</v>
      </c>
      <c r="D27656" t="str">
        <v>-</v>
      </c>
      <c r="E27656" t="str">
        <v/>
      </c>
      <c r="F27656" t="str">
        <v>-</v>
      </c>
      <c r="G27656" t="str">
        <v>-</v>
      </c>
    </row>
    <row r="27657" xml:space="preserve">
      <c r="B27657" t="str" xml:space="preserve">
        <v xml:space="preserve">UBND Ủy ban nhân dân xã Vĩnh Chấp _x000d_
 tỉnh Quảng Trị</v>
      </c>
      <c r="C27657" t="str">
        <v>-</v>
      </c>
      <c r="D27657" t="str">
        <v>-</v>
      </c>
      <c r="E27657" t="str">
        <v>-</v>
      </c>
      <c r="F27657" t="str">
        <v>-</v>
      </c>
      <c r="G27657" t="str">
        <v>-</v>
      </c>
    </row>
    <row r="27658" xml:space="preserve">
      <c r="B27658" t="str" xml:space="preserve">
        <v xml:space="preserve">Công an xã Vĩnh Giang _x000d_
 tỉnh Quảng Trị</v>
      </c>
      <c r="C27658" t="str">
        <v>-</v>
      </c>
      <c r="D27658" t="str">
        <v>-</v>
      </c>
      <c r="E27658" t="str">
        <v/>
      </c>
      <c r="F27658" t="str">
        <v>-</v>
      </c>
      <c r="G27658" t="str">
        <v>-</v>
      </c>
    </row>
    <row r="27659" xml:space="preserve">
      <c r="B27659" t="str" xml:space="preserve">
        <v xml:space="preserve">UBND Ủy ban nhân dân xã Vĩnh Giang _x000d_
 tỉnh Quảng Trị</v>
      </c>
      <c r="C27659" t="str">
        <v>-</v>
      </c>
      <c r="D27659" t="str">
        <v>-</v>
      </c>
      <c r="E27659" t="str">
        <v>-</v>
      </c>
      <c r="F27659" t="str">
        <v>-</v>
      </c>
      <c r="G27659" t="str">
        <v>-</v>
      </c>
    </row>
    <row r="27660">
      <c r="B27660" t="str">
        <v>Công an xã Vĩnh Hòa tỉnh Bến Tre</v>
      </c>
      <c r="C27660" t="str">
        <v>-</v>
      </c>
      <c r="D27660" t="str">
        <v>-</v>
      </c>
      <c r="E27660" t="str">
        <v/>
      </c>
      <c r="F27660" t="str">
        <v>-</v>
      </c>
      <c r="G27660" t="str">
        <v>-</v>
      </c>
    </row>
    <row r="27661">
      <c r="B27661" t="str">
        <v>UBND Ủy ban nhân dân xã Vĩnh Hòa tỉnh Bến Tre</v>
      </c>
      <c r="C27661" t="str">
        <v>-</v>
      </c>
      <c r="D27661" t="str">
        <v>-</v>
      </c>
      <c r="E27661" t="str">
        <v>-</v>
      </c>
      <c r="F27661" t="str">
        <v>-</v>
      </c>
      <c r="G27661" t="str">
        <v>-</v>
      </c>
    </row>
    <row r="27662">
      <c r="B27662" t="str">
        <v>Công an xã Vĩnh Hòa tỉnh Bình Định</v>
      </c>
      <c r="C27662" t="str">
        <v>-</v>
      </c>
      <c r="D27662" t="str">
        <v>-</v>
      </c>
      <c r="E27662" t="str">
        <v/>
      </c>
      <c r="F27662" t="str">
        <v>-</v>
      </c>
      <c r="G27662" t="str">
        <v>-</v>
      </c>
    </row>
    <row r="27663">
      <c r="B27663" t="str">
        <v>UBND Ủy ban nhân dân xã Vĩnh Hòa tỉnh Bình Định</v>
      </c>
      <c r="C27663" t="str">
        <v>-</v>
      </c>
      <c r="D27663" t="str">
        <v>-</v>
      </c>
      <c r="E27663" t="str">
        <v>-</v>
      </c>
      <c r="F27663" t="str">
        <v>-</v>
      </c>
      <c r="G27663" t="str">
        <v>-</v>
      </c>
    </row>
    <row r="27664">
      <c r="B27664" t="str">
        <v>Công an xã Vĩnh Hồng tỉnh Hải Dương</v>
      </c>
      <c r="C27664" t="str">
        <v>-</v>
      </c>
      <c r="D27664" t="str">
        <v>-</v>
      </c>
      <c r="E27664" t="str">
        <v/>
      </c>
      <c r="F27664" t="str">
        <v>-</v>
      </c>
      <c r="G27664" t="str">
        <v>-</v>
      </c>
    </row>
    <row r="27665">
      <c r="B27665" t="str">
        <v>UBND Ủy ban nhân dân xã Vĩnh Hồng tỉnh Hải Dương</v>
      </c>
      <c r="C27665" t="str">
        <v>-</v>
      </c>
      <c r="D27665" t="str">
        <v>-</v>
      </c>
      <c r="E27665" t="str">
        <v>-</v>
      </c>
      <c r="F27665" t="str">
        <v>-</v>
      </c>
      <c r="G27665" t="str">
        <v>-</v>
      </c>
    </row>
    <row r="27666" xml:space="preserve">
      <c r="B27666" t="str" xml:space="preserve">
        <v xml:space="preserve">Công an xã Vĩnh Khê _x000d_
 tỉnh Quảng Trị</v>
      </c>
      <c r="C27666" t="str">
        <v>-</v>
      </c>
      <c r="D27666" t="str">
        <v>-</v>
      </c>
      <c r="E27666" t="str">
        <v/>
      </c>
      <c r="F27666" t="str">
        <v>-</v>
      </c>
      <c r="G27666" t="str">
        <v>-</v>
      </c>
    </row>
    <row r="27667" xml:space="preserve">
      <c r="B27667" t="str" xml:space="preserve">
        <v xml:space="preserve">UBND Ủy ban nhân dân xã Vĩnh Khê _x000d_
 tỉnh Quảng Trị</v>
      </c>
      <c r="C27667" t="str">
        <v>-</v>
      </c>
      <c r="D27667" t="str">
        <v>-</v>
      </c>
      <c r="E27667" t="str">
        <v>-</v>
      </c>
      <c r="F27667" t="str">
        <v>-</v>
      </c>
      <c r="G27667" t="str">
        <v>-</v>
      </c>
    </row>
    <row r="27668" xml:space="preserve">
      <c r="B27668" t="str" xml:space="preserve">
        <v xml:space="preserve">Công an xã Vĩnh Kim _x000d_
 tỉnh Bình Định</v>
      </c>
      <c r="C27668" t="str">
        <v>-</v>
      </c>
      <c r="D27668" t="str">
        <v>-</v>
      </c>
      <c r="E27668" t="str">
        <v/>
      </c>
      <c r="F27668" t="str">
        <v>-</v>
      </c>
      <c r="G27668" t="str">
        <v>-</v>
      </c>
    </row>
    <row r="27669" xml:space="preserve">
      <c r="B27669" t="str" xml:space="preserve">
        <v xml:space="preserve">UBND Ủy ban nhân dân xã Vĩnh Kim _x000d_
 tỉnh Bình Định</v>
      </c>
      <c r="C27669" t="str">
        <v>-</v>
      </c>
      <c r="D27669" t="str">
        <v>-</v>
      </c>
      <c r="E27669" t="str">
        <v>-</v>
      </c>
      <c r="F27669" t="str">
        <v>-</v>
      </c>
      <c r="G27669" t="str">
        <v>-</v>
      </c>
    </row>
    <row r="27670" xml:space="preserve">
      <c r="B27670" t="str" xml:space="preserve">
        <v xml:space="preserve">Công an xã Vĩnh Lạc _x000d_
 tỉnh Bình Định</v>
      </c>
      <c r="C27670" t="str">
        <v>-</v>
      </c>
      <c r="D27670" t="str">
        <v>-</v>
      </c>
      <c r="E27670" t="str">
        <v/>
      </c>
      <c r="F27670" t="str">
        <v>-</v>
      </c>
      <c r="G27670" t="str">
        <v>-</v>
      </c>
    </row>
    <row r="27671" xml:space="preserve">
      <c r="B27671" t="str" xml:space="preserve">
        <v xml:space="preserve">UBND Ủy ban nhân dân xã Vĩnh Lạc _x000d_
 tỉnh Bình Định</v>
      </c>
      <c r="C27671" t="str">
        <v>-</v>
      </c>
      <c r="D27671" t="str">
        <v>-</v>
      </c>
      <c r="E27671" t="str">
        <v>-</v>
      </c>
      <c r="F27671" t="str">
        <v>-</v>
      </c>
      <c r="G27671" t="str">
        <v>-</v>
      </c>
    </row>
    <row r="27672" xml:space="preserve">
      <c r="B27672" t="str" xml:space="preserve">
        <v xml:space="preserve"> _x000d_
Công an xã Vĩnh Lợi tỉnh Tuyên Quang</v>
      </c>
    </row>
    <row r="27673">
      <c r="B27673" t="str">
        <v>UBND Ủy ban nhân dânan xã Vĩnh Lợi tỉnh Tuyên Quang</v>
      </c>
      <c r="C27673" t="str">
        <v>-</v>
      </c>
      <c r="D27673" t="str">
        <v>-</v>
      </c>
      <c r="E27673" t="str">
        <v>-</v>
      </c>
      <c r="F27673" t="str">
        <v>-</v>
      </c>
      <c r="G27673" t="str">
        <v>-</v>
      </c>
    </row>
    <row r="27674" xml:space="preserve">
      <c r="B27674" t="str" xml:space="preserve">
        <v xml:space="preserve">Công an xã Vĩnh Long _x000d_
 tỉnh Quảng Trị</v>
      </c>
      <c r="C27674" t="str">
        <v>-</v>
      </c>
      <c r="D27674" t="str">
        <v>-</v>
      </c>
      <c r="E27674" t="str">
        <v/>
      </c>
      <c r="F27674" t="str">
        <v>-</v>
      </c>
      <c r="G27674" t="str">
        <v>-</v>
      </c>
    </row>
    <row r="27675" xml:space="preserve">
      <c r="B27675" t="str" xml:space="preserve">
        <v xml:space="preserve">UBND Ủy ban nhân dân xã Vĩnh Long _x000d_
 tỉnh Quảng Trị</v>
      </c>
      <c r="C27675" t="str">
        <v>-</v>
      </c>
      <c r="D27675" t="str">
        <v>-</v>
      </c>
      <c r="E27675" t="str">
        <v>-</v>
      </c>
      <c r="F27675" t="str">
        <v>-</v>
      </c>
      <c r="G27675" t="str">
        <v>-</v>
      </c>
    </row>
    <row r="27676" xml:space="preserve">
      <c r="B27676" t="str" xml:space="preserve">
        <v xml:space="preserve">Công an xã Vĩnh Long _x000d_
 tỉnh Vĩnh Long</v>
      </c>
      <c r="C27676" t="str">
        <v>-</v>
      </c>
      <c r="D27676" t="str">
        <v>-</v>
      </c>
      <c r="E27676" t="str">
        <v/>
      </c>
      <c r="F27676" t="str">
        <v>-</v>
      </c>
      <c r="G27676" t="str">
        <v>-</v>
      </c>
    </row>
    <row r="27677" xml:space="preserve">
      <c r="B27677" t="str" xml:space="preserve">
        <v xml:space="preserve">UBND Ủy ban nhân dân xã Vĩnh Long _x000d_
 tỉnh Vĩnh Long</v>
      </c>
      <c r="C27677" t="str">
        <v>-</v>
      </c>
      <c r="D27677" t="str">
        <v>-</v>
      </c>
      <c r="E27677" t="str">
        <v>-</v>
      </c>
      <c r="F27677" t="str">
        <v>-</v>
      </c>
      <c r="G27677" t="str">
        <v>-</v>
      </c>
    </row>
    <row r="27678">
      <c r="B27678" t="str">
        <v>Công an xã Vĩnh Ninh tỉnh Quảng Bình</v>
      </c>
      <c r="C27678" t="str">
        <v>-</v>
      </c>
      <c r="D27678" t="str">
        <v>-</v>
      </c>
      <c r="E27678" t="str">
        <v/>
      </c>
      <c r="F27678" t="str">
        <v>-</v>
      </c>
      <c r="G27678" t="str">
        <v>-</v>
      </c>
    </row>
    <row r="27679">
      <c r="B27679" t="str">
        <v>UBND Ủy ban nhân dân xã Vĩnh Ninh tỉnh Quảng Bình</v>
      </c>
      <c r="C27679" t="str">
        <v>-</v>
      </c>
      <c r="D27679" t="str">
        <v>-</v>
      </c>
      <c r="E27679" t="str">
        <v>-</v>
      </c>
      <c r="F27679" t="str">
        <v>-</v>
      </c>
      <c r="G27679" t="str">
        <v>-</v>
      </c>
    </row>
    <row r="27680" xml:space="preserve">
      <c r="B27680" t="str" xml:space="preserve">
        <v xml:space="preserve">Công an xã Vĩnh Phong _x000d_
 tỉnh Kiên Giang</v>
      </c>
      <c r="C27680" t="str">
        <v>-</v>
      </c>
      <c r="D27680" t="str">
        <v>-</v>
      </c>
      <c r="E27680" t="str">
        <v/>
      </c>
      <c r="F27680" t="str">
        <v>-</v>
      </c>
      <c r="G27680" t="str">
        <v>-</v>
      </c>
    </row>
    <row r="27681" xml:space="preserve">
      <c r="B27681" t="str" xml:space="preserve">
        <v xml:space="preserve">UBND Ủy ban nhân dân xã Vĩnh Phong _x000d_
 tỉnh Kiên Giang</v>
      </c>
      <c r="C27681" t="str">
        <v>-</v>
      </c>
      <c r="D27681" t="str">
        <v>-</v>
      </c>
      <c r="E27681" t="str">
        <v>-</v>
      </c>
      <c r="F27681" t="str">
        <v>-</v>
      </c>
      <c r="G27681" t="str">
        <v>-</v>
      </c>
    </row>
    <row r="27682" xml:space="preserve">
      <c r="B27682" t="str" xml:space="preserve">
        <v xml:space="preserve">Công an xã Vĩnh Tân _x000d_
 tỉnh Quảng Bình</v>
      </c>
      <c r="C27682" t="str">
        <v>-</v>
      </c>
      <c r="D27682" t="str">
        <v>-</v>
      </c>
      <c r="E27682" t="str">
        <v/>
      </c>
      <c r="F27682" t="str">
        <v>-</v>
      </c>
      <c r="G27682" t="str">
        <v>-</v>
      </c>
    </row>
    <row r="27683" xml:space="preserve">
      <c r="B27683" t="str" xml:space="preserve">
        <v xml:space="preserve">UBND Ủy ban nhân dân xã Vĩnh Tân _x000d_
 tỉnh Quảng Bình</v>
      </c>
      <c r="C27683" t="str">
        <v>-</v>
      </c>
      <c r="D27683" t="str">
        <v>-</v>
      </c>
      <c r="E27683" t="str">
        <v>-</v>
      </c>
      <c r="F27683" t="str">
        <v>-</v>
      </c>
      <c r="G27683" t="str">
        <v>-</v>
      </c>
    </row>
    <row r="27684">
      <c r="B27684" t="str">
        <v>Công an xã Vĩnh Thành tỉnh Bến Tre</v>
      </c>
      <c r="C27684" t="str">
        <v>-</v>
      </c>
      <c r="D27684" t="str">
        <v>-</v>
      </c>
      <c r="E27684" t="str">
        <v/>
      </c>
      <c r="F27684" t="str">
        <v>-</v>
      </c>
      <c r="G27684" t="str">
        <v>-</v>
      </c>
    </row>
    <row r="27685">
      <c r="B27685" t="str">
        <v>UBND Ủy ban nhân dân xã Vĩnh Thành tỉnh Bến Tre</v>
      </c>
      <c r="C27685" t="str">
        <v>-</v>
      </c>
      <c r="D27685" t="str">
        <v>-</v>
      </c>
      <c r="E27685" t="str">
        <v>-</v>
      </c>
      <c r="F27685" t="str">
        <v>-</v>
      </c>
      <c r="G27685" t="str">
        <v>-</v>
      </c>
    </row>
    <row r="27686" xml:space="preserve">
      <c r="B27686" t="str" xml:space="preserve">
        <v xml:space="preserve">Công an xã Vĩnh Thịnh _x000d_
 tỉnh Thanh Hóa</v>
      </c>
      <c r="C27686" t="str">
        <v>-</v>
      </c>
      <c r="D27686" t="str">
        <v>-</v>
      </c>
      <c r="E27686" t="str">
        <v/>
      </c>
      <c r="F27686" t="str">
        <v>-</v>
      </c>
      <c r="G27686" t="str">
        <v>-</v>
      </c>
    </row>
    <row r="27687" xml:space="preserve">
      <c r="B27687" t="str" xml:space="preserve">
        <v xml:space="preserve">UBND Ủy ban nhân dân xã Vĩnh Thịnh _x000d_
 tỉnh Thanh Hóa</v>
      </c>
      <c r="C27687" t="str">
        <v>-</v>
      </c>
      <c r="D27687" t="str">
        <v>-</v>
      </c>
      <c r="E27687" t="str">
        <v>-</v>
      </c>
      <c r="F27687" t="str">
        <v>-</v>
      </c>
      <c r="G27687" t="str">
        <v>-</v>
      </c>
    </row>
    <row r="27688" xml:space="preserve">
      <c r="B27688" t="str" xml:space="preserve">
        <v xml:space="preserve">Công an xã Vĩnh Thịnh _x000d_
 tỉnh Bình Định</v>
      </c>
      <c r="C27688" t="str">
        <v>-</v>
      </c>
      <c r="D27688" t="str">
        <v>-</v>
      </c>
      <c r="E27688" t="str">
        <v/>
      </c>
      <c r="F27688" t="str">
        <v>-</v>
      </c>
      <c r="G27688" t="str">
        <v>-</v>
      </c>
    </row>
    <row r="27689" xml:space="preserve">
      <c r="B27689" t="str" xml:space="preserve">
        <v xml:space="preserve">UBND Ủy ban nhân dân xã Vĩnh Thịnh _x000d_
 tỉnh Bình Định</v>
      </c>
      <c r="C27689" t="str">
        <v>-</v>
      </c>
      <c r="D27689" t="str">
        <v>-</v>
      </c>
      <c r="E27689" t="str">
        <v>-</v>
      </c>
      <c r="F27689" t="str">
        <v>-</v>
      </c>
      <c r="G27689" t="str">
        <v>-</v>
      </c>
    </row>
    <row r="27690" xml:space="preserve">
      <c r="B27690" t="str" xml:space="preserve">
        <v xml:space="preserve">Công an xã Vĩnh Thanh _x000d_
 tỉnh Bạc Liêu</v>
      </c>
      <c r="C27690" t="str">
        <v>-</v>
      </c>
      <c r="D27690" t="str">
        <v>-</v>
      </c>
      <c r="E27690" t="str">
        <v/>
      </c>
      <c r="F27690" t="str">
        <v>-</v>
      </c>
      <c r="G27690" t="str">
        <v>-</v>
      </c>
    </row>
    <row r="27691" xml:space="preserve">
      <c r="B27691" t="str" xml:space="preserve">
        <v xml:space="preserve">UBND Ủy ban nhân dân xã Vĩnh Thanh _x000d_
 tỉnh Bạc Liêu</v>
      </c>
      <c r="C27691" t="str">
        <v>-</v>
      </c>
      <c r="D27691" t="str">
        <v>-</v>
      </c>
      <c r="E27691" t="str">
        <v>-</v>
      </c>
      <c r="F27691" t="str">
        <v>-</v>
      </c>
      <c r="G27691" t="str">
        <v>-</v>
      </c>
    </row>
    <row r="27692">
      <c r="B27692" t="str">
        <v>Công an xã Vĩnh Trạch Đông  tỉnh Bạc Liêu</v>
      </c>
      <c r="C27692" t="str">
        <v>-</v>
      </c>
      <c r="D27692" t="str">
        <v>-</v>
      </c>
      <c r="E27692" t="str">
        <v/>
      </c>
      <c r="F27692" t="str">
        <v>-</v>
      </c>
      <c r="G27692" t="str">
        <v>-</v>
      </c>
    </row>
    <row r="27693">
      <c r="B27693" t="str">
        <v>UBND Ủy ban nhân dân xã Vĩnh Trạch Đông  tỉnh Bạc Liêu</v>
      </c>
      <c r="C27693" t="str">
        <v>-</v>
      </c>
      <c r="D27693" t="str">
        <v>-</v>
      </c>
      <c r="E27693" t="str">
        <v>-</v>
      </c>
      <c r="F27693" t="str">
        <v>-</v>
      </c>
      <c r="G27693" t="str">
        <v>-</v>
      </c>
    </row>
    <row r="27694" xml:space="preserve">
      <c r="B27694" t="str" xml:space="preserve">
        <v xml:space="preserve"> Công an xã Vũ Đài_x000d_
 tỉnh Thái Bình</v>
      </c>
    </row>
    <row r="27695" xml:space="preserve">
      <c r="B27695" t="str" xml:space="preserve">
        <v xml:space="preserve">UBND Ủy ban nhân dânn xã Vũ Đài_x000d_
 tỉnh Thái Bình</v>
      </c>
      <c r="C27695" t="str">
        <v>-</v>
      </c>
      <c r="D27695" t="str">
        <v>-</v>
      </c>
      <c r="E27695" t="str">
        <v>-</v>
      </c>
      <c r="F27695" t="str">
        <v>-</v>
      </c>
      <c r="G27695" t="str">
        <v>-</v>
      </c>
    </row>
    <row r="27696">
      <c r="B27696" t="str">
        <v>Công an xã Vũ Bình  tỉnh Hòa Bình</v>
      </c>
      <c r="C27696" t="str">
        <v>-</v>
      </c>
      <c r="D27696" t="str">
        <v>-</v>
      </c>
      <c r="E27696" t="str">
        <v/>
      </c>
      <c r="F27696" t="str">
        <v>-</v>
      </c>
      <c r="G27696" t="str">
        <v>-</v>
      </c>
    </row>
    <row r="27697">
      <c r="B27697" t="str">
        <v>UBND Ủy ban nhân dân xã Vũ Bình  tỉnh Hòa Bình</v>
      </c>
      <c r="C27697" t="str">
        <v>-</v>
      </c>
      <c r="D27697" t="str">
        <v>-</v>
      </c>
      <c r="E27697" t="str">
        <v>-</v>
      </c>
      <c r="F27697" t="str">
        <v>-</v>
      </c>
      <c r="G27697" t="str">
        <v>-</v>
      </c>
    </row>
    <row r="27698">
      <c r="B27698" t="str">
        <v>Công an xã Vũ Minh tỉnh Cao Bằng</v>
      </c>
      <c r="C27698" t="str">
        <v>-</v>
      </c>
      <c r="D27698" t="str">
        <v>-</v>
      </c>
      <c r="E27698" t="str">
        <v/>
      </c>
      <c r="F27698" t="str">
        <v>-</v>
      </c>
      <c r="G27698" t="str">
        <v>-</v>
      </c>
    </row>
    <row r="27699">
      <c r="B27699" t="str">
        <v>UBND Ủy ban nhân dân xã Vũ Minh tỉnh Cao Bằng</v>
      </c>
      <c r="C27699" t="str">
        <v>-</v>
      </c>
      <c r="D27699" t="str">
        <v>-</v>
      </c>
      <c r="E27699" t="str">
        <v>-</v>
      </c>
      <c r="F27699" t="str">
        <v>-</v>
      </c>
      <c r="G27699" t="str">
        <v>-</v>
      </c>
    </row>
    <row r="27700">
      <c r="B27700" t="str">
        <v>Công an xã Vũ Xá tỉnh Bắc Giang</v>
      </c>
      <c r="C27700" t="str">
        <v>-</v>
      </c>
      <c r="D27700" t="str">
        <v>-</v>
      </c>
      <c r="E27700" t="str">
        <v/>
      </c>
      <c r="F27700" t="str">
        <v>-</v>
      </c>
      <c r="G27700" t="str">
        <v>-</v>
      </c>
    </row>
    <row r="27701">
      <c r="B27701" t="str">
        <v>UBND Ủy ban nhân dân xã Vũ Xá tỉnh Bắc Giang</v>
      </c>
      <c r="C27701" t="str">
        <v>-</v>
      </c>
      <c r="D27701" t="str">
        <v>-</v>
      </c>
      <c r="E27701" t="str">
        <v>-</v>
      </c>
      <c r="F27701" t="str">
        <v>-</v>
      </c>
      <c r="G27701" t="str">
        <v>-</v>
      </c>
    </row>
    <row r="27702" xml:space="preserve">
      <c r="B27702" t="str" xml:space="preserve">
        <v xml:space="preserve">Công an xã Vạn Thắng _x000d_
 tỉnh Thanh Hóa</v>
      </c>
      <c r="C27702" t="str">
        <v>-</v>
      </c>
      <c r="D27702" t="str">
        <v>-</v>
      </c>
      <c r="E27702" t="str">
        <v/>
      </c>
      <c r="F27702" t="str">
        <v>-</v>
      </c>
      <c r="G27702" t="str">
        <v>-</v>
      </c>
    </row>
    <row r="27703" xml:space="preserve">
      <c r="B27703" t="str" xml:space="preserve">
        <v xml:space="preserve">UBND Ủy ban nhân dân xã Vạn Thắng _x000d_
 tỉnh Thanh Hóa</v>
      </c>
      <c r="C27703" t="str">
        <v>-</v>
      </c>
      <c r="D27703" t="str">
        <v>-</v>
      </c>
      <c r="E27703" t="str">
        <v>-</v>
      </c>
      <c r="F27703" t="str">
        <v>-</v>
      </c>
      <c r="G27703" t="str">
        <v>-</v>
      </c>
    </row>
    <row r="27704" xml:space="preserve">
      <c r="B27704" t="str" xml:space="preserve">
        <v xml:space="preserve">Công an xã Vạn Thắng _x000d_
 tỉnh Thanh Hóa</v>
      </c>
      <c r="C27704" t="str">
        <v>-</v>
      </c>
      <c r="D27704" t="str">
        <v>-</v>
      </c>
      <c r="E27704" t="str">
        <v/>
      </c>
      <c r="F27704" t="str">
        <v>-</v>
      </c>
      <c r="G27704" t="str">
        <v>-</v>
      </c>
    </row>
    <row r="27705" xml:space="preserve">
      <c r="B27705" t="str" xml:space="preserve">
        <v xml:space="preserve">UBND Ủy ban nhân dân xã Vạn Thắng _x000d_
 tỉnh Thanh Hóa</v>
      </c>
      <c r="C27705" t="str">
        <v>-</v>
      </c>
      <c r="D27705" t="str">
        <v>-</v>
      </c>
      <c r="E27705" t="str">
        <v>-</v>
      </c>
      <c r="F27705" t="str">
        <v>-</v>
      </c>
      <c r="G27705" t="str">
        <v>-</v>
      </c>
    </row>
    <row r="27706">
      <c r="B27706" t="str">
        <v>Công an xã Vạn Thọ tỉnh Thái Nguyên</v>
      </c>
      <c r="C27706" t="str">
        <v>-</v>
      </c>
      <c r="D27706" t="str">
        <v>-</v>
      </c>
      <c r="E27706" t="str">
        <v/>
      </c>
      <c r="F27706" t="str">
        <v>-</v>
      </c>
      <c r="G27706" t="str">
        <v>-</v>
      </c>
    </row>
    <row r="27707">
      <c r="B27707" t="str">
        <v>UBND Ủy ban nhân dân xã Vạn Thọ tỉnh Thái Nguyên</v>
      </c>
      <c r="C27707" t="str">
        <v>-</v>
      </c>
      <c r="D27707" t="str">
        <v>-</v>
      </c>
      <c r="E27707" t="str">
        <v>-</v>
      </c>
      <c r="F27707" t="str">
        <v>-</v>
      </c>
      <c r="G27707" t="str">
        <v>-</v>
      </c>
    </row>
    <row r="27708" xml:space="preserve">
      <c r="B27708" t="str" xml:space="preserve">
        <v xml:space="preserve">Công an xã Vang Quới Đông _x000d_
 tỉnh Bến Tre</v>
      </c>
      <c r="C27708" t="str">
        <v>-</v>
      </c>
      <c r="D27708" t="str">
        <v>-</v>
      </c>
      <c r="E27708" t="str">
        <v/>
      </c>
      <c r="F27708" t="str">
        <v>-</v>
      </c>
      <c r="G27708" t="str">
        <v>-</v>
      </c>
    </row>
    <row r="27709" xml:space="preserve">
      <c r="B27709" t="str" xml:space="preserve">
        <v xml:space="preserve">UBND Ủy ban nhân dân xã Vang Quới Đông _x000d_
 tỉnh Bến Tre</v>
      </c>
      <c r="C27709" t="str">
        <v>-</v>
      </c>
      <c r="D27709" t="str">
        <v>-</v>
      </c>
      <c r="E27709" t="str">
        <v>-</v>
      </c>
      <c r="F27709" t="str">
        <v>-</v>
      </c>
      <c r="G27709" t="str">
        <v>-</v>
      </c>
    </row>
    <row r="27710">
      <c r="B27710" t="str">
        <v>Công an xã Vang Quới Tây tỉnh Bến Tre</v>
      </c>
      <c r="C27710" t="str">
        <v>-</v>
      </c>
      <c r="D27710" t="str">
        <v>-</v>
      </c>
      <c r="E27710" t="str">
        <v/>
      </c>
      <c r="F27710" t="str">
        <v>-</v>
      </c>
      <c r="G27710" t="str">
        <v>-</v>
      </c>
    </row>
    <row r="27711">
      <c r="B27711" t="str">
        <v>UBND Ủy ban nhân dân xã Vang Quới Tây tỉnh Bến Tre</v>
      </c>
      <c r="C27711" t="str">
        <v>-</v>
      </c>
      <c r="D27711" t="str">
        <v>-</v>
      </c>
      <c r="E27711" t="str">
        <v>-</v>
      </c>
      <c r="F27711" t="str">
        <v>-</v>
      </c>
      <c r="G27711" t="str">
        <v>-</v>
      </c>
    </row>
    <row r="27712" xml:space="preserve">
      <c r="B27712" t="str" xml:space="preserve">
        <v xml:space="preserve">Công an xã Viễn Sơn _x000d_
 tỉnh Yên Bái</v>
      </c>
      <c r="C27712" t="str">
        <v>-</v>
      </c>
      <c r="D27712" t="str">
        <v>-</v>
      </c>
      <c r="E27712" t="str">
        <v/>
      </c>
      <c r="F27712" t="str">
        <v>-</v>
      </c>
      <c r="G27712" t="str">
        <v>-</v>
      </c>
    </row>
    <row r="27713" xml:space="preserve">
      <c r="B27713" t="str" xml:space="preserve">
        <v xml:space="preserve">UBND Ủy ban nhân dân xã Viễn Sơn _x000d_
 tỉnh Yên Bái</v>
      </c>
      <c r="C27713" t="str">
        <v>-</v>
      </c>
      <c r="D27713" t="str">
        <v>-</v>
      </c>
      <c r="E27713" t="str">
        <v>-</v>
      </c>
      <c r="F27713" t="str">
        <v>-</v>
      </c>
      <c r="G27713" t="str">
        <v>-</v>
      </c>
    </row>
    <row r="27714">
      <c r="B27714" t="str">
        <v>Công an xã Việt Đoàn tỉnh Bắc Ninh</v>
      </c>
      <c r="C27714" t="str">
        <v>-</v>
      </c>
      <c r="D27714" t="str">
        <v>-</v>
      </c>
      <c r="E27714" t="str">
        <v/>
      </c>
      <c r="F27714" t="str">
        <v>-</v>
      </c>
      <c r="G27714" t="str">
        <v>-</v>
      </c>
    </row>
    <row r="27715">
      <c r="B27715" t="str">
        <v>UBND Ủy ban nhân dân xã Việt Đoàn tỉnh Bắc Ninh</v>
      </c>
      <c r="C27715" t="str">
        <v>-</v>
      </c>
      <c r="D27715" t="str">
        <v>-</v>
      </c>
      <c r="E27715" t="str">
        <v>-</v>
      </c>
      <c r="F27715" t="str">
        <v>-</v>
      </c>
      <c r="G27715" t="str">
        <v>-</v>
      </c>
    </row>
    <row r="27716" xml:space="preserve">
      <c r="B27716" t="str" xml:space="preserve">
        <v xml:space="preserve">Công an xã Việt Cường _x000d_
 tỉnh Yên Bái</v>
      </c>
      <c r="C27716" t="str">
        <v>-</v>
      </c>
      <c r="D27716" t="str">
        <v>-</v>
      </c>
      <c r="E27716" t="str">
        <v/>
      </c>
      <c r="F27716" t="str">
        <v>-</v>
      </c>
      <c r="G27716" t="str">
        <v>-</v>
      </c>
    </row>
    <row r="27717" xml:space="preserve">
      <c r="B27717" t="str" xml:space="preserve">
        <v xml:space="preserve">UBND Ủy ban nhân dân xã Việt Cường _x000d_
 tỉnh Yên Bái</v>
      </c>
      <c r="C27717" t="str">
        <v>-</v>
      </c>
      <c r="D27717" t="str">
        <v>-</v>
      </c>
      <c r="E27717" t="str">
        <v>-</v>
      </c>
      <c r="F27717" t="str">
        <v>-</v>
      </c>
      <c r="G27717" t="str">
        <v>-</v>
      </c>
    </row>
    <row r="27718">
      <c r="B27718" t="str">
        <v>Công an xã Việt Hùng tỉnh Bắc Ninh</v>
      </c>
      <c r="C27718" t="str">
        <v>-</v>
      </c>
      <c r="D27718" t="str">
        <v>-</v>
      </c>
      <c r="E27718" t="str">
        <v/>
      </c>
      <c r="F27718" t="str">
        <v>-</v>
      </c>
      <c r="G27718" t="str">
        <v>-</v>
      </c>
    </row>
    <row r="27719">
      <c r="B27719" t="str">
        <v>UBND Ủy ban nhân dân xã Việt Hùng tỉnh Bắc Ninh</v>
      </c>
      <c r="C27719" t="str">
        <v>-</v>
      </c>
      <c r="D27719" t="str">
        <v>-</v>
      </c>
      <c r="E27719" t="str">
        <v>-</v>
      </c>
      <c r="F27719" t="str">
        <v>-</v>
      </c>
      <c r="G27719" t="str">
        <v>-</v>
      </c>
    </row>
    <row r="27720">
      <c r="B27720" t="str">
        <v>Công an xã Việt Hồng tỉnh Yên Bái</v>
      </c>
      <c r="C27720" t="str">
        <v>-</v>
      </c>
      <c r="D27720" t="str">
        <v>-</v>
      </c>
      <c r="E27720" t="str">
        <v/>
      </c>
      <c r="F27720" t="str">
        <v>-</v>
      </c>
      <c r="G27720" t="str">
        <v>-</v>
      </c>
    </row>
    <row r="27721">
      <c r="B27721" t="str">
        <v>UBND Ủy ban nhân dân xã Việt Hồng tỉnh Yên Bái</v>
      </c>
      <c r="C27721" t="str">
        <v>-</v>
      </c>
      <c r="D27721" t="str">
        <v>-</v>
      </c>
      <c r="E27721" t="str">
        <v>-</v>
      </c>
      <c r="F27721" t="str">
        <v>-</v>
      </c>
      <c r="G27721" t="str">
        <v>-</v>
      </c>
    </row>
    <row r="27722">
      <c r="B27722" t="str">
        <v>Công an xã Việt Hồng tỉnh Hải Dương</v>
      </c>
      <c r="C27722" t="str">
        <v>-</v>
      </c>
      <c r="D27722" t="str">
        <v>-</v>
      </c>
      <c r="E27722" t="str">
        <v/>
      </c>
      <c r="F27722" t="str">
        <v>-</v>
      </c>
      <c r="G27722" t="str">
        <v>-</v>
      </c>
    </row>
    <row r="27723">
      <c r="B27723" t="str">
        <v>UBND Ủy ban nhân dân xã Việt Hồng tỉnh Hải Dương</v>
      </c>
      <c r="C27723" t="str">
        <v>-</v>
      </c>
      <c r="D27723" t="str">
        <v>-</v>
      </c>
      <c r="E27723" t="str">
        <v>-</v>
      </c>
      <c r="F27723" t="str">
        <v>-</v>
      </c>
      <c r="G27723" t="str">
        <v>-</v>
      </c>
    </row>
    <row r="27724">
      <c r="B27724" t="str">
        <v>Công an xã Việt Hoà tỉnh Hưng Yên</v>
      </c>
      <c r="C27724" t="str">
        <v>-</v>
      </c>
      <c r="D27724" t="str">
        <v>-</v>
      </c>
      <c r="E27724" t="str">
        <v/>
      </c>
      <c r="F27724" t="str">
        <v>-</v>
      </c>
      <c r="G27724" t="str">
        <v>-</v>
      </c>
    </row>
    <row r="27725">
      <c r="B27725" t="str">
        <v>UBND Ủy ban nhân dân xã Việt Hoà tỉnh Hưng Yên</v>
      </c>
      <c r="C27725" t="str">
        <v>-</v>
      </c>
      <c r="D27725" t="str">
        <v>-</v>
      </c>
      <c r="E27725" t="str">
        <v>-</v>
      </c>
      <c r="F27725" t="str">
        <v>-</v>
      </c>
      <c r="G27725" t="str">
        <v>-</v>
      </c>
    </row>
    <row r="27726" xml:space="preserve">
      <c r="B27726" t="str" xml:space="preserve">
        <v xml:space="preserve">Công an xã Việt Long _x000d_
 thành phố Hà Nội</v>
      </c>
      <c r="C27726" t="str">
        <v>-</v>
      </c>
      <c r="D27726" t="str">
        <v>-</v>
      </c>
      <c r="E27726" t="str">
        <v/>
      </c>
      <c r="F27726" t="str">
        <v>-</v>
      </c>
      <c r="G27726" t="str">
        <v>-</v>
      </c>
    </row>
    <row r="27727" xml:space="preserve">
      <c r="B27727" t="str" xml:space="preserve">
        <v xml:space="preserve">UBND Ủy ban nhân dân xã Việt Long _x000d_
 thành phố Hà Nội</v>
      </c>
      <c r="C27727" t="str">
        <v>-</v>
      </c>
      <c r="D27727" t="str">
        <v>-</v>
      </c>
      <c r="E27727" t="str">
        <v>-</v>
      </c>
      <c r="F27727" t="str">
        <v>-</v>
      </c>
      <c r="G27727" t="str">
        <v>-</v>
      </c>
    </row>
    <row r="27728">
      <c r="B27728" t="str">
        <v>Công an xã Việt Thành tỉnh Yên Bái</v>
      </c>
      <c r="C27728" t="str">
        <v>-</v>
      </c>
      <c r="D27728" t="str">
        <v>-</v>
      </c>
      <c r="E27728" t="str">
        <v/>
      </c>
      <c r="F27728" t="str">
        <v>-</v>
      </c>
      <c r="G27728" t="str">
        <v>-</v>
      </c>
    </row>
    <row r="27729">
      <c r="B27729" t="str">
        <v>UBND Ủy ban nhân dân xã Việt Thành tỉnh Yên Bái</v>
      </c>
      <c r="C27729" t="str">
        <v>-</v>
      </c>
      <c r="D27729" t="str">
        <v>-</v>
      </c>
      <c r="E27729" t="str">
        <v>-</v>
      </c>
      <c r="F27729" t="str">
        <v>-</v>
      </c>
      <c r="G27729" t="str">
        <v>-</v>
      </c>
    </row>
    <row r="27730" xml:space="preserve">
      <c r="B27730" t="str" xml:space="preserve">
        <v xml:space="preserve">Công an xã Vinh Quý _x000d_
 tỉnh Cao Bằng</v>
      </c>
      <c r="C27730" t="str">
        <v>-</v>
      </c>
      <c r="D27730" t="str">
        <v>-</v>
      </c>
      <c r="E27730" t="str">
        <v/>
      </c>
      <c r="F27730" t="str">
        <v>-</v>
      </c>
      <c r="G27730" t="str">
        <v>-</v>
      </c>
    </row>
    <row r="27731" xml:space="preserve">
      <c r="B27731" t="str" xml:space="preserve">
        <v xml:space="preserve">UBND Ủy ban nhân dân xã Vinh Quý _x000d_
 tỉnh Cao Bằng</v>
      </c>
      <c r="C27731" t="str">
        <v>-</v>
      </c>
      <c r="D27731" t="str">
        <v>-</v>
      </c>
      <c r="E27731" t="str">
        <v>-</v>
      </c>
      <c r="F27731" t="str">
        <v>-</v>
      </c>
      <c r="G27731" t="str">
        <v>-</v>
      </c>
    </row>
    <row r="27732">
      <c r="B27732" t="str">
        <v>Công an xã Vinh Tiền  tỉnh Phú Thọ</v>
      </c>
      <c r="C27732" t="str">
        <v>-</v>
      </c>
      <c r="D27732" t="str">
        <v>-</v>
      </c>
      <c r="E27732" t="str">
        <v/>
      </c>
      <c r="F27732" t="str">
        <v>-</v>
      </c>
      <c r="G27732" t="str">
        <v>-</v>
      </c>
    </row>
    <row r="27733">
      <c r="B27733" t="str">
        <v>UBND Ủy ban nhân dân xã Vinh Tiền  tỉnh Phú Thọ</v>
      </c>
      <c r="C27733" t="str">
        <v>-</v>
      </c>
      <c r="D27733" t="str">
        <v>-</v>
      </c>
      <c r="E27733" t="str">
        <v>-</v>
      </c>
      <c r="F27733" t="str">
        <v>-</v>
      </c>
      <c r="G27733" t="str">
        <v>-</v>
      </c>
    </row>
    <row r="27734" xml:space="preserve">
      <c r="B27734" t="str" xml:space="preserve">
        <v xml:space="preserve">Công an xã Xá Lượng _x000d_
 tỉnh Nghệ An</v>
      </c>
      <c r="C27734" t="str">
        <v>-</v>
      </c>
      <c r="D27734" t="str">
        <v>-</v>
      </c>
      <c r="E27734" t="str">
        <v/>
      </c>
      <c r="F27734" t="str">
        <v>-</v>
      </c>
      <c r="G27734" t="str">
        <v>-</v>
      </c>
    </row>
    <row r="27735" xml:space="preserve">
      <c r="B27735" t="str" xml:space="preserve">
        <v xml:space="preserve">UBND Ủy ban nhân dân xã Xá Lượng _x000d_
 tỉnh Nghệ An</v>
      </c>
      <c r="C27735" t="str">
        <v>-</v>
      </c>
      <c r="D27735" t="str">
        <v>-</v>
      </c>
      <c r="E27735" t="str">
        <v>-</v>
      </c>
      <c r="F27735" t="str">
        <v>-</v>
      </c>
      <c r="G27735" t="str">
        <v>-</v>
      </c>
    </row>
    <row r="27736" xml:space="preserve">
      <c r="B27736" t="str" xml:space="preserve">
        <v xml:space="preserve">Công an xã Xá Nhè _x000d_
 tỉnh Điện Biên</v>
      </c>
      <c r="C27736" t="str">
        <v>-</v>
      </c>
      <c r="D27736" t="str">
        <v>-</v>
      </c>
      <c r="E27736" t="str">
        <v/>
      </c>
      <c r="F27736" t="str">
        <v>-</v>
      </c>
      <c r="G27736" t="str">
        <v>-</v>
      </c>
    </row>
    <row r="27737" xml:space="preserve">
      <c r="B27737" t="str" xml:space="preserve">
        <v xml:space="preserve">UBND Ủy ban nhân dân xã Xá Nhè _x000d_
 tỉnh Điện Biên</v>
      </c>
      <c r="C27737" t="str">
        <v>-</v>
      </c>
      <c r="D27737" t="str">
        <v>-</v>
      </c>
      <c r="E27737" t="str">
        <v>-</v>
      </c>
      <c r="F27737" t="str">
        <v>-</v>
      </c>
      <c r="G27737" t="str">
        <v>-</v>
      </c>
    </row>
    <row r="27738">
      <c r="B27738" t="str">
        <v>Công an xã Xích Thổ  tỉnh Ninh Bình</v>
      </c>
      <c r="C27738" t="str">
        <v>-</v>
      </c>
      <c r="D27738" t="str">
        <v>-</v>
      </c>
      <c r="E27738" t="str">
        <v/>
      </c>
      <c r="F27738" t="str">
        <v>-</v>
      </c>
      <c r="G27738" t="str">
        <v>-</v>
      </c>
    </row>
    <row r="27739">
      <c r="B27739" t="str">
        <v>UBND Ủy ban nhân dân xã Xích Thổ  tỉnh Ninh Bình</v>
      </c>
      <c r="C27739" t="str">
        <v>-</v>
      </c>
      <c r="D27739" t="str">
        <v>-</v>
      </c>
      <c r="E27739" t="str">
        <v>-</v>
      </c>
      <c r="F27739" t="str">
        <v>-</v>
      </c>
      <c r="G27739" t="str">
        <v>-</v>
      </c>
    </row>
    <row r="27740" xml:space="preserve">
      <c r="B27740" t="str" xml:space="preserve">
        <v xml:space="preserve">Công an xã Xốp _x000d_
 tỉnh Kon Tum</v>
      </c>
      <c r="C27740" t="str">
        <v>-</v>
      </c>
      <c r="D27740" t="str">
        <v>-</v>
      </c>
      <c r="E27740" t="str">
        <v/>
      </c>
      <c r="F27740" t="str">
        <v>-</v>
      </c>
      <c r="G27740" t="str">
        <v>-</v>
      </c>
    </row>
    <row r="27741" xml:space="preserve">
      <c r="B27741" t="str" xml:space="preserve">
        <v xml:space="preserve">UBND Ủy ban nhân dân xã Xốp _x000d_
 tỉnh Kon Tum</v>
      </c>
      <c r="C27741" t="str">
        <v>-</v>
      </c>
      <c r="D27741" t="str">
        <v>-</v>
      </c>
      <c r="E27741" t="str">
        <v>-</v>
      </c>
      <c r="F27741" t="str">
        <v>-</v>
      </c>
      <c r="G27741" t="str">
        <v>-</v>
      </c>
    </row>
    <row r="27742" xml:space="preserve">
      <c r="B27742" t="str" xml:space="preserve">
        <v xml:space="preserve">Công an xã Xuân Đài _x000d_
 tỉnh Phú Thọ</v>
      </c>
      <c r="C27742" t="str">
        <v>-</v>
      </c>
      <c r="D27742" t="str">
        <v>-</v>
      </c>
      <c r="E27742" t="str">
        <v/>
      </c>
      <c r="F27742" t="str">
        <v>-</v>
      </c>
      <c r="G27742" t="str">
        <v>-</v>
      </c>
    </row>
    <row r="27743" xml:space="preserve">
      <c r="B27743" t="str" xml:space="preserve">
        <v xml:space="preserve">UBND Ủy ban nhân dân xã Xuân Đài _x000d_
 tỉnh Phú Thọ</v>
      </c>
      <c r="C27743" t="str">
        <v>-</v>
      </c>
      <c r="D27743" t="str">
        <v>-</v>
      </c>
      <c r="E27743" t="str">
        <v>-</v>
      </c>
      <c r="F27743" t="str">
        <v>-</v>
      </c>
      <c r="G27743" t="str">
        <v>-</v>
      </c>
    </row>
    <row r="27744" xml:space="preserve">
      <c r="B27744" t="str" xml:space="preserve">
        <v xml:space="preserve">Công an xã Xuân An _x000d_
 tỉnh Phú Thọ</v>
      </c>
      <c r="C27744" t="str">
        <v>-</v>
      </c>
      <c r="D27744" t="str">
        <v>-</v>
      </c>
      <c r="E27744" t="str">
        <v/>
      </c>
      <c r="F27744" t="str">
        <v>-</v>
      </c>
      <c r="G27744" t="str">
        <v>-</v>
      </c>
    </row>
    <row r="27745" xml:space="preserve">
      <c r="B27745" t="str" xml:space="preserve">
        <v xml:space="preserve">UBND Ủy ban nhân dân xã Xuân An _x000d_
 tỉnh Phú Thọ</v>
      </c>
      <c r="C27745" t="str">
        <v>-</v>
      </c>
      <c r="D27745" t="str">
        <v>-</v>
      </c>
      <c r="E27745" t="str">
        <v>-</v>
      </c>
      <c r="F27745" t="str">
        <v>-</v>
      </c>
      <c r="G27745" t="str">
        <v>-</v>
      </c>
    </row>
    <row r="27746">
      <c r="B27746" t="str">
        <v>Công an xã Xuân Cảnh thành phố Hà Nội</v>
      </c>
      <c r="C27746" t="str">
        <v>-</v>
      </c>
      <c r="D27746" t="str">
        <v>-</v>
      </c>
      <c r="E27746" t="str">
        <v/>
      </c>
      <c r="F27746" t="str">
        <v>-</v>
      </c>
      <c r="G27746" t="str">
        <v>-</v>
      </c>
    </row>
    <row r="27747">
      <c r="B27747" t="str">
        <v>UBND Ủy ban nhân dân xã Xuân Cảnh thành phố Hà Nội</v>
      </c>
      <c r="C27747" t="str">
        <v>-</v>
      </c>
      <c r="D27747" t="str">
        <v>-</v>
      </c>
      <c r="E27747" t="str">
        <v>-</v>
      </c>
      <c r="F27747" t="str">
        <v>-</v>
      </c>
      <c r="G27747" t="str">
        <v>-</v>
      </c>
    </row>
    <row r="27748" xml:space="preserve">
      <c r="B27748" t="str" xml:space="preserve">
        <v xml:space="preserve">Công an xã Xuân Chính _x000d_
 tỉnh Thanh Hóa</v>
      </c>
      <c r="C27748" t="str">
        <v>-</v>
      </c>
      <c r="D27748" t="str">
        <v>-</v>
      </c>
      <c r="E27748" t="str">
        <v/>
      </c>
      <c r="F27748" t="str">
        <v>-</v>
      </c>
      <c r="G27748" t="str">
        <v>-</v>
      </c>
    </row>
    <row r="27749" xml:space="preserve">
      <c r="B27749" t="str" xml:space="preserve">
        <v xml:space="preserve">UBND Ủy ban nhân dân xã Xuân Chính _x000d_
 tỉnh Thanh Hóa</v>
      </c>
      <c r="C27749" t="str">
        <v>-</v>
      </c>
      <c r="D27749" t="str">
        <v>-</v>
      </c>
      <c r="E27749" t="str">
        <v>-</v>
      </c>
      <c r="F27749" t="str">
        <v>-</v>
      </c>
      <c r="G27749" t="str">
        <v>-</v>
      </c>
    </row>
    <row r="27750">
      <c r="B27750" t="str">
        <v>Công an xã Xuân Dục tỉnh Hưng Yên</v>
      </c>
      <c r="C27750" t="str">
        <v>-</v>
      </c>
      <c r="D27750" t="str">
        <v>-</v>
      </c>
      <c r="E27750" t="str">
        <v/>
      </c>
      <c r="F27750" t="str">
        <v>-</v>
      </c>
      <c r="G27750" t="str">
        <v>-</v>
      </c>
    </row>
    <row r="27751">
      <c r="B27751" t="str">
        <v>UBND Ủy ban nhân dân xã Xuân Dục tỉnh Hưng Yên</v>
      </c>
      <c r="C27751" t="str">
        <v>-</v>
      </c>
      <c r="D27751" t="str">
        <v>-</v>
      </c>
      <c r="E27751" t="str">
        <v>-</v>
      </c>
      <c r="F27751" t="str">
        <v>-</v>
      </c>
      <c r="G27751" t="str">
        <v>-</v>
      </c>
    </row>
    <row r="27752" xml:space="preserve">
      <c r="B27752" t="str" xml:space="preserve">
        <v xml:space="preserve">Công an xã Xuân Du _x000d_
 tỉnh Thanh Hóa</v>
      </c>
      <c r="C27752" t="str">
        <v>-</v>
      </c>
      <c r="D27752" t="str">
        <v>-</v>
      </c>
      <c r="E27752" t="str">
        <v/>
      </c>
      <c r="F27752" t="str">
        <v>-</v>
      </c>
      <c r="G27752" t="str">
        <v>-</v>
      </c>
    </row>
    <row r="27753" xml:space="preserve">
      <c r="B27753" t="str" xml:space="preserve">
        <v xml:space="preserve">UBND Ủy ban nhân dân xã Xuân Du _x000d_
 tỉnh Thanh Hóa</v>
      </c>
      <c r="C27753" t="str">
        <v>-</v>
      </c>
      <c r="D27753" t="str">
        <v>-</v>
      </c>
      <c r="E27753" t="str">
        <v>-</v>
      </c>
      <c r="F27753" t="str">
        <v>-</v>
      </c>
      <c r="G27753" t="str">
        <v>-</v>
      </c>
    </row>
    <row r="27754" xml:space="preserve">
      <c r="B27754" t="str" xml:space="preserve">
        <v xml:space="preserve">Công an xã Xuân Giang _x000d_
 tỉnh Thanh Hóa</v>
      </c>
      <c r="C27754" t="str">
        <v>-</v>
      </c>
      <c r="D27754" t="str">
        <v>-</v>
      </c>
      <c r="E27754" t="str">
        <v/>
      </c>
      <c r="F27754" t="str">
        <v>-</v>
      </c>
      <c r="G27754" t="str">
        <v>-</v>
      </c>
    </row>
    <row r="27755" xml:space="preserve">
      <c r="B27755" t="str" xml:space="preserve">
        <v xml:space="preserve">UBND Ủy ban nhân dân xã Xuân Giang _x000d_
 tỉnh Thanh Hóa</v>
      </c>
      <c r="C27755" t="str">
        <v>-</v>
      </c>
      <c r="D27755" t="str">
        <v>-</v>
      </c>
      <c r="E27755" t="str">
        <v>-</v>
      </c>
      <c r="F27755" t="str">
        <v>-</v>
      </c>
      <c r="G27755" t="str">
        <v>-</v>
      </c>
    </row>
    <row r="27756" xml:space="preserve">
      <c r="B27756" t="str" xml:space="preserve">
        <v xml:space="preserve">Công an xã Xuân Hòa _x000d_
 tỉnh Thanh Hóa</v>
      </c>
      <c r="C27756" t="str">
        <v>-</v>
      </c>
      <c r="D27756" t="str">
        <v>-</v>
      </c>
      <c r="E27756" t="str">
        <v/>
      </c>
      <c r="F27756" t="str">
        <v>-</v>
      </c>
      <c r="G27756" t="str">
        <v>-</v>
      </c>
    </row>
    <row r="27757" xml:space="preserve">
      <c r="B27757" t="str" xml:space="preserve">
        <v xml:space="preserve">UBND Ủy ban nhân dân xã Xuân Hòa _x000d_
 tỉnh Thanh Hóa</v>
      </c>
      <c r="C27757" t="str">
        <v>-</v>
      </c>
      <c r="D27757" t="str">
        <v>-</v>
      </c>
      <c r="E27757" t="str">
        <v>-</v>
      </c>
      <c r="F27757" t="str">
        <v>-</v>
      </c>
      <c r="G27757" t="str">
        <v>-</v>
      </c>
    </row>
    <row r="27758">
      <c r="B27758" t="str">
        <v>Công an xã Xuân Hồng tỉnh Thanh Hóa</v>
      </c>
      <c r="C27758" t="str">
        <v>-</v>
      </c>
      <c r="D27758" t="str">
        <v>-</v>
      </c>
      <c r="E27758" t="str">
        <v/>
      </c>
      <c r="F27758" t="str">
        <v>-</v>
      </c>
      <c r="G27758" t="str">
        <v>-</v>
      </c>
    </row>
    <row r="27759">
      <c r="B27759" t="str">
        <v>UBND Ủy ban nhân dân xã Xuân Hồng tỉnh Thanh Hóa</v>
      </c>
      <c r="C27759" t="str">
        <v>-</v>
      </c>
      <c r="D27759" t="str">
        <v>-</v>
      </c>
      <c r="E27759" t="str">
        <v>-</v>
      </c>
      <c r="F27759" t="str">
        <v>-</v>
      </c>
      <c r="G27759" t="str">
        <v>-</v>
      </c>
    </row>
    <row r="27760">
      <c r="B27760" t="str">
        <v>Công an xã Xuân Hồng tỉnh Thanh Hóa</v>
      </c>
      <c r="C27760" t="str">
        <v>-</v>
      </c>
      <c r="D27760" t="str">
        <v>-</v>
      </c>
      <c r="E27760" t="str">
        <v/>
      </c>
      <c r="F27760" t="str">
        <v>-</v>
      </c>
      <c r="G27760" t="str">
        <v>-</v>
      </c>
    </row>
    <row r="27761">
      <c r="B27761" t="str">
        <v>UBND Ủy ban nhân dân xã Xuân Hồng tỉnh Thanh Hóa</v>
      </c>
      <c r="C27761" t="str">
        <v>-</v>
      </c>
      <c r="D27761" t="str">
        <v>-</v>
      </c>
      <c r="E27761" t="str">
        <v>-</v>
      </c>
      <c r="F27761" t="str">
        <v>-</v>
      </c>
      <c r="G27761" t="str">
        <v>-</v>
      </c>
    </row>
    <row r="27762">
      <c r="B27762" t="str">
        <v>Công an xã Xuân Hội tỉnh Hà Tĩnh</v>
      </c>
      <c r="C27762" t="str">
        <v>-</v>
      </c>
      <c r="D27762" t="str">
        <v>-</v>
      </c>
      <c r="E27762" t="str">
        <v/>
      </c>
      <c r="F27762" t="str">
        <v>-</v>
      </c>
      <c r="G27762" t="str">
        <v>-</v>
      </c>
    </row>
    <row r="27763">
      <c r="B27763" t="str">
        <v>UBND Ủy ban nhân dân xã Xuân Hội tỉnh Hà Tĩnh</v>
      </c>
      <c r="C27763" t="str">
        <v>-</v>
      </c>
      <c r="D27763" t="str">
        <v>-</v>
      </c>
      <c r="E27763" t="str">
        <v>-</v>
      </c>
      <c r="F27763" t="str">
        <v>-</v>
      </c>
      <c r="G27763" t="str">
        <v>-</v>
      </c>
    </row>
    <row r="27764">
      <c r="B27764" t="str">
        <v>Công an xã Xuân Hiệp tỉnh Vĩnh Long</v>
      </c>
      <c r="C27764" t="str">
        <v>-</v>
      </c>
      <c r="D27764" t="str">
        <v>-</v>
      </c>
      <c r="E27764" t="str">
        <v/>
      </c>
      <c r="F27764" t="str">
        <v>-</v>
      </c>
      <c r="G27764" t="str">
        <v>-</v>
      </c>
    </row>
    <row r="27765">
      <c r="B27765" t="str">
        <v>UBND Ủy ban nhân dân xã Xuân Hiệp tỉnh Vĩnh Long</v>
      </c>
      <c r="C27765" t="str">
        <v>-</v>
      </c>
      <c r="D27765" t="str">
        <v>-</v>
      </c>
      <c r="E27765" t="str">
        <v>-</v>
      </c>
      <c r="F27765" t="str">
        <v>-</v>
      </c>
      <c r="G27765" t="str">
        <v>-</v>
      </c>
    </row>
    <row r="27766">
      <c r="B27766" t="str">
        <v>Công an xã Xuân Hoà tỉnh Thanh Hóa</v>
      </c>
      <c r="C27766" t="str">
        <v>-</v>
      </c>
      <c r="D27766" t="str">
        <v>-</v>
      </c>
      <c r="E27766" t="str">
        <v/>
      </c>
      <c r="F27766" t="str">
        <v>-</v>
      </c>
      <c r="G27766" t="str">
        <v>-</v>
      </c>
    </row>
    <row r="27767">
      <c r="B27767" t="str">
        <v>UBND Ủy ban nhân dân xã Xuân Hoà tỉnh Thanh Hóa</v>
      </c>
      <c r="C27767" t="str">
        <v>-</v>
      </c>
      <c r="D27767" t="str">
        <v>-</v>
      </c>
      <c r="E27767" t="str">
        <v>-</v>
      </c>
      <c r="F27767" t="str">
        <v>-</v>
      </c>
      <c r="G27767" t="str">
        <v>-</v>
      </c>
    </row>
    <row r="27768" xml:space="preserve">
      <c r="B27768" t="str" xml:space="preserve">
        <v xml:space="preserve">Công an xã Xuân Huy _x000d_
 tỉnh Phú Thọ</v>
      </c>
      <c r="C27768" t="str">
        <v>-</v>
      </c>
      <c r="D27768" t="str">
        <v>-</v>
      </c>
      <c r="E27768" t="str">
        <v/>
      </c>
      <c r="F27768" t="str">
        <v>-</v>
      </c>
      <c r="G27768" t="str">
        <v>-</v>
      </c>
    </row>
    <row r="27769" xml:space="preserve">
      <c r="B27769" t="str" xml:space="preserve">
        <v xml:space="preserve">UBND Ủy ban nhân dân xã Xuân Huy _x000d_
 tỉnh Phú Thọ</v>
      </c>
      <c r="C27769" t="str">
        <v>-</v>
      </c>
      <c r="D27769" t="str">
        <v>-</v>
      </c>
      <c r="E27769" t="str">
        <v>-</v>
      </c>
      <c r="F27769" t="str">
        <v>-</v>
      </c>
      <c r="G27769" t="str">
        <v>-</v>
      </c>
    </row>
    <row r="27770" xml:space="preserve">
      <c r="B27770" t="str" xml:space="preserve">
        <v xml:space="preserve">Công an phường Xuân Lâm _x000d_
 tỉnh Bắc Ninh</v>
      </c>
      <c r="C27770" t="str">
        <v>-</v>
      </c>
      <c r="D27770" t="str">
        <v>-</v>
      </c>
      <c r="E27770" t="str">
        <v/>
      </c>
      <c r="F27770" t="str">
        <v>-</v>
      </c>
      <c r="G27770" t="str">
        <v>-</v>
      </c>
    </row>
    <row r="27771" xml:space="preserve">
      <c r="B27771" t="str" xml:space="preserve">
        <v xml:space="preserve">UBND Ủy ban nhân dân phường Xuân Lâm _x000d_
 tỉnh Bắc Ninh</v>
      </c>
      <c r="C27771" t="str">
        <v>-</v>
      </c>
      <c r="D27771" t="str">
        <v>-</v>
      </c>
      <c r="E27771" t="str">
        <v>-</v>
      </c>
      <c r="F27771" t="str">
        <v>-</v>
      </c>
      <c r="G27771" t="str">
        <v>-</v>
      </c>
    </row>
    <row r="27772" xml:space="preserve">
      <c r="B27772" t="str" xml:space="preserve">
        <v xml:space="preserve">Công an xã Xuân Lĩnh _x000d_
 tỉnh Thanh Hóa</v>
      </c>
      <c r="C27772" t="str">
        <v>-</v>
      </c>
      <c r="D27772" t="str">
        <v>-</v>
      </c>
      <c r="E27772" t="str">
        <v/>
      </c>
      <c r="F27772" t="str">
        <v>-</v>
      </c>
      <c r="G27772" t="str">
        <v>-</v>
      </c>
    </row>
    <row r="27773" xml:space="preserve">
      <c r="B27773" t="str" xml:space="preserve">
        <v xml:space="preserve">UBND Ủy ban nhân dân xã Xuân Lĩnh _x000d_
 tỉnh Thanh Hóa</v>
      </c>
      <c r="C27773" t="str">
        <v>-</v>
      </c>
      <c r="D27773" t="str">
        <v>-</v>
      </c>
      <c r="E27773" t="str">
        <v>-</v>
      </c>
      <c r="F27773" t="str">
        <v>-</v>
      </c>
      <c r="G27773" t="str">
        <v>-</v>
      </c>
    </row>
    <row r="27774" xml:space="preserve">
      <c r="B27774" t="str" xml:space="preserve">
        <v xml:space="preserve">Công an xã Xuân Lập _x000d_
 tỉnh Thanh Hóa</v>
      </c>
      <c r="C27774" t="str">
        <v>-</v>
      </c>
      <c r="D27774" t="str">
        <v>-</v>
      </c>
      <c r="E27774" t="str">
        <v/>
      </c>
      <c r="F27774" t="str">
        <v>-</v>
      </c>
      <c r="G27774" t="str">
        <v>-</v>
      </c>
    </row>
    <row r="27775" xml:space="preserve">
      <c r="B27775" t="str" xml:space="preserve">
        <v xml:space="preserve">UBND Ủy ban nhân dân xã Xuân Lập _x000d_
 tỉnh Thanh Hóa</v>
      </c>
      <c r="C27775" t="str">
        <v>-</v>
      </c>
      <c r="D27775" t="str">
        <v>-</v>
      </c>
      <c r="E27775" t="str">
        <v>-</v>
      </c>
      <c r="F27775" t="str">
        <v>-</v>
      </c>
      <c r="G27775" t="str">
        <v>-</v>
      </c>
    </row>
    <row r="27776" xml:space="preserve">
      <c r="B27776" t="str" xml:space="preserve">
        <v xml:space="preserve">Công an xã Xuân Lập _x000d_
 tỉnh Tuyên Quang</v>
      </c>
      <c r="C27776" t="str">
        <v>-</v>
      </c>
      <c r="D27776" t="str">
        <v>-</v>
      </c>
      <c r="E27776" t="str">
        <v/>
      </c>
      <c r="F27776" t="str">
        <v>-</v>
      </c>
      <c r="G27776" t="str">
        <v>-</v>
      </c>
    </row>
    <row r="27777" xml:space="preserve">
      <c r="B27777" t="str" xml:space="preserve">
        <v xml:space="preserve">UBND Ủy ban nhân dân xã Xuân Lập _x000d_
 tỉnh Tuyên Quang</v>
      </c>
      <c r="C27777" t="str">
        <v>-</v>
      </c>
      <c r="D27777" t="str">
        <v>-</v>
      </c>
      <c r="E27777" t="str">
        <v>-</v>
      </c>
      <c r="F27777" t="str">
        <v>-</v>
      </c>
      <c r="G27777" t="str">
        <v>-</v>
      </c>
    </row>
    <row r="27778">
      <c r="B27778" t="str">
        <v>Công an xã Xuân Lẹ tỉnh Thanh Hóa</v>
      </c>
      <c r="C27778" t="str">
        <v>-</v>
      </c>
      <c r="D27778" t="str">
        <v>-</v>
      </c>
      <c r="E27778" t="str">
        <v/>
      </c>
      <c r="F27778" t="str">
        <v>-</v>
      </c>
      <c r="G27778" t="str">
        <v>-</v>
      </c>
    </row>
    <row r="27779">
      <c r="B27779" t="str">
        <v>UBND Ủy ban nhân dân xã Xuân Lẹ tỉnh Thanh Hóa</v>
      </c>
      <c r="C27779" t="str">
        <v>-</v>
      </c>
      <c r="D27779" t="str">
        <v>-</v>
      </c>
      <c r="E27779" t="str">
        <v>-</v>
      </c>
      <c r="F27779" t="str">
        <v>-</v>
      </c>
      <c r="G27779" t="str">
        <v>-</v>
      </c>
    </row>
    <row r="27780" xml:space="preserve">
      <c r="B27780" t="str" xml:space="preserve">
        <v xml:space="preserve">Công an xã Xuân Lộc _x000d_
 tỉnh Phú Thọ</v>
      </c>
      <c r="C27780" t="str">
        <v>-</v>
      </c>
      <c r="D27780" t="str">
        <v>-</v>
      </c>
      <c r="E27780" t="str">
        <v/>
      </c>
      <c r="F27780" t="str">
        <v>-</v>
      </c>
      <c r="G27780" t="str">
        <v>-</v>
      </c>
    </row>
    <row r="27781" xml:space="preserve">
      <c r="B27781" t="str" xml:space="preserve">
        <v xml:space="preserve">UBND Ủy ban nhân dân xã Xuân Lộc _x000d_
 tỉnh Phú Thọ</v>
      </c>
      <c r="C27781" t="str">
        <v>-</v>
      </c>
      <c r="D27781" t="str">
        <v>-</v>
      </c>
      <c r="E27781" t="str">
        <v>-</v>
      </c>
      <c r="F27781" t="str">
        <v>-</v>
      </c>
      <c r="G27781" t="str">
        <v>-</v>
      </c>
    </row>
    <row r="27782" xml:space="preserve">
      <c r="B27782" t="str" xml:space="preserve">
        <v xml:space="preserve">Công an xã Xuân Lộc _x000d_
 tỉnh Hà Tĩnh</v>
      </c>
      <c r="C27782" t="str">
        <v>-</v>
      </c>
      <c r="D27782" t="str">
        <v>-</v>
      </c>
      <c r="E27782" t="str">
        <v/>
      </c>
      <c r="F27782" t="str">
        <v>-</v>
      </c>
      <c r="G27782" t="str">
        <v>-</v>
      </c>
    </row>
    <row r="27783" xml:space="preserve">
      <c r="B27783" t="str" xml:space="preserve">
        <v xml:space="preserve">UBND Ủy ban nhân dân xã Xuân Lộc _x000d_
 tỉnh Hà Tĩnh</v>
      </c>
      <c r="C27783" t="str">
        <v>-</v>
      </c>
      <c r="D27783" t="str">
        <v>-</v>
      </c>
      <c r="E27783" t="str">
        <v>-</v>
      </c>
      <c r="F27783" t="str">
        <v>-</v>
      </c>
      <c r="G27783" t="str">
        <v>-</v>
      </c>
    </row>
    <row r="27784" xml:space="preserve">
      <c r="B27784" t="str" xml:space="preserve">
        <v xml:space="preserve">Công an xã Xuân Lộc _x000d_
 tỉnh Thanh Hóa</v>
      </c>
      <c r="C27784" t="str">
        <v>-</v>
      </c>
      <c r="D27784" t="str">
        <v>-</v>
      </c>
      <c r="E27784" t="str">
        <v/>
      </c>
      <c r="F27784" t="str">
        <v>-</v>
      </c>
      <c r="G27784" t="str">
        <v>-</v>
      </c>
    </row>
    <row r="27785" xml:space="preserve">
      <c r="B27785" t="str" xml:space="preserve">
        <v xml:space="preserve">UBND Ủy ban nhân dân xã Xuân Lộc _x000d_
 tỉnh Thanh Hóa</v>
      </c>
      <c r="C27785" t="str">
        <v>-</v>
      </c>
      <c r="D27785" t="str">
        <v>-</v>
      </c>
      <c r="E27785" t="str">
        <v>-</v>
      </c>
      <c r="F27785" t="str">
        <v>-</v>
      </c>
      <c r="G27785" t="str">
        <v>-</v>
      </c>
    </row>
    <row r="27786">
      <c r="B27786" t="str">
        <v>Công an xã Xuân Lộc tỉnh Thanh Hóa</v>
      </c>
      <c r="C27786" t="str">
        <v>-</v>
      </c>
      <c r="D27786" t="str">
        <v>-</v>
      </c>
      <c r="E27786" t="str">
        <v/>
      </c>
      <c r="F27786" t="str">
        <v>-</v>
      </c>
      <c r="G27786" t="str">
        <v>-</v>
      </c>
    </row>
    <row r="27787">
      <c r="B27787" t="str">
        <v>UBND Ủy ban nhân dân xã Xuân Lộc tỉnh Thanh Hóa</v>
      </c>
      <c r="C27787" t="str">
        <v>-</v>
      </c>
      <c r="D27787" t="str">
        <v>-</v>
      </c>
      <c r="E27787" t="str">
        <v>-</v>
      </c>
      <c r="F27787" t="str">
        <v>-</v>
      </c>
      <c r="G27787" t="str">
        <v>-</v>
      </c>
    </row>
    <row r="27788" xml:space="preserve">
      <c r="B27788" t="str" xml:space="preserve">
        <v xml:space="preserve">Công an xã Xuân La _x000d_
 tỉnh Bắc Kạn</v>
      </c>
      <c r="C27788" t="str">
        <v>-</v>
      </c>
      <c r="D27788" t="str">
        <v>-</v>
      </c>
      <c r="E27788" t="str">
        <v/>
      </c>
      <c r="F27788" t="str">
        <v>-</v>
      </c>
      <c r="G27788" t="str">
        <v>-</v>
      </c>
    </row>
    <row r="27789" xml:space="preserve">
      <c r="B27789" t="str" xml:space="preserve">
        <v xml:space="preserve">UBND Ủy ban nhân dân xã Xuân La _x000d_
 tỉnh Bắc Kạn</v>
      </c>
      <c r="C27789" t="str">
        <v>-</v>
      </c>
      <c r="D27789" t="str">
        <v>-</v>
      </c>
      <c r="E27789" t="str">
        <v>-</v>
      </c>
      <c r="F27789" t="str">
        <v>-</v>
      </c>
      <c r="G27789" t="str">
        <v>-</v>
      </c>
    </row>
    <row r="27790">
      <c r="B27790" t="str">
        <v>Công an xã Xuân Lai tỉnh Thanh Hóa</v>
      </c>
      <c r="C27790" t="str">
        <v>-</v>
      </c>
      <c r="D27790" t="str">
        <v>-</v>
      </c>
      <c r="E27790" t="str">
        <v/>
      </c>
      <c r="F27790" t="str">
        <v>-</v>
      </c>
      <c r="G27790" t="str">
        <v>-</v>
      </c>
    </row>
    <row r="27791">
      <c r="B27791" t="str">
        <v>UBND Ủy ban nhân dân xã Xuân Lai tỉnh Thanh Hóa</v>
      </c>
      <c r="C27791" t="str">
        <v>-</v>
      </c>
      <c r="D27791" t="str">
        <v>-</v>
      </c>
      <c r="E27791" t="str">
        <v>-</v>
      </c>
      <c r="F27791" t="str">
        <v>-</v>
      </c>
      <c r="G27791" t="str">
        <v>-</v>
      </c>
    </row>
    <row r="27792" xml:space="preserve">
      <c r="B27792" t="str" xml:space="preserve">
        <v xml:space="preserve">Công an xã xuân Linh _x000d_
 tỉnh Hà Tĩnh</v>
      </c>
      <c r="C27792" t="str">
        <v>-</v>
      </c>
      <c r="D27792" t="str">
        <v>-</v>
      </c>
      <c r="E27792" t="str">
        <v/>
      </c>
      <c r="F27792" t="str">
        <v>-</v>
      </c>
      <c r="G27792" t="str">
        <v>-</v>
      </c>
    </row>
    <row r="27793" xml:space="preserve">
      <c r="B27793" t="str" xml:space="preserve">
        <v xml:space="preserve">UBND Ủy ban nhân dân xã xuân Linh _x000d_
 tỉnh Hà Tĩnh</v>
      </c>
      <c r="C27793" t="str">
        <v>-</v>
      </c>
      <c r="D27793" t="str">
        <v>-</v>
      </c>
      <c r="E27793" t="str">
        <v>-</v>
      </c>
      <c r="F27793" t="str">
        <v>-</v>
      </c>
      <c r="G27793" t="str">
        <v>-</v>
      </c>
    </row>
    <row r="27794" xml:space="preserve">
      <c r="B27794" t="str" xml:space="preserve">
        <v xml:space="preserve">Công an xã Xuân Lao _x000d_
 tỉnh Điện Biên</v>
      </c>
      <c r="C27794" t="str">
        <v>-</v>
      </c>
      <c r="D27794" t="str">
        <v>-</v>
      </c>
      <c r="E27794" t="str">
        <v/>
      </c>
      <c r="F27794" t="str">
        <v>-</v>
      </c>
      <c r="G27794" t="str">
        <v>-</v>
      </c>
    </row>
    <row r="27795" xml:space="preserve">
      <c r="B27795" t="str" xml:space="preserve">
        <v xml:space="preserve">UBND Ủy ban nhân dân xã Xuân Lao _x000d_
 tỉnh Điện Biên</v>
      </c>
      <c r="C27795" t="str">
        <v>-</v>
      </c>
      <c r="D27795" t="str">
        <v>-</v>
      </c>
      <c r="E27795" t="str">
        <v>-</v>
      </c>
      <c r="F27795" t="str">
        <v>-</v>
      </c>
      <c r="G27795" t="str">
        <v>-</v>
      </c>
    </row>
    <row r="27796" xml:space="preserve">
      <c r="B27796" t="str" xml:space="preserve">
        <v xml:space="preserve">Công an xã Xuân Liên _x000d_
 tỉnh Hà Tĩnh</v>
      </c>
      <c r="C27796" t="str">
        <v>-</v>
      </c>
      <c r="D27796" t="str">
        <v>-</v>
      </c>
      <c r="E27796" t="str">
        <v/>
      </c>
      <c r="F27796" t="str">
        <v>-</v>
      </c>
      <c r="G27796" t="str">
        <v>-</v>
      </c>
    </row>
    <row r="27797" xml:space="preserve">
      <c r="B27797" t="str" xml:space="preserve">
        <v xml:space="preserve">UBND Ủy ban nhân dân xã Xuân Liên _x000d_
 tỉnh Hà Tĩnh</v>
      </c>
      <c r="C27797" t="str">
        <v>-</v>
      </c>
      <c r="D27797" t="str">
        <v>-</v>
      </c>
      <c r="E27797" t="str">
        <v>-</v>
      </c>
      <c r="F27797" t="str">
        <v>-</v>
      </c>
      <c r="G27797" t="str">
        <v>-</v>
      </c>
    </row>
    <row r="27798">
      <c r="B27798" t="str">
        <v>Công an xã Xuân Minh  tỉnh Thanh Hóa</v>
      </c>
      <c r="C27798" t="str">
        <v>-</v>
      </c>
      <c r="D27798" t="str">
        <v>-</v>
      </c>
      <c r="E27798" t="str">
        <v/>
      </c>
      <c r="F27798" t="str">
        <v>-</v>
      </c>
      <c r="G27798" t="str">
        <v>-</v>
      </c>
    </row>
    <row r="27799">
      <c r="B27799" t="str">
        <v>UBND Ủy ban nhân dân xã Xuân Minh  tỉnh Thanh Hóa</v>
      </c>
      <c r="C27799" t="str">
        <v>-</v>
      </c>
      <c r="D27799" t="str">
        <v>-</v>
      </c>
      <c r="E27799" t="str">
        <v>-</v>
      </c>
      <c r="F27799" t="str">
        <v>-</v>
      </c>
      <c r="G27799" t="str">
        <v>-</v>
      </c>
    </row>
    <row r="27800" xml:space="preserve">
      <c r="B27800" t="str" xml:space="preserve">
        <v xml:space="preserve">Công an xã Xuân Ninh _x000d_
 tỉnh Quảng Ninh</v>
      </c>
      <c r="C27800" t="str">
        <v>-</v>
      </c>
      <c r="D27800" t="str">
        <v>-</v>
      </c>
      <c r="E27800" t="str">
        <v/>
      </c>
      <c r="F27800" t="str">
        <v>-</v>
      </c>
      <c r="G27800" t="str">
        <v>-</v>
      </c>
    </row>
    <row r="27801" xml:space="preserve">
      <c r="B27801" t="str" xml:space="preserve">
        <v xml:space="preserve">UBND Ủy ban nhân dân xã Xuân Ninh _x000d_
 tỉnh Quảng Ninh</v>
      </c>
      <c r="C27801" t="str">
        <v>-</v>
      </c>
      <c r="D27801" t="str">
        <v>-</v>
      </c>
      <c r="E27801" t="str">
        <v>-</v>
      </c>
      <c r="F27801" t="str">
        <v>-</v>
      </c>
      <c r="G27801" t="str">
        <v>-</v>
      </c>
    </row>
    <row r="27802">
      <c r="B27802" t="str">
        <v>Công an xã Xuân Phú tỉnh Thanh Hóa</v>
      </c>
      <c r="C27802" t="str">
        <v>-</v>
      </c>
      <c r="D27802" t="str">
        <v>-</v>
      </c>
      <c r="E27802" t="str">
        <v/>
      </c>
      <c r="F27802" t="str">
        <v>-</v>
      </c>
      <c r="G27802" t="str">
        <v>-</v>
      </c>
    </row>
    <row r="27803">
      <c r="B27803" t="str">
        <v>UBND Ủy ban nhân dân xã Xuân Phú tỉnh Thanh Hóa</v>
      </c>
      <c r="C27803" t="str">
        <v>-</v>
      </c>
      <c r="D27803" t="str">
        <v>-</v>
      </c>
      <c r="E27803" t="str">
        <v>-</v>
      </c>
      <c r="F27803" t="str">
        <v>-</v>
      </c>
      <c r="G27803" t="str">
        <v>-</v>
      </c>
    </row>
    <row r="27804" xml:space="preserve">
      <c r="B27804" t="str" xml:space="preserve">
        <v xml:space="preserve">Công an xã Xuân Quan _x000d_
 tỉnh Thanh Hóa</v>
      </c>
      <c r="C27804" t="str">
        <v>-</v>
      </c>
      <c r="D27804" t="str">
        <v>-</v>
      </c>
      <c r="E27804" t="str">
        <v/>
      </c>
      <c r="F27804" t="str">
        <v>-</v>
      </c>
      <c r="G27804" t="str">
        <v>-</v>
      </c>
    </row>
    <row r="27805" xml:space="preserve">
      <c r="B27805" t="str" xml:space="preserve">
        <v xml:space="preserve">UBND Ủy ban nhân dân xã Xuân Quan _x000d_
 tỉnh Thanh Hóa</v>
      </c>
      <c r="C27805" t="str">
        <v>-</v>
      </c>
      <c r="D27805" t="str">
        <v>-</v>
      </c>
      <c r="E27805" t="str">
        <v>-</v>
      </c>
      <c r="F27805" t="str">
        <v>-</v>
      </c>
      <c r="G27805" t="str">
        <v>-</v>
      </c>
    </row>
    <row r="27806" xml:space="preserve">
      <c r="B27806" t="str" xml:space="preserve">
        <v xml:space="preserve">Công an xã xuân sơn _x000d_
 tỉnh Phú Thọ</v>
      </c>
      <c r="C27806" t="str">
        <v>-</v>
      </c>
      <c r="D27806" t="str">
        <v>-</v>
      </c>
      <c r="E27806" t="str">
        <v/>
      </c>
      <c r="F27806" t="str">
        <v>-</v>
      </c>
      <c r="G27806" t="str">
        <v>-</v>
      </c>
    </row>
    <row r="27807" xml:space="preserve">
      <c r="B27807" t="str" xml:space="preserve">
        <v xml:space="preserve">UBND Ủy ban nhân dân xã xuân sơn _x000d_
 tỉnh Phú Thọ</v>
      </c>
      <c r="C27807" t="str">
        <v>-</v>
      </c>
      <c r="D27807" t="str">
        <v>-</v>
      </c>
      <c r="E27807" t="str">
        <v>-</v>
      </c>
      <c r="F27807" t="str">
        <v>-</v>
      </c>
      <c r="G27807" t="str">
        <v>-</v>
      </c>
    </row>
    <row r="27808">
      <c r="B27808" t="str">
        <v>Công an xã Xuân Tân tỉnh Nam Định</v>
      </c>
      <c r="C27808" t="str">
        <v>-</v>
      </c>
      <c r="D27808" t="str">
        <v>-</v>
      </c>
      <c r="E27808" t="str">
        <v/>
      </c>
      <c r="F27808" t="str">
        <v>-</v>
      </c>
      <c r="G27808" t="str">
        <v>-</v>
      </c>
    </row>
    <row r="27809">
      <c r="B27809" t="str">
        <v>UBND Ủy ban nhân dân xã Xuân Tân tỉnh Nam Định</v>
      </c>
      <c r="C27809" t="str">
        <v>-</v>
      </c>
      <c r="D27809" t="str">
        <v>-</v>
      </c>
      <c r="E27809" t="str">
        <v>-</v>
      </c>
      <c r="F27809" t="str">
        <v>-</v>
      </c>
      <c r="G27809" t="str">
        <v>-</v>
      </c>
    </row>
    <row r="27810" xml:space="preserve">
      <c r="B27810" t="str" xml:space="preserve">
        <v xml:space="preserve">Công an xã Xuân Tín _x000d_
 tỉnh Thanh Hóa</v>
      </c>
      <c r="C27810" t="str">
        <v>-</v>
      </c>
      <c r="D27810" t="str">
        <v>-</v>
      </c>
      <c r="E27810" t="str">
        <v/>
      </c>
      <c r="F27810" t="str">
        <v>-</v>
      </c>
      <c r="G27810" t="str">
        <v>-</v>
      </c>
    </row>
    <row r="27811" xml:space="preserve">
      <c r="B27811" t="str" xml:space="preserve">
        <v xml:space="preserve">UBND Ủy ban nhân dân xã Xuân Tín _x000d_
 tỉnh Thanh Hóa</v>
      </c>
      <c r="C27811" t="str">
        <v>-</v>
      </c>
      <c r="D27811" t="str">
        <v>-</v>
      </c>
      <c r="E27811" t="str">
        <v>-</v>
      </c>
      <c r="F27811" t="str">
        <v>-</v>
      </c>
      <c r="G27811" t="str">
        <v>-</v>
      </c>
    </row>
    <row r="27812">
      <c r="B27812" t="str">
        <v>Công an xã Xuân Tầm tỉnh Yên Bái</v>
      </c>
      <c r="C27812" t="str">
        <v>-</v>
      </c>
      <c r="D27812" t="str">
        <v>-</v>
      </c>
      <c r="E27812" t="str">
        <v/>
      </c>
      <c r="F27812" t="str">
        <v>-</v>
      </c>
      <c r="G27812" t="str">
        <v>-</v>
      </c>
    </row>
    <row r="27813">
      <c r="B27813" t="str">
        <v>UBND Ủy ban nhân dân xã Xuân Tầm tỉnh Yên Bái</v>
      </c>
      <c r="C27813" t="str">
        <v>-</v>
      </c>
      <c r="D27813" t="str">
        <v>-</v>
      </c>
      <c r="E27813" t="str">
        <v>-</v>
      </c>
      <c r="F27813" t="str">
        <v>-</v>
      </c>
      <c r="G27813" t="str">
        <v>-</v>
      </c>
    </row>
    <row r="27814" xml:space="preserve">
      <c r="B27814" t="str" xml:space="preserve">
        <v xml:space="preserve">Công an xã Xuân Thành _x000d_
 tỉnh Nghệ An</v>
      </c>
      <c r="C27814" t="str">
        <v>-</v>
      </c>
      <c r="D27814" t="str">
        <v>-</v>
      </c>
      <c r="E27814" t="str">
        <v/>
      </c>
      <c r="F27814" t="str">
        <v>-</v>
      </c>
      <c r="G27814" t="str">
        <v>-</v>
      </c>
    </row>
    <row r="27815" xml:space="preserve">
      <c r="B27815" t="str" xml:space="preserve">
        <v xml:space="preserve">UBND Ủy ban nhân dân xã Xuân Thành _x000d_
 tỉnh Nghệ An</v>
      </c>
      <c r="C27815" t="str">
        <v>-</v>
      </c>
      <c r="D27815" t="str">
        <v>-</v>
      </c>
      <c r="E27815" t="str">
        <v>-</v>
      </c>
      <c r="F27815" t="str">
        <v>-</v>
      </c>
      <c r="G27815" t="str">
        <v>-</v>
      </c>
    </row>
    <row r="27816">
      <c r="B27816" t="str">
        <v>Công an xã Xuân Thái tỉnh Thanh Hóa</v>
      </c>
      <c r="C27816" t="str">
        <v>-</v>
      </c>
      <c r="D27816" t="str">
        <v>-</v>
      </c>
      <c r="E27816" t="str">
        <v/>
      </c>
      <c r="F27816" t="str">
        <v>-</v>
      </c>
      <c r="G27816" t="str">
        <v>-</v>
      </c>
    </row>
    <row r="27817">
      <c r="B27817" t="str">
        <v>UBND Ủy ban nhân dân xã Xuân Thái tỉnh Thanh Hóa</v>
      </c>
      <c r="C27817" t="str">
        <v>-</v>
      </c>
      <c r="D27817" t="str">
        <v>-</v>
      </c>
      <c r="E27817" t="str">
        <v>-</v>
      </c>
      <c r="F27817" t="str">
        <v>-</v>
      </c>
      <c r="G27817" t="str">
        <v>-</v>
      </c>
    </row>
    <row r="27818" xml:space="preserve">
      <c r="B27818" t="str" xml:space="preserve">
        <v xml:space="preserve">Công an xã Xuân Thượng _x000d_
 tỉnh Lào Cai</v>
      </c>
      <c r="C27818" t="str">
        <v>-</v>
      </c>
      <c r="D27818" t="str">
        <v>-</v>
      </c>
      <c r="E27818" t="str">
        <v/>
      </c>
      <c r="F27818" t="str">
        <v>-</v>
      </c>
      <c r="G27818" t="str">
        <v>-</v>
      </c>
    </row>
    <row r="27819" xml:space="preserve">
      <c r="B27819" t="str" xml:space="preserve">
        <v xml:space="preserve">UBND Ủy ban nhân dân xã Xuân Thượng _x000d_
 tỉnh Lào Cai</v>
      </c>
      <c r="C27819" t="str">
        <v>-</v>
      </c>
      <c r="D27819" t="str">
        <v>-</v>
      </c>
      <c r="E27819" t="str">
        <v>-</v>
      </c>
      <c r="F27819" t="str">
        <v>-</v>
      </c>
      <c r="G27819" t="str">
        <v>-</v>
      </c>
    </row>
    <row r="27820">
      <c r="B27820" t="str">
        <v>Công an xã Xuân Thịnh tỉnh Thanh Hóa</v>
      </c>
      <c r="C27820" t="str">
        <v>-</v>
      </c>
      <c r="D27820" t="str">
        <v>-</v>
      </c>
      <c r="E27820" t="str">
        <v/>
      </c>
      <c r="F27820" t="str">
        <v>-</v>
      </c>
      <c r="G27820" t="str">
        <v>-</v>
      </c>
    </row>
    <row r="27821">
      <c r="B27821" t="str">
        <v>UBND Ủy ban nhân dân xã Xuân Thịnh tỉnh Thanh Hóa</v>
      </c>
      <c r="C27821" t="str">
        <v>-</v>
      </c>
      <c r="D27821" t="str">
        <v>-</v>
      </c>
      <c r="E27821" t="str">
        <v>-</v>
      </c>
      <c r="F27821" t="str">
        <v>-</v>
      </c>
      <c r="G27821" t="str">
        <v>-</v>
      </c>
    </row>
    <row r="27822">
      <c r="B27822" t="str">
        <v>Công an xã Xuân Thọ tỉnh Thanh Hóa</v>
      </c>
      <c r="C27822" t="str">
        <v>-</v>
      </c>
      <c r="D27822" t="str">
        <v>-</v>
      </c>
      <c r="E27822" t="str">
        <v/>
      </c>
      <c r="F27822" t="str">
        <v>-</v>
      </c>
      <c r="G27822" t="str">
        <v>-</v>
      </c>
    </row>
    <row r="27823">
      <c r="B27823" t="str">
        <v>UBND Ủy ban nhân dân xã Xuân Thọ tỉnh Thanh Hóa</v>
      </c>
      <c r="C27823" t="str">
        <v>-</v>
      </c>
      <c r="D27823" t="str">
        <v>-</v>
      </c>
      <c r="E27823" t="str">
        <v>-</v>
      </c>
      <c r="F27823" t="str">
        <v>-</v>
      </c>
      <c r="G27823" t="str">
        <v>-</v>
      </c>
    </row>
    <row r="27824" xml:space="preserve">
      <c r="B27824" t="str" xml:space="preserve">
        <v xml:space="preserve">Công an xã Xuân Thiên _x000d_
 tỉnh Đồng Nai</v>
      </c>
      <c r="C27824" t="str">
        <v>-</v>
      </c>
      <c r="D27824" t="str">
        <v>-</v>
      </c>
      <c r="E27824" t="str">
        <v/>
      </c>
      <c r="F27824" t="str">
        <v>-</v>
      </c>
      <c r="G27824" t="str">
        <v>-</v>
      </c>
    </row>
    <row r="27825" xml:space="preserve">
      <c r="B27825" t="str" xml:space="preserve">
        <v xml:space="preserve">UBND Ủy ban nhân dân xã Xuân Thiên _x000d_
 tỉnh Đồng Nai</v>
      </c>
      <c r="C27825" t="str">
        <v>-</v>
      </c>
      <c r="D27825" t="str">
        <v>-</v>
      </c>
      <c r="E27825" t="str">
        <v>-</v>
      </c>
      <c r="F27825" t="str">
        <v>-</v>
      </c>
      <c r="G27825" t="str">
        <v>-</v>
      </c>
    </row>
    <row r="27826" xml:space="preserve">
      <c r="B27826" t="str" xml:space="preserve">
        <v xml:space="preserve">Công an xã Xuân Thuỷ _x000d_
 tỉnh Nam Định</v>
      </c>
      <c r="C27826" t="str">
        <v>-</v>
      </c>
      <c r="D27826" t="str">
        <v>-</v>
      </c>
      <c r="E27826" t="str">
        <v/>
      </c>
      <c r="F27826" t="str">
        <v>-</v>
      </c>
      <c r="G27826" t="str">
        <v>-</v>
      </c>
    </row>
    <row r="27827" xml:space="preserve">
      <c r="B27827" t="str" xml:space="preserve">
        <v xml:space="preserve">UBND Ủy ban nhân dân xã Xuân Thuỷ _x000d_
 tỉnh Nam Định</v>
      </c>
      <c r="C27827" t="str">
        <v>-</v>
      </c>
      <c r="D27827" t="str">
        <v>-</v>
      </c>
      <c r="E27827" t="str">
        <v>-</v>
      </c>
      <c r="F27827" t="str">
        <v>-</v>
      </c>
      <c r="G27827" t="str">
        <v>-</v>
      </c>
    </row>
    <row r="27828" xml:space="preserve">
      <c r="B27828" t="str" xml:space="preserve">
        <v xml:space="preserve">Công an xã Xuân Trường _x000d_
 tỉnh Thanh Hóa</v>
      </c>
      <c r="C27828" t="str">
        <v>-</v>
      </c>
      <c r="D27828" t="str">
        <v>-</v>
      </c>
      <c r="E27828" t="str">
        <v/>
      </c>
      <c r="F27828" t="str">
        <v>-</v>
      </c>
      <c r="G27828" t="str">
        <v>-</v>
      </c>
    </row>
    <row r="27829" xml:space="preserve">
      <c r="B27829" t="str" xml:space="preserve">
        <v xml:space="preserve">UBND Ủy ban nhân dân xã Xuân Trường _x000d_
 tỉnh Thanh Hóa</v>
      </c>
      <c r="C27829" t="str">
        <v>-</v>
      </c>
      <c r="D27829" t="str">
        <v>-</v>
      </c>
      <c r="E27829" t="str">
        <v>-</v>
      </c>
      <c r="F27829" t="str">
        <v>-</v>
      </c>
      <c r="G27829" t="str">
        <v>-</v>
      </c>
    </row>
    <row r="27830" xml:space="preserve">
      <c r="B27830" t="str" xml:space="preserve">
        <v xml:space="preserve">Công an xã Xuân Trường _x000d_
 tỉnh Thanh Hóa</v>
      </c>
      <c r="C27830" t="str">
        <v>-</v>
      </c>
      <c r="D27830" t="str">
        <v>-</v>
      </c>
      <c r="E27830" t="str">
        <v/>
      </c>
      <c r="F27830" t="str">
        <v>-</v>
      </c>
      <c r="G27830" t="str">
        <v>-</v>
      </c>
    </row>
    <row r="27831" xml:space="preserve">
      <c r="B27831" t="str" xml:space="preserve">
        <v xml:space="preserve">UBND Ủy ban nhân dân xã Xuân Trường _x000d_
 tỉnh Thanh Hóa</v>
      </c>
      <c r="C27831" t="str">
        <v>-</v>
      </c>
      <c r="D27831" t="str">
        <v>-</v>
      </c>
      <c r="E27831" t="str">
        <v>-</v>
      </c>
      <c r="F27831" t="str">
        <v>-</v>
      </c>
      <c r="G27831" t="str">
        <v>-</v>
      </c>
    </row>
    <row r="27832" xml:space="preserve">
      <c r="B27832" t="str" xml:space="preserve">
        <v xml:space="preserve">_x000d_
Công an xã Xuất Hoá_x000d_
 tỉnh Hòa Bình</v>
      </c>
    </row>
    <row r="27833" xml:space="preserve">
      <c r="B27833" t="str" xml:space="preserve">
        <v xml:space="preserve">UBND Ủy ban nhân dânn xã Xuất Hoá_x000d_
 tỉnh Hòa Bình</v>
      </c>
      <c r="C27833" t="str">
        <v>-</v>
      </c>
      <c r="D27833" t="str">
        <v>-</v>
      </c>
      <c r="E27833" t="str">
        <v>-</v>
      </c>
      <c r="F27833" t="str">
        <v>-</v>
      </c>
      <c r="G27833" t="str">
        <v>-</v>
      </c>
    </row>
    <row r="27834">
      <c r="B27834" t="str">
        <v>Công an xã Yên Đổ tỉnh Thái Nguyên</v>
      </c>
      <c r="C27834" t="str">
        <v>-</v>
      </c>
      <c r="D27834" t="str">
        <v>-</v>
      </c>
      <c r="E27834" t="str">
        <v/>
      </c>
      <c r="F27834" t="str">
        <v>-</v>
      </c>
      <c r="G27834" t="str">
        <v>-</v>
      </c>
    </row>
    <row r="27835">
      <c r="B27835" t="str">
        <v>UBND Ủy ban nhân dân xã Yên Đổ tỉnh Thái Nguyên</v>
      </c>
      <c r="C27835" t="str">
        <v>-</v>
      </c>
      <c r="D27835" t="str">
        <v>-</v>
      </c>
      <c r="E27835" t="str">
        <v>-</v>
      </c>
      <c r="F27835" t="str">
        <v>-</v>
      </c>
      <c r="G27835" t="str">
        <v>-</v>
      </c>
    </row>
    <row r="27836">
      <c r="B27836" t="str">
        <v>Công an xã Yên Bồng  tỉnh Hòa Bình</v>
      </c>
      <c r="C27836" t="str">
        <v>-</v>
      </c>
      <c r="D27836" t="str">
        <v>-</v>
      </c>
      <c r="E27836" t="str">
        <v/>
      </c>
      <c r="F27836" t="str">
        <v>-</v>
      </c>
      <c r="G27836" t="str">
        <v>-</v>
      </c>
    </row>
    <row r="27837">
      <c r="B27837" t="str">
        <v>UBND Ủy ban nhân dân xã Yên Bồng  tỉnh Hòa Bình</v>
      </c>
      <c r="C27837" t="str">
        <v>-</v>
      </c>
      <c r="D27837" t="str">
        <v>-</v>
      </c>
      <c r="E27837" t="str">
        <v>-</v>
      </c>
      <c r="F27837" t="str">
        <v>-</v>
      </c>
      <c r="G27837" t="str">
        <v>-</v>
      </c>
    </row>
    <row r="27838" xml:space="preserve">
      <c r="B27838" t="str" xml:space="preserve">
        <v xml:space="preserve">Công an xã Yên Cư _x000d_
 tỉnh Bắc Kạn</v>
      </c>
      <c r="C27838" t="str">
        <v>-</v>
      </c>
      <c r="D27838" t="str">
        <v>-</v>
      </c>
      <c r="E27838" t="str">
        <v/>
      </c>
      <c r="F27838" t="str">
        <v>-</v>
      </c>
      <c r="G27838" t="str">
        <v>-</v>
      </c>
    </row>
    <row r="27839" xml:space="preserve">
      <c r="B27839" t="str" xml:space="preserve">
        <v xml:space="preserve">UBND Ủy ban nhân dân xã Yên Cư _x000d_
 tỉnh Bắc Kạn</v>
      </c>
      <c r="C27839" t="str">
        <v>-</v>
      </c>
      <c r="D27839" t="str">
        <v>-</v>
      </c>
      <c r="E27839" t="str">
        <v>-</v>
      </c>
      <c r="F27839" t="str">
        <v>-</v>
      </c>
      <c r="G27839" t="str">
        <v>-</v>
      </c>
    </row>
    <row r="27840" xml:space="preserve">
      <c r="B27840" t="str" xml:space="preserve">
        <v xml:space="preserve">Công an xã Yên Chính _x000d_
 tỉnh Nam Định</v>
      </c>
      <c r="C27840" t="str">
        <v>-</v>
      </c>
      <c r="D27840" t="str">
        <v>-</v>
      </c>
      <c r="E27840" t="str">
        <v/>
      </c>
      <c r="F27840" t="str">
        <v>-</v>
      </c>
      <c r="G27840" t="str">
        <v>-</v>
      </c>
    </row>
    <row r="27841" xml:space="preserve">
      <c r="B27841" t="str" xml:space="preserve">
        <v xml:space="preserve">UBND Ủy ban nhân dân xã Yên Chính _x000d_
 tỉnh Nam Định</v>
      </c>
      <c r="C27841" t="str">
        <v>-</v>
      </c>
      <c r="D27841" t="str">
        <v>-</v>
      </c>
      <c r="E27841" t="str">
        <v>-</v>
      </c>
      <c r="F27841" t="str">
        <v>-</v>
      </c>
      <c r="G27841" t="str">
        <v>-</v>
      </c>
    </row>
    <row r="27842">
      <c r="B27842" t="str">
        <v>Công an xã Yên Hưng tỉnh Nam Định</v>
      </c>
      <c r="C27842" t="str">
        <v>-</v>
      </c>
      <c r="D27842" t="str">
        <v>-</v>
      </c>
      <c r="E27842" t="str">
        <v/>
      </c>
      <c r="F27842" t="str">
        <v>-</v>
      </c>
      <c r="G27842" t="str">
        <v>-</v>
      </c>
    </row>
    <row r="27843">
      <c r="B27843" t="str">
        <v>UBND Ủy ban nhân dân xã Yên Hưng tỉnh Nam Định</v>
      </c>
      <c r="C27843" t="str">
        <v>-</v>
      </c>
      <c r="D27843" t="str">
        <v>-</v>
      </c>
      <c r="E27843" t="str">
        <v>-</v>
      </c>
      <c r="F27843" t="str">
        <v>-</v>
      </c>
      <c r="G27843" t="str">
        <v>-</v>
      </c>
    </row>
    <row r="27844">
      <c r="B27844" t="str">
        <v>Công an xã Yên Hưng tỉnh Sơn La</v>
      </c>
      <c r="C27844" t="str">
        <v>-</v>
      </c>
      <c r="D27844" t="str">
        <v>-</v>
      </c>
      <c r="E27844" t="str">
        <v/>
      </c>
      <c r="F27844" t="str">
        <v>-</v>
      </c>
      <c r="G27844" t="str">
        <v>-</v>
      </c>
    </row>
    <row r="27845">
      <c r="B27845" t="str">
        <v>UBND Ủy ban nhân dân xã Yên Hưng tỉnh Sơn La</v>
      </c>
      <c r="C27845" t="str">
        <v>-</v>
      </c>
      <c r="D27845" t="str">
        <v>-</v>
      </c>
      <c r="E27845" t="str">
        <v>-</v>
      </c>
      <c r="F27845" t="str">
        <v>-</v>
      </c>
      <c r="G27845" t="str">
        <v>-</v>
      </c>
    </row>
    <row r="27846">
      <c r="B27846" t="str">
        <v>Công an xã Yên Hưng tỉnh Ninh Bình</v>
      </c>
      <c r="C27846" t="str">
        <v>-</v>
      </c>
      <c r="D27846" t="str">
        <v>-</v>
      </c>
      <c r="E27846" t="str">
        <v/>
      </c>
      <c r="F27846" t="str">
        <v>-</v>
      </c>
      <c r="G27846" t="str">
        <v>-</v>
      </c>
    </row>
    <row r="27847">
      <c r="B27847" t="str">
        <v>UBND Ủy ban nhân dân xã Yên Hưng tỉnh Ninh Bình</v>
      </c>
      <c r="C27847" t="str">
        <v>-</v>
      </c>
      <c r="D27847" t="str">
        <v>-</v>
      </c>
      <c r="E27847" t="str">
        <v>-</v>
      </c>
      <c r="F27847" t="str">
        <v>-</v>
      </c>
      <c r="G27847" t="str">
        <v>-</v>
      </c>
    </row>
    <row r="27848">
      <c r="B27848" t="str">
        <v>Công an xã Yên Hồ tỉnh Hà Tĩnh</v>
      </c>
      <c r="C27848" t="str">
        <v>-</v>
      </c>
      <c r="D27848" t="str">
        <v>-</v>
      </c>
      <c r="E27848" t="str">
        <v/>
      </c>
      <c r="F27848" t="str">
        <v>-</v>
      </c>
      <c r="G27848" t="str">
        <v>-</v>
      </c>
    </row>
    <row r="27849">
      <c r="B27849" t="str">
        <v>UBND Ủy ban nhân dân xã Yên Hồ tỉnh Hà Tĩnh</v>
      </c>
      <c r="C27849" t="str">
        <v>-</v>
      </c>
      <c r="D27849" t="str">
        <v>-</v>
      </c>
      <c r="E27849" t="str">
        <v>-</v>
      </c>
      <c r="F27849" t="str">
        <v>-</v>
      </c>
      <c r="G27849" t="str">
        <v>-</v>
      </c>
    </row>
    <row r="27850">
      <c r="B27850" t="str">
        <v>Công an xã Yên Khánh tỉnh Nam Định</v>
      </c>
      <c r="C27850" t="str">
        <v>-</v>
      </c>
      <c r="D27850" t="str">
        <v>-</v>
      </c>
      <c r="E27850" t="str">
        <v/>
      </c>
      <c r="F27850" t="str">
        <v>-</v>
      </c>
      <c r="G27850" t="str">
        <v>-</v>
      </c>
    </row>
    <row r="27851">
      <c r="B27851" t="str">
        <v>UBND Ủy ban nhân dân xã Yên Khánh tỉnh Nam Định</v>
      </c>
      <c r="C27851" t="str">
        <v>-</v>
      </c>
      <c r="D27851" t="str">
        <v>-</v>
      </c>
      <c r="E27851" t="str">
        <v>-</v>
      </c>
      <c r="F27851" t="str">
        <v>-</v>
      </c>
      <c r="G27851" t="str">
        <v>-</v>
      </c>
    </row>
    <row r="27852">
      <c r="B27852" t="str">
        <v>Công an xã Yên Lãng tỉnh Thái Nguyên</v>
      </c>
      <c r="C27852" t="str">
        <v>-</v>
      </c>
      <c r="D27852" t="str">
        <v>-</v>
      </c>
      <c r="E27852" t="str">
        <v/>
      </c>
      <c r="F27852" t="str">
        <v>-</v>
      </c>
      <c r="G27852" t="str">
        <v>-</v>
      </c>
    </row>
    <row r="27853">
      <c r="B27853" t="str">
        <v>UBND Ủy ban nhân dân xã Yên Lãng tỉnh Thái Nguyên</v>
      </c>
      <c r="C27853" t="str">
        <v>-</v>
      </c>
      <c r="D27853" t="str">
        <v>-</v>
      </c>
      <c r="E27853" t="str">
        <v>-</v>
      </c>
      <c r="F27853" t="str">
        <v>-</v>
      </c>
      <c r="G27853" t="str">
        <v>-</v>
      </c>
    </row>
    <row r="27854">
      <c r="B27854" t="str">
        <v>Công an xã Yên Lương tỉnh Nam Định</v>
      </c>
      <c r="C27854" t="str">
        <v>-</v>
      </c>
      <c r="D27854" t="str">
        <v>-</v>
      </c>
      <c r="E27854" t="str">
        <v/>
      </c>
      <c r="F27854" t="str">
        <v>-</v>
      </c>
      <c r="G27854" t="str">
        <v>-</v>
      </c>
    </row>
    <row r="27855">
      <c r="B27855" t="str">
        <v>UBND Ủy ban nhân dân xã Yên Lương tỉnh Nam Định</v>
      </c>
      <c r="C27855" t="str">
        <v>-</v>
      </c>
      <c r="D27855" t="str">
        <v>-</v>
      </c>
      <c r="E27855" t="str">
        <v>-</v>
      </c>
      <c r="F27855" t="str">
        <v>-</v>
      </c>
      <c r="G27855" t="str">
        <v>-</v>
      </c>
    </row>
    <row r="27856">
      <c r="B27856" t="str">
        <v>Công an xã Yên Lương tỉnh Nam Định</v>
      </c>
      <c r="C27856" t="str">
        <v>-</v>
      </c>
      <c r="D27856" t="str">
        <v>-</v>
      </c>
      <c r="E27856" t="str">
        <v/>
      </c>
      <c r="F27856" t="str">
        <v>-</v>
      </c>
      <c r="G27856" t="str">
        <v>-</v>
      </c>
    </row>
    <row r="27857">
      <c r="B27857" t="str">
        <v>UBND Ủy ban nhân dân xã Yên Lương tỉnh Nam Định</v>
      </c>
      <c r="C27857" t="str">
        <v>-</v>
      </c>
      <c r="D27857" t="str">
        <v>-</v>
      </c>
      <c r="E27857" t="str">
        <v>-</v>
      </c>
      <c r="F27857" t="str">
        <v>-</v>
      </c>
      <c r="G27857" t="str">
        <v>-</v>
      </c>
    </row>
    <row r="27858">
      <c r="B27858" t="str">
        <v>Công an xã Yên Lạc  tỉnh Thanh Hóa</v>
      </c>
      <c r="C27858" t="str">
        <v>-</v>
      </c>
      <c r="D27858" t="str">
        <v>-</v>
      </c>
      <c r="E27858" t="str">
        <v/>
      </c>
      <c r="F27858" t="str">
        <v>-</v>
      </c>
      <c r="G27858" t="str">
        <v>-</v>
      </c>
    </row>
    <row r="27859">
      <c r="B27859" t="str">
        <v>UBND Ủy ban nhân dân xã Yên Lạc  tỉnh Thanh Hóa</v>
      </c>
      <c r="C27859" t="str">
        <v>-</v>
      </c>
      <c r="D27859" t="str">
        <v>-</v>
      </c>
      <c r="E27859" t="str">
        <v>-</v>
      </c>
      <c r="F27859" t="str">
        <v>-</v>
      </c>
      <c r="G27859" t="str">
        <v>-</v>
      </c>
    </row>
    <row r="27860" xml:space="preserve">
      <c r="B27860" t="str" xml:space="preserve">
        <v xml:space="preserve">Công an xã Yên Luật _x000d_
 tỉnh Phú Thọ</v>
      </c>
      <c r="C27860" t="str">
        <v>-</v>
      </c>
      <c r="D27860" t="str">
        <v>-</v>
      </c>
      <c r="E27860" t="str">
        <v/>
      </c>
      <c r="F27860" t="str">
        <v>-</v>
      </c>
      <c r="G27860" t="str">
        <v>-</v>
      </c>
    </row>
    <row r="27861" xml:space="preserve">
      <c r="B27861" t="str" xml:space="preserve">
        <v xml:space="preserve">UBND Ủy ban nhân dân xã Yên Luật _x000d_
 tỉnh Phú Thọ</v>
      </c>
      <c r="C27861" t="str">
        <v>-</v>
      </c>
      <c r="D27861" t="str">
        <v>-</v>
      </c>
      <c r="E27861" t="str">
        <v>-</v>
      </c>
      <c r="F27861" t="str">
        <v>-</v>
      </c>
      <c r="G27861" t="str">
        <v>-</v>
      </c>
    </row>
    <row r="27862" xml:space="preserve">
      <c r="B27862" t="str" xml:space="preserve">
        <v xml:space="preserve">Công an xã Yên Mạc _x000d_
 tỉnh Ninh Bình</v>
      </c>
      <c r="C27862" t="str">
        <v>-</v>
      </c>
      <c r="D27862" t="str">
        <v>-</v>
      </c>
      <c r="E27862" t="str">
        <v/>
      </c>
      <c r="F27862" t="str">
        <v>-</v>
      </c>
      <c r="G27862" t="str">
        <v>-</v>
      </c>
    </row>
    <row r="27863" xml:space="preserve">
      <c r="B27863" t="str" xml:space="preserve">
        <v xml:space="preserve">UBND Ủy ban nhân dân xã Yên Mạc _x000d_
 tỉnh Ninh Bình</v>
      </c>
      <c r="C27863" t="str">
        <v>-</v>
      </c>
      <c r="D27863" t="str">
        <v>-</v>
      </c>
      <c r="E27863" t="str">
        <v>-</v>
      </c>
      <c r="F27863" t="str">
        <v>-</v>
      </c>
      <c r="G27863" t="str">
        <v>-</v>
      </c>
    </row>
    <row r="27864" xml:space="preserve">
      <c r="B27864" t="str" xml:space="preserve">
        <v xml:space="preserve">Công an xã Yên Mỹ _x000d_
 tỉnh Ninh Bình</v>
      </c>
      <c r="C27864" t="str">
        <v>-</v>
      </c>
      <c r="D27864" t="str">
        <v>-</v>
      </c>
      <c r="E27864" t="str">
        <v/>
      </c>
      <c r="F27864" t="str">
        <v>-</v>
      </c>
      <c r="G27864" t="str">
        <v>-</v>
      </c>
    </row>
    <row r="27865" xml:space="preserve">
      <c r="B27865" t="str" xml:space="preserve">
        <v xml:space="preserve">UBND Ủy ban nhân dân xã Yên Mỹ _x000d_
 tỉnh Ninh Bình</v>
      </c>
      <c r="C27865" t="str">
        <v>-</v>
      </c>
      <c r="D27865" t="str">
        <v>-</v>
      </c>
      <c r="E27865" t="str">
        <v>-</v>
      </c>
      <c r="F27865" t="str">
        <v>-</v>
      </c>
      <c r="G27865" t="str">
        <v>-</v>
      </c>
    </row>
    <row r="27866" xml:space="preserve">
      <c r="B27866" t="str" xml:space="preserve">
        <v xml:space="preserve">Công an xã Yên Mỹ _x000d_
 tỉnh Thanh Hóa</v>
      </c>
      <c r="C27866" t="str">
        <v>-</v>
      </c>
      <c r="D27866" t="str">
        <v>-</v>
      </c>
      <c r="E27866" t="str">
        <v/>
      </c>
      <c r="F27866" t="str">
        <v>-</v>
      </c>
      <c r="G27866" t="str">
        <v>-</v>
      </c>
    </row>
    <row r="27867" xml:space="preserve">
      <c r="B27867" t="str" xml:space="preserve">
        <v xml:space="preserve">UBND Ủy ban nhân dân xã Yên Mỹ _x000d_
 tỉnh Thanh Hóa</v>
      </c>
      <c r="C27867" t="str">
        <v>-</v>
      </c>
      <c r="D27867" t="str">
        <v>-</v>
      </c>
      <c r="E27867" t="str">
        <v>-</v>
      </c>
      <c r="F27867" t="str">
        <v>-</v>
      </c>
      <c r="G27867" t="str">
        <v>-</v>
      </c>
    </row>
    <row r="27868" xml:space="preserve">
      <c r="B27868" t="str" xml:space="preserve">
        <v xml:space="preserve">Công an xã Yên Na _x000d_
 tỉnh Nghệ An</v>
      </c>
      <c r="C27868" t="str">
        <v>-</v>
      </c>
      <c r="D27868" t="str">
        <v>-</v>
      </c>
      <c r="E27868" t="str">
        <v/>
      </c>
      <c r="F27868" t="str">
        <v>-</v>
      </c>
      <c r="G27868" t="str">
        <v>-</v>
      </c>
    </row>
    <row r="27869" xml:space="preserve">
      <c r="B27869" t="str" xml:space="preserve">
        <v xml:space="preserve">UBND Ủy ban nhân dân xã Yên Na _x000d_
 tỉnh Nghệ An</v>
      </c>
      <c r="C27869" t="str">
        <v>-</v>
      </c>
      <c r="D27869" t="str">
        <v>-</v>
      </c>
      <c r="E27869" t="str">
        <v>-</v>
      </c>
      <c r="F27869" t="str">
        <v>-</v>
      </c>
      <c r="G27869" t="str">
        <v>-</v>
      </c>
    </row>
    <row r="27870">
      <c r="B27870" t="str">
        <v>Công an xã Yên Nhân tỉnh Nam Định</v>
      </c>
      <c r="C27870" t="str">
        <v>-</v>
      </c>
      <c r="D27870" t="str">
        <v>-</v>
      </c>
      <c r="E27870" t="str">
        <v/>
      </c>
      <c r="F27870" t="str">
        <v>-</v>
      </c>
      <c r="G27870" t="str">
        <v>-</v>
      </c>
    </row>
    <row r="27871">
      <c r="B27871" t="str">
        <v>UBND Ủy ban nhân dân xã Yên Nhân tỉnh Nam Định</v>
      </c>
      <c r="C27871" t="str">
        <v>-</v>
      </c>
      <c r="D27871" t="str">
        <v>-</v>
      </c>
      <c r="E27871" t="str">
        <v>-</v>
      </c>
      <c r="F27871" t="str">
        <v>-</v>
      </c>
      <c r="G27871" t="str">
        <v>-</v>
      </c>
    </row>
    <row r="27872" xml:space="preserve">
      <c r="B27872" t="str" xml:space="preserve">
        <v xml:space="preserve">Công an xã Yên Nhân _x000d_
 tỉnh Nam Định</v>
      </c>
      <c r="C27872" t="str">
        <v>-</v>
      </c>
      <c r="D27872" t="str">
        <v>-</v>
      </c>
      <c r="E27872" t="str">
        <v/>
      </c>
      <c r="F27872" t="str">
        <v>-</v>
      </c>
      <c r="G27872" t="str">
        <v>-</v>
      </c>
    </row>
    <row r="27873" xml:space="preserve">
      <c r="B27873" t="str" xml:space="preserve">
        <v xml:space="preserve">UBND Ủy ban nhân dân xã Yên Nhân _x000d_
 tỉnh Nam Định</v>
      </c>
      <c r="C27873" t="str">
        <v>-</v>
      </c>
      <c r="D27873" t="str">
        <v>-</v>
      </c>
      <c r="E27873" t="str">
        <v>-</v>
      </c>
      <c r="F27873" t="str">
        <v>-</v>
      </c>
      <c r="G27873" t="str">
        <v>-</v>
      </c>
    </row>
    <row r="27874" xml:space="preserve">
      <c r="B27874" t="str" xml:space="preserve">
        <v xml:space="preserve">Công an xã Yên Nhân _x000d_
 tỉnh Thanh Hóa</v>
      </c>
      <c r="C27874" t="str">
        <v>-</v>
      </c>
      <c r="D27874" t="str">
        <v>-</v>
      </c>
      <c r="E27874" t="str">
        <v/>
      </c>
      <c r="F27874" t="str">
        <v>-</v>
      </c>
      <c r="G27874" t="str">
        <v>-</v>
      </c>
    </row>
    <row r="27875" xml:space="preserve">
      <c r="B27875" t="str" xml:space="preserve">
        <v xml:space="preserve">UBND Ủy ban nhân dân xã Yên Nhân _x000d_
 tỉnh Thanh Hóa</v>
      </c>
      <c r="C27875" t="str">
        <v>-</v>
      </c>
      <c r="D27875" t="str">
        <v>-</v>
      </c>
      <c r="E27875" t="str">
        <v>-</v>
      </c>
      <c r="F27875" t="str">
        <v>-</v>
      </c>
      <c r="G27875" t="str">
        <v>-</v>
      </c>
    </row>
    <row r="27876">
      <c r="B27876" t="str">
        <v>Công an xã Yên Ninh tỉnh Nam Định</v>
      </c>
      <c r="C27876" t="str">
        <v>-</v>
      </c>
      <c r="D27876" t="str">
        <v>-</v>
      </c>
      <c r="E27876" t="str">
        <v/>
      </c>
      <c r="F27876" t="str">
        <v>-</v>
      </c>
      <c r="G27876" t="str">
        <v>-</v>
      </c>
    </row>
    <row r="27877">
      <c r="B27877" t="str">
        <v>UBND Ủy ban nhân dân xã Yên Ninh tỉnh Nam Định</v>
      </c>
      <c r="C27877" t="str">
        <v>-</v>
      </c>
      <c r="D27877" t="str">
        <v>-</v>
      </c>
      <c r="E27877" t="str">
        <v>-</v>
      </c>
      <c r="F27877" t="str">
        <v>-</v>
      </c>
      <c r="G27877" t="str">
        <v>-</v>
      </c>
    </row>
    <row r="27878">
      <c r="B27878" t="str">
        <v>Công an xã Yên Ninh tỉnh Thái Nguyên</v>
      </c>
      <c r="C27878" t="str">
        <v>-</v>
      </c>
      <c r="D27878" t="str">
        <v>-</v>
      </c>
      <c r="E27878" t="str">
        <v/>
      </c>
      <c r="F27878" t="str">
        <v>-</v>
      </c>
      <c r="G27878" t="str">
        <v>-</v>
      </c>
    </row>
    <row r="27879">
      <c r="B27879" t="str">
        <v>UBND Ủy ban nhân dân xã Yên Ninh tỉnh Thái Nguyên</v>
      </c>
      <c r="C27879" t="str">
        <v>-</v>
      </c>
      <c r="D27879" t="str">
        <v>-</v>
      </c>
      <c r="E27879" t="str">
        <v>-</v>
      </c>
      <c r="F27879" t="str">
        <v>-</v>
      </c>
      <c r="G27879" t="str">
        <v>-</v>
      </c>
    </row>
    <row r="27880">
      <c r="B27880" t="str">
        <v>Công an xã Yên Phú tỉnh Hòa Bình</v>
      </c>
      <c r="C27880" t="str">
        <v>-</v>
      </c>
      <c r="D27880" t="str">
        <v>-</v>
      </c>
      <c r="E27880" t="str">
        <v/>
      </c>
      <c r="F27880" t="str">
        <v>-</v>
      </c>
      <c r="G27880" t="str">
        <v>-</v>
      </c>
    </row>
    <row r="27881">
      <c r="B27881" t="str">
        <v>UBND Ủy ban nhân dân xã Yên Phú tỉnh Hòa Bình</v>
      </c>
      <c r="C27881" t="str">
        <v>-</v>
      </c>
      <c r="D27881" t="str">
        <v>-</v>
      </c>
      <c r="E27881" t="str">
        <v>-</v>
      </c>
      <c r="F27881" t="str">
        <v>-</v>
      </c>
      <c r="G27881" t="str">
        <v>-</v>
      </c>
    </row>
    <row r="27882">
      <c r="B27882" t="str">
        <v>Công an xã Yên Tân tỉnh Nam Định</v>
      </c>
      <c r="C27882" t="str">
        <v>-</v>
      </c>
      <c r="D27882" t="str">
        <v>-</v>
      </c>
      <c r="E27882" t="str">
        <v/>
      </c>
      <c r="F27882" t="str">
        <v>-</v>
      </c>
      <c r="G27882" t="str">
        <v>-</v>
      </c>
    </row>
    <row r="27883">
      <c r="B27883" t="str">
        <v>UBND Ủy ban nhân dân xã Yên Tân tỉnh Nam Định</v>
      </c>
      <c r="C27883" t="str">
        <v>-</v>
      </c>
      <c r="D27883" t="str">
        <v>-</v>
      </c>
      <c r="E27883" t="str">
        <v>-</v>
      </c>
      <c r="F27883" t="str">
        <v>-</v>
      </c>
      <c r="G27883" t="str">
        <v>-</v>
      </c>
    </row>
    <row r="27884">
      <c r="B27884" t="str">
        <v>Công an xã Yên Từ  tỉnh Ninh Bình</v>
      </c>
      <c r="C27884" t="str">
        <v>-</v>
      </c>
      <c r="D27884" t="str">
        <v>-</v>
      </c>
      <c r="E27884" t="str">
        <v/>
      </c>
      <c r="F27884" t="str">
        <v>-</v>
      </c>
      <c r="G27884" t="str">
        <v>-</v>
      </c>
    </row>
    <row r="27885">
      <c r="B27885" t="str">
        <v>UBND Ủy ban nhân dân xã Yên Từ  tỉnh Ninh Bình</v>
      </c>
      <c r="C27885" t="str">
        <v>-</v>
      </c>
      <c r="D27885" t="str">
        <v>-</v>
      </c>
      <c r="E27885" t="str">
        <v>-</v>
      </c>
      <c r="F27885" t="str">
        <v>-</v>
      </c>
      <c r="G27885" t="str">
        <v>-</v>
      </c>
    </row>
    <row r="27886">
      <c r="B27886" t="str">
        <v>Công an xã Yên Thành tỉnh Nam Định</v>
      </c>
      <c r="C27886" t="str">
        <v>-</v>
      </c>
      <c r="D27886" t="str">
        <v>-</v>
      </c>
      <c r="E27886" t="str">
        <v/>
      </c>
      <c r="F27886" t="str">
        <v>-</v>
      </c>
      <c r="G27886" t="str">
        <v>-</v>
      </c>
    </row>
    <row r="27887">
      <c r="B27887" t="str">
        <v>UBND Ủy ban nhân dân xã Yên Thành tỉnh Nam Định</v>
      </c>
      <c r="C27887" t="str">
        <v>-</v>
      </c>
      <c r="D27887" t="str">
        <v>-</v>
      </c>
      <c r="E27887" t="str">
        <v>-</v>
      </c>
      <c r="F27887" t="str">
        <v>-</v>
      </c>
      <c r="G27887" t="str">
        <v>-</v>
      </c>
    </row>
    <row r="27888" xml:space="preserve">
      <c r="B27888" t="str" xml:space="preserve">
        <v xml:space="preserve">Công an xã Yên Thành _x000d_
 tỉnh Nam Định</v>
      </c>
      <c r="C27888" t="str">
        <v>-</v>
      </c>
      <c r="D27888" t="str">
        <v>-</v>
      </c>
      <c r="E27888" t="str">
        <v/>
      </c>
      <c r="F27888" t="str">
        <v>-</v>
      </c>
      <c r="G27888" t="str">
        <v>-</v>
      </c>
    </row>
    <row r="27889" xml:space="preserve">
      <c r="B27889" t="str" xml:space="preserve">
        <v xml:space="preserve">UBND Ủy ban nhân dân xã Yên Thành _x000d_
 tỉnh Nam Định</v>
      </c>
      <c r="C27889" t="str">
        <v>-</v>
      </c>
      <c r="D27889" t="str">
        <v>-</v>
      </c>
      <c r="E27889" t="str">
        <v>-</v>
      </c>
      <c r="F27889" t="str">
        <v>-</v>
      </c>
      <c r="G27889" t="str">
        <v>-</v>
      </c>
    </row>
    <row r="27890">
      <c r="B27890" t="str">
        <v>Công an xã Yên Thắng tỉnh Yên Bái</v>
      </c>
      <c r="C27890" t="str">
        <v>-</v>
      </c>
      <c r="D27890" t="str">
        <v>-</v>
      </c>
      <c r="E27890" t="str">
        <v/>
      </c>
      <c r="F27890" t="str">
        <v>-</v>
      </c>
      <c r="G27890" t="str">
        <v>-</v>
      </c>
    </row>
    <row r="27891">
      <c r="B27891" t="str">
        <v>UBND Ủy ban nhân dân xã Yên Thắng tỉnh Yên Bái</v>
      </c>
      <c r="C27891" t="str">
        <v>-</v>
      </c>
      <c r="D27891" t="str">
        <v>-</v>
      </c>
      <c r="E27891" t="str">
        <v>-</v>
      </c>
      <c r="F27891" t="str">
        <v>-</v>
      </c>
      <c r="G27891" t="str">
        <v>-</v>
      </c>
    </row>
    <row r="27892">
      <c r="B27892" t="str">
        <v>Công an xã Yên Thọ  tỉnh Nam Định</v>
      </c>
      <c r="C27892" t="str">
        <v>-</v>
      </c>
      <c r="D27892" t="str">
        <v>-</v>
      </c>
      <c r="E27892" t="str">
        <v/>
      </c>
      <c r="F27892" t="str">
        <v>-</v>
      </c>
      <c r="G27892" t="str">
        <v>-</v>
      </c>
    </row>
    <row r="27893">
      <c r="B27893" t="str">
        <v>UBND Ủy ban nhân dân xã Yên Thọ  tỉnh Nam Định</v>
      </c>
      <c r="C27893" t="str">
        <v>-</v>
      </c>
      <c r="D27893" t="str">
        <v>-</v>
      </c>
      <c r="E27893" t="str">
        <v>-</v>
      </c>
      <c r="F27893" t="str">
        <v>-</v>
      </c>
      <c r="G27893" t="str">
        <v>-</v>
      </c>
    </row>
    <row r="27894" xml:space="preserve">
      <c r="B27894" t="str" xml:space="preserve">
        <v xml:space="preserve">Công an xã Yên Thọ _x000d_
 tỉnh Nam Định</v>
      </c>
      <c r="C27894" t="str">
        <v>-</v>
      </c>
      <c r="D27894" t="str">
        <v>-</v>
      </c>
      <c r="E27894" t="str">
        <v/>
      </c>
      <c r="F27894" t="str">
        <v>-</v>
      </c>
      <c r="G27894" t="str">
        <v>-</v>
      </c>
    </row>
    <row r="27895" xml:space="preserve">
      <c r="B27895" t="str" xml:space="preserve">
        <v xml:space="preserve">UBND Ủy ban nhân dân xã Yên Thọ _x000d_
 tỉnh Nam Định</v>
      </c>
      <c r="C27895" t="str">
        <v>-</v>
      </c>
      <c r="D27895" t="str">
        <v>-</v>
      </c>
      <c r="E27895" t="str">
        <v>-</v>
      </c>
      <c r="F27895" t="str">
        <v>-</v>
      </c>
      <c r="G27895" t="str">
        <v>-</v>
      </c>
    </row>
    <row r="27896">
      <c r="B27896" t="str">
        <v>Công an xã Yên Trạch tỉnh Thái Nguyên</v>
      </c>
      <c r="C27896" t="str">
        <v>-</v>
      </c>
      <c r="D27896" t="str">
        <v>-</v>
      </c>
      <c r="E27896" t="str">
        <v/>
      </c>
      <c r="F27896" t="str">
        <v>-</v>
      </c>
      <c r="G27896" t="str">
        <v>-</v>
      </c>
    </row>
    <row r="27897">
      <c r="B27897" t="str">
        <v>UBND Ủy ban nhân dân xã Yên Trạch tỉnh Thái Nguyên</v>
      </c>
      <c r="C27897" t="str">
        <v>-</v>
      </c>
      <c r="D27897" t="str">
        <v>-</v>
      </c>
      <c r="E27897" t="str">
        <v>-</v>
      </c>
      <c r="F27897" t="str">
        <v>-</v>
      </c>
      <c r="G27897" t="str">
        <v>-</v>
      </c>
    </row>
    <row r="27898" xml:space="preserve">
      <c r="B27898" t="str" xml:space="preserve">
        <v xml:space="preserve">Công an xã Yên Trị _x000d_
 tỉnh Hòa Bình</v>
      </c>
      <c r="C27898" t="str">
        <v>-</v>
      </c>
      <c r="D27898" t="str">
        <v>-</v>
      </c>
      <c r="E27898" t="str">
        <v/>
      </c>
      <c r="F27898" t="str">
        <v>-</v>
      </c>
      <c r="G27898" t="str">
        <v>-</v>
      </c>
    </row>
    <row r="27899" xml:space="preserve">
      <c r="B27899" t="str" xml:space="preserve">
        <v xml:space="preserve">UBND Ủy ban nhân dân xã Yên Trị _x000d_
 tỉnh Hòa Bình</v>
      </c>
      <c r="C27899" t="str">
        <v>-</v>
      </c>
      <c r="D27899" t="str">
        <v>-</v>
      </c>
      <c r="E27899" t="str">
        <v>-</v>
      </c>
      <c r="F27899" t="str">
        <v>-</v>
      </c>
      <c r="G27899" t="str">
        <v>-</v>
      </c>
    </row>
    <row r="27900">
      <c r="B27900" t="str">
        <v>Công an xã Yên Trung tỉnh Nam Định</v>
      </c>
      <c r="C27900" t="str">
        <v>-</v>
      </c>
      <c r="D27900" t="str">
        <v>-</v>
      </c>
      <c r="E27900" t="str">
        <v/>
      </c>
      <c r="F27900" t="str">
        <v>-</v>
      </c>
      <c r="G27900" t="str">
        <v>-</v>
      </c>
    </row>
    <row r="27901">
      <c r="B27901" t="str">
        <v>UBND Ủy ban nhân dân xã Yên Trung tỉnh Nam Định</v>
      </c>
      <c r="C27901" t="str">
        <v>-</v>
      </c>
      <c r="D27901" t="str">
        <v>-</v>
      </c>
      <c r="E27901" t="str">
        <v>-</v>
      </c>
      <c r="F27901" t="str">
        <v>-</v>
      </c>
      <c r="G27901" t="str">
        <v>-</v>
      </c>
    </row>
    <row r="27902">
      <c r="B27902" t="str">
        <v>Công an xã Yên Trung tỉnh Thanh Hóa</v>
      </c>
      <c r="C27902" t="str">
        <v>-</v>
      </c>
      <c r="D27902" t="str">
        <v>-</v>
      </c>
      <c r="E27902" t="str">
        <v/>
      </c>
      <c r="F27902" t="str">
        <v>-</v>
      </c>
      <c r="G27902" t="str">
        <v>-</v>
      </c>
    </row>
    <row r="27903">
      <c r="B27903" t="str">
        <v>UBND Ủy ban nhân dân xã Yên Trung tỉnh Thanh Hóa</v>
      </c>
      <c r="C27903" t="str">
        <v>-</v>
      </c>
      <c r="D27903" t="str">
        <v>-</v>
      </c>
      <c r="E27903" t="str">
        <v>-</v>
      </c>
      <c r="F27903" t="str">
        <v>-</v>
      </c>
      <c r="G27903" t="str">
        <v>-</v>
      </c>
    </row>
    <row r="27904" xml:space="preserve">
      <c r="B27904" t="str" xml:space="preserve">
        <v xml:space="preserve">Công an xã Yến Dương _x000d_
 tỉnh Bắc Kạn</v>
      </c>
      <c r="C27904" t="str">
        <v>-</v>
      </c>
      <c r="D27904" t="str">
        <v>-</v>
      </c>
      <c r="E27904" t="str">
        <v/>
      </c>
      <c r="F27904" t="str">
        <v>-</v>
      </c>
      <c r="G27904" t="str">
        <v>-</v>
      </c>
    </row>
    <row r="27905" xml:space="preserve">
      <c r="B27905" t="str" xml:space="preserve">
        <v xml:space="preserve">UBND Ủy ban nhân dân xã Yến Dương _x000d_
 tỉnh Bắc Kạn</v>
      </c>
      <c r="C27905" t="str">
        <v>-</v>
      </c>
      <c r="D27905" t="str">
        <v>-</v>
      </c>
      <c r="E27905" t="str">
        <v>-</v>
      </c>
      <c r="F27905" t="str">
        <v>-</v>
      </c>
      <c r="G27905" t="str">
        <v>-</v>
      </c>
    </row>
    <row r="27906">
      <c r="B27906" t="str">
        <v>Công an xã Yết Kiêu tỉnh Hải Dương</v>
      </c>
      <c r="C27906" t="str">
        <v>-</v>
      </c>
      <c r="D27906" t="str">
        <v>-</v>
      </c>
      <c r="E27906" t="str">
        <v/>
      </c>
      <c r="F27906" t="str">
        <v>-</v>
      </c>
      <c r="G27906" t="str">
        <v>-</v>
      </c>
    </row>
    <row r="27907">
      <c r="B27907" t="str">
        <v>UBND Ủy ban nhân dân xã Yết Kiêu tỉnh Hải Dương</v>
      </c>
      <c r="C27907" t="str">
        <v>-</v>
      </c>
      <c r="D27907" t="str">
        <v>-</v>
      </c>
      <c r="E27907" t="str">
        <v>-</v>
      </c>
      <c r="F27907" t="str">
        <v>-</v>
      </c>
      <c r="G27907" t="str">
        <v>-</v>
      </c>
    </row>
    <row r="27908" xml:space="preserve">
      <c r="B27908" t="str" xml:space="preserve">
        <v xml:space="preserve">Công an xã Ya Hội _x000d_
 tỉnh Gia Lai</v>
      </c>
      <c r="C27908" t="str">
        <v>-</v>
      </c>
      <c r="D27908" t="str">
        <v>-</v>
      </c>
      <c r="E27908" t="str">
        <v/>
      </c>
      <c r="F27908" t="str">
        <v>-</v>
      </c>
      <c r="G27908" t="str">
        <v>-</v>
      </c>
    </row>
    <row r="27909" xml:space="preserve">
      <c r="B27909" t="str" xml:space="preserve">
        <v xml:space="preserve">UBND Ủy ban nhân dân xã Ya Hội _x000d_
 tỉnh Gia Lai</v>
      </c>
      <c r="C27909" t="str">
        <v>-</v>
      </c>
      <c r="D27909" t="str">
        <v>-</v>
      </c>
      <c r="E27909" t="str">
        <v>-</v>
      </c>
      <c r="F27909" t="str">
        <v>-</v>
      </c>
      <c r="G27909" t="str">
        <v>-</v>
      </c>
    </row>
    <row r="27910" xml:space="preserve">
      <c r="B27910" t="str" xml:space="preserve">
        <v xml:space="preserve">Công an xã Ya Ma _x000d_
 tỉnh Gia Lai</v>
      </c>
      <c r="C27910" t="str">
        <v>-</v>
      </c>
      <c r="D27910" t="str">
        <v>-</v>
      </c>
      <c r="E27910" t="str">
        <v/>
      </c>
      <c r="F27910" t="str">
        <v>-</v>
      </c>
      <c r="G27910" t="str">
        <v>-</v>
      </c>
    </row>
    <row r="27911" xml:space="preserve">
      <c r="B27911" t="str" xml:space="preserve">
        <v xml:space="preserve">UBND Ủy ban nhân dân xã Ya Ma _x000d_
 tỉnh Gia Lai</v>
      </c>
      <c r="C27911" t="str">
        <v>-</v>
      </c>
      <c r="D27911" t="str">
        <v>-</v>
      </c>
      <c r="E27911" t="str">
        <v>-</v>
      </c>
      <c r="F27911" t="str">
        <v>-</v>
      </c>
      <c r="G27911" t="str">
        <v>-</v>
      </c>
    </row>
    <row r="27912" xml:space="preserve">
      <c r="B27912" t="str" xml:space="preserve">
        <v xml:space="preserve">Công an xã Ya Ma _x000d_
 tỉnh Gia Lai</v>
      </c>
      <c r="C27912" t="str">
        <v>-</v>
      </c>
      <c r="D27912" t="str">
        <v>-</v>
      </c>
      <c r="E27912" t="str">
        <v/>
      </c>
      <c r="F27912" t="str">
        <v>-</v>
      </c>
      <c r="G27912" t="str">
        <v>-</v>
      </c>
    </row>
    <row r="27913" xml:space="preserve">
      <c r="B27913" t="str" xml:space="preserve">
        <v xml:space="preserve">UBND Ủy ban nhân dân xã Ya Ma _x000d_
 tỉnh Gia Lai</v>
      </c>
      <c r="C27913" t="str">
        <v>-</v>
      </c>
      <c r="D27913" t="str">
        <v>-</v>
      </c>
      <c r="E27913" t="str">
        <v>-</v>
      </c>
      <c r="F27913" t="str">
        <v>-</v>
      </c>
      <c r="G27913" t="str">
        <v>-</v>
      </c>
    </row>
    <row r="27914">
      <c r="B27914" t="str">
        <v>Công an xã Chrôh Pơnan tỉnh Gia Lai</v>
      </c>
      <c r="C27914" t="str">
        <v>-</v>
      </c>
      <c r="D27914" t="str">
        <v>-</v>
      </c>
      <c r="E27914" t="str">
        <v/>
      </c>
      <c r="F27914" t="str">
        <v>-</v>
      </c>
      <c r="G27914" t="str">
        <v>-</v>
      </c>
    </row>
    <row r="27915">
      <c r="B27915" t="str">
        <v>UBND Ủy ban nhân dân xã Chrôh Pơnan tỉnh Gia Lai</v>
      </c>
      <c r="C27915" t="str">
        <v>-</v>
      </c>
      <c r="D27915" t="str">
        <v>-</v>
      </c>
      <c r="E27915" t="str">
        <v>-</v>
      </c>
      <c r="F27915" t="str">
        <v>-</v>
      </c>
      <c r="G27915" t="str">
        <v>-</v>
      </c>
    </row>
    <row r="27916" xml:space="preserve">
      <c r="B27916" t="str" xml:space="preserve">
        <v xml:space="preserve">Công an xã Nhôn Mai _x000d_
 tỉnh Nghệ An</v>
      </c>
      <c r="C27916" t="str">
        <v>-</v>
      </c>
      <c r="D27916" t="str">
        <v>-</v>
      </c>
      <c r="E27916" t="str">
        <v/>
      </c>
      <c r="F27916" t="str">
        <v>-</v>
      </c>
      <c r="G27916" t="str">
        <v>-</v>
      </c>
    </row>
    <row r="27917" xml:space="preserve">
      <c r="B27917" t="str" xml:space="preserve">
        <v xml:space="preserve">UBND Ủy ban nhân dân xã Nhôn Mai _x000d_
 tỉnh Nghệ An</v>
      </c>
      <c r="C27917" t="str">
        <v>-</v>
      </c>
      <c r="D27917" t="str">
        <v>-</v>
      </c>
      <c r="E27917" t="str">
        <v>-</v>
      </c>
      <c r="F27917" t="str">
        <v>-</v>
      </c>
      <c r="G27917" t="str">
        <v>-</v>
      </c>
    </row>
    <row r="27918">
      <c r="B27918" t="str">
        <v>Công an xã Phú Bình  tỉnh Tuyên Quang</v>
      </c>
      <c r="C27918" t="str">
        <v>-</v>
      </c>
      <c r="D27918" t="str">
        <v>-</v>
      </c>
      <c r="E27918" t="str">
        <v/>
      </c>
      <c r="F27918" t="str">
        <v>-</v>
      </c>
      <c r="G27918" t="str">
        <v>-</v>
      </c>
    </row>
    <row r="27919">
      <c r="B27919" t="str">
        <v>UBND Ủy ban nhân dân xã Phú Bình  tỉnh Tuyên Quang</v>
      </c>
      <c r="C27919" t="str">
        <v>-</v>
      </c>
      <c r="D27919" t="str">
        <v>-</v>
      </c>
      <c r="E27919" t="str">
        <v>-</v>
      </c>
      <c r="F27919" t="str">
        <v>-</v>
      </c>
      <c r="G27919" t="str">
        <v>-</v>
      </c>
    </row>
    <row r="27920">
      <c r="B27920" t="str">
        <v>Công an xã Phú Lạc tỉnh Bình Thuận</v>
      </c>
      <c r="C27920" t="str">
        <v>-</v>
      </c>
      <c r="D27920" t="str">
        <v>-</v>
      </c>
      <c r="E27920" t="str">
        <v/>
      </c>
      <c r="F27920" t="str">
        <v>-</v>
      </c>
      <c r="G27920" t="str">
        <v>-</v>
      </c>
    </row>
    <row r="27921">
      <c r="B27921" t="str">
        <v>UBND Ủy ban nhân dân xã Phú Lạc tỉnh Bình Thuận</v>
      </c>
      <c r="C27921" t="str">
        <v>-</v>
      </c>
      <c r="D27921" t="str">
        <v>-</v>
      </c>
      <c r="E27921" t="str">
        <v>-</v>
      </c>
      <c r="F27921" t="str">
        <v>-</v>
      </c>
      <c r="G27921" t="str">
        <v>-</v>
      </c>
    </row>
    <row r="27922" xml:space="preserve">
      <c r="B27922" t="str" xml:space="preserve">
        <v xml:space="preserve">Công an xã Tú Sơn _x000d_
 tỉnh Hòa Bình</v>
      </c>
      <c r="C27922" t="str">
        <v>-</v>
      </c>
      <c r="D27922" t="str">
        <v>-</v>
      </c>
      <c r="E27922" t="str">
        <v/>
      </c>
      <c r="F27922" t="str">
        <v>-</v>
      </c>
      <c r="G27922" t="str">
        <v>-</v>
      </c>
    </row>
    <row r="27923" xml:space="preserve">
      <c r="B27923" t="str" xml:space="preserve">
        <v xml:space="preserve">UBND Ủy ban nhân dân xã Tú Sơn _x000d_
 tỉnh Hòa Bình</v>
      </c>
      <c r="C27923" t="str">
        <v>-</v>
      </c>
      <c r="D27923" t="str">
        <v>-</v>
      </c>
      <c r="E27923" t="str">
        <v>-</v>
      </c>
      <c r="F27923" t="str">
        <v>-</v>
      </c>
      <c r="G27923" t="str">
        <v>-</v>
      </c>
    </row>
    <row r="27924" xml:space="preserve">
      <c r="B27924" t="str" xml:space="preserve">
        <v xml:space="preserve">Công an xã Yên Sơn _x000d_
 tỉnh Nghệ An</v>
      </c>
      <c r="C27924" t="str">
        <v>-</v>
      </c>
      <c r="D27924" t="str">
        <v>-</v>
      </c>
      <c r="E27924" t="str">
        <v/>
      </c>
      <c r="F27924" t="str">
        <v>-</v>
      </c>
      <c r="G27924" t="str">
        <v>-</v>
      </c>
    </row>
    <row r="27925" xml:space="preserve">
      <c r="B27925" t="str" xml:space="preserve">
        <v xml:space="preserve">UBND Ủy ban nhân dân xã Yên Sơn _x000d_
 tỉnh Nghệ An</v>
      </c>
      <c r="C27925" t="str">
        <v>-</v>
      </c>
      <c r="D27925" t="str">
        <v>-</v>
      </c>
      <c r="E27925" t="str">
        <v>-</v>
      </c>
      <c r="F27925" t="str">
        <v>-</v>
      </c>
      <c r="G27925" t="str">
        <v>-</v>
      </c>
    </row>
    <row r="27926">
      <c r="B27926" t="str">
        <v>Cảnh sát cơ động thành phố Hà Nội</v>
      </c>
    </row>
    <row r="27927">
      <c r="B27927" t="str">
        <v>UBND Ủy ban nhân dânt cơ động thành phố Hà Nội</v>
      </c>
      <c r="C27927" t="str">
        <v>-</v>
      </c>
      <c r="D27927" t="str">
        <v>-</v>
      </c>
      <c r="E27927" t="str">
        <v>-</v>
      </c>
      <c r="F27927" t="str">
        <v>-</v>
      </c>
      <c r="G27927" t="str">
        <v>-</v>
      </c>
    </row>
    <row r="27928">
      <c r="B27928" t="str">
        <v>Cảnh sát cơ động K02  thành phố Hà Nội</v>
      </c>
    </row>
    <row r="27929">
      <c r="B27929" t="str">
        <v>UBND Ủy ban nhân dânt cơ động K02  thành phố Hà Nội</v>
      </c>
      <c r="C27929" t="str">
        <v>-</v>
      </c>
      <c r="D27929" t="str">
        <v>-</v>
      </c>
      <c r="E27929" t="str">
        <v>-</v>
      </c>
      <c r="F27929" t="str">
        <v>-</v>
      </c>
      <c r="G27929" t="str">
        <v>-</v>
      </c>
    </row>
    <row r="27930" xml:space="preserve">
      <c r="B27930" t="str" xml:space="preserve">
        <v xml:space="preserve">Cảnh sát cơ động tỉnh Đồng Nai _x000d_
 tỉnh Đồng Nai</v>
      </c>
    </row>
    <row r="27931" xml:space="preserve">
      <c r="B27931" t="str" xml:space="preserve">
        <v xml:space="preserve">UBND Ủy ban nhân dânt cơ động tỉnh Đồng Nai _x000d_
 tỉnh Đồng Nai</v>
      </c>
      <c r="C27931" t="str">
        <v>-</v>
      </c>
      <c r="D27931" t="str">
        <v>-</v>
      </c>
      <c r="E27931" t="str">
        <v>-</v>
      </c>
      <c r="F27931" t="str">
        <v>-</v>
      </c>
      <c r="G27931" t="str">
        <v>-</v>
      </c>
    </row>
    <row r="27932" xml:space="preserve">
      <c r="B27932" t="str" xml:space="preserve">
        <v xml:space="preserve">Cảnh sát cơ động tỉnh Bạc Liêu _x000d_
 tỉnh Bạc Liêu</v>
      </c>
    </row>
    <row r="27933" xml:space="preserve">
      <c r="B27933" t="str" xml:space="preserve">
        <v xml:space="preserve">UBND Ủy ban nhân dânt cơ động tỉnh Bạc Liêu _x000d_
 tỉnh Bạc Liêu</v>
      </c>
      <c r="C27933" t="str">
        <v>-</v>
      </c>
      <c r="D27933" t="str">
        <v>-</v>
      </c>
      <c r="E27933" t="str">
        <v>-</v>
      </c>
      <c r="F27933" t="str">
        <v>-</v>
      </c>
      <c r="G27933" t="str">
        <v>-</v>
      </c>
    </row>
    <row r="27934" xml:space="preserve">
      <c r="B27934" t="str" xml:space="preserve">
        <v xml:space="preserve">Công an tỉnh Sơn La _x000d_
 tỉnh Sơn La</v>
      </c>
      <c r="C27934" t="str">
        <v>-</v>
      </c>
      <c r="D27934" t="str">
        <v>-</v>
      </c>
      <c r="E27934" t="str">
        <v/>
      </c>
      <c r="F27934" t="str">
        <v>-</v>
      </c>
      <c r="G27934" t="str">
        <v>-</v>
      </c>
    </row>
    <row r="27935" xml:space="preserve">
      <c r="B27935" t="str" xml:space="preserve">
        <v xml:space="preserve">UBND Ủy ban nhân dân tỉnh Sơn La _x000d_
 tỉnh Sơn La</v>
      </c>
      <c r="C27935" t="str">
        <v>-</v>
      </c>
      <c r="D27935" t="str">
        <v>-</v>
      </c>
      <c r="E27935" t="str">
        <v>-</v>
      </c>
      <c r="F27935" t="str">
        <v>-</v>
      </c>
      <c r="G27935" t="str">
        <v>-</v>
      </c>
    </row>
    <row r="27936" xml:space="preserve">
      <c r="B27936" t="str" xml:space="preserve">
        <v xml:space="preserve">Cảnh sát cơ động Hà Tĩnh _x000d_
 tỉnh Hà Tĩnh</v>
      </c>
    </row>
    <row r="27937" xml:space="preserve">
      <c r="B27937" t="str" xml:space="preserve">
        <v xml:space="preserve">UBND Ủy ban nhân dânt cơ động Hà Tĩnh _x000d_
 tỉnh Hà Tĩnh</v>
      </c>
      <c r="C27937" t="str">
        <v>-</v>
      </c>
      <c r="D27937" t="str">
        <v>-</v>
      </c>
      <c r="E27937" t="str">
        <v>-</v>
      </c>
      <c r="F27937" t="str">
        <v>-</v>
      </c>
      <c r="G27937" t="str">
        <v>-</v>
      </c>
    </row>
    <row r="27938" xml:space="preserve">
      <c r="B27938" t="str" xml:space="preserve">
        <v xml:space="preserve">Phòng Cảnh sát cơ động tỉnh Quảng Nam_x000d_
 tỉnh Quảng Nam</v>
      </c>
    </row>
    <row r="27939" xml:space="preserve">
      <c r="B27939" t="str" xml:space="preserve">
        <v xml:space="preserve">UBND Ủy ban nhân dânảnh sát cơ động tỉnh Quảng Nam_x000d_
 tỉnh Quảng Nam</v>
      </c>
      <c r="C27939" t="str">
        <v>-</v>
      </c>
      <c r="D27939" t="str">
        <v>-</v>
      </c>
      <c r="E27939" t="str">
        <v>-</v>
      </c>
      <c r="F27939" t="str">
        <v>-</v>
      </c>
      <c r="G27939" t="str">
        <v>-</v>
      </c>
    </row>
    <row r="27940">
      <c r="B27940" t="str">
        <v>Cảnh sát giao thông tỉnh Thanh Hóa</v>
      </c>
    </row>
    <row r="27941">
      <c r="B27941" t="str">
        <v>UBND Ủy ban nhân dânt giao thông tỉnh Thanh Hóa</v>
      </c>
      <c r="C27941" t="str">
        <v>-</v>
      </c>
      <c r="D27941" t="str">
        <v>-</v>
      </c>
      <c r="E27941" t="str">
        <v>-</v>
      </c>
      <c r="F27941" t="str">
        <v>-</v>
      </c>
      <c r="G27941" t="str">
        <v>-</v>
      </c>
    </row>
    <row r="27942">
      <c r="B27942" t="str">
        <v>Cảnh sát hình sự Yên Lập  tỉnh Phú Thọ</v>
      </c>
    </row>
    <row r="27943">
      <c r="B27943" t="str">
        <v>UBND Ủy ban nhân dânt hình sự Yên Lập  tỉnh Phú Thọ</v>
      </c>
      <c r="C27943" t="str">
        <v>-</v>
      </c>
      <c r="D27943" t="str">
        <v>-</v>
      </c>
      <c r="E27943" t="str">
        <v>-</v>
      </c>
      <c r="F27943" t="str">
        <v>-</v>
      </c>
      <c r="G27943" t="str">
        <v>-</v>
      </c>
    </row>
    <row r="27944" xml:space="preserve">
      <c r="B27944" t="str" xml:space="preserve">
        <v xml:space="preserve">Công an tỉnh Bạc Liêu _x000d_
 tỉnh Bạc Liêu</v>
      </c>
      <c r="C27944" t="str">
        <v>-</v>
      </c>
      <c r="D27944" t="str">
        <v>-</v>
      </c>
      <c r="E27944" t="str">
        <v/>
      </c>
      <c r="F27944" t="str">
        <v>-</v>
      </c>
      <c r="G27944" t="str">
        <v>-</v>
      </c>
    </row>
    <row r="27945" xml:space="preserve">
      <c r="B27945" t="str" xml:space="preserve">
        <v xml:space="preserve">UBND Ủy ban nhân dân tỉnh Bạc Liêu _x000d_
 tỉnh Bạc Liêu</v>
      </c>
      <c r="C27945" t="str">
        <v>-</v>
      </c>
      <c r="D27945" t="str">
        <v>-</v>
      </c>
      <c r="E27945" t="str">
        <v>-</v>
      </c>
      <c r="F27945" t="str">
        <v>-</v>
      </c>
      <c r="G27945" t="str">
        <v>-</v>
      </c>
    </row>
    <row r="27946" xml:space="preserve">
      <c r="B27946" t="str" xml:space="preserve">
        <v xml:space="preserve"> Công an tỉnh Hưng Yên _x000d_
 tỉnh Hưng Yên</v>
      </c>
    </row>
    <row r="27947" xml:space="preserve">
      <c r="B27947" t="str" xml:space="preserve">
        <v xml:space="preserve">UBND Ủy ban nhân dânn tỉnh Hưng Yên _x000d_
 tỉnh Hưng Yên</v>
      </c>
      <c r="C27947" t="str">
        <v>-</v>
      </c>
      <c r="D27947" t="str">
        <v>-</v>
      </c>
      <c r="E27947" t="str">
        <v>-</v>
      </c>
      <c r="F27947" t="str">
        <v>-</v>
      </c>
      <c r="G27947" t="str">
        <v>-</v>
      </c>
    </row>
    <row r="27948" xml:space="preserve">
      <c r="B27948" t="str" xml:space="preserve">
        <v xml:space="preserve">Cảnh sát thành phố Nha Trang _x000d_
 tỉnh Khánh Hòa</v>
      </c>
    </row>
    <row r="27949" xml:space="preserve">
      <c r="B27949" t="str" xml:space="preserve">
        <v xml:space="preserve">UBND Ủy ban nhân dânt thành phố Nha Trang _x000d_
 tỉnh Khánh Hòa</v>
      </c>
      <c r="C27949" t="str">
        <v>-</v>
      </c>
      <c r="D27949" t="str">
        <v>-</v>
      </c>
      <c r="E27949" t="str">
        <v>-</v>
      </c>
      <c r="F27949" t="str">
        <v>-</v>
      </c>
      <c r="G27949" t="str">
        <v>-</v>
      </c>
    </row>
    <row r="27950" xml:space="preserve">
      <c r="B27950" t="str" xml:space="preserve">
        <v xml:space="preserve"> Công an huyện Quảng Điền _x000d_
 tỉnh THỪA THIÊN HUẾ</v>
      </c>
    </row>
    <row r="27951" xml:space="preserve">
      <c r="B27951" t="str" xml:space="preserve">
        <v xml:space="preserve">UBND Ủy ban nhân dânn huyện Quảng Điền _x000d_
 tỉnh THỪA THIÊN HUẾ</v>
      </c>
      <c r="C27951" t="str">
        <v>-</v>
      </c>
      <c r="D27951" t="str">
        <v>-</v>
      </c>
      <c r="E27951" t="str">
        <v>-</v>
      </c>
      <c r="F27951" t="str">
        <v>-</v>
      </c>
      <c r="G27951" t="str">
        <v>-</v>
      </c>
    </row>
    <row r="27952">
      <c r="B27952" t="str">
        <v xml:space="preserve"> Công an phường Đông Ba tỉnh THỪA THIÊN HUẾ</v>
      </c>
    </row>
    <row r="27953">
      <c r="B27953" t="str">
        <v>UBND Ủy ban nhân dânn phường Đông Ba tỉnh THỪA THIÊN HUẾ</v>
      </c>
      <c r="C27953" t="str">
        <v>-</v>
      </c>
      <c r="D27953" t="str">
        <v>-</v>
      </c>
      <c r="E27953" t="str">
        <v>-</v>
      </c>
      <c r="F27953" t="str">
        <v>-</v>
      </c>
      <c r="G27953" t="str">
        <v>-</v>
      </c>
    </row>
    <row r="27954" xml:space="preserve">
      <c r="B27954" t="str" xml:space="preserve">
        <v xml:space="preserve"> Công an xã Trà Phú _x000d_
 tỉnh Quảng Ngãi</v>
      </c>
    </row>
    <row r="27955" xml:space="preserve">
      <c r="B27955" t="str" xml:space="preserve">
        <v xml:space="preserve">UBND Ủy ban nhân dânn xã Trà Phú _x000d_
 tỉnh Quảng Ngãi</v>
      </c>
      <c r="C27955" t="str">
        <v>-</v>
      </c>
      <c r="D27955" t="str">
        <v>-</v>
      </c>
      <c r="E27955" t="str">
        <v>-</v>
      </c>
      <c r="F27955" t="str">
        <v>-</v>
      </c>
      <c r="G27955" t="str">
        <v>-</v>
      </c>
    </row>
    <row r="27956" xml:space="preserve">
      <c r="B27956" t="str" xml:space="preserve">
        <v xml:space="preserve">Cục Cảnh Sát Điều Tra Tội Phạm Về Ma Túy _x000d_
 thành phố Hà Nội</v>
      </c>
    </row>
    <row r="27957" xml:space="preserve">
      <c r="B27957" t="str" xml:space="preserve">
        <v xml:space="preserve">UBND Ủy ban nhân dânh Sát Điều Tra Tội Phạm Về Ma Túy _x000d_
 thành phố Hà Nội</v>
      </c>
      <c r="C27957" t="str">
        <v>-</v>
      </c>
      <c r="D27957" t="str">
        <v>-</v>
      </c>
      <c r="E27957" t="str">
        <v>-</v>
      </c>
      <c r="F27957" t="str">
        <v>-</v>
      </c>
      <c r="G27957" t="str">
        <v>-</v>
      </c>
    </row>
    <row r="27958" xml:space="preserve">
      <c r="B27958" t="str" xml:space="preserve">
        <v xml:space="preserve">Công an huyện Bù Gia Mập _x000d_
 tỉnh Bình Phước</v>
      </c>
      <c r="C27958" t="str">
        <v>-</v>
      </c>
      <c r="D27958" t="str">
        <v>-</v>
      </c>
      <c r="E27958" t="str">
        <v/>
      </c>
      <c r="F27958" t="str">
        <v>-</v>
      </c>
      <c r="G27958" t="str">
        <v>-</v>
      </c>
    </row>
    <row r="27959" xml:space="preserve">
      <c r="B27959" t="str" xml:space="preserve">
        <v xml:space="preserve">UBND Ủy ban nhân dân huyện Bù Gia Mập _x000d_
 tỉnh Bình Phước</v>
      </c>
      <c r="C27959" t="str">
        <v>-</v>
      </c>
      <c r="D27959" t="str">
        <v>-</v>
      </c>
      <c r="E27959" t="str">
        <v>-</v>
      </c>
      <c r="F27959" t="str">
        <v>-</v>
      </c>
      <c r="G27959" t="str">
        <v>-</v>
      </c>
    </row>
    <row r="27960">
      <c r="B27960" t="str">
        <v>Công an huyện Quỳ Hợp tỉnh Nghệ An</v>
      </c>
      <c r="C27960" t="str">
        <v>-</v>
      </c>
      <c r="D27960" t="str">
        <v>-</v>
      </c>
      <c r="E27960" t="str">
        <v/>
      </c>
      <c r="F27960" t="str">
        <v>-</v>
      </c>
      <c r="G27960" t="str">
        <v>-</v>
      </c>
    </row>
    <row r="27961">
      <c r="B27961" t="str">
        <v>UBND Ủy ban nhân dân huyện Quỳ Hợp tỉnh Nghệ An</v>
      </c>
      <c r="C27961" t="str">
        <v>-</v>
      </c>
      <c r="D27961" t="str">
        <v>-</v>
      </c>
      <c r="E27961" t="str">
        <v>-</v>
      </c>
      <c r="F27961" t="str">
        <v>-</v>
      </c>
      <c r="G27961" t="str">
        <v>-</v>
      </c>
    </row>
    <row r="27962">
      <c r="B27962" t="str">
        <v>Công an phường Chiềng Sinh tỉnh Sơn La</v>
      </c>
      <c r="C27962" t="str">
        <v>-</v>
      </c>
      <c r="D27962" t="str">
        <v>-</v>
      </c>
      <c r="E27962" t="str">
        <v/>
      </c>
      <c r="F27962" t="str">
        <v>-</v>
      </c>
      <c r="G27962" t="str">
        <v>-</v>
      </c>
    </row>
    <row r="27963">
      <c r="B27963" t="str">
        <v>UBND Ủy ban nhân dân phường Chiềng Sinh tỉnh Sơn La</v>
      </c>
      <c r="C27963" t="str">
        <v>-</v>
      </c>
      <c r="D27963" t="str">
        <v>-</v>
      </c>
      <c r="E27963" t="str">
        <v>-</v>
      </c>
      <c r="F27963" t="str">
        <v>-</v>
      </c>
      <c r="G27963" t="str">
        <v>-</v>
      </c>
    </row>
    <row r="27964">
      <c r="B27964" t="str">
        <v>Công an huyện Đăk Glei tỉnh Kon Tum</v>
      </c>
      <c r="C27964" t="str">
        <v>-</v>
      </c>
      <c r="D27964" t="str">
        <v>-</v>
      </c>
      <c r="E27964" t="str">
        <v/>
      </c>
      <c r="F27964" t="str">
        <v>-</v>
      </c>
      <c r="G27964" t="str">
        <v>-</v>
      </c>
    </row>
    <row r="27965">
      <c r="B27965" t="str">
        <v>UBND Ủy ban nhân dân huyện Đăk Glei tỉnh Kon Tum</v>
      </c>
      <c r="C27965" t="str">
        <v>-</v>
      </c>
      <c r="D27965" t="str">
        <v>-</v>
      </c>
      <c r="E27965" t="str">
        <v>-</v>
      </c>
      <c r="F27965" t="str">
        <v>-</v>
      </c>
      <c r="G27965" t="str">
        <v>-</v>
      </c>
    </row>
    <row r="27966" xml:space="preserve">
      <c r="B27966" t="str" xml:space="preserve">
        <v xml:space="preserve">Công an huyện Bảo Yên _x000d_
 tỉnh Lào Cai</v>
      </c>
      <c r="C27966" t="str">
        <v>-</v>
      </c>
      <c r="D27966" t="str">
        <v>-</v>
      </c>
      <c r="E27966" t="str">
        <v/>
      </c>
      <c r="F27966" t="str">
        <v>-</v>
      </c>
      <c r="G27966" t="str">
        <v>-</v>
      </c>
    </row>
    <row r="27967" xml:space="preserve">
      <c r="B27967" t="str" xml:space="preserve">
        <v xml:space="preserve">UBND Ủy ban nhân dân huyện Bảo Yên _x000d_
 tỉnh Lào Cai</v>
      </c>
      <c r="C27967" t="str">
        <v>-</v>
      </c>
      <c r="D27967" t="str">
        <v>-</v>
      </c>
      <c r="E27967" t="str">
        <v>-</v>
      </c>
      <c r="F27967" t="str">
        <v>-</v>
      </c>
      <c r="G27967" t="str">
        <v>-</v>
      </c>
    </row>
    <row r="27968">
      <c r="B27968" t="str">
        <v>Công an phường Hải An tỉnh Thanh Hóa</v>
      </c>
      <c r="C27968" t="str">
        <v>-</v>
      </c>
      <c r="D27968" t="str">
        <v>-</v>
      </c>
      <c r="E27968" t="str">
        <v/>
      </c>
      <c r="F27968" t="str">
        <v>-</v>
      </c>
      <c r="G27968" t="str">
        <v>-</v>
      </c>
    </row>
    <row r="27969">
      <c r="B27969" t="str">
        <v>UBND Ủy ban nhân dân phường Hải An tỉnh Thanh Hóa</v>
      </c>
      <c r="C27969" t="str">
        <v>-</v>
      </c>
      <c r="D27969" t="str">
        <v>-</v>
      </c>
      <c r="E27969" t="str">
        <v>-</v>
      </c>
      <c r="F27969" t="str">
        <v>-</v>
      </c>
      <c r="G27969" t="str">
        <v>-</v>
      </c>
    </row>
    <row r="27970" xml:space="preserve">
      <c r="B27970" t="str" xml:space="preserve">
        <v xml:space="preserve">Công an huyện An Minh _x000d_
 tỉnh Kiên Giang</v>
      </c>
      <c r="C27970" t="str">
        <v>-</v>
      </c>
      <c r="D27970" t="str">
        <v>-</v>
      </c>
      <c r="E27970" t="str">
        <v/>
      </c>
      <c r="F27970" t="str">
        <v>-</v>
      </c>
      <c r="G27970" t="str">
        <v>-</v>
      </c>
    </row>
    <row r="27971" xml:space="preserve">
      <c r="B27971" t="str" xml:space="preserve">
        <v xml:space="preserve">UBND Ủy ban nhân dân huyện An Minh _x000d_
 tỉnh Kiên Giang</v>
      </c>
      <c r="C27971" t="str">
        <v>-</v>
      </c>
      <c r="D27971" t="str">
        <v>-</v>
      </c>
      <c r="E27971" t="str">
        <v>-</v>
      </c>
      <c r="F27971" t="str">
        <v>-</v>
      </c>
      <c r="G27971" t="str">
        <v>-</v>
      </c>
    </row>
    <row r="27972" xml:space="preserve">
      <c r="B27972" t="str" xml:space="preserve">
        <v xml:space="preserve">Công an huyện Bù Đốp _x000d_
 tỉnh Bình Phước</v>
      </c>
      <c r="C27972" t="str">
        <v>-</v>
      </c>
      <c r="D27972" t="str">
        <v>-</v>
      </c>
      <c r="E27972" t="str">
        <v/>
      </c>
      <c r="F27972" t="str">
        <v>-</v>
      </c>
      <c r="G27972" t="str">
        <v>-</v>
      </c>
    </row>
    <row r="27973" xml:space="preserve">
      <c r="B27973" t="str" xml:space="preserve">
        <v xml:space="preserve">UBND Ủy ban nhân dân huyện Bù Đốp _x000d_
 tỉnh Bình Phước</v>
      </c>
      <c r="C27973" t="str">
        <v>-</v>
      </c>
      <c r="D27973" t="str">
        <v>-</v>
      </c>
      <c r="E27973" t="str">
        <v>-</v>
      </c>
      <c r="F27973" t="str">
        <v>-</v>
      </c>
      <c r="G27973" t="str">
        <v>-</v>
      </c>
    </row>
    <row r="27974" xml:space="preserve">
      <c r="B27974" t="str" xml:space="preserve">
        <v xml:space="preserve">Công an tỉnh Quảng Bình _x000d_
 tỉnh Quảng Bình</v>
      </c>
      <c r="C27974" t="str">
        <v>-</v>
      </c>
      <c r="D27974" t="str">
        <v>-</v>
      </c>
      <c r="E27974" t="str">
        <v/>
      </c>
      <c r="F27974" t="str">
        <v>-</v>
      </c>
      <c r="G27974" t="str">
        <v>-</v>
      </c>
    </row>
    <row r="27975" xml:space="preserve">
      <c r="B27975" t="str" xml:space="preserve">
        <v xml:space="preserve">UBND Ủy ban nhân dân tỉnh Quảng Bình _x000d_
 tỉnh Quảng Bình</v>
      </c>
      <c r="C27975" t="str">
        <v>-</v>
      </c>
      <c r="D27975" t="str">
        <v>-</v>
      </c>
      <c r="E27975" t="str">
        <v>-</v>
      </c>
      <c r="F27975" t="str">
        <v>-</v>
      </c>
      <c r="G27975" t="str">
        <v>-</v>
      </c>
    </row>
    <row r="27976">
      <c r="B27976" t="str">
        <v>Công an xã Hương Gián tỉnh Bắc Giang</v>
      </c>
      <c r="C27976" t="str">
        <v>-</v>
      </c>
      <c r="D27976" t="str">
        <v>-</v>
      </c>
      <c r="E27976" t="str">
        <v/>
      </c>
      <c r="F27976" t="str">
        <v>-</v>
      </c>
      <c r="G27976" t="str">
        <v>-</v>
      </c>
    </row>
    <row r="27977">
      <c r="B27977" t="str">
        <v>UBND Ủy ban nhân dân xã Hương Gián tỉnh Bắc Giang</v>
      </c>
      <c r="C27977" t="str">
        <v>-</v>
      </c>
      <c r="D27977" t="str">
        <v>-</v>
      </c>
      <c r="E27977" t="str">
        <v>-</v>
      </c>
      <c r="F27977" t="str">
        <v>-</v>
      </c>
      <c r="G27977" t="str">
        <v>-</v>
      </c>
    </row>
    <row r="27978" xml:space="preserve">
      <c r="B27978" t="str" xml:space="preserve">
        <v xml:space="preserve">Công an huyện Gia Viễn _x000d_
 tỉnh Ninh Bình</v>
      </c>
      <c r="C27978" t="str">
        <v>-</v>
      </c>
      <c r="D27978" t="str">
        <v>-</v>
      </c>
      <c r="E27978" t="str">
        <v/>
      </c>
      <c r="F27978" t="str">
        <v>-</v>
      </c>
      <c r="G27978" t="str">
        <v>-</v>
      </c>
    </row>
    <row r="27979" xml:space="preserve">
      <c r="B27979" t="str" xml:space="preserve">
        <v xml:space="preserve">UBND Ủy ban nhân dân huyện Gia Viễn _x000d_
 tỉnh Ninh Bình</v>
      </c>
      <c r="C27979" t="str">
        <v>-</v>
      </c>
      <c r="D27979" t="str">
        <v>-</v>
      </c>
      <c r="E27979" t="str">
        <v>-</v>
      </c>
      <c r="F27979" t="str">
        <v>-</v>
      </c>
      <c r="G27979" t="str">
        <v>-</v>
      </c>
    </row>
    <row r="27980" xml:space="preserve">
      <c r="B27980" t="str" xml:space="preserve">
        <v xml:space="preserve">Công an huyện Hiệp Hoà _x000d_
 tỉnh Bắc Giang</v>
      </c>
      <c r="C27980" t="str">
        <v>-</v>
      </c>
      <c r="D27980" t="str">
        <v>-</v>
      </c>
      <c r="E27980" t="str">
        <v/>
      </c>
      <c r="F27980" t="str">
        <v>-</v>
      </c>
      <c r="G27980" t="str">
        <v>-</v>
      </c>
    </row>
    <row r="27981" xml:space="preserve">
      <c r="B27981" t="str" xml:space="preserve">
        <v xml:space="preserve">UBND Ủy ban nhân dân huyện Hiệp Hoà _x000d_
 tỉnh Bắc Giang</v>
      </c>
      <c r="C27981" t="str">
        <v>-</v>
      </c>
      <c r="D27981" t="str">
        <v>-</v>
      </c>
      <c r="E27981" t="str">
        <v>-</v>
      </c>
      <c r="F27981" t="str">
        <v>-</v>
      </c>
      <c r="G27981" t="str">
        <v>-</v>
      </c>
    </row>
    <row r="27982" xml:space="preserve">
      <c r="B27982" t="str" xml:space="preserve">
        <v xml:space="preserve">Công an huyện Hòa Bình _x000d_
 tỉnh Bạc Liêu</v>
      </c>
      <c r="C27982" t="str">
        <v>-</v>
      </c>
      <c r="D27982" t="str">
        <v>-</v>
      </c>
      <c r="E27982" t="str">
        <v/>
      </c>
      <c r="F27982" t="str">
        <v>-</v>
      </c>
      <c r="G27982" t="str">
        <v>-</v>
      </c>
    </row>
    <row r="27983" xml:space="preserve">
      <c r="B27983" t="str" xml:space="preserve">
        <v xml:space="preserve">UBND Ủy ban nhân dân huyện Hòa Bình _x000d_
 tỉnh Bạc Liêu</v>
      </c>
      <c r="C27983" t="str">
        <v>-</v>
      </c>
      <c r="D27983" t="str">
        <v>-</v>
      </c>
      <c r="E27983" t="str">
        <v>-</v>
      </c>
      <c r="F27983" t="str">
        <v>-</v>
      </c>
      <c r="G27983" t="str">
        <v>-</v>
      </c>
    </row>
    <row r="27984" xml:space="preserve">
      <c r="B27984" t="str" xml:space="preserve">
        <v xml:space="preserve">Công an huyện Hoài Đức _x000d_
 thành phố Hà Nội</v>
      </c>
      <c r="C27984" t="str">
        <v>-</v>
      </c>
      <c r="D27984" t="str">
        <v>-</v>
      </c>
      <c r="E27984" t="str">
        <v/>
      </c>
      <c r="F27984" t="str">
        <v>-</v>
      </c>
      <c r="G27984" t="str">
        <v>-</v>
      </c>
    </row>
    <row r="27985" xml:space="preserve">
      <c r="B27985" t="str" xml:space="preserve">
        <v xml:space="preserve">UBND Ủy ban nhân dân huyện Hoài Đức _x000d_
 thành phố Hà Nội</v>
      </c>
      <c r="C27985" t="str">
        <v>-</v>
      </c>
      <c r="D27985" t="str">
        <v>-</v>
      </c>
      <c r="E27985" t="str">
        <v>-</v>
      </c>
      <c r="F27985" t="str">
        <v>-</v>
      </c>
      <c r="G27985" t="str">
        <v>-</v>
      </c>
    </row>
    <row r="27986" xml:space="preserve">
      <c r="B27986" t="str" xml:space="preserve">
        <v xml:space="preserve">Công an huyện Kim Thành _x000d_
 tỉnh Hải Dương</v>
      </c>
      <c r="C27986" t="str">
        <v>-</v>
      </c>
      <c r="D27986" t="str">
        <v>-</v>
      </c>
      <c r="E27986" t="str">
        <v/>
      </c>
      <c r="F27986" t="str">
        <v>-</v>
      </c>
      <c r="G27986" t="str">
        <v>-</v>
      </c>
    </row>
    <row r="27987" xml:space="preserve">
      <c r="B27987" t="str" xml:space="preserve">
        <v xml:space="preserve">UBND Ủy ban nhân dân huyện Kim Thành _x000d_
 tỉnh Hải Dương</v>
      </c>
      <c r="C27987" t="str">
        <v>-</v>
      </c>
      <c r="D27987" t="str">
        <v>-</v>
      </c>
      <c r="E27987" t="str">
        <v>-</v>
      </c>
      <c r="F27987" t="str">
        <v>-</v>
      </c>
      <c r="G27987" t="str">
        <v>-</v>
      </c>
    </row>
    <row r="27988" xml:space="preserve">
      <c r="B27988" t="str" xml:space="preserve">
        <v xml:space="preserve">Công an huyện Lâm Thao _x000d_
 tỉnh Phú Thọ</v>
      </c>
      <c r="C27988" t="str">
        <v>-</v>
      </c>
      <c r="D27988" t="str">
        <v>-</v>
      </c>
      <c r="E27988" t="str">
        <v/>
      </c>
      <c r="F27988" t="str">
        <v>-</v>
      </c>
      <c r="G27988" t="str">
        <v>-</v>
      </c>
    </row>
    <row r="27989" xml:space="preserve">
      <c r="B27989" t="str" xml:space="preserve">
        <v xml:space="preserve">UBND Ủy ban nhân dân huyện Lâm Thao _x000d_
 tỉnh Phú Thọ</v>
      </c>
      <c r="C27989" t="str">
        <v>-</v>
      </c>
      <c r="D27989" t="str">
        <v>-</v>
      </c>
      <c r="E27989" t="str">
        <v>-</v>
      </c>
      <c r="F27989" t="str">
        <v>-</v>
      </c>
      <c r="G27989" t="str">
        <v>-</v>
      </c>
    </row>
    <row r="27990">
      <c r="B27990" t="str">
        <v>Công an huyện Lục Yên  tỉnh Yên Bái</v>
      </c>
      <c r="C27990" t="str">
        <v>-</v>
      </c>
      <c r="D27990" t="str">
        <v>-</v>
      </c>
      <c r="E27990" t="str">
        <v/>
      </c>
      <c r="F27990" t="str">
        <v>-</v>
      </c>
      <c r="G27990" t="str">
        <v>-</v>
      </c>
    </row>
    <row r="27991">
      <c r="B27991" t="str">
        <v>UBND Ủy ban nhân dân huyện Lục Yên  tỉnh Yên Bái</v>
      </c>
      <c r="C27991" t="str">
        <v>-</v>
      </c>
      <c r="D27991" t="str">
        <v>-</v>
      </c>
      <c r="E27991" t="str">
        <v>-</v>
      </c>
      <c r="F27991" t="str">
        <v>-</v>
      </c>
      <c r="G27991" t="str">
        <v>-</v>
      </c>
    </row>
    <row r="27992">
      <c r="B27992" t="str">
        <v>Công an huyện Mai Châu tỉnh Hòa Bình</v>
      </c>
      <c r="C27992" t="str">
        <v>-</v>
      </c>
      <c r="D27992" t="str">
        <v>-</v>
      </c>
      <c r="E27992" t="str">
        <v/>
      </c>
      <c r="F27992" t="str">
        <v>-</v>
      </c>
      <c r="G27992" t="str">
        <v>-</v>
      </c>
    </row>
    <row r="27993">
      <c r="B27993" t="str">
        <v>UBND Ủy ban nhân dân huyện Mai Châu tỉnh Hòa Bình</v>
      </c>
      <c r="C27993" t="str">
        <v>-</v>
      </c>
      <c r="D27993" t="str">
        <v>-</v>
      </c>
      <c r="E27993" t="str">
        <v>-</v>
      </c>
      <c r="F27993" t="str">
        <v>-</v>
      </c>
      <c r="G27993" t="str">
        <v>-</v>
      </c>
    </row>
    <row r="27994" xml:space="preserve">
      <c r="B27994" t="str" xml:space="preserve">
        <v xml:space="preserve">Công an huyện Na Hang _x000d_
 tỉnh Tuyên Quang</v>
      </c>
      <c r="C27994" t="str">
        <v>-</v>
      </c>
      <c r="D27994" t="str">
        <v>-</v>
      </c>
      <c r="E27994" t="str">
        <v/>
      </c>
      <c r="F27994" t="str">
        <v>-</v>
      </c>
      <c r="G27994" t="str">
        <v>-</v>
      </c>
    </row>
    <row r="27995" xml:space="preserve">
      <c r="B27995" t="str" xml:space="preserve">
        <v xml:space="preserve">UBND Ủy ban nhân dân huyện Na Hang _x000d_
 tỉnh Tuyên Quang</v>
      </c>
      <c r="C27995" t="str">
        <v>-</v>
      </c>
      <c r="D27995" t="str">
        <v>-</v>
      </c>
      <c r="E27995" t="str">
        <v>-</v>
      </c>
      <c r="F27995" t="str">
        <v>-</v>
      </c>
      <c r="G27995" t="str">
        <v>-</v>
      </c>
    </row>
    <row r="27996">
      <c r="B27996" t="str">
        <v>Công an huyện Hoà An  tỉnh Cao Bằng</v>
      </c>
      <c r="C27996" t="str">
        <v>-</v>
      </c>
      <c r="D27996" t="str">
        <v>-</v>
      </c>
      <c r="E27996" t="str">
        <v/>
      </c>
      <c r="F27996" t="str">
        <v>-</v>
      </c>
      <c r="G27996" t="str">
        <v>-</v>
      </c>
    </row>
    <row r="27997">
      <c r="B27997" t="str">
        <v>UBND Ủy ban nhân dân huyện Hoà An  tỉnh Cao Bằng</v>
      </c>
      <c r="C27997" t="str">
        <v>-</v>
      </c>
      <c r="D27997" t="str">
        <v>-</v>
      </c>
      <c r="E27997" t="str">
        <v>-</v>
      </c>
      <c r="F27997" t="str">
        <v>-</v>
      </c>
      <c r="G27997" t="str">
        <v>-</v>
      </c>
    </row>
    <row r="27998" xml:space="preserve">
      <c r="B27998" t="str" xml:space="preserve">
        <v xml:space="preserve">Công an tỉnh Hoà Bình _x000d_
 tỉnh Hòa Bình</v>
      </c>
      <c r="C27998" t="str">
        <v>-</v>
      </c>
      <c r="D27998" t="str">
        <v>-</v>
      </c>
      <c r="E27998" t="str">
        <v/>
      </c>
      <c r="F27998" t="str">
        <v>-</v>
      </c>
      <c r="G27998" t="str">
        <v>-</v>
      </c>
    </row>
    <row r="27999" xml:space="preserve">
      <c r="B27999" t="str" xml:space="preserve">
        <v xml:space="preserve">UBND Ủy ban nhân dân tỉnh Hoà Bình _x000d_
 tỉnh Hòa Bình</v>
      </c>
      <c r="C27999" t="str">
        <v>-</v>
      </c>
      <c r="D27999" t="str">
        <v>-</v>
      </c>
      <c r="E27999" t="str">
        <v>-</v>
      </c>
      <c r="F27999" t="str">
        <v>-</v>
      </c>
      <c r="G27999" t="str">
        <v>-</v>
      </c>
    </row>
    <row r="28000" xml:space="preserve">
      <c r="B28000" t="str" xml:space="preserve">
        <v xml:space="preserve">Công an huyện Phù Ninh _x000d_
 tỉnh Phú Thọ</v>
      </c>
      <c r="C28000" t="str">
        <v>-</v>
      </c>
      <c r="D28000" t="str">
        <v>-</v>
      </c>
      <c r="E28000" t="str">
        <v/>
      </c>
      <c r="F28000" t="str">
        <v>-</v>
      </c>
      <c r="G28000" t="str">
        <v>-</v>
      </c>
    </row>
    <row r="28001" xml:space="preserve">
      <c r="B28001" t="str" xml:space="preserve">
        <v xml:space="preserve">UBND Ủy ban nhân dân huyện Phù Ninh _x000d_
 tỉnh Phú Thọ</v>
      </c>
      <c r="C28001" t="str">
        <v>-</v>
      </c>
      <c r="D28001" t="str">
        <v>-</v>
      </c>
      <c r="E28001" t="str">
        <v>-</v>
      </c>
      <c r="F28001" t="str">
        <v>-</v>
      </c>
      <c r="G28001" t="str">
        <v>-</v>
      </c>
    </row>
    <row r="28002" xml:space="preserve">
      <c r="B28002" t="str" xml:space="preserve">
        <v xml:space="preserve">Công an huyện Tháp Mười _x000d_
 tỉnh Đồng Tháp</v>
      </c>
      <c r="C28002" t="str">
        <v>-</v>
      </c>
      <c r="D28002" t="str">
        <v>-</v>
      </c>
      <c r="E28002" t="str">
        <v/>
      </c>
      <c r="F28002" t="str">
        <v>-</v>
      </c>
      <c r="G28002" t="str">
        <v>-</v>
      </c>
    </row>
    <row r="28003" xml:space="preserve">
      <c r="B28003" t="str" xml:space="preserve">
        <v xml:space="preserve">UBND Ủy ban nhân dân huyện Tháp Mười _x000d_
 tỉnh Đồng Tháp</v>
      </c>
      <c r="C28003" t="str">
        <v>-</v>
      </c>
      <c r="D28003" t="str">
        <v>-</v>
      </c>
      <c r="E28003" t="str">
        <v>-</v>
      </c>
      <c r="F28003" t="str">
        <v>-</v>
      </c>
      <c r="G28003" t="str">
        <v>-</v>
      </c>
    </row>
    <row r="28004">
      <c r="B28004" t="str">
        <v>Công an huyện Ứng Hoà thành phố Hà Nội</v>
      </c>
      <c r="C28004" t="str">
        <v>-</v>
      </c>
      <c r="D28004" t="str">
        <v>-</v>
      </c>
      <c r="E28004" t="str">
        <v/>
      </c>
      <c r="F28004" t="str">
        <v>-</v>
      </c>
      <c r="G28004" t="str">
        <v>-</v>
      </c>
    </row>
    <row r="28005">
      <c r="B28005" t="str">
        <v>UBND Ủy ban nhân dân huyện Ứng Hoà thành phố Hà Nội</v>
      </c>
      <c r="C28005" t="str">
        <v>-</v>
      </c>
      <c r="D28005" t="str">
        <v>-</v>
      </c>
      <c r="E28005" t="str">
        <v>-</v>
      </c>
      <c r="F28005" t="str">
        <v>-</v>
      </c>
      <c r="G28005" t="str">
        <v>-</v>
      </c>
    </row>
    <row r="28006">
      <c r="B28006" t="str">
        <v>Công an huyện Hưng Nguyên tỉnh Nghệ An</v>
      </c>
      <c r="C28006" t="str">
        <v>-</v>
      </c>
      <c r="D28006" t="str">
        <v>-</v>
      </c>
      <c r="E28006" t="str">
        <v/>
      </c>
      <c r="F28006" t="str">
        <v>-</v>
      </c>
      <c r="G28006" t="str">
        <v>-</v>
      </c>
    </row>
    <row r="28007">
      <c r="B28007" t="str">
        <v>UBND Ủy ban nhân dân huyện Hưng Nguyên tỉnh Nghệ An</v>
      </c>
      <c r="C28007" t="str">
        <v>-</v>
      </c>
      <c r="D28007" t="str">
        <v>-</v>
      </c>
      <c r="E28007" t="str">
        <v>-</v>
      </c>
      <c r="F28007" t="str">
        <v>-</v>
      </c>
      <c r="G28007" t="str">
        <v>-</v>
      </c>
    </row>
    <row r="28008" xml:space="preserve">
      <c r="B28008" t="str" xml:space="preserve">
        <v xml:space="preserve">Công an huyện Kim Sơn _x000d_
 tỉnh Ninh Bình</v>
      </c>
      <c r="C28008" t="str">
        <v>-</v>
      </c>
      <c r="D28008" t="str">
        <v>-</v>
      </c>
      <c r="E28008" t="str">
        <v/>
      </c>
      <c r="F28008" t="str">
        <v>-</v>
      </c>
      <c r="G28008" t="str">
        <v>-</v>
      </c>
    </row>
    <row r="28009" xml:space="preserve">
      <c r="B28009" t="str" xml:space="preserve">
        <v xml:space="preserve">UBND Ủy ban nhân dân huyện Kim Sơn _x000d_
 tỉnh Ninh Bình</v>
      </c>
      <c r="C28009" t="str">
        <v>-</v>
      </c>
      <c r="D28009" t="str">
        <v>-</v>
      </c>
      <c r="E28009" t="str">
        <v>-</v>
      </c>
      <c r="F28009" t="str">
        <v>-</v>
      </c>
      <c r="G28009" t="str">
        <v>-</v>
      </c>
    </row>
    <row r="28010" xml:space="preserve">
      <c r="B28010" t="str" xml:space="preserve">
        <v xml:space="preserve">Công an huyện Yên Định _x000d_
 tỉnh Thanh Hóa</v>
      </c>
      <c r="C28010" t="str">
        <v>-</v>
      </c>
      <c r="D28010" t="str">
        <v>-</v>
      </c>
      <c r="E28010" t="str">
        <v/>
      </c>
      <c r="F28010" t="str">
        <v>-</v>
      </c>
      <c r="G28010" t="str">
        <v>-</v>
      </c>
    </row>
    <row r="28011" xml:space="preserve">
      <c r="B28011" t="str" xml:space="preserve">
        <v xml:space="preserve">UBND Ủy ban nhân dân huyện Yên Định _x000d_
 tỉnh Thanh Hóa</v>
      </c>
      <c r="C28011" t="str">
        <v>-</v>
      </c>
      <c r="D28011" t="str">
        <v>-</v>
      </c>
      <c r="E28011" t="str">
        <v>-</v>
      </c>
      <c r="F28011" t="str">
        <v>-</v>
      </c>
      <c r="G28011" t="str">
        <v>-</v>
      </c>
    </row>
    <row r="28012" xml:space="preserve">
      <c r="B28012" t="str" xml:space="preserve">
        <v xml:space="preserve">Công an huyện Yên Phong _x000d_
 tỉnh Bắc Ninh</v>
      </c>
      <c r="C28012" t="str">
        <v>-</v>
      </c>
      <c r="D28012" t="str">
        <v>-</v>
      </c>
      <c r="E28012" t="str">
        <v/>
      </c>
      <c r="F28012" t="str">
        <v>-</v>
      </c>
      <c r="G28012" t="str">
        <v>-</v>
      </c>
    </row>
    <row r="28013" xml:space="preserve">
      <c r="B28013" t="str" xml:space="preserve">
        <v xml:space="preserve">UBND Ủy ban nhân dân huyện Yên Phong _x000d_
 tỉnh Bắc Ninh</v>
      </c>
      <c r="C28013" t="str">
        <v>-</v>
      </c>
      <c r="D28013" t="str">
        <v>-</v>
      </c>
      <c r="E28013" t="str">
        <v>-</v>
      </c>
      <c r="F28013" t="str">
        <v>-</v>
      </c>
      <c r="G28013" t="str">
        <v>-</v>
      </c>
    </row>
    <row r="28014">
      <c r="B28014" t="str">
        <v>Công an huyện Lạng Giang tỉnh Bắc Giang</v>
      </c>
      <c r="C28014" t="str">
        <v>-</v>
      </c>
      <c r="D28014" t="str">
        <v>-</v>
      </c>
      <c r="E28014" t="str">
        <v/>
      </c>
      <c r="F28014" t="str">
        <v>-</v>
      </c>
      <c r="G28014" t="str">
        <v>-</v>
      </c>
    </row>
    <row r="28015">
      <c r="B28015" t="str">
        <v>UBND Ủy ban nhân dân huyện Lạng Giang tỉnh Bắc Giang</v>
      </c>
      <c r="C28015" t="str">
        <v>-</v>
      </c>
      <c r="D28015" t="str">
        <v>-</v>
      </c>
      <c r="E28015" t="str">
        <v>-</v>
      </c>
      <c r="F28015" t="str">
        <v>-</v>
      </c>
      <c r="G28015" t="str">
        <v>-</v>
      </c>
    </row>
    <row r="28016" xml:space="preserve">
      <c r="B28016" t="str" xml:space="preserve">
        <v xml:space="preserve">Công an xã Lang Sơn _x000d_
 tỉnh Bắc Giang</v>
      </c>
      <c r="C28016" t="str">
        <v>-</v>
      </c>
      <c r="D28016" t="str">
        <v>-</v>
      </c>
      <c r="E28016" t="str">
        <v/>
      </c>
      <c r="F28016" t="str">
        <v>-</v>
      </c>
      <c r="G28016" t="str">
        <v>-</v>
      </c>
    </row>
    <row r="28017" xml:space="preserve">
      <c r="B28017" t="str" xml:space="preserve">
        <v xml:space="preserve">UBND Ủy ban nhân dân xã Lang Sơn _x000d_
 tỉnh Bắc Giang</v>
      </c>
      <c r="C28017" t="str">
        <v>-</v>
      </c>
      <c r="D28017" t="str">
        <v>-</v>
      </c>
      <c r="E28017" t="str">
        <v>-</v>
      </c>
      <c r="F28017" t="str">
        <v>-</v>
      </c>
      <c r="G28017" t="str">
        <v>-</v>
      </c>
    </row>
    <row r="28018">
      <c r="B28018" t="str">
        <v>Công an xã Long Châu tỉnh Bắc Ninh</v>
      </c>
      <c r="C28018" t="str">
        <v>-</v>
      </c>
      <c r="D28018" t="str">
        <v>-</v>
      </c>
      <c r="E28018" t="str">
        <v/>
      </c>
      <c r="F28018" t="str">
        <v>-</v>
      </c>
      <c r="G28018" t="str">
        <v>-</v>
      </c>
    </row>
    <row r="28019">
      <c r="B28019" t="str">
        <v>UBND Ủy ban nhân dân xã Long Châu tỉnh Bắc Ninh</v>
      </c>
      <c r="C28019" t="str">
        <v>-</v>
      </c>
      <c r="D28019" t="str">
        <v>-</v>
      </c>
      <c r="E28019" t="str">
        <v>-</v>
      </c>
      <c r="F28019" t="str">
        <v>-</v>
      </c>
      <c r="G28019" t="str">
        <v>-</v>
      </c>
    </row>
    <row r="28020" xml:space="preserve">
      <c r="B28020" t="str" xml:space="preserve">
        <v xml:space="preserve">Công an huyện Mang Thít _x000d_
 tỉnh Vĩnh Long</v>
      </c>
      <c r="C28020" t="str">
        <v>-</v>
      </c>
      <c r="D28020" t="str">
        <v>-</v>
      </c>
      <c r="E28020" t="str">
        <v/>
      </c>
      <c r="F28020" t="str">
        <v>-</v>
      </c>
      <c r="G28020" t="str">
        <v>-</v>
      </c>
    </row>
    <row r="28021" xml:space="preserve">
      <c r="B28021" t="str" xml:space="preserve">
        <v xml:space="preserve">UBND Ủy ban nhân dân huyện Mang Thít _x000d_
 tỉnh Vĩnh Long</v>
      </c>
      <c r="C28021" t="str">
        <v>-</v>
      </c>
      <c r="D28021" t="str">
        <v>-</v>
      </c>
      <c r="E28021" t="str">
        <v>-</v>
      </c>
      <c r="F28021" t="str">
        <v>-</v>
      </c>
      <c r="G28021" t="str">
        <v>-</v>
      </c>
    </row>
    <row r="28022" xml:space="preserve">
      <c r="B28022" t="str" xml:space="preserve">
        <v xml:space="preserve">Công an xã Đông Thạnh _x000d_
 thành phố Hồ Chí Minh</v>
      </c>
      <c r="C28022" t="str">
        <v>-</v>
      </c>
      <c r="D28022" t="str">
        <v>-</v>
      </c>
      <c r="E28022" t="str">
        <v/>
      </c>
      <c r="F28022" t="str">
        <v>-</v>
      </c>
      <c r="G28022" t="str">
        <v>-</v>
      </c>
    </row>
    <row r="28023" xml:space="preserve">
      <c r="B28023" t="str" xml:space="preserve">
        <v xml:space="preserve">UBND Ủy ban nhân dân xã Đông Thạnh _x000d_
 thành phố Hồ Chí Minh</v>
      </c>
      <c r="C28023" t="str">
        <v>-</v>
      </c>
      <c r="D28023" t="str">
        <v>-</v>
      </c>
      <c r="E28023" t="str">
        <v>-</v>
      </c>
      <c r="F28023" t="str">
        <v>-</v>
      </c>
      <c r="G28023" t="str">
        <v>-</v>
      </c>
    </row>
    <row r="28024" xml:space="preserve">
      <c r="B28024" t="str" xml:space="preserve">
        <v xml:space="preserve">Công an xã Hương Liên _x000d_
 tỉnh Hà Tĩnh</v>
      </c>
      <c r="C28024" t="str">
        <v>-</v>
      </c>
      <c r="D28024" t="str">
        <v>-</v>
      </c>
      <c r="E28024" t="str">
        <v/>
      </c>
      <c r="F28024" t="str">
        <v>-</v>
      </c>
      <c r="G28024" t="str">
        <v>-</v>
      </c>
    </row>
    <row r="28025" xml:space="preserve">
      <c r="B28025" t="str" xml:space="preserve">
        <v xml:space="preserve">UBND Ủy ban nhân dân xã Hương Liên _x000d_
 tỉnh Hà Tĩnh</v>
      </c>
      <c r="C28025" t="str">
        <v>-</v>
      </c>
      <c r="D28025" t="str">
        <v>-</v>
      </c>
      <c r="E28025" t="str">
        <v>-</v>
      </c>
      <c r="F28025" t="str">
        <v>-</v>
      </c>
      <c r="G28025" t="str">
        <v>-</v>
      </c>
    </row>
    <row r="28026" xml:space="preserve">
      <c r="B28026" t="str" xml:space="preserve">
        <v xml:space="preserve">Công an tỉnh Bình Phước _x000d_
 tỉnh Bình Phước</v>
      </c>
      <c r="C28026" t="str">
        <v>-</v>
      </c>
      <c r="D28026" t="str">
        <v>-</v>
      </c>
      <c r="E28026" t="str">
        <v/>
      </c>
      <c r="F28026" t="str">
        <v>-</v>
      </c>
      <c r="G28026" t="str">
        <v>-</v>
      </c>
    </row>
    <row r="28027" xml:space="preserve">
      <c r="B28027" t="str" xml:space="preserve">
        <v xml:space="preserve">UBND Ủy ban nhân dân tỉnh Bình Phước _x000d_
 tỉnh Bình Phước</v>
      </c>
      <c r="C28027" t="str">
        <v>-</v>
      </c>
      <c r="D28027" t="str">
        <v>-</v>
      </c>
      <c r="E28027" t="str">
        <v>-</v>
      </c>
      <c r="F28027" t="str">
        <v>-</v>
      </c>
      <c r="G28027" t="str">
        <v>-</v>
      </c>
    </row>
    <row r="28028">
      <c r="B28028" t="str">
        <v>Công an xã Ngọc Động tỉnh Sóc Trăng</v>
      </c>
      <c r="C28028" t="str">
        <v>-</v>
      </c>
      <c r="D28028" t="str">
        <v>-</v>
      </c>
      <c r="E28028" t="str">
        <v/>
      </c>
      <c r="F28028" t="str">
        <v>-</v>
      </c>
      <c r="G28028" t="str">
        <v>-</v>
      </c>
    </row>
    <row r="28029">
      <c r="B28029" t="str">
        <v>UBND Ủy ban nhân dân xã Ngọc Động tỉnh Sóc Trăng</v>
      </c>
      <c r="C28029" t="str">
        <v>-</v>
      </c>
      <c r="D28029" t="str">
        <v>-</v>
      </c>
      <c r="E28029" t="str">
        <v>-</v>
      </c>
      <c r="F28029" t="str">
        <v>-</v>
      </c>
      <c r="G28029" t="str">
        <v>-</v>
      </c>
    </row>
    <row r="28030" xml:space="preserve">
      <c r="B28030" t="str" xml:space="preserve">
        <v xml:space="preserve">Cảnh Sát Cơ Động _x000d_
 thành phố Hà Nội</v>
      </c>
    </row>
    <row r="28031" xml:space="preserve">
      <c r="B28031" t="str" xml:space="preserve">
        <v xml:space="preserve">UBND Ủy ban nhân dânt Cơ Động _x000d_
 thành phố Hà Nội</v>
      </c>
      <c r="C28031" t="str">
        <v>-</v>
      </c>
      <c r="D28031" t="str">
        <v>-</v>
      </c>
      <c r="E28031" t="str">
        <v>-</v>
      </c>
      <c r="F28031" t="str">
        <v>-</v>
      </c>
      <c r="G28031" t="str">
        <v>-</v>
      </c>
    </row>
    <row r="28032" xml:space="preserve">
      <c r="B28032" t="str" xml:space="preserve">
        <v xml:space="preserve">Công an xã Đại Lãnh _x000d_
 tỉnh Khánh Hòa</v>
      </c>
      <c r="C28032" t="str">
        <v>-</v>
      </c>
      <c r="D28032" t="str">
        <v>-</v>
      </c>
      <c r="E28032" t="str">
        <v/>
      </c>
      <c r="F28032" t="str">
        <v>-</v>
      </c>
      <c r="G28032" t="str">
        <v>-</v>
      </c>
    </row>
    <row r="28033" xml:space="preserve">
      <c r="B28033" t="str" xml:space="preserve">
        <v xml:space="preserve">UBND Ủy ban nhân dân xã Đại Lãnh _x000d_
 tỉnh Khánh Hòa</v>
      </c>
      <c r="C28033" t="str">
        <v>-</v>
      </c>
      <c r="D28033" t="str">
        <v>-</v>
      </c>
      <c r="E28033" t="str">
        <v>-</v>
      </c>
      <c r="F28033" t="str">
        <v>-</v>
      </c>
      <c r="G28033" t="str">
        <v>-</v>
      </c>
    </row>
    <row r="28034" xml:space="preserve">
      <c r="B28034" t="str" xml:space="preserve">
        <v xml:space="preserve">Cảnh sát giao thông tỉnh Bến Tre _x000d_
 tỉnh Bến Tre</v>
      </c>
    </row>
    <row r="28035" xml:space="preserve">
      <c r="B28035" t="str" xml:space="preserve">
        <v xml:space="preserve">UBND Ủy ban nhân dânt giao thông tỉnh Bến Tre _x000d_
 tỉnh Bến Tre</v>
      </c>
      <c r="C28035" t="str">
        <v>-</v>
      </c>
      <c r="D28035" t="str">
        <v>-</v>
      </c>
      <c r="E28035" t="str">
        <v>-</v>
      </c>
      <c r="F28035" t="str">
        <v>-</v>
      </c>
      <c r="G28035" t="str">
        <v>-</v>
      </c>
    </row>
    <row r="28036">
      <c r="B28036" t="str">
        <v>Cảnh sát giao thông tỉnh Tuyên Quang tỉnh Tuyên Quang</v>
      </c>
    </row>
    <row r="28037">
      <c r="B28037" t="str">
        <v>UBND Ủy ban nhân dânt giao thông tỉnh Tuyên Quang tỉnh Tuyên Quang</v>
      </c>
      <c r="C28037" t="str">
        <v>-</v>
      </c>
      <c r="D28037" t="str">
        <v>-</v>
      </c>
      <c r="E28037" t="str">
        <v>-</v>
      </c>
      <c r="F28037" t="str">
        <v>-</v>
      </c>
      <c r="G28037" t="str">
        <v>-</v>
      </c>
    </row>
    <row r="28038">
      <c r="B28038" t="str">
        <v>Công an tỉnh Thừa Thiên Huế  tỉnh THỪA THIÊN HUẾ</v>
      </c>
      <c r="C28038" t="str">
        <v>-</v>
      </c>
      <c r="D28038" t="str">
        <v>-</v>
      </c>
      <c r="E28038" t="str">
        <v/>
      </c>
      <c r="F28038" t="str">
        <v>-</v>
      </c>
      <c r="G28038" t="str">
        <v>-</v>
      </c>
    </row>
    <row r="28039">
      <c r="B28039" t="str">
        <v>UBND Ủy ban nhân dân tỉnh Thừa Thiên Huế  tỉnh THỪA THIÊN HUẾ</v>
      </c>
      <c r="C28039" t="str">
        <v>-</v>
      </c>
      <c r="D28039" t="str">
        <v>-</v>
      </c>
      <c r="E28039" t="str">
        <v>-</v>
      </c>
      <c r="F28039" t="str">
        <v>-</v>
      </c>
      <c r="G28039" t="str">
        <v>-</v>
      </c>
    </row>
    <row r="28040">
      <c r="B28040" t="str">
        <v>Công an tỉnh Thừa Thiên Huế  tỉnh THỪA THIÊN HUẾ</v>
      </c>
      <c r="C28040" t="str">
        <v>-</v>
      </c>
      <c r="D28040" t="str">
        <v>-</v>
      </c>
      <c r="E28040" t="str">
        <v/>
      </c>
      <c r="F28040" t="str">
        <v>-</v>
      </c>
      <c r="G28040" t="str">
        <v>-</v>
      </c>
    </row>
    <row r="28041">
      <c r="B28041" t="str">
        <v>UBND Ủy ban nhân dân tỉnh Thừa Thiên Huế  tỉnh THỪA THIÊN HUẾ</v>
      </c>
      <c r="C28041" t="str">
        <v>-</v>
      </c>
      <c r="D28041" t="str">
        <v>-</v>
      </c>
      <c r="E28041" t="str">
        <v>-</v>
      </c>
      <c r="F28041" t="str">
        <v>-</v>
      </c>
      <c r="G28041" t="str">
        <v>-</v>
      </c>
    </row>
    <row r="28042" xml:space="preserve">
      <c r="B28042" t="str" xml:space="preserve">
        <v xml:space="preserve">Công an tỉnh Gia Lai _x000d_
 tỉnh Gia Lai</v>
      </c>
      <c r="C28042" t="str">
        <v>-</v>
      </c>
      <c r="D28042" t="str">
        <v>-</v>
      </c>
      <c r="E28042" t="str">
        <v/>
      </c>
      <c r="F28042" t="str">
        <v>-</v>
      </c>
      <c r="G28042" t="str">
        <v>-</v>
      </c>
    </row>
    <row r="28043" xml:space="preserve">
      <c r="B28043" t="str" xml:space="preserve">
        <v xml:space="preserve">UBND Ủy ban nhân dân tỉnh Gia Lai _x000d_
 tỉnh Gia Lai</v>
      </c>
      <c r="C28043" t="str">
        <v>-</v>
      </c>
      <c r="D28043" t="str">
        <v>-</v>
      </c>
      <c r="E28043" t="str">
        <v>-</v>
      </c>
      <c r="F28043" t="str">
        <v>-</v>
      </c>
      <c r="G28043" t="str">
        <v>-</v>
      </c>
    </row>
    <row r="28044">
      <c r="B28044" t="str">
        <v>Cảnh Sát  thành phố Hà Nội</v>
      </c>
    </row>
    <row r="28045">
      <c r="B28045" t="str">
        <v>UBND Ủy ban nhân dânt  thành phố Hà Nội</v>
      </c>
      <c r="C28045" t="str">
        <v>-</v>
      </c>
      <c r="D28045" t="str">
        <v>-</v>
      </c>
      <c r="E28045" t="str">
        <v>-</v>
      </c>
      <c r="F28045" t="str">
        <v>-</v>
      </c>
      <c r="G28045" t="str">
        <v>-</v>
      </c>
    </row>
    <row r="28046">
      <c r="B28046" t="str">
        <v>Công an tỉnh Phú Thọ  tỉnh Phú Thọ</v>
      </c>
      <c r="C28046" t="str">
        <v>-</v>
      </c>
      <c r="D28046" t="str">
        <v>-</v>
      </c>
      <c r="E28046" t="str">
        <v/>
      </c>
      <c r="F28046" t="str">
        <v>-</v>
      </c>
      <c r="G28046" t="str">
        <v>-</v>
      </c>
    </row>
    <row r="28047">
      <c r="B28047" t="str">
        <v>UBND Ủy ban nhân dân tỉnh Phú Thọ  tỉnh Phú Thọ</v>
      </c>
      <c r="C28047" t="str">
        <v>-</v>
      </c>
      <c r="D28047" t="str">
        <v>-</v>
      </c>
      <c r="E28047" t="str">
        <v>-</v>
      </c>
      <c r="F28047" t="str">
        <v>-</v>
      </c>
      <c r="G28047" t="str">
        <v>-</v>
      </c>
    </row>
    <row r="28048" xml:space="preserve">
      <c r="B28048" t="str" xml:space="preserve">
        <v xml:space="preserve">Công an phường Bảo Vinh_x000d_
 tỉnh Đồng Nai</v>
      </c>
      <c r="C28048" t="str">
        <v>-</v>
      </c>
      <c r="D28048" t="str">
        <v>-</v>
      </c>
      <c r="E28048" t="str">
        <v/>
      </c>
      <c r="F28048" t="str">
        <v>-</v>
      </c>
      <c r="G28048" t="str">
        <v>-</v>
      </c>
    </row>
    <row r="28049" xml:space="preserve">
      <c r="B28049" t="str" xml:space="preserve">
        <v xml:space="preserve">UBND Ủy ban nhân dân phường Bảo Vinh_x000d_
 tỉnh Đồng Nai</v>
      </c>
      <c r="C28049" t="str">
        <v>-</v>
      </c>
      <c r="D28049" t="str">
        <v>-</v>
      </c>
      <c r="E28049" t="str">
        <v>-</v>
      </c>
      <c r="F28049" t="str">
        <v>-</v>
      </c>
      <c r="G28049" t="str">
        <v>-</v>
      </c>
    </row>
    <row r="28050">
      <c r="B28050" t="str">
        <v>Công an phường Chiềng Cơi tỉnh Sơn La</v>
      </c>
      <c r="C28050" t="str">
        <v>-</v>
      </c>
      <c r="D28050" t="str">
        <v>-</v>
      </c>
      <c r="E28050" t="str">
        <v/>
      </c>
      <c r="F28050" t="str">
        <v>-</v>
      </c>
      <c r="G28050" t="str">
        <v>-</v>
      </c>
    </row>
    <row r="28051">
      <c r="B28051" t="str">
        <v>UBND Ủy ban nhân dân phường Chiềng Cơi tỉnh Sơn La</v>
      </c>
      <c r="C28051" t="str">
        <v>-</v>
      </c>
      <c r="D28051" t="str">
        <v>-</v>
      </c>
      <c r="E28051" t="str">
        <v>-</v>
      </c>
      <c r="F28051" t="str">
        <v>-</v>
      </c>
      <c r="G28051" t="str">
        <v>-</v>
      </c>
    </row>
    <row r="28052">
      <c r="B28052" t="str">
        <v>Công an phường Chiềng Lề tỉnh Sơn La</v>
      </c>
      <c r="C28052" t="str">
        <v>-</v>
      </c>
      <c r="D28052" t="str">
        <v>-</v>
      </c>
      <c r="E28052" t="str">
        <v/>
      </c>
      <c r="F28052" t="str">
        <v>-</v>
      </c>
      <c r="G28052" t="str">
        <v>-</v>
      </c>
    </row>
    <row r="28053">
      <c r="B28053" t="str">
        <v>UBND Ủy ban nhân dân phường Chiềng Lề tỉnh Sơn La</v>
      </c>
      <c r="C28053" t="str">
        <v>-</v>
      </c>
      <c r="D28053" t="str">
        <v>-</v>
      </c>
      <c r="E28053" t="str">
        <v>-</v>
      </c>
      <c r="F28053" t="str">
        <v>-</v>
      </c>
      <c r="G28053" t="str">
        <v>-</v>
      </c>
    </row>
    <row r="28054" xml:space="preserve">
      <c r="B28054" t="str" xml:space="preserve">
        <v xml:space="preserve">Công an phường Hòa Thọ Tây _x000d_
 thành phố Đà Nẵng</v>
      </c>
      <c r="C28054" t="str">
        <v>-</v>
      </c>
      <c r="D28054" t="str">
        <v>-</v>
      </c>
      <c r="E28054" t="str">
        <v/>
      </c>
      <c r="F28054" t="str">
        <v>-</v>
      </c>
      <c r="G28054" t="str">
        <v>-</v>
      </c>
    </row>
    <row r="28055" xml:space="preserve">
      <c r="B28055" t="str" xml:space="preserve">
        <v xml:space="preserve">UBND Ủy ban nhân dân phường Hòa Thọ Tây _x000d_
 thành phố Đà Nẵng</v>
      </c>
      <c r="C28055" t="str">
        <v>-</v>
      </c>
      <c r="D28055" t="str">
        <v>-</v>
      </c>
      <c r="E28055" t="str">
        <v>-</v>
      </c>
      <c r="F28055" t="str">
        <v>-</v>
      </c>
      <c r="G28055" t="str">
        <v>-</v>
      </c>
    </row>
    <row r="28056" xml:space="preserve">
      <c r="B28056" t="str" xml:space="preserve">
        <v xml:space="preserve">Công an phường Hợp Minh _x000d_
 tỉnh Yên Bái</v>
      </c>
      <c r="C28056" t="str">
        <v>-</v>
      </c>
      <c r="D28056" t="str">
        <v>-</v>
      </c>
      <c r="E28056" t="str">
        <v/>
      </c>
      <c r="F28056" t="str">
        <v>-</v>
      </c>
      <c r="G28056" t="str">
        <v>-</v>
      </c>
    </row>
    <row r="28057" xml:space="preserve">
      <c r="B28057" t="str" xml:space="preserve">
        <v xml:space="preserve">UBND Ủy ban nhân dân phường Hợp Minh _x000d_
 tỉnh Yên Bái</v>
      </c>
      <c r="C28057" t="str">
        <v>-</v>
      </c>
      <c r="D28057" t="str">
        <v>-</v>
      </c>
      <c r="E28057" t="str">
        <v>-</v>
      </c>
      <c r="F28057" t="str">
        <v>-</v>
      </c>
      <c r="G28057" t="str">
        <v>-</v>
      </c>
    </row>
    <row r="28058">
      <c r="B28058" t="str">
        <v>Công an xã Phú Lâm  tỉnh Đồng Nai</v>
      </c>
      <c r="C28058" t="str">
        <v>-</v>
      </c>
      <c r="D28058" t="str">
        <v>-</v>
      </c>
      <c r="E28058" t="str">
        <v/>
      </c>
      <c r="F28058" t="str">
        <v>-</v>
      </c>
      <c r="G28058" t="str">
        <v>-</v>
      </c>
    </row>
    <row r="28059">
      <c r="B28059" t="str">
        <v>UBND Ủy ban nhân dân xã Phú Lâm  tỉnh Đồng Nai</v>
      </c>
      <c r="C28059" t="str">
        <v>-</v>
      </c>
      <c r="D28059" t="str">
        <v>-</v>
      </c>
      <c r="E28059" t="str">
        <v>-</v>
      </c>
      <c r="F28059" t="str">
        <v>-</v>
      </c>
      <c r="G28059" t="str">
        <v>-</v>
      </c>
    </row>
    <row r="28060">
      <c r="B28060" t="str">
        <v>Công an phường Hưng Thành tỉnh Tuyên Quang</v>
      </c>
      <c r="C28060" t="str">
        <v>-</v>
      </c>
      <c r="D28060" t="str">
        <v>-</v>
      </c>
      <c r="E28060" t="str">
        <v/>
      </c>
      <c r="F28060" t="str">
        <v>-</v>
      </c>
      <c r="G28060" t="str">
        <v>-</v>
      </c>
    </row>
    <row r="28061">
      <c r="B28061" t="str">
        <v>UBND Ủy ban nhân dân phường Hưng Thành tỉnh Tuyên Quang</v>
      </c>
      <c r="C28061" t="str">
        <v>-</v>
      </c>
      <c r="D28061" t="str">
        <v>-</v>
      </c>
      <c r="E28061" t="str">
        <v>-</v>
      </c>
      <c r="F28061" t="str">
        <v>-</v>
      </c>
      <c r="G28061" t="str">
        <v>-</v>
      </c>
    </row>
    <row r="28062">
      <c r="B28062" t="str">
        <v>Công an phường Đồng Tiến tỉnh Thái Nguyên</v>
      </c>
      <c r="C28062" t="str">
        <v>-</v>
      </c>
      <c r="D28062" t="str">
        <v>-</v>
      </c>
      <c r="E28062" t="str">
        <v/>
      </c>
      <c r="F28062" t="str">
        <v>-</v>
      </c>
      <c r="G28062" t="str">
        <v>-</v>
      </c>
    </row>
    <row r="28063">
      <c r="B28063" t="str">
        <v>UBND Ủy ban nhân dân phường Đồng Tiến tỉnh Thái Nguyên</v>
      </c>
      <c r="C28063" t="str">
        <v>-</v>
      </c>
      <c r="D28063" t="str">
        <v>-</v>
      </c>
      <c r="E28063" t="str">
        <v>-</v>
      </c>
      <c r="F28063" t="str">
        <v>-</v>
      </c>
      <c r="G28063" t="str">
        <v>-</v>
      </c>
    </row>
    <row r="28064">
      <c r="B28064" t="str">
        <v>Công an phường Kỳ Thịnh tỉnh Hà Tĩnh</v>
      </c>
      <c r="C28064" t="str">
        <v>-</v>
      </c>
      <c r="D28064" t="str">
        <v>-</v>
      </c>
      <c r="E28064" t="str">
        <v/>
      </c>
      <c r="F28064" t="str">
        <v>-</v>
      </c>
      <c r="G28064" t="str">
        <v>-</v>
      </c>
    </row>
    <row r="28065">
      <c r="B28065" t="str">
        <v>UBND Ủy ban nhân dân phường Kỳ Thịnh tỉnh Hà Tĩnh</v>
      </c>
      <c r="C28065" t="str">
        <v>-</v>
      </c>
      <c r="D28065" t="str">
        <v>-</v>
      </c>
      <c r="E28065" t="str">
        <v>-</v>
      </c>
      <c r="F28065" t="str">
        <v>-</v>
      </c>
      <c r="G28065" t="str">
        <v>-</v>
      </c>
    </row>
    <row r="28066">
      <c r="B28066" t="str">
        <v>Công an phường Lam Sơn tỉnh Thanh Hóa</v>
      </c>
      <c r="C28066" t="str">
        <v>-</v>
      </c>
      <c r="D28066" t="str">
        <v>-</v>
      </c>
      <c r="E28066" t="str">
        <v/>
      </c>
      <c r="F28066" t="str">
        <v>-</v>
      </c>
      <c r="G28066" t="str">
        <v>-</v>
      </c>
    </row>
    <row r="28067">
      <c r="B28067" t="str">
        <v>UBND Ủy ban nhân dân phường Lam Sơn tỉnh Thanh Hóa</v>
      </c>
      <c r="C28067" t="str">
        <v>-</v>
      </c>
      <c r="D28067" t="str">
        <v>-</v>
      </c>
      <c r="E28067" t="str">
        <v>-</v>
      </c>
      <c r="F28067" t="str">
        <v>-</v>
      </c>
      <c r="G28067" t="str">
        <v>-</v>
      </c>
    </row>
    <row r="28068">
      <c r="B28068" t="str">
        <v>Công an phường Long Phước  tỉnh Bình Phước</v>
      </c>
      <c r="C28068" t="str">
        <v>-</v>
      </c>
      <c r="D28068" t="str">
        <v>-</v>
      </c>
      <c r="E28068" t="str">
        <v/>
      </c>
      <c r="F28068" t="str">
        <v>-</v>
      </c>
      <c r="G28068" t="str">
        <v>-</v>
      </c>
    </row>
    <row r="28069">
      <c r="B28069" t="str">
        <v>UBND Ủy ban nhân dân phường Long Phước  tỉnh Bình Phước</v>
      </c>
      <c r="C28069" t="str">
        <v>-</v>
      </c>
      <c r="D28069" t="str">
        <v>-</v>
      </c>
      <c r="E28069" t="str">
        <v>-</v>
      </c>
      <c r="F28069" t="str">
        <v>-</v>
      </c>
      <c r="G28069" t="str">
        <v>-</v>
      </c>
    </row>
    <row r="28070">
      <c r="B28070" t="str">
        <v>Công an phường Minh Tân  tỉnh Yên Bái</v>
      </c>
      <c r="C28070" t="str">
        <v>-</v>
      </c>
      <c r="D28070" t="str">
        <v>-</v>
      </c>
      <c r="E28070" t="str">
        <v/>
      </c>
      <c r="F28070" t="str">
        <v>-</v>
      </c>
      <c r="G28070" t="str">
        <v>-</v>
      </c>
    </row>
    <row r="28071">
      <c r="B28071" t="str">
        <v>UBND Ủy ban nhân dân phường Minh Tân  tỉnh Yên Bái</v>
      </c>
      <c r="C28071" t="str">
        <v>-</v>
      </c>
      <c r="D28071" t="str">
        <v>-</v>
      </c>
      <c r="E28071" t="str">
        <v>-</v>
      </c>
      <c r="F28071" t="str">
        <v>-</v>
      </c>
      <c r="G28071" t="str">
        <v>-</v>
      </c>
    </row>
    <row r="28072" xml:space="preserve">
      <c r="B28072" t="str" xml:space="preserve">
        <v xml:space="preserve">Công an huyện Pác Nặm _x000d_
 tỉnh Bắc Kạn</v>
      </c>
      <c r="C28072" t="str">
        <v>-</v>
      </c>
      <c r="D28072" t="str">
        <v>-</v>
      </c>
      <c r="E28072" t="str">
        <v/>
      </c>
      <c r="F28072" t="str">
        <v>-</v>
      </c>
      <c r="G28072" t="str">
        <v>-</v>
      </c>
    </row>
    <row r="28073" xml:space="preserve">
      <c r="B28073" t="str" xml:space="preserve">
        <v xml:space="preserve">UBND Ủy ban nhân dân huyện Pác Nặm _x000d_
 tỉnh Bắc Kạn</v>
      </c>
      <c r="C28073" t="str">
        <v>-</v>
      </c>
      <c r="D28073" t="str">
        <v>-</v>
      </c>
      <c r="E28073" t="str">
        <v>-</v>
      </c>
      <c r="F28073" t="str">
        <v>-</v>
      </c>
      <c r="G28073" t="str">
        <v>-</v>
      </c>
    </row>
    <row r="28074" xml:space="preserve">
      <c r="B28074" t="str" xml:space="preserve">
        <v xml:space="preserve">Công an phường Nam Bình _x000d_
 tỉnh Ninh Bình</v>
      </c>
      <c r="C28074" t="str">
        <v>-</v>
      </c>
      <c r="D28074" t="str">
        <v>-</v>
      </c>
      <c r="E28074" t="str">
        <v/>
      </c>
      <c r="F28074" t="str">
        <v>-</v>
      </c>
      <c r="G28074" t="str">
        <v>-</v>
      </c>
    </row>
    <row r="28075" xml:space="preserve">
      <c r="B28075" t="str" xml:space="preserve">
        <v xml:space="preserve">UBND Ủy ban nhân dân phường Nam Bình _x000d_
 tỉnh Ninh Bình</v>
      </c>
      <c r="C28075" t="str">
        <v>-</v>
      </c>
      <c r="D28075" t="str">
        <v>-</v>
      </c>
      <c r="E28075" t="str">
        <v>-</v>
      </c>
      <c r="F28075" t="str">
        <v>-</v>
      </c>
      <c r="G28075" t="str">
        <v>-</v>
      </c>
    </row>
    <row r="28076">
      <c r="B28076" t="str">
        <v>Công an phường Phù Đổng tỉnh Gia Lai</v>
      </c>
      <c r="C28076" t="str">
        <v>-</v>
      </c>
      <c r="D28076" t="str">
        <v>-</v>
      </c>
      <c r="E28076" t="str">
        <v/>
      </c>
      <c r="F28076" t="str">
        <v>-</v>
      </c>
      <c r="G28076" t="str">
        <v>-</v>
      </c>
    </row>
    <row r="28077">
      <c r="B28077" t="str">
        <v>UBND Ủy ban nhân dân phường Phù Đổng tỉnh Gia Lai</v>
      </c>
      <c r="C28077" t="str">
        <v>-</v>
      </c>
      <c r="D28077" t="str">
        <v>-</v>
      </c>
      <c r="E28077" t="str">
        <v>-</v>
      </c>
      <c r="F28077" t="str">
        <v>-</v>
      </c>
      <c r="G28077" t="str">
        <v>-</v>
      </c>
    </row>
    <row r="28078">
      <c r="B28078" t="str">
        <v>Công an phường Quảng Tâm tỉnh Thanh Hóa</v>
      </c>
      <c r="C28078" t="str">
        <v>-</v>
      </c>
      <c r="D28078" t="str">
        <v>-</v>
      </c>
      <c r="E28078" t="str">
        <v/>
      </c>
      <c r="F28078" t="str">
        <v>-</v>
      </c>
      <c r="G28078" t="str">
        <v>-</v>
      </c>
    </row>
    <row r="28079">
      <c r="B28079" t="str">
        <v>UBND Ủy ban nhân dân phường Quảng Tâm tỉnh Thanh Hóa</v>
      </c>
      <c r="C28079" t="str">
        <v>-</v>
      </c>
      <c r="D28079" t="str">
        <v>-</v>
      </c>
      <c r="E28079" t="str">
        <v>-</v>
      </c>
      <c r="F28079" t="str">
        <v>-</v>
      </c>
      <c r="G28079" t="str">
        <v>-</v>
      </c>
    </row>
    <row r="28080">
      <c r="B28080" t="str">
        <v>Công an phường Suối Hoa tỉnh Bắc Ninh</v>
      </c>
      <c r="C28080" t="str">
        <v>-</v>
      </c>
      <c r="D28080" t="str">
        <v>-</v>
      </c>
      <c r="E28080" t="str">
        <v/>
      </c>
      <c r="F28080" t="str">
        <v>-</v>
      </c>
      <c r="G28080" t="str">
        <v>-</v>
      </c>
    </row>
    <row r="28081">
      <c r="B28081" t="str">
        <v>UBND Ủy ban nhân dân phường Suối Hoa tỉnh Bắc Ninh</v>
      </c>
      <c r="C28081" t="str">
        <v>-</v>
      </c>
      <c r="D28081" t="str">
        <v>-</v>
      </c>
      <c r="E28081" t="str">
        <v>-</v>
      </c>
      <c r="F28081" t="str">
        <v>-</v>
      </c>
      <c r="G28081" t="str">
        <v>-</v>
      </c>
    </row>
    <row r="28082">
      <c r="B28082" t="str">
        <v>Công an phường Tân Dân tỉnh Thanh Hóa</v>
      </c>
      <c r="C28082" t="str">
        <v>-</v>
      </c>
      <c r="D28082" t="str">
        <v>-</v>
      </c>
      <c r="E28082" t="str">
        <v/>
      </c>
      <c r="F28082" t="str">
        <v>-</v>
      </c>
      <c r="G28082" t="str">
        <v>-</v>
      </c>
    </row>
    <row r="28083">
      <c r="B28083" t="str">
        <v>UBND Ủy ban nhân dân phường Tân Dân tỉnh Thanh Hóa</v>
      </c>
      <c r="C28083" t="str">
        <v>-</v>
      </c>
      <c r="D28083" t="str">
        <v>-</v>
      </c>
      <c r="E28083" t="str">
        <v>-</v>
      </c>
      <c r="F28083" t="str">
        <v>-</v>
      </c>
      <c r="G28083" t="str">
        <v>-</v>
      </c>
    </row>
    <row r="28084">
      <c r="B28084" t="str">
        <v>Công an phường Hiệp Ninh  tỉnh TÂY NINH</v>
      </c>
      <c r="C28084" t="str">
        <v>-</v>
      </c>
      <c r="D28084" t="str">
        <v>-</v>
      </c>
      <c r="E28084" t="str">
        <v/>
      </c>
      <c r="F28084" t="str">
        <v>-</v>
      </c>
      <c r="G28084" t="str">
        <v>-</v>
      </c>
    </row>
    <row r="28085">
      <c r="B28085" t="str">
        <v>UBND Ủy ban nhân dân phường Hiệp Ninh  tỉnh TÂY NINH</v>
      </c>
      <c r="C28085" t="str">
        <v>-</v>
      </c>
      <c r="D28085" t="str">
        <v>-</v>
      </c>
      <c r="E28085" t="str">
        <v>-</v>
      </c>
      <c r="F28085" t="str">
        <v>-</v>
      </c>
      <c r="G28085" t="str">
        <v>-</v>
      </c>
    </row>
    <row r="28086">
      <c r="B28086" t="str">
        <v>Công an huyện Phú Xuyên  thành phố Hà Nội</v>
      </c>
      <c r="C28086" t="str">
        <v>-</v>
      </c>
      <c r="D28086" t="str">
        <v>-</v>
      </c>
      <c r="E28086" t="str">
        <v/>
      </c>
      <c r="F28086" t="str">
        <v>-</v>
      </c>
      <c r="G28086" t="str">
        <v>-</v>
      </c>
    </row>
    <row r="28087">
      <c r="B28087" t="str">
        <v>UBND Ủy ban nhân dân huyện Phú Xuyên  thành phố Hà Nội</v>
      </c>
      <c r="C28087" t="str">
        <v>-</v>
      </c>
      <c r="D28087" t="str">
        <v>-</v>
      </c>
      <c r="E28087" t="str">
        <v>-</v>
      </c>
      <c r="F28087" t="str">
        <v>-</v>
      </c>
      <c r="G28087" t="str">
        <v>-</v>
      </c>
    </row>
    <row r="28088">
      <c r="B28088" t="str">
        <v>Công an quận 6 thành phố Hồ Chí Minh</v>
      </c>
      <c r="C28088" t="str">
        <v>-</v>
      </c>
      <c r="D28088" t="str">
        <v>-</v>
      </c>
      <c r="E28088" t="str">
        <v/>
      </c>
      <c r="F28088" t="str">
        <v>-</v>
      </c>
      <c r="G28088" t="str">
        <v>-</v>
      </c>
    </row>
    <row r="28089">
      <c r="B28089" t="str">
        <v>UBND Ủy ban nhân dân quận 6 thành phố Hồ Chí Minh</v>
      </c>
      <c r="C28089" t="str">
        <v>-</v>
      </c>
      <c r="D28089" t="str">
        <v>-</v>
      </c>
      <c r="E28089" t="str">
        <v>-</v>
      </c>
      <c r="F28089" t="str">
        <v>-</v>
      </c>
      <c r="G28089" t="str">
        <v>-</v>
      </c>
    </row>
    <row r="28090">
      <c r="B28090" t="str">
        <v>Công an quận Cẩm Lệ  thành phố Đà Nẵng</v>
      </c>
      <c r="C28090" t="str">
        <v>-</v>
      </c>
      <c r="D28090" t="str">
        <v>-</v>
      </c>
      <c r="E28090" t="str">
        <v/>
      </c>
      <c r="F28090" t="str">
        <v>-</v>
      </c>
      <c r="G28090" t="str">
        <v>-</v>
      </c>
    </row>
    <row r="28091">
      <c r="B28091" t="str">
        <v>UBND Ủy ban nhân dân quận Cẩm Lệ  thành phố Đà Nẵng</v>
      </c>
      <c r="C28091" t="str">
        <v>-</v>
      </c>
      <c r="D28091" t="str">
        <v>-</v>
      </c>
      <c r="E28091" t="str">
        <v>-</v>
      </c>
      <c r="F28091" t="str">
        <v>-</v>
      </c>
      <c r="G28091" t="str">
        <v>-</v>
      </c>
    </row>
    <row r="28092">
      <c r="B28092" t="str">
        <v>Công an quận Hồng Bàng thành phố Hải Phòng</v>
      </c>
      <c r="C28092" t="str">
        <v>-</v>
      </c>
      <c r="D28092" t="str">
        <v>-</v>
      </c>
      <c r="E28092" t="str">
        <v/>
      </c>
      <c r="F28092" t="str">
        <v>-</v>
      </c>
      <c r="G28092" t="str">
        <v>-</v>
      </c>
    </row>
    <row r="28093">
      <c r="B28093" t="str">
        <v>UBND Ủy ban nhân dân quận Hồng Bàng thành phố Hải Phòng</v>
      </c>
      <c r="C28093" t="str">
        <v>-</v>
      </c>
      <c r="D28093" t="str">
        <v>-</v>
      </c>
      <c r="E28093" t="str">
        <v>-</v>
      </c>
      <c r="F28093" t="str">
        <v>-</v>
      </c>
      <c r="G28093" t="str">
        <v>-</v>
      </c>
    </row>
    <row r="28094">
      <c r="B28094" t="str">
        <v>Công an huyện Quan Sơn tỉnh Thanh Hóa</v>
      </c>
      <c r="C28094" t="str">
        <v>-</v>
      </c>
      <c r="D28094" t="str">
        <v>-</v>
      </c>
      <c r="E28094" t="str">
        <v/>
      </c>
      <c r="F28094" t="str">
        <v>-</v>
      </c>
      <c r="G28094" t="str">
        <v>-</v>
      </c>
    </row>
    <row r="28095">
      <c r="B28095" t="str">
        <v>UBND Ủy ban nhân dân huyện Quan Sơn tỉnh Thanh Hóa</v>
      </c>
      <c r="C28095" t="str">
        <v>-</v>
      </c>
      <c r="D28095" t="str">
        <v>-</v>
      </c>
      <c r="E28095" t="str">
        <v>-</v>
      </c>
      <c r="F28095" t="str">
        <v>-</v>
      </c>
      <c r="G28095" t="str">
        <v>-</v>
      </c>
    </row>
    <row r="28096">
      <c r="B28096" t="str">
        <v>Công an quận Thanh Xuân thành phố Hà Nội</v>
      </c>
      <c r="C28096" t="str">
        <v>-</v>
      </c>
      <c r="D28096" t="str">
        <v>-</v>
      </c>
      <c r="E28096" t="str">
        <v/>
      </c>
      <c r="F28096" t="str">
        <v>-</v>
      </c>
      <c r="G28096" t="str">
        <v>-</v>
      </c>
    </row>
    <row r="28097">
      <c r="B28097" t="str">
        <v>UBND Ủy ban nhân dân quận Thanh Xuân thành phố Hà Nội</v>
      </c>
      <c r="C28097" t="str">
        <v>-</v>
      </c>
      <c r="D28097" t="str">
        <v>-</v>
      </c>
      <c r="E28097" t="str">
        <v>-</v>
      </c>
      <c r="F28097" t="str">
        <v>-</v>
      </c>
      <c r="G28097" t="str">
        <v>-</v>
      </c>
    </row>
    <row r="28098">
      <c r="B28098" t="str">
        <v>Công an xã huyện Bảo Lâm tỉnh Cao Bằng</v>
      </c>
      <c r="C28098" t="str">
        <v>-</v>
      </c>
      <c r="D28098" t="str">
        <v>-</v>
      </c>
      <c r="E28098" t="str">
        <v/>
      </c>
      <c r="F28098" t="str">
        <v>-</v>
      </c>
      <c r="G28098" t="str">
        <v>-</v>
      </c>
    </row>
    <row r="28099">
      <c r="B28099" t="str">
        <v>UBND Ủy ban nhân dân xã huyện Bảo Lâm tỉnh Cao Bằng</v>
      </c>
      <c r="C28099" t="str">
        <v>-</v>
      </c>
      <c r="D28099" t="str">
        <v>-</v>
      </c>
      <c r="E28099" t="str">
        <v>-</v>
      </c>
      <c r="F28099" t="str">
        <v>-</v>
      </c>
      <c r="G28099" t="str">
        <v>-</v>
      </c>
    </row>
    <row r="28100">
      <c r="B28100" t="str">
        <v>Công an tỉnh Quảng Trị tỉnh Quảng Trị</v>
      </c>
      <c r="C28100" t="str">
        <v>-</v>
      </c>
      <c r="D28100" t="str">
        <v>-</v>
      </c>
      <c r="E28100" t="str">
        <v/>
      </c>
      <c r="F28100" t="str">
        <v>-</v>
      </c>
      <c r="G28100" t="str">
        <v>-</v>
      </c>
    </row>
    <row r="28101">
      <c r="B28101" t="str">
        <v>UBND Ủy ban nhân dân tỉnh Quảng Trị tỉnh Quảng Trị</v>
      </c>
      <c r="C28101" t="str">
        <v>-</v>
      </c>
      <c r="D28101" t="str">
        <v>-</v>
      </c>
      <c r="E28101" t="str">
        <v>-</v>
      </c>
      <c r="F28101" t="str">
        <v>-</v>
      </c>
      <c r="G28101" t="str">
        <v>-</v>
      </c>
    </row>
    <row r="28102">
      <c r="B28102" t="str">
        <v>Công an huyện Quỳnh Nhai  tỉnh Sơn La</v>
      </c>
      <c r="C28102" t="str">
        <v>-</v>
      </c>
      <c r="D28102" t="str">
        <v>-</v>
      </c>
      <c r="E28102" t="str">
        <v/>
      </c>
      <c r="F28102" t="str">
        <v>-</v>
      </c>
      <c r="G28102" t="str">
        <v>-</v>
      </c>
    </row>
    <row r="28103">
      <c r="B28103" t="str">
        <v>UBND Ủy ban nhân dân huyện Quỳnh Nhai  tỉnh Sơn La</v>
      </c>
      <c r="C28103" t="str">
        <v>-</v>
      </c>
      <c r="D28103" t="str">
        <v>-</v>
      </c>
      <c r="E28103" t="str">
        <v>-</v>
      </c>
      <c r="F28103" t="str">
        <v>-</v>
      </c>
      <c r="G28103" t="str">
        <v>-</v>
      </c>
    </row>
    <row r="28104">
      <c r="B28104" t="str">
        <v>Công an xã Tiên Thuận  tỉnh TÂY NINH</v>
      </c>
      <c r="C28104" t="str">
        <v>-</v>
      </c>
      <c r="D28104" t="str">
        <v>-</v>
      </c>
      <c r="E28104" t="str">
        <v/>
      </c>
      <c r="F28104" t="str">
        <v>-</v>
      </c>
      <c r="G28104" t="str">
        <v>-</v>
      </c>
    </row>
    <row r="28105">
      <c r="B28105" t="str">
        <v>UBND Ủy ban nhân dân xã Tiên Thuận  tỉnh TÂY NINH</v>
      </c>
      <c r="C28105" t="str">
        <v>-</v>
      </c>
      <c r="D28105" t="str">
        <v>-</v>
      </c>
      <c r="E28105" t="str">
        <v>-</v>
      </c>
      <c r="F28105" t="str">
        <v>-</v>
      </c>
      <c r="G28105" t="str">
        <v>-</v>
      </c>
    </row>
    <row r="28106">
      <c r="B28106" t="str">
        <v>Công an tỉnh Trà Vinh  tỉnh Trà Vinh</v>
      </c>
      <c r="C28106" t="str">
        <v>-</v>
      </c>
      <c r="D28106" t="str">
        <v>-</v>
      </c>
      <c r="E28106" t="str">
        <v/>
      </c>
      <c r="F28106" t="str">
        <v>-</v>
      </c>
      <c r="G28106" t="str">
        <v>-</v>
      </c>
    </row>
    <row r="28107">
      <c r="B28107" t="str">
        <v>UBND Ủy ban nhân dân tỉnh Trà Vinh  tỉnh Trà Vinh</v>
      </c>
      <c r="C28107" t="str">
        <v>-</v>
      </c>
      <c r="D28107" t="str">
        <v>-</v>
      </c>
      <c r="E28107" t="str">
        <v>-</v>
      </c>
      <c r="F28107" t="str">
        <v>-</v>
      </c>
      <c r="G28107" t="str">
        <v>-</v>
      </c>
    </row>
    <row r="28108">
      <c r="B28108" t="str">
        <v>Công an thành phố Bắc Giang tỉnh Bắc Giang</v>
      </c>
      <c r="C28108" t="str">
        <v>-</v>
      </c>
      <c r="D28108" t="str">
        <v>-</v>
      </c>
      <c r="E28108" t="str">
        <v/>
      </c>
      <c r="F28108" t="str">
        <v>-</v>
      </c>
      <c r="G28108" t="str">
        <v>-</v>
      </c>
    </row>
    <row r="28109">
      <c r="B28109" t="str">
        <v>UBND Ủy ban nhân dân thành phố Bắc Giang tỉnh Bắc Giang</v>
      </c>
      <c r="C28109" t="str">
        <v>-</v>
      </c>
      <c r="D28109" t="str">
        <v>-</v>
      </c>
      <c r="E28109" t="str">
        <v>-</v>
      </c>
      <c r="F28109" t="str">
        <v>-</v>
      </c>
      <c r="G28109" t="str">
        <v>-</v>
      </c>
    </row>
    <row r="28110">
      <c r="B28110" t="str">
        <v>Công an thành phố Buôn Ma Thuột  tỉnh Đắk Lắk</v>
      </c>
      <c r="C28110" t="str">
        <v>-</v>
      </c>
      <c r="D28110" t="str">
        <v>-</v>
      </c>
      <c r="E28110" t="str">
        <v/>
      </c>
      <c r="F28110" t="str">
        <v>-</v>
      </c>
      <c r="G28110" t="str">
        <v>-</v>
      </c>
    </row>
    <row r="28111">
      <c r="B28111" t="str">
        <v>UBND Ủy ban nhân dân thành phố Buôn Ma Thuột  tỉnh Đắk Lắk</v>
      </c>
      <c r="C28111" t="str">
        <v>-</v>
      </c>
      <c r="D28111" t="str">
        <v>-</v>
      </c>
      <c r="E28111" t="str">
        <v>-</v>
      </c>
      <c r="F28111" t="str">
        <v>-</v>
      </c>
      <c r="G28111" t="str">
        <v>-</v>
      </c>
    </row>
    <row r="28112">
      <c r="B28112" t="str">
        <v>Công an phường Noong Bua  tỉnh Điện Biên</v>
      </c>
      <c r="C28112" t="str">
        <v>-</v>
      </c>
      <c r="D28112" t="str">
        <v>-</v>
      </c>
      <c r="E28112" t="str">
        <v/>
      </c>
      <c r="F28112" t="str">
        <v>-</v>
      </c>
      <c r="G28112" t="str">
        <v>-</v>
      </c>
    </row>
    <row r="28113">
      <c r="B28113" t="str">
        <v>UBND Ủy ban nhân dân phường Noong Bua  tỉnh Điện Biên</v>
      </c>
      <c r="C28113" t="str">
        <v>-</v>
      </c>
      <c r="D28113" t="str">
        <v>-</v>
      </c>
      <c r="E28113" t="str">
        <v>-</v>
      </c>
      <c r="F28113" t="str">
        <v>-</v>
      </c>
      <c r="G28113" t="str">
        <v>-</v>
      </c>
    </row>
    <row r="28114">
      <c r="B28114" t="str">
        <v>Công an thành phố Hà Tĩnh  tỉnh Hà Tĩnh</v>
      </c>
      <c r="C28114" t="str">
        <v>-</v>
      </c>
      <c r="D28114" t="str">
        <v>-</v>
      </c>
      <c r="E28114" t="str">
        <v/>
      </c>
      <c r="F28114" t="str">
        <v>-</v>
      </c>
      <c r="G28114" t="str">
        <v>-</v>
      </c>
    </row>
    <row r="28115">
      <c r="B28115" t="str">
        <v>UBND Ủy ban nhân dân thành phố Hà Tĩnh  tỉnh Hà Tĩnh</v>
      </c>
      <c r="C28115" t="str">
        <v>-</v>
      </c>
      <c r="D28115" t="str">
        <v>-</v>
      </c>
      <c r="E28115" t="str">
        <v>-</v>
      </c>
      <c r="F28115" t="str">
        <v>-</v>
      </c>
      <c r="G28115" t="str">
        <v>-</v>
      </c>
    </row>
    <row r="28116">
      <c r="B28116" t="str">
        <v>Công an thành phố Kon Tum tỉnh Kon Tum</v>
      </c>
      <c r="C28116" t="str">
        <v>-</v>
      </c>
      <c r="D28116" t="str">
        <v>-</v>
      </c>
      <c r="E28116" t="str">
        <v/>
      </c>
      <c r="F28116" t="str">
        <v>-</v>
      </c>
      <c r="G28116" t="str">
        <v>-</v>
      </c>
    </row>
    <row r="28117">
      <c r="B28117" t="str">
        <v>UBND Ủy ban nhân dân thành phố Kon Tum tỉnh Kon Tum</v>
      </c>
      <c r="C28117" t="str">
        <v>-</v>
      </c>
      <c r="D28117" t="str">
        <v>-</v>
      </c>
      <c r="E28117" t="str">
        <v>-</v>
      </c>
      <c r="F28117" t="str">
        <v>-</v>
      </c>
      <c r="G28117" t="str">
        <v>-</v>
      </c>
    </row>
    <row r="28118">
      <c r="B28118" t="str">
        <v>Công an thành phố Thủ Dầu Một  tỉnh Bình Dương</v>
      </c>
      <c r="C28118" t="str">
        <v>-</v>
      </c>
      <c r="D28118" t="str">
        <v>-</v>
      </c>
      <c r="E28118" t="str">
        <v/>
      </c>
      <c r="F28118" t="str">
        <v>-</v>
      </c>
      <c r="G28118" t="str">
        <v>-</v>
      </c>
    </row>
    <row r="28119">
      <c r="B28119" t="str">
        <v>UBND Ủy ban nhân dân thành phố Thủ Dầu Một  tỉnh Bình Dương</v>
      </c>
      <c r="C28119" t="str">
        <v>-</v>
      </c>
      <c r="D28119" t="str">
        <v>-</v>
      </c>
      <c r="E28119" t="str">
        <v>-</v>
      </c>
      <c r="F28119" t="str">
        <v>-</v>
      </c>
      <c r="G28119" t="str">
        <v>-</v>
      </c>
    </row>
    <row r="28120">
      <c r="B28120" t="str">
        <v>Công an thị trấn Năm Căn  tỉnh Cà Mau</v>
      </c>
      <c r="C28120" t="str">
        <v>-</v>
      </c>
      <c r="D28120" t="str">
        <v>-</v>
      </c>
      <c r="E28120" t="str">
        <v/>
      </c>
      <c r="F28120" t="str">
        <v>-</v>
      </c>
      <c r="G28120" t="str">
        <v>-</v>
      </c>
    </row>
    <row r="28121">
      <c r="B28121" t="str">
        <v>UBND Ủy ban nhân dân thị trấn Năm Căn  tỉnh Cà Mau</v>
      </c>
      <c r="C28121" t="str">
        <v>-</v>
      </c>
      <c r="D28121" t="str">
        <v>-</v>
      </c>
      <c r="E28121" t="str">
        <v>-</v>
      </c>
      <c r="F28121" t="str">
        <v>-</v>
      </c>
      <c r="G28121" t="str">
        <v>-</v>
      </c>
    </row>
    <row r="28122">
      <c r="B28122" t="str">
        <v>Công an huyện Thạch Thành tỉnh Thanh Hóa</v>
      </c>
      <c r="C28122" t="str">
        <v>-</v>
      </c>
      <c r="D28122" t="str">
        <v>-</v>
      </c>
      <c r="E28122" t="str">
        <v/>
      </c>
      <c r="F28122" t="str">
        <v>-</v>
      </c>
      <c r="G28122" t="str">
        <v>-</v>
      </c>
    </row>
    <row r="28123">
      <c r="B28123" t="str">
        <v>UBND Ủy ban nhân dân huyện Thạch Thành tỉnh Thanh Hóa</v>
      </c>
      <c r="C28123" t="str">
        <v>-</v>
      </c>
      <c r="D28123" t="str">
        <v>-</v>
      </c>
      <c r="E28123" t="str">
        <v>-</v>
      </c>
      <c r="F28123" t="str">
        <v>-</v>
      </c>
      <c r="G28123" t="str">
        <v>-</v>
      </c>
    </row>
    <row r="28124">
      <c r="B28124" t="str">
        <v>Công an thị trấn Long Thành  tỉnh Đồng Nai</v>
      </c>
      <c r="C28124" t="str">
        <v>-</v>
      </c>
      <c r="D28124" t="str">
        <v>-</v>
      </c>
      <c r="E28124" t="str">
        <v/>
      </c>
      <c r="F28124" t="str">
        <v>-</v>
      </c>
      <c r="G28124" t="str">
        <v>-</v>
      </c>
    </row>
    <row r="28125">
      <c r="B28125" t="str">
        <v>UBND Ủy ban nhân dân thị trấn Long Thành  tỉnh Đồng Nai</v>
      </c>
      <c r="C28125" t="str">
        <v>-</v>
      </c>
      <c r="D28125" t="str">
        <v>-</v>
      </c>
      <c r="E28125" t="str">
        <v>-</v>
      </c>
      <c r="F28125" t="str">
        <v>-</v>
      </c>
      <c r="G28125" t="str">
        <v>-</v>
      </c>
    </row>
    <row r="28126">
      <c r="B28126" t="str">
        <v>Công an thị trấn Than Uyên  tỉnh Lai Châu</v>
      </c>
      <c r="C28126" t="str">
        <v>-</v>
      </c>
      <c r="D28126" t="str">
        <v>-</v>
      </c>
      <c r="E28126" t="str">
        <v/>
      </c>
      <c r="F28126" t="str">
        <v>-</v>
      </c>
      <c r="G28126" t="str">
        <v>-</v>
      </c>
    </row>
    <row r="28127">
      <c r="B28127" t="str">
        <v>UBND Ủy ban nhân dân thị trấn Than Uyên  tỉnh Lai Châu</v>
      </c>
      <c r="C28127" t="str">
        <v>-</v>
      </c>
      <c r="D28127" t="str">
        <v>-</v>
      </c>
      <c r="E28127" t="str">
        <v>-</v>
      </c>
      <c r="F28127" t="str">
        <v>-</v>
      </c>
      <c r="G28127" t="str">
        <v>-</v>
      </c>
    </row>
    <row r="28128">
      <c r="B28128" t="str">
        <v>Công an thị trấn Trà Cú tỉnh Trà Vinh</v>
      </c>
      <c r="C28128" t="str">
        <v>-</v>
      </c>
      <c r="D28128" t="str">
        <v>-</v>
      </c>
      <c r="E28128" t="str">
        <v/>
      </c>
      <c r="F28128" t="str">
        <v>-</v>
      </c>
      <c r="G28128" t="str">
        <v>-</v>
      </c>
    </row>
    <row r="28129">
      <c r="B28129" t="str">
        <v>UBND Ủy ban nhân dân thị trấn Trà Cú tỉnh Trà Vinh</v>
      </c>
      <c r="C28129" t="str">
        <v>-</v>
      </c>
      <c r="D28129" t="str">
        <v>-</v>
      </c>
      <c r="E28129" t="str">
        <v>-</v>
      </c>
      <c r="F28129" t="str">
        <v>-</v>
      </c>
      <c r="G28129" t="str">
        <v>-</v>
      </c>
    </row>
    <row r="28130">
      <c r="B28130" t="str">
        <v>Công an huyện Thạch Thành tỉnh Thanh Hóa</v>
      </c>
      <c r="C28130" t="str">
        <v>-</v>
      </c>
      <c r="D28130" t="str">
        <v>-</v>
      </c>
      <c r="E28130" t="str">
        <v/>
      </c>
      <c r="F28130" t="str">
        <v>-</v>
      </c>
      <c r="G28130" t="str">
        <v>-</v>
      </c>
    </row>
    <row r="28131">
      <c r="B28131" t="str">
        <v>UBND Ủy ban nhân dân huyện Thạch Thành tỉnh Thanh Hóa</v>
      </c>
      <c r="C28131" t="str">
        <v>-</v>
      </c>
      <c r="D28131" t="str">
        <v>-</v>
      </c>
      <c r="E28131" t="str">
        <v>-</v>
      </c>
      <c r="F28131" t="str">
        <v>-</v>
      </c>
      <c r="G28131" t="str">
        <v>-</v>
      </c>
    </row>
    <row r="28132">
      <c r="B28132" t="str">
        <v>Công an thị xã Kinh Môn tỉnh Hải Dương</v>
      </c>
      <c r="C28132" t="str">
        <v>-</v>
      </c>
      <c r="D28132" t="str">
        <v>-</v>
      </c>
      <c r="E28132" t="str">
        <v/>
      </c>
      <c r="F28132" t="str">
        <v>-</v>
      </c>
      <c r="G28132" t="str">
        <v>-</v>
      </c>
    </row>
    <row r="28133">
      <c r="B28133" t="str">
        <v>UBND Ủy ban nhân dân thị xã Kinh Môn tỉnh Hải Dương</v>
      </c>
      <c r="C28133" t="str">
        <v>-</v>
      </c>
      <c r="D28133" t="str">
        <v>-</v>
      </c>
      <c r="E28133" t="str">
        <v>-</v>
      </c>
      <c r="F28133" t="str">
        <v>-</v>
      </c>
      <c r="G28133" t="str">
        <v>-</v>
      </c>
    </row>
    <row r="28134">
      <c r="B28134" t="str">
        <v>Công an thị xã Giá Rai tỉnh Bạc Liêu</v>
      </c>
      <c r="C28134" t="str">
        <v>-</v>
      </c>
      <c r="D28134" t="str">
        <v>-</v>
      </c>
      <c r="E28134" t="str">
        <v/>
      </c>
      <c r="F28134" t="str">
        <v>-</v>
      </c>
      <c r="G28134" t="str">
        <v>-</v>
      </c>
    </row>
    <row r="28135">
      <c r="B28135" t="str">
        <v>UBND Ủy ban nhân dân thị xã Giá Rai tỉnh Bạc Liêu</v>
      </c>
      <c r="C28135" t="str">
        <v>-</v>
      </c>
      <c r="D28135" t="str">
        <v>-</v>
      </c>
      <c r="E28135" t="str">
        <v>-</v>
      </c>
      <c r="F28135" t="str">
        <v>-</v>
      </c>
      <c r="G28135" t="str">
        <v>-</v>
      </c>
    </row>
    <row r="28136">
      <c r="B28136" t="str">
        <v>Công an thị xã Kỳ Anh tỉnh Hà Tĩnh</v>
      </c>
      <c r="C28136" t="str">
        <v>-</v>
      </c>
      <c r="D28136" t="str">
        <v>-</v>
      </c>
      <c r="E28136" t="str">
        <v/>
      </c>
      <c r="F28136" t="str">
        <v>-</v>
      </c>
      <c r="G28136" t="str">
        <v>-</v>
      </c>
    </row>
    <row r="28137">
      <c r="B28137" t="str">
        <v>UBND Ủy ban nhân dân thị xã Kỳ Anh tỉnh Hà Tĩnh</v>
      </c>
      <c r="C28137" t="str">
        <v>-</v>
      </c>
      <c r="D28137" t="str">
        <v>-</v>
      </c>
      <c r="E28137" t="str">
        <v>-</v>
      </c>
      <c r="F28137" t="str">
        <v>-</v>
      </c>
      <c r="G28137" t="str">
        <v>-</v>
      </c>
    </row>
    <row r="28138">
      <c r="B28138" t="str">
        <v>Công an thị xã Mường Lay  tỉnh Điện Biên</v>
      </c>
      <c r="C28138" t="str">
        <v>-</v>
      </c>
      <c r="D28138" t="str">
        <v>-</v>
      </c>
      <c r="E28138" t="str">
        <v/>
      </c>
      <c r="F28138" t="str">
        <v>-</v>
      </c>
      <c r="G28138" t="str">
        <v>-</v>
      </c>
    </row>
    <row r="28139">
      <c r="B28139" t="str">
        <v>UBND Ủy ban nhân dân thị xã Mường Lay  tỉnh Điện Biên</v>
      </c>
      <c r="C28139" t="str">
        <v>-</v>
      </c>
      <c r="D28139" t="str">
        <v>-</v>
      </c>
      <c r="E28139" t="str">
        <v>-</v>
      </c>
      <c r="F28139" t="str">
        <v>-</v>
      </c>
      <c r="G28139" t="str">
        <v>-</v>
      </c>
    </row>
    <row r="28140">
      <c r="B28140" t="str">
        <v>Công an thị xã Phú Thọ  tỉnh Phú Thọ</v>
      </c>
      <c r="C28140" t="str">
        <v>-</v>
      </c>
      <c r="D28140" t="str">
        <v>-</v>
      </c>
      <c r="E28140" t="str">
        <v/>
      </c>
      <c r="F28140" t="str">
        <v>-</v>
      </c>
      <c r="G28140" t="str">
        <v>-</v>
      </c>
    </row>
    <row r="28141">
      <c r="B28141" t="str">
        <v>UBND Ủy ban nhân dân thị xã Phú Thọ  tỉnh Phú Thọ</v>
      </c>
      <c r="C28141" t="str">
        <v>-</v>
      </c>
      <c r="D28141" t="str">
        <v>-</v>
      </c>
      <c r="E28141" t="str">
        <v>-</v>
      </c>
      <c r="F28141" t="str">
        <v>-</v>
      </c>
      <c r="G28141" t="str">
        <v>-</v>
      </c>
    </row>
    <row r="28142">
      <c r="B28142" t="str">
        <v>Công an huyện Ngọc Lặc tỉnh Thanh Hóa</v>
      </c>
      <c r="C28142" t="str">
        <v>-</v>
      </c>
      <c r="D28142" t="str">
        <v>-</v>
      </c>
      <c r="E28142" t="str">
        <v/>
      </c>
      <c r="F28142" t="str">
        <v>-</v>
      </c>
      <c r="G28142" t="str">
        <v>-</v>
      </c>
    </row>
    <row r="28143">
      <c r="B28143" t="str">
        <v>UBND Ủy ban nhân dân huyện Ngọc Lặc tỉnh Thanh Hóa</v>
      </c>
      <c r="C28143" t="str">
        <v>-</v>
      </c>
      <c r="D28143" t="str">
        <v>-</v>
      </c>
      <c r="E28143" t="str">
        <v>-</v>
      </c>
      <c r="F28143" t="str">
        <v>-</v>
      </c>
      <c r="G28143" t="str">
        <v>-</v>
      </c>
    </row>
    <row r="28144">
      <c r="B28144" t="str">
        <v>Công an xã Bình Hòa Phước  tỉnh Vĩnh Long</v>
      </c>
      <c r="C28144" t="str">
        <v>-</v>
      </c>
      <c r="D28144" t="str">
        <v>-</v>
      </c>
      <c r="E28144" t="str">
        <v/>
      </c>
      <c r="F28144" t="str">
        <v>-</v>
      </c>
      <c r="G28144" t="str">
        <v>-</v>
      </c>
    </row>
    <row r="28145">
      <c r="B28145" t="str">
        <v>UBND Ủy ban nhân dân xã Bình Hòa Phước  tỉnh Vĩnh Long</v>
      </c>
      <c r="C28145" t="str">
        <v>-</v>
      </c>
      <c r="D28145" t="str">
        <v>-</v>
      </c>
      <c r="E28145" t="str">
        <v>-</v>
      </c>
      <c r="F28145" t="str">
        <v>-</v>
      </c>
      <c r="G28145" t="str">
        <v>-</v>
      </c>
    </row>
    <row r="28146">
      <c r="B28146" t="str">
        <v>Công an huyện Tứ Kỳ tỉnh Hải Dương</v>
      </c>
      <c r="C28146" t="str">
        <v>-</v>
      </c>
      <c r="D28146" t="str">
        <v>-</v>
      </c>
      <c r="E28146" t="str">
        <v/>
      </c>
      <c r="F28146" t="str">
        <v>-</v>
      </c>
      <c r="G28146" t="str">
        <v>-</v>
      </c>
    </row>
    <row r="28147">
      <c r="B28147" t="str">
        <v>UBND Ủy ban nhân dân huyện Tứ Kỳ tỉnh Hải Dương</v>
      </c>
      <c r="C28147" t="str">
        <v>-</v>
      </c>
      <c r="D28147" t="str">
        <v>-</v>
      </c>
      <c r="E28147" t="str">
        <v>-</v>
      </c>
      <c r="F28147" t="str">
        <v>-</v>
      </c>
      <c r="G28147" t="str">
        <v>-</v>
      </c>
    </row>
    <row r="28148">
      <c r="B28148" t="str">
        <v>Công an xã Hòa Ninh  tỉnh Vĩnh Long</v>
      </c>
      <c r="C28148" t="str">
        <v>-</v>
      </c>
      <c r="D28148" t="str">
        <v>-</v>
      </c>
      <c r="E28148" t="str">
        <v/>
      </c>
      <c r="F28148" t="str">
        <v>-</v>
      </c>
      <c r="G28148" t="str">
        <v>-</v>
      </c>
    </row>
    <row r="28149">
      <c r="B28149" t="str">
        <v>UBND Ủy ban nhân dân xã Hòa Ninh  tỉnh Vĩnh Long</v>
      </c>
      <c r="C28149" t="str">
        <v>-</v>
      </c>
      <c r="D28149" t="str">
        <v>-</v>
      </c>
      <c r="E28149" t="str">
        <v>-</v>
      </c>
      <c r="F28149" t="str">
        <v>-</v>
      </c>
      <c r="G28149" t="str">
        <v>-</v>
      </c>
    </row>
    <row r="28150">
      <c r="B28150" t="str">
        <v>Công an xã Hồng Phong tỉnh Hải Dương</v>
      </c>
      <c r="C28150" t="str">
        <v>-</v>
      </c>
      <c r="D28150" t="str">
        <v>-</v>
      </c>
      <c r="E28150" t="str">
        <v/>
      </c>
      <c r="F28150" t="str">
        <v>-</v>
      </c>
      <c r="G28150" t="str">
        <v>-</v>
      </c>
    </row>
    <row r="28151">
      <c r="B28151" t="str">
        <v>UBND Ủy ban nhân dân xã Hồng Phong tỉnh Hải Dương</v>
      </c>
      <c r="C28151" t="str">
        <v>-</v>
      </c>
      <c r="D28151" t="str">
        <v>-</v>
      </c>
      <c r="E28151" t="str">
        <v>-</v>
      </c>
      <c r="F28151" t="str">
        <v>-</v>
      </c>
      <c r="G28151" t="str">
        <v>-</v>
      </c>
    </row>
    <row r="28152">
      <c r="B28152" t="str">
        <v>Công an xã Phú Quới  tỉnh Vĩnh Long</v>
      </c>
      <c r="C28152" t="str">
        <v>-</v>
      </c>
      <c r="D28152" t="str">
        <v>-</v>
      </c>
      <c r="E28152" t="str">
        <v/>
      </c>
      <c r="F28152" t="str">
        <v>-</v>
      </c>
      <c r="G28152" t="str">
        <v>-</v>
      </c>
    </row>
    <row r="28153">
      <c r="B28153" t="str">
        <v>UBND Ủy ban nhân dân xã Phú Quới  tỉnh Vĩnh Long</v>
      </c>
      <c r="C28153" t="str">
        <v>-</v>
      </c>
      <c r="D28153" t="str">
        <v>-</v>
      </c>
      <c r="E28153" t="str">
        <v>-</v>
      </c>
      <c r="F28153" t="str">
        <v>-</v>
      </c>
      <c r="G28153" t="str">
        <v>-</v>
      </c>
    </row>
    <row r="28154">
      <c r="B28154" t="str">
        <v>Công an xã Quảng Nghiệp tỉnh Hải Dương</v>
      </c>
      <c r="C28154" t="str">
        <v>-</v>
      </c>
      <c r="D28154" t="str">
        <v>-</v>
      </c>
      <c r="E28154" t="str">
        <v/>
      </c>
      <c r="F28154" t="str">
        <v>-</v>
      </c>
      <c r="G28154" t="str">
        <v>-</v>
      </c>
    </row>
    <row r="28155">
      <c r="B28155" t="str">
        <v>UBND Ủy ban nhân dân xã Quảng Nghiệp tỉnh Hải Dương</v>
      </c>
      <c r="C28155" t="str">
        <v>-</v>
      </c>
      <c r="D28155" t="str">
        <v>-</v>
      </c>
      <c r="E28155" t="str">
        <v>-</v>
      </c>
      <c r="F28155" t="str">
        <v>-</v>
      </c>
      <c r="G28155" t="str">
        <v>-</v>
      </c>
    </row>
    <row r="28156">
      <c r="B28156" t="str">
        <v>Công an xã Tân Liễu tỉnh Bắc Giang</v>
      </c>
      <c r="C28156" t="str">
        <v>-</v>
      </c>
      <c r="D28156" t="str">
        <v>-</v>
      </c>
      <c r="E28156" t="str">
        <v/>
      </c>
      <c r="F28156" t="str">
        <v>-</v>
      </c>
      <c r="G28156" t="str">
        <v>-</v>
      </c>
    </row>
    <row r="28157">
      <c r="B28157" t="str">
        <v>UBND Ủy ban nhân dân xã Tân Liễu tỉnh Bắc Giang</v>
      </c>
      <c r="C28157" t="str">
        <v>-</v>
      </c>
      <c r="D28157" t="str">
        <v>-</v>
      </c>
      <c r="E28157" t="str">
        <v>-</v>
      </c>
      <c r="F28157" t="str">
        <v>-</v>
      </c>
      <c r="G28157" t="str">
        <v>-</v>
      </c>
    </row>
    <row r="28158">
      <c r="B28158" t="str">
        <v>Công an xã Thượng Hà  tỉnh Lào Cai</v>
      </c>
      <c r="C28158" t="str">
        <v>-</v>
      </c>
      <c r="D28158" t="str">
        <v>-</v>
      </c>
      <c r="E28158" t="str">
        <v/>
      </c>
      <c r="F28158" t="str">
        <v>-</v>
      </c>
      <c r="G28158" t="str">
        <v>-</v>
      </c>
    </row>
    <row r="28159">
      <c r="B28159" t="str">
        <v>UBND Ủy ban nhân dân xã Thượng Hà  tỉnh Lào Cai</v>
      </c>
      <c r="C28159" t="str">
        <v>-</v>
      </c>
      <c r="D28159" t="str">
        <v>-</v>
      </c>
      <c r="E28159" t="str">
        <v>-</v>
      </c>
      <c r="F28159" t="str">
        <v>-</v>
      </c>
      <c r="G28159" t="str">
        <v>-</v>
      </c>
    </row>
    <row r="28160">
      <c r="B28160" t="str">
        <v>Công an xã Hoằng Đông  tỉnh Thanh Hóa</v>
      </c>
      <c r="C28160" t="str">
        <v>-</v>
      </c>
      <c r="D28160" t="str">
        <v>-</v>
      </c>
      <c r="E28160" t="str">
        <v/>
      </c>
      <c r="F28160" t="str">
        <v>-</v>
      </c>
      <c r="G28160" t="str">
        <v>-</v>
      </c>
    </row>
    <row r="28161">
      <c r="B28161" t="str">
        <v>UBND Ủy ban nhân dân xã Hoằng Đông  tỉnh Thanh Hóa</v>
      </c>
      <c r="C28161" t="str">
        <v>-</v>
      </c>
      <c r="D28161" t="str">
        <v>-</v>
      </c>
      <c r="E28161" t="str">
        <v>-</v>
      </c>
      <c r="F28161" t="str">
        <v>-</v>
      </c>
      <c r="G28161" t="str">
        <v>-</v>
      </c>
    </row>
    <row r="28162">
      <c r="B28162" t="str">
        <v>Công an xã Ân Hảo Đông tỉnh Bình Định</v>
      </c>
      <c r="C28162" t="str">
        <v>-</v>
      </c>
      <c r="D28162" t="str">
        <v>-</v>
      </c>
      <c r="E28162" t="str">
        <v/>
      </c>
      <c r="F28162" t="str">
        <v>-</v>
      </c>
      <c r="G28162" t="str">
        <v>-</v>
      </c>
    </row>
    <row r="28163">
      <c r="B28163" t="str">
        <v>UBND Ủy ban nhân dân xã Ân Hảo Đông tỉnh Bình Định</v>
      </c>
      <c r="C28163" t="str">
        <v>-</v>
      </c>
      <c r="D28163" t="str">
        <v>-</v>
      </c>
      <c r="E28163" t="str">
        <v>-</v>
      </c>
      <c r="F28163" t="str">
        <v>-</v>
      </c>
      <c r="G28163" t="str">
        <v>-</v>
      </c>
    </row>
    <row r="28164">
      <c r="B28164" t="str">
        <v>Công an xã Ân Hảo Tây  tỉnh Bình Định</v>
      </c>
      <c r="C28164" t="str">
        <v>-</v>
      </c>
      <c r="D28164" t="str">
        <v>-</v>
      </c>
      <c r="E28164" t="str">
        <v/>
      </c>
      <c r="F28164" t="str">
        <v>-</v>
      </c>
      <c r="G28164" t="str">
        <v>-</v>
      </c>
    </row>
    <row r="28165">
      <c r="B28165" t="str">
        <v>UBND Ủy ban nhân dân xã Ân Hảo Tây  tỉnh Bình Định</v>
      </c>
      <c r="C28165" t="str">
        <v>-</v>
      </c>
      <c r="D28165" t="str">
        <v>-</v>
      </c>
      <c r="E28165" t="str">
        <v>-</v>
      </c>
      <c r="F28165" t="str">
        <v>-</v>
      </c>
      <c r="G28165" t="str">
        <v>-</v>
      </c>
    </row>
    <row r="28166">
      <c r="B28166" t="str">
        <v>Công an xã An Thạnh  tỉnh TÂY NINH</v>
      </c>
      <c r="C28166" t="str">
        <v>-</v>
      </c>
      <c r="D28166" t="str">
        <v>-</v>
      </c>
      <c r="E28166" t="str">
        <v/>
      </c>
      <c r="F28166" t="str">
        <v>-</v>
      </c>
      <c r="G28166" t="str">
        <v>-</v>
      </c>
    </row>
    <row r="28167">
      <c r="B28167" t="str">
        <v>UBND Ủy ban nhân dân xã An Thạnh  tỉnh TÂY NINH</v>
      </c>
      <c r="C28167" t="str">
        <v>-</v>
      </c>
      <c r="D28167" t="str">
        <v>-</v>
      </c>
      <c r="E28167" t="str">
        <v>-</v>
      </c>
      <c r="F28167" t="str">
        <v>-</v>
      </c>
      <c r="G28167" t="str">
        <v>-</v>
      </c>
    </row>
    <row r="28168">
      <c r="B28168" t="str">
        <v>Công an xã An Thượng tỉnh Bắc Giang</v>
      </c>
      <c r="C28168" t="str">
        <v>-</v>
      </c>
      <c r="D28168" t="str">
        <v>-</v>
      </c>
      <c r="E28168" t="str">
        <v/>
      </c>
      <c r="F28168" t="str">
        <v>-</v>
      </c>
      <c r="G28168" t="str">
        <v>-</v>
      </c>
    </row>
    <row r="28169">
      <c r="B28169" t="str">
        <v>UBND Ủy ban nhân dân xã An Thượng tỉnh Bắc Giang</v>
      </c>
      <c r="C28169" t="str">
        <v>-</v>
      </c>
      <c r="D28169" t="str">
        <v>-</v>
      </c>
      <c r="E28169" t="str">
        <v>-</v>
      </c>
      <c r="F28169" t="str">
        <v>-</v>
      </c>
      <c r="G28169" t="str">
        <v>-</v>
      </c>
    </row>
    <row r="28170">
      <c r="B28170" t="str">
        <v>Công an xã Yên Lộc tỉnh Ninh Bình</v>
      </c>
      <c r="C28170" t="str">
        <v>-</v>
      </c>
      <c r="D28170" t="str">
        <v>-</v>
      </c>
      <c r="E28170" t="str">
        <v/>
      </c>
      <c r="F28170" t="str">
        <v>-</v>
      </c>
      <c r="G28170" t="str">
        <v>-</v>
      </c>
    </row>
    <row r="28171">
      <c r="B28171" t="str">
        <v>UBND Ủy ban nhân dân xã Yên Lộc tỉnh Ninh Bình</v>
      </c>
      <c r="C28171" t="str">
        <v>-</v>
      </c>
      <c r="D28171" t="str">
        <v>-</v>
      </c>
      <c r="E28171" t="str">
        <v>-</v>
      </c>
      <c r="F28171" t="str">
        <v>-</v>
      </c>
      <c r="G28171" t="str">
        <v>-</v>
      </c>
    </row>
    <row r="28172">
      <c r="B28172" t="str">
        <v>Công an xã Ayun Hạ tỉnh Gia Lai</v>
      </c>
      <c r="C28172" t="str">
        <v>-</v>
      </c>
      <c r="D28172" t="str">
        <v>-</v>
      </c>
      <c r="E28172" t="str">
        <v/>
      </c>
      <c r="F28172" t="str">
        <v>-</v>
      </c>
      <c r="G28172" t="str">
        <v>-</v>
      </c>
    </row>
    <row r="28173">
      <c r="B28173" t="str">
        <v>UBND Ủy ban nhân dân xã Ayun Hạ tỉnh Gia Lai</v>
      </c>
      <c r="C28173" t="str">
        <v>-</v>
      </c>
      <c r="D28173" t="str">
        <v>-</v>
      </c>
      <c r="E28173" t="str">
        <v>-</v>
      </c>
      <c r="F28173" t="str">
        <v>-</v>
      </c>
      <c r="G28173" t="str">
        <v>-</v>
      </c>
    </row>
    <row r="28174">
      <c r="B28174" t="str">
        <v>Công an xã Bảo Lý tỉnh Thái Nguyên</v>
      </c>
      <c r="C28174" t="str">
        <v>-</v>
      </c>
      <c r="D28174" t="str">
        <v>-</v>
      </c>
      <c r="E28174" t="str">
        <v/>
      </c>
      <c r="F28174" t="str">
        <v>-</v>
      </c>
      <c r="G28174" t="str">
        <v>-</v>
      </c>
    </row>
    <row r="28175">
      <c r="B28175" t="str">
        <v>UBND Ủy ban nhân dân xã Bảo Lý tỉnh Thái Nguyên</v>
      </c>
      <c r="C28175" t="str">
        <v>-</v>
      </c>
      <c r="D28175" t="str">
        <v>-</v>
      </c>
      <c r="E28175" t="str">
        <v>-</v>
      </c>
      <c r="F28175" t="str">
        <v>-</v>
      </c>
      <c r="G28175" t="str">
        <v>-</v>
      </c>
    </row>
    <row r="28176">
      <c r="B28176" t="str">
        <v>Công an xã Bàu Năng  tỉnh TÂY NINH</v>
      </c>
      <c r="C28176" t="str">
        <v>-</v>
      </c>
      <c r="D28176" t="str">
        <v>-</v>
      </c>
      <c r="E28176" t="str">
        <v/>
      </c>
      <c r="F28176" t="str">
        <v>-</v>
      </c>
      <c r="G28176" t="str">
        <v>-</v>
      </c>
    </row>
    <row r="28177">
      <c r="B28177" t="str">
        <v>UBND Ủy ban nhân dân xã Bàu Năng  tỉnh TÂY NINH</v>
      </c>
      <c r="C28177" t="str">
        <v>-</v>
      </c>
      <c r="D28177" t="str">
        <v>-</v>
      </c>
      <c r="E28177" t="str">
        <v>-</v>
      </c>
      <c r="F28177" t="str">
        <v>-</v>
      </c>
      <c r="G28177" t="str">
        <v>-</v>
      </c>
    </row>
    <row r="28178">
      <c r="B28178" t="str">
        <v>Công an xã Bình Thạnh  tỉnh Bến Tre</v>
      </c>
      <c r="C28178" t="str">
        <v>-</v>
      </c>
      <c r="D28178" t="str">
        <v>-</v>
      </c>
      <c r="E28178" t="str">
        <v/>
      </c>
      <c r="F28178" t="str">
        <v>-</v>
      </c>
      <c r="G28178" t="str">
        <v>-</v>
      </c>
    </row>
    <row r="28179">
      <c r="B28179" t="str">
        <v>UBND Ủy ban nhân dân xã Bình Thạnh  tỉnh Bến Tre</v>
      </c>
      <c r="C28179" t="str">
        <v>-</v>
      </c>
      <c r="D28179" t="str">
        <v>-</v>
      </c>
      <c r="E28179" t="str">
        <v>-</v>
      </c>
      <c r="F28179" t="str">
        <v>-</v>
      </c>
      <c r="G28179" t="str">
        <v>-</v>
      </c>
    </row>
    <row r="28180">
      <c r="B28180" t="str">
        <v>Công an xã Bình Lãng tỉnh Hải Dương</v>
      </c>
      <c r="C28180" t="str">
        <v>-</v>
      </c>
      <c r="D28180" t="str">
        <v>-</v>
      </c>
      <c r="E28180" t="str">
        <v/>
      </c>
      <c r="F28180" t="str">
        <v>-</v>
      </c>
      <c r="G28180" t="str">
        <v>-</v>
      </c>
    </row>
    <row r="28181">
      <c r="B28181" t="str">
        <v>UBND Ủy ban nhân dân xã Bình Lãng tỉnh Hải Dương</v>
      </c>
      <c r="C28181" t="str">
        <v>-</v>
      </c>
      <c r="D28181" t="str">
        <v>-</v>
      </c>
      <c r="E28181" t="str">
        <v>-</v>
      </c>
      <c r="F28181" t="str">
        <v>-</v>
      </c>
      <c r="G28181" t="str">
        <v>-</v>
      </c>
    </row>
    <row r="28182">
      <c r="B28182" t="str">
        <v>Công an xã Bon Phặng tỉnh Sơn La</v>
      </c>
      <c r="C28182" t="str">
        <v>-</v>
      </c>
      <c r="D28182" t="str">
        <v>-</v>
      </c>
      <c r="E28182" t="str">
        <v/>
      </c>
      <c r="F28182" t="str">
        <v>-</v>
      </c>
      <c r="G28182" t="str">
        <v>-</v>
      </c>
    </row>
    <row r="28183">
      <c r="B28183" t="str">
        <v>UBND Ủy ban nhân dân xã Bon Phặng tỉnh Sơn La</v>
      </c>
      <c r="C28183" t="str">
        <v>-</v>
      </c>
      <c r="D28183" t="str">
        <v>-</v>
      </c>
      <c r="E28183" t="str">
        <v>-</v>
      </c>
      <c r="F28183" t="str">
        <v>-</v>
      </c>
      <c r="G28183" t="str">
        <v>-</v>
      </c>
    </row>
    <row r="28184">
      <c r="B28184" t="str">
        <v>Công an xã Cẩm Châu tỉnh Thanh Hóa</v>
      </c>
      <c r="C28184" t="str">
        <v>-</v>
      </c>
      <c r="D28184" t="str">
        <v>-</v>
      </c>
      <c r="E28184" t="str">
        <v/>
      </c>
      <c r="F28184" t="str">
        <v>-</v>
      </c>
      <c r="G28184" t="str">
        <v>-</v>
      </c>
    </row>
    <row r="28185">
      <c r="B28185" t="str">
        <v>UBND Ủy ban nhân dân xã Cẩm Châu tỉnh Thanh Hóa</v>
      </c>
      <c r="C28185" t="str">
        <v>-</v>
      </c>
      <c r="D28185" t="str">
        <v>-</v>
      </c>
      <c r="E28185" t="str">
        <v>-</v>
      </c>
      <c r="F28185" t="str">
        <v>-</v>
      </c>
      <c r="G28185" t="str">
        <v>-</v>
      </c>
    </row>
    <row r="28186">
      <c r="B28186" t="str">
        <v>Công an xã Cẩm Minh  tỉnh Hà Tĩnh</v>
      </c>
      <c r="C28186" t="str">
        <v>-</v>
      </c>
      <c r="D28186" t="str">
        <v>-</v>
      </c>
      <c r="E28186" t="str">
        <v/>
      </c>
      <c r="F28186" t="str">
        <v>-</v>
      </c>
      <c r="G28186" t="str">
        <v>-</v>
      </c>
    </row>
    <row r="28187">
      <c r="B28187" t="str">
        <v>UBND Ủy ban nhân dân xã Cẩm Minh  tỉnh Hà Tĩnh</v>
      </c>
      <c r="C28187" t="str">
        <v>-</v>
      </c>
      <c r="D28187" t="str">
        <v>-</v>
      </c>
      <c r="E28187" t="str">
        <v>-</v>
      </c>
      <c r="F28187" t="str">
        <v>-</v>
      </c>
      <c r="G28187" t="str">
        <v>-</v>
      </c>
    </row>
    <row r="28188">
      <c r="B28188" t="str">
        <v>Công an xã Cao Phạ tỉnh Yên Bái</v>
      </c>
      <c r="C28188" t="str">
        <v>-</v>
      </c>
      <c r="D28188" t="str">
        <v>-</v>
      </c>
      <c r="E28188" t="str">
        <v/>
      </c>
      <c r="F28188" t="str">
        <v>-</v>
      </c>
      <c r="G28188" t="str">
        <v>-</v>
      </c>
    </row>
    <row r="28189">
      <c r="B28189" t="str">
        <v>UBND Ủy ban nhân dân xã Cao Phạ tỉnh Yên Bái</v>
      </c>
      <c r="C28189" t="str">
        <v>-</v>
      </c>
      <c r="D28189" t="str">
        <v>-</v>
      </c>
      <c r="E28189" t="str">
        <v>-</v>
      </c>
      <c r="F28189" t="str">
        <v>-</v>
      </c>
      <c r="G28189" t="str">
        <v>-</v>
      </c>
    </row>
    <row r="28190" xml:space="preserve">
      <c r="B28190" t="str" xml:space="preserve">
        <v xml:space="preserve">Công an xã Châu Lộc _x000d_
 tỉnh Nghệ An</v>
      </c>
      <c r="C28190" t="str">
        <v>-</v>
      </c>
      <c r="D28190" t="str">
        <v>-</v>
      </c>
      <c r="E28190" t="str">
        <v/>
      </c>
      <c r="F28190" t="str">
        <v>-</v>
      </c>
      <c r="G28190" t="str">
        <v>-</v>
      </c>
    </row>
    <row r="28191" xml:space="preserve">
      <c r="B28191" t="str" xml:space="preserve">
        <v xml:space="preserve">UBND Ủy ban nhân dân xã Châu Lộc _x000d_
 tỉnh Nghệ An</v>
      </c>
      <c r="C28191" t="str">
        <v>-</v>
      </c>
      <c r="D28191" t="str">
        <v>-</v>
      </c>
      <c r="E28191" t="str">
        <v>-</v>
      </c>
      <c r="F28191" t="str">
        <v>-</v>
      </c>
      <c r="G28191" t="str">
        <v>-</v>
      </c>
    </row>
    <row r="28192">
      <c r="B28192" t="str">
        <v>Công an xã Châu Phong tỉnh Bắc Ninh</v>
      </c>
      <c r="C28192" t="str">
        <v>-</v>
      </c>
      <c r="D28192" t="str">
        <v>-</v>
      </c>
      <c r="E28192" t="str">
        <v/>
      </c>
      <c r="F28192" t="str">
        <v>-</v>
      </c>
      <c r="G28192" t="str">
        <v>-</v>
      </c>
    </row>
    <row r="28193">
      <c r="B28193" t="str">
        <v>UBND Ủy ban nhân dân xã Châu Phong tỉnh Bắc Ninh</v>
      </c>
      <c r="C28193" t="str">
        <v>-</v>
      </c>
      <c r="D28193" t="str">
        <v>-</v>
      </c>
      <c r="E28193" t="str">
        <v>-</v>
      </c>
      <c r="F28193" t="str">
        <v>-</v>
      </c>
      <c r="G28193" t="str">
        <v>-</v>
      </c>
    </row>
    <row r="28194">
      <c r="B28194" t="str">
        <v>Công an xã Côn Minh tỉnh Bắc Kạn</v>
      </c>
      <c r="C28194" t="str">
        <v>-</v>
      </c>
      <c r="D28194" t="str">
        <v>-</v>
      </c>
      <c r="E28194" t="str">
        <v/>
      </c>
      <c r="F28194" t="str">
        <v>-</v>
      </c>
      <c r="G28194" t="str">
        <v>-</v>
      </c>
    </row>
    <row r="28195">
      <c r="B28195" t="str">
        <v>UBND Ủy ban nhân dân xã Côn Minh tỉnh Bắc Kạn</v>
      </c>
      <c r="C28195" t="str">
        <v>-</v>
      </c>
      <c r="D28195" t="str">
        <v>-</v>
      </c>
      <c r="E28195" t="str">
        <v>-</v>
      </c>
      <c r="F28195" t="str">
        <v>-</v>
      </c>
      <c r="G28195" t="str">
        <v>-</v>
      </c>
    </row>
    <row r="28196">
      <c r="B28196" t="str">
        <v>Công an xã Cư Lễ tỉnh Bắc Kạn</v>
      </c>
      <c r="C28196" t="str">
        <v>-</v>
      </c>
      <c r="D28196" t="str">
        <v>-</v>
      </c>
      <c r="E28196" t="str">
        <v/>
      </c>
      <c r="F28196" t="str">
        <v>-</v>
      </c>
      <c r="G28196" t="str">
        <v>-</v>
      </c>
    </row>
    <row r="28197">
      <c r="B28197" t="str">
        <v>UBND Ủy ban nhân dân xã Cư Lễ tỉnh Bắc Kạn</v>
      </c>
      <c r="C28197" t="str">
        <v>-</v>
      </c>
      <c r="D28197" t="str">
        <v>-</v>
      </c>
      <c r="E28197" t="str">
        <v>-</v>
      </c>
      <c r="F28197" t="str">
        <v>-</v>
      </c>
      <c r="G28197" t="str">
        <v>-</v>
      </c>
    </row>
    <row r="28198" xml:space="preserve">
      <c r="B28198" t="str" xml:space="preserve">
        <v xml:space="preserve">Công an xã Đại An _x000d_
 tỉnh Trà Vinh</v>
      </c>
      <c r="C28198" t="str">
        <v>-</v>
      </c>
      <c r="D28198" t="str">
        <v>-</v>
      </c>
      <c r="E28198" t="str">
        <v/>
      </c>
      <c r="F28198" t="str">
        <v>-</v>
      </c>
      <c r="G28198" t="str">
        <v>-</v>
      </c>
    </row>
    <row r="28199" xml:space="preserve">
      <c r="B28199" t="str" xml:space="preserve">
        <v xml:space="preserve">UBND Ủy ban nhân dân xã Đại An _x000d_
 tỉnh Trà Vinh</v>
      </c>
      <c r="C28199" t="str">
        <v>-</v>
      </c>
      <c r="D28199" t="str">
        <v>-</v>
      </c>
      <c r="E28199" t="str">
        <v>-</v>
      </c>
      <c r="F28199" t="str">
        <v>-</v>
      </c>
      <c r="G28199" t="str">
        <v>-</v>
      </c>
    </row>
    <row r="28200">
      <c r="B28200" t="str">
        <v>Công an xã Đào Thịnh  tỉnh Yên Bái</v>
      </c>
      <c r="C28200" t="str">
        <v>-</v>
      </c>
      <c r="D28200" t="str">
        <v>-</v>
      </c>
      <c r="E28200" t="str">
        <v/>
      </c>
      <c r="F28200" t="str">
        <v>-</v>
      </c>
      <c r="G28200" t="str">
        <v>-</v>
      </c>
    </row>
    <row r="28201">
      <c r="B28201" t="str">
        <v>UBND Ủy ban nhân dân xã Đào Thịnh  tỉnh Yên Bái</v>
      </c>
      <c r="C28201" t="str">
        <v>-</v>
      </c>
      <c r="D28201" t="str">
        <v>-</v>
      </c>
      <c r="E28201" t="str">
        <v>-</v>
      </c>
      <c r="F28201" t="str">
        <v>-</v>
      </c>
      <c r="G28201" t="str">
        <v>-</v>
      </c>
    </row>
    <row r="28202">
      <c r="B28202" t="str">
        <v>Công an xã Đông Hoàng  tỉnh Thái Bình</v>
      </c>
      <c r="C28202" t="str">
        <v>-</v>
      </c>
      <c r="D28202" t="str">
        <v>-</v>
      </c>
      <c r="E28202" t="str">
        <v/>
      </c>
      <c r="F28202" t="str">
        <v>-</v>
      </c>
      <c r="G28202" t="str">
        <v>-</v>
      </c>
    </row>
    <row r="28203">
      <c r="B28203" t="str">
        <v>UBND Ủy ban nhân dân xã Đông Hoàng  tỉnh Thái Bình</v>
      </c>
      <c r="C28203" t="str">
        <v>-</v>
      </c>
      <c r="D28203" t="str">
        <v>-</v>
      </c>
      <c r="E28203" t="str">
        <v>-</v>
      </c>
      <c r="F28203" t="str">
        <v>-</v>
      </c>
      <c r="G28203" t="str">
        <v>-</v>
      </c>
    </row>
    <row r="28204">
      <c r="B28204" t="str">
        <v>Công an xã Đồng Thành tỉnh Nghệ An</v>
      </c>
      <c r="C28204" t="str">
        <v>-</v>
      </c>
      <c r="D28204" t="str">
        <v>-</v>
      </c>
      <c r="E28204" t="str">
        <v/>
      </c>
      <c r="F28204" t="str">
        <v>-</v>
      </c>
      <c r="G28204" t="str">
        <v>-</v>
      </c>
    </row>
    <row r="28205">
      <c r="B28205" t="str">
        <v>UBND Ủy ban nhân dân xã Đồng Thành tỉnh Nghệ An</v>
      </c>
      <c r="C28205" t="str">
        <v>-</v>
      </c>
      <c r="D28205" t="str">
        <v>-</v>
      </c>
      <c r="E28205" t="str">
        <v>-</v>
      </c>
      <c r="F28205" t="str">
        <v>-</v>
      </c>
      <c r="G28205" t="str">
        <v>-</v>
      </c>
    </row>
    <row r="28206">
      <c r="B28206" t="str">
        <v>Công an xã Đồng Thịnh tỉnh Phú Thọ</v>
      </c>
      <c r="C28206" t="str">
        <v>-</v>
      </c>
      <c r="D28206" t="str">
        <v>-</v>
      </c>
      <c r="E28206" t="str">
        <v/>
      </c>
      <c r="F28206" t="str">
        <v>-</v>
      </c>
      <c r="G28206" t="str">
        <v>-</v>
      </c>
    </row>
    <row r="28207">
      <c r="B28207" t="str">
        <v>UBND Ủy ban nhân dân xã Đồng Thịnh tỉnh Phú Thọ</v>
      </c>
      <c r="C28207" t="str">
        <v>-</v>
      </c>
      <c r="D28207" t="str">
        <v>-</v>
      </c>
      <c r="E28207" t="str">
        <v>-</v>
      </c>
      <c r="F28207" t="str">
        <v>-</v>
      </c>
      <c r="G28207" t="str">
        <v>-</v>
      </c>
    </row>
    <row r="28208">
      <c r="B28208" t="str">
        <v>Công an xã Đồng Tiến  tỉnh Thanh Hóa</v>
      </c>
      <c r="C28208" t="str">
        <v>-</v>
      </c>
      <c r="D28208" t="str">
        <v>-</v>
      </c>
      <c r="E28208" t="str">
        <v/>
      </c>
      <c r="F28208" t="str">
        <v>-</v>
      </c>
      <c r="G28208" t="str">
        <v>-</v>
      </c>
    </row>
    <row r="28209">
      <c r="B28209" t="str">
        <v>UBND Ủy ban nhân dân xã Đồng Tiến  tỉnh Thanh Hóa</v>
      </c>
      <c r="C28209" t="str">
        <v>-</v>
      </c>
      <c r="D28209" t="str">
        <v>-</v>
      </c>
      <c r="E28209" t="str">
        <v>-</v>
      </c>
      <c r="F28209" t="str">
        <v>-</v>
      </c>
      <c r="G28209" t="str">
        <v>-</v>
      </c>
    </row>
    <row r="28210">
      <c r="B28210" t="str">
        <v>Công an xã Ea Ô  tỉnh Đắk Lắk</v>
      </c>
      <c r="C28210" t="str">
        <v>-</v>
      </c>
      <c r="D28210" t="str">
        <v>-</v>
      </c>
      <c r="E28210" t="str">
        <v/>
      </c>
      <c r="F28210" t="str">
        <v>-</v>
      </c>
      <c r="G28210" t="str">
        <v>-</v>
      </c>
    </row>
    <row r="28211">
      <c r="B28211" t="str">
        <v>UBND Ủy ban nhân dân xã Ea Ô  tỉnh Đắk Lắk</v>
      </c>
      <c r="C28211" t="str">
        <v>-</v>
      </c>
      <c r="D28211" t="str">
        <v>-</v>
      </c>
      <c r="E28211" t="str">
        <v>-</v>
      </c>
      <c r="F28211" t="str">
        <v>-</v>
      </c>
      <c r="G28211" t="str">
        <v>-</v>
      </c>
    </row>
    <row r="28212">
      <c r="B28212" t="str">
        <v>Công an xã Gia Hanh  tỉnh Hà Tĩnh</v>
      </c>
      <c r="C28212" t="str">
        <v>-</v>
      </c>
      <c r="D28212" t="str">
        <v>-</v>
      </c>
      <c r="E28212" t="str">
        <v/>
      </c>
      <c r="F28212" t="str">
        <v>-</v>
      </c>
      <c r="G28212" t="str">
        <v>-</v>
      </c>
    </row>
    <row r="28213">
      <c r="B28213" t="str">
        <v>UBND Ủy ban nhân dân xã Gia Hanh  tỉnh Hà Tĩnh</v>
      </c>
      <c r="C28213" t="str">
        <v>-</v>
      </c>
      <c r="D28213" t="str">
        <v>-</v>
      </c>
      <c r="E28213" t="str">
        <v>-</v>
      </c>
      <c r="F28213" t="str">
        <v>-</v>
      </c>
      <c r="G28213" t="str">
        <v>-</v>
      </c>
    </row>
    <row r="28214">
      <c r="B28214" t="str">
        <v>Công an xã Giang Sơn tỉnh Bắc Ninh</v>
      </c>
      <c r="C28214" t="str">
        <v>-</v>
      </c>
      <c r="D28214" t="str">
        <v>-</v>
      </c>
      <c r="E28214" t="str">
        <v/>
      </c>
      <c r="F28214" t="str">
        <v>-</v>
      </c>
      <c r="G28214" t="str">
        <v>-</v>
      </c>
    </row>
    <row r="28215">
      <c r="B28215" t="str">
        <v>UBND Ủy ban nhân dân xã Giang Sơn tỉnh Bắc Ninh</v>
      </c>
      <c r="C28215" t="str">
        <v>-</v>
      </c>
      <c r="D28215" t="str">
        <v>-</v>
      </c>
      <c r="E28215" t="str">
        <v>-</v>
      </c>
      <c r="F28215" t="str">
        <v>-</v>
      </c>
      <c r="G28215" t="str">
        <v>-</v>
      </c>
    </row>
    <row r="28216">
      <c r="B28216" t="str">
        <v>Công an xã Hà Giang  tỉnh Thanh Hóa</v>
      </c>
      <c r="C28216" t="str">
        <v>-</v>
      </c>
      <c r="D28216" t="str">
        <v>-</v>
      </c>
      <c r="E28216" t="str">
        <v/>
      </c>
      <c r="F28216" t="str">
        <v>-</v>
      </c>
      <c r="G28216" t="str">
        <v>-</v>
      </c>
    </row>
    <row r="28217">
      <c r="B28217" t="str">
        <v>UBND Ủy ban nhân dân xã Hà Giang  tỉnh Thanh Hóa</v>
      </c>
      <c r="C28217" t="str">
        <v>-</v>
      </c>
      <c r="D28217" t="str">
        <v>-</v>
      </c>
      <c r="E28217" t="str">
        <v>-</v>
      </c>
      <c r="F28217" t="str">
        <v>-</v>
      </c>
      <c r="G28217" t="str">
        <v>-</v>
      </c>
    </row>
    <row r="28218">
      <c r="B28218" t="str">
        <v>Công an xã Hải Lâm  tỉnh Quảng Trị</v>
      </c>
      <c r="C28218" t="str">
        <v>-</v>
      </c>
      <c r="D28218" t="str">
        <v>-</v>
      </c>
      <c r="E28218" t="str">
        <v/>
      </c>
      <c r="F28218" t="str">
        <v>-</v>
      </c>
      <c r="G28218" t="str">
        <v>-</v>
      </c>
    </row>
    <row r="28219">
      <c r="B28219" t="str">
        <v>UBND Ủy ban nhân dân xã Hải Lâm  tỉnh Quảng Trị</v>
      </c>
      <c r="C28219" t="str">
        <v>-</v>
      </c>
      <c r="D28219" t="str">
        <v>-</v>
      </c>
      <c r="E28219" t="str">
        <v>-</v>
      </c>
      <c r="F28219" t="str">
        <v>-</v>
      </c>
      <c r="G28219" t="str">
        <v>-</v>
      </c>
    </row>
    <row r="28220">
      <c r="B28220" t="str">
        <v>Công an xã Hải Xuân tỉnh Nam Định</v>
      </c>
      <c r="C28220" t="str">
        <v>-</v>
      </c>
      <c r="D28220" t="str">
        <v>-</v>
      </c>
      <c r="E28220" t="str">
        <v/>
      </c>
      <c r="F28220" t="str">
        <v>-</v>
      </c>
      <c r="G28220" t="str">
        <v>-</v>
      </c>
    </row>
    <row r="28221">
      <c r="B28221" t="str">
        <v>UBND Ủy ban nhân dân xã Hải Xuân tỉnh Nam Định</v>
      </c>
      <c r="C28221" t="str">
        <v>-</v>
      </c>
      <c r="D28221" t="str">
        <v>-</v>
      </c>
      <c r="E28221" t="str">
        <v>-</v>
      </c>
      <c r="F28221" t="str">
        <v>-</v>
      </c>
      <c r="G28221" t="str">
        <v>-</v>
      </c>
    </row>
    <row r="28222">
      <c r="B28222" t="str">
        <v>Công an xã Hà Sơn tỉnh Thanh Hóa</v>
      </c>
      <c r="C28222" t="str">
        <v>-</v>
      </c>
      <c r="D28222" t="str">
        <v>-</v>
      </c>
      <c r="E28222" t="str">
        <v/>
      </c>
      <c r="F28222" t="str">
        <v>-</v>
      </c>
      <c r="G28222" t="str">
        <v>-</v>
      </c>
    </row>
    <row r="28223">
      <c r="B28223" t="str">
        <v>UBND Ủy ban nhân dân xã Hà Sơn tỉnh Thanh Hóa</v>
      </c>
      <c r="C28223" t="str">
        <v>-</v>
      </c>
      <c r="D28223" t="str">
        <v>-</v>
      </c>
      <c r="E28223" t="str">
        <v>-</v>
      </c>
      <c r="F28223" t="str">
        <v>-</v>
      </c>
      <c r="G28223" t="str">
        <v>-</v>
      </c>
    </row>
    <row r="28224">
      <c r="B28224" t="str">
        <v>Công an xã Hậu Mỹ Trinh  tỉnh TIỀN GIANG</v>
      </c>
      <c r="C28224" t="str">
        <v>-</v>
      </c>
      <c r="D28224" t="str">
        <v>-</v>
      </c>
      <c r="E28224" t="str">
        <v/>
      </c>
      <c r="F28224" t="str">
        <v>-</v>
      </c>
      <c r="G28224" t="str">
        <v>-</v>
      </c>
    </row>
    <row r="28225">
      <c r="B28225" t="str">
        <v>UBND Ủy ban nhân dân xã Hậu Mỹ Trinh  tỉnh TIỀN GIANG</v>
      </c>
      <c r="C28225" t="str">
        <v>-</v>
      </c>
      <c r="D28225" t="str">
        <v>-</v>
      </c>
      <c r="E28225" t="str">
        <v>-</v>
      </c>
      <c r="F28225" t="str">
        <v>-</v>
      </c>
      <c r="G28225" t="str">
        <v>-</v>
      </c>
    </row>
    <row r="28226">
      <c r="B28226" t="str">
        <v>Công an xã Hưng Đạo tỉnh Cao Bằng</v>
      </c>
      <c r="C28226" t="str">
        <v>-</v>
      </c>
      <c r="D28226" t="str">
        <v>-</v>
      </c>
      <c r="E28226" t="str">
        <v/>
      </c>
      <c r="F28226" t="str">
        <v>-</v>
      </c>
      <c r="G28226" t="str">
        <v>-</v>
      </c>
    </row>
    <row r="28227">
      <c r="B28227" t="str">
        <v>UBND Ủy ban nhân dân xã Hưng Đạo tỉnh Cao Bằng</v>
      </c>
      <c r="C28227" t="str">
        <v>-</v>
      </c>
      <c r="D28227" t="str">
        <v>-</v>
      </c>
      <c r="E28227" t="str">
        <v>-</v>
      </c>
      <c r="F28227" t="str">
        <v>-</v>
      </c>
      <c r="G28227" t="str">
        <v>-</v>
      </c>
    </row>
    <row r="28228">
      <c r="B28228" t="str">
        <v>Công an xã Hiệp Thành tỉnh Bạc Liêu</v>
      </c>
      <c r="C28228" t="str">
        <v>-</v>
      </c>
      <c r="D28228" t="str">
        <v>-</v>
      </c>
      <c r="E28228" t="str">
        <v/>
      </c>
      <c r="F28228" t="str">
        <v>-</v>
      </c>
      <c r="G28228" t="str">
        <v>-</v>
      </c>
    </row>
    <row r="28229">
      <c r="B28229" t="str">
        <v>UBND Ủy ban nhân dân xã Hiệp Thành tỉnh Bạc Liêu</v>
      </c>
      <c r="C28229" t="str">
        <v>-</v>
      </c>
      <c r="D28229" t="str">
        <v>-</v>
      </c>
      <c r="E28229" t="str">
        <v>-</v>
      </c>
      <c r="F28229" t="str">
        <v>-</v>
      </c>
      <c r="G28229" t="str">
        <v>-</v>
      </c>
    </row>
    <row r="28230">
      <c r="B28230" t="str">
        <v>Công an xã Hưng Lợi  tỉnh Nghệ An</v>
      </c>
      <c r="C28230" t="str">
        <v>-</v>
      </c>
      <c r="D28230" t="str">
        <v>-</v>
      </c>
      <c r="E28230" t="str">
        <v/>
      </c>
      <c r="F28230" t="str">
        <v>-</v>
      </c>
      <c r="G28230" t="str">
        <v>-</v>
      </c>
    </row>
    <row r="28231">
      <c r="B28231" t="str">
        <v>UBND Ủy ban nhân dân xã Hưng Lợi  tỉnh Nghệ An</v>
      </c>
      <c r="C28231" t="str">
        <v>-</v>
      </c>
      <c r="D28231" t="str">
        <v>-</v>
      </c>
      <c r="E28231" t="str">
        <v>-</v>
      </c>
      <c r="F28231" t="str">
        <v>-</v>
      </c>
      <c r="G28231" t="str">
        <v>-</v>
      </c>
    </row>
    <row r="28232">
      <c r="B28232" t="str">
        <v>Công an xã Hương Vĩ tỉnh Bắc Giang</v>
      </c>
      <c r="C28232" t="str">
        <v>-</v>
      </c>
      <c r="D28232" t="str">
        <v>-</v>
      </c>
      <c r="E28232" t="str">
        <v/>
      </c>
      <c r="F28232" t="str">
        <v>-</v>
      </c>
      <c r="G28232" t="str">
        <v>-</v>
      </c>
    </row>
    <row r="28233">
      <c r="B28233" t="str">
        <v>UBND Ủy ban nhân dân xã Hương Vĩ tỉnh Bắc Giang</v>
      </c>
      <c r="C28233" t="str">
        <v>-</v>
      </c>
      <c r="D28233" t="str">
        <v>-</v>
      </c>
      <c r="E28233" t="str">
        <v>-</v>
      </c>
      <c r="F28233" t="str">
        <v>-</v>
      </c>
      <c r="G28233" t="str">
        <v>-</v>
      </c>
    </row>
    <row r="28234">
      <c r="B28234" t="str">
        <v>Công an xã Kim Sơn  tỉnh Trà Vinh</v>
      </c>
      <c r="C28234" t="str">
        <v>-</v>
      </c>
      <c r="D28234" t="str">
        <v>-</v>
      </c>
      <c r="E28234" t="str">
        <v/>
      </c>
      <c r="F28234" t="str">
        <v>-</v>
      </c>
      <c r="G28234" t="str">
        <v>-</v>
      </c>
    </row>
    <row r="28235">
      <c r="B28235" t="str">
        <v>UBND Ủy ban nhân dân xã Kim Sơn  tỉnh Trà Vinh</v>
      </c>
      <c r="C28235" t="str">
        <v>-</v>
      </c>
      <c r="D28235" t="str">
        <v>-</v>
      </c>
      <c r="E28235" t="str">
        <v>-</v>
      </c>
      <c r="F28235" t="str">
        <v>-</v>
      </c>
      <c r="G28235" t="str">
        <v>-</v>
      </c>
    </row>
    <row r="28236">
      <c r="B28236" t="str">
        <v>Công an xã Kim Thạch  tỉnh Quảng Trị</v>
      </c>
      <c r="C28236" t="str">
        <v>-</v>
      </c>
      <c r="D28236" t="str">
        <v>-</v>
      </c>
      <c r="E28236" t="str">
        <v/>
      </c>
      <c r="F28236" t="str">
        <v>-</v>
      </c>
      <c r="G28236" t="str">
        <v>-</v>
      </c>
    </row>
    <row r="28237">
      <c r="B28237" t="str">
        <v>UBND Ủy ban nhân dân xã Kim Thạch  tỉnh Quảng Trị</v>
      </c>
      <c r="C28237" t="str">
        <v>-</v>
      </c>
      <c r="D28237" t="str">
        <v>-</v>
      </c>
      <c r="E28237" t="str">
        <v>-</v>
      </c>
      <c r="F28237" t="str">
        <v>-</v>
      </c>
      <c r="G28237" t="str">
        <v>-</v>
      </c>
    </row>
    <row r="28238">
      <c r="B28238" t="str">
        <v>Công an xã Kỳ Tân  tỉnh Hà Tĩnh</v>
      </c>
      <c r="C28238" t="str">
        <v>-</v>
      </c>
      <c r="D28238" t="str">
        <v>-</v>
      </c>
      <c r="E28238" t="str">
        <v/>
      </c>
      <c r="F28238" t="str">
        <v>-</v>
      </c>
      <c r="G28238" t="str">
        <v>-</v>
      </c>
    </row>
    <row r="28239">
      <c r="B28239" t="str">
        <v>UBND Ủy ban nhân dân xã Kỳ Tân  tỉnh Hà Tĩnh</v>
      </c>
      <c r="C28239" t="str">
        <v>-</v>
      </c>
      <c r="D28239" t="str">
        <v>-</v>
      </c>
      <c r="E28239" t="str">
        <v>-</v>
      </c>
      <c r="F28239" t="str">
        <v>-</v>
      </c>
      <c r="G28239" t="str">
        <v>-</v>
      </c>
    </row>
    <row r="28240">
      <c r="B28240" t="str">
        <v>Công an xã Liêm Thủy  tỉnh Bắc Kạn</v>
      </c>
      <c r="C28240" t="str">
        <v>-</v>
      </c>
      <c r="D28240" t="str">
        <v>-</v>
      </c>
      <c r="E28240" t="str">
        <v/>
      </c>
      <c r="F28240" t="str">
        <v>-</v>
      </c>
      <c r="G28240" t="str">
        <v>-</v>
      </c>
    </row>
    <row r="28241">
      <c r="B28241" t="str">
        <v>UBND Ủy ban nhân dân xã Liêm Thủy  tỉnh Bắc Kạn</v>
      </c>
      <c r="C28241" t="str">
        <v>-</v>
      </c>
      <c r="D28241" t="str">
        <v>-</v>
      </c>
      <c r="E28241" t="str">
        <v>-</v>
      </c>
      <c r="F28241" t="str">
        <v>-</v>
      </c>
      <c r="G28241" t="str">
        <v>-</v>
      </c>
    </row>
    <row r="28242">
      <c r="B28242" t="str">
        <v>Công an xã Liên Minh  tỉnh Hà Tĩnh</v>
      </c>
      <c r="C28242" t="str">
        <v>-</v>
      </c>
      <c r="D28242" t="str">
        <v>-</v>
      </c>
      <c r="E28242" t="str">
        <v/>
      </c>
      <c r="F28242" t="str">
        <v>-</v>
      </c>
      <c r="G28242" t="str">
        <v>-</v>
      </c>
    </row>
    <row r="28243">
      <c r="B28243" t="str">
        <v>UBND Ủy ban nhân dân xã Liên Minh  tỉnh Hà Tĩnh</v>
      </c>
      <c r="C28243" t="str">
        <v>-</v>
      </c>
      <c r="D28243" t="str">
        <v>-</v>
      </c>
      <c r="E28243" t="str">
        <v>-</v>
      </c>
      <c r="F28243" t="str">
        <v>-</v>
      </c>
      <c r="G28243" t="str">
        <v>-</v>
      </c>
    </row>
    <row r="28244">
      <c r="B28244" t="str">
        <v>Công an xã Long Hiệp  tỉnh Trà Vinh</v>
      </c>
      <c r="C28244" t="str">
        <v>-</v>
      </c>
      <c r="D28244" t="str">
        <v>-</v>
      </c>
      <c r="E28244" t="str">
        <v/>
      </c>
      <c r="F28244" t="str">
        <v>-</v>
      </c>
      <c r="G28244" t="str">
        <v>-</v>
      </c>
    </row>
    <row r="28245">
      <c r="B28245" t="str">
        <v>UBND Ủy ban nhân dân xã Long Hiệp  tỉnh Trà Vinh</v>
      </c>
      <c r="C28245" t="str">
        <v>-</v>
      </c>
      <c r="D28245" t="str">
        <v>-</v>
      </c>
      <c r="E28245" t="str">
        <v>-</v>
      </c>
      <c r="F28245" t="str">
        <v>-</v>
      </c>
      <c r="G28245" t="str">
        <v>-</v>
      </c>
    </row>
    <row r="28246">
      <c r="B28246" t="str">
        <v>Công an xã Long Vĩnh  tỉnh Trà Vinh</v>
      </c>
      <c r="C28246" t="str">
        <v>-</v>
      </c>
      <c r="D28246" t="str">
        <v>-</v>
      </c>
      <c r="E28246" t="str">
        <v/>
      </c>
      <c r="F28246" t="str">
        <v>-</v>
      </c>
      <c r="G28246" t="str">
        <v>-</v>
      </c>
    </row>
    <row r="28247">
      <c r="B28247" t="str">
        <v>UBND Ủy ban nhân dân xã Long Vĩnh  tỉnh Trà Vinh</v>
      </c>
      <c r="C28247" t="str">
        <v>-</v>
      </c>
      <c r="D28247" t="str">
        <v>-</v>
      </c>
      <c r="E28247" t="str">
        <v>-</v>
      </c>
      <c r="F28247" t="str">
        <v>-</v>
      </c>
      <c r="G28247" t="str">
        <v>-</v>
      </c>
    </row>
    <row r="28248">
      <c r="B28248" t="str">
        <v>Công an xã Mai Đình  tỉnh Bắc Giang</v>
      </c>
      <c r="C28248" t="str">
        <v>-</v>
      </c>
      <c r="D28248" t="str">
        <v>-</v>
      </c>
      <c r="E28248" t="str">
        <v/>
      </c>
      <c r="F28248" t="str">
        <v>-</v>
      </c>
      <c r="G28248" t="str">
        <v>-</v>
      </c>
    </row>
    <row r="28249">
      <c r="B28249" t="str">
        <v>UBND Ủy ban nhân dân xã Mai Đình  tỉnh Bắc Giang</v>
      </c>
      <c r="C28249" t="str">
        <v>-</v>
      </c>
      <c r="D28249" t="str">
        <v>-</v>
      </c>
      <c r="E28249" t="str">
        <v>-</v>
      </c>
      <c r="F28249" t="str">
        <v>-</v>
      </c>
      <c r="G28249" t="str">
        <v>-</v>
      </c>
    </row>
    <row r="28250">
      <c r="B28250" t="str">
        <v>Công an phường Minh Hưng  tỉnh Bình Phước</v>
      </c>
      <c r="C28250" t="str">
        <v>-</v>
      </c>
      <c r="D28250" t="str">
        <v>-</v>
      </c>
      <c r="E28250" t="str">
        <v/>
      </c>
      <c r="F28250" t="str">
        <v>-</v>
      </c>
      <c r="G28250" t="str">
        <v>-</v>
      </c>
    </row>
    <row r="28251">
      <c r="B28251" t="str">
        <v>UBND Ủy ban nhân dân phường Minh Hưng  tỉnh Bình Phước</v>
      </c>
      <c r="C28251" t="str">
        <v>-</v>
      </c>
      <c r="D28251" t="str">
        <v>-</v>
      </c>
      <c r="E28251" t="str">
        <v>-</v>
      </c>
      <c r="F28251" t="str">
        <v>-</v>
      </c>
      <c r="G28251" t="str">
        <v>-</v>
      </c>
    </row>
    <row r="28252">
      <c r="B28252" t="str">
        <v>Công an xã Minh Lập  tỉnh Bình Phước</v>
      </c>
      <c r="C28252" t="str">
        <v>-</v>
      </c>
      <c r="D28252" t="str">
        <v>-</v>
      </c>
      <c r="E28252" t="str">
        <v/>
      </c>
      <c r="F28252" t="str">
        <v>-</v>
      </c>
      <c r="G28252" t="str">
        <v>-</v>
      </c>
    </row>
    <row r="28253">
      <c r="B28253" t="str">
        <v>UBND Ủy ban nhân dân xã Minh Lập  tỉnh Bình Phước</v>
      </c>
      <c r="C28253" t="str">
        <v>-</v>
      </c>
      <c r="D28253" t="str">
        <v>-</v>
      </c>
      <c r="E28253" t="str">
        <v>-</v>
      </c>
      <c r="F28253" t="str">
        <v>-</v>
      </c>
      <c r="G28253" t="str">
        <v>-</v>
      </c>
    </row>
    <row r="28254">
      <c r="B28254" t="str">
        <v>Công an xã Minh Thắng tỉnh Bình Phước</v>
      </c>
      <c r="C28254" t="str">
        <v>-</v>
      </c>
      <c r="D28254" t="str">
        <v>-</v>
      </c>
      <c r="E28254" t="str">
        <v/>
      </c>
      <c r="F28254" t="str">
        <v>-</v>
      </c>
      <c r="G28254" t="str">
        <v>-</v>
      </c>
    </row>
    <row r="28255">
      <c r="B28255" t="str">
        <v>UBND Ủy ban nhân dân xã Minh Thắng tỉnh Bình Phước</v>
      </c>
      <c r="C28255" t="str">
        <v>-</v>
      </c>
      <c r="D28255" t="str">
        <v>-</v>
      </c>
      <c r="E28255" t="str">
        <v>-</v>
      </c>
      <c r="F28255" t="str">
        <v>-</v>
      </c>
      <c r="G28255" t="str">
        <v>-</v>
      </c>
    </row>
    <row r="28256">
      <c r="B28256" t="str">
        <v>Công an xã Mỹ Thạnh Trung tỉnh Vĩnh Long</v>
      </c>
      <c r="C28256" t="str">
        <v>-</v>
      </c>
      <c r="D28256" t="str">
        <v>-</v>
      </c>
      <c r="E28256" t="str">
        <v/>
      </c>
      <c r="F28256" t="str">
        <v>-</v>
      </c>
      <c r="G28256" t="str">
        <v>-</v>
      </c>
    </row>
    <row r="28257">
      <c r="B28257" t="str">
        <v>UBND Ủy ban nhân dân xã Mỹ Thạnh Trung tỉnh Vĩnh Long</v>
      </c>
      <c r="C28257" t="str">
        <v>-</v>
      </c>
      <c r="D28257" t="str">
        <v>-</v>
      </c>
      <c r="E28257" t="str">
        <v>-</v>
      </c>
      <c r="F28257" t="str">
        <v>-</v>
      </c>
      <c r="G28257" t="str">
        <v>-</v>
      </c>
    </row>
    <row r="28258">
      <c r="B28258" t="str">
        <v>Công an xã Mường Chiên  tỉnh Sơn La</v>
      </c>
      <c r="C28258" t="str">
        <v>-</v>
      </c>
      <c r="D28258" t="str">
        <v>-</v>
      </c>
      <c r="E28258" t="str">
        <v/>
      </c>
      <c r="F28258" t="str">
        <v>-</v>
      </c>
      <c r="G28258" t="str">
        <v>-</v>
      </c>
    </row>
    <row r="28259">
      <c r="B28259" t="str">
        <v>UBND Ủy ban nhân dân xã Mường Chiên  tỉnh Sơn La</v>
      </c>
      <c r="C28259" t="str">
        <v>-</v>
      </c>
      <c r="D28259" t="str">
        <v>-</v>
      </c>
      <c r="E28259" t="str">
        <v>-</v>
      </c>
      <c r="F28259" t="str">
        <v>-</v>
      </c>
      <c r="G28259" t="str">
        <v>-</v>
      </c>
    </row>
    <row r="28260">
      <c r="B28260" t="str">
        <v>Công an xã Mường Khoa tỉnh Sơn La</v>
      </c>
      <c r="C28260" t="str">
        <v>-</v>
      </c>
      <c r="D28260" t="str">
        <v>-</v>
      </c>
      <c r="E28260" t="str">
        <v/>
      </c>
      <c r="F28260" t="str">
        <v>-</v>
      </c>
      <c r="G28260" t="str">
        <v>-</v>
      </c>
    </row>
    <row r="28261">
      <c r="B28261" t="str">
        <v>UBND Ủy ban nhân dân xã Mường Khoa tỉnh Sơn La</v>
      </c>
      <c r="C28261" t="str">
        <v>-</v>
      </c>
      <c r="D28261" t="str">
        <v>-</v>
      </c>
      <c r="E28261" t="str">
        <v>-</v>
      </c>
      <c r="F28261" t="str">
        <v>-</v>
      </c>
      <c r="G28261" t="str">
        <v>-</v>
      </c>
    </row>
    <row r="28262">
      <c r="B28262" t="str">
        <v>Công an xã Mỹ Lộc  tỉnh Hà Tĩnh</v>
      </c>
      <c r="C28262" t="str">
        <v>-</v>
      </c>
      <c r="D28262" t="str">
        <v>-</v>
      </c>
      <c r="E28262" t="str">
        <v/>
      </c>
      <c r="F28262" t="str">
        <v>-</v>
      </c>
      <c r="G28262" t="str">
        <v>-</v>
      </c>
    </row>
    <row r="28263">
      <c r="B28263" t="str">
        <v>UBND Ủy ban nhân dân xã Mỹ Lộc  tỉnh Hà Tĩnh</v>
      </c>
      <c r="C28263" t="str">
        <v>-</v>
      </c>
      <c r="D28263" t="str">
        <v>-</v>
      </c>
      <c r="E28263" t="str">
        <v>-</v>
      </c>
      <c r="F28263" t="str">
        <v>-</v>
      </c>
      <c r="G28263" t="str">
        <v>-</v>
      </c>
    </row>
    <row r="28264">
      <c r="B28264" t="str">
        <v>Công an xã Mỹ Nhơn  tỉnh Bến Tre</v>
      </c>
      <c r="C28264" t="str">
        <v>-</v>
      </c>
      <c r="D28264" t="str">
        <v>-</v>
      </c>
      <c r="E28264" t="str">
        <v/>
      </c>
      <c r="F28264" t="str">
        <v>-</v>
      </c>
      <c r="G28264" t="str">
        <v>-</v>
      </c>
    </row>
    <row r="28265">
      <c r="B28265" t="str">
        <v>UBND Ủy ban nhân dân xã Mỹ Nhơn  tỉnh Bến Tre</v>
      </c>
      <c r="C28265" t="str">
        <v>-</v>
      </c>
      <c r="D28265" t="str">
        <v>-</v>
      </c>
      <c r="E28265" t="str">
        <v>-</v>
      </c>
      <c r="F28265" t="str">
        <v>-</v>
      </c>
      <c r="G28265" t="str">
        <v>-</v>
      </c>
    </row>
    <row r="28266">
      <c r="B28266" t="str">
        <v>Công an xã Nậm Có  tỉnh Yên Bái</v>
      </c>
      <c r="C28266" t="str">
        <v>-</v>
      </c>
      <c r="D28266" t="str">
        <v>-</v>
      </c>
      <c r="E28266" t="str">
        <v/>
      </c>
      <c r="F28266" t="str">
        <v>-</v>
      </c>
      <c r="G28266" t="str">
        <v>-</v>
      </c>
    </row>
    <row r="28267">
      <c r="B28267" t="str">
        <v>UBND Ủy ban nhân dân xã Nậm Có  tỉnh Yên Bái</v>
      </c>
      <c r="C28267" t="str">
        <v>-</v>
      </c>
      <c r="D28267" t="str">
        <v>-</v>
      </c>
      <c r="E28267" t="str">
        <v>-</v>
      </c>
      <c r="F28267" t="str">
        <v>-</v>
      </c>
      <c r="G28267" t="str">
        <v>-</v>
      </c>
    </row>
    <row r="28268">
      <c r="B28268" t="str">
        <v>Công an xã Nam Quang  tỉnh Cao Bằng</v>
      </c>
      <c r="C28268" t="str">
        <v>-</v>
      </c>
      <c r="D28268" t="str">
        <v>-</v>
      </c>
      <c r="E28268" t="str">
        <v/>
      </c>
      <c r="F28268" t="str">
        <v>-</v>
      </c>
      <c r="G28268" t="str">
        <v>-</v>
      </c>
    </row>
    <row r="28269">
      <c r="B28269" t="str">
        <v>UBND Ủy ban nhân dân xã Nam Quang  tỉnh Cao Bằng</v>
      </c>
      <c r="C28269" t="str">
        <v>-</v>
      </c>
      <c r="D28269" t="str">
        <v>-</v>
      </c>
      <c r="E28269" t="str">
        <v>-</v>
      </c>
      <c r="F28269" t="str">
        <v>-</v>
      </c>
      <c r="G28269" t="str">
        <v>-</v>
      </c>
    </row>
    <row r="28270">
      <c r="B28270" t="str">
        <v>Công an xã Nậm Tha  tỉnh Lào Cai</v>
      </c>
      <c r="C28270" t="str">
        <v>-</v>
      </c>
      <c r="D28270" t="str">
        <v>-</v>
      </c>
      <c r="E28270" t="str">
        <v/>
      </c>
      <c r="F28270" t="str">
        <v>-</v>
      </c>
      <c r="G28270" t="str">
        <v>-</v>
      </c>
    </row>
    <row r="28271">
      <c r="B28271" t="str">
        <v>UBND Ủy ban nhân dân xã Nậm Tha  tỉnh Lào Cai</v>
      </c>
      <c r="C28271" t="str">
        <v>-</v>
      </c>
      <c r="D28271" t="str">
        <v>-</v>
      </c>
      <c r="E28271" t="str">
        <v>-</v>
      </c>
      <c r="F28271" t="str">
        <v>-</v>
      </c>
      <c r="G28271" t="str">
        <v>-</v>
      </c>
    </row>
    <row r="28272">
      <c r="B28272" t="str">
        <v>Công an xã Nam Xuân  tỉnh Thanh Hóa</v>
      </c>
      <c r="C28272" t="str">
        <v>-</v>
      </c>
      <c r="D28272" t="str">
        <v>-</v>
      </c>
      <c r="E28272" t="str">
        <v/>
      </c>
      <c r="F28272" t="str">
        <v>-</v>
      </c>
      <c r="G28272" t="str">
        <v>-</v>
      </c>
    </row>
    <row r="28273">
      <c r="B28273" t="str">
        <v>UBND Ủy ban nhân dân xã Nam Xuân  tỉnh Thanh Hóa</v>
      </c>
      <c r="C28273" t="str">
        <v>-</v>
      </c>
      <c r="D28273" t="str">
        <v>-</v>
      </c>
      <c r="E28273" t="str">
        <v>-</v>
      </c>
      <c r="F28273" t="str">
        <v>-</v>
      </c>
      <c r="G28273" t="str">
        <v>-</v>
      </c>
    </row>
    <row r="28274">
      <c r="B28274" t="str">
        <v>Công an xã Nga Thủy  tỉnh Thanh Hóa</v>
      </c>
      <c r="C28274" t="str">
        <v>-</v>
      </c>
      <c r="D28274" t="str">
        <v>-</v>
      </c>
      <c r="E28274" t="str">
        <v/>
      </c>
      <c r="F28274" t="str">
        <v>-</v>
      </c>
      <c r="G28274" t="str">
        <v>-</v>
      </c>
    </row>
    <row r="28275">
      <c r="B28275" t="str">
        <v>UBND Ủy ban nhân dân xã Nga Thủy  tỉnh Thanh Hóa</v>
      </c>
      <c r="C28275" t="str">
        <v>-</v>
      </c>
      <c r="D28275" t="str">
        <v>-</v>
      </c>
      <c r="E28275" t="str">
        <v>-</v>
      </c>
      <c r="F28275" t="str">
        <v>-</v>
      </c>
      <c r="G28275" t="str">
        <v>-</v>
      </c>
    </row>
    <row r="28276">
      <c r="B28276" t="str">
        <v>Công an xã Nga Tiến  tỉnh Thanh Hóa</v>
      </c>
      <c r="C28276" t="str">
        <v>-</v>
      </c>
      <c r="D28276" t="str">
        <v>-</v>
      </c>
      <c r="E28276" t="str">
        <v/>
      </c>
      <c r="F28276" t="str">
        <v>-</v>
      </c>
      <c r="G28276" t="str">
        <v>-</v>
      </c>
    </row>
    <row r="28277">
      <c r="B28277" t="str">
        <v>UBND Ủy ban nhân dân xã Nga Tiến  tỉnh Thanh Hóa</v>
      </c>
      <c r="C28277" t="str">
        <v>-</v>
      </c>
      <c r="D28277" t="str">
        <v>-</v>
      </c>
      <c r="E28277" t="str">
        <v>-</v>
      </c>
      <c r="F28277" t="str">
        <v>-</v>
      </c>
      <c r="G28277" t="str">
        <v>-</v>
      </c>
    </row>
    <row r="28278">
      <c r="B28278" t="str">
        <v>Công an xã Nghĩa Hợp  tỉnh Nghệ An</v>
      </c>
      <c r="C28278" t="str">
        <v>-</v>
      </c>
      <c r="D28278" t="str">
        <v>-</v>
      </c>
      <c r="E28278" t="str">
        <v/>
      </c>
      <c r="F28278" t="str">
        <v>-</v>
      </c>
      <c r="G28278" t="str">
        <v>-</v>
      </c>
    </row>
    <row r="28279">
      <c r="B28279" t="str">
        <v>UBND Ủy ban nhân dân xã Nghĩa Hợp  tỉnh Nghệ An</v>
      </c>
      <c r="C28279" t="str">
        <v>-</v>
      </c>
      <c r="D28279" t="str">
        <v>-</v>
      </c>
      <c r="E28279" t="str">
        <v>-</v>
      </c>
      <c r="F28279" t="str">
        <v>-</v>
      </c>
      <c r="G28279" t="str">
        <v>-</v>
      </c>
    </row>
    <row r="28280">
      <c r="B28280" t="str">
        <v>Công an xã Nghĩa Lâm  tỉnh Nghệ An</v>
      </c>
      <c r="C28280" t="str">
        <v>-</v>
      </c>
      <c r="D28280" t="str">
        <v>-</v>
      </c>
      <c r="E28280" t="str">
        <v/>
      </c>
      <c r="F28280" t="str">
        <v>-</v>
      </c>
      <c r="G28280" t="str">
        <v>-</v>
      </c>
    </row>
    <row r="28281">
      <c r="B28281" t="str">
        <v>UBND Ủy ban nhân dân xã Nghĩa Lâm  tỉnh Nghệ An</v>
      </c>
      <c r="C28281" t="str">
        <v>-</v>
      </c>
      <c r="D28281" t="str">
        <v>-</v>
      </c>
      <c r="E28281" t="str">
        <v>-</v>
      </c>
      <c r="F28281" t="str">
        <v>-</v>
      </c>
      <c r="G28281" t="str">
        <v>-</v>
      </c>
    </row>
    <row r="28282">
      <c r="B28282" t="str">
        <v>Công an xã Nghĩa Sơn tỉnh Yên Bái</v>
      </c>
      <c r="C28282" t="str">
        <v>-</v>
      </c>
      <c r="D28282" t="str">
        <v>-</v>
      </c>
      <c r="E28282" t="str">
        <v/>
      </c>
      <c r="F28282" t="str">
        <v>-</v>
      </c>
      <c r="G28282" t="str">
        <v>-</v>
      </c>
    </row>
    <row r="28283">
      <c r="B28283" t="str">
        <v>UBND Ủy ban nhân dân xã Nghĩa Sơn tỉnh Yên Bái</v>
      </c>
      <c r="C28283" t="str">
        <v>-</v>
      </c>
      <c r="D28283" t="str">
        <v>-</v>
      </c>
      <c r="E28283" t="str">
        <v>-</v>
      </c>
      <c r="F28283" t="str">
        <v>-</v>
      </c>
      <c r="G28283" t="str">
        <v>-</v>
      </c>
    </row>
    <row r="28284">
      <c r="B28284" t="str">
        <v>Công an xã Nghi Xuân  tỉnh Nghệ An</v>
      </c>
      <c r="C28284" t="str">
        <v>-</v>
      </c>
      <c r="D28284" t="str">
        <v>-</v>
      </c>
      <c r="E28284" t="str">
        <v/>
      </c>
      <c r="F28284" t="str">
        <v>-</v>
      </c>
      <c r="G28284" t="str">
        <v>-</v>
      </c>
    </row>
    <row r="28285">
      <c r="B28285" t="str">
        <v>UBND Ủy ban nhân dân xã Nghi Xuân  tỉnh Nghệ An</v>
      </c>
      <c r="C28285" t="str">
        <v>-</v>
      </c>
      <c r="D28285" t="str">
        <v>-</v>
      </c>
      <c r="E28285" t="str">
        <v>-</v>
      </c>
      <c r="F28285" t="str">
        <v>-</v>
      </c>
      <c r="G28285" t="str">
        <v>-</v>
      </c>
    </row>
    <row r="28286">
      <c r="B28286" t="str">
        <v>Công an xã Nam Hồng  tỉnh Hải Dương</v>
      </c>
      <c r="C28286" t="str">
        <v>-</v>
      </c>
      <c r="D28286" t="str">
        <v>-</v>
      </c>
      <c r="E28286" t="str">
        <v/>
      </c>
      <c r="F28286" t="str">
        <v>-</v>
      </c>
      <c r="G28286" t="str">
        <v>-</v>
      </c>
    </row>
    <row r="28287">
      <c r="B28287" t="str">
        <v>UBND Ủy ban nhân dân xã Nam Hồng  tỉnh Hải Dương</v>
      </c>
      <c r="C28287" t="str">
        <v>-</v>
      </c>
      <c r="D28287" t="str">
        <v>-</v>
      </c>
      <c r="E28287" t="str">
        <v>-</v>
      </c>
      <c r="F28287" t="str">
        <v>-</v>
      </c>
      <c r="G28287" t="str">
        <v>-</v>
      </c>
    </row>
    <row r="28288">
      <c r="B28288" t="str">
        <v>Công an xã Nhật Tân  tỉnh Hải Dương</v>
      </c>
      <c r="C28288" t="str">
        <v>-</v>
      </c>
      <c r="D28288" t="str">
        <v>-</v>
      </c>
      <c r="E28288" t="str">
        <v/>
      </c>
      <c r="F28288" t="str">
        <v>-</v>
      </c>
      <c r="G28288" t="str">
        <v>-</v>
      </c>
    </row>
    <row r="28289">
      <c r="B28289" t="str">
        <v>UBND Ủy ban nhân dân xã Nhật Tân  tỉnh Hải Dương</v>
      </c>
      <c r="C28289" t="str">
        <v>-</v>
      </c>
      <c r="D28289" t="str">
        <v>-</v>
      </c>
      <c r="E28289" t="str">
        <v>-</v>
      </c>
      <c r="F28289" t="str">
        <v>-</v>
      </c>
      <c r="G28289" t="str">
        <v>-</v>
      </c>
    </row>
    <row r="28290">
      <c r="B28290" t="str">
        <v>Công an xã Nhị Hà  tỉnh Ninh Thuận</v>
      </c>
      <c r="C28290" t="str">
        <v>-</v>
      </c>
      <c r="D28290" t="str">
        <v>-</v>
      </c>
      <c r="E28290" t="str">
        <v/>
      </c>
      <c r="F28290" t="str">
        <v>-</v>
      </c>
      <c r="G28290" t="str">
        <v>-</v>
      </c>
    </row>
    <row r="28291">
      <c r="B28291" t="str">
        <v>UBND Ủy ban nhân dân xã Nhị Hà  tỉnh Ninh Thuận</v>
      </c>
      <c r="C28291" t="str">
        <v>-</v>
      </c>
      <c r="D28291" t="str">
        <v>-</v>
      </c>
      <c r="E28291" t="str">
        <v>-</v>
      </c>
      <c r="F28291" t="str">
        <v>-</v>
      </c>
      <c r="G28291" t="str">
        <v>-</v>
      </c>
    </row>
    <row r="28292">
      <c r="B28292" t="str">
        <v>Công an xã Nghĩa Thuận  tỉnh Nghệ An</v>
      </c>
      <c r="C28292" t="str">
        <v>-</v>
      </c>
      <c r="D28292" t="str">
        <v>-</v>
      </c>
      <c r="E28292" t="str">
        <v/>
      </c>
      <c r="F28292" t="str">
        <v>-</v>
      </c>
      <c r="G28292" t="str">
        <v>-</v>
      </c>
    </row>
    <row r="28293">
      <c r="B28293" t="str">
        <v>UBND Ủy ban nhân dân xã Nghĩa Thuận  tỉnh Nghệ An</v>
      </c>
      <c r="C28293" t="str">
        <v>-</v>
      </c>
      <c r="D28293" t="str">
        <v>-</v>
      </c>
      <c r="E28293" t="str">
        <v>-</v>
      </c>
      <c r="F28293" t="str">
        <v>-</v>
      </c>
      <c r="G28293" t="str">
        <v>-</v>
      </c>
    </row>
    <row r="28294">
      <c r="B28294" t="str">
        <v>Công an xã Nùng Nàng  tỉnh Lai Châu</v>
      </c>
      <c r="C28294" t="str">
        <v>-</v>
      </c>
      <c r="D28294" t="str">
        <v>-</v>
      </c>
      <c r="E28294" t="str">
        <v/>
      </c>
      <c r="F28294" t="str">
        <v>-</v>
      </c>
      <c r="G28294" t="str">
        <v>-</v>
      </c>
    </row>
    <row r="28295">
      <c r="B28295" t="str">
        <v>UBND Ủy ban nhân dân xã Nùng Nàng  tỉnh Lai Châu</v>
      </c>
      <c r="C28295" t="str">
        <v>-</v>
      </c>
      <c r="D28295" t="str">
        <v>-</v>
      </c>
      <c r="E28295" t="str">
        <v>-</v>
      </c>
      <c r="F28295" t="str">
        <v>-</v>
      </c>
      <c r="G28295" t="str">
        <v>-</v>
      </c>
    </row>
    <row r="28296">
      <c r="B28296" t="str">
        <v>Công an xã Púng Tra  tỉnh Sơn La</v>
      </c>
      <c r="C28296" t="str">
        <v>-</v>
      </c>
      <c r="D28296" t="str">
        <v>-</v>
      </c>
      <c r="E28296" t="str">
        <v/>
      </c>
      <c r="F28296" t="str">
        <v>-</v>
      </c>
      <c r="G28296" t="str">
        <v>-</v>
      </c>
    </row>
    <row r="28297">
      <c r="B28297" t="str">
        <v>UBND Ủy ban nhân dân xã Púng Tra  tỉnh Sơn La</v>
      </c>
      <c r="C28297" t="str">
        <v>-</v>
      </c>
      <c r="D28297" t="str">
        <v>-</v>
      </c>
      <c r="E28297" t="str">
        <v>-</v>
      </c>
      <c r="F28297" t="str">
        <v>-</v>
      </c>
      <c r="G28297" t="str">
        <v>-</v>
      </c>
    </row>
    <row r="28298">
      <c r="B28298" t="str">
        <v>Công an xã Phạm Trấn tỉnh Hải Dương</v>
      </c>
      <c r="C28298" t="str">
        <v>-</v>
      </c>
      <c r="D28298" t="str">
        <v>-</v>
      </c>
      <c r="E28298" t="str">
        <v/>
      </c>
      <c r="F28298" t="str">
        <v>-</v>
      </c>
      <c r="G28298" t="str">
        <v>-</v>
      </c>
    </row>
    <row r="28299">
      <c r="B28299" t="str">
        <v>UBND Ủy ban nhân dân xã Phạm Trấn tỉnh Hải Dương</v>
      </c>
      <c r="C28299" t="str">
        <v>-</v>
      </c>
      <c r="D28299" t="str">
        <v>-</v>
      </c>
      <c r="E28299" t="str">
        <v>-</v>
      </c>
      <c r="F28299" t="str">
        <v>-</v>
      </c>
      <c r="G28299" t="str">
        <v>-</v>
      </c>
    </row>
    <row r="28300">
      <c r="B28300" t="str">
        <v>Công an xã Phú Cần  tỉnh Gia Lai</v>
      </c>
      <c r="C28300" t="str">
        <v>-</v>
      </c>
      <c r="D28300" t="str">
        <v>-</v>
      </c>
      <c r="E28300" t="str">
        <v/>
      </c>
      <c r="F28300" t="str">
        <v>-</v>
      </c>
      <c r="G28300" t="str">
        <v>-</v>
      </c>
    </row>
    <row r="28301">
      <c r="B28301" t="str">
        <v>UBND Ủy ban nhân dân xã Phú Cần  tỉnh Gia Lai</v>
      </c>
      <c r="C28301" t="str">
        <v>-</v>
      </c>
      <c r="D28301" t="str">
        <v>-</v>
      </c>
      <c r="E28301" t="str">
        <v>-</v>
      </c>
      <c r="F28301" t="str">
        <v>-</v>
      </c>
      <c r="G28301" t="str">
        <v>-</v>
      </c>
    </row>
    <row r="28302">
      <c r="B28302" t="str">
        <v>Công an xã Phú Cường  tỉnh Thái Nguyên</v>
      </c>
      <c r="C28302" t="str">
        <v>-</v>
      </c>
      <c r="D28302" t="str">
        <v>-</v>
      </c>
      <c r="E28302" t="str">
        <v/>
      </c>
      <c r="F28302" t="str">
        <v>-</v>
      </c>
      <c r="G28302" t="str">
        <v>-</v>
      </c>
    </row>
    <row r="28303">
      <c r="B28303" t="str">
        <v>UBND Ủy ban nhân dân xã Phú Cường  tỉnh Thái Nguyên</v>
      </c>
      <c r="C28303" t="str">
        <v>-</v>
      </c>
      <c r="D28303" t="str">
        <v>-</v>
      </c>
      <c r="E28303" t="str">
        <v>-</v>
      </c>
      <c r="F28303" t="str">
        <v>-</v>
      </c>
      <c r="G28303" t="str">
        <v>-</v>
      </c>
    </row>
    <row r="28304">
      <c r="B28304" t="str">
        <v>Công an xã Phúc Yên tỉnh Tuyên Quang</v>
      </c>
      <c r="C28304" t="str">
        <v>-</v>
      </c>
      <c r="D28304" t="str">
        <v>-</v>
      </c>
      <c r="E28304" t="str">
        <v/>
      </c>
      <c r="F28304" t="str">
        <v>-</v>
      </c>
      <c r="G28304" t="str">
        <v>-</v>
      </c>
    </row>
    <row r="28305">
      <c r="B28305" t="str">
        <v>UBND Ủy ban nhân dân xã Phúc Yên tỉnh Tuyên Quang</v>
      </c>
      <c r="C28305" t="str">
        <v>-</v>
      </c>
      <c r="D28305" t="str">
        <v>-</v>
      </c>
      <c r="E28305" t="str">
        <v>-</v>
      </c>
      <c r="F28305" t="str">
        <v>-</v>
      </c>
      <c r="G28305" t="str">
        <v>-</v>
      </c>
    </row>
    <row r="28306">
      <c r="B28306" t="str">
        <v>Công an xã Phù Lưu  tỉnh Hà Tĩnh</v>
      </c>
      <c r="C28306" t="str">
        <v>-</v>
      </c>
      <c r="D28306" t="str">
        <v>-</v>
      </c>
      <c r="E28306" t="str">
        <v/>
      </c>
      <c r="F28306" t="str">
        <v>-</v>
      </c>
      <c r="G28306" t="str">
        <v>-</v>
      </c>
    </row>
    <row r="28307">
      <c r="B28307" t="str">
        <v>UBND Ủy ban nhân dân xã Phù Lưu  tỉnh Hà Tĩnh</v>
      </c>
      <c r="C28307" t="str">
        <v>-</v>
      </c>
      <c r="D28307" t="str">
        <v>-</v>
      </c>
      <c r="E28307" t="str">
        <v>-</v>
      </c>
      <c r="F28307" t="str">
        <v>-</v>
      </c>
      <c r="G28307" t="str">
        <v>-</v>
      </c>
    </row>
    <row r="28308">
      <c r="B28308" t="str">
        <v>Công an xã Phù Nham tỉnh Yên Bái</v>
      </c>
      <c r="C28308" t="str">
        <v>-</v>
      </c>
      <c r="D28308" t="str">
        <v>-</v>
      </c>
      <c r="E28308" t="str">
        <v/>
      </c>
      <c r="F28308" t="str">
        <v>-</v>
      </c>
      <c r="G28308" t="str">
        <v>-</v>
      </c>
    </row>
    <row r="28309">
      <c r="B28309" t="str">
        <v>UBND Ủy ban nhân dân xã Phù Nham tỉnh Yên Bái</v>
      </c>
      <c r="C28309" t="str">
        <v>-</v>
      </c>
      <c r="D28309" t="str">
        <v>-</v>
      </c>
      <c r="E28309" t="str">
        <v>-</v>
      </c>
      <c r="F28309" t="str">
        <v>-</v>
      </c>
      <c r="G28309" t="str">
        <v>-</v>
      </c>
    </row>
    <row r="28310">
      <c r="B28310" t="str">
        <v>Công an xã Phước An  tỉnh Đồng Nai</v>
      </c>
      <c r="C28310" t="str">
        <v>-</v>
      </c>
      <c r="D28310" t="str">
        <v>-</v>
      </c>
      <c r="E28310" t="str">
        <v/>
      </c>
      <c r="F28310" t="str">
        <v>-</v>
      </c>
      <c r="G28310" t="str">
        <v>-</v>
      </c>
    </row>
    <row r="28311">
      <c r="B28311" t="str">
        <v>UBND Ủy ban nhân dân xã Phước An  tỉnh Đồng Nai</v>
      </c>
      <c r="C28311" t="str">
        <v>-</v>
      </c>
      <c r="D28311" t="str">
        <v>-</v>
      </c>
      <c r="E28311" t="str">
        <v>-</v>
      </c>
      <c r="F28311" t="str">
        <v>-</v>
      </c>
      <c r="G28311" t="str">
        <v>-</v>
      </c>
    </row>
    <row r="28312">
      <c r="B28312" t="str">
        <v>Công an xã Phước Hòa tỉnh Ninh Thuận</v>
      </c>
      <c r="C28312" t="str">
        <v>-</v>
      </c>
      <c r="D28312" t="str">
        <v>-</v>
      </c>
      <c r="E28312" t="str">
        <v/>
      </c>
      <c r="F28312" t="str">
        <v>-</v>
      </c>
      <c r="G28312" t="str">
        <v>-</v>
      </c>
    </row>
    <row r="28313">
      <c r="B28313" t="str">
        <v>UBND Ủy ban nhân dân xã Phước Hòa tỉnh Ninh Thuận</v>
      </c>
      <c r="C28313" t="str">
        <v>-</v>
      </c>
      <c r="D28313" t="str">
        <v>-</v>
      </c>
      <c r="E28313" t="str">
        <v>-</v>
      </c>
      <c r="F28313" t="str">
        <v>-</v>
      </c>
      <c r="G28313" t="str">
        <v>-</v>
      </c>
    </row>
    <row r="28314">
      <c r="B28314" t="str">
        <v>Công an xã Phước Hưng  tỉnh Trà Vinh</v>
      </c>
      <c r="C28314" t="str">
        <v>-</v>
      </c>
      <c r="D28314" t="str">
        <v>-</v>
      </c>
      <c r="E28314" t="str">
        <v/>
      </c>
      <c r="F28314" t="str">
        <v>-</v>
      </c>
      <c r="G28314" t="str">
        <v>-</v>
      </c>
    </row>
    <row r="28315">
      <c r="B28315" t="str">
        <v>UBND Ủy ban nhân dân xã Phước Hưng  tỉnh Trà Vinh</v>
      </c>
      <c r="C28315" t="str">
        <v>-</v>
      </c>
      <c r="D28315" t="str">
        <v>-</v>
      </c>
      <c r="E28315" t="str">
        <v>-</v>
      </c>
      <c r="F28315" t="str">
        <v>-</v>
      </c>
      <c r="G28315" t="str">
        <v>-</v>
      </c>
    </row>
    <row r="28316">
      <c r="B28316" t="str">
        <v>Công an xã Phước Tân tỉnh Ninh Thuận</v>
      </c>
      <c r="C28316" t="str">
        <v>-</v>
      </c>
      <c r="D28316" t="str">
        <v>-</v>
      </c>
      <c r="E28316" t="str">
        <v/>
      </c>
      <c r="F28316" t="str">
        <v>-</v>
      </c>
      <c r="G28316" t="str">
        <v>-</v>
      </c>
    </row>
    <row r="28317">
      <c r="B28317" t="str">
        <v>UBND Ủy ban nhân dân xã Phước Tân tỉnh Ninh Thuận</v>
      </c>
      <c r="C28317" t="str">
        <v>-</v>
      </c>
      <c r="D28317" t="str">
        <v>-</v>
      </c>
      <c r="E28317" t="str">
        <v>-</v>
      </c>
      <c r="F28317" t="str">
        <v>-</v>
      </c>
      <c r="G28317" t="str">
        <v>-</v>
      </c>
    </row>
    <row r="28318">
      <c r="B28318" t="str">
        <v>Công an xã Phước Thuận  tỉnh Bình Định</v>
      </c>
      <c r="C28318" t="str">
        <v>-</v>
      </c>
      <c r="D28318" t="str">
        <v>-</v>
      </c>
      <c r="E28318" t="str">
        <v/>
      </c>
      <c r="F28318" t="str">
        <v>-</v>
      </c>
      <c r="G28318" t="str">
        <v>-</v>
      </c>
    </row>
    <row r="28319">
      <c r="B28319" t="str">
        <v>UBND Ủy ban nhân dân xã Phước Thuận  tỉnh Bình Định</v>
      </c>
      <c r="C28319" t="str">
        <v>-</v>
      </c>
      <c r="D28319" t="str">
        <v>-</v>
      </c>
      <c r="E28319" t="str">
        <v>-</v>
      </c>
      <c r="F28319" t="str">
        <v>-</v>
      </c>
      <c r="G28319" t="str">
        <v>-</v>
      </c>
    </row>
    <row r="28320">
      <c r="B28320" t="str">
        <v>Công an xã Phượng Lâu  tỉnh Phú Thọ</v>
      </c>
      <c r="C28320" t="str">
        <v>-</v>
      </c>
      <c r="D28320" t="str">
        <v>-</v>
      </c>
      <c r="E28320" t="str">
        <v/>
      </c>
      <c r="F28320" t="str">
        <v>-</v>
      </c>
      <c r="G28320" t="str">
        <v>-</v>
      </c>
    </row>
    <row r="28321">
      <c r="B28321" t="str">
        <v>UBND Ủy ban nhân dân xã Phượng Lâu  tỉnh Phú Thọ</v>
      </c>
      <c r="C28321" t="str">
        <v>-</v>
      </c>
      <c r="D28321" t="str">
        <v>-</v>
      </c>
      <c r="E28321" t="str">
        <v>-</v>
      </c>
      <c r="F28321" t="str">
        <v>-</v>
      </c>
      <c r="G28321" t="str">
        <v>-</v>
      </c>
    </row>
    <row r="28322">
      <c r="B28322" t="str">
        <v>Công an xã Phú Thịnh  tỉnh Thái Nguyên</v>
      </c>
      <c r="C28322" t="str">
        <v>-</v>
      </c>
      <c r="D28322" t="str">
        <v>-</v>
      </c>
      <c r="E28322" t="str">
        <v/>
      </c>
      <c r="F28322" t="str">
        <v>-</v>
      </c>
      <c r="G28322" t="str">
        <v>-</v>
      </c>
    </row>
    <row r="28323">
      <c r="B28323" t="str">
        <v>UBND Ủy ban nhân dân xã Phú Thịnh  tỉnh Thái Nguyên</v>
      </c>
      <c r="C28323" t="str">
        <v>-</v>
      </c>
      <c r="D28323" t="str">
        <v>-</v>
      </c>
      <c r="E28323" t="str">
        <v>-</v>
      </c>
      <c r="F28323" t="str">
        <v>-</v>
      </c>
      <c r="G28323" t="str">
        <v>-</v>
      </c>
    </row>
    <row r="28324">
      <c r="B28324" t="str">
        <v>Công an xã Phú Thuận  tỉnh Cà Mau</v>
      </c>
      <c r="C28324" t="str">
        <v>-</v>
      </c>
      <c r="D28324" t="str">
        <v>-</v>
      </c>
      <c r="E28324" t="str">
        <v/>
      </c>
      <c r="F28324" t="str">
        <v>-</v>
      </c>
      <c r="G28324" t="str">
        <v>-</v>
      </c>
    </row>
    <row r="28325">
      <c r="B28325" t="str">
        <v>UBND Ủy ban nhân dân xã Phú Thuận  tỉnh Cà Mau</v>
      </c>
      <c r="C28325" t="str">
        <v>-</v>
      </c>
      <c r="D28325" t="str">
        <v>-</v>
      </c>
      <c r="E28325" t="str">
        <v>-</v>
      </c>
      <c r="F28325" t="str">
        <v>-</v>
      </c>
      <c r="G28325" t="str">
        <v>-</v>
      </c>
    </row>
    <row r="28326">
      <c r="B28326" t="str">
        <v>Công an xã Phú Lệ  tỉnh Thanh Hóa</v>
      </c>
      <c r="C28326" t="str">
        <v>-</v>
      </c>
      <c r="D28326" t="str">
        <v>-</v>
      </c>
      <c r="E28326" t="str">
        <v/>
      </c>
      <c r="F28326" t="str">
        <v>-</v>
      </c>
      <c r="G28326" t="str">
        <v>-</v>
      </c>
    </row>
    <row r="28327">
      <c r="B28327" t="str">
        <v>UBND Ủy ban nhân dân xã Phú Lệ  tỉnh Thanh Hóa</v>
      </c>
      <c r="C28327" t="str">
        <v>-</v>
      </c>
      <c r="D28327" t="str">
        <v>-</v>
      </c>
      <c r="E28327" t="str">
        <v>-</v>
      </c>
      <c r="F28327" t="str">
        <v>-</v>
      </c>
      <c r="G28327" t="str">
        <v>-</v>
      </c>
    </row>
    <row r="28328">
      <c r="B28328" t="str">
        <v>Công an xã Phú Sơn  tỉnh Thanh Hóa</v>
      </c>
      <c r="C28328" t="str">
        <v>-</v>
      </c>
      <c r="D28328" t="str">
        <v>-</v>
      </c>
      <c r="E28328" t="str">
        <v/>
      </c>
      <c r="F28328" t="str">
        <v>-</v>
      </c>
      <c r="G28328" t="str">
        <v>-</v>
      </c>
    </row>
    <row r="28329">
      <c r="B28329" t="str">
        <v>UBND Ủy ban nhân dân xã Phú Sơn  tỉnh Thanh Hóa</v>
      </c>
      <c r="C28329" t="str">
        <v>-</v>
      </c>
      <c r="D28329" t="str">
        <v>-</v>
      </c>
      <c r="E28329" t="str">
        <v>-</v>
      </c>
      <c r="F28329" t="str">
        <v>-</v>
      </c>
      <c r="G28329" t="str">
        <v>-</v>
      </c>
    </row>
    <row r="28330">
      <c r="B28330" t="str">
        <v>Công an xã Phan Thanh   tỉnh Cao Bằng</v>
      </c>
      <c r="C28330" t="str">
        <v>-</v>
      </c>
      <c r="D28330" t="str">
        <v>-</v>
      </c>
      <c r="E28330" t="str">
        <v/>
      </c>
      <c r="F28330" t="str">
        <v>-</v>
      </c>
      <c r="G28330" t="str">
        <v>-</v>
      </c>
    </row>
    <row r="28331">
      <c r="B28331" t="str">
        <v>UBND Ủy ban nhân dân xã Phan Thanh   tỉnh Cao Bằng</v>
      </c>
      <c r="C28331" t="str">
        <v>-</v>
      </c>
      <c r="D28331" t="str">
        <v>-</v>
      </c>
      <c r="E28331" t="str">
        <v>-</v>
      </c>
      <c r="F28331" t="str">
        <v>-</v>
      </c>
      <c r="G28331" t="str">
        <v>-</v>
      </c>
    </row>
    <row r="28332">
      <c r="B28332" t="str">
        <v>Công an xã Quang Phong tỉnh Bắc Kạn</v>
      </c>
      <c r="C28332" t="str">
        <v>-</v>
      </c>
      <c r="D28332" t="str">
        <v>-</v>
      </c>
      <c r="E28332" t="str">
        <v/>
      </c>
      <c r="F28332" t="str">
        <v>-</v>
      </c>
      <c r="G28332" t="str">
        <v>-</v>
      </c>
    </row>
    <row r="28333">
      <c r="B28333" t="str">
        <v>UBND Ủy ban nhân dân xã Quang Phong tỉnh Bắc Kạn</v>
      </c>
      <c r="C28333" t="str">
        <v>-</v>
      </c>
      <c r="D28333" t="str">
        <v>-</v>
      </c>
      <c r="E28333" t="str">
        <v>-</v>
      </c>
      <c r="F28333" t="str">
        <v>-</v>
      </c>
      <c r="G28333" t="str">
        <v>-</v>
      </c>
    </row>
    <row r="28334">
      <c r="B28334" t="str">
        <v>Công an xã Quảng Thanh  tỉnh Quảng Bình</v>
      </c>
      <c r="C28334" t="str">
        <v>-</v>
      </c>
      <c r="D28334" t="str">
        <v>-</v>
      </c>
      <c r="E28334" t="str">
        <v/>
      </c>
      <c r="F28334" t="str">
        <v>-</v>
      </c>
      <c r="G28334" t="str">
        <v>-</v>
      </c>
    </row>
    <row r="28335">
      <c r="B28335" t="str">
        <v>UBND Ủy ban nhân dân xã Quảng Thanh  tỉnh Quảng Bình</v>
      </c>
      <c r="C28335" t="str">
        <v>-</v>
      </c>
      <c r="D28335" t="str">
        <v>-</v>
      </c>
      <c r="E28335" t="str">
        <v>-</v>
      </c>
      <c r="F28335" t="str">
        <v>-</v>
      </c>
      <c r="G28335" t="str">
        <v>-</v>
      </c>
    </row>
    <row r="28336">
      <c r="B28336" t="str">
        <v>Công an xã Quang Vinh  tỉnh Cao Bằng</v>
      </c>
      <c r="C28336" t="str">
        <v>-</v>
      </c>
      <c r="D28336" t="str">
        <v>-</v>
      </c>
      <c r="E28336" t="str">
        <v/>
      </c>
      <c r="F28336" t="str">
        <v>-</v>
      </c>
      <c r="G28336" t="str">
        <v>-</v>
      </c>
    </row>
    <row r="28337">
      <c r="B28337" t="str">
        <v>UBND Ủy ban nhân dân xã Quang Vinh  tỉnh Cao Bằng</v>
      </c>
      <c r="C28337" t="str">
        <v>-</v>
      </c>
      <c r="D28337" t="str">
        <v>-</v>
      </c>
      <c r="E28337" t="str">
        <v>-</v>
      </c>
      <c r="F28337" t="str">
        <v>-</v>
      </c>
      <c r="G28337" t="str">
        <v>-</v>
      </c>
    </row>
    <row r="28338">
      <c r="B28338" t="str">
        <v>Công an xã Quỳnh Hải  tỉnh Thái Bình</v>
      </c>
      <c r="C28338" t="str">
        <v>-</v>
      </c>
      <c r="D28338" t="str">
        <v>-</v>
      </c>
      <c r="E28338" t="str">
        <v/>
      </c>
      <c r="F28338" t="str">
        <v>-</v>
      </c>
      <c r="G28338" t="str">
        <v>-</v>
      </c>
    </row>
    <row r="28339">
      <c r="B28339" t="str">
        <v>UBND Ủy ban nhân dân xã Quỳnh Hải  tỉnh Thái Bình</v>
      </c>
      <c r="C28339" t="str">
        <v>-</v>
      </c>
      <c r="D28339" t="str">
        <v>-</v>
      </c>
      <c r="E28339" t="str">
        <v>-</v>
      </c>
      <c r="F28339" t="str">
        <v>-</v>
      </c>
      <c r="G28339" t="str">
        <v>-</v>
      </c>
    </row>
    <row r="28340">
      <c r="B28340" t="str">
        <v>Công an xã Sàn Viên  tỉnh Lạng Sơn</v>
      </c>
      <c r="C28340" t="str">
        <v>-</v>
      </c>
      <c r="D28340" t="str">
        <v>-</v>
      </c>
      <c r="E28340" t="str">
        <v/>
      </c>
      <c r="F28340" t="str">
        <v>-</v>
      </c>
      <c r="G28340" t="str">
        <v>-</v>
      </c>
    </row>
    <row r="28341">
      <c r="B28341" t="str">
        <v>UBND Ủy ban nhân dân xã Sàn Viên  tỉnh Lạng Sơn</v>
      </c>
      <c r="C28341" t="str">
        <v>-</v>
      </c>
      <c r="D28341" t="str">
        <v>-</v>
      </c>
      <c r="E28341" t="str">
        <v>-</v>
      </c>
      <c r="F28341" t="str">
        <v>-</v>
      </c>
      <c r="G28341" t="str">
        <v>-</v>
      </c>
    </row>
    <row r="28342">
      <c r="B28342" t="str">
        <v>Công an xã Sơn Hà  tỉnh Ninh Bình</v>
      </c>
      <c r="C28342" t="str">
        <v>-</v>
      </c>
      <c r="D28342" t="str">
        <v>-</v>
      </c>
      <c r="E28342" t="str">
        <v/>
      </c>
      <c r="F28342" t="str">
        <v>-</v>
      </c>
      <c r="G28342" t="str">
        <v>-</v>
      </c>
    </row>
    <row r="28343">
      <c r="B28343" t="str">
        <v>UBND Ủy ban nhân dân xã Sơn Hà  tỉnh Ninh Bình</v>
      </c>
      <c r="C28343" t="str">
        <v>-</v>
      </c>
      <c r="D28343" t="str">
        <v>-</v>
      </c>
      <c r="E28343" t="str">
        <v>-</v>
      </c>
      <c r="F28343" t="str">
        <v>-</v>
      </c>
      <c r="G28343" t="str">
        <v>-</v>
      </c>
    </row>
    <row r="28344">
      <c r="B28344" t="str">
        <v>Công an xã Sơn Hải  tỉnh Nghệ An</v>
      </c>
      <c r="C28344" t="str">
        <v>-</v>
      </c>
      <c r="D28344" t="str">
        <v>-</v>
      </c>
      <c r="E28344" t="str">
        <v/>
      </c>
      <c r="F28344" t="str">
        <v>-</v>
      </c>
      <c r="G28344" t="str">
        <v>-</v>
      </c>
    </row>
    <row r="28345">
      <c r="B28345" t="str">
        <v>UBND Ủy ban nhân dân xã Sơn Hải  tỉnh Nghệ An</v>
      </c>
      <c r="C28345" t="str">
        <v>-</v>
      </c>
      <c r="D28345" t="str">
        <v>-</v>
      </c>
      <c r="E28345" t="str">
        <v>-</v>
      </c>
      <c r="F28345" t="str">
        <v>-</v>
      </c>
      <c r="G28345" t="str">
        <v>-</v>
      </c>
    </row>
    <row r="28346">
      <c r="B28346" t="str">
        <v>Công an xã Sơn Kim 2  tỉnh Hà Tĩnh</v>
      </c>
      <c r="C28346" t="str">
        <v>-</v>
      </c>
      <c r="D28346" t="str">
        <v>-</v>
      </c>
      <c r="E28346" t="str">
        <v/>
      </c>
      <c r="F28346" t="str">
        <v>-</v>
      </c>
      <c r="G28346" t="str">
        <v>-</v>
      </c>
    </row>
    <row r="28347">
      <c r="B28347" t="str">
        <v>UBND Ủy ban nhân dân xã Sơn Kim 2  tỉnh Hà Tĩnh</v>
      </c>
      <c r="C28347" t="str">
        <v>-</v>
      </c>
      <c r="D28347" t="str">
        <v>-</v>
      </c>
      <c r="E28347" t="str">
        <v>-</v>
      </c>
      <c r="F28347" t="str">
        <v>-</v>
      </c>
      <c r="G28347" t="str">
        <v>-</v>
      </c>
    </row>
    <row r="28348">
      <c r="B28348" t="str">
        <v>Công an xã Sơn Lương tỉnh Yên Bái</v>
      </c>
      <c r="C28348" t="str">
        <v>-</v>
      </c>
      <c r="D28348" t="str">
        <v>-</v>
      </c>
      <c r="E28348" t="str">
        <v/>
      </c>
      <c r="F28348" t="str">
        <v>-</v>
      </c>
      <c r="G28348" t="str">
        <v>-</v>
      </c>
    </row>
    <row r="28349">
      <c r="B28349" t="str">
        <v>UBND Ủy ban nhân dân xã Sơn Lương tỉnh Yên Bái</v>
      </c>
      <c r="C28349" t="str">
        <v>-</v>
      </c>
      <c r="D28349" t="str">
        <v>-</v>
      </c>
      <c r="E28349" t="str">
        <v>-</v>
      </c>
      <c r="F28349" t="str">
        <v>-</v>
      </c>
      <c r="G28349" t="str">
        <v>-</v>
      </c>
    </row>
    <row r="28350">
      <c r="B28350" t="str">
        <v>Công an xã Sơn Thành tỉnh Bắc Kạn</v>
      </c>
      <c r="C28350" t="str">
        <v>-</v>
      </c>
      <c r="D28350" t="str">
        <v>-</v>
      </c>
      <c r="E28350" t="str">
        <v/>
      </c>
      <c r="F28350" t="str">
        <v>-</v>
      </c>
      <c r="G28350" t="str">
        <v>-</v>
      </c>
    </row>
    <row r="28351">
      <c r="B28351" t="str">
        <v>UBND Ủy ban nhân dân xã Sơn Thành tỉnh Bắc Kạn</v>
      </c>
      <c r="C28351" t="str">
        <v>-</v>
      </c>
      <c r="D28351" t="str">
        <v>-</v>
      </c>
      <c r="E28351" t="str">
        <v>-</v>
      </c>
      <c r="F28351" t="str">
        <v>-</v>
      </c>
      <c r="G28351" t="str">
        <v>-</v>
      </c>
    </row>
    <row r="28352">
      <c r="B28352" t="str">
        <v>Công an xã Tam Giang  tỉnh Bắc Ninh</v>
      </c>
      <c r="C28352" t="str">
        <v>-</v>
      </c>
      <c r="D28352" t="str">
        <v>-</v>
      </c>
      <c r="E28352" t="str">
        <v/>
      </c>
      <c r="F28352" t="str">
        <v>-</v>
      </c>
      <c r="G28352" t="str">
        <v>-</v>
      </c>
    </row>
    <row r="28353">
      <c r="B28353" t="str">
        <v>UBND Ủy ban nhân dân xã Tam Giang  tỉnh Bắc Ninh</v>
      </c>
      <c r="C28353" t="str">
        <v>-</v>
      </c>
      <c r="D28353" t="str">
        <v>-</v>
      </c>
      <c r="E28353" t="str">
        <v>-</v>
      </c>
      <c r="F28353" t="str">
        <v>-</v>
      </c>
      <c r="G28353" t="str">
        <v>-</v>
      </c>
    </row>
    <row r="28354">
      <c r="B28354" t="str">
        <v>Công an xã Tam Phúc tỉnh Vĩnh Phúc</v>
      </c>
      <c r="C28354" t="str">
        <v>-</v>
      </c>
      <c r="D28354" t="str">
        <v>-</v>
      </c>
      <c r="E28354" t="str">
        <v/>
      </c>
      <c r="F28354" t="str">
        <v>-</v>
      </c>
      <c r="G28354" t="str">
        <v>-</v>
      </c>
    </row>
    <row r="28355">
      <c r="B28355" t="str">
        <v>UBND Ủy ban nhân dân xã Tam Phúc tỉnh Vĩnh Phúc</v>
      </c>
      <c r="C28355" t="str">
        <v>-</v>
      </c>
      <c r="D28355" t="str">
        <v>-</v>
      </c>
      <c r="E28355" t="str">
        <v>-</v>
      </c>
      <c r="F28355" t="str">
        <v>-</v>
      </c>
      <c r="G28355" t="str">
        <v>-</v>
      </c>
    </row>
    <row r="28356">
      <c r="B28356" t="str">
        <v>Công an xã Tân An  tỉnh Đồng Nai</v>
      </c>
      <c r="C28356" t="str">
        <v>-</v>
      </c>
      <c r="D28356" t="str">
        <v>-</v>
      </c>
      <c r="E28356" t="str">
        <v/>
      </c>
      <c r="F28356" t="str">
        <v>-</v>
      </c>
      <c r="G28356" t="str">
        <v>-</v>
      </c>
    </row>
    <row r="28357">
      <c r="B28357" t="str">
        <v>UBND Ủy ban nhân dân xã Tân An  tỉnh Đồng Nai</v>
      </c>
      <c r="C28357" t="str">
        <v>-</v>
      </c>
      <c r="D28357" t="str">
        <v>-</v>
      </c>
      <c r="E28357" t="str">
        <v>-</v>
      </c>
      <c r="F28357" t="str">
        <v>-</v>
      </c>
      <c r="G28357" t="str">
        <v>-</v>
      </c>
    </row>
    <row r="28358">
      <c r="B28358" t="str">
        <v>Công an xã Tân Châu  tỉnh Hưng Yên</v>
      </c>
      <c r="C28358" t="str">
        <v>-</v>
      </c>
      <c r="D28358" t="str">
        <v>-</v>
      </c>
      <c r="E28358" t="str">
        <v/>
      </c>
      <c r="F28358" t="str">
        <v>-</v>
      </c>
      <c r="G28358" t="str">
        <v>-</v>
      </c>
    </row>
    <row r="28359">
      <c r="B28359" t="str">
        <v>UBND Ủy ban nhân dân xã Tân Châu  tỉnh Hưng Yên</v>
      </c>
      <c r="C28359" t="str">
        <v>-</v>
      </c>
      <c r="D28359" t="str">
        <v>-</v>
      </c>
      <c r="E28359" t="str">
        <v>-</v>
      </c>
      <c r="F28359" t="str">
        <v>-</v>
      </c>
      <c r="G28359" t="str">
        <v>-</v>
      </c>
    </row>
    <row r="28360">
      <c r="B28360" t="str">
        <v xml:space="preserve"> Công an xã Tân Hiệp tỉnh Bắc Giang</v>
      </c>
    </row>
    <row r="28361">
      <c r="B28361" t="str">
        <v>UBND Ủy ban nhân dânn xã Tân Hiệp tỉnh Bắc Giang</v>
      </c>
      <c r="C28361" t="str">
        <v>-</v>
      </c>
      <c r="D28361" t="str">
        <v>-</v>
      </c>
      <c r="E28361" t="str">
        <v>-</v>
      </c>
      <c r="F28361" t="str">
        <v>-</v>
      </c>
      <c r="G28361" t="str">
        <v>-</v>
      </c>
    </row>
    <row r="28362">
      <c r="B28362" t="str">
        <v>Công an xã Tân Mỹ  tỉnh Vĩnh Long</v>
      </c>
      <c r="C28362" t="str">
        <v>-</v>
      </c>
      <c r="D28362" t="str">
        <v>-</v>
      </c>
      <c r="E28362" t="str">
        <v/>
      </c>
      <c r="F28362" t="str">
        <v>-</v>
      </c>
      <c r="G28362" t="str">
        <v>-</v>
      </c>
    </row>
    <row r="28363">
      <c r="B28363" t="str">
        <v>UBND Ủy ban nhân dân xã Tân Mỹ  tỉnh Vĩnh Long</v>
      </c>
      <c r="C28363" t="str">
        <v>-</v>
      </c>
      <c r="D28363" t="str">
        <v>-</v>
      </c>
      <c r="E28363" t="str">
        <v>-</v>
      </c>
      <c r="F28363" t="str">
        <v>-</v>
      </c>
      <c r="G28363" t="str">
        <v>-</v>
      </c>
    </row>
    <row r="28364">
      <c r="B28364" t="str">
        <v>Công an xã Tân Sơn  tỉnh Gia Lai</v>
      </c>
      <c r="C28364" t="str">
        <v>-</v>
      </c>
      <c r="D28364" t="str">
        <v>-</v>
      </c>
      <c r="E28364" t="str">
        <v/>
      </c>
      <c r="F28364" t="str">
        <v>-</v>
      </c>
      <c r="G28364" t="str">
        <v>-</v>
      </c>
    </row>
    <row r="28365">
      <c r="B28365" t="str">
        <v>UBND Ủy ban nhân dân xã Tân Sơn  tỉnh Gia Lai</v>
      </c>
      <c r="C28365" t="str">
        <v>-</v>
      </c>
      <c r="D28365" t="str">
        <v>-</v>
      </c>
      <c r="E28365" t="str">
        <v>-</v>
      </c>
      <c r="F28365" t="str">
        <v>-</v>
      </c>
      <c r="G28365" t="str">
        <v>-</v>
      </c>
    </row>
    <row r="28366">
      <c r="B28366" t="str">
        <v>Công an xã Tân Thành  tỉnh Hòa Bình</v>
      </c>
      <c r="C28366" t="str">
        <v>-</v>
      </c>
      <c r="D28366" t="str">
        <v>-</v>
      </c>
      <c r="E28366" t="str">
        <v/>
      </c>
      <c r="F28366" t="str">
        <v>-</v>
      </c>
      <c r="G28366" t="str">
        <v>-</v>
      </c>
    </row>
    <row r="28367">
      <c r="B28367" t="str">
        <v>UBND Ủy ban nhân dân xã Tân Thành  tỉnh Hòa Bình</v>
      </c>
      <c r="C28367" t="str">
        <v>-</v>
      </c>
      <c r="D28367" t="str">
        <v>-</v>
      </c>
      <c r="E28367" t="str">
        <v>-</v>
      </c>
      <c r="F28367" t="str">
        <v>-</v>
      </c>
      <c r="G28367" t="str">
        <v>-</v>
      </c>
    </row>
    <row r="28368">
      <c r="B28368" t="str">
        <v>Công an xã Thượng Bằng La  tỉnh Yên Bái</v>
      </c>
      <c r="C28368" t="str">
        <v>-</v>
      </c>
      <c r="D28368" t="str">
        <v>-</v>
      </c>
      <c r="E28368" t="str">
        <v/>
      </c>
      <c r="F28368" t="str">
        <v>-</v>
      </c>
      <c r="G28368" t="str">
        <v>-</v>
      </c>
    </row>
    <row r="28369">
      <c r="B28369" t="str">
        <v>UBND Ủy ban nhân dân xã Thượng Bằng La  tỉnh Yên Bái</v>
      </c>
      <c r="C28369" t="str">
        <v>-</v>
      </c>
      <c r="D28369" t="str">
        <v>-</v>
      </c>
      <c r="E28369" t="str">
        <v>-</v>
      </c>
      <c r="F28369" t="str">
        <v>-</v>
      </c>
      <c r="G28369" t="str">
        <v>-</v>
      </c>
    </row>
    <row r="28370">
      <c r="B28370" t="str">
        <v>Công an xã Thành Công  tỉnh Cao Bằng</v>
      </c>
      <c r="C28370" t="str">
        <v>-</v>
      </c>
      <c r="D28370" t="str">
        <v>-</v>
      </c>
      <c r="E28370" t="str">
        <v/>
      </c>
      <c r="F28370" t="str">
        <v>-</v>
      </c>
      <c r="G28370" t="str">
        <v>-</v>
      </c>
    </row>
    <row r="28371">
      <c r="B28371" t="str">
        <v>UBND Ủy ban nhân dân xã Thành Công  tỉnh Cao Bằng</v>
      </c>
      <c r="C28371" t="str">
        <v>-</v>
      </c>
      <c r="D28371" t="str">
        <v>-</v>
      </c>
      <c r="E28371" t="str">
        <v>-</v>
      </c>
      <c r="F28371" t="str">
        <v>-</v>
      </c>
      <c r="G28371" t="str">
        <v>-</v>
      </c>
    </row>
    <row r="28372">
      <c r="B28372" t="str">
        <v>Công an xã Tả Gia Khâu  tỉnh Lào Cai</v>
      </c>
      <c r="C28372" t="str">
        <v>-</v>
      </c>
      <c r="D28372" t="str">
        <v>-</v>
      </c>
      <c r="E28372" t="str">
        <v/>
      </c>
      <c r="F28372" t="str">
        <v>-</v>
      </c>
      <c r="G28372" t="str">
        <v>-</v>
      </c>
    </row>
    <row r="28373">
      <c r="B28373" t="str">
        <v>UBND Ủy ban nhân dân xã Tả Gia Khâu  tỉnh Lào Cai</v>
      </c>
      <c r="C28373" t="str">
        <v>-</v>
      </c>
      <c r="D28373" t="str">
        <v>-</v>
      </c>
      <c r="E28373" t="str">
        <v>-</v>
      </c>
      <c r="F28373" t="str">
        <v>-</v>
      </c>
      <c r="G28373" t="str">
        <v>-</v>
      </c>
    </row>
    <row r="28374">
      <c r="B28374" t="str">
        <v>Công an xã Thượng Hòa tỉnh Ninh Bình</v>
      </c>
      <c r="C28374" t="str">
        <v>-</v>
      </c>
      <c r="D28374" t="str">
        <v>-</v>
      </c>
      <c r="E28374" t="str">
        <v/>
      </c>
      <c r="F28374" t="str">
        <v>-</v>
      </c>
      <c r="G28374" t="str">
        <v>-</v>
      </c>
    </row>
    <row r="28375">
      <c r="B28375" t="str">
        <v>UBND Ủy ban nhân dân xã Thượng Hòa tỉnh Ninh Bình</v>
      </c>
      <c r="C28375" t="str">
        <v>-</v>
      </c>
      <c r="D28375" t="str">
        <v>-</v>
      </c>
      <c r="E28375" t="str">
        <v>-</v>
      </c>
      <c r="F28375" t="str">
        <v>-</v>
      </c>
      <c r="G28375" t="str">
        <v>-</v>
      </c>
    </row>
    <row r="28376">
      <c r="B28376" t="str">
        <v>Công an xã Thăng Long  tỉnh Thanh Hóa</v>
      </c>
      <c r="C28376" t="str">
        <v>-</v>
      </c>
      <c r="D28376" t="str">
        <v>-</v>
      </c>
      <c r="E28376" t="str">
        <v/>
      </c>
      <c r="F28376" t="str">
        <v>-</v>
      </c>
      <c r="G28376" t="str">
        <v>-</v>
      </c>
    </row>
    <row r="28377">
      <c r="B28377" t="str">
        <v>UBND Ủy ban nhân dân xã Thăng Long  tỉnh Thanh Hóa</v>
      </c>
      <c r="C28377" t="str">
        <v>-</v>
      </c>
      <c r="D28377" t="str">
        <v>-</v>
      </c>
      <c r="E28377" t="str">
        <v>-</v>
      </c>
      <c r="F28377" t="str">
        <v>-</v>
      </c>
      <c r="G28377" t="str">
        <v>-</v>
      </c>
    </row>
    <row r="28378">
      <c r="B28378" t="str">
        <v>Công an xã Thanh Định tỉnh Thái Nguyên</v>
      </c>
      <c r="C28378" t="str">
        <v>-</v>
      </c>
      <c r="D28378" t="str">
        <v>-</v>
      </c>
      <c r="E28378" t="str">
        <v/>
      </c>
      <c r="F28378" t="str">
        <v>-</v>
      </c>
      <c r="G28378" t="str">
        <v>-</v>
      </c>
    </row>
    <row r="28379">
      <c r="B28379" t="str">
        <v>UBND Ủy ban nhân dân xã Thanh Định tỉnh Thái Nguyên</v>
      </c>
      <c r="C28379" t="str">
        <v>-</v>
      </c>
      <c r="D28379" t="str">
        <v>-</v>
      </c>
      <c r="E28379" t="str">
        <v>-</v>
      </c>
      <c r="F28379" t="str">
        <v>-</v>
      </c>
      <c r="G28379" t="str">
        <v>-</v>
      </c>
    </row>
    <row r="28380">
      <c r="B28380" t="str">
        <v>Công an xã Thanh Đức  tỉnh Nghệ An</v>
      </c>
      <c r="C28380" t="str">
        <v>-</v>
      </c>
      <c r="D28380" t="str">
        <v>-</v>
      </c>
      <c r="E28380" t="str">
        <v/>
      </c>
      <c r="F28380" t="str">
        <v>-</v>
      </c>
      <c r="G28380" t="str">
        <v>-</v>
      </c>
    </row>
    <row r="28381">
      <c r="B28381" t="str">
        <v>UBND Ủy ban nhân dân xã Thanh Đức  tỉnh Nghệ An</v>
      </c>
      <c r="C28381" t="str">
        <v>-</v>
      </c>
      <c r="D28381" t="str">
        <v>-</v>
      </c>
      <c r="E28381" t="str">
        <v>-</v>
      </c>
      <c r="F28381" t="str">
        <v>-</v>
      </c>
      <c r="G28381" t="str">
        <v>-</v>
      </c>
    </row>
    <row r="28382">
      <c r="B28382" t="str">
        <v>Công an xã Thanh Hương  tỉnh Nghệ An</v>
      </c>
      <c r="C28382" t="str">
        <v>-</v>
      </c>
      <c r="D28382" t="str">
        <v>-</v>
      </c>
      <c r="E28382" t="str">
        <v/>
      </c>
      <c r="F28382" t="str">
        <v>-</v>
      </c>
      <c r="G28382" t="str">
        <v>-</v>
      </c>
    </row>
    <row r="28383">
      <c r="B28383" t="str">
        <v>UBND Ủy ban nhân dân xã Thanh Hương  tỉnh Nghệ An</v>
      </c>
      <c r="C28383" t="str">
        <v>-</v>
      </c>
      <c r="D28383" t="str">
        <v>-</v>
      </c>
      <c r="E28383" t="str">
        <v>-</v>
      </c>
      <c r="F28383" t="str">
        <v>-</v>
      </c>
      <c r="G28383" t="str">
        <v>-</v>
      </c>
    </row>
    <row r="28384">
      <c r="B28384" t="str">
        <v>Công an xã Thành Long tỉnh Thanh Hóa</v>
      </c>
      <c r="C28384" t="str">
        <v>-</v>
      </c>
      <c r="D28384" t="str">
        <v>-</v>
      </c>
      <c r="E28384" t="str">
        <v/>
      </c>
      <c r="F28384" t="str">
        <v>-</v>
      </c>
      <c r="G28384" t="str">
        <v>-</v>
      </c>
    </row>
    <row r="28385">
      <c r="B28385" t="str">
        <v>UBND Ủy ban nhân dân xã Thành Long tỉnh Thanh Hóa</v>
      </c>
      <c r="C28385" t="str">
        <v>-</v>
      </c>
      <c r="D28385" t="str">
        <v>-</v>
      </c>
      <c r="E28385" t="str">
        <v>-</v>
      </c>
      <c r="F28385" t="str">
        <v>-</v>
      </c>
      <c r="G28385" t="str">
        <v>-</v>
      </c>
    </row>
    <row r="28386">
      <c r="B28386" t="str">
        <v>Công an xã Thạnh Phú  tỉnh Đồng Nai</v>
      </c>
      <c r="C28386" t="str">
        <v>-</v>
      </c>
      <c r="D28386" t="str">
        <v>-</v>
      </c>
      <c r="E28386" t="str">
        <v/>
      </c>
      <c r="F28386" t="str">
        <v>-</v>
      </c>
      <c r="G28386" t="str">
        <v>-</v>
      </c>
    </row>
    <row r="28387">
      <c r="B28387" t="str">
        <v>UBND Ủy ban nhân dân xã Thạnh Phú  tỉnh Đồng Nai</v>
      </c>
      <c r="C28387" t="str">
        <v>-</v>
      </c>
      <c r="D28387" t="str">
        <v>-</v>
      </c>
      <c r="E28387" t="str">
        <v>-</v>
      </c>
      <c r="F28387" t="str">
        <v>-</v>
      </c>
      <c r="G28387" t="str">
        <v>-</v>
      </c>
    </row>
    <row r="28388">
      <c r="B28388" t="str">
        <v>Công an xã Thành Sơn tỉnh Hòa Bình</v>
      </c>
      <c r="C28388" t="str">
        <v>-</v>
      </c>
      <c r="D28388" t="str">
        <v>-</v>
      </c>
      <c r="E28388" t="str">
        <v/>
      </c>
      <c r="F28388" t="str">
        <v>-</v>
      </c>
      <c r="G28388" t="str">
        <v>-</v>
      </c>
    </row>
    <row r="28389">
      <c r="B28389" t="str">
        <v>UBND Ủy ban nhân dân xã Thành Sơn tỉnh Hòa Bình</v>
      </c>
      <c r="C28389" t="str">
        <v>-</v>
      </c>
      <c r="D28389" t="str">
        <v>-</v>
      </c>
      <c r="E28389" t="str">
        <v>-</v>
      </c>
      <c r="F28389" t="str">
        <v>-</v>
      </c>
      <c r="G28389" t="str">
        <v>-</v>
      </c>
    </row>
    <row r="28390">
      <c r="B28390" t="str">
        <v>Công an xã Thành Thọ  tỉnh Thanh Hóa</v>
      </c>
      <c r="C28390" t="str">
        <v>-</v>
      </c>
      <c r="D28390" t="str">
        <v>-</v>
      </c>
      <c r="E28390" t="str">
        <v/>
      </c>
      <c r="F28390" t="str">
        <v>-</v>
      </c>
      <c r="G28390" t="str">
        <v>-</v>
      </c>
    </row>
    <row r="28391">
      <c r="B28391" t="str">
        <v>UBND Ủy ban nhân dân xã Thành Thọ  tỉnh Thanh Hóa</v>
      </c>
      <c r="C28391" t="str">
        <v>-</v>
      </c>
      <c r="D28391" t="str">
        <v>-</v>
      </c>
      <c r="E28391" t="str">
        <v>-</v>
      </c>
      <c r="F28391" t="str">
        <v>-</v>
      </c>
      <c r="G28391" t="str">
        <v>-</v>
      </c>
    </row>
    <row r="28392">
      <c r="B28392" t="str">
        <v>Công an xã Thi Sơn  tỉnh Hà Nam</v>
      </c>
      <c r="C28392" t="str">
        <v>-</v>
      </c>
      <c r="D28392" t="str">
        <v>-</v>
      </c>
      <c r="E28392" t="str">
        <v/>
      </c>
      <c r="F28392" t="str">
        <v>-</v>
      </c>
      <c r="G28392" t="str">
        <v>-</v>
      </c>
    </row>
    <row r="28393">
      <c r="B28393" t="str">
        <v>UBND Ủy ban nhân dân xã Thi Sơn  tỉnh Hà Nam</v>
      </c>
      <c r="C28393" t="str">
        <v>-</v>
      </c>
      <c r="D28393" t="str">
        <v>-</v>
      </c>
      <c r="E28393" t="str">
        <v>-</v>
      </c>
      <c r="F28393" t="str">
        <v>-</v>
      </c>
      <c r="G28393" t="str">
        <v>-</v>
      </c>
    </row>
    <row r="28394">
      <c r="B28394" t="str">
        <v>Công an xã Thuận Hưng tỉnh Sóc Trăng</v>
      </c>
      <c r="C28394" t="str">
        <v>-</v>
      </c>
      <c r="D28394" t="str">
        <v>-</v>
      </c>
      <c r="E28394" t="str">
        <v/>
      </c>
      <c r="F28394" t="str">
        <v>-</v>
      </c>
      <c r="G28394" t="str">
        <v>-</v>
      </c>
    </row>
    <row r="28395">
      <c r="B28395" t="str">
        <v>UBND Ủy ban nhân dân xã Thuận Hưng tỉnh Sóc Trăng</v>
      </c>
      <c r="C28395" t="str">
        <v>-</v>
      </c>
      <c r="D28395" t="str">
        <v>-</v>
      </c>
      <c r="E28395" t="str">
        <v>-</v>
      </c>
      <c r="F28395" t="str">
        <v>-</v>
      </c>
      <c r="G28395" t="str">
        <v>-</v>
      </c>
    </row>
    <row r="28396">
      <c r="B28396" t="str">
        <v>Công an xã Thu Lũm  tỉnh Lai Châu</v>
      </c>
      <c r="C28396" t="str">
        <v>-</v>
      </c>
      <c r="D28396" t="str">
        <v>-</v>
      </c>
      <c r="E28396" t="str">
        <v/>
      </c>
      <c r="F28396" t="str">
        <v>-</v>
      </c>
      <c r="G28396" t="str">
        <v>-</v>
      </c>
    </row>
    <row r="28397">
      <c r="B28397" t="str">
        <v>UBND Ủy ban nhân dân xã Thu Lũm  tỉnh Lai Châu</v>
      </c>
      <c r="C28397" t="str">
        <v>-</v>
      </c>
      <c r="D28397" t="str">
        <v>-</v>
      </c>
      <c r="E28397" t="str">
        <v>-</v>
      </c>
      <c r="F28397" t="str">
        <v>-</v>
      </c>
      <c r="G28397" t="str">
        <v>-</v>
      </c>
    </row>
    <row r="28398">
      <c r="B28398" t="str">
        <v>Công an xã Thượng Nhật tỉnh THỪA THIÊN HUẾ</v>
      </c>
      <c r="C28398" t="str">
        <v>-</v>
      </c>
      <c r="D28398" t="str">
        <v>-</v>
      </c>
      <c r="E28398" t="str">
        <v/>
      </c>
      <c r="F28398" t="str">
        <v>-</v>
      </c>
      <c r="G28398" t="str">
        <v>-</v>
      </c>
    </row>
    <row r="28399">
      <c r="B28399" t="str">
        <v>UBND Ủy ban nhân dân xã Thượng Nhật tỉnh THỪA THIÊN HUẾ</v>
      </c>
      <c r="C28399" t="str">
        <v>-</v>
      </c>
      <c r="D28399" t="str">
        <v>-</v>
      </c>
      <c r="E28399" t="str">
        <v>-</v>
      </c>
      <c r="F28399" t="str">
        <v>-</v>
      </c>
      <c r="G28399" t="str">
        <v>-</v>
      </c>
    </row>
    <row r="28400">
      <c r="B28400" t="str">
        <v>Công an xã Thu Phong  tỉnh Hòa Bình</v>
      </c>
      <c r="C28400" t="str">
        <v>-</v>
      </c>
      <c r="D28400" t="str">
        <v>-</v>
      </c>
      <c r="E28400" t="str">
        <v/>
      </c>
      <c r="F28400" t="str">
        <v>-</v>
      </c>
      <c r="G28400" t="str">
        <v>-</v>
      </c>
    </row>
    <row r="28401">
      <c r="B28401" t="str">
        <v>UBND Ủy ban nhân dân xã Thu Phong  tỉnh Hòa Bình</v>
      </c>
      <c r="C28401" t="str">
        <v>-</v>
      </c>
      <c r="D28401" t="str">
        <v>-</v>
      </c>
      <c r="E28401" t="str">
        <v>-</v>
      </c>
      <c r="F28401" t="str">
        <v>-</v>
      </c>
      <c r="G28401" t="str">
        <v>-</v>
      </c>
    </row>
    <row r="28402">
      <c r="B28402" t="str">
        <v>Công an xã Thụy Lôi tỉnh Hà Nam</v>
      </c>
      <c r="C28402" t="str">
        <v>-</v>
      </c>
      <c r="D28402" t="str">
        <v>-</v>
      </c>
      <c r="E28402" t="str">
        <v/>
      </c>
      <c r="F28402" t="str">
        <v>-</v>
      </c>
      <c r="G28402" t="str">
        <v>-</v>
      </c>
    </row>
    <row r="28403">
      <c r="B28403" t="str">
        <v>UBND Ủy ban nhân dân xã Thụy Lôi tỉnh Hà Nam</v>
      </c>
      <c r="C28403" t="str">
        <v>-</v>
      </c>
      <c r="D28403" t="str">
        <v>-</v>
      </c>
      <c r="E28403" t="str">
        <v>-</v>
      </c>
      <c r="F28403" t="str">
        <v>-</v>
      </c>
      <c r="G28403" t="str">
        <v>-</v>
      </c>
    </row>
    <row r="28404">
      <c r="B28404" t="str">
        <v>Công an xã Thuỵ Trình  tỉnh Thái Bình</v>
      </c>
      <c r="C28404" t="str">
        <v>-</v>
      </c>
      <c r="D28404" t="str">
        <v>-</v>
      </c>
      <c r="E28404" t="str">
        <v/>
      </c>
      <c r="F28404" t="str">
        <v>-</v>
      </c>
      <c r="G28404" t="str">
        <v>-</v>
      </c>
    </row>
    <row r="28405">
      <c r="B28405" t="str">
        <v>UBND Ủy ban nhân dân xã Thuỵ Trình  tỉnh Thái Bình</v>
      </c>
      <c r="C28405" t="str">
        <v>-</v>
      </c>
      <c r="D28405" t="str">
        <v>-</v>
      </c>
      <c r="E28405" t="str">
        <v>-</v>
      </c>
      <c r="F28405" t="str">
        <v>-</v>
      </c>
      <c r="G28405" t="str">
        <v>-</v>
      </c>
    </row>
    <row r="28406">
      <c r="B28406" t="str">
        <v>Công an xã Tam Kim  tỉnh Cao Bằng</v>
      </c>
      <c r="C28406" t="str">
        <v>-</v>
      </c>
      <c r="D28406" t="str">
        <v>-</v>
      </c>
      <c r="E28406" t="str">
        <v/>
      </c>
      <c r="F28406" t="str">
        <v>-</v>
      </c>
      <c r="G28406" t="str">
        <v>-</v>
      </c>
    </row>
    <row r="28407">
      <c r="B28407" t="str">
        <v>UBND Ủy ban nhân dân xã Tam Kim  tỉnh Cao Bằng</v>
      </c>
      <c r="C28407" t="str">
        <v>-</v>
      </c>
      <c r="D28407" t="str">
        <v>-</v>
      </c>
      <c r="E28407" t="str">
        <v>-</v>
      </c>
      <c r="F28407" t="str">
        <v>-</v>
      </c>
      <c r="G28407" t="str">
        <v>-</v>
      </c>
    </row>
    <row r="28408">
      <c r="B28408" t="str">
        <v>Công an xã Tân Lâm tỉnh Bà Rịa - Vũng Tàu</v>
      </c>
      <c r="C28408" t="str">
        <v>-</v>
      </c>
      <c r="D28408" t="str">
        <v>-</v>
      </c>
      <c r="E28408" t="str">
        <v/>
      </c>
      <c r="F28408" t="str">
        <v>-</v>
      </c>
      <c r="G28408" t="str">
        <v>-</v>
      </c>
    </row>
    <row r="28409">
      <c r="B28409" t="str">
        <v>UBND Ủy ban nhân dân xã Tân Lâm tỉnh Bà Rịa - Vũng Tàu</v>
      </c>
      <c r="C28409" t="str">
        <v>-</v>
      </c>
      <c r="D28409" t="str">
        <v>-</v>
      </c>
      <c r="E28409" t="str">
        <v>-</v>
      </c>
      <c r="F28409" t="str">
        <v>-</v>
      </c>
      <c r="G28409" t="str">
        <v>-</v>
      </c>
    </row>
    <row r="28410">
      <c r="B28410" t="str">
        <v>Công an xã Tân Long  tỉnh Thái Nguyên</v>
      </c>
      <c r="C28410" t="str">
        <v>-</v>
      </c>
      <c r="D28410" t="str">
        <v>-</v>
      </c>
      <c r="E28410" t="str">
        <v/>
      </c>
      <c r="F28410" t="str">
        <v>-</v>
      </c>
      <c r="G28410" t="str">
        <v>-</v>
      </c>
    </row>
    <row r="28411">
      <c r="B28411" t="str">
        <v>UBND Ủy ban nhân dân xã Tân Long  tỉnh Thái Nguyên</v>
      </c>
      <c r="C28411" t="str">
        <v>-</v>
      </c>
      <c r="D28411" t="str">
        <v>-</v>
      </c>
      <c r="E28411" t="str">
        <v>-</v>
      </c>
      <c r="F28411" t="str">
        <v>-</v>
      </c>
      <c r="G28411" t="str">
        <v>-</v>
      </c>
    </row>
    <row r="28412">
      <c r="B28412" t="str">
        <v>Công an xã Trà Đa tỉnh Gia Lai</v>
      </c>
      <c r="C28412" t="str">
        <v>-</v>
      </c>
      <c r="D28412" t="str">
        <v>-</v>
      </c>
      <c r="E28412" t="str">
        <v/>
      </c>
      <c r="F28412" t="str">
        <v>-</v>
      </c>
      <c r="G28412" t="str">
        <v>-</v>
      </c>
    </row>
    <row r="28413">
      <c r="B28413" t="str">
        <v>UBND Ủy ban nhân dân xã Trà Đa tỉnh Gia Lai</v>
      </c>
      <c r="C28413" t="str">
        <v>-</v>
      </c>
      <c r="D28413" t="str">
        <v>-</v>
      </c>
      <c r="E28413" t="str">
        <v>-</v>
      </c>
      <c r="F28413" t="str">
        <v>-</v>
      </c>
      <c r="G28413" t="str">
        <v>-</v>
      </c>
    </row>
    <row r="28414">
      <c r="B28414" t="str">
        <v>Công an xã Trần Phú  tỉnh Bắc Kạn</v>
      </c>
      <c r="C28414" t="str">
        <v>-</v>
      </c>
      <c r="D28414" t="str">
        <v>-</v>
      </c>
      <c r="E28414" t="str">
        <v/>
      </c>
      <c r="F28414" t="str">
        <v>-</v>
      </c>
      <c r="G28414" t="str">
        <v>-</v>
      </c>
    </row>
    <row r="28415">
      <c r="B28415" t="str">
        <v>UBND Ủy ban nhân dân xã Trần Phú  tỉnh Bắc Kạn</v>
      </c>
      <c r="C28415" t="str">
        <v>-</v>
      </c>
      <c r="D28415" t="str">
        <v>-</v>
      </c>
      <c r="E28415" t="str">
        <v>-</v>
      </c>
      <c r="F28415" t="str">
        <v>-</v>
      </c>
      <c r="G28415" t="str">
        <v>-</v>
      </c>
    </row>
    <row r="28416">
      <c r="B28416" t="str">
        <v>Công an xã Tri Phú tỉnh Tuyên Quang</v>
      </c>
      <c r="C28416" t="str">
        <v>-</v>
      </c>
      <c r="D28416" t="str">
        <v>-</v>
      </c>
      <c r="E28416" t="str">
        <v/>
      </c>
      <c r="F28416" t="str">
        <v>-</v>
      </c>
      <c r="G28416" t="str">
        <v>-</v>
      </c>
    </row>
    <row r="28417">
      <c r="B28417" t="str">
        <v>UBND Ủy ban nhân dân xã Tri Phú tỉnh Tuyên Quang</v>
      </c>
      <c r="C28417" t="str">
        <v>-</v>
      </c>
      <c r="D28417" t="str">
        <v>-</v>
      </c>
      <c r="E28417" t="str">
        <v>-</v>
      </c>
      <c r="F28417" t="str">
        <v>-</v>
      </c>
      <c r="G28417" t="str">
        <v>-</v>
      </c>
    </row>
    <row r="28418">
      <c r="B28418" t="str">
        <v>Công an xã Trực Chính tỉnh Nam Định</v>
      </c>
      <c r="C28418" t="str">
        <v>-</v>
      </c>
      <c r="D28418" t="str">
        <v>-</v>
      </c>
      <c r="E28418" t="str">
        <v/>
      </c>
      <c r="F28418" t="str">
        <v>-</v>
      </c>
      <c r="G28418" t="str">
        <v>-</v>
      </c>
    </row>
    <row r="28419">
      <c r="B28419" t="str">
        <v>UBND Ủy ban nhân dân xã Trực Chính tỉnh Nam Định</v>
      </c>
      <c r="C28419" t="str">
        <v>-</v>
      </c>
      <c r="D28419" t="str">
        <v>-</v>
      </c>
      <c r="E28419" t="str">
        <v>-</v>
      </c>
      <c r="F28419" t="str">
        <v>-</v>
      </c>
      <c r="G28419" t="str">
        <v>-</v>
      </c>
    </row>
    <row r="28420">
      <c r="B28420" t="str">
        <v>Công an xã Trực Hưng tỉnh Nam Định</v>
      </c>
      <c r="C28420" t="str">
        <v>-</v>
      </c>
      <c r="D28420" t="str">
        <v>-</v>
      </c>
      <c r="E28420" t="str">
        <v/>
      </c>
      <c r="F28420" t="str">
        <v>-</v>
      </c>
      <c r="G28420" t="str">
        <v>-</v>
      </c>
    </row>
    <row r="28421">
      <c r="B28421" t="str">
        <v>UBND Ủy ban nhân dân xã Trực Hưng tỉnh Nam Định</v>
      </c>
      <c r="C28421" t="str">
        <v>-</v>
      </c>
      <c r="D28421" t="str">
        <v>-</v>
      </c>
      <c r="E28421" t="str">
        <v>-</v>
      </c>
      <c r="F28421" t="str">
        <v>-</v>
      </c>
      <c r="G28421" t="str">
        <v>-</v>
      </c>
    </row>
    <row r="28422">
      <c r="B28422" t="str">
        <v>Công an xã Trung Trực  tỉnh Tuyên Quang</v>
      </c>
      <c r="C28422" t="str">
        <v>-</v>
      </c>
      <c r="D28422" t="str">
        <v>-</v>
      </c>
      <c r="E28422" t="str">
        <v/>
      </c>
      <c r="F28422" t="str">
        <v>-</v>
      </c>
      <c r="G28422" t="str">
        <v>-</v>
      </c>
    </row>
    <row r="28423">
      <c r="B28423" t="str">
        <v>UBND Ủy ban nhân dân xã Trung Trực  tỉnh Tuyên Quang</v>
      </c>
      <c r="C28423" t="str">
        <v>-</v>
      </c>
      <c r="D28423" t="str">
        <v>-</v>
      </c>
      <c r="E28423" t="str">
        <v>-</v>
      </c>
      <c r="F28423" t="str">
        <v>-</v>
      </c>
      <c r="G28423" t="str">
        <v>-</v>
      </c>
    </row>
    <row r="28424">
      <c r="B28424" t="str">
        <v>Công an xã Trung Yên  tỉnh Tuyên Quang</v>
      </c>
      <c r="C28424" t="str">
        <v>-</v>
      </c>
      <c r="D28424" t="str">
        <v>-</v>
      </c>
      <c r="E28424" t="str">
        <v/>
      </c>
      <c r="F28424" t="str">
        <v>-</v>
      </c>
      <c r="G28424" t="str">
        <v>-</v>
      </c>
    </row>
    <row r="28425">
      <c r="B28425" t="str">
        <v>UBND Ủy ban nhân dân xã Trung Yên  tỉnh Tuyên Quang</v>
      </c>
      <c r="C28425" t="str">
        <v>-</v>
      </c>
      <c r="D28425" t="str">
        <v>-</v>
      </c>
      <c r="E28425" t="str">
        <v>-</v>
      </c>
      <c r="F28425" t="str">
        <v>-</v>
      </c>
      <c r="G28425" t="str">
        <v>-</v>
      </c>
    </row>
    <row r="28426" xml:space="preserve">
      <c r="B28426" t="str" xml:space="preserve">
        <v xml:space="preserve">Công an xã Trường Long Tây _x000d_
 tỉnh Hậu Giang</v>
      </c>
      <c r="C28426" t="str">
        <v>-</v>
      </c>
      <c r="D28426" t="str">
        <v>-</v>
      </c>
      <c r="E28426" t="str">
        <v/>
      </c>
      <c r="F28426" t="str">
        <v>-</v>
      </c>
      <c r="G28426" t="str">
        <v>-</v>
      </c>
    </row>
    <row r="28427" xml:space="preserve">
      <c r="B28427" t="str" xml:space="preserve">
        <v xml:space="preserve">UBND Ủy ban nhân dân xã Trường Long Tây _x000d_
 tỉnh Hậu Giang</v>
      </c>
      <c r="C28427" t="str">
        <v>-</v>
      </c>
      <c r="D28427" t="str">
        <v>-</v>
      </c>
      <c r="E28427" t="str">
        <v>-</v>
      </c>
      <c r="F28427" t="str">
        <v>-</v>
      </c>
      <c r="G28427" t="str">
        <v>-</v>
      </c>
    </row>
    <row r="28428">
      <c r="B28428" t="str">
        <v>Công an xã Trung Thành tỉnh Hòa Bình</v>
      </c>
      <c r="C28428" t="str">
        <v>-</v>
      </c>
      <c r="D28428" t="str">
        <v>-</v>
      </c>
      <c r="E28428" t="str">
        <v/>
      </c>
      <c r="F28428" t="str">
        <v>-</v>
      </c>
      <c r="G28428" t="str">
        <v>-</v>
      </c>
    </row>
    <row r="28429">
      <c r="B28429" t="str">
        <v>UBND Ủy ban nhân dân xã Trung Thành tỉnh Hòa Bình</v>
      </c>
      <c r="C28429" t="str">
        <v>-</v>
      </c>
      <c r="D28429" t="str">
        <v>-</v>
      </c>
      <c r="E28429" t="str">
        <v>-</v>
      </c>
      <c r="F28429" t="str">
        <v>-</v>
      </c>
      <c r="G28429" t="str">
        <v>-</v>
      </c>
    </row>
    <row r="28430">
      <c r="B28430" t="str">
        <v>Công an xã Tường Hạ  tỉnh Sơn La</v>
      </c>
      <c r="C28430" t="str">
        <v>-</v>
      </c>
      <c r="D28430" t="str">
        <v>-</v>
      </c>
      <c r="E28430" t="str">
        <v/>
      </c>
      <c r="F28430" t="str">
        <v>-</v>
      </c>
      <c r="G28430" t="str">
        <v>-</v>
      </c>
    </row>
    <row r="28431">
      <c r="B28431" t="str">
        <v>UBND Ủy ban nhân dân xã Tường Hạ  tỉnh Sơn La</v>
      </c>
      <c r="C28431" t="str">
        <v>-</v>
      </c>
      <c r="D28431" t="str">
        <v>-</v>
      </c>
      <c r="E28431" t="str">
        <v>-</v>
      </c>
      <c r="F28431" t="str">
        <v>-</v>
      </c>
      <c r="G28431" t="str">
        <v>-</v>
      </c>
    </row>
    <row r="28432">
      <c r="B28432" t="str">
        <v>Công an xã Thịnh Vượng  tỉnh Cao Bằng</v>
      </c>
      <c r="C28432" t="str">
        <v>-</v>
      </c>
      <c r="D28432" t="str">
        <v>-</v>
      </c>
      <c r="E28432" t="str">
        <v/>
      </c>
      <c r="F28432" t="str">
        <v>-</v>
      </c>
      <c r="G28432" t="str">
        <v>-</v>
      </c>
    </row>
    <row r="28433">
      <c r="B28433" t="str">
        <v>UBND Ủy ban nhân dân xã Thịnh Vượng  tỉnh Cao Bằng</v>
      </c>
      <c r="C28433" t="str">
        <v>-</v>
      </c>
      <c r="D28433" t="str">
        <v>-</v>
      </c>
      <c r="E28433" t="str">
        <v>-</v>
      </c>
      <c r="F28433" t="str">
        <v>-</v>
      </c>
      <c r="G28433" t="str">
        <v>-</v>
      </c>
    </row>
    <row r="28434">
      <c r="B28434" t="str">
        <v>Công an xã Tân Việt tỉnh Hải Dương</v>
      </c>
      <c r="C28434" t="str">
        <v>-</v>
      </c>
      <c r="D28434" t="str">
        <v>-</v>
      </c>
      <c r="E28434" t="str">
        <v/>
      </c>
      <c r="F28434" t="str">
        <v>-</v>
      </c>
      <c r="G28434" t="str">
        <v>-</v>
      </c>
    </row>
    <row r="28435">
      <c r="B28435" t="str">
        <v>UBND Ủy ban nhân dân xã Tân Việt tỉnh Hải Dương</v>
      </c>
      <c r="C28435" t="str">
        <v>-</v>
      </c>
      <c r="D28435" t="str">
        <v>-</v>
      </c>
      <c r="E28435" t="str">
        <v>-</v>
      </c>
      <c r="F28435" t="str">
        <v>-</v>
      </c>
      <c r="G28435" t="str">
        <v>-</v>
      </c>
    </row>
    <row r="28436">
      <c r="B28436" t="str">
        <v>Công an xã Xuân Khê tỉnh Hà Nam</v>
      </c>
      <c r="C28436" t="str">
        <v>-</v>
      </c>
      <c r="D28436" t="str">
        <v>-</v>
      </c>
      <c r="E28436" t="str">
        <v/>
      </c>
      <c r="F28436" t="str">
        <v>-</v>
      </c>
      <c r="G28436" t="str">
        <v>-</v>
      </c>
    </row>
    <row r="28437">
      <c r="B28437" t="str">
        <v>UBND Ủy ban nhân dân xã Xuân Khê tỉnh Hà Nam</v>
      </c>
      <c r="C28437" t="str">
        <v>-</v>
      </c>
      <c r="D28437" t="str">
        <v>-</v>
      </c>
      <c r="E28437" t="str">
        <v>-</v>
      </c>
      <c r="F28437" t="str">
        <v>-</v>
      </c>
      <c r="G28437" t="str">
        <v>-</v>
      </c>
    </row>
    <row r="28438">
      <c r="B28438" t="str">
        <v>Công an xã Xuân Sinh tỉnh Thanh Hóa</v>
      </c>
      <c r="C28438" t="str">
        <v>-</v>
      </c>
      <c r="D28438" t="str">
        <v>-</v>
      </c>
      <c r="E28438" t="str">
        <v/>
      </c>
      <c r="F28438" t="str">
        <v>-</v>
      </c>
      <c r="G28438" t="str">
        <v>-</v>
      </c>
    </row>
    <row r="28439">
      <c r="B28439" t="str">
        <v>UBND Ủy ban nhân dân xã Xuân Sinh tỉnh Thanh Hóa</v>
      </c>
      <c r="C28439" t="str">
        <v>-</v>
      </c>
      <c r="D28439" t="str">
        <v>-</v>
      </c>
      <c r="E28439" t="str">
        <v>-</v>
      </c>
      <c r="F28439" t="str">
        <v>-</v>
      </c>
      <c r="G28439" t="str">
        <v>-</v>
      </c>
    </row>
    <row r="28440">
      <c r="B28440" t="str">
        <v>Công an xã Vân Hà thành phố Hà Nội</v>
      </c>
      <c r="C28440" t="str">
        <v>-</v>
      </c>
      <c r="D28440" t="str">
        <v>-</v>
      </c>
      <c r="E28440" t="str">
        <v/>
      </c>
      <c r="F28440" t="str">
        <v>-</v>
      </c>
      <c r="G28440" t="str">
        <v>-</v>
      </c>
    </row>
    <row r="28441">
      <c r="B28441" t="str">
        <v>UBND Ủy ban nhân dân xã Vân Hà thành phố Hà Nội</v>
      </c>
      <c r="C28441" t="str">
        <v>-</v>
      </c>
      <c r="D28441" t="str">
        <v>-</v>
      </c>
      <c r="E28441" t="str">
        <v>-</v>
      </c>
      <c r="F28441" t="str">
        <v>-</v>
      </c>
      <c r="G28441" t="str">
        <v>-</v>
      </c>
    </row>
    <row r="28442">
      <c r="B28442" t="str">
        <v>Công an xã Văn Minh tỉnh Bắc Kạn</v>
      </c>
      <c r="C28442" t="str">
        <v>-</v>
      </c>
      <c r="D28442" t="str">
        <v>-</v>
      </c>
      <c r="E28442" t="str">
        <v/>
      </c>
      <c r="F28442" t="str">
        <v>-</v>
      </c>
      <c r="G28442" t="str">
        <v>-</v>
      </c>
    </row>
    <row r="28443">
      <c r="B28443" t="str">
        <v>UBND Ủy ban nhân dân xã Văn Minh tỉnh Bắc Kạn</v>
      </c>
      <c r="C28443" t="str">
        <v>-</v>
      </c>
      <c r="D28443" t="str">
        <v>-</v>
      </c>
      <c r="E28443" t="str">
        <v>-</v>
      </c>
      <c r="F28443" t="str">
        <v>-</v>
      </c>
      <c r="G28443" t="str">
        <v>-</v>
      </c>
    </row>
    <row r="28444">
      <c r="B28444" t="str">
        <v>Công an xã Vân Sơn tỉnh Tuyên Quang</v>
      </c>
      <c r="C28444" t="str">
        <v>-</v>
      </c>
      <c r="D28444" t="str">
        <v>-</v>
      </c>
      <c r="E28444" t="str">
        <v/>
      </c>
      <c r="F28444" t="str">
        <v>-</v>
      </c>
      <c r="G28444" t="str">
        <v>-</v>
      </c>
    </row>
    <row r="28445">
      <c r="B28445" t="str">
        <v>UBND Ủy ban nhân dân xã Vân Sơn tỉnh Tuyên Quang</v>
      </c>
      <c r="C28445" t="str">
        <v>-</v>
      </c>
      <c r="D28445" t="str">
        <v>-</v>
      </c>
      <c r="E28445" t="str">
        <v>-</v>
      </c>
      <c r="F28445" t="str">
        <v>-</v>
      </c>
      <c r="G28445" t="str">
        <v>-</v>
      </c>
    </row>
    <row r="28446">
      <c r="B28446" t="str">
        <v>Công an xã Văn Tự thành phố Hà Nội</v>
      </c>
      <c r="C28446" t="str">
        <v>-</v>
      </c>
      <c r="D28446" t="str">
        <v>-</v>
      </c>
      <c r="E28446" t="str">
        <v/>
      </c>
      <c r="F28446" t="str">
        <v>-</v>
      </c>
      <c r="G28446" t="str">
        <v>-</v>
      </c>
    </row>
    <row r="28447">
      <c r="B28447" t="str">
        <v>UBND Ủy ban nhân dân xã Văn Tự thành phố Hà Nội</v>
      </c>
      <c r="C28447" t="str">
        <v>-</v>
      </c>
      <c r="D28447" t="str">
        <v>-</v>
      </c>
      <c r="E28447" t="str">
        <v>-</v>
      </c>
      <c r="F28447" t="str">
        <v>-</v>
      </c>
      <c r="G28447" t="str">
        <v>-</v>
      </c>
    </row>
    <row r="28448">
      <c r="B28448" t="str">
        <v>Công an xã Vĩnh Hào  tỉnh Nam Định</v>
      </c>
      <c r="C28448" t="str">
        <v>-</v>
      </c>
      <c r="D28448" t="str">
        <v>-</v>
      </c>
      <c r="E28448" t="str">
        <v/>
      </c>
      <c r="F28448" t="str">
        <v>-</v>
      </c>
      <c r="G28448" t="str">
        <v>-</v>
      </c>
    </row>
    <row r="28449">
      <c r="B28449" t="str">
        <v>UBND Ủy ban nhân dân xã Vĩnh Hào  tỉnh Nam Định</v>
      </c>
      <c r="C28449" t="str">
        <v>-</v>
      </c>
      <c r="D28449" t="str">
        <v>-</v>
      </c>
      <c r="E28449" t="str">
        <v>-</v>
      </c>
      <c r="F28449" t="str">
        <v>-</v>
      </c>
      <c r="G28449" t="str">
        <v>-</v>
      </c>
    </row>
    <row r="28450">
      <c r="B28450" t="str">
        <v>Công an xã Vĩnh An tỉnh Thanh Hóa</v>
      </c>
      <c r="C28450" t="str">
        <v>-</v>
      </c>
      <c r="D28450" t="str">
        <v>-</v>
      </c>
      <c r="E28450" t="str">
        <v/>
      </c>
      <c r="F28450" t="str">
        <v>-</v>
      </c>
      <c r="G28450" t="str">
        <v>-</v>
      </c>
    </row>
    <row r="28451">
      <c r="B28451" t="str">
        <v>UBND Ủy ban nhân dân xã Vĩnh An tỉnh Thanh Hóa</v>
      </c>
      <c r="C28451" t="str">
        <v>-</v>
      </c>
      <c r="D28451" t="str">
        <v>-</v>
      </c>
      <c r="E28451" t="str">
        <v>-</v>
      </c>
      <c r="F28451" t="str">
        <v>-</v>
      </c>
      <c r="G28451" t="str">
        <v>-</v>
      </c>
    </row>
    <row r="28452">
      <c r="B28452" t="str">
        <v>Công an xã Vĩnh Hòa  tỉnh Thanh Hóa</v>
      </c>
      <c r="C28452" t="str">
        <v>-</v>
      </c>
      <c r="D28452" t="str">
        <v>-</v>
      </c>
      <c r="E28452" t="str">
        <v/>
      </c>
      <c r="F28452" t="str">
        <v>-</v>
      </c>
      <c r="G28452" t="str">
        <v>-</v>
      </c>
    </row>
    <row r="28453">
      <c r="B28453" t="str">
        <v>UBND Ủy ban nhân dân xã Vĩnh Hòa  tỉnh Thanh Hóa</v>
      </c>
      <c r="C28453" t="str">
        <v>-</v>
      </c>
      <c r="D28453" t="str">
        <v>-</v>
      </c>
      <c r="E28453" t="str">
        <v>-</v>
      </c>
      <c r="F28453" t="str">
        <v>-</v>
      </c>
      <c r="G28453" t="str">
        <v>-</v>
      </c>
    </row>
    <row r="28454">
      <c r="B28454" t="str">
        <v>Công an xã Vĩnh Hùng  tỉnh Thanh Hóa</v>
      </c>
      <c r="C28454" t="str">
        <v>-</v>
      </c>
      <c r="D28454" t="str">
        <v>-</v>
      </c>
      <c r="E28454" t="str">
        <v/>
      </c>
      <c r="F28454" t="str">
        <v>-</v>
      </c>
      <c r="G28454" t="str">
        <v>-</v>
      </c>
    </row>
    <row r="28455">
      <c r="B28455" t="str">
        <v>UBND Ủy ban nhân dân xã Vĩnh Hùng  tỉnh Thanh Hóa</v>
      </c>
      <c r="C28455" t="str">
        <v>-</v>
      </c>
      <c r="D28455" t="str">
        <v>-</v>
      </c>
      <c r="E28455" t="str">
        <v>-</v>
      </c>
      <c r="F28455" t="str">
        <v>-</v>
      </c>
      <c r="G28455" t="str">
        <v>-</v>
      </c>
    </row>
    <row r="28456">
      <c r="B28456" t="str">
        <v>Công an xã Vĩnh Phúc tỉnh Thanh Hóa</v>
      </c>
      <c r="C28456" t="str">
        <v>-</v>
      </c>
      <c r="D28456" t="str">
        <v>-</v>
      </c>
      <c r="E28456" t="str">
        <v/>
      </c>
      <c r="F28456" t="str">
        <v>-</v>
      </c>
      <c r="G28456" t="str">
        <v>-</v>
      </c>
    </row>
    <row r="28457">
      <c r="B28457" t="str">
        <v>UBND Ủy ban nhân dân xã Vĩnh Phúc tỉnh Thanh Hóa</v>
      </c>
      <c r="C28457" t="str">
        <v>-</v>
      </c>
      <c r="D28457" t="str">
        <v>-</v>
      </c>
      <c r="E28457" t="str">
        <v>-</v>
      </c>
      <c r="F28457" t="str">
        <v>-</v>
      </c>
      <c r="G28457" t="str">
        <v>-</v>
      </c>
    </row>
    <row r="28458">
      <c r="B28458" t="str">
        <v>Công an xã Vĩnh Trạch tỉnh Bạc Liêu</v>
      </c>
      <c r="C28458" t="str">
        <v>-</v>
      </c>
      <c r="D28458" t="str">
        <v>-</v>
      </c>
      <c r="E28458" t="str">
        <v/>
      </c>
      <c r="F28458" t="str">
        <v>-</v>
      </c>
      <c r="G28458" t="str">
        <v>-</v>
      </c>
    </row>
    <row r="28459">
      <c r="B28459" t="str">
        <v>UBND Ủy ban nhân dân xã Vĩnh Trạch tỉnh Bạc Liêu</v>
      </c>
      <c r="C28459" t="str">
        <v>-</v>
      </c>
      <c r="D28459" t="str">
        <v>-</v>
      </c>
      <c r="E28459" t="str">
        <v>-</v>
      </c>
      <c r="F28459" t="str">
        <v>-</v>
      </c>
      <c r="G28459" t="str">
        <v>-</v>
      </c>
    </row>
    <row r="28460">
      <c r="B28460" t="str">
        <v>Công an xã Võ Lao  tỉnh Phú Thọ</v>
      </c>
      <c r="C28460" t="str">
        <v>-</v>
      </c>
      <c r="D28460" t="str">
        <v>-</v>
      </c>
      <c r="E28460" t="str">
        <v/>
      </c>
      <c r="F28460" t="str">
        <v>-</v>
      </c>
      <c r="G28460" t="str">
        <v>-</v>
      </c>
    </row>
    <row r="28461">
      <c r="B28461" t="str">
        <v>UBND Ủy ban nhân dân xã Võ Lao  tỉnh Phú Thọ</v>
      </c>
      <c r="C28461" t="str">
        <v>-</v>
      </c>
      <c r="D28461" t="str">
        <v>-</v>
      </c>
      <c r="E28461" t="str">
        <v>-</v>
      </c>
      <c r="F28461" t="str">
        <v>-</v>
      </c>
      <c r="G28461" t="str">
        <v>-</v>
      </c>
    </row>
    <row r="28462">
      <c r="B28462" t="str">
        <v>Công an xã Vượng Lộc  tỉnh Hà Tĩnh</v>
      </c>
      <c r="C28462" t="str">
        <v>-</v>
      </c>
      <c r="D28462" t="str">
        <v>-</v>
      </c>
      <c r="E28462" t="str">
        <v/>
      </c>
      <c r="F28462" t="str">
        <v>-</v>
      </c>
      <c r="G28462" t="str">
        <v>-</v>
      </c>
    </row>
    <row r="28463">
      <c r="B28463" t="str">
        <v>UBND Ủy ban nhân dân xã Vượng Lộc  tỉnh Hà Tĩnh</v>
      </c>
      <c r="C28463" t="str">
        <v>-</v>
      </c>
      <c r="D28463" t="str">
        <v>-</v>
      </c>
      <c r="E28463" t="str">
        <v>-</v>
      </c>
      <c r="F28463" t="str">
        <v>-</v>
      </c>
      <c r="G28463" t="str">
        <v>-</v>
      </c>
    </row>
    <row r="28464">
      <c r="B28464" t="str">
        <v>Công an xã Xuân Lộc  tỉnh Thanh Hóa</v>
      </c>
      <c r="C28464" t="str">
        <v>-</v>
      </c>
      <c r="D28464" t="str">
        <v>-</v>
      </c>
      <c r="E28464" t="str">
        <v/>
      </c>
      <c r="F28464" t="str">
        <v>-</v>
      </c>
      <c r="G28464" t="str">
        <v>-</v>
      </c>
    </row>
    <row r="28465">
      <c r="B28465" t="str">
        <v>UBND Ủy ban nhân dân xã Xuân Lộc  tỉnh Thanh Hóa</v>
      </c>
      <c r="C28465" t="str">
        <v>-</v>
      </c>
      <c r="D28465" t="str">
        <v>-</v>
      </c>
      <c r="E28465" t="str">
        <v>-</v>
      </c>
      <c r="F28465" t="str">
        <v>-</v>
      </c>
      <c r="G28465" t="str">
        <v>-</v>
      </c>
    </row>
    <row r="28466">
      <c r="B28466" t="str">
        <v>Công an xã Xuân Dương  tỉnh Bắc Kạn</v>
      </c>
      <c r="C28466" t="str">
        <v>-</v>
      </c>
      <c r="D28466" t="str">
        <v>-</v>
      </c>
      <c r="E28466" t="str">
        <v/>
      </c>
      <c r="F28466" t="str">
        <v>-</v>
      </c>
      <c r="G28466" t="str">
        <v>-</v>
      </c>
    </row>
    <row r="28467">
      <c r="B28467" t="str">
        <v>UBND Ủy ban nhân dân xã Xuân Dương  tỉnh Bắc Kạn</v>
      </c>
      <c r="C28467" t="str">
        <v>-</v>
      </c>
      <c r="D28467" t="str">
        <v>-</v>
      </c>
      <c r="E28467" t="str">
        <v>-</v>
      </c>
      <c r="F28467" t="str">
        <v>-</v>
      </c>
      <c r="G28467" t="str">
        <v>-</v>
      </c>
    </row>
    <row r="28468">
      <c r="B28468" t="str">
        <v>Công an xã Xuân Tiến tỉnh Nam Định</v>
      </c>
      <c r="C28468" t="str">
        <v>-</v>
      </c>
      <c r="D28468" t="str">
        <v>-</v>
      </c>
      <c r="E28468" t="str">
        <v/>
      </c>
      <c r="F28468" t="str">
        <v>-</v>
      </c>
      <c r="G28468" t="str">
        <v>-</v>
      </c>
    </row>
    <row r="28469">
      <c r="B28469" t="str">
        <v>UBND Ủy ban nhân dân xã Xuân Tiến tỉnh Nam Định</v>
      </c>
      <c r="C28469" t="str">
        <v>-</v>
      </c>
      <c r="D28469" t="str">
        <v>-</v>
      </c>
      <c r="E28469" t="str">
        <v>-</v>
      </c>
      <c r="F28469" t="str">
        <v>-</v>
      </c>
      <c r="G28469" t="str">
        <v>-</v>
      </c>
    </row>
    <row r="28470">
      <c r="B28470" t="str">
        <v>Công an xã Xuân Trường  tỉnh Cao Bằng</v>
      </c>
      <c r="C28470" t="str">
        <v>-</v>
      </c>
      <c r="D28470" t="str">
        <v>-</v>
      </c>
      <c r="E28470" t="str">
        <v/>
      </c>
      <c r="F28470" t="str">
        <v>-</v>
      </c>
      <c r="G28470" t="str">
        <v>-</v>
      </c>
    </row>
    <row r="28471">
      <c r="B28471" t="str">
        <v>UBND Ủy ban nhân dân xã Xuân Trường  tỉnh Cao Bằng</v>
      </c>
      <c r="C28471" t="str">
        <v>-</v>
      </c>
      <c r="D28471" t="str">
        <v>-</v>
      </c>
      <c r="E28471" t="str">
        <v>-</v>
      </c>
      <c r="F28471" t="str">
        <v>-</v>
      </c>
      <c r="G28471" t="str">
        <v>-</v>
      </c>
    </row>
    <row r="28472">
      <c r="B28472" t="str">
        <v>Công an xã Yên Sơn  tỉnh Cao Bằng</v>
      </c>
      <c r="C28472" t="str">
        <v>-</v>
      </c>
      <c r="D28472" t="str">
        <v>-</v>
      </c>
      <c r="E28472" t="str">
        <v/>
      </c>
      <c r="F28472" t="str">
        <v>-</v>
      </c>
      <c r="G28472" t="str">
        <v>-</v>
      </c>
    </row>
    <row r="28473">
      <c r="B28473" t="str">
        <v>UBND Ủy ban nhân dân xã Yên Sơn  tỉnh Cao Bằng</v>
      </c>
      <c r="C28473" t="str">
        <v>-</v>
      </c>
      <c r="D28473" t="str">
        <v>-</v>
      </c>
      <c r="E28473" t="str">
        <v>-</v>
      </c>
      <c r="F28473" t="str">
        <v>-</v>
      </c>
      <c r="G28473" t="str">
        <v>-</v>
      </c>
    </row>
    <row r="28474">
      <c r="B28474" t="str">
        <v xml:space="preserve"> Công an xã Yên Trạch  tỉnh Lạng Sơn</v>
      </c>
    </row>
    <row r="28475">
      <c r="B28475" t="str">
        <v>UBND Ủy ban nhân dânn xã Yên Trạch  tỉnh Lạng Sơn</v>
      </c>
      <c r="C28475" t="str">
        <v>-</v>
      </c>
      <c r="D28475" t="str">
        <v>-</v>
      </c>
      <c r="E28475" t="str">
        <v>-</v>
      </c>
      <c r="F28475" t="str">
        <v>-</v>
      </c>
      <c r="G28475" t="str">
        <v>-</v>
      </c>
    </row>
    <row r="28476">
      <c r="B28476" t="str">
        <v>Công an huyện Hữu Lũng tỉnh Lạng Sơn</v>
      </c>
      <c r="C28476" t="str">
        <v>-</v>
      </c>
      <c r="D28476" t="str">
        <v>-</v>
      </c>
      <c r="E28476" t="str">
        <v/>
      </c>
      <c r="F28476" t="str">
        <v>-</v>
      </c>
      <c r="G28476" t="str">
        <v>-</v>
      </c>
    </row>
    <row r="28477">
      <c r="B28477" t="str">
        <v>UBND Ủy ban nhân dân huyện Hữu Lũng tỉnh Lạng Sơn</v>
      </c>
      <c r="C28477" t="str">
        <v>-</v>
      </c>
      <c r="D28477" t="str">
        <v>-</v>
      </c>
      <c r="E28477" t="str">
        <v>-</v>
      </c>
      <c r="F28477" t="str">
        <v>-</v>
      </c>
      <c r="G28477" t="str">
        <v>-</v>
      </c>
    </row>
    <row r="28478">
      <c r="B28478" t="str">
        <v>Công an tỉnh Đắk Lắk tỉnh Đắk Lắk</v>
      </c>
      <c r="C28478" t="str">
        <v>-</v>
      </c>
      <c r="D28478" t="str">
        <v>-</v>
      </c>
      <c r="E28478" t="str">
        <v/>
      </c>
      <c r="F28478" t="str">
        <v>-</v>
      </c>
      <c r="G28478" t="str">
        <v>-</v>
      </c>
    </row>
    <row r="28479">
      <c r="B28479" t="str">
        <v>UBND Ủy ban nhân dân tỉnh Đắk Lắk tỉnh Đắk Lắk</v>
      </c>
      <c r="C28479" t="str">
        <v>-</v>
      </c>
      <c r="D28479" t="str">
        <v>-</v>
      </c>
      <c r="E28479" t="str">
        <v>-</v>
      </c>
      <c r="F28479" t="str">
        <v>-</v>
      </c>
      <c r="G28479" t="str">
        <v>-</v>
      </c>
    </row>
    <row r="28480">
      <c r="B28480" t="str">
        <v>Công an xã Châu Quế Hạ tỉnh Yên Bái</v>
      </c>
      <c r="C28480" t="str">
        <v>-</v>
      </c>
      <c r="D28480" t="str">
        <v>-</v>
      </c>
      <c r="E28480" t="str">
        <v/>
      </c>
      <c r="F28480" t="str">
        <v>-</v>
      </c>
      <c r="G28480" t="str">
        <v>-</v>
      </c>
    </row>
    <row r="28481">
      <c r="B28481" t="str">
        <v>UBND Ủy ban nhân dân xã Châu Quế Hạ tỉnh Yên Bái</v>
      </c>
      <c r="C28481" t="str">
        <v>-</v>
      </c>
      <c r="D28481" t="str">
        <v>-</v>
      </c>
      <c r="E28481" t="str">
        <v>-</v>
      </c>
      <c r="F28481" t="str">
        <v>-</v>
      </c>
      <c r="G28481" t="str">
        <v>-</v>
      </c>
    </row>
    <row r="28482">
      <c r="B28482" t="str">
        <v>Công an huyện Châu Thành  tỉnh Sóc Trăng</v>
      </c>
      <c r="C28482" t="str">
        <v>-</v>
      </c>
      <c r="D28482" t="str">
        <v>-</v>
      </c>
      <c r="E28482" t="str">
        <v/>
      </c>
      <c r="F28482" t="str">
        <v>-</v>
      </c>
      <c r="G28482" t="str">
        <v>-</v>
      </c>
    </row>
    <row r="28483">
      <c r="B28483" t="str">
        <v>UBND Ủy ban nhân dân huyện Châu Thành  tỉnh Sóc Trăng</v>
      </c>
      <c r="C28483" t="str">
        <v>-</v>
      </c>
      <c r="D28483" t="str">
        <v>-</v>
      </c>
      <c r="E28483" t="str">
        <v>-</v>
      </c>
      <c r="F28483" t="str">
        <v>-</v>
      </c>
      <c r="G28483" t="str">
        <v>-</v>
      </c>
    </row>
    <row r="28484">
      <c r="B28484" t="str">
        <v>Công an xã Thanh Hương  tỉnh Nghệ An</v>
      </c>
      <c r="C28484" t="str">
        <v>-</v>
      </c>
      <c r="D28484" t="str">
        <v>-</v>
      </c>
      <c r="E28484" t="str">
        <v/>
      </c>
      <c r="F28484" t="str">
        <v>-</v>
      </c>
      <c r="G28484" t="str">
        <v>-</v>
      </c>
    </row>
    <row r="28485">
      <c r="B28485" t="str">
        <v>UBND Ủy ban nhân dân xã Thanh Hương  tỉnh Nghệ An</v>
      </c>
      <c r="C28485" t="str">
        <v>-</v>
      </c>
      <c r="D28485" t="str">
        <v>-</v>
      </c>
      <c r="E28485" t="str">
        <v>-</v>
      </c>
      <c r="F28485" t="str">
        <v>-</v>
      </c>
      <c r="G28485" t="str">
        <v>-</v>
      </c>
    </row>
    <row r="28486">
      <c r="B28486" t="str">
        <v>Công an huyện Bá Thước  tỉnh Thanh Hóa</v>
      </c>
      <c r="C28486" t="str">
        <v>-</v>
      </c>
      <c r="D28486" t="str">
        <v>-</v>
      </c>
      <c r="E28486" t="str">
        <v/>
      </c>
      <c r="F28486" t="str">
        <v>-</v>
      </c>
      <c r="G28486" t="str">
        <v>-</v>
      </c>
    </row>
    <row r="28487">
      <c r="B28487" t="str">
        <v>UBND Ủy ban nhân dân huyện Bá Thước  tỉnh Thanh Hóa</v>
      </c>
      <c r="C28487" t="str">
        <v>-</v>
      </c>
      <c r="D28487" t="str">
        <v>-</v>
      </c>
      <c r="E28487" t="str">
        <v>-</v>
      </c>
      <c r="F28487" t="str">
        <v>-</v>
      </c>
      <c r="G28487" t="str">
        <v>-</v>
      </c>
    </row>
    <row r="28488">
      <c r="B28488" t="str">
        <v>Công an huyện Si Ma Cai  tỉnh Lào Cai</v>
      </c>
      <c r="C28488" t="str">
        <v>-</v>
      </c>
      <c r="D28488" t="str">
        <v>-</v>
      </c>
      <c r="E28488" t="str">
        <v/>
      </c>
      <c r="F28488" t="str">
        <v>-</v>
      </c>
      <c r="G28488" t="str">
        <v>-</v>
      </c>
    </row>
    <row r="28489">
      <c r="B28489" t="str">
        <v>UBND Ủy ban nhân dân huyện Si Ma Cai  tỉnh Lào Cai</v>
      </c>
      <c r="C28489" t="str">
        <v>-</v>
      </c>
      <c r="D28489" t="str">
        <v>-</v>
      </c>
      <c r="E28489" t="str">
        <v>-</v>
      </c>
      <c r="F28489" t="str">
        <v>-</v>
      </c>
      <c r="G28489" t="str">
        <v>-</v>
      </c>
    </row>
    <row r="28490">
      <c r="B28490" t="str">
        <v>Công an thị xã Duyên Hải  tỉnh Trà Vinh</v>
      </c>
      <c r="C28490" t="str">
        <v>-</v>
      </c>
      <c r="D28490" t="str">
        <v>-</v>
      </c>
      <c r="E28490" t="str">
        <v/>
      </c>
      <c r="F28490" t="str">
        <v>-</v>
      </c>
      <c r="G28490" t="str">
        <v>-</v>
      </c>
    </row>
    <row r="28491">
      <c r="B28491" t="str">
        <v>UBND Ủy ban nhân dân thị xã Duyên Hải  tỉnh Trà Vinh</v>
      </c>
      <c r="C28491" t="str">
        <v>-</v>
      </c>
      <c r="D28491" t="str">
        <v>-</v>
      </c>
      <c r="E28491" t="str">
        <v>-</v>
      </c>
      <c r="F28491" t="str">
        <v>-</v>
      </c>
      <c r="G28491" t="str">
        <v>-</v>
      </c>
    </row>
    <row r="28492">
      <c r="B28492" t="str">
        <v>Công an xã Mỹ Hoà Hưng  tỉnh An Giang</v>
      </c>
      <c r="C28492" t="str">
        <v>-</v>
      </c>
      <c r="D28492" t="str">
        <v>-</v>
      </c>
      <c r="E28492" t="str">
        <v/>
      </c>
      <c r="F28492" t="str">
        <v>-</v>
      </c>
      <c r="G28492" t="str">
        <v>-</v>
      </c>
    </row>
    <row r="28493">
      <c r="B28493" t="str">
        <v>UBND Ủy ban nhân dân xã Mỹ Hoà Hưng  tỉnh An Giang</v>
      </c>
      <c r="C28493" t="str">
        <v>-</v>
      </c>
      <c r="D28493" t="str">
        <v>-</v>
      </c>
      <c r="E28493" t="str">
        <v>-</v>
      </c>
      <c r="F28493" t="str">
        <v>-</v>
      </c>
      <c r="G28493" t="str">
        <v>-</v>
      </c>
    </row>
    <row r="28494">
      <c r="B28494" t="str">
        <v>Công an huyện Con Cuông tỉnh Nghệ An</v>
      </c>
      <c r="C28494" t="str">
        <v>-</v>
      </c>
      <c r="D28494" t="str">
        <v>-</v>
      </c>
      <c r="E28494" t="str">
        <v/>
      </c>
      <c r="F28494" t="str">
        <v>-</v>
      </c>
      <c r="G28494" t="str">
        <v>-</v>
      </c>
    </row>
    <row r="28495">
      <c r="B28495" t="str">
        <v>UBND Ủy ban nhân dân huyện Con Cuông tỉnh Nghệ An</v>
      </c>
      <c r="C28495" t="str">
        <v>-</v>
      </c>
      <c r="D28495" t="str">
        <v>-</v>
      </c>
      <c r="E28495" t="str">
        <v>-</v>
      </c>
      <c r="F28495" t="str">
        <v>-</v>
      </c>
      <c r="G28495" t="str">
        <v>-</v>
      </c>
    </row>
    <row r="28496">
      <c r="B28496" t="str">
        <v>Công an xã Xuân Thới Thượng  thành phố Hồ Chí Minh</v>
      </c>
      <c r="C28496" t="str">
        <v>-</v>
      </c>
      <c r="D28496" t="str">
        <v>-</v>
      </c>
      <c r="E28496" t="str">
        <v/>
      </c>
      <c r="F28496" t="str">
        <v>-</v>
      </c>
      <c r="G28496" t="str">
        <v>-</v>
      </c>
    </row>
    <row r="28497">
      <c r="B28497" t="str">
        <v>UBND Ủy ban nhân dân xã Xuân Thới Thượng  thành phố Hồ Chí Minh</v>
      </c>
      <c r="C28497" t="str">
        <v>-</v>
      </c>
      <c r="D28497" t="str">
        <v>-</v>
      </c>
      <c r="E28497" t="str">
        <v>-</v>
      </c>
      <c r="F28497" t="str">
        <v>-</v>
      </c>
      <c r="G28497" t="str">
        <v>-</v>
      </c>
    </row>
    <row r="28498">
      <c r="B28498" t="str">
        <v>Công an tỉnh Quảng Trị tỉnh Quảng Trị</v>
      </c>
      <c r="C28498" t="str">
        <v>-</v>
      </c>
      <c r="D28498" t="str">
        <v>-</v>
      </c>
      <c r="E28498" t="str">
        <v/>
      </c>
      <c r="F28498" t="str">
        <v>-</v>
      </c>
      <c r="G28498" t="str">
        <v>-</v>
      </c>
    </row>
    <row r="28499">
      <c r="B28499" t="str">
        <v>UBND Ủy ban nhân dân tỉnh Quảng Trị tỉnh Quảng Trị</v>
      </c>
      <c r="C28499" t="str">
        <v>-</v>
      </c>
      <c r="D28499" t="str">
        <v>-</v>
      </c>
      <c r="E28499" t="str">
        <v>-</v>
      </c>
      <c r="F28499" t="str">
        <v>-</v>
      </c>
      <c r="G28499" t="str">
        <v>-</v>
      </c>
    </row>
    <row r="28500">
      <c r="B28500" t="str">
        <v>Công an huyện Lâm Thao  tỉnh Phú Thọ</v>
      </c>
      <c r="C28500" t="str">
        <v>-</v>
      </c>
      <c r="D28500" t="str">
        <v>-</v>
      </c>
      <c r="E28500" t="str">
        <v/>
      </c>
      <c r="F28500" t="str">
        <v>-</v>
      </c>
      <c r="G28500" t="str">
        <v>-</v>
      </c>
    </row>
    <row r="28501">
      <c r="B28501" t="str">
        <v>UBND Ủy ban nhân dân huyện Lâm Thao  tỉnh Phú Thọ</v>
      </c>
      <c r="C28501" t="str">
        <v>-</v>
      </c>
      <c r="D28501" t="str">
        <v>-</v>
      </c>
      <c r="E28501" t="str">
        <v>-</v>
      </c>
      <c r="F28501" t="str">
        <v>-</v>
      </c>
      <c r="G28501" t="str">
        <v>-</v>
      </c>
    </row>
    <row r="28502">
      <c r="B28502" t="str">
        <v>Công an tỉnh Quảng Trị  tỉnh Quảng Trị</v>
      </c>
      <c r="C28502" t="str">
        <v>-</v>
      </c>
      <c r="D28502" t="str">
        <v>-</v>
      </c>
      <c r="E28502" t="str">
        <v/>
      </c>
      <c r="F28502" t="str">
        <v>-</v>
      </c>
      <c r="G28502" t="str">
        <v>-</v>
      </c>
    </row>
    <row r="28503">
      <c r="B28503" t="str">
        <v>UBND Ủy ban nhân dân tỉnh Quảng Trị  tỉnh Quảng Trị</v>
      </c>
      <c r="C28503" t="str">
        <v>-</v>
      </c>
      <c r="D28503" t="str">
        <v>-</v>
      </c>
      <c r="E28503" t="str">
        <v>-</v>
      </c>
      <c r="F28503" t="str">
        <v>-</v>
      </c>
      <c r="G28503" t="str">
        <v>-</v>
      </c>
    </row>
    <row r="28504">
      <c r="B28504" t="str">
        <v>Công an tỉnh Tuyên Quang  tỉnh Tuyên Quang</v>
      </c>
      <c r="C28504" t="str">
        <v>-</v>
      </c>
      <c r="D28504" t="str">
        <v>-</v>
      </c>
      <c r="E28504" t="str">
        <v/>
      </c>
      <c r="F28504" t="str">
        <v>-</v>
      </c>
      <c r="G28504" t="str">
        <v>-</v>
      </c>
    </row>
    <row r="28505">
      <c r="B28505" t="str">
        <v>UBND Ủy ban nhân dân tỉnh Tuyên Quang  tỉnh Tuyên Quang</v>
      </c>
      <c r="C28505" t="str">
        <v>-</v>
      </c>
      <c r="D28505" t="str">
        <v>-</v>
      </c>
      <c r="E28505" t="str">
        <v>-</v>
      </c>
      <c r="F28505" t="str">
        <v>-</v>
      </c>
      <c r="G28505" t="str">
        <v>-</v>
      </c>
    </row>
    <row r="28506">
      <c r="B28506" t="str">
        <v>Công an huyện Quan Hóa  tỉnh Thanh Hóa</v>
      </c>
      <c r="C28506" t="str">
        <v>-</v>
      </c>
      <c r="D28506" t="str">
        <v>-</v>
      </c>
      <c r="E28506" t="str">
        <v/>
      </c>
      <c r="F28506" t="str">
        <v>-</v>
      </c>
      <c r="G28506" t="str">
        <v>-</v>
      </c>
    </row>
    <row r="28507">
      <c r="B28507" t="str">
        <v>UBND Ủy ban nhân dân huyện Quan Hóa  tỉnh Thanh Hóa</v>
      </c>
      <c r="C28507" t="str">
        <v>-</v>
      </c>
      <c r="D28507" t="str">
        <v>-</v>
      </c>
      <c r="E28507" t="str">
        <v>-</v>
      </c>
      <c r="F28507" t="str">
        <v>-</v>
      </c>
      <c r="G28507" t="str">
        <v>-</v>
      </c>
    </row>
    <row r="28508">
      <c r="B28508" t="str">
        <v>Công an thị xã Bỉm Sơn  tỉnh Thanh Hóa</v>
      </c>
      <c r="C28508" t="str">
        <v>-</v>
      </c>
      <c r="D28508" t="str">
        <v>-</v>
      </c>
      <c r="E28508" t="str">
        <v/>
      </c>
      <c r="F28508" t="str">
        <v>-</v>
      </c>
      <c r="G28508" t="str">
        <v>-</v>
      </c>
    </row>
    <row r="28509">
      <c r="B28509" t="str">
        <v>UBND Ủy ban nhân dân thị xã Bỉm Sơn  tỉnh Thanh Hóa</v>
      </c>
      <c r="C28509" t="str">
        <v>-</v>
      </c>
      <c r="D28509" t="str">
        <v>-</v>
      </c>
      <c r="E28509" t="str">
        <v>-</v>
      </c>
      <c r="F28509" t="str">
        <v>-</v>
      </c>
      <c r="G28509" t="str">
        <v>-</v>
      </c>
    </row>
    <row r="28510">
      <c r="B28510" t="str">
        <v>Công an tỉnh Kiên Giang tỉnh Kiên Giang</v>
      </c>
      <c r="C28510" t="str">
        <v>-</v>
      </c>
      <c r="D28510" t="str">
        <v>-</v>
      </c>
      <c r="E28510" t="str">
        <v/>
      </c>
      <c r="F28510" t="str">
        <v>-</v>
      </c>
      <c r="G28510" t="str">
        <v>-</v>
      </c>
    </row>
    <row r="28511">
      <c r="B28511" t="str">
        <v>UBND Ủy ban nhân dân tỉnh Kiên Giang tỉnh Kiên Giang</v>
      </c>
      <c r="C28511" t="str">
        <v>-</v>
      </c>
      <c r="D28511" t="str">
        <v>-</v>
      </c>
      <c r="E28511" t="str">
        <v>-</v>
      </c>
      <c r="F28511" t="str">
        <v>-</v>
      </c>
      <c r="G28511" t="str">
        <v>-</v>
      </c>
    </row>
    <row r="28512">
      <c r="B28512" t="str">
        <v>Công an huyện Bắc Sơn  tỉnh Lạng Sơn</v>
      </c>
      <c r="C28512" t="str">
        <v>-</v>
      </c>
      <c r="D28512" t="str">
        <v>-</v>
      </c>
      <c r="E28512" t="str">
        <v/>
      </c>
      <c r="F28512" t="str">
        <v>-</v>
      </c>
      <c r="G28512" t="str">
        <v>-</v>
      </c>
    </row>
    <row r="28513">
      <c r="B28513" t="str">
        <v>UBND Ủy ban nhân dân huyện Bắc Sơn  tỉnh Lạng Sơn</v>
      </c>
      <c r="C28513" t="str">
        <v>-</v>
      </c>
      <c r="D28513" t="str">
        <v>-</v>
      </c>
      <c r="E28513" t="str">
        <v>-</v>
      </c>
      <c r="F28513" t="str">
        <v>-</v>
      </c>
      <c r="G28513" t="str">
        <v>-</v>
      </c>
    </row>
    <row r="28514">
      <c r="B28514" t="str">
        <v>Công an huyện Sơn Động tỉnh Bắc Giang</v>
      </c>
      <c r="C28514" t="str">
        <v>-</v>
      </c>
      <c r="D28514" t="str">
        <v>-</v>
      </c>
      <c r="E28514" t="str">
        <v/>
      </c>
      <c r="F28514" t="str">
        <v>-</v>
      </c>
      <c r="G28514" t="str">
        <v>-</v>
      </c>
    </row>
    <row r="28515">
      <c r="B28515" t="str">
        <v>UBND Ủy ban nhân dân huyện Sơn Động tỉnh Bắc Giang</v>
      </c>
      <c r="C28515" t="str">
        <v>-</v>
      </c>
      <c r="D28515" t="str">
        <v>-</v>
      </c>
      <c r="E28515" t="str">
        <v>-</v>
      </c>
      <c r="F28515" t="str">
        <v>-</v>
      </c>
      <c r="G28515" t="str">
        <v>-</v>
      </c>
    </row>
    <row r="28516">
      <c r="B28516" t="str">
        <v>Công an xã Hoà Châu  thành phố Đà Nẵng</v>
      </c>
      <c r="C28516" t="str">
        <v>-</v>
      </c>
      <c r="D28516" t="str">
        <v>-</v>
      </c>
      <c r="E28516" t="str">
        <v/>
      </c>
      <c r="F28516" t="str">
        <v>-</v>
      </c>
      <c r="G28516" t="str">
        <v>-</v>
      </c>
    </row>
    <row r="28517">
      <c r="B28517" t="str">
        <v>UBND Ủy ban nhân dân xã Hoà Châu  thành phố Đà Nẵng</v>
      </c>
      <c r="C28517" t="str">
        <v>-</v>
      </c>
      <c r="D28517" t="str">
        <v>-</v>
      </c>
      <c r="E28517" t="str">
        <v>-</v>
      </c>
      <c r="F28517" t="str">
        <v>-</v>
      </c>
      <c r="G28517" t="str">
        <v>-</v>
      </c>
    </row>
    <row r="28518">
      <c r="B28518" t="str">
        <v>Công an huyện Yên Định  tỉnh Thanh Hóa</v>
      </c>
      <c r="C28518" t="str">
        <v>-</v>
      </c>
      <c r="D28518" t="str">
        <v>-</v>
      </c>
      <c r="E28518" t="str">
        <v/>
      </c>
      <c r="F28518" t="str">
        <v>-</v>
      </c>
      <c r="G28518" t="str">
        <v>-</v>
      </c>
    </row>
    <row r="28519">
      <c r="B28519" t="str">
        <v>UBND Ủy ban nhân dân huyện Yên Định  tỉnh Thanh Hóa</v>
      </c>
      <c r="C28519" t="str">
        <v>-</v>
      </c>
      <c r="D28519" t="str">
        <v>-</v>
      </c>
      <c r="E28519" t="str">
        <v>-</v>
      </c>
      <c r="F28519" t="str">
        <v>-</v>
      </c>
      <c r="G28519" t="str">
        <v>-</v>
      </c>
    </row>
    <row r="28520">
      <c r="B28520" t="str">
        <v>Công an thành phố Hồ Chí Minh thành phố Hồ Chí Minh</v>
      </c>
      <c r="C28520" t="str">
        <v>-</v>
      </c>
      <c r="D28520" t="str">
        <v>-</v>
      </c>
      <c r="E28520" t="str">
        <v/>
      </c>
      <c r="F28520" t="str">
        <v>-</v>
      </c>
      <c r="G28520" t="str">
        <v>-</v>
      </c>
    </row>
    <row r="28521">
      <c r="B28521" t="str">
        <v>UBND Ủy ban nhân dân thành phố Hồ Chí Minh thành phố Hồ Chí Minh</v>
      </c>
      <c r="C28521" t="str">
        <v>-</v>
      </c>
      <c r="D28521" t="str">
        <v>-</v>
      </c>
      <c r="E28521" t="str">
        <v>-</v>
      </c>
      <c r="F28521" t="str">
        <v>-</v>
      </c>
      <c r="G28521" t="str">
        <v>-</v>
      </c>
    </row>
    <row r="28522">
      <c r="B28522" t="str">
        <v>Công an xã Ia Dơk tỉnh Gia Lai</v>
      </c>
    </row>
    <row r="28523">
      <c r="B28523" t="str">
        <v>UBND Ủy ban nhân dânn xã Ia Dơk tỉnh Gia Lai</v>
      </c>
      <c r="C28523" t="str">
        <v>-</v>
      </c>
      <c r="D28523" t="str">
        <v>-</v>
      </c>
      <c r="E28523" t="str">
        <v>-</v>
      </c>
      <c r="F28523" t="str">
        <v>-</v>
      </c>
      <c r="G28523" t="str">
        <v>-</v>
      </c>
    </row>
    <row r="28524">
      <c r="B28524" t="str">
        <v>Công an tỉnh Quảng Ngãi  tỉnh Quảng Ngãi</v>
      </c>
      <c r="C28524" t="str">
        <v>-</v>
      </c>
      <c r="D28524" t="str">
        <v>-</v>
      </c>
      <c r="E28524" t="str">
        <v/>
      </c>
      <c r="F28524" t="str">
        <v>-</v>
      </c>
      <c r="G28524" t="str">
        <v>-</v>
      </c>
    </row>
    <row r="28525">
      <c r="B28525" t="str">
        <v>UBND Ủy ban nhân dân tỉnh Quảng Ngãi  tỉnh Quảng Ngãi</v>
      </c>
      <c r="C28525" t="str">
        <v>-</v>
      </c>
      <c r="D28525" t="str">
        <v>-</v>
      </c>
      <c r="E28525" t="str">
        <v>-</v>
      </c>
      <c r="F28525" t="str">
        <v>-</v>
      </c>
      <c r="G28525" t="str">
        <v>-</v>
      </c>
    </row>
    <row r="28526">
      <c r="B28526" t="str">
        <v>Công an huyện Trà Bồng  tỉnh Quảng Ngãi</v>
      </c>
      <c r="C28526" t="str">
        <v>-</v>
      </c>
      <c r="D28526" t="str">
        <v>-</v>
      </c>
      <c r="E28526" t="str">
        <v/>
      </c>
      <c r="F28526" t="str">
        <v>-</v>
      </c>
      <c r="G28526" t="str">
        <v>-</v>
      </c>
    </row>
    <row r="28527">
      <c r="B28527" t="str">
        <v>UBND Ủy ban nhân dân huyện Trà Bồng  tỉnh Quảng Ngãi</v>
      </c>
      <c r="C28527" t="str">
        <v>-</v>
      </c>
      <c r="D28527" t="str">
        <v>-</v>
      </c>
      <c r="E28527" t="str">
        <v>-</v>
      </c>
      <c r="F28527" t="str">
        <v>-</v>
      </c>
      <c r="G28527" t="str">
        <v>-</v>
      </c>
    </row>
    <row r="28528">
      <c r="B28528" t="str">
        <v>Công an xã Hà Tam  tỉnh Gia Lai</v>
      </c>
      <c r="C28528" t="str">
        <v>-</v>
      </c>
      <c r="D28528" t="str">
        <v>-</v>
      </c>
      <c r="E28528" t="str">
        <v/>
      </c>
      <c r="F28528" t="str">
        <v>-</v>
      </c>
      <c r="G28528" t="str">
        <v>-</v>
      </c>
    </row>
    <row r="28529">
      <c r="B28529" t="str">
        <v>UBND Ủy ban nhân dân xã Hà Tam  tỉnh Gia Lai</v>
      </c>
      <c r="C28529" t="str">
        <v>-</v>
      </c>
      <c r="D28529" t="str">
        <v>-</v>
      </c>
      <c r="E28529" t="str">
        <v>-</v>
      </c>
      <c r="F28529" t="str">
        <v>-</v>
      </c>
      <c r="G28529" t="str">
        <v>-</v>
      </c>
    </row>
    <row r="28530">
      <c r="B28530" t="str">
        <v>Công an xã Hải Sơn tỉnh Quảng Trị</v>
      </c>
      <c r="C28530" t="str">
        <v>-</v>
      </c>
      <c r="D28530" t="str">
        <v>-</v>
      </c>
      <c r="E28530" t="str">
        <v/>
      </c>
      <c r="F28530" t="str">
        <v>-</v>
      </c>
      <c r="G28530" t="str">
        <v>-</v>
      </c>
    </row>
    <row r="28531">
      <c r="B28531" t="str">
        <v>UBND Ủy ban nhân dân xã Hải Sơn tỉnh Quảng Trị</v>
      </c>
      <c r="C28531" t="str">
        <v>-</v>
      </c>
      <c r="D28531" t="str">
        <v>-</v>
      </c>
      <c r="E28531" t="str">
        <v>-</v>
      </c>
      <c r="F28531" t="str">
        <v>-</v>
      </c>
      <c r="G28531" t="str">
        <v>-</v>
      </c>
    </row>
    <row r="28532">
      <c r="B28532" t="str">
        <v>Công an xã Yang Bắc tỉnh Gia Lai</v>
      </c>
      <c r="C28532" t="str">
        <v>-</v>
      </c>
      <c r="D28532" t="str">
        <v>-</v>
      </c>
      <c r="E28532" t="str">
        <v/>
      </c>
      <c r="F28532" t="str">
        <v>-</v>
      </c>
      <c r="G28532" t="str">
        <v>-</v>
      </c>
    </row>
    <row r="28533">
      <c r="B28533" t="str">
        <v>UBND Ủy ban nhân dân xã Yang Bắc tỉnh Gia Lai</v>
      </c>
      <c r="C28533" t="str">
        <v>-</v>
      </c>
      <c r="D28533" t="str">
        <v>-</v>
      </c>
      <c r="E28533" t="str">
        <v>-</v>
      </c>
      <c r="F28533" t="str">
        <v>-</v>
      </c>
      <c r="G28533" t="str">
        <v>-</v>
      </c>
    </row>
    <row r="28534">
      <c r="B28534" t="str">
        <v>Công an thị xã An Khê  tỉnh Gia Lai</v>
      </c>
      <c r="C28534" t="str">
        <v>-</v>
      </c>
      <c r="D28534" t="str">
        <v>-</v>
      </c>
      <c r="E28534" t="str">
        <v/>
      </c>
      <c r="F28534" t="str">
        <v>-</v>
      </c>
      <c r="G28534" t="str">
        <v>-</v>
      </c>
    </row>
    <row r="28535">
      <c r="B28535" t="str">
        <v>UBND Ủy ban nhân dân thị xã An Khê  tỉnh Gia Lai</v>
      </c>
      <c r="C28535" t="str">
        <v>-</v>
      </c>
      <c r="D28535" t="str">
        <v>-</v>
      </c>
      <c r="E28535" t="str">
        <v>-</v>
      </c>
      <c r="F28535" t="str">
        <v>-</v>
      </c>
      <c r="G28535" t="str">
        <v>-</v>
      </c>
    </row>
    <row r="28536">
      <c r="B28536" t="str">
        <v>Công an phường An Phú  tỉnh Bình Dương</v>
      </c>
      <c r="C28536" t="str">
        <v>-</v>
      </c>
      <c r="D28536" t="str">
        <v>-</v>
      </c>
      <c r="E28536" t="str">
        <v/>
      </c>
      <c r="F28536" t="str">
        <v>-</v>
      </c>
      <c r="G28536" t="str">
        <v>-</v>
      </c>
    </row>
    <row r="28537">
      <c r="B28537" t="str">
        <v>UBND Ủy ban nhân dân phường An Phú  tỉnh Bình Dương</v>
      </c>
      <c r="C28537" t="str">
        <v>-</v>
      </c>
      <c r="D28537" t="str">
        <v>-</v>
      </c>
      <c r="E28537" t="str">
        <v>-</v>
      </c>
      <c r="F28537" t="str">
        <v>-</v>
      </c>
      <c r="G28537" t="str">
        <v>-</v>
      </c>
    </row>
    <row r="28538">
      <c r="B28538" t="str">
        <v>Công an huyện Ba Tri tỉnh Bến Tre</v>
      </c>
      <c r="C28538" t="str">
        <v>-</v>
      </c>
      <c r="D28538" t="str">
        <v>-</v>
      </c>
      <c r="E28538" t="str">
        <v/>
      </c>
      <c r="F28538" t="str">
        <v>-</v>
      </c>
      <c r="G28538" t="str">
        <v>-</v>
      </c>
    </row>
    <row r="28539">
      <c r="B28539" t="str">
        <v>UBND Ủy ban nhân dân huyện Ba Tri tỉnh Bến Tre</v>
      </c>
      <c r="C28539" t="str">
        <v>-</v>
      </c>
      <c r="D28539" t="str">
        <v>-</v>
      </c>
      <c r="E28539" t="str">
        <v>-</v>
      </c>
      <c r="F28539" t="str">
        <v>-</v>
      </c>
      <c r="G28539" t="str">
        <v>-</v>
      </c>
    </row>
    <row r="28540">
      <c r="B28540" t="str">
        <v>Công an huyện Bến Cầu  tỉnh TÂY NINH</v>
      </c>
      <c r="C28540" t="str">
        <v>-</v>
      </c>
      <c r="D28540" t="str">
        <v>-</v>
      </c>
      <c r="E28540" t="str">
        <v/>
      </c>
      <c r="F28540" t="str">
        <v>-</v>
      </c>
      <c r="G28540" t="str">
        <v>-</v>
      </c>
    </row>
    <row r="28541">
      <c r="B28541" t="str">
        <v>UBND Ủy ban nhân dân huyện Bến Cầu  tỉnh TÂY NINH</v>
      </c>
      <c r="C28541" t="str">
        <v>-</v>
      </c>
      <c r="D28541" t="str">
        <v>-</v>
      </c>
      <c r="E28541" t="str">
        <v>-</v>
      </c>
      <c r="F28541" t="str">
        <v>-</v>
      </c>
      <c r="G28541" t="str">
        <v>-</v>
      </c>
    </row>
    <row r="28542">
      <c r="B28542" t="str">
        <v>Công an xã Bình Long  tỉnh Thái Nguyên</v>
      </c>
      <c r="C28542" t="str">
        <v>-</v>
      </c>
      <c r="D28542" t="str">
        <v>-</v>
      </c>
      <c r="E28542" t="str">
        <v/>
      </c>
      <c r="F28542" t="str">
        <v>-</v>
      </c>
      <c r="G28542" t="str">
        <v>-</v>
      </c>
    </row>
    <row r="28543">
      <c r="B28543" t="str">
        <v>UBND Ủy ban nhân dân xã Bình Long  tỉnh Thái Nguyên</v>
      </c>
      <c r="C28543" t="str">
        <v>-</v>
      </c>
      <c r="D28543" t="str">
        <v>-</v>
      </c>
      <c r="E28543" t="str">
        <v>-</v>
      </c>
      <c r="F28543" t="str">
        <v>-</v>
      </c>
      <c r="G28543" t="str">
        <v>-</v>
      </c>
    </row>
    <row r="28544">
      <c r="B28544" t="str">
        <v>Công an huyện Cẩm Thuỷ tỉnh Thanh Hóa</v>
      </c>
      <c r="C28544" t="str">
        <v>-</v>
      </c>
      <c r="D28544" t="str">
        <v>-</v>
      </c>
      <c r="E28544" t="str">
        <v/>
      </c>
      <c r="F28544" t="str">
        <v>-</v>
      </c>
      <c r="G28544" t="str">
        <v>-</v>
      </c>
    </row>
    <row r="28545">
      <c r="B28545" t="str">
        <v>UBND Ủy ban nhân dân huyện Cẩm Thuỷ tỉnh Thanh Hóa</v>
      </c>
      <c r="C28545" t="str">
        <v>-</v>
      </c>
      <c r="D28545" t="str">
        <v>-</v>
      </c>
      <c r="E28545" t="str">
        <v>-</v>
      </c>
      <c r="F28545" t="str">
        <v>-</v>
      </c>
      <c r="G28545" t="str">
        <v>-</v>
      </c>
    </row>
    <row r="28546">
      <c r="B28546" t="str">
        <v>Công an xã Cẩm Trung  tỉnh Hà Tĩnh</v>
      </c>
      <c r="C28546" t="str">
        <v>-</v>
      </c>
      <c r="D28546" t="str">
        <v>-</v>
      </c>
      <c r="E28546" t="str">
        <v/>
      </c>
      <c r="F28546" t="str">
        <v>-</v>
      </c>
      <c r="G28546" t="str">
        <v>-</v>
      </c>
    </row>
    <row r="28547">
      <c r="B28547" t="str">
        <v>UBND Ủy ban nhân dân xã Cẩm Trung  tỉnh Hà Tĩnh</v>
      </c>
      <c r="C28547" t="str">
        <v>-</v>
      </c>
      <c r="D28547" t="str">
        <v>-</v>
      </c>
      <c r="E28547" t="str">
        <v>-</v>
      </c>
      <c r="F28547" t="str">
        <v>-</v>
      </c>
      <c r="G28547" t="str">
        <v>-</v>
      </c>
    </row>
    <row r="28548">
      <c r="B28548" t="str">
        <v>Công an huyện Cẩm Xuyên tỉnh Hà Tĩnh</v>
      </c>
      <c r="C28548" t="str">
        <v>-</v>
      </c>
      <c r="D28548" t="str">
        <v>-</v>
      </c>
      <c r="E28548" t="str">
        <v/>
      </c>
      <c r="F28548" t="str">
        <v>-</v>
      </c>
      <c r="G28548" t="str">
        <v>-</v>
      </c>
    </row>
    <row r="28549">
      <c r="B28549" t="str">
        <v>UBND Ủy ban nhân dân huyện Cẩm Xuyên tỉnh Hà Tĩnh</v>
      </c>
      <c r="C28549" t="str">
        <v>-</v>
      </c>
      <c r="D28549" t="str">
        <v>-</v>
      </c>
      <c r="E28549" t="str">
        <v>-</v>
      </c>
      <c r="F28549" t="str">
        <v>-</v>
      </c>
      <c r="G28549" t="str">
        <v>-</v>
      </c>
    </row>
    <row r="28550">
      <c r="B28550" t="str">
        <v>Công an xã Sơn Thủy  tỉnh Hòa Bình</v>
      </c>
      <c r="C28550" t="str">
        <v>-</v>
      </c>
      <c r="D28550" t="str">
        <v>-</v>
      </c>
      <c r="E28550" t="str">
        <v/>
      </c>
      <c r="F28550" t="str">
        <v>-</v>
      </c>
      <c r="G28550" t="str">
        <v>-</v>
      </c>
    </row>
    <row r="28551">
      <c r="B28551" t="str">
        <v>UBND Ủy ban nhân dân xã Sơn Thủy  tỉnh Hòa Bình</v>
      </c>
      <c r="C28551" t="str">
        <v>-</v>
      </c>
      <c r="D28551" t="str">
        <v>-</v>
      </c>
      <c r="E28551" t="str">
        <v>-</v>
      </c>
      <c r="F28551" t="str">
        <v>-</v>
      </c>
      <c r="G28551" t="str">
        <v>-</v>
      </c>
    </row>
    <row r="28552">
      <c r="B28552" t="str">
        <v>Công an xã Đại Phước  tỉnh Đồng Nai</v>
      </c>
      <c r="C28552" t="str">
        <v>-</v>
      </c>
      <c r="D28552" t="str">
        <v>-</v>
      </c>
      <c r="E28552" t="str">
        <v/>
      </c>
      <c r="F28552" t="str">
        <v>-</v>
      </c>
      <c r="G28552" t="str">
        <v>-</v>
      </c>
    </row>
    <row r="28553">
      <c r="B28553" t="str">
        <v>UBND Ủy ban nhân dân xã Đại Phước  tỉnh Đồng Nai</v>
      </c>
      <c r="C28553" t="str">
        <v>-</v>
      </c>
      <c r="D28553" t="str">
        <v>-</v>
      </c>
      <c r="E28553" t="str">
        <v>-</v>
      </c>
      <c r="F28553" t="str">
        <v>-</v>
      </c>
      <c r="G28553" t="str">
        <v>-</v>
      </c>
    </row>
    <row r="28554">
      <c r="B28554" t="str">
        <v>Công an xã Đèo Gia tỉnh Bắc Giang</v>
      </c>
      <c r="C28554" t="str">
        <v>-</v>
      </c>
      <c r="D28554" t="str">
        <v>-</v>
      </c>
      <c r="E28554" t="str">
        <v/>
      </c>
      <c r="F28554" t="str">
        <v>-</v>
      </c>
      <c r="G28554" t="str">
        <v>-</v>
      </c>
    </row>
    <row r="28555">
      <c r="B28555" t="str">
        <v>UBND Ủy ban nhân dân xã Đèo Gia tỉnh Bắc Giang</v>
      </c>
      <c r="C28555" t="str">
        <v>-</v>
      </c>
      <c r="D28555" t="str">
        <v>-</v>
      </c>
      <c r="E28555" t="str">
        <v>-</v>
      </c>
      <c r="F28555" t="str">
        <v>-</v>
      </c>
      <c r="G28555" t="str">
        <v>-</v>
      </c>
    </row>
    <row r="28556">
      <c r="B28556" t="str">
        <v>Công an xã Đình Cao tỉnh Hưng Yên</v>
      </c>
      <c r="C28556" t="str">
        <v>-</v>
      </c>
      <c r="D28556" t="str">
        <v>-</v>
      </c>
      <c r="E28556" t="str">
        <v/>
      </c>
      <c r="F28556" t="str">
        <v>-</v>
      </c>
      <c r="G28556" t="str">
        <v>-</v>
      </c>
    </row>
    <row r="28557">
      <c r="B28557" t="str">
        <v>UBND Ủy ban nhân dân xã Đình Cao tỉnh Hưng Yên</v>
      </c>
      <c r="C28557" t="str">
        <v>-</v>
      </c>
      <c r="D28557" t="str">
        <v>-</v>
      </c>
      <c r="E28557" t="str">
        <v>-</v>
      </c>
      <c r="F28557" t="str">
        <v>-</v>
      </c>
      <c r="G28557" t="str">
        <v>-</v>
      </c>
    </row>
    <row r="28558">
      <c r="B28558" t="str">
        <v>Công an huyện Đoan Hùng  tỉnh Phú Thọ</v>
      </c>
      <c r="C28558" t="str">
        <v>-</v>
      </c>
      <c r="D28558" t="str">
        <v>-</v>
      </c>
      <c r="E28558" t="str">
        <v/>
      </c>
      <c r="F28558" t="str">
        <v>-</v>
      </c>
      <c r="G28558" t="str">
        <v>-</v>
      </c>
    </row>
    <row r="28559">
      <c r="B28559" t="str">
        <v>UBND Ủy ban nhân dân huyện Đoan Hùng  tỉnh Phú Thọ</v>
      </c>
      <c r="C28559" t="str">
        <v>-</v>
      </c>
      <c r="D28559" t="str">
        <v>-</v>
      </c>
      <c r="E28559" t="str">
        <v>-</v>
      </c>
      <c r="F28559" t="str">
        <v>-</v>
      </c>
      <c r="G28559" t="str">
        <v>-</v>
      </c>
    </row>
    <row r="28560">
      <c r="B28560" t="str">
        <v>Công an huyện Đô Lương  tỉnh Nghệ An</v>
      </c>
      <c r="C28560" t="str">
        <v>-</v>
      </c>
      <c r="D28560" t="str">
        <v>-</v>
      </c>
      <c r="E28560" t="str">
        <v/>
      </c>
      <c r="F28560" t="str">
        <v>-</v>
      </c>
      <c r="G28560" t="str">
        <v>-</v>
      </c>
    </row>
    <row r="28561">
      <c r="B28561" t="str">
        <v>UBND Ủy ban nhân dân huyện Đô Lương  tỉnh Nghệ An</v>
      </c>
      <c r="C28561" t="str">
        <v>-</v>
      </c>
      <c r="D28561" t="str">
        <v>-</v>
      </c>
      <c r="E28561" t="str">
        <v>-</v>
      </c>
      <c r="F28561" t="str">
        <v>-</v>
      </c>
      <c r="G28561" t="str">
        <v>-</v>
      </c>
    </row>
    <row r="28562">
      <c r="B28562" t="str">
        <v>Công an huyện Đông Hải  tỉnh Bạc Liêu</v>
      </c>
      <c r="C28562" t="str">
        <v>-</v>
      </c>
      <c r="D28562" t="str">
        <v>-</v>
      </c>
      <c r="E28562" t="str">
        <v/>
      </c>
      <c r="F28562" t="str">
        <v>-</v>
      </c>
      <c r="G28562" t="str">
        <v>-</v>
      </c>
    </row>
    <row r="28563">
      <c r="B28563" t="str">
        <v>UBND Ủy ban nhân dân huyện Đông Hải  tỉnh Bạc Liêu</v>
      </c>
      <c r="C28563" t="str">
        <v>-</v>
      </c>
      <c r="D28563" t="str">
        <v>-</v>
      </c>
      <c r="E28563" t="str">
        <v>-</v>
      </c>
      <c r="F28563" t="str">
        <v>-</v>
      </c>
      <c r="G28563" t="str">
        <v>-</v>
      </c>
    </row>
    <row r="28564">
      <c r="B28564" t="str">
        <v>Công an xã Đông Minh  tỉnh Thanh Hóa</v>
      </c>
      <c r="C28564" t="str">
        <v>-</v>
      </c>
      <c r="D28564" t="str">
        <v>-</v>
      </c>
      <c r="E28564" t="str">
        <v/>
      </c>
      <c r="F28564" t="str">
        <v>-</v>
      </c>
      <c r="G28564" t="str">
        <v>-</v>
      </c>
    </row>
    <row r="28565">
      <c r="B28565" t="str">
        <v>UBND Ủy ban nhân dân xã Đông Minh  tỉnh Thanh Hóa</v>
      </c>
      <c r="C28565" t="str">
        <v>-</v>
      </c>
      <c r="D28565" t="str">
        <v>-</v>
      </c>
      <c r="E28565" t="str">
        <v>-</v>
      </c>
      <c r="F28565" t="str">
        <v>-</v>
      </c>
      <c r="G28565" t="str">
        <v>-</v>
      </c>
    </row>
    <row r="28566">
      <c r="B28566" t="str">
        <v>Công an xã Đông Sơn tỉnh Yên Bái</v>
      </c>
      <c r="C28566" t="str">
        <v>-</v>
      </c>
      <c r="D28566" t="str">
        <v>-</v>
      </c>
      <c r="E28566" t="str">
        <v/>
      </c>
      <c r="F28566" t="str">
        <v>-</v>
      </c>
      <c r="G28566" t="str">
        <v>-</v>
      </c>
    </row>
    <row r="28567">
      <c r="B28567" t="str">
        <v>UBND Ủy ban nhân dân xã Đông Sơn tỉnh Yên Bái</v>
      </c>
      <c r="C28567" t="str">
        <v>-</v>
      </c>
      <c r="D28567" t="str">
        <v>-</v>
      </c>
      <c r="E28567" t="str">
        <v>-</v>
      </c>
      <c r="F28567" t="str">
        <v>-</v>
      </c>
      <c r="G28567" t="str">
        <v>-</v>
      </c>
    </row>
    <row r="28568">
      <c r="B28568" t="str">
        <v>Công an xã Đồng Tâm tỉnh Bắc Giang</v>
      </c>
      <c r="C28568" t="str">
        <v>-</v>
      </c>
      <c r="D28568" t="str">
        <v>-</v>
      </c>
      <c r="E28568" t="str">
        <v/>
      </c>
      <c r="F28568" t="str">
        <v>-</v>
      </c>
      <c r="G28568" t="str">
        <v>-</v>
      </c>
    </row>
    <row r="28569">
      <c r="B28569" t="str">
        <v>UBND Ủy ban nhân dân xã Đồng Tâm tỉnh Bắc Giang</v>
      </c>
      <c r="C28569" t="str">
        <v>-</v>
      </c>
      <c r="D28569" t="str">
        <v>-</v>
      </c>
      <c r="E28569" t="str">
        <v>-</v>
      </c>
      <c r="F28569" t="str">
        <v>-</v>
      </c>
      <c r="G28569" t="str">
        <v>-</v>
      </c>
    </row>
    <row r="28570">
      <c r="B28570" t="str">
        <v>Công an xã Ea Đar tỉnh Đắk Lắk</v>
      </c>
      <c r="C28570" t="str">
        <v>-</v>
      </c>
      <c r="D28570" t="str">
        <v>-</v>
      </c>
      <c r="E28570" t="str">
        <v/>
      </c>
      <c r="F28570" t="str">
        <v>-</v>
      </c>
      <c r="G28570" t="str">
        <v>-</v>
      </c>
    </row>
    <row r="28571">
      <c r="B28571" t="str">
        <v>UBND Ủy ban nhân dân xã Ea Đar tỉnh Đắk Lắk</v>
      </c>
      <c r="C28571" t="str">
        <v>-</v>
      </c>
      <c r="D28571" t="str">
        <v>-</v>
      </c>
      <c r="E28571" t="str">
        <v>-</v>
      </c>
      <c r="F28571" t="str">
        <v>-</v>
      </c>
      <c r="G28571" t="str">
        <v>-</v>
      </c>
    </row>
    <row r="28572">
      <c r="B28572" t="str">
        <v>Công an xã Giao Thanh  tỉnh Nam Định</v>
      </c>
      <c r="C28572" t="str">
        <v>-</v>
      </c>
      <c r="D28572" t="str">
        <v>-</v>
      </c>
      <c r="E28572" t="str">
        <v/>
      </c>
      <c r="F28572" t="str">
        <v>-</v>
      </c>
      <c r="G28572" t="str">
        <v>-</v>
      </c>
    </row>
    <row r="28573">
      <c r="B28573" t="str">
        <v>UBND Ủy ban nhân dân xã Giao Thanh  tỉnh Nam Định</v>
      </c>
      <c r="C28573" t="str">
        <v>-</v>
      </c>
      <c r="D28573" t="str">
        <v>-</v>
      </c>
      <c r="E28573" t="str">
        <v>-</v>
      </c>
      <c r="F28573" t="str">
        <v>-</v>
      </c>
      <c r="G28573" t="str">
        <v>-</v>
      </c>
    </row>
    <row r="28574">
      <c r="B28574" t="str">
        <v>Công an xã Hải Long  tỉnh Nam Định</v>
      </c>
      <c r="C28574" t="str">
        <v>-</v>
      </c>
      <c r="D28574" t="str">
        <v>-</v>
      </c>
      <c r="E28574" t="str">
        <v/>
      </c>
      <c r="F28574" t="str">
        <v>-</v>
      </c>
      <c r="G28574" t="str">
        <v>-</v>
      </c>
    </row>
    <row r="28575">
      <c r="B28575" t="str">
        <v>UBND Ủy ban nhân dân xã Hải Long  tỉnh Nam Định</v>
      </c>
      <c r="C28575" t="str">
        <v>-</v>
      </c>
      <c r="D28575" t="str">
        <v>-</v>
      </c>
      <c r="E28575" t="str">
        <v>-</v>
      </c>
      <c r="F28575" t="str">
        <v>-</v>
      </c>
      <c r="G28575" t="str">
        <v>-</v>
      </c>
    </row>
    <row r="28576">
      <c r="B28576" t="str">
        <v>Công an xã Hoằng Thịnh  tỉnh Thanh Hóa</v>
      </c>
      <c r="C28576" t="str">
        <v>-</v>
      </c>
      <c r="D28576" t="str">
        <v>-</v>
      </c>
      <c r="E28576" t="str">
        <v/>
      </c>
      <c r="F28576" t="str">
        <v>-</v>
      </c>
      <c r="G28576" t="str">
        <v>-</v>
      </c>
    </row>
    <row r="28577">
      <c r="B28577" t="str">
        <v>UBND Ủy ban nhân dân xã Hoằng Thịnh  tỉnh Thanh Hóa</v>
      </c>
      <c r="C28577" t="str">
        <v>-</v>
      </c>
      <c r="D28577" t="str">
        <v>-</v>
      </c>
      <c r="E28577" t="str">
        <v>-</v>
      </c>
      <c r="F28577" t="str">
        <v>-</v>
      </c>
      <c r="G28577" t="str">
        <v>-</v>
      </c>
    </row>
    <row r="28578">
      <c r="B28578" t="str">
        <v>Công an xã Hồi Ninh  tỉnh Ninh Bình</v>
      </c>
      <c r="C28578" t="str">
        <v>-</v>
      </c>
      <c r="D28578" t="str">
        <v>-</v>
      </c>
      <c r="E28578" t="str">
        <v/>
      </c>
      <c r="F28578" t="str">
        <v>-</v>
      </c>
      <c r="G28578" t="str">
        <v>-</v>
      </c>
    </row>
    <row r="28579">
      <c r="B28579" t="str">
        <v>UBND Ủy ban nhân dân xã Hồi Ninh  tỉnh Ninh Bình</v>
      </c>
      <c r="C28579" t="str">
        <v>-</v>
      </c>
      <c r="D28579" t="str">
        <v>-</v>
      </c>
      <c r="E28579" t="str">
        <v>-</v>
      </c>
      <c r="F28579" t="str">
        <v>-</v>
      </c>
      <c r="G28579" t="str">
        <v>-</v>
      </c>
    </row>
    <row r="28580">
      <c r="B28580" t="str">
        <v>Công an xã Hưng Long tỉnh Phú Thọ</v>
      </c>
      <c r="C28580" t="str">
        <v>-</v>
      </c>
      <c r="D28580" t="str">
        <v>-</v>
      </c>
      <c r="E28580" t="str">
        <v/>
      </c>
      <c r="F28580" t="str">
        <v>-</v>
      </c>
      <c r="G28580" t="str">
        <v>-</v>
      </c>
    </row>
    <row r="28581">
      <c r="B28581" t="str">
        <v>UBND Ủy ban nhân dân xã Hưng Long tỉnh Phú Thọ</v>
      </c>
      <c r="C28581" t="str">
        <v>-</v>
      </c>
      <c r="D28581" t="str">
        <v>-</v>
      </c>
      <c r="E28581" t="str">
        <v>-</v>
      </c>
      <c r="F28581" t="str">
        <v>-</v>
      </c>
      <c r="G28581" t="str">
        <v>-</v>
      </c>
    </row>
    <row r="28582">
      <c r="B28582" t="str">
        <v>Công an huyện Hương Khê tỉnh Hà Tĩnh</v>
      </c>
      <c r="C28582" t="str">
        <v>-</v>
      </c>
      <c r="D28582" t="str">
        <v>-</v>
      </c>
      <c r="E28582" t="str">
        <v/>
      </c>
      <c r="F28582" t="str">
        <v>-</v>
      </c>
      <c r="G28582" t="str">
        <v>-</v>
      </c>
    </row>
    <row r="28583">
      <c r="B28583" t="str">
        <v>UBND Ủy ban nhân dân huyện Hương Khê tỉnh Hà Tĩnh</v>
      </c>
      <c r="C28583" t="str">
        <v>-</v>
      </c>
      <c r="D28583" t="str">
        <v>-</v>
      </c>
      <c r="E28583" t="str">
        <v>-</v>
      </c>
      <c r="F28583" t="str">
        <v>-</v>
      </c>
      <c r="G28583" t="str">
        <v>-</v>
      </c>
    </row>
    <row r="28584">
      <c r="B28584" t="str">
        <v>Công an xã Hương Nhượng  tỉnh Hòa Bình</v>
      </c>
      <c r="C28584" t="str">
        <v>-</v>
      </c>
      <c r="D28584" t="str">
        <v>-</v>
      </c>
      <c r="E28584" t="str">
        <v/>
      </c>
      <c r="F28584" t="str">
        <v>-</v>
      </c>
      <c r="G28584" t="str">
        <v>-</v>
      </c>
    </row>
    <row r="28585">
      <c r="B28585" t="str">
        <v>UBND Ủy ban nhân dân xã Hương Nhượng  tỉnh Hòa Bình</v>
      </c>
      <c r="C28585" t="str">
        <v>-</v>
      </c>
      <c r="D28585" t="str">
        <v>-</v>
      </c>
      <c r="E28585" t="str">
        <v>-</v>
      </c>
      <c r="F28585" t="str">
        <v>-</v>
      </c>
      <c r="G28585" t="str">
        <v>-</v>
      </c>
    </row>
    <row r="28586">
      <c r="B28586" t="str">
        <v>Công an huyện Bảo Thắng tỉnh Lào Cai</v>
      </c>
      <c r="C28586" t="str">
        <v>-</v>
      </c>
      <c r="D28586" t="str">
        <v>-</v>
      </c>
      <c r="E28586" t="str">
        <v/>
      </c>
      <c r="F28586" t="str">
        <v>-</v>
      </c>
      <c r="G28586" t="str">
        <v>-</v>
      </c>
    </row>
    <row r="28587">
      <c r="B28587" t="str">
        <v>UBND Ủy ban nhân dân huyện Bảo Thắng tỉnh Lào Cai</v>
      </c>
      <c r="C28587" t="str">
        <v>-</v>
      </c>
      <c r="D28587" t="str">
        <v>-</v>
      </c>
      <c r="E28587" t="str">
        <v>-</v>
      </c>
      <c r="F28587" t="str">
        <v>-</v>
      </c>
      <c r="G28587" t="str">
        <v>-</v>
      </c>
    </row>
    <row r="28588">
      <c r="B28588" t="str">
        <v>Công an huyện Bá Thước  tỉnh Thanh Hóa</v>
      </c>
      <c r="C28588" t="str">
        <v>-</v>
      </c>
      <c r="D28588" t="str">
        <v>-</v>
      </c>
      <c r="E28588" t="str">
        <v/>
      </c>
      <c r="F28588" t="str">
        <v>-</v>
      </c>
      <c r="G28588" t="str">
        <v>-</v>
      </c>
    </row>
    <row r="28589">
      <c r="B28589" t="str">
        <v>UBND Ủy ban nhân dân huyện Bá Thước  tỉnh Thanh Hóa</v>
      </c>
      <c r="C28589" t="str">
        <v>-</v>
      </c>
      <c r="D28589" t="str">
        <v>-</v>
      </c>
      <c r="E28589" t="str">
        <v>-</v>
      </c>
      <c r="F28589" t="str">
        <v>-</v>
      </c>
      <c r="G28589" t="str">
        <v>-</v>
      </c>
    </row>
    <row r="28590">
      <c r="B28590" t="str">
        <v>Công an huyện Chiêm Hóa  tỉnh Tuyên Quang</v>
      </c>
      <c r="C28590" t="str">
        <v>-</v>
      </c>
      <c r="D28590" t="str">
        <v>-</v>
      </c>
      <c r="E28590" t="str">
        <v/>
      </c>
      <c r="F28590" t="str">
        <v>-</v>
      </c>
      <c r="G28590" t="str">
        <v>-</v>
      </c>
    </row>
    <row r="28591">
      <c r="B28591" t="str">
        <v>UBND Ủy ban nhân dân huyện Chiêm Hóa  tỉnh Tuyên Quang</v>
      </c>
      <c r="C28591" t="str">
        <v>-</v>
      </c>
      <c r="D28591" t="str">
        <v>-</v>
      </c>
      <c r="E28591" t="str">
        <v>-</v>
      </c>
      <c r="F28591" t="str">
        <v>-</v>
      </c>
      <c r="G28591" t="str">
        <v>-</v>
      </c>
    </row>
    <row r="28592">
      <c r="B28592" t="str">
        <v>Công an huyện Chư Păh  tỉnh Gia Lai</v>
      </c>
      <c r="C28592" t="str">
        <v>-</v>
      </c>
      <c r="D28592" t="str">
        <v>-</v>
      </c>
      <c r="E28592" t="str">
        <v/>
      </c>
      <c r="F28592" t="str">
        <v>-</v>
      </c>
      <c r="G28592" t="str">
        <v>-</v>
      </c>
    </row>
    <row r="28593">
      <c r="B28593" t="str">
        <v>UBND Ủy ban nhân dân huyện Chư Păh  tỉnh Gia Lai</v>
      </c>
      <c r="C28593" t="str">
        <v>-</v>
      </c>
      <c r="D28593" t="str">
        <v>-</v>
      </c>
      <c r="E28593" t="str">
        <v>-</v>
      </c>
      <c r="F28593" t="str">
        <v>-</v>
      </c>
      <c r="G28593" t="str">
        <v>-</v>
      </c>
    </row>
    <row r="28594">
      <c r="B28594" t="str">
        <v>Công an huyện Đak Đoa  tỉnh Gia Lai</v>
      </c>
      <c r="C28594" t="str">
        <v>-</v>
      </c>
      <c r="D28594" t="str">
        <v>-</v>
      </c>
      <c r="E28594" t="str">
        <v/>
      </c>
      <c r="F28594" t="str">
        <v>-</v>
      </c>
      <c r="G28594" t="str">
        <v>-</v>
      </c>
    </row>
    <row r="28595">
      <c r="B28595" t="str">
        <v>UBND Ủy ban nhân dân huyện Đak Đoa  tỉnh Gia Lai</v>
      </c>
      <c r="C28595" t="str">
        <v>-</v>
      </c>
      <c r="D28595" t="str">
        <v>-</v>
      </c>
      <c r="E28595" t="str">
        <v>-</v>
      </c>
      <c r="F28595" t="str">
        <v>-</v>
      </c>
      <c r="G28595" t="str">
        <v>-</v>
      </c>
    </row>
    <row r="28596">
      <c r="B28596" t="str">
        <v>Công an huyện Đak Pơ  tỉnh Gia Lai</v>
      </c>
      <c r="C28596" t="str">
        <v>-</v>
      </c>
      <c r="D28596" t="str">
        <v>-</v>
      </c>
      <c r="E28596" t="str">
        <v/>
      </c>
      <c r="F28596" t="str">
        <v>-</v>
      </c>
      <c r="G28596" t="str">
        <v>-</v>
      </c>
    </row>
    <row r="28597">
      <c r="B28597" t="str">
        <v>UBND Ủy ban nhân dân huyện Đak Pơ  tỉnh Gia Lai</v>
      </c>
      <c r="C28597" t="str">
        <v>-</v>
      </c>
      <c r="D28597" t="str">
        <v>-</v>
      </c>
      <c r="E28597" t="str">
        <v>-</v>
      </c>
      <c r="F28597" t="str">
        <v>-</v>
      </c>
      <c r="G28597" t="str">
        <v>-</v>
      </c>
    </row>
    <row r="28598">
      <c r="B28598" t="str">
        <v>Công an huyện Dầu Tiếng  tỉnh Bình Dương</v>
      </c>
      <c r="C28598" t="str">
        <v>-</v>
      </c>
      <c r="D28598" t="str">
        <v>-</v>
      </c>
      <c r="E28598" t="str">
        <v/>
      </c>
      <c r="F28598" t="str">
        <v>-</v>
      </c>
      <c r="G28598" t="str">
        <v>-</v>
      </c>
    </row>
    <row r="28599">
      <c r="B28599" t="str">
        <v>UBND Ủy ban nhân dân huyện Dầu Tiếng  tỉnh Bình Dương</v>
      </c>
      <c r="C28599" t="str">
        <v>-</v>
      </c>
      <c r="D28599" t="str">
        <v>-</v>
      </c>
      <c r="E28599" t="str">
        <v>-</v>
      </c>
      <c r="F28599" t="str">
        <v>-</v>
      </c>
      <c r="G28599" t="str">
        <v>-</v>
      </c>
    </row>
    <row r="28600">
      <c r="B28600" t="str">
        <v>Công an huyện Diễn Châu  tỉnh Nghệ An</v>
      </c>
      <c r="C28600" t="str">
        <v>-</v>
      </c>
      <c r="D28600" t="str">
        <v>-</v>
      </c>
      <c r="E28600" t="str">
        <v/>
      </c>
      <c r="F28600" t="str">
        <v>-</v>
      </c>
      <c r="G28600" t="str">
        <v>-</v>
      </c>
    </row>
    <row r="28601">
      <c r="B28601" t="str">
        <v>UBND Ủy ban nhân dân huyện Diễn Châu  tỉnh Nghệ An</v>
      </c>
      <c r="C28601" t="str">
        <v>-</v>
      </c>
      <c r="D28601" t="str">
        <v>-</v>
      </c>
      <c r="E28601" t="str">
        <v>-</v>
      </c>
      <c r="F28601" t="str">
        <v>-</v>
      </c>
      <c r="G28601" t="str">
        <v>-</v>
      </c>
    </row>
    <row r="28602">
      <c r="B28602" t="str">
        <v>Công an huyện Định Hoá tỉnh Thái Nguyên</v>
      </c>
      <c r="C28602" t="str">
        <v>-</v>
      </c>
      <c r="D28602" t="str">
        <v>-</v>
      </c>
      <c r="E28602" t="str">
        <v/>
      </c>
      <c r="F28602" t="str">
        <v>-</v>
      </c>
      <c r="G28602" t="str">
        <v>-</v>
      </c>
    </row>
    <row r="28603">
      <c r="B28603" t="str">
        <v>UBND Ủy ban nhân dân huyện Định Hoá tỉnh Thái Nguyên</v>
      </c>
      <c r="C28603" t="str">
        <v>-</v>
      </c>
      <c r="D28603" t="str">
        <v>-</v>
      </c>
      <c r="E28603" t="str">
        <v>-</v>
      </c>
      <c r="F28603" t="str">
        <v>-</v>
      </c>
      <c r="G28603" t="str">
        <v>-</v>
      </c>
    </row>
    <row r="28604">
      <c r="B28604" t="str">
        <v>Công an huyện Đình Lập  tỉnh Lạng Sơn</v>
      </c>
      <c r="C28604" t="str">
        <v>-</v>
      </c>
      <c r="D28604" t="str">
        <v>-</v>
      </c>
      <c r="E28604" t="str">
        <v/>
      </c>
      <c r="F28604" t="str">
        <v>-</v>
      </c>
      <c r="G28604" t="str">
        <v>-</v>
      </c>
    </row>
    <row r="28605">
      <c r="B28605" t="str">
        <v>UBND Ủy ban nhân dân huyện Đình Lập  tỉnh Lạng Sơn</v>
      </c>
      <c r="C28605" t="str">
        <v>-</v>
      </c>
      <c r="D28605" t="str">
        <v>-</v>
      </c>
      <c r="E28605" t="str">
        <v>-</v>
      </c>
      <c r="F28605" t="str">
        <v>-</v>
      </c>
      <c r="G28605" t="str">
        <v>-</v>
      </c>
    </row>
    <row r="28606">
      <c r="B28606" t="str">
        <v>Công an huyện Gia Lộc tỉnh Hải Dương</v>
      </c>
      <c r="C28606" t="str">
        <v>-</v>
      </c>
      <c r="D28606" t="str">
        <v>-</v>
      </c>
      <c r="E28606" t="str">
        <v/>
      </c>
      <c r="F28606" t="str">
        <v>-</v>
      </c>
      <c r="G28606" t="str">
        <v>-</v>
      </c>
    </row>
    <row r="28607">
      <c r="B28607" t="str">
        <v>UBND Ủy ban nhân dân huyện Gia Lộc tỉnh Hải Dương</v>
      </c>
      <c r="C28607" t="str">
        <v>-</v>
      </c>
      <c r="D28607" t="str">
        <v>-</v>
      </c>
      <c r="E28607" t="str">
        <v>-</v>
      </c>
      <c r="F28607" t="str">
        <v>-</v>
      </c>
      <c r="G28607" t="str">
        <v>-</v>
      </c>
    </row>
    <row r="28608">
      <c r="B28608" t="str">
        <v>Công an huyện Hoa Lư  tỉnh Ninh Bình</v>
      </c>
      <c r="C28608" t="str">
        <v>-</v>
      </c>
      <c r="D28608" t="str">
        <v>-</v>
      </c>
      <c r="E28608" t="str">
        <v/>
      </c>
      <c r="F28608" t="str">
        <v>-</v>
      </c>
      <c r="G28608" t="str">
        <v>-</v>
      </c>
    </row>
    <row r="28609">
      <c r="B28609" t="str">
        <v>UBND Ủy ban nhân dân huyện Hoa Lư  tỉnh Ninh Bình</v>
      </c>
      <c r="C28609" t="str">
        <v>-</v>
      </c>
      <c r="D28609" t="str">
        <v>-</v>
      </c>
      <c r="E28609" t="str">
        <v>-</v>
      </c>
      <c r="F28609" t="str">
        <v>-</v>
      </c>
      <c r="G28609" t="str">
        <v>-</v>
      </c>
    </row>
    <row r="28610">
      <c r="B28610" t="str">
        <v>Công an huyện Hớn Quản  tỉnh Bình Phước</v>
      </c>
      <c r="C28610" t="str">
        <v>-</v>
      </c>
      <c r="D28610" t="str">
        <v>-</v>
      </c>
      <c r="E28610" t="str">
        <v/>
      </c>
      <c r="F28610" t="str">
        <v>-</v>
      </c>
      <c r="G28610" t="str">
        <v>-</v>
      </c>
    </row>
    <row r="28611">
      <c r="B28611" t="str">
        <v>UBND Ủy ban nhân dân huyện Hớn Quản  tỉnh Bình Phước</v>
      </c>
      <c r="C28611" t="str">
        <v>-</v>
      </c>
      <c r="D28611" t="str">
        <v>-</v>
      </c>
      <c r="E28611" t="str">
        <v>-</v>
      </c>
      <c r="F28611" t="str">
        <v>-</v>
      </c>
      <c r="G28611" t="str">
        <v>-</v>
      </c>
    </row>
    <row r="28612">
      <c r="B28612" t="str">
        <v>Công an huyện Hương Sơn tỉnh Hà Tĩnh</v>
      </c>
      <c r="C28612" t="str">
        <v>-</v>
      </c>
      <c r="D28612" t="str">
        <v>-</v>
      </c>
      <c r="E28612" t="str">
        <v/>
      </c>
      <c r="F28612" t="str">
        <v>-</v>
      </c>
      <c r="G28612" t="str">
        <v>-</v>
      </c>
    </row>
    <row r="28613">
      <c r="B28613" t="str">
        <v>UBND Ủy ban nhân dân huyện Hương Sơn tỉnh Hà Tĩnh</v>
      </c>
      <c r="C28613" t="str">
        <v>-</v>
      </c>
      <c r="D28613" t="str">
        <v>-</v>
      </c>
      <c r="E28613" t="str">
        <v>-</v>
      </c>
      <c r="F28613" t="str">
        <v>-</v>
      </c>
      <c r="G28613" t="str">
        <v>-</v>
      </c>
    </row>
    <row r="28614">
      <c r="B28614" t="str">
        <v>Công an huyện Kim Bảng  tỉnh Hà Nam</v>
      </c>
      <c r="C28614" t="str">
        <v>-</v>
      </c>
      <c r="D28614" t="str">
        <v>-</v>
      </c>
      <c r="E28614" t="str">
        <v/>
      </c>
      <c r="F28614" t="str">
        <v>-</v>
      </c>
      <c r="G28614" t="str">
        <v>-</v>
      </c>
    </row>
    <row r="28615">
      <c r="B28615" t="str">
        <v>UBND Ủy ban nhân dân huyện Kim Bảng  tỉnh Hà Nam</v>
      </c>
      <c r="C28615" t="str">
        <v>-</v>
      </c>
      <c r="D28615" t="str">
        <v>-</v>
      </c>
      <c r="E28615" t="str">
        <v>-</v>
      </c>
      <c r="F28615" t="str">
        <v>-</v>
      </c>
      <c r="G28615" t="str">
        <v>-</v>
      </c>
    </row>
    <row r="28616">
      <c r="B28616" t="str">
        <v>Công an huyện Kon Plông  tỉnh Kon Tum</v>
      </c>
      <c r="C28616" t="str">
        <v>-</v>
      </c>
      <c r="D28616" t="str">
        <v>-</v>
      </c>
      <c r="E28616" t="str">
        <v/>
      </c>
      <c r="F28616" t="str">
        <v>-</v>
      </c>
      <c r="G28616" t="str">
        <v>-</v>
      </c>
    </row>
    <row r="28617">
      <c r="B28617" t="str">
        <v>UBND Ủy ban nhân dân huyện Kon Plông  tỉnh Kon Tum</v>
      </c>
      <c r="C28617" t="str">
        <v>-</v>
      </c>
      <c r="D28617" t="str">
        <v>-</v>
      </c>
      <c r="E28617" t="str">
        <v>-</v>
      </c>
      <c r="F28617" t="str">
        <v>-</v>
      </c>
      <c r="G28617" t="str">
        <v>-</v>
      </c>
    </row>
    <row r="28618">
      <c r="B28618" t="str">
        <v>Công an huyện Krông Pa  tỉnh Gia Lai</v>
      </c>
      <c r="C28618" t="str">
        <v>-</v>
      </c>
      <c r="D28618" t="str">
        <v>-</v>
      </c>
      <c r="E28618" t="str">
        <v/>
      </c>
      <c r="F28618" t="str">
        <v>-</v>
      </c>
      <c r="G28618" t="str">
        <v>-</v>
      </c>
    </row>
    <row r="28619">
      <c r="B28619" t="str">
        <v>UBND Ủy ban nhân dân huyện Krông Pa  tỉnh Gia Lai</v>
      </c>
      <c r="C28619" t="str">
        <v>-</v>
      </c>
      <c r="D28619" t="str">
        <v>-</v>
      </c>
      <c r="E28619" t="str">
        <v>-</v>
      </c>
      <c r="F28619" t="str">
        <v>-</v>
      </c>
      <c r="G28619" t="str">
        <v>-</v>
      </c>
    </row>
    <row r="28620">
      <c r="B28620" t="str">
        <v>Công an huyện Kỳ Sơn tỉnh Nghệ An</v>
      </c>
      <c r="C28620" t="str">
        <v>-</v>
      </c>
      <c r="D28620" t="str">
        <v>-</v>
      </c>
      <c r="E28620" t="str">
        <v/>
      </c>
      <c r="F28620" t="str">
        <v>-</v>
      </c>
      <c r="G28620" t="str">
        <v>-</v>
      </c>
    </row>
    <row r="28621">
      <c r="B28621" t="str">
        <v>UBND Ủy ban nhân dân huyện Kỳ Sơn tỉnh Nghệ An</v>
      </c>
      <c r="C28621" t="str">
        <v>-</v>
      </c>
      <c r="D28621" t="str">
        <v>-</v>
      </c>
      <c r="E28621" t="str">
        <v>-</v>
      </c>
      <c r="F28621" t="str">
        <v>-</v>
      </c>
      <c r="G28621" t="str">
        <v>-</v>
      </c>
    </row>
    <row r="28622">
      <c r="B28622" t="str">
        <v>Công an huyện Lạc Sơn  tỉnh Hòa Bình</v>
      </c>
      <c r="C28622" t="str">
        <v>-</v>
      </c>
      <c r="D28622" t="str">
        <v>-</v>
      </c>
      <c r="E28622" t="str">
        <v/>
      </c>
      <c r="F28622" t="str">
        <v>-</v>
      </c>
      <c r="G28622" t="str">
        <v>-</v>
      </c>
    </row>
    <row r="28623">
      <c r="B28623" t="str">
        <v>UBND Ủy ban nhân dân huyện Lạc Sơn  tỉnh Hòa Bình</v>
      </c>
      <c r="C28623" t="str">
        <v>-</v>
      </c>
      <c r="D28623" t="str">
        <v>-</v>
      </c>
      <c r="E28623" t="str">
        <v>-</v>
      </c>
      <c r="F28623" t="str">
        <v>-</v>
      </c>
      <c r="G28623" t="str">
        <v>-</v>
      </c>
    </row>
    <row r="28624">
      <c r="B28624" t="str">
        <v>Công an huyện Lập Thạch tỉnh Vĩnh Phúc</v>
      </c>
      <c r="C28624" t="str">
        <v>-</v>
      </c>
      <c r="D28624" t="str">
        <v>-</v>
      </c>
      <c r="E28624" t="str">
        <v/>
      </c>
      <c r="F28624" t="str">
        <v>-</v>
      </c>
      <c r="G28624" t="str">
        <v>-</v>
      </c>
    </row>
    <row r="28625">
      <c r="B28625" t="str">
        <v>UBND Ủy ban nhân dân huyện Lập Thạch tỉnh Vĩnh Phúc</v>
      </c>
      <c r="C28625" t="str">
        <v>-</v>
      </c>
      <c r="D28625" t="str">
        <v>-</v>
      </c>
      <c r="E28625" t="str">
        <v>-</v>
      </c>
      <c r="F28625" t="str">
        <v>-</v>
      </c>
      <c r="G28625" t="str">
        <v>-</v>
      </c>
    </row>
    <row r="28626">
      <c r="B28626" t="str">
        <v>Công an huyện Lộc Bình  tỉnh Lạng Sơn</v>
      </c>
      <c r="C28626" t="str">
        <v>-</v>
      </c>
      <c r="D28626" t="str">
        <v>-</v>
      </c>
      <c r="E28626" t="str">
        <v/>
      </c>
      <c r="F28626" t="str">
        <v>-</v>
      </c>
      <c r="G28626" t="str">
        <v>-</v>
      </c>
    </row>
    <row r="28627">
      <c r="B28627" t="str">
        <v>UBND Ủy ban nhân dân huyện Lộc Bình  tỉnh Lạng Sơn</v>
      </c>
      <c r="C28627" t="str">
        <v>-</v>
      </c>
      <c r="D28627" t="str">
        <v>-</v>
      </c>
      <c r="E28627" t="str">
        <v>-</v>
      </c>
      <c r="F28627" t="str">
        <v>-</v>
      </c>
      <c r="G28627" t="str">
        <v>-</v>
      </c>
    </row>
    <row r="28628">
      <c r="B28628" t="str">
        <v>Công an huyện Lục Ngạn  tỉnh Bắc Giang</v>
      </c>
      <c r="C28628" t="str">
        <v>-</v>
      </c>
      <c r="D28628" t="str">
        <v>-</v>
      </c>
      <c r="E28628" t="str">
        <v/>
      </c>
      <c r="F28628" t="str">
        <v>-</v>
      </c>
      <c r="G28628" t="str">
        <v>-</v>
      </c>
    </row>
    <row r="28629">
      <c r="B28629" t="str">
        <v>UBND Ủy ban nhân dân huyện Lục Ngạn  tỉnh Bắc Giang</v>
      </c>
      <c r="C28629" t="str">
        <v>-</v>
      </c>
      <c r="D28629" t="str">
        <v>-</v>
      </c>
      <c r="E28629" t="str">
        <v>-</v>
      </c>
      <c r="F28629" t="str">
        <v>-</v>
      </c>
      <c r="G28629" t="str">
        <v>-</v>
      </c>
    </row>
    <row r="28630">
      <c r="B28630" t="str">
        <v>Công an huyện Mai Sơn  tỉnh Sơn La</v>
      </c>
      <c r="C28630" t="str">
        <v>-</v>
      </c>
      <c r="D28630" t="str">
        <v>-</v>
      </c>
      <c r="E28630" t="str">
        <v/>
      </c>
      <c r="F28630" t="str">
        <v>-</v>
      </c>
      <c r="G28630" t="str">
        <v>-</v>
      </c>
    </row>
    <row r="28631">
      <c r="B28631" t="str">
        <v>UBND Ủy ban nhân dân huyện Mai Sơn  tỉnh Sơn La</v>
      </c>
      <c r="C28631" t="str">
        <v>-</v>
      </c>
      <c r="D28631" t="str">
        <v>-</v>
      </c>
      <c r="E28631" t="str">
        <v>-</v>
      </c>
      <c r="F28631" t="str">
        <v>-</v>
      </c>
      <c r="G28631" t="str">
        <v>-</v>
      </c>
    </row>
    <row r="28632">
      <c r="B28632" t="str">
        <v>Công an huyện Mường Chà  tỉnh Điện Biên</v>
      </c>
      <c r="C28632" t="str">
        <v>-</v>
      </c>
      <c r="D28632" t="str">
        <v>-</v>
      </c>
      <c r="E28632" t="str">
        <v/>
      </c>
      <c r="F28632" t="str">
        <v>-</v>
      </c>
      <c r="G28632" t="str">
        <v>-</v>
      </c>
    </row>
    <row r="28633">
      <c r="B28633" t="str">
        <v>UBND Ủy ban nhân dân huyện Mường Chà  tỉnh Điện Biên</v>
      </c>
      <c r="C28633" t="str">
        <v>-</v>
      </c>
      <c r="D28633" t="str">
        <v>-</v>
      </c>
      <c r="E28633" t="str">
        <v>-</v>
      </c>
      <c r="F28633" t="str">
        <v>-</v>
      </c>
      <c r="G28633" t="str">
        <v>-</v>
      </c>
    </row>
    <row r="28634">
      <c r="B28634" t="str">
        <v>Công an huyện Na Hang tỉnh Tuyên Quang</v>
      </c>
      <c r="C28634" t="str">
        <v>-</v>
      </c>
      <c r="D28634" t="str">
        <v>-</v>
      </c>
      <c r="E28634" t="str">
        <v/>
      </c>
      <c r="F28634" t="str">
        <v>-</v>
      </c>
      <c r="G28634" t="str">
        <v>-</v>
      </c>
    </row>
    <row r="28635">
      <c r="B28635" t="str">
        <v>UBND Ủy ban nhân dân huyện Na Hang tỉnh Tuyên Quang</v>
      </c>
      <c r="C28635" t="str">
        <v>-</v>
      </c>
      <c r="D28635" t="str">
        <v>-</v>
      </c>
      <c r="E28635" t="str">
        <v>-</v>
      </c>
      <c r="F28635" t="str">
        <v>-</v>
      </c>
      <c r="G28635" t="str">
        <v>-</v>
      </c>
    </row>
    <row r="28636">
      <c r="B28636" t="str">
        <v>Công an huyện Na Rì tỉnh Bắc Kạn</v>
      </c>
      <c r="C28636" t="str">
        <v>-</v>
      </c>
      <c r="D28636" t="str">
        <v>-</v>
      </c>
      <c r="E28636" t="str">
        <v/>
      </c>
      <c r="F28636" t="str">
        <v>-</v>
      </c>
      <c r="G28636" t="str">
        <v>-</v>
      </c>
    </row>
    <row r="28637">
      <c r="B28637" t="str">
        <v>UBND Ủy ban nhân dân huyện Na Rì tỉnh Bắc Kạn</v>
      </c>
      <c r="C28637" t="str">
        <v>-</v>
      </c>
      <c r="D28637" t="str">
        <v>-</v>
      </c>
      <c r="E28637" t="str">
        <v>-</v>
      </c>
      <c r="F28637" t="str">
        <v>-</v>
      </c>
      <c r="G28637" t="str">
        <v>-</v>
      </c>
    </row>
    <row r="28638">
      <c r="B28638" t="str">
        <v>Công an huyện Ngọc Hồi tỉnh Kon Tum</v>
      </c>
      <c r="C28638" t="str">
        <v>-</v>
      </c>
      <c r="D28638" t="str">
        <v>-</v>
      </c>
      <c r="E28638" t="str">
        <v/>
      </c>
      <c r="F28638" t="str">
        <v>-</v>
      </c>
      <c r="G28638" t="str">
        <v>-</v>
      </c>
    </row>
    <row r="28639">
      <c r="B28639" t="str">
        <v>UBND Ủy ban nhân dân huyện Ngọc Hồi tỉnh Kon Tum</v>
      </c>
      <c r="C28639" t="str">
        <v>-</v>
      </c>
      <c r="D28639" t="str">
        <v>-</v>
      </c>
      <c r="E28639" t="str">
        <v>-</v>
      </c>
      <c r="F28639" t="str">
        <v>-</v>
      </c>
      <c r="G28639" t="str">
        <v>-</v>
      </c>
    </row>
    <row r="28640">
      <c r="B28640" t="str">
        <v>Công an huyện Như Thanh tỉnh Thanh Hóa</v>
      </c>
      <c r="C28640" t="str">
        <v>-</v>
      </c>
      <c r="D28640" t="str">
        <v>-</v>
      </c>
      <c r="E28640" t="str">
        <v/>
      </c>
      <c r="F28640" t="str">
        <v>-</v>
      </c>
      <c r="G28640" t="str">
        <v>-</v>
      </c>
    </row>
    <row r="28641">
      <c r="B28641" t="str">
        <v>UBND Ủy ban nhân dân huyện Như Thanh tỉnh Thanh Hóa</v>
      </c>
      <c r="C28641" t="str">
        <v>-</v>
      </c>
      <c r="D28641" t="str">
        <v>-</v>
      </c>
      <c r="E28641" t="str">
        <v>-</v>
      </c>
      <c r="F28641" t="str">
        <v>-</v>
      </c>
      <c r="G28641" t="str">
        <v>-</v>
      </c>
    </row>
    <row r="28642">
      <c r="B28642" t="str">
        <v>Công an huyện Như Xuân tỉnh Thanh Hóa</v>
      </c>
      <c r="C28642" t="str">
        <v>-</v>
      </c>
      <c r="D28642" t="str">
        <v>-</v>
      </c>
      <c r="E28642" t="str">
        <v/>
      </c>
      <c r="F28642" t="str">
        <v>-</v>
      </c>
      <c r="G28642" t="str">
        <v>-</v>
      </c>
    </row>
    <row r="28643">
      <c r="B28643" t="str">
        <v>UBND Ủy ban nhân dân huyện Như Xuân tỉnh Thanh Hóa</v>
      </c>
      <c r="C28643" t="str">
        <v>-</v>
      </c>
      <c r="D28643" t="str">
        <v>-</v>
      </c>
      <c r="E28643" t="str">
        <v>-</v>
      </c>
      <c r="F28643" t="str">
        <v>-</v>
      </c>
      <c r="G28643" t="str">
        <v>-</v>
      </c>
    </row>
    <row r="28644">
      <c r="B28644" t="str">
        <v>Công an huyện Phù Yên tỉnh Sơn La</v>
      </c>
      <c r="C28644" t="str">
        <v>-</v>
      </c>
      <c r="D28644" t="str">
        <v>-</v>
      </c>
      <c r="E28644" t="str">
        <v/>
      </c>
      <c r="F28644" t="str">
        <v>-</v>
      </c>
      <c r="G28644" t="str">
        <v>-</v>
      </c>
    </row>
    <row r="28645">
      <c r="B28645" t="str">
        <v>UBND Ủy ban nhân dân huyện Phù Yên tỉnh Sơn La</v>
      </c>
      <c r="C28645" t="str">
        <v>-</v>
      </c>
      <c r="D28645" t="str">
        <v>-</v>
      </c>
      <c r="E28645" t="str">
        <v>-</v>
      </c>
      <c r="F28645" t="str">
        <v>-</v>
      </c>
      <c r="G28645" t="str">
        <v>-</v>
      </c>
    </row>
    <row r="28646">
      <c r="B28646" t="str">
        <v>Công an huyện Quảng Trạch tỉnh Quảng Bình</v>
      </c>
      <c r="C28646" t="str">
        <v>-</v>
      </c>
      <c r="D28646" t="str">
        <v>-</v>
      </c>
      <c r="E28646" t="str">
        <v/>
      </c>
      <c r="F28646" t="str">
        <v>-</v>
      </c>
      <c r="G28646" t="str">
        <v>-</v>
      </c>
    </row>
    <row r="28647">
      <c r="B28647" t="str">
        <v>UBND Ủy ban nhân dân huyện Quảng Trạch tỉnh Quảng Bình</v>
      </c>
      <c r="C28647" t="str">
        <v>-</v>
      </c>
      <c r="D28647" t="str">
        <v>-</v>
      </c>
      <c r="E28647" t="str">
        <v>-</v>
      </c>
      <c r="F28647" t="str">
        <v>-</v>
      </c>
      <c r="G28647" t="str">
        <v>-</v>
      </c>
    </row>
    <row r="28648">
      <c r="B28648" t="str">
        <v>Công an huyện Quỳ Châu  tỉnh Nghệ An</v>
      </c>
      <c r="C28648" t="str">
        <v>-</v>
      </c>
      <c r="D28648" t="str">
        <v>-</v>
      </c>
      <c r="E28648" t="str">
        <v/>
      </c>
      <c r="F28648" t="str">
        <v>-</v>
      </c>
      <c r="G28648" t="str">
        <v>-</v>
      </c>
    </row>
    <row r="28649">
      <c r="B28649" t="str">
        <v>UBND Ủy ban nhân dân huyện Quỳ Châu  tỉnh Nghệ An</v>
      </c>
      <c r="C28649" t="str">
        <v>-</v>
      </c>
      <c r="D28649" t="str">
        <v>-</v>
      </c>
      <c r="E28649" t="str">
        <v>-</v>
      </c>
      <c r="F28649" t="str">
        <v>-</v>
      </c>
      <c r="G28649" t="str">
        <v>-</v>
      </c>
    </row>
    <row r="28650">
      <c r="B28650" t="str">
        <v>Công an huyện Sơn Động  tỉnh Bắc Giang</v>
      </c>
      <c r="C28650" t="str">
        <v>-</v>
      </c>
      <c r="D28650" t="str">
        <v>-</v>
      </c>
      <c r="E28650" t="str">
        <v/>
      </c>
      <c r="F28650" t="str">
        <v>-</v>
      </c>
      <c r="G28650" t="str">
        <v>-</v>
      </c>
    </row>
    <row r="28651">
      <c r="B28651" t="str">
        <v>UBND Ủy ban nhân dân huyện Sơn Động  tỉnh Bắc Giang</v>
      </c>
      <c r="C28651" t="str">
        <v>-</v>
      </c>
      <c r="D28651" t="str">
        <v>-</v>
      </c>
      <c r="E28651" t="str">
        <v>-</v>
      </c>
      <c r="F28651" t="str">
        <v>-</v>
      </c>
      <c r="G28651" t="str">
        <v>-</v>
      </c>
    </row>
    <row r="28652">
      <c r="B28652" t="str">
        <v>Công an huyện Tam Nông  tỉnh Phú Thọ</v>
      </c>
      <c r="C28652" t="str">
        <v>-</v>
      </c>
      <c r="D28652" t="str">
        <v>-</v>
      </c>
      <c r="E28652" t="str">
        <v/>
      </c>
      <c r="F28652" t="str">
        <v>-</v>
      </c>
      <c r="G28652" t="str">
        <v>-</v>
      </c>
    </row>
    <row r="28653">
      <c r="B28653" t="str">
        <v>UBND Ủy ban nhân dân huyện Tam Nông  tỉnh Phú Thọ</v>
      </c>
      <c r="C28653" t="str">
        <v>-</v>
      </c>
      <c r="D28653" t="str">
        <v>-</v>
      </c>
      <c r="E28653" t="str">
        <v>-</v>
      </c>
      <c r="F28653" t="str">
        <v>-</v>
      </c>
      <c r="G28653" t="str">
        <v>-</v>
      </c>
    </row>
    <row r="28654">
      <c r="B28654" t="str">
        <v>Công an huyện Tân Uyên tỉnh Lai Châu</v>
      </c>
      <c r="C28654" t="str">
        <v>-</v>
      </c>
      <c r="D28654" t="str">
        <v>-</v>
      </c>
      <c r="E28654" t="str">
        <v/>
      </c>
      <c r="F28654" t="str">
        <v>-</v>
      </c>
      <c r="G28654" t="str">
        <v>-</v>
      </c>
    </row>
    <row r="28655">
      <c r="B28655" t="str">
        <v>UBND Ủy ban nhân dân huyện Tân Uyên tỉnh Lai Châu</v>
      </c>
      <c r="C28655" t="str">
        <v>-</v>
      </c>
      <c r="D28655" t="str">
        <v>-</v>
      </c>
      <c r="E28655" t="str">
        <v>-</v>
      </c>
      <c r="F28655" t="str">
        <v>-</v>
      </c>
      <c r="G28655" t="str">
        <v>-</v>
      </c>
    </row>
    <row r="28656">
      <c r="B28656" t="str">
        <v>Công an huyện Tây Sơn  tỉnh Bình Định</v>
      </c>
      <c r="C28656" t="str">
        <v>-</v>
      </c>
      <c r="D28656" t="str">
        <v>-</v>
      </c>
      <c r="E28656" t="str">
        <v/>
      </c>
      <c r="F28656" t="str">
        <v>-</v>
      </c>
      <c r="G28656" t="str">
        <v>-</v>
      </c>
    </row>
    <row r="28657">
      <c r="B28657" t="str">
        <v>UBND Ủy ban nhân dân huyện Tây Sơn  tỉnh Bình Định</v>
      </c>
      <c r="C28657" t="str">
        <v>-</v>
      </c>
      <c r="D28657" t="str">
        <v>-</v>
      </c>
      <c r="E28657" t="str">
        <v>-</v>
      </c>
      <c r="F28657" t="str">
        <v>-</v>
      </c>
      <c r="G28657" t="str">
        <v>-</v>
      </c>
    </row>
    <row r="28658">
      <c r="B28658" t="str">
        <v>Công an huyện Thiệu Hóa  tỉnh Thanh Hóa</v>
      </c>
      <c r="C28658" t="str">
        <v>-</v>
      </c>
      <c r="D28658" t="str">
        <v>-</v>
      </c>
      <c r="E28658" t="str">
        <v/>
      </c>
      <c r="F28658" t="str">
        <v>-</v>
      </c>
      <c r="G28658" t="str">
        <v>-</v>
      </c>
    </row>
    <row r="28659">
      <c r="B28659" t="str">
        <v>UBND Ủy ban nhân dân huyện Thiệu Hóa  tỉnh Thanh Hóa</v>
      </c>
      <c r="C28659" t="str">
        <v>-</v>
      </c>
      <c r="D28659" t="str">
        <v>-</v>
      </c>
      <c r="E28659" t="str">
        <v>-</v>
      </c>
      <c r="F28659" t="str">
        <v>-</v>
      </c>
      <c r="G28659" t="str">
        <v>-</v>
      </c>
    </row>
    <row r="28660">
      <c r="B28660" t="str">
        <v>Công an huyện Thường Xuân  tỉnh Thanh Hóa</v>
      </c>
      <c r="C28660" t="str">
        <v>-</v>
      </c>
      <c r="D28660" t="str">
        <v>-</v>
      </c>
      <c r="E28660" t="str">
        <v/>
      </c>
      <c r="F28660" t="str">
        <v>-</v>
      </c>
      <c r="G28660" t="str">
        <v>-</v>
      </c>
    </row>
    <row r="28661">
      <c r="B28661" t="str">
        <v>UBND Ủy ban nhân dân huyện Thường Xuân  tỉnh Thanh Hóa</v>
      </c>
      <c r="C28661" t="str">
        <v>-</v>
      </c>
      <c r="D28661" t="str">
        <v>-</v>
      </c>
      <c r="E28661" t="str">
        <v>-</v>
      </c>
      <c r="F28661" t="str">
        <v>-</v>
      </c>
      <c r="G28661" t="str">
        <v>-</v>
      </c>
    </row>
    <row r="28662">
      <c r="B28662" t="str">
        <v>Công an huyện Tủa Chùa  tỉnh Điện Biên</v>
      </c>
      <c r="C28662" t="str">
        <v>-</v>
      </c>
      <c r="D28662" t="str">
        <v>-</v>
      </c>
      <c r="E28662" t="str">
        <v/>
      </c>
      <c r="F28662" t="str">
        <v>-</v>
      </c>
      <c r="G28662" t="str">
        <v>-</v>
      </c>
    </row>
    <row r="28663">
      <c r="B28663" t="str">
        <v>UBND Ủy ban nhân dân huyện Tủa Chùa  tỉnh Điện Biên</v>
      </c>
      <c r="C28663" t="str">
        <v>-</v>
      </c>
      <c r="D28663" t="str">
        <v>-</v>
      </c>
      <c r="E28663" t="str">
        <v>-</v>
      </c>
      <c r="F28663" t="str">
        <v>-</v>
      </c>
      <c r="G28663" t="str">
        <v>-</v>
      </c>
    </row>
    <row r="28664">
      <c r="B28664" t="str">
        <v>Công an huyện Tuần Giáo  tỉnh Điện Biên</v>
      </c>
      <c r="C28664" t="str">
        <v>-</v>
      </c>
      <c r="D28664" t="str">
        <v>-</v>
      </c>
      <c r="E28664" t="str">
        <v/>
      </c>
      <c r="F28664" t="str">
        <v>-</v>
      </c>
      <c r="G28664" t="str">
        <v>-</v>
      </c>
    </row>
    <row r="28665">
      <c r="B28665" t="str">
        <v>UBND Ủy ban nhân dân huyện Tuần Giáo  tỉnh Điện Biên</v>
      </c>
      <c r="C28665" t="str">
        <v>-</v>
      </c>
      <c r="D28665" t="str">
        <v>-</v>
      </c>
      <c r="E28665" t="str">
        <v>-</v>
      </c>
      <c r="F28665" t="str">
        <v>-</v>
      </c>
      <c r="G28665" t="str">
        <v>-</v>
      </c>
    </row>
    <row r="28666">
      <c r="B28666" t="str">
        <v>Công an huyện Yên Dũng tỉnh Bắc Giang</v>
      </c>
      <c r="C28666" t="str">
        <v>-</v>
      </c>
      <c r="D28666" t="str">
        <v>-</v>
      </c>
      <c r="E28666" t="str">
        <v/>
      </c>
      <c r="F28666" t="str">
        <v>-</v>
      </c>
      <c r="G28666" t="str">
        <v>-</v>
      </c>
    </row>
    <row r="28667">
      <c r="B28667" t="str">
        <v>UBND Ủy ban nhân dân huyện Yên Dũng tỉnh Bắc Giang</v>
      </c>
      <c r="C28667" t="str">
        <v>-</v>
      </c>
      <c r="D28667" t="str">
        <v>-</v>
      </c>
      <c r="E28667" t="str">
        <v>-</v>
      </c>
      <c r="F28667" t="str">
        <v>-</v>
      </c>
      <c r="G28667" t="str">
        <v>-</v>
      </c>
    </row>
    <row r="28668">
      <c r="B28668" t="str">
        <v>Công an huyện Yên Khánh  tỉnh Ninh Bình</v>
      </c>
      <c r="C28668" t="str">
        <v>-</v>
      </c>
      <c r="D28668" t="str">
        <v>-</v>
      </c>
      <c r="E28668" t="str">
        <v/>
      </c>
      <c r="F28668" t="str">
        <v>-</v>
      </c>
      <c r="G28668" t="str">
        <v>-</v>
      </c>
    </row>
    <row r="28669">
      <c r="B28669" t="str">
        <v>UBND Ủy ban nhân dân huyện Yên Khánh  tỉnh Ninh Bình</v>
      </c>
      <c r="C28669" t="str">
        <v>-</v>
      </c>
      <c r="D28669" t="str">
        <v>-</v>
      </c>
      <c r="E28669" t="str">
        <v>-</v>
      </c>
      <c r="F28669" t="str">
        <v>-</v>
      </c>
      <c r="G28669" t="str">
        <v>-</v>
      </c>
    </row>
    <row r="28670">
      <c r="B28670" t="str">
        <v>Công an huyện Yên Thế  tỉnh Bắc Giang</v>
      </c>
      <c r="C28670" t="str">
        <v>-</v>
      </c>
      <c r="D28670" t="str">
        <v>-</v>
      </c>
      <c r="E28670" t="str">
        <v/>
      </c>
      <c r="F28670" t="str">
        <v>-</v>
      </c>
      <c r="G28670" t="str">
        <v>-</v>
      </c>
    </row>
    <row r="28671">
      <c r="B28671" t="str">
        <v>UBND Ủy ban nhân dân huyện Yên Thế  tỉnh Bắc Giang</v>
      </c>
      <c r="C28671" t="str">
        <v>-</v>
      </c>
      <c r="D28671" t="str">
        <v>-</v>
      </c>
      <c r="E28671" t="str">
        <v>-</v>
      </c>
      <c r="F28671" t="str">
        <v>-</v>
      </c>
      <c r="G28671" t="str">
        <v>-</v>
      </c>
    </row>
    <row r="28672">
      <c r="B28672" t="str">
        <v>Công an huyện Ia Grai  tỉnh Gia Lai</v>
      </c>
      <c r="C28672" t="str">
        <v>-</v>
      </c>
      <c r="D28672" t="str">
        <v>-</v>
      </c>
      <c r="E28672" t="str">
        <v/>
      </c>
      <c r="F28672" t="str">
        <v>-</v>
      </c>
      <c r="G28672" t="str">
        <v>-</v>
      </c>
    </row>
    <row r="28673">
      <c r="B28673" t="str">
        <v>UBND Ủy ban nhân dân huyện Ia Grai  tỉnh Gia Lai</v>
      </c>
      <c r="C28673" t="str">
        <v>-</v>
      </c>
      <c r="D28673" t="str">
        <v>-</v>
      </c>
      <c r="E28673" t="str">
        <v>-</v>
      </c>
      <c r="F28673" t="str">
        <v>-</v>
      </c>
      <c r="G28673" t="str">
        <v>-</v>
      </c>
    </row>
    <row r="28674">
      <c r="B28674" t="str">
        <v>Công an huyện Kbang  tỉnh Gia Lai</v>
      </c>
      <c r="C28674" t="str">
        <v>-</v>
      </c>
      <c r="D28674" t="str">
        <v>-</v>
      </c>
      <c r="E28674" t="str">
        <v/>
      </c>
      <c r="F28674" t="str">
        <v>-</v>
      </c>
      <c r="G28674" t="str">
        <v>-</v>
      </c>
    </row>
    <row r="28675">
      <c r="B28675" t="str">
        <v>UBND Ủy ban nhân dân huyện Kbang  tỉnh Gia Lai</v>
      </c>
      <c r="C28675" t="str">
        <v>-</v>
      </c>
      <c r="D28675" t="str">
        <v>-</v>
      </c>
      <c r="E28675" t="str">
        <v>-</v>
      </c>
      <c r="F28675" t="str">
        <v>-</v>
      </c>
      <c r="G28675" t="str">
        <v>-</v>
      </c>
    </row>
    <row r="28676">
      <c r="B28676" t="str">
        <v>Công an xã Khuyến Nông tỉnh Thanh Hóa</v>
      </c>
      <c r="C28676" t="str">
        <v>-</v>
      </c>
      <c r="D28676" t="str">
        <v>-</v>
      </c>
      <c r="E28676" t="str">
        <v/>
      </c>
      <c r="F28676" t="str">
        <v>-</v>
      </c>
      <c r="G28676" t="str">
        <v>-</v>
      </c>
    </row>
    <row r="28677">
      <c r="B28677" t="str">
        <v>UBND Ủy ban nhân dân xã Khuyến Nông tỉnh Thanh Hóa</v>
      </c>
      <c r="C28677" t="str">
        <v>-</v>
      </c>
      <c r="D28677" t="str">
        <v>-</v>
      </c>
      <c r="E28677" t="str">
        <v>-</v>
      </c>
      <c r="F28677" t="str">
        <v>-</v>
      </c>
      <c r="G28677" t="str">
        <v>-</v>
      </c>
    </row>
    <row r="28678">
      <c r="B28678" t="str">
        <v>Công an huyện Kông Chro  tỉnh Gia Lai</v>
      </c>
      <c r="C28678" t="str">
        <v>-</v>
      </c>
      <c r="D28678" t="str">
        <v>-</v>
      </c>
      <c r="E28678" t="str">
        <v/>
      </c>
      <c r="F28678" t="str">
        <v>-</v>
      </c>
      <c r="G28678" t="str">
        <v>-</v>
      </c>
    </row>
    <row r="28679">
      <c r="B28679" t="str">
        <v>UBND Ủy ban nhân dân huyện Kông Chro  tỉnh Gia Lai</v>
      </c>
      <c r="C28679" t="str">
        <v>-</v>
      </c>
      <c r="D28679" t="str">
        <v>-</v>
      </c>
      <c r="E28679" t="str">
        <v>-</v>
      </c>
      <c r="F28679" t="str">
        <v>-</v>
      </c>
      <c r="G28679" t="str">
        <v>-</v>
      </c>
    </row>
    <row r="28680">
      <c r="B28680" t="str">
        <v>Công an xã Kỳ Phú tỉnh Ninh Bình</v>
      </c>
      <c r="C28680" t="str">
        <v>-</v>
      </c>
      <c r="D28680" t="str">
        <v>-</v>
      </c>
      <c r="E28680" t="str">
        <v/>
      </c>
      <c r="F28680" t="str">
        <v>-</v>
      </c>
      <c r="G28680" t="str">
        <v>-</v>
      </c>
    </row>
    <row r="28681">
      <c r="B28681" t="str">
        <v>UBND Ủy ban nhân dân xã Kỳ Phú tỉnh Ninh Bình</v>
      </c>
      <c r="C28681" t="str">
        <v>-</v>
      </c>
      <c r="D28681" t="str">
        <v>-</v>
      </c>
      <c r="E28681" t="str">
        <v>-</v>
      </c>
      <c r="F28681" t="str">
        <v>-</v>
      </c>
      <c r="G28681" t="str">
        <v>-</v>
      </c>
    </row>
    <row r="28682">
      <c r="B28682" t="str">
        <v>Công an xã Kỳ Tây  tỉnh Hà Tĩnh</v>
      </c>
      <c r="C28682" t="str">
        <v>-</v>
      </c>
      <c r="D28682" t="str">
        <v>-</v>
      </c>
      <c r="E28682" t="str">
        <v/>
      </c>
      <c r="F28682" t="str">
        <v>-</v>
      </c>
      <c r="G28682" t="str">
        <v>-</v>
      </c>
    </row>
    <row r="28683">
      <c r="B28683" t="str">
        <v>UBND Ủy ban nhân dân xã Kỳ Tây  tỉnh Hà Tĩnh</v>
      </c>
      <c r="C28683" t="str">
        <v>-</v>
      </c>
      <c r="D28683" t="str">
        <v>-</v>
      </c>
      <c r="E28683" t="str">
        <v>-</v>
      </c>
      <c r="F28683" t="str">
        <v>-</v>
      </c>
      <c r="G28683" t="str">
        <v>-</v>
      </c>
    </row>
    <row r="28684">
      <c r="B28684" t="str">
        <v>Công an thị trấn Lai Cách tỉnh Hải Dương</v>
      </c>
      <c r="C28684" t="str">
        <v>-</v>
      </c>
      <c r="D28684" t="str">
        <v>-</v>
      </c>
      <c r="E28684" t="str">
        <v/>
      </c>
      <c r="F28684" t="str">
        <v>-</v>
      </c>
      <c r="G28684" t="str">
        <v>-</v>
      </c>
    </row>
    <row r="28685">
      <c r="B28685" t="str">
        <v>UBND Ủy ban nhân dân thị trấn Lai Cách tỉnh Hải Dương</v>
      </c>
      <c r="C28685" t="str">
        <v>-</v>
      </c>
      <c r="D28685" t="str">
        <v>-</v>
      </c>
      <c r="E28685" t="str">
        <v>-</v>
      </c>
      <c r="F28685" t="str">
        <v>-</v>
      </c>
      <c r="G28685" t="str">
        <v>-</v>
      </c>
    </row>
    <row r="28686">
      <c r="B28686" t="str">
        <v>Công an phường Lam Sơn tỉnh Thanh Hóa</v>
      </c>
      <c r="C28686" t="str">
        <v>-</v>
      </c>
      <c r="D28686" t="str">
        <v>-</v>
      </c>
      <c r="E28686" t="str">
        <v/>
      </c>
      <c r="F28686" t="str">
        <v>-</v>
      </c>
      <c r="G28686" t="str">
        <v>-</v>
      </c>
    </row>
    <row r="28687">
      <c r="B28687" t="str">
        <v>UBND Ủy ban nhân dân phường Lam Sơn tỉnh Thanh Hóa</v>
      </c>
      <c r="C28687" t="str">
        <v>-</v>
      </c>
      <c r="D28687" t="str">
        <v>-</v>
      </c>
      <c r="E28687" t="str">
        <v>-</v>
      </c>
      <c r="F28687" t="str">
        <v>-</v>
      </c>
      <c r="G28687" t="str">
        <v>-</v>
      </c>
    </row>
    <row r="28688">
      <c r="B28688" t="str">
        <v>Công an xã Lâm Sơn tỉnh Hòa Bình</v>
      </c>
      <c r="C28688" t="str">
        <v>-</v>
      </c>
      <c r="D28688" t="str">
        <v>-</v>
      </c>
      <c r="E28688" t="str">
        <v/>
      </c>
      <c r="F28688" t="str">
        <v>-</v>
      </c>
      <c r="G28688" t="str">
        <v>-</v>
      </c>
    </row>
    <row r="28689">
      <c r="B28689" t="str">
        <v>UBND Ủy ban nhân dân xã Lâm Sơn tỉnh Hòa Bình</v>
      </c>
      <c r="C28689" t="str">
        <v>-</v>
      </c>
      <c r="D28689" t="str">
        <v>-</v>
      </c>
      <c r="E28689" t="str">
        <v>-</v>
      </c>
      <c r="F28689" t="str">
        <v>-</v>
      </c>
      <c r="G28689" t="str">
        <v>-</v>
      </c>
    </row>
    <row r="28690">
      <c r="B28690" t="str">
        <v>Công an xã La Pán Tẩn  tỉnh Yên Bái</v>
      </c>
      <c r="C28690" t="str">
        <v>-</v>
      </c>
      <c r="D28690" t="str">
        <v>-</v>
      </c>
      <c r="E28690" t="str">
        <v/>
      </c>
      <c r="F28690" t="str">
        <v>-</v>
      </c>
      <c r="G28690" t="str">
        <v>-</v>
      </c>
    </row>
    <row r="28691">
      <c r="B28691" t="str">
        <v>UBND Ủy ban nhân dân xã La Pán Tẩn  tỉnh Yên Bái</v>
      </c>
      <c r="C28691" t="str">
        <v>-</v>
      </c>
      <c r="D28691" t="str">
        <v>-</v>
      </c>
      <c r="E28691" t="str">
        <v>-</v>
      </c>
      <c r="F28691" t="str">
        <v>-</v>
      </c>
      <c r="G28691" t="str">
        <v>-</v>
      </c>
    </row>
    <row r="28692">
      <c r="B28692" t="str">
        <v>Công an xã Liên Hoà  tỉnh Hải Dương</v>
      </c>
      <c r="C28692" t="str">
        <v>-</v>
      </c>
      <c r="D28692" t="str">
        <v>-</v>
      </c>
      <c r="E28692" t="str">
        <v/>
      </c>
      <c r="F28692" t="str">
        <v>-</v>
      </c>
      <c r="G28692" t="str">
        <v>-</v>
      </c>
    </row>
    <row r="28693">
      <c r="B28693" t="str">
        <v>UBND Ủy ban nhân dân xã Liên Hoà  tỉnh Hải Dương</v>
      </c>
      <c r="C28693" t="str">
        <v>-</v>
      </c>
      <c r="D28693" t="str">
        <v>-</v>
      </c>
      <c r="E28693" t="str">
        <v>-</v>
      </c>
      <c r="F28693" t="str">
        <v>-</v>
      </c>
      <c r="G28693" t="str">
        <v>-</v>
      </c>
    </row>
    <row r="28694">
      <c r="B28694" t="str">
        <v>Công an huyện Lệ Thủy tỉnh Quảng Bình</v>
      </c>
      <c r="C28694" t="str">
        <v>-</v>
      </c>
      <c r="D28694" t="str">
        <v>-</v>
      </c>
      <c r="E28694" t="str">
        <v/>
      </c>
      <c r="F28694" t="str">
        <v>-</v>
      </c>
      <c r="G28694" t="str">
        <v>-</v>
      </c>
    </row>
    <row r="28695">
      <c r="B28695" t="str">
        <v>UBND Ủy ban nhân dân huyện Lệ Thủy tỉnh Quảng Bình</v>
      </c>
      <c r="C28695" t="str">
        <v>-</v>
      </c>
      <c r="D28695" t="str">
        <v>-</v>
      </c>
      <c r="E28695" t="str">
        <v>-</v>
      </c>
      <c r="F28695" t="str">
        <v>-</v>
      </c>
      <c r="G28695" t="str">
        <v>-</v>
      </c>
    </row>
    <row r="28696">
      <c r="B28696" t="str">
        <v>Công an huyện Lương Tài  tỉnh Bắc Ninh</v>
      </c>
      <c r="C28696" t="str">
        <v>-</v>
      </c>
      <c r="D28696" t="str">
        <v>-</v>
      </c>
      <c r="E28696" t="str">
        <v/>
      </c>
      <c r="F28696" t="str">
        <v>-</v>
      </c>
      <c r="G28696" t="str">
        <v>-</v>
      </c>
    </row>
    <row r="28697">
      <c r="B28697" t="str">
        <v>UBND Ủy ban nhân dân huyện Lương Tài  tỉnh Bắc Ninh</v>
      </c>
      <c r="C28697" t="str">
        <v>-</v>
      </c>
      <c r="D28697" t="str">
        <v>-</v>
      </c>
      <c r="E28697" t="str">
        <v>-</v>
      </c>
      <c r="F28697" t="str">
        <v>-</v>
      </c>
      <c r="G28697" t="str">
        <v>-</v>
      </c>
    </row>
    <row r="28698">
      <c r="B28698" t="str">
        <v>Công an huyện Mường La tỉnh Sơn La</v>
      </c>
      <c r="C28698" t="str">
        <v>-</v>
      </c>
      <c r="D28698" t="str">
        <v>-</v>
      </c>
      <c r="E28698" t="str">
        <v/>
      </c>
      <c r="F28698" t="str">
        <v>-</v>
      </c>
      <c r="G28698" t="str">
        <v>-</v>
      </c>
    </row>
    <row r="28699">
      <c r="B28699" t="str">
        <v>UBND Ủy ban nhân dân huyện Mường La tỉnh Sơn La</v>
      </c>
      <c r="C28699" t="str">
        <v>-</v>
      </c>
      <c r="D28699" t="str">
        <v>-</v>
      </c>
      <c r="E28699" t="str">
        <v>-</v>
      </c>
      <c r="F28699" t="str">
        <v>-</v>
      </c>
      <c r="G28699" t="str">
        <v>-</v>
      </c>
    </row>
    <row r="28700">
      <c r="B28700" t="str">
        <v>Công an huyện Mỹ Đức  thành phố Hà Nội</v>
      </c>
      <c r="C28700" t="str">
        <v>-</v>
      </c>
      <c r="D28700" t="str">
        <v>-</v>
      </c>
      <c r="E28700" t="str">
        <v/>
      </c>
      <c r="F28700" t="str">
        <v>-</v>
      </c>
      <c r="G28700" t="str">
        <v>-</v>
      </c>
    </row>
    <row r="28701">
      <c r="B28701" t="str">
        <v>UBND Ủy ban nhân dân huyện Mỹ Đức  thành phố Hà Nội</v>
      </c>
      <c r="C28701" t="str">
        <v>-</v>
      </c>
      <c r="D28701" t="str">
        <v>-</v>
      </c>
      <c r="E28701" t="str">
        <v>-</v>
      </c>
      <c r="F28701" t="str">
        <v>-</v>
      </c>
      <c r="G28701" t="str">
        <v>-</v>
      </c>
    </row>
    <row r="28702">
      <c r="B28702" t="str">
        <v>Công an huyện Nam Đàn  tỉnh Nghệ An</v>
      </c>
      <c r="C28702" t="str">
        <v>-</v>
      </c>
      <c r="D28702" t="str">
        <v>-</v>
      </c>
      <c r="E28702" t="str">
        <v/>
      </c>
      <c r="F28702" t="str">
        <v>-</v>
      </c>
      <c r="G28702" t="str">
        <v>-</v>
      </c>
    </row>
    <row r="28703">
      <c r="B28703" t="str">
        <v>UBND Ủy ban nhân dân huyện Nam Đàn  tỉnh Nghệ An</v>
      </c>
      <c r="C28703" t="str">
        <v>-</v>
      </c>
      <c r="D28703" t="str">
        <v>-</v>
      </c>
      <c r="E28703" t="str">
        <v>-</v>
      </c>
      <c r="F28703" t="str">
        <v>-</v>
      </c>
      <c r="G28703" t="str">
        <v>-</v>
      </c>
    </row>
    <row r="28704">
      <c r="B28704" t="str">
        <v>Công an xã Nam Hà  tỉnh Thái Bình</v>
      </c>
      <c r="C28704" t="str">
        <v>-</v>
      </c>
      <c r="D28704" t="str">
        <v>-</v>
      </c>
      <c r="E28704" t="str">
        <v/>
      </c>
      <c r="F28704" t="str">
        <v>-</v>
      </c>
      <c r="G28704" t="str">
        <v>-</v>
      </c>
    </row>
    <row r="28705">
      <c r="B28705" t="str">
        <v>UBND Ủy ban nhân dân xã Nam Hà  tỉnh Thái Bình</v>
      </c>
      <c r="C28705" t="str">
        <v>-</v>
      </c>
      <c r="D28705" t="str">
        <v>-</v>
      </c>
      <c r="E28705" t="str">
        <v>-</v>
      </c>
      <c r="F28705" t="str">
        <v>-</v>
      </c>
      <c r="G28705" t="str">
        <v>-</v>
      </c>
    </row>
    <row r="28706">
      <c r="B28706" t="str">
        <v>Công an xã Nghi Phú  tỉnh Nghệ An</v>
      </c>
      <c r="C28706" t="str">
        <v>-</v>
      </c>
      <c r="D28706" t="str">
        <v>-</v>
      </c>
      <c r="E28706" t="str">
        <v/>
      </c>
      <c r="F28706" t="str">
        <v>-</v>
      </c>
      <c r="G28706" t="str">
        <v>-</v>
      </c>
    </row>
    <row r="28707">
      <c r="B28707" t="str">
        <v>UBND Ủy ban nhân dân xã Nghi Phú  tỉnh Nghệ An</v>
      </c>
      <c r="C28707" t="str">
        <v>-</v>
      </c>
      <c r="D28707" t="str">
        <v>-</v>
      </c>
      <c r="E28707" t="str">
        <v>-</v>
      </c>
      <c r="F28707" t="str">
        <v>-</v>
      </c>
      <c r="G28707" t="str">
        <v>-</v>
      </c>
    </row>
    <row r="28708">
      <c r="B28708" t="str">
        <v>Công an huyện Nghi Xuân  tỉnh Hà Tĩnh</v>
      </c>
      <c r="C28708" t="str">
        <v>-</v>
      </c>
      <c r="D28708" t="str">
        <v>-</v>
      </c>
      <c r="E28708" t="str">
        <v/>
      </c>
      <c r="F28708" t="str">
        <v>-</v>
      </c>
      <c r="G28708" t="str">
        <v>-</v>
      </c>
    </row>
    <row r="28709">
      <c r="B28709" t="str">
        <v>UBND Ủy ban nhân dân huyện Nghi Xuân  tỉnh Hà Tĩnh</v>
      </c>
      <c r="C28709" t="str">
        <v>-</v>
      </c>
      <c r="D28709" t="str">
        <v>-</v>
      </c>
      <c r="E28709" t="str">
        <v>-</v>
      </c>
      <c r="F28709" t="str">
        <v>-</v>
      </c>
      <c r="G28709" t="str">
        <v>-</v>
      </c>
    </row>
    <row r="28710">
      <c r="B28710" t="str">
        <v>Công an quận Ngô Quyền thành phố Hải Phòng</v>
      </c>
      <c r="C28710" t="str">
        <v>-</v>
      </c>
      <c r="D28710" t="str">
        <v>-</v>
      </c>
      <c r="E28710" t="str">
        <v/>
      </c>
      <c r="F28710" t="str">
        <v>-</v>
      </c>
      <c r="G28710" t="str">
        <v>-</v>
      </c>
    </row>
    <row r="28711">
      <c r="B28711" t="str">
        <v>UBND Ủy ban nhân dân quận Ngô Quyền thành phố Hải Phòng</v>
      </c>
      <c r="C28711" t="str">
        <v>-</v>
      </c>
      <c r="D28711" t="str">
        <v>-</v>
      </c>
      <c r="E28711" t="str">
        <v>-</v>
      </c>
      <c r="F28711" t="str">
        <v>-</v>
      </c>
      <c r="G28711" t="str">
        <v>-</v>
      </c>
    </row>
    <row r="28712" xml:space="preserve">
      <c r="B28712" t="str" xml:space="preserve">
        <v xml:space="preserve">Công an thị trấn Đăk Glei _x000d_
 tỉnh Kon Tum</v>
      </c>
      <c r="C28712" t="str">
        <v>-</v>
      </c>
      <c r="D28712" t="str">
        <v>-</v>
      </c>
      <c r="E28712" t="str">
        <v/>
      </c>
      <c r="F28712" t="str">
        <v>-</v>
      </c>
      <c r="G28712" t="str">
        <v>-</v>
      </c>
    </row>
    <row r="28713" xml:space="preserve">
      <c r="B28713" t="str" xml:space="preserve">
        <v xml:space="preserve">UBND Ủy ban nhân dân thị trấn Đăk Glei _x000d_
 tỉnh Kon Tum</v>
      </c>
      <c r="C28713" t="str">
        <v>-</v>
      </c>
      <c r="D28713" t="str">
        <v>-</v>
      </c>
      <c r="E28713" t="str">
        <v>-</v>
      </c>
      <c r="F28713" t="str">
        <v>-</v>
      </c>
      <c r="G28713" t="str">
        <v>-</v>
      </c>
    </row>
    <row r="28714">
      <c r="B28714" t="str">
        <v>Công an xã Nhi Sơn tỉnh Thanh Hóa</v>
      </c>
      <c r="C28714" t="str">
        <v>-</v>
      </c>
      <c r="D28714" t="str">
        <v>-</v>
      </c>
      <c r="E28714" t="str">
        <v/>
      </c>
      <c r="F28714" t="str">
        <v>-</v>
      </c>
      <c r="G28714" t="str">
        <v>-</v>
      </c>
    </row>
    <row r="28715">
      <c r="B28715" t="str">
        <v>UBND Ủy ban nhân dân xã Nhi Sơn tỉnh Thanh Hóa</v>
      </c>
      <c r="C28715" t="str">
        <v>-</v>
      </c>
      <c r="D28715" t="str">
        <v>-</v>
      </c>
      <c r="E28715" t="str">
        <v>-</v>
      </c>
      <c r="F28715" t="str">
        <v>-</v>
      </c>
      <c r="G28715" t="str">
        <v>-</v>
      </c>
    </row>
    <row r="28716">
      <c r="B28716" t="str">
        <v>Công an xã Nhuận Phú Tân tỉnh Bến Tre</v>
      </c>
      <c r="C28716" t="str">
        <v>-</v>
      </c>
      <c r="D28716" t="str">
        <v>-</v>
      </c>
      <c r="E28716" t="str">
        <v/>
      </c>
      <c r="F28716" t="str">
        <v>-</v>
      </c>
      <c r="G28716" t="str">
        <v>-</v>
      </c>
    </row>
    <row r="28717">
      <c r="B28717" t="str">
        <v>UBND Ủy ban nhân dân xã Nhuận Phú Tân tỉnh Bến Tre</v>
      </c>
      <c r="C28717" t="str">
        <v>-</v>
      </c>
      <c r="D28717" t="str">
        <v>-</v>
      </c>
      <c r="E28717" t="str">
        <v>-</v>
      </c>
      <c r="F28717" t="str">
        <v>-</v>
      </c>
      <c r="G28717" t="str">
        <v>-</v>
      </c>
    </row>
    <row r="28718">
      <c r="B28718" t="str">
        <v>Công an huyện Ninh Hải tỉnh Ninh Thuận</v>
      </c>
      <c r="C28718" t="str">
        <v>-</v>
      </c>
      <c r="D28718" t="str">
        <v>-</v>
      </c>
      <c r="E28718" t="str">
        <v/>
      </c>
      <c r="F28718" t="str">
        <v>-</v>
      </c>
      <c r="G28718" t="str">
        <v>-</v>
      </c>
    </row>
    <row r="28719">
      <c r="B28719" t="str">
        <v>UBND Ủy ban nhân dân huyện Ninh Hải tỉnh Ninh Thuận</v>
      </c>
      <c r="C28719" t="str">
        <v>-</v>
      </c>
      <c r="D28719" t="str">
        <v>-</v>
      </c>
      <c r="E28719" t="str">
        <v>-</v>
      </c>
      <c r="F28719" t="str">
        <v>-</v>
      </c>
      <c r="G28719" t="str">
        <v>-</v>
      </c>
    </row>
    <row r="28720">
      <c r="B28720" t="str">
        <v>Công an thị xã Quảng Trị tỉnh Quảng Trị</v>
      </c>
      <c r="C28720" t="str">
        <v>-</v>
      </c>
      <c r="D28720" t="str">
        <v>-</v>
      </c>
      <c r="E28720" t="str">
        <v/>
      </c>
      <c r="F28720" t="str">
        <v>-</v>
      </c>
      <c r="G28720" t="str">
        <v>-</v>
      </c>
    </row>
    <row r="28721">
      <c r="B28721" t="str">
        <v>UBND Ủy ban nhân dân thị xã Quảng Trị tỉnh Quảng Trị</v>
      </c>
      <c r="C28721" t="str">
        <v>-</v>
      </c>
      <c r="D28721" t="str">
        <v>-</v>
      </c>
      <c r="E28721" t="str">
        <v>-</v>
      </c>
      <c r="F28721" t="str">
        <v>-</v>
      </c>
      <c r="G28721" t="str">
        <v>-</v>
      </c>
    </row>
    <row r="28722">
      <c r="B28722" t="str">
        <v>Công an xã Phước Quang tỉnh Bình Định</v>
      </c>
      <c r="C28722" t="str">
        <v>-</v>
      </c>
      <c r="D28722" t="str">
        <v>-</v>
      </c>
      <c r="E28722" t="str">
        <v/>
      </c>
      <c r="F28722" t="str">
        <v>-</v>
      </c>
      <c r="G28722" t="str">
        <v>-</v>
      </c>
    </row>
    <row r="28723">
      <c r="B28723" t="str">
        <v>UBND Ủy ban nhân dân xã Phước Quang tỉnh Bình Định</v>
      </c>
      <c r="C28723" t="str">
        <v>-</v>
      </c>
      <c r="D28723" t="str">
        <v>-</v>
      </c>
      <c r="E28723" t="str">
        <v>-</v>
      </c>
      <c r="F28723" t="str">
        <v>-</v>
      </c>
      <c r="G28723" t="str">
        <v>-</v>
      </c>
    </row>
    <row r="28724">
      <c r="B28724" t="str">
        <v>Công an phường 1 tỉnh Trà Vinh</v>
      </c>
      <c r="C28724" t="str">
        <v>-</v>
      </c>
      <c r="D28724" t="str">
        <v>-</v>
      </c>
      <c r="E28724" t="str">
        <v/>
      </c>
      <c r="F28724" t="str">
        <v>-</v>
      </c>
      <c r="G28724" t="str">
        <v>-</v>
      </c>
    </row>
    <row r="28725">
      <c r="B28725" t="str">
        <v>UBND Ủy ban nhân dân phường 1 tỉnh Trà Vinh</v>
      </c>
      <c r="C28725" t="str">
        <v>-</v>
      </c>
      <c r="D28725" t="str">
        <v>-</v>
      </c>
      <c r="E28725" t="str">
        <v>-</v>
      </c>
      <c r="F28725" t="str">
        <v>-</v>
      </c>
      <c r="G28725" t="str">
        <v>-</v>
      </c>
    </row>
    <row r="28726">
      <c r="B28726" t="str">
        <v>Công an phường 2 tỉnh Bạc Liêu</v>
      </c>
      <c r="C28726" t="str">
        <v>-</v>
      </c>
      <c r="D28726" t="str">
        <v>-</v>
      </c>
      <c r="E28726" t="str">
        <v/>
      </c>
      <c r="F28726" t="str">
        <v>-</v>
      </c>
      <c r="G28726" t="str">
        <v>-</v>
      </c>
    </row>
    <row r="28727">
      <c r="B28727" t="str">
        <v>UBND Ủy ban nhân dân phường 2 tỉnh Bạc Liêu</v>
      </c>
      <c r="C28727" t="str">
        <v>-</v>
      </c>
      <c r="D28727" t="str">
        <v>-</v>
      </c>
      <c r="E28727" t="str">
        <v>-</v>
      </c>
      <c r="F28727" t="str">
        <v>-</v>
      </c>
      <c r="G28727" t="str">
        <v>-</v>
      </c>
    </row>
    <row r="28728">
      <c r="B28728" t="str">
        <v>Công an phường 3  tỉnh Bạc Liêu</v>
      </c>
      <c r="C28728" t="str">
        <v>-</v>
      </c>
      <c r="D28728" t="str">
        <v>-</v>
      </c>
      <c r="E28728" t="str">
        <v/>
      </c>
      <c r="F28728" t="str">
        <v>-</v>
      </c>
      <c r="G28728" t="str">
        <v>-</v>
      </c>
    </row>
    <row r="28729">
      <c r="B28729" t="str">
        <v>UBND Ủy ban nhân dân phường 3  tỉnh Bạc Liêu</v>
      </c>
      <c r="C28729" t="str">
        <v>-</v>
      </c>
      <c r="D28729" t="str">
        <v>-</v>
      </c>
      <c r="E28729" t="str">
        <v>-</v>
      </c>
      <c r="F28729" t="str">
        <v>-</v>
      </c>
      <c r="G28729" t="str">
        <v>-</v>
      </c>
    </row>
    <row r="28730">
      <c r="B28730" t="str">
        <v>Công an phường 4 tỉnh Vĩnh Long</v>
      </c>
      <c r="C28730" t="str">
        <v>-</v>
      </c>
      <c r="D28730" t="str">
        <v>-</v>
      </c>
      <c r="E28730" t="str">
        <v/>
      </c>
      <c r="F28730" t="str">
        <v>-</v>
      </c>
      <c r="G28730" t="str">
        <v>-</v>
      </c>
    </row>
    <row r="28731">
      <c r="B28731" t="str">
        <v>UBND Ủy ban nhân dân phường 4 tỉnh Vĩnh Long</v>
      </c>
      <c r="C28731" t="str">
        <v>-</v>
      </c>
      <c r="D28731" t="str">
        <v>-</v>
      </c>
      <c r="E28731" t="str">
        <v>-</v>
      </c>
      <c r="F28731" t="str">
        <v>-</v>
      </c>
      <c r="G28731" t="str">
        <v>-</v>
      </c>
    </row>
    <row r="28732">
      <c r="B28732" t="str">
        <v>Công an phường 5 tỉnh Bạc Liêu</v>
      </c>
      <c r="C28732" t="str">
        <v>-</v>
      </c>
      <c r="D28732" t="str">
        <v>-</v>
      </c>
      <c r="E28732" t="str">
        <v/>
      </c>
      <c r="F28732" t="str">
        <v>-</v>
      </c>
      <c r="G28732" t="str">
        <v>-</v>
      </c>
    </row>
    <row r="28733">
      <c r="B28733" t="str">
        <v>UBND Ủy ban nhân dân phường 5 tỉnh Bạc Liêu</v>
      </c>
      <c r="C28733" t="str">
        <v>-</v>
      </c>
      <c r="D28733" t="str">
        <v>-</v>
      </c>
      <c r="E28733" t="str">
        <v>-</v>
      </c>
      <c r="F28733" t="str">
        <v>-</v>
      </c>
      <c r="G28733" t="str">
        <v>-</v>
      </c>
    </row>
    <row r="28734">
      <c r="B28734" t="str">
        <v>Công an phường An Hưng tỉnh Thanh Hóa</v>
      </c>
      <c r="C28734" t="str">
        <v>-</v>
      </c>
      <c r="D28734" t="str">
        <v>-</v>
      </c>
      <c r="E28734" t="str">
        <v/>
      </c>
      <c r="F28734" t="str">
        <v>-</v>
      </c>
      <c r="G28734" t="str">
        <v>-</v>
      </c>
    </row>
    <row r="28735">
      <c r="B28735" t="str">
        <v>UBND Ủy ban nhân dân phường An Hưng tỉnh Thanh Hóa</v>
      </c>
      <c r="C28735" t="str">
        <v>-</v>
      </c>
      <c r="D28735" t="str">
        <v>-</v>
      </c>
      <c r="E28735" t="str">
        <v>-</v>
      </c>
      <c r="F28735" t="str">
        <v>-</v>
      </c>
      <c r="G28735" t="str">
        <v>-</v>
      </c>
    </row>
    <row r="28736">
      <c r="B28736" t="str">
        <v>Công an phường Chí Minh tỉnh Hải Dương</v>
      </c>
      <c r="C28736" t="str">
        <v>-</v>
      </c>
      <c r="D28736" t="str">
        <v>-</v>
      </c>
      <c r="E28736" t="str">
        <v/>
      </c>
      <c r="F28736" t="str">
        <v>-</v>
      </c>
      <c r="G28736" t="str">
        <v>-</v>
      </c>
    </row>
    <row r="28737">
      <c r="B28737" t="str">
        <v>UBND Ủy ban nhân dân phường Chí Minh tỉnh Hải Dương</v>
      </c>
      <c r="C28737" t="str">
        <v>-</v>
      </c>
      <c r="D28737" t="str">
        <v>-</v>
      </c>
      <c r="E28737" t="str">
        <v>-</v>
      </c>
      <c r="F28737" t="str">
        <v>-</v>
      </c>
      <c r="G28737" t="str">
        <v>-</v>
      </c>
    </row>
    <row r="28738">
      <c r="B28738" t="str">
        <v>Công an phường Đông Hương tỉnh Thanh Hóa</v>
      </c>
      <c r="C28738" t="str">
        <v>-</v>
      </c>
      <c r="D28738" t="str">
        <v>-</v>
      </c>
      <c r="E28738" t="str">
        <v/>
      </c>
      <c r="F28738" t="str">
        <v>-</v>
      </c>
      <c r="G28738" t="str">
        <v>-</v>
      </c>
    </row>
    <row r="28739">
      <c r="B28739" t="str">
        <v>UBND Ủy ban nhân dân phường Đông Hương tỉnh Thanh Hóa</v>
      </c>
      <c r="C28739" t="str">
        <v>-</v>
      </c>
      <c r="D28739" t="str">
        <v>-</v>
      </c>
      <c r="E28739" t="str">
        <v>-</v>
      </c>
      <c r="F28739" t="str">
        <v>-</v>
      </c>
      <c r="G28739" t="str">
        <v>-</v>
      </c>
    </row>
    <row r="28740">
      <c r="B28740" t="str">
        <v>Công an phường Đông Sơn tỉnh Thanh Hóa</v>
      </c>
      <c r="C28740" t="str">
        <v>-</v>
      </c>
      <c r="D28740" t="str">
        <v>-</v>
      </c>
      <c r="E28740" t="str">
        <v/>
      </c>
      <c r="F28740" t="str">
        <v>-</v>
      </c>
      <c r="G28740" t="str">
        <v>-</v>
      </c>
    </row>
    <row r="28741">
      <c r="B28741" t="str">
        <v>UBND Ủy ban nhân dân phường Đông Sơn tỉnh Thanh Hóa</v>
      </c>
      <c r="C28741" t="str">
        <v>-</v>
      </c>
      <c r="D28741" t="str">
        <v>-</v>
      </c>
      <c r="E28741" t="str">
        <v>-</v>
      </c>
      <c r="F28741" t="str">
        <v>-</v>
      </c>
      <c r="G28741" t="str">
        <v>-</v>
      </c>
    </row>
    <row r="28742">
      <c r="B28742" t="str">
        <v>Công an phường Hải Thượng  tỉnh Thanh Hóa</v>
      </c>
      <c r="C28742" t="str">
        <v>-</v>
      </c>
      <c r="D28742" t="str">
        <v>-</v>
      </c>
      <c r="E28742" t="str">
        <v/>
      </c>
      <c r="F28742" t="str">
        <v>-</v>
      </c>
      <c r="G28742" t="str">
        <v>-</v>
      </c>
    </row>
    <row r="28743">
      <c r="B28743" t="str">
        <v>UBND Ủy ban nhân dân phường Hải Thượng  tỉnh Thanh Hóa</v>
      </c>
      <c r="C28743" t="str">
        <v>-</v>
      </c>
      <c r="D28743" t="str">
        <v>-</v>
      </c>
      <c r="E28743" t="str">
        <v>-</v>
      </c>
      <c r="F28743" t="str">
        <v>-</v>
      </c>
      <c r="G28743" t="str">
        <v>-</v>
      </c>
    </row>
    <row r="28744">
      <c r="B28744" t="str">
        <v>Công an phường Hương Mạc tỉnh Bắc Ninh</v>
      </c>
      <c r="C28744" t="str">
        <v>-</v>
      </c>
      <c r="D28744" t="str">
        <v>-</v>
      </c>
      <c r="E28744" t="str">
        <v/>
      </c>
      <c r="F28744" t="str">
        <v>-</v>
      </c>
      <c r="G28744" t="str">
        <v>-</v>
      </c>
    </row>
    <row r="28745">
      <c r="B28745" t="str">
        <v>UBND Ủy ban nhân dân phường Hương Mạc tỉnh Bắc Ninh</v>
      </c>
      <c r="C28745" t="str">
        <v>-</v>
      </c>
      <c r="D28745" t="str">
        <v>-</v>
      </c>
      <c r="E28745" t="str">
        <v>-</v>
      </c>
      <c r="F28745" t="str">
        <v>-</v>
      </c>
      <c r="G28745" t="str">
        <v>-</v>
      </c>
    </row>
    <row r="28746">
      <c r="B28746" t="str">
        <v>Công an phường Khương Trung  thành phố Hà Nội</v>
      </c>
      <c r="C28746" t="str">
        <v>-</v>
      </c>
      <c r="D28746" t="str">
        <v>-</v>
      </c>
      <c r="E28746" t="str">
        <v/>
      </c>
      <c r="F28746" t="str">
        <v>-</v>
      </c>
      <c r="G28746" t="str">
        <v>-</v>
      </c>
    </row>
    <row r="28747">
      <c r="B28747" t="str">
        <v>UBND Ủy ban nhân dân phường Khương Trung  thành phố Hà Nội</v>
      </c>
      <c r="C28747" t="str">
        <v>-</v>
      </c>
      <c r="D28747" t="str">
        <v>-</v>
      </c>
      <c r="E28747" t="str">
        <v>-</v>
      </c>
      <c r="F28747" t="str">
        <v>-</v>
      </c>
      <c r="G28747" t="str">
        <v>-</v>
      </c>
    </row>
    <row r="28748">
      <c r="B28748" t="str">
        <v>Công an phường Nam Thanh tỉnh Điện Biên</v>
      </c>
      <c r="C28748" t="str">
        <v>-</v>
      </c>
      <c r="D28748" t="str">
        <v>-</v>
      </c>
      <c r="E28748" t="str">
        <v/>
      </c>
      <c r="F28748" t="str">
        <v>-</v>
      </c>
      <c r="G28748" t="str">
        <v>-</v>
      </c>
    </row>
    <row r="28749">
      <c r="B28749" t="str">
        <v>UBND Ủy ban nhân dân phường Nam Thanh tỉnh Điện Biên</v>
      </c>
      <c r="C28749" t="str">
        <v>-</v>
      </c>
      <c r="D28749" t="str">
        <v>-</v>
      </c>
      <c r="E28749" t="str">
        <v>-</v>
      </c>
      <c r="F28749" t="str">
        <v>-</v>
      </c>
      <c r="G28749" t="str">
        <v>-</v>
      </c>
    </row>
    <row r="28750">
      <c r="B28750" t="str">
        <v>Công an phường Ngọc Trạo tỉnh Thanh Hóa</v>
      </c>
      <c r="C28750" t="str">
        <v>-</v>
      </c>
      <c r="D28750" t="str">
        <v>-</v>
      </c>
      <c r="E28750" t="str">
        <v/>
      </c>
      <c r="F28750" t="str">
        <v>-</v>
      </c>
      <c r="G28750" t="str">
        <v>-</v>
      </c>
    </row>
    <row r="28751">
      <c r="B28751" t="str">
        <v>UBND Ủy ban nhân dân phường Ngọc Trạo tỉnh Thanh Hóa</v>
      </c>
      <c r="C28751" t="str">
        <v>-</v>
      </c>
      <c r="D28751" t="str">
        <v>-</v>
      </c>
      <c r="E28751" t="str">
        <v>-</v>
      </c>
      <c r="F28751" t="str">
        <v>-</v>
      </c>
      <c r="G28751" t="str">
        <v>-</v>
      </c>
    </row>
    <row r="28752">
      <c r="B28752" t="str">
        <v>Công an phường Nhà Mát tỉnh Bạc Liêu</v>
      </c>
      <c r="C28752" t="str">
        <v>-</v>
      </c>
      <c r="D28752" t="str">
        <v>-</v>
      </c>
      <c r="E28752" t="str">
        <v/>
      </c>
      <c r="F28752" t="str">
        <v>-</v>
      </c>
      <c r="G28752" t="str">
        <v>-</v>
      </c>
    </row>
    <row r="28753">
      <c r="B28753" t="str">
        <v>UBND Ủy ban nhân dân phường Nhà Mát tỉnh Bạc Liêu</v>
      </c>
      <c r="C28753" t="str">
        <v>-</v>
      </c>
      <c r="D28753" t="str">
        <v>-</v>
      </c>
      <c r="E28753" t="str">
        <v>-</v>
      </c>
      <c r="F28753" t="str">
        <v>-</v>
      </c>
      <c r="G28753" t="str">
        <v>-</v>
      </c>
    </row>
    <row r="28754">
      <c r="B28754" t="str">
        <v>Công an phường Quán Bàu  tỉnh Nghệ An</v>
      </c>
      <c r="C28754" t="str">
        <v>-</v>
      </c>
      <c r="D28754" t="str">
        <v>-</v>
      </c>
      <c r="E28754" t="str">
        <v/>
      </c>
      <c r="F28754" t="str">
        <v>-</v>
      </c>
      <c r="G28754" t="str">
        <v>-</v>
      </c>
    </row>
    <row r="28755">
      <c r="B28755" t="str">
        <v>UBND Ủy ban nhân dân phường Quán Bàu  tỉnh Nghệ An</v>
      </c>
      <c r="C28755" t="str">
        <v>-</v>
      </c>
      <c r="D28755" t="str">
        <v>-</v>
      </c>
      <c r="E28755" t="str">
        <v>-</v>
      </c>
      <c r="F28755" t="str">
        <v>-</v>
      </c>
      <c r="G28755" t="str">
        <v>-</v>
      </c>
    </row>
    <row r="28756">
      <c r="B28756" t="str">
        <v>Công an phường Quảng Thuận  tỉnh Quảng Bình</v>
      </c>
      <c r="C28756" t="str">
        <v>-</v>
      </c>
      <c r="D28756" t="str">
        <v>-</v>
      </c>
      <c r="E28756" t="str">
        <v/>
      </c>
      <c r="F28756" t="str">
        <v>-</v>
      </c>
      <c r="G28756" t="str">
        <v>-</v>
      </c>
    </row>
    <row r="28757">
      <c r="B28757" t="str">
        <v>UBND Ủy ban nhân dân phường Quảng Thuận  tỉnh Quảng Bình</v>
      </c>
      <c r="C28757" t="str">
        <v>-</v>
      </c>
      <c r="D28757" t="str">
        <v>-</v>
      </c>
      <c r="E28757" t="str">
        <v>-</v>
      </c>
      <c r="F28757" t="str">
        <v>-</v>
      </c>
      <c r="G28757" t="str">
        <v>-</v>
      </c>
    </row>
    <row r="28758">
      <c r="B28758" t="str">
        <v>Công an phường Tân Sơn tỉnh Thanh Hóa</v>
      </c>
      <c r="C28758" t="str">
        <v>-</v>
      </c>
      <c r="D28758" t="str">
        <v>-</v>
      </c>
      <c r="E28758" t="str">
        <v/>
      </c>
      <c r="F28758" t="str">
        <v>-</v>
      </c>
      <c r="G28758" t="str">
        <v>-</v>
      </c>
    </row>
    <row r="28759">
      <c r="B28759" t="str">
        <v>UBND Ủy ban nhân dân phường Tân Sơn tỉnh Thanh Hóa</v>
      </c>
      <c r="C28759" t="str">
        <v>-</v>
      </c>
      <c r="D28759" t="str">
        <v>-</v>
      </c>
      <c r="E28759" t="str">
        <v>-</v>
      </c>
      <c r="F28759" t="str">
        <v>-</v>
      </c>
      <c r="G28759" t="str">
        <v>-</v>
      </c>
    </row>
    <row r="28760">
      <c r="B28760" t="str">
        <v>Công an phường Tân Thành  tỉnh Thái Nguyên</v>
      </c>
      <c r="C28760" t="str">
        <v>-</v>
      </c>
      <c r="D28760" t="str">
        <v>-</v>
      </c>
      <c r="E28760" t="str">
        <v/>
      </c>
      <c r="F28760" t="str">
        <v>-</v>
      </c>
      <c r="G28760" t="str">
        <v>-</v>
      </c>
    </row>
    <row r="28761">
      <c r="B28761" t="str">
        <v>UBND Ủy ban nhân dân phường Tân Thành  tỉnh Thái Nguyên</v>
      </c>
      <c r="C28761" t="str">
        <v>-</v>
      </c>
      <c r="D28761" t="str">
        <v>-</v>
      </c>
      <c r="E28761" t="str">
        <v>-</v>
      </c>
      <c r="F28761" t="str">
        <v>-</v>
      </c>
      <c r="G28761" t="str">
        <v>-</v>
      </c>
    </row>
    <row r="28762">
      <c r="B28762" t="str">
        <v>Công an phường Tân Thanh tỉnh Điện Biên</v>
      </c>
      <c r="C28762" t="str">
        <v>-</v>
      </c>
      <c r="D28762" t="str">
        <v>-</v>
      </c>
      <c r="E28762" t="str">
        <v/>
      </c>
      <c r="F28762" t="str">
        <v>-</v>
      </c>
      <c r="G28762" t="str">
        <v>-</v>
      </c>
    </row>
    <row r="28763">
      <c r="B28763" t="str">
        <v>UBND Ủy ban nhân dân phường Tân Thanh tỉnh Điện Biên</v>
      </c>
      <c r="C28763" t="str">
        <v>-</v>
      </c>
      <c r="D28763" t="str">
        <v>-</v>
      </c>
      <c r="E28763" t="str">
        <v>-</v>
      </c>
      <c r="F28763" t="str">
        <v>-</v>
      </c>
      <c r="G28763" t="str">
        <v>-</v>
      </c>
    </row>
    <row r="28764">
      <c r="B28764" t="str">
        <v>Công an phường Trường Thi tỉnh Thanh Hóa</v>
      </c>
      <c r="C28764" t="str">
        <v>-</v>
      </c>
      <c r="D28764" t="str">
        <v>-</v>
      </c>
      <c r="E28764" t="str">
        <v/>
      </c>
      <c r="F28764" t="str">
        <v>-</v>
      </c>
      <c r="G28764" t="str">
        <v>-</v>
      </c>
    </row>
    <row r="28765">
      <c r="B28765" t="str">
        <v>UBND Ủy ban nhân dân phường Trường Thi tỉnh Thanh Hóa</v>
      </c>
      <c r="C28765" t="str">
        <v>-</v>
      </c>
      <c r="D28765" t="str">
        <v>-</v>
      </c>
      <c r="E28765" t="str">
        <v>-</v>
      </c>
      <c r="F28765" t="str">
        <v>-</v>
      </c>
      <c r="G28765" t="str">
        <v>-</v>
      </c>
    </row>
    <row r="28766">
      <c r="B28766" t="str">
        <v>Công an phường Xuân Yên tỉnh Phú Yên</v>
      </c>
      <c r="C28766" t="str">
        <v>-</v>
      </c>
      <c r="D28766" t="str">
        <v>-</v>
      </c>
      <c r="E28766" t="str">
        <v/>
      </c>
      <c r="F28766" t="str">
        <v>-</v>
      </c>
      <c r="G28766" t="str">
        <v>-</v>
      </c>
    </row>
    <row r="28767">
      <c r="B28767" t="str">
        <v>UBND Ủy ban nhân dân phường Xuân Yên tỉnh Phú Yên</v>
      </c>
      <c r="C28767" t="str">
        <v>-</v>
      </c>
      <c r="D28767" t="str">
        <v>-</v>
      </c>
      <c r="E28767" t="str">
        <v>-</v>
      </c>
      <c r="F28767" t="str">
        <v>-</v>
      </c>
      <c r="G28767" t="str">
        <v>-</v>
      </c>
    </row>
    <row r="28768">
      <c r="B28768" t="str">
        <v>Công an huyện Phú Thiện  tỉnh Gia Lai</v>
      </c>
      <c r="C28768" t="str">
        <v>-</v>
      </c>
      <c r="D28768" t="str">
        <v>-</v>
      </c>
      <c r="E28768" t="str">
        <v/>
      </c>
      <c r="F28768" t="str">
        <v>-</v>
      </c>
      <c r="G28768" t="str">
        <v>-</v>
      </c>
    </row>
    <row r="28769">
      <c r="B28769" t="str">
        <v>UBND Ủy ban nhân dân huyện Phú Thiện  tỉnh Gia Lai</v>
      </c>
      <c r="C28769" t="str">
        <v>-</v>
      </c>
      <c r="D28769" t="str">
        <v>-</v>
      </c>
      <c r="E28769" t="str">
        <v>-</v>
      </c>
      <c r="F28769" t="str">
        <v>-</v>
      </c>
      <c r="G28769" t="str">
        <v>-</v>
      </c>
    </row>
    <row r="28770">
      <c r="B28770" t="str">
        <v>Công an xã Phù Ủng tỉnh Hưng Yên</v>
      </c>
      <c r="C28770" t="str">
        <v>-</v>
      </c>
      <c r="D28770" t="str">
        <v>-</v>
      </c>
      <c r="E28770" t="str">
        <v/>
      </c>
      <c r="F28770" t="str">
        <v>-</v>
      </c>
      <c r="G28770" t="str">
        <v>-</v>
      </c>
    </row>
    <row r="28771">
      <c r="B28771" t="str">
        <v>UBND Ủy ban nhân dân xã Phù Ủng tỉnh Hưng Yên</v>
      </c>
      <c r="C28771" t="str">
        <v>-</v>
      </c>
      <c r="D28771" t="str">
        <v>-</v>
      </c>
      <c r="E28771" t="str">
        <v>-</v>
      </c>
      <c r="F28771" t="str">
        <v>-</v>
      </c>
      <c r="G28771" t="str">
        <v>-</v>
      </c>
    </row>
    <row r="28772">
      <c r="B28772" t="str">
        <v>Công an phường Nam Cường tỉnh Yên Bái</v>
      </c>
      <c r="C28772" t="str">
        <v>-</v>
      </c>
      <c r="D28772" t="str">
        <v>-</v>
      </c>
      <c r="E28772" t="str">
        <v/>
      </c>
      <c r="F28772" t="str">
        <v>-</v>
      </c>
      <c r="G28772" t="str">
        <v>-</v>
      </c>
    </row>
    <row r="28773">
      <c r="B28773" t="str">
        <v>UBND Ủy ban nhân dân phường Nam Cường tỉnh Yên Bái</v>
      </c>
      <c r="C28773" t="str">
        <v>-</v>
      </c>
      <c r="D28773" t="str">
        <v>-</v>
      </c>
      <c r="E28773" t="str">
        <v>-</v>
      </c>
      <c r="F28773" t="str">
        <v>-</v>
      </c>
      <c r="G28773" t="str">
        <v>-</v>
      </c>
    </row>
    <row r="28774">
      <c r="B28774" t="str">
        <v>Công an xã Pu Nhi  tỉnh Điện Biên</v>
      </c>
      <c r="C28774" t="str">
        <v>-</v>
      </c>
      <c r="D28774" t="str">
        <v>-</v>
      </c>
      <c r="E28774" t="str">
        <v/>
      </c>
      <c r="F28774" t="str">
        <v>-</v>
      </c>
      <c r="G28774" t="str">
        <v>-</v>
      </c>
    </row>
    <row r="28775">
      <c r="B28775" t="str">
        <v>UBND Ủy ban nhân dân xã Pu Nhi  tỉnh Điện Biên</v>
      </c>
      <c r="C28775" t="str">
        <v>-</v>
      </c>
      <c r="D28775" t="str">
        <v>-</v>
      </c>
      <c r="E28775" t="str">
        <v>-</v>
      </c>
      <c r="F28775" t="str">
        <v>-</v>
      </c>
      <c r="G28775" t="str">
        <v>-</v>
      </c>
    </row>
    <row r="28776">
      <c r="B28776" t="str">
        <v>Công an quận Bình Thạnh thành phố Hồ Chí Minh</v>
      </c>
      <c r="C28776" t="str">
        <v>-</v>
      </c>
      <c r="D28776" t="str">
        <v>-</v>
      </c>
      <c r="E28776" t="str">
        <v/>
      </c>
      <c r="F28776" t="str">
        <v>-</v>
      </c>
      <c r="G28776" t="str">
        <v>-</v>
      </c>
    </row>
    <row r="28777">
      <c r="B28777" t="str">
        <v>UBND Ủy ban nhân dân quận Bình Thạnh thành phố Hồ Chí Minh</v>
      </c>
      <c r="C28777" t="str">
        <v>-</v>
      </c>
      <c r="D28777" t="str">
        <v>-</v>
      </c>
      <c r="E28777" t="str">
        <v>-</v>
      </c>
      <c r="F28777" t="str">
        <v>-</v>
      </c>
      <c r="G28777" t="str">
        <v>-</v>
      </c>
    </row>
    <row r="28778">
      <c r="B28778" t="str">
        <v>Công an xã Quảng Hải  tỉnh Thanh Hóa</v>
      </c>
      <c r="C28778" t="str">
        <v>-</v>
      </c>
      <c r="D28778" t="str">
        <v>-</v>
      </c>
      <c r="E28778" t="str">
        <v/>
      </c>
      <c r="F28778" t="str">
        <v>-</v>
      </c>
      <c r="G28778" t="str">
        <v>-</v>
      </c>
    </row>
    <row r="28779">
      <c r="B28779" t="str">
        <v>UBND Ủy ban nhân dân xã Quảng Hải  tỉnh Thanh Hóa</v>
      </c>
      <c r="C28779" t="str">
        <v>-</v>
      </c>
      <c r="D28779" t="str">
        <v>-</v>
      </c>
      <c r="E28779" t="str">
        <v>-</v>
      </c>
      <c r="F28779" t="str">
        <v>-</v>
      </c>
      <c r="G28779" t="str">
        <v>-</v>
      </c>
    </row>
    <row r="28780">
      <c r="B28780" t="str">
        <v>Công an xã Quảng Minh tỉnh Thanh Hóa</v>
      </c>
      <c r="C28780" t="str">
        <v>-</v>
      </c>
      <c r="D28780" t="str">
        <v>-</v>
      </c>
      <c r="E28780" t="str">
        <v/>
      </c>
      <c r="F28780" t="str">
        <v>-</v>
      </c>
      <c r="G28780" t="str">
        <v>-</v>
      </c>
    </row>
    <row r="28781">
      <c r="B28781" t="str">
        <v>UBND Ủy ban nhân dân xã Quảng Minh tỉnh Thanh Hóa</v>
      </c>
      <c r="C28781" t="str">
        <v>-</v>
      </c>
      <c r="D28781" t="str">
        <v>-</v>
      </c>
      <c r="E28781" t="str">
        <v>-</v>
      </c>
      <c r="F28781" t="str">
        <v>-</v>
      </c>
      <c r="G28781" t="str">
        <v>-</v>
      </c>
    </row>
    <row r="28782">
      <c r="B28782" t="str">
        <v>Công an phường Quảng Thắng tỉnh Thanh Hóa</v>
      </c>
      <c r="C28782" t="str">
        <v>-</v>
      </c>
      <c r="D28782" t="str">
        <v>-</v>
      </c>
      <c r="E28782" t="str">
        <v/>
      </c>
      <c r="F28782" t="str">
        <v>-</v>
      </c>
      <c r="G28782" t="str">
        <v>-</v>
      </c>
    </row>
    <row r="28783">
      <c r="B28783" t="str">
        <v>UBND Ủy ban nhân dân phường Quảng Thắng tỉnh Thanh Hóa</v>
      </c>
      <c r="C28783" t="str">
        <v>-</v>
      </c>
      <c r="D28783" t="str">
        <v>-</v>
      </c>
      <c r="E28783" t="str">
        <v>-</v>
      </c>
      <c r="F28783" t="str">
        <v>-</v>
      </c>
      <c r="G28783" t="str">
        <v>-</v>
      </c>
    </row>
    <row r="28784">
      <c r="B28784" t="str">
        <v>Công an quận Tân Bình  thành phố Hồ Chí Minh</v>
      </c>
      <c r="C28784" t="str">
        <v>-</v>
      </c>
      <c r="D28784" t="str">
        <v>-</v>
      </c>
      <c r="E28784" t="str">
        <v/>
      </c>
      <c r="F28784" t="str">
        <v>-</v>
      </c>
      <c r="G28784" t="str">
        <v>-</v>
      </c>
    </row>
    <row r="28785">
      <c r="B28785" t="str">
        <v>UBND Ủy ban nhân dân quận Tân Bình  thành phố Hồ Chí Minh</v>
      </c>
      <c r="C28785" t="str">
        <v>-</v>
      </c>
      <c r="D28785" t="str">
        <v>-</v>
      </c>
      <c r="E28785" t="str">
        <v>-</v>
      </c>
      <c r="F28785" t="str">
        <v>-</v>
      </c>
      <c r="G28785" t="str">
        <v>-</v>
      </c>
    </row>
    <row r="28786">
      <c r="B28786" t="str">
        <v>Công an huyện Quỳnh Nhai tỉnh Sơn La</v>
      </c>
      <c r="C28786" t="str">
        <v>-</v>
      </c>
      <c r="D28786" t="str">
        <v>-</v>
      </c>
      <c r="E28786" t="str">
        <v/>
      </c>
      <c r="F28786" t="str">
        <v>-</v>
      </c>
      <c r="G28786" t="str">
        <v>-</v>
      </c>
    </row>
    <row r="28787">
      <c r="B28787" t="str">
        <v>UBND Ủy ban nhân dân huyện Quỳnh Nhai tỉnh Sơn La</v>
      </c>
      <c r="C28787" t="str">
        <v>-</v>
      </c>
      <c r="D28787" t="str">
        <v>-</v>
      </c>
      <c r="E28787" t="str">
        <v>-</v>
      </c>
      <c r="F28787" t="str">
        <v>-</v>
      </c>
      <c r="G28787" t="str">
        <v>-</v>
      </c>
    </row>
    <row r="28788">
      <c r="B28788" t="str">
        <v>Công an xã Sảng Mộc tỉnh Thái Nguyên</v>
      </c>
      <c r="C28788" t="str">
        <v>-</v>
      </c>
      <c r="D28788" t="str">
        <v>-</v>
      </c>
      <c r="E28788" t="str">
        <v/>
      </c>
      <c r="F28788" t="str">
        <v>-</v>
      </c>
      <c r="G28788" t="str">
        <v>-</v>
      </c>
    </row>
    <row r="28789">
      <c r="B28789" t="str">
        <v>UBND Ủy ban nhân dân xã Sảng Mộc tỉnh Thái Nguyên</v>
      </c>
      <c r="C28789" t="str">
        <v>-</v>
      </c>
      <c r="D28789" t="str">
        <v>-</v>
      </c>
      <c r="E28789" t="str">
        <v>-</v>
      </c>
      <c r="F28789" t="str">
        <v>-</v>
      </c>
      <c r="G28789" t="str">
        <v>-</v>
      </c>
    </row>
    <row r="28790">
      <c r="B28790" t="str">
        <v>Công an xã Sơn Cương tỉnh Phú Thọ</v>
      </c>
      <c r="C28790" t="str">
        <v>-</v>
      </c>
      <c r="D28790" t="str">
        <v>-</v>
      </c>
      <c r="E28790" t="str">
        <v/>
      </c>
      <c r="F28790" t="str">
        <v>-</v>
      </c>
      <c r="G28790" t="str">
        <v>-</v>
      </c>
    </row>
    <row r="28791">
      <c r="B28791" t="str">
        <v>UBND Ủy ban nhân dân xã Sơn Cương tỉnh Phú Thọ</v>
      </c>
      <c r="C28791" t="str">
        <v>-</v>
      </c>
      <c r="D28791" t="str">
        <v>-</v>
      </c>
      <c r="E28791" t="str">
        <v>-</v>
      </c>
      <c r="F28791" t="str">
        <v>-</v>
      </c>
      <c r="G28791" t="str">
        <v>-</v>
      </c>
    </row>
    <row r="28792" xml:space="preserve">
      <c r="B28792" t="str" xml:space="preserve">
        <v xml:space="preserve">Công an thành phố Sông Công _x000d_
 tỉnh Thái Nguyên</v>
      </c>
      <c r="C28792" t="str">
        <v>-</v>
      </c>
      <c r="D28792" t="str">
        <v>-</v>
      </c>
      <c r="E28792" t="str">
        <v/>
      </c>
      <c r="F28792" t="str">
        <v>-</v>
      </c>
      <c r="G28792" t="str">
        <v>-</v>
      </c>
    </row>
    <row r="28793" xml:space="preserve">
      <c r="B28793" t="str" xml:space="preserve">
        <v xml:space="preserve">UBND Ủy ban nhân dân thành phố Sông Công _x000d_
 tỉnh Thái Nguyên</v>
      </c>
      <c r="C28793" t="str">
        <v>-</v>
      </c>
      <c r="D28793" t="str">
        <v>-</v>
      </c>
      <c r="E28793" t="str">
        <v>-</v>
      </c>
      <c r="F28793" t="str">
        <v>-</v>
      </c>
      <c r="G28793" t="str">
        <v>-</v>
      </c>
    </row>
    <row r="28794">
      <c r="B28794" t="str">
        <v>Công an xã Suối Nghệ  tỉnh Bà Rịa - Vũng Tàu</v>
      </c>
      <c r="C28794" t="str">
        <v>-</v>
      </c>
      <c r="D28794" t="str">
        <v>-</v>
      </c>
      <c r="E28794" t="str">
        <v/>
      </c>
      <c r="F28794" t="str">
        <v>-</v>
      </c>
      <c r="G28794" t="str">
        <v>-</v>
      </c>
    </row>
    <row r="28795">
      <c r="B28795" t="str">
        <v>UBND Ủy ban nhân dân xã Suối Nghệ  tỉnh Bà Rịa - Vũng Tàu</v>
      </c>
      <c r="C28795" t="str">
        <v>-</v>
      </c>
      <c r="D28795" t="str">
        <v>-</v>
      </c>
      <c r="E28795" t="str">
        <v>-</v>
      </c>
      <c r="F28795" t="str">
        <v>-</v>
      </c>
      <c r="G28795" t="str">
        <v>-</v>
      </c>
    </row>
    <row r="28796">
      <c r="B28796" t="str">
        <v>Công an xã Tà Cạ  tỉnh Nghệ An</v>
      </c>
      <c r="C28796" t="str">
        <v>-</v>
      </c>
      <c r="D28796" t="str">
        <v>-</v>
      </c>
      <c r="E28796" t="str">
        <v/>
      </c>
      <c r="F28796" t="str">
        <v>-</v>
      </c>
      <c r="G28796" t="str">
        <v>-</v>
      </c>
    </row>
    <row r="28797">
      <c r="B28797" t="str">
        <v>UBND Ủy ban nhân dân xã Tà Cạ  tỉnh Nghệ An</v>
      </c>
      <c r="C28797" t="str">
        <v>-</v>
      </c>
      <c r="D28797" t="str">
        <v>-</v>
      </c>
      <c r="E28797" t="str">
        <v>-</v>
      </c>
      <c r="F28797" t="str">
        <v>-</v>
      </c>
      <c r="G28797" t="str">
        <v>-</v>
      </c>
    </row>
    <row r="28798">
      <c r="B28798" t="str">
        <v>Công an xã Tam Phước  tỉnh Bến Tre</v>
      </c>
      <c r="C28798" t="str">
        <v>-</v>
      </c>
      <c r="D28798" t="str">
        <v>-</v>
      </c>
      <c r="E28798" t="str">
        <v/>
      </c>
      <c r="F28798" t="str">
        <v>-</v>
      </c>
      <c r="G28798" t="str">
        <v>-</v>
      </c>
    </row>
    <row r="28799">
      <c r="B28799" t="str">
        <v>UBND Ủy ban nhân dân xã Tam Phước  tỉnh Bến Tre</v>
      </c>
      <c r="C28799" t="str">
        <v>-</v>
      </c>
      <c r="D28799" t="str">
        <v>-</v>
      </c>
      <c r="E28799" t="str">
        <v>-</v>
      </c>
      <c r="F28799" t="str">
        <v>-</v>
      </c>
      <c r="G28799" t="str">
        <v>-</v>
      </c>
    </row>
    <row r="28800">
      <c r="B28800" t="str">
        <v>Công an phường Tân Bình tỉnh Ninh Bình</v>
      </c>
      <c r="C28800" t="str">
        <v>-</v>
      </c>
      <c r="D28800" t="str">
        <v>-</v>
      </c>
      <c r="E28800" t="str">
        <v/>
      </c>
      <c r="F28800" t="str">
        <v>-</v>
      </c>
      <c r="G28800" t="str">
        <v>-</v>
      </c>
    </row>
    <row r="28801">
      <c r="B28801" t="str">
        <v>UBND Ủy ban nhân dân phường Tân Bình tỉnh Ninh Bình</v>
      </c>
      <c r="C28801" t="str">
        <v>-</v>
      </c>
      <c r="D28801" t="str">
        <v>-</v>
      </c>
      <c r="E28801" t="str">
        <v>-</v>
      </c>
      <c r="F28801" t="str">
        <v>-</v>
      </c>
      <c r="G28801" t="str">
        <v>-</v>
      </c>
    </row>
    <row r="28802">
      <c r="B28802" t="str">
        <v>Công an xã Tân Hoa  tỉnh Bắc Giang</v>
      </c>
      <c r="C28802" t="str">
        <v>-</v>
      </c>
      <c r="D28802" t="str">
        <v>-</v>
      </c>
      <c r="E28802" t="str">
        <v/>
      </c>
      <c r="F28802" t="str">
        <v>-</v>
      </c>
      <c r="G28802" t="str">
        <v>-</v>
      </c>
    </row>
    <row r="28803">
      <c r="B28803" t="str">
        <v>UBND Ủy ban nhân dân xã Tân Hoa  tỉnh Bắc Giang</v>
      </c>
      <c r="C28803" t="str">
        <v>-</v>
      </c>
      <c r="D28803" t="str">
        <v>-</v>
      </c>
      <c r="E28803" t="str">
        <v>-</v>
      </c>
      <c r="F28803" t="str">
        <v>-</v>
      </c>
      <c r="G28803" t="str">
        <v>-</v>
      </c>
    </row>
    <row r="28804">
      <c r="B28804" t="str">
        <v>Công an xã Tân Sơn tỉnh Phú Thọ</v>
      </c>
      <c r="C28804" t="str">
        <v>-</v>
      </c>
      <c r="D28804" t="str">
        <v>-</v>
      </c>
      <c r="E28804" t="str">
        <v/>
      </c>
      <c r="F28804" t="str">
        <v>-</v>
      </c>
      <c r="G28804" t="str">
        <v>-</v>
      </c>
    </row>
    <row r="28805">
      <c r="B28805" t="str">
        <v>UBND Ủy ban nhân dân xã Tân Sơn tỉnh Phú Thọ</v>
      </c>
      <c r="C28805" t="str">
        <v>-</v>
      </c>
      <c r="D28805" t="str">
        <v>-</v>
      </c>
      <c r="E28805" t="str">
        <v>-</v>
      </c>
      <c r="F28805" t="str">
        <v>-</v>
      </c>
      <c r="G28805" t="str">
        <v>-</v>
      </c>
    </row>
    <row r="28806">
      <c r="B28806" t="str">
        <v>Công an xã Thạch Định  tỉnh Thanh Hóa</v>
      </c>
      <c r="C28806" t="str">
        <v>-</v>
      </c>
      <c r="D28806" t="str">
        <v>-</v>
      </c>
      <c r="E28806" t="str">
        <v/>
      </c>
      <c r="F28806" t="str">
        <v>-</v>
      </c>
      <c r="G28806" t="str">
        <v>-</v>
      </c>
    </row>
    <row r="28807">
      <c r="B28807" t="str">
        <v>UBND Ủy ban nhân dân xã Thạch Định  tỉnh Thanh Hóa</v>
      </c>
      <c r="C28807" t="str">
        <v>-</v>
      </c>
      <c r="D28807" t="str">
        <v>-</v>
      </c>
      <c r="E28807" t="str">
        <v>-</v>
      </c>
      <c r="F28807" t="str">
        <v>-</v>
      </c>
      <c r="G28807" t="str">
        <v>-</v>
      </c>
    </row>
    <row r="28808">
      <c r="B28808" t="str">
        <v>Công an huyện Thanh Bình tỉnh Đồng Tháp</v>
      </c>
      <c r="C28808" t="str">
        <v>-</v>
      </c>
      <c r="D28808" t="str">
        <v>-</v>
      </c>
      <c r="E28808" t="str">
        <v/>
      </c>
      <c r="F28808" t="str">
        <v>-</v>
      </c>
      <c r="G28808" t="str">
        <v>-</v>
      </c>
    </row>
    <row r="28809">
      <c r="B28809" t="str">
        <v>UBND Ủy ban nhân dân huyện Thanh Bình tỉnh Đồng Tháp</v>
      </c>
      <c r="C28809" t="str">
        <v>-</v>
      </c>
      <c r="D28809" t="str">
        <v>-</v>
      </c>
      <c r="E28809" t="str">
        <v>-</v>
      </c>
      <c r="F28809" t="str">
        <v>-</v>
      </c>
      <c r="G28809" t="str">
        <v>-</v>
      </c>
    </row>
    <row r="28810">
      <c r="B28810" t="str">
        <v>Công an tỉnh Thanh Hóa  tỉnh Thanh Hóa</v>
      </c>
      <c r="C28810" t="str">
        <v>-</v>
      </c>
      <c r="D28810" t="str">
        <v>-</v>
      </c>
      <c r="E28810" t="str">
        <v/>
      </c>
      <c r="F28810" t="str">
        <v>-</v>
      </c>
      <c r="G28810" t="str">
        <v>-</v>
      </c>
    </row>
    <row r="28811">
      <c r="B28811" t="str">
        <v>UBND Ủy ban nhân dân tỉnh Thanh Hóa  tỉnh Thanh Hóa</v>
      </c>
      <c r="C28811" t="str">
        <v>-</v>
      </c>
      <c r="D28811" t="str">
        <v>-</v>
      </c>
      <c r="E28811" t="str">
        <v>-</v>
      </c>
      <c r="F28811" t="str">
        <v>-</v>
      </c>
      <c r="G28811" t="str">
        <v>-</v>
      </c>
    </row>
    <row r="28812">
      <c r="B28812" t="str">
        <v>Công an xã Thanh Lạc  tỉnh Ninh Bình</v>
      </c>
      <c r="C28812" t="str">
        <v>-</v>
      </c>
      <c r="D28812" t="str">
        <v>-</v>
      </c>
      <c r="E28812" t="str">
        <v/>
      </c>
      <c r="F28812" t="str">
        <v>-</v>
      </c>
      <c r="G28812" t="str">
        <v>-</v>
      </c>
    </row>
    <row r="28813">
      <c r="B28813" t="str">
        <v>UBND Ủy ban nhân dân xã Thanh Lạc  tỉnh Ninh Bình</v>
      </c>
      <c r="C28813" t="str">
        <v>-</v>
      </c>
      <c r="D28813" t="str">
        <v>-</v>
      </c>
      <c r="E28813" t="str">
        <v>-</v>
      </c>
      <c r="F28813" t="str">
        <v>-</v>
      </c>
      <c r="G28813" t="str">
        <v>-</v>
      </c>
    </row>
    <row r="28814">
      <c r="B28814" t="str">
        <v>Công an xã Thanh Lâm tỉnh Thanh Hóa</v>
      </c>
      <c r="C28814" t="str">
        <v>-</v>
      </c>
      <c r="D28814" t="str">
        <v>-</v>
      </c>
      <c r="E28814" t="str">
        <v/>
      </c>
      <c r="F28814" t="str">
        <v>-</v>
      </c>
      <c r="G28814" t="str">
        <v>-</v>
      </c>
    </row>
    <row r="28815">
      <c r="B28815" t="str">
        <v>UBND Ủy ban nhân dân xã Thanh Lâm tỉnh Thanh Hóa</v>
      </c>
      <c r="C28815" t="str">
        <v>-</v>
      </c>
      <c r="D28815" t="str">
        <v>-</v>
      </c>
      <c r="E28815" t="str">
        <v>-</v>
      </c>
      <c r="F28815" t="str">
        <v>-</v>
      </c>
      <c r="G28815" t="str">
        <v>-</v>
      </c>
    </row>
    <row r="28816">
      <c r="B28816" t="str">
        <v>Công an thành phố Bạc Liêu  tỉnh Bạc Liêu</v>
      </c>
      <c r="C28816" t="str">
        <v>-</v>
      </c>
      <c r="D28816" t="str">
        <v>-</v>
      </c>
      <c r="E28816" t="str">
        <v/>
      </c>
      <c r="F28816" t="str">
        <v>-</v>
      </c>
      <c r="G28816" t="str">
        <v>-</v>
      </c>
    </row>
    <row r="28817">
      <c r="B28817" t="str">
        <v>UBND Ủy ban nhân dân thành phố Bạc Liêu  tỉnh Bạc Liêu</v>
      </c>
      <c r="C28817" t="str">
        <v>-</v>
      </c>
      <c r="D28817" t="str">
        <v>-</v>
      </c>
      <c r="E28817" t="str">
        <v>-</v>
      </c>
      <c r="F28817" t="str">
        <v>-</v>
      </c>
      <c r="G28817" t="str">
        <v>-</v>
      </c>
    </row>
    <row r="28818">
      <c r="B28818" t="str">
        <v>Công an thành phố Chí Linh  tỉnh Hải Dương</v>
      </c>
      <c r="C28818" t="str">
        <v>-</v>
      </c>
      <c r="D28818" t="str">
        <v>-</v>
      </c>
      <c r="E28818" t="str">
        <v/>
      </c>
      <c r="F28818" t="str">
        <v>-</v>
      </c>
      <c r="G28818" t="str">
        <v>-</v>
      </c>
    </row>
    <row r="28819">
      <c r="B28819" t="str">
        <v>UBND Ủy ban nhân dân thành phố Chí Linh  tỉnh Hải Dương</v>
      </c>
      <c r="C28819" t="str">
        <v>-</v>
      </c>
      <c r="D28819" t="str">
        <v>-</v>
      </c>
      <c r="E28819" t="str">
        <v>-</v>
      </c>
      <c r="F28819" t="str">
        <v>-</v>
      </c>
      <c r="G28819" t="str">
        <v>-</v>
      </c>
    </row>
    <row r="28820">
      <c r="B28820" t="str">
        <v>Công an thành phố Dĩ An tỉnh Bình Dương</v>
      </c>
      <c r="C28820" t="str">
        <v>-</v>
      </c>
      <c r="D28820" t="str">
        <v>-</v>
      </c>
      <c r="E28820" t="str">
        <v/>
      </c>
      <c r="F28820" t="str">
        <v>-</v>
      </c>
      <c r="G28820" t="str">
        <v>-</v>
      </c>
    </row>
    <row r="28821">
      <c r="B28821" t="str">
        <v>UBND Ủy ban nhân dân thành phố Dĩ An tỉnh Bình Dương</v>
      </c>
      <c r="C28821" t="str">
        <v>-</v>
      </c>
      <c r="D28821" t="str">
        <v>-</v>
      </c>
      <c r="E28821" t="str">
        <v>-</v>
      </c>
      <c r="F28821" t="str">
        <v>-</v>
      </c>
      <c r="G28821" t="str">
        <v>-</v>
      </c>
    </row>
    <row r="28822">
      <c r="B28822" t="str">
        <v>Công an thành phố Điện Biên Phủ  tỉnh Điện Biên</v>
      </c>
      <c r="C28822" t="str">
        <v>-</v>
      </c>
      <c r="D28822" t="str">
        <v>-</v>
      </c>
      <c r="E28822" t="str">
        <v/>
      </c>
      <c r="F28822" t="str">
        <v>-</v>
      </c>
      <c r="G28822" t="str">
        <v>-</v>
      </c>
    </row>
    <row r="28823">
      <c r="B28823" t="str">
        <v>UBND Ủy ban nhân dân thành phố Điện Biên Phủ  tỉnh Điện Biên</v>
      </c>
      <c r="C28823" t="str">
        <v>-</v>
      </c>
      <c r="D28823" t="str">
        <v>-</v>
      </c>
      <c r="E28823" t="str">
        <v>-</v>
      </c>
      <c r="F28823" t="str">
        <v>-</v>
      </c>
      <c r="G28823" t="str">
        <v>-</v>
      </c>
    </row>
    <row r="28824">
      <c r="B28824" t="str">
        <v>Công an thành phố Hải Dương  tỉnh Hải Dương</v>
      </c>
      <c r="C28824" t="str">
        <v>-</v>
      </c>
      <c r="D28824" t="str">
        <v>-</v>
      </c>
      <c r="E28824" t="str">
        <v/>
      </c>
      <c r="F28824" t="str">
        <v>-</v>
      </c>
      <c r="G28824" t="str">
        <v>-</v>
      </c>
    </row>
    <row r="28825">
      <c r="B28825" t="str">
        <v>UBND Ủy ban nhân dân thành phố Hải Dương  tỉnh Hải Dương</v>
      </c>
      <c r="C28825" t="str">
        <v>-</v>
      </c>
      <c r="D28825" t="str">
        <v>-</v>
      </c>
      <c r="E28825" t="str">
        <v>-</v>
      </c>
      <c r="F28825" t="str">
        <v>-</v>
      </c>
      <c r="G28825" t="str">
        <v>-</v>
      </c>
    </row>
    <row r="28826">
      <c r="B28826" t="str">
        <v>Công an thành phố Lai Châu  tỉnh Điện Biên</v>
      </c>
      <c r="C28826" t="str">
        <v>-</v>
      </c>
      <c r="D28826" t="str">
        <v>-</v>
      </c>
      <c r="E28826" t="str">
        <v/>
      </c>
      <c r="F28826" t="str">
        <v>-</v>
      </c>
      <c r="G28826" t="str">
        <v>-</v>
      </c>
    </row>
    <row r="28827">
      <c r="B28827" t="str">
        <v>UBND Ủy ban nhân dân thành phố Lai Châu  tỉnh Điện Biên</v>
      </c>
      <c r="C28827" t="str">
        <v>-</v>
      </c>
      <c r="D28827" t="str">
        <v>-</v>
      </c>
      <c r="E28827" t="str">
        <v>-</v>
      </c>
      <c r="F28827" t="str">
        <v>-</v>
      </c>
      <c r="G28827" t="str">
        <v>-</v>
      </c>
    </row>
    <row r="28828">
      <c r="B28828" t="str">
        <v>Công an thành phố Ninh Bình  tỉnh Ninh Bình</v>
      </c>
      <c r="C28828" t="str">
        <v>-</v>
      </c>
      <c r="D28828" t="str">
        <v>-</v>
      </c>
      <c r="E28828" t="str">
        <v/>
      </c>
      <c r="F28828" t="str">
        <v>-</v>
      </c>
      <c r="G28828" t="str">
        <v>-</v>
      </c>
    </row>
    <row r="28829">
      <c r="B28829" t="str">
        <v>UBND Ủy ban nhân dân thành phố Ninh Bình  tỉnh Ninh Bình</v>
      </c>
      <c r="C28829" t="str">
        <v>-</v>
      </c>
      <c r="D28829" t="str">
        <v>-</v>
      </c>
      <c r="E28829" t="str">
        <v>-</v>
      </c>
      <c r="F28829" t="str">
        <v>-</v>
      </c>
      <c r="G28829" t="str">
        <v>-</v>
      </c>
    </row>
    <row r="28830">
      <c r="B28830" t="str">
        <v>Công an thành phố Thái Nguyên  tỉnh Thái Nguyên</v>
      </c>
      <c r="C28830" t="str">
        <v>-</v>
      </c>
      <c r="D28830" t="str">
        <v>-</v>
      </c>
      <c r="E28830" t="str">
        <v/>
      </c>
      <c r="F28830" t="str">
        <v>-</v>
      </c>
      <c r="G28830" t="str">
        <v>-</v>
      </c>
    </row>
    <row r="28831">
      <c r="B28831" t="str">
        <v>UBND Ủy ban nhân dân thành phố Thái Nguyên  tỉnh Thái Nguyên</v>
      </c>
      <c r="C28831" t="str">
        <v>-</v>
      </c>
      <c r="D28831" t="str">
        <v>-</v>
      </c>
      <c r="E28831" t="str">
        <v>-</v>
      </c>
      <c r="F28831" t="str">
        <v>-</v>
      </c>
      <c r="G28831" t="str">
        <v>-</v>
      </c>
    </row>
    <row r="28832">
      <c r="B28832" t="str">
        <v>Công an thành phố Thanh Hóa  tỉnh Thanh Hóa</v>
      </c>
      <c r="C28832" t="str">
        <v>-</v>
      </c>
      <c r="D28832" t="str">
        <v>-</v>
      </c>
      <c r="E28832" t="str">
        <v/>
      </c>
      <c r="F28832" t="str">
        <v>-</v>
      </c>
      <c r="G28832" t="str">
        <v>-</v>
      </c>
    </row>
    <row r="28833">
      <c r="B28833" t="str">
        <v>UBND Ủy ban nhân dân thành phố Thanh Hóa  tỉnh Thanh Hóa</v>
      </c>
      <c r="C28833" t="str">
        <v>-</v>
      </c>
      <c r="D28833" t="str">
        <v>-</v>
      </c>
      <c r="E28833" t="str">
        <v>-</v>
      </c>
      <c r="F28833" t="str">
        <v>-</v>
      </c>
      <c r="G28833" t="str">
        <v>-</v>
      </c>
    </row>
    <row r="28834">
      <c r="B28834" t="str">
        <v>Công an thành phố Vinh  tỉnh Nghệ An</v>
      </c>
      <c r="C28834" t="str">
        <v>-</v>
      </c>
      <c r="D28834" t="str">
        <v>-</v>
      </c>
      <c r="E28834" t="str">
        <v/>
      </c>
      <c r="F28834" t="str">
        <v>-</v>
      </c>
      <c r="G28834" t="str">
        <v>-</v>
      </c>
    </row>
    <row r="28835">
      <c r="B28835" t="str">
        <v>UBND Ủy ban nhân dân thành phố Vinh  tỉnh Nghệ An</v>
      </c>
      <c r="C28835" t="str">
        <v>-</v>
      </c>
      <c r="D28835" t="str">
        <v>-</v>
      </c>
      <c r="E28835" t="str">
        <v>-</v>
      </c>
      <c r="F28835" t="str">
        <v>-</v>
      </c>
      <c r="G28835" t="str">
        <v>-</v>
      </c>
    </row>
    <row r="28836">
      <c r="B28836" t="str">
        <v>Công an thành phố Vị Thanh tỉnh Hậu Giang</v>
      </c>
      <c r="C28836" t="str">
        <v>-</v>
      </c>
      <c r="D28836" t="str">
        <v>-</v>
      </c>
      <c r="E28836" t="str">
        <v/>
      </c>
      <c r="F28836" t="str">
        <v>-</v>
      </c>
      <c r="G28836" t="str">
        <v>-</v>
      </c>
    </row>
    <row r="28837">
      <c r="B28837" t="str">
        <v>UBND Ủy ban nhân dân thành phố Vị Thanh tỉnh Hậu Giang</v>
      </c>
      <c r="C28837" t="str">
        <v>-</v>
      </c>
      <c r="D28837" t="str">
        <v>-</v>
      </c>
      <c r="E28837" t="str">
        <v>-</v>
      </c>
      <c r="F28837" t="str">
        <v>-</v>
      </c>
      <c r="G28837" t="str">
        <v>-</v>
      </c>
    </row>
    <row r="28838">
      <c r="B28838" t="str">
        <v>Công an xã Thanh Thủy  tỉnh Thanh Hóa</v>
      </c>
      <c r="C28838" t="str">
        <v>-</v>
      </c>
      <c r="D28838" t="str">
        <v>-</v>
      </c>
      <c r="E28838" t="str">
        <v/>
      </c>
      <c r="F28838" t="str">
        <v>-</v>
      </c>
      <c r="G28838" t="str">
        <v>-</v>
      </c>
    </row>
    <row r="28839">
      <c r="B28839" t="str">
        <v>UBND Ủy ban nhân dân xã Thanh Thủy  tỉnh Thanh Hóa</v>
      </c>
      <c r="C28839" t="str">
        <v>-</v>
      </c>
      <c r="D28839" t="str">
        <v>-</v>
      </c>
      <c r="E28839" t="str">
        <v>-</v>
      </c>
      <c r="F28839" t="str">
        <v>-</v>
      </c>
      <c r="G28839" t="str">
        <v>-</v>
      </c>
    </row>
    <row r="28840">
      <c r="B28840" t="str">
        <v>Công an thị trấn Bình Đại tỉnh Bến Tre</v>
      </c>
      <c r="C28840" t="str">
        <v>-</v>
      </c>
      <c r="D28840" t="str">
        <v>-</v>
      </c>
      <c r="E28840" t="str">
        <v/>
      </c>
      <c r="F28840" t="str">
        <v>-</v>
      </c>
      <c r="G28840" t="str">
        <v>-</v>
      </c>
    </row>
    <row r="28841">
      <c r="B28841" t="str">
        <v>UBND Ủy ban nhân dân thị trấn Bình Đại tỉnh Bến Tre</v>
      </c>
      <c r="C28841" t="str">
        <v>-</v>
      </c>
      <c r="D28841" t="str">
        <v>-</v>
      </c>
      <c r="E28841" t="str">
        <v>-</v>
      </c>
      <c r="F28841" t="str">
        <v>-</v>
      </c>
      <c r="G28841" t="str">
        <v>-</v>
      </c>
    </row>
    <row r="28842">
      <c r="B28842" t="str">
        <v>Công an thị trấn Bá Hiền tỉnh Vĩnh Phúc</v>
      </c>
      <c r="C28842" t="str">
        <v>-</v>
      </c>
      <c r="D28842" t="str">
        <v>-</v>
      </c>
      <c r="E28842" t="str">
        <v/>
      </c>
      <c r="F28842" t="str">
        <v>-</v>
      </c>
      <c r="G28842" t="str">
        <v>-</v>
      </c>
    </row>
    <row r="28843">
      <c r="B28843" t="str">
        <v>UBND Ủy ban nhân dân thị trấn Bá Hiền tỉnh Vĩnh Phúc</v>
      </c>
      <c r="C28843" t="str">
        <v>-</v>
      </c>
      <c r="D28843" t="str">
        <v>-</v>
      </c>
      <c r="E28843" t="str">
        <v>-</v>
      </c>
      <c r="F28843" t="str">
        <v>-</v>
      </c>
      <c r="G28843" t="str">
        <v>-</v>
      </c>
    </row>
    <row r="28844">
      <c r="B28844" t="str">
        <v>Công an thị trấn Cái Nhum  tỉnh Vĩnh Long</v>
      </c>
      <c r="C28844" t="str">
        <v>-</v>
      </c>
      <c r="D28844" t="str">
        <v>-</v>
      </c>
      <c r="E28844" t="str">
        <v/>
      </c>
      <c r="F28844" t="str">
        <v>-</v>
      </c>
      <c r="G28844" t="str">
        <v>-</v>
      </c>
    </row>
    <row r="28845">
      <c r="B28845" t="str">
        <v>UBND Ủy ban nhân dân thị trấn Cái Nhum  tỉnh Vĩnh Long</v>
      </c>
      <c r="C28845" t="str">
        <v>-</v>
      </c>
      <c r="D28845" t="str">
        <v>-</v>
      </c>
      <c r="E28845" t="str">
        <v>-</v>
      </c>
      <c r="F28845" t="str">
        <v>-</v>
      </c>
      <c r="G28845" t="str">
        <v>-</v>
      </c>
    </row>
    <row r="28846">
      <c r="B28846" t="str">
        <v>Công an thị trấn Đak Đoa  tỉnh Gia Lai</v>
      </c>
      <c r="C28846" t="str">
        <v>-</v>
      </c>
      <c r="D28846" t="str">
        <v>-</v>
      </c>
      <c r="E28846" t="str">
        <v/>
      </c>
      <c r="F28846" t="str">
        <v>-</v>
      </c>
      <c r="G28846" t="str">
        <v>-</v>
      </c>
    </row>
    <row r="28847">
      <c r="B28847" t="str">
        <v>UBND Ủy ban nhân dân thị trấn Đak Đoa  tỉnh Gia Lai</v>
      </c>
      <c r="C28847" t="str">
        <v>-</v>
      </c>
      <c r="D28847" t="str">
        <v>-</v>
      </c>
      <c r="E28847" t="str">
        <v>-</v>
      </c>
      <c r="F28847" t="str">
        <v>-</v>
      </c>
      <c r="G28847" t="str">
        <v>-</v>
      </c>
    </row>
    <row r="28848">
      <c r="B28848" t="str">
        <v>Công an thị trấn Hậu Lộc tỉnh Thanh Hóa</v>
      </c>
      <c r="C28848" t="str">
        <v>-</v>
      </c>
      <c r="D28848" t="str">
        <v>-</v>
      </c>
      <c r="E28848" t="str">
        <v/>
      </c>
      <c r="F28848" t="str">
        <v>-</v>
      </c>
      <c r="G28848" t="str">
        <v>-</v>
      </c>
    </row>
    <row r="28849">
      <c r="B28849" t="str">
        <v>UBND Ủy ban nhân dân thị trấn Hậu Lộc tỉnh Thanh Hóa</v>
      </c>
      <c r="C28849" t="str">
        <v>-</v>
      </c>
      <c r="D28849" t="str">
        <v>-</v>
      </c>
      <c r="E28849" t="str">
        <v>-</v>
      </c>
      <c r="F28849" t="str">
        <v>-</v>
      </c>
      <c r="G28849" t="str">
        <v>-</v>
      </c>
    </row>
    <row r="28850">
      <c r="B28850" t="str">
        <v>Công an thị trấn Hiệp Phước  tỉnh Đồng Nai</v>
      </c>
      <c r="C28850" t="str">
        <v>-</v>
      </c>
      <c r="D28850" t="str">
        <v>-</v>
      </c>
      <c r="E28850" t="str">
        <v/>
      </c>
      <c r="F28850" t="str">
        <v>-</v>
      </c>
      <c r="G28850" t="str">
        <v>-</v>
      </c>
    </row>
    <row r="28851">
      <c r="B28851" t="str">
        <v>UBND Ủy ban nhân dân thị trấn Hiệp Phước  tỉnh Đồng Nai</v>
      </c>
      <c r="C28851" t="str">
        <v>-</v>
      </c>
      <c r="D28851" t="str">
        <v>-</v>
      </c>
      <c r="E28851" t="str">
        <v>-</v>
      </c>
      <c r="F28851" t="str">
        <v>-</v>
      </c>
      <c r="G28851" t="str">
        <v>-</v>
      </c>
    </row>
    <row r="28852">
      <c r="B28852" t="str">
        <v>Công an thị trấn Hương Khê tỉnh Hà Tĩnh</v>
      </c>
      <c r="C28852" t="str">
        <v>-</v>
      </c>
      <c r="D28852" t="str">
        <v>-</v>
      </c>
      <c r="E28852" t="str">
        <v/>
      </c>
      <c r="F28852" t="str">
        <v>-</v>
      </c>
      <c r="G28852" t="str">
        <v>-</v>
      </c>
    </row>
    <row r="28853">
      <c r="B28853" t="str">
        <v>UBND Ủy ban nhân dân thị trấn Hương Khê tỉnh Hà Tĩnh</v>
      </c>
      <c r="C28853" t="str">
        <v>-</v>
      </c>
      <c r="D28853" t="str">
        <v>-</v>
      </c>
      <c r="E28853" t="str">
        <v>-</v>
      </c>
      <c r="F28853" t="str">
        <v>-</v>
      </c>
      <c r="G28853" t="str">
        <v>-</v>
      </c>
    </row>
    <row r="28854">
      <c r="B28854" t="str">
        <v>Công an thị trấn Na Hang tỉnh Tuyên Quang</v>
      </c>
      <c r="C28854" t="str">
        <v>-</v>
      </c>
      <c r="D28854" t="str">
        <v>-</v>
      </c>
      <c r="E28854" t="str">
        <v/>
      </c>
      <c r="F28854" t="str">
        <v>-</v>
      </c>
      <c r="G28854" t="str">
        <v>-</v>
      </c>
    </row>
    <row r="28855">
      <c r="B28855" t="str">
        <v>UBND Ủy ban nhân dân thị trấn Na Hang tỉnh Tuyên Quang</v>
      </c>
      <c r="C28855" t="str">
        <v>-</v>
      </c>
      <c r="D28855" t="str">
        <v>-</v>
      </c>
      <c r="E28855" t="str">
        <v>-</v>
      </c>
      <c r="F28855" t="str">
        <v>-</v>
      </c>
      <c r="G28855" t="str">
        <v>-</v>
      </c>
    </row>
    <row r="28856">
      <c r="B28856" t="str">
        <v>Công an thị trấn Phú Thứ  tỉnh Phú Yên</v>
      </c>
      <c r="C28856" t="str">
        <v>-</v>
      </c>
      <c r="D28856" t="str">
        <v>-</v>
      </c>
      <c r="E28856" t="str">
        <v/>
      </c>
      <c r="F28856" t="str">
        <v>-</v>
      </c>
      <c r="G28856" t="str">
        <v>-</v>
      </c>
    </row>
    <row r="28857">
      <c r="B28857" t="str">
        <v>UBND Ủy ban nhân dân thị trấn Phú Thứ  tỉnh Phú Yên</v>
      </c>
      <c r="C28857" t="str">
        <v>-</v>
      </c>
      <c r="D28857" t="str">
        <v>-</v>
      </c>
      <c r="E28857" t="str">
        <v>-</v>
      </c>
      <c r="F28857" t="str">
        <v>-</v>
      </c>
      <c r="G28857" t="str">
        <v>-</v>
      </c>
    </row>
    <row r="28858">
      <c r="B28858" t="str">
        <v>Công an thị trấn Tân Hiệp  tỉnh TIỀN GIANG</v>
      </c>
      <c r="C28858" t="str">
        <v>-</v>
      </c>
      <c r="D28858" t="str">
        <v>-</v>
      </c>
      <c r="E28858" t="str">
        <v/>
      </c>
      <c r="F28858" t="str">
        <v>-</v>
      </c>
      <c r="G28858" t="str">
        <v>-</v>
      </c>
    </row>
    <row r="28859">
      <c r="B28859" t="str">
        <v>UBND Ủy ban nhân dân thị trấn Tân Hiệp  tỉnh TIỀN GIANG</v>
      </c>
      <c r="C28859" t="str">
        <v>-</v>
      </c>
      <c r="D28859" t="str">
        <v>-</v>
      </c>
      <c r="E28859" t="str">
        <v>-</v>
      </c>
      <c r="F28859" t="str">
        <v>-</v>
      </c>
      <c r="G28859" t="str">
        <v>-</v>
      </c>
    </row>
    <row r="28860">
      <c r="B28860" t="str">
        <v>Công an thị trấn Trần Đề tỉnh Sóc Trăng</v>
      </c>
      <c r="C28860" t="str">
        <v>-</v>
      </c>
      <c r="D28860" t="str">
        <v>-</v>
      </c>
      <c r="E28860" t="str">
        <v/>
      </c>
      <c r="F28860" t="str">
        <v>-</v>
      </c>
      <c r="G28860" t="str">
        <v>-</v>
      </c>
    </row>
    <row r="28861">
      <c r="B28861" t="str">
        <v>UBND Ủy ban nhân dân thị trấn Trần Đề tỉnh Sóc Trăng</v>
      </c>
      <c r="C28861" t="str">
        <v>-</v>
      </c>
      <c r="D28861" t="str">
        <v>-</v>
      </c>
      <c r="E28861" t="str">
        <v>-</v>
      </c>
      <c r="F28861" t="str">
        <v>-</v>
      </c>
      <c r="G28861" t="str">
        <v>-</v>
      </c>
    </row>
    <row r="28862">
      <c r="B28862" t="str">
        <v>Công an thị trấn Tủa Chùa  tỉnh Điện Biên</v>
      </c>
      <c r="C28862" t="str">
        <v>-</v>
      </c>
      <c r="D28862" t="str">
        <v>-</v>
      </c>
      <c r="E28862" t="str">
        <v/>
      </c>
      <c r="F28862" t="str">
        <v>-</v>
      </c>
      <c r="G28862" t="str">
        <v>-</v>
      </c>
    </row>
    <row r="28863">
      <c r="B28863" t="str">
        <v>UBND Ủy ban nhân dân thị trấn Tủa Chùa  tỉnh Điện Biên</v>
      </c>
      <c r="C28863" t="str">
        <v>-</v>
      </c>
      <c r="D28863" t="str">
        <v>-</v>
      </c>
      <c r="E28863" t="str">
        <v>-</v>
      </c>
      <c r="F28863" t="str">
        <v>-</v>
      </c>
      <c r="G28863" t="str">
        <v>-</v>
      </c>
    </row>
    <row r="28864">
      <c r="B28864" t="str">
        <v>Công an thị trấn Yên Sơn tỉnh Tuyên Quang</v>
      </c>
      <c r="C28864" t="str">
        <v>-</v>
      </c>
      <c r="D28864" t="str">
        <v>-</v>
      </c>
      <c r="E28864" t="str">
        <v/>
      </c>
      <c r="F28864" t="str">
        <v>-</v>
      </c>
      <c r="G28864" t="str">
        <v>-</v>
      </c>
    </row>
    <row r="28865">
      <c r="B28865" t="str">
        <v>UBND Ủy ban nhân dân thị trấn Yên Sơn tỉnh Tuyên Quang</v>
      </c>
      <c r="C28865" t="str">
        <v>-</v>
      </c>
      <c r="D28865" t="str">
        <v>-</v>
      </c>
      <c r="E28865" t="str">
        <v>-</v>
      </c>
      <c r="F28865" t="str">
        <v>-</v>
      </c>
      <c r="G28865" t="str">
        <v>-</v>
      </c>
    </row>
    <row r="28866">
      <c r="B28866" t="str">
        <v>Công an thị xã Ba Đồn  tỉnh Quảng Bình</v>
      </c>
      <c r="C28866" t="str">
        <v>-</v>
      </c>
      <c r="D28866" t="str">
        <v>-</v>
      </c>
      <c r="E28866" t="str">
        <v/>
      </c>
      <c r="F28866" t="str">
        <v>-</v>
      </c>
      <c r="G28866" t="str">
        <v>-</v>
      </c>
    </row>
    <row r="28867">
      <c r="B28867" t="str">
        <v>UBND Ủy ban nhân dân thị xã Ba Đồn  tỉnh Quảng Bình</v>
      </c>
      <c r="C28867" t="str">
        <v>-</v>
      </c>
      <c r="D28867" t="str">
        <v>-</v>
      </c>
      <c r="E28867" t="str">
        <v>-</v>
      </c>
      <c r="F28867" t="str">
        <v>-</v>
      </c>
      <c r="G28867" t="str">
        <v>-</v>
      </c>
    </row>
    <row r="28868">
      <c r="B28868" t="str">
        <v>Công an thị xã Hoàng Mai  tỉnh Nghệ An</v>
      </c>
      <c r="C28868" t="str">
        <v>-</v>
      </c>
      <c r="D28868" t="str">
        <v>-</v>
      </c>
      <c r="E28868" t="str">
        <v/>
      </c>
      <c r="F28868" t="str">
        <v>-</v>
      </c>
      <c r="G28868" t="str">
        <v>-</v>
      </c>
    </row>
    <row r="28869">
      <c r="B28869" t="str">
        <v>UBND Ủy ban nhân dân thị xã Hoàng Mai  tỉnh Nghệ An</v>
      </c>
      <c r="C28869" t="str">
        <v>-</v>
      </c>
      <c r="D28869" t="str">
        <v>-</v>
      </c>
      <c r="E28869" t="str">
        <v>-</v>
      </c>
      <c r="F28869" t="str">
        <v>-</v>
      </c>
      <c r="G28869" t="str">
        <v>-</v>
      </c>
    </row>
    <row r="28870">
      <c r="B28870" t="str">
        <v>Công an thị xã Nghi Sơn tỉnh Thanh Hóa</v>
      </c>
      <c r="C28870" t="str">
        <v>-</v>
      </c>
      <c r="D28870" t="str">
        <v>-</v>
      </c>
      <c r="E28870" t="str">
        <v/>
      </c>
      <c r="F28870" t="str">
        <v>-</v>
      </c>
      <c r="G28870" t="str">
        <v>-</v>
      </c>
    </row>
    <row r="28871">
      <c r="B28871" t="str">
        <v>UBND Ủy ban nhân dân thị xã Nghi Sơn tỉnh Thanh Hóa</v>
      </c>
      <c r="C28871" t="str">
        <v>-</v>
      </c>
      <c r="D28871" t="str">
        <v>-</v>
      </c>
      <c r="E28871" t="str">
        <v>-</v>
      </c>
      <c r="F28871" t="str">
        <v>-</v>
      </c>
      <c r="G28871" t="str">
        <v>-</v>
      </c>
    </row>
    <row r="28872">
      <c r="B28872" t="str">
        <v>Công an thị xã Trảng Bàng  tỉnh TÂY NINH</v>
      </c>
      <c r="C28872" t="str">
        <v>-</v>
      </c>
      <c r="D28872" t="str">
        <v>-</v>
      </c>
      <c r="E28872" t="str">
        <v/>
      </c>
      <c r="F28872" t="str">
        <v>-</v>
      </c>
      <c r="G28872" t="str">
        <v>-</v>
      </c>
    </row>
    <row r="28873">
      <c r="B28873" t="str">
        <v>UBND Ủy ban nhân dân thị xã Trảng Bàng  tỉnh TÂY NINH</v>
      </c>
      <c r="C28873" t="str">
        <v>-</v>
      </c>
      <c r="D28873" t="str">
        <v>-</v>
      </c>
      <c r="E28873" t="str">
        <v>-</v>
      </c>
      <c r="F28873" t="str">
        <v>-</v>
      </c>
      <c r="G28873" t="str">
        <v>-</v>
      </c>
    </row>
    <row r="28874">
      <c r="B28874" t="str">
        <v>Công an thành phố Hà Nội thành phố Hà Nội</v>
      </c>
      <c r="C28874" t="str">
        <v>-</v>
      </c>
      <c r="D28874" t="str">
        <v>-</v>
      </c>
      <c r="E28874" t="str">
        <v/>
      </c>
      <c r="F28874" t="str">
        <v>-</v>
      </c>
      <c r="G28874" t="str">
        <v>-</v>
      </c>
    </row>
    <row r="28875">
      <c r="B28875" t="str">
        <v>UBND Ủy ban nhân dân thành phố Hà Nội thành phố Hà Nội</v>
      </c>
      <c r="C28875" t="str">
        <v>-</v>
      </c>
      <c r="D28875" t="str">
        <v>-</v>
      </c>
      <c r="E28875" t="str">
        <v>-</v>
      </c>
      <c r="F28875" t="str">
        <v>-</v>
      </c>
      <c r="G28875" t="str">
        <v>-</v>
      </c>
    </row>
    <row r="28876">
      <c r="B28876" t="str">
        <v>Công an tỉnh Bắc Giang tỉnh Bắc Giang</v>
      </c>
      <c r="C28876" t="str">
        <v>-</v>
      </c>
      <c r="D28876" t="str">
        <v>-</v>
      </c>
      <c r="E28876" t="str">
        <v/>
      </c>
      <c r="F28876" t="str">
        <v>-</v>
      </c>
      <c r="G28876" t="str">
        <v>-</v>
      </c>
    </row>
    <row r="28877">
      <c r="B28877" t="str">
        <v>UBND Ủy ban nhân dân tỉnh Bắc Giang tỉnh Bắc Giang</v>
      </c>
      <c r="C28877" t="str">
        <v>-</v>
      </c>
      <c r="D28877" t="str">
        <v>-</v>
      </c>
      <c r="E28877" t="str">
        <v>-</v>
      </c>
      <c r="F28877" t="str">
        <v>-</v>
      </c>
      <c r="G28877" t="str">
        <v>-</v>
      </c>
    </row>
    <row r="28878">
      <c r="B28878" t="str">
        <v>Công an tỉnh Bình Dương  tỉnh Bình Dương</v>
      </c>
      <c r="C28878" t="str">
        <v>-</v>
      </c>
      <c r="D28878" t="str">
        <v>-</v>
      </c>
      <c r="E28878" t="str">
        <v/>
      </c>
      <c r="F28878" t="str">
        <v>-</v>
      </c>
      <c r="G28878" t="str">
        <v>-</v>
      </c>
    </row>
    <row r="28879">
      <c r="B28879" t="str">
        <v>UBND Ủy ban nhân dân tỉnh Bình Dương  tỉnh Bình Dương</v>
      </c>
      <c r="C28879" t="str">
        <v>-</v>
      </c>
      <c r="D28879" t="str">
        <v>-</v>
      </c>
      <c r="E28879" t="str">
        <v>-</v>
      </c>
      <c r="F28879" t="str">
        <v>-</v>
      </c>
      <c r="G28879" t="str">
        <v>-</v>
      </c>
    </row>
    <row r="28880">
      <c r="B28880" t="str">
        <v>Công an tỉnh Cao Bằng  tỉnh Cao Bằng</v>
      </c>
      <c r="C28880" t="str">
        <v>-</v>
      </c>
      <c r="D28880" t="str">
        <v>-</v>
      </c>
      <c r="E28880" t="str">
        <v/>
      </c>
      <c r="F28880" t="str">
        <v>-</v>
      </c>
      <c r="G28880" t="str">
        <v>-</v>
      </c>
    </row>
    <row r="28881">
      <c r="B28881" t="str">
        <v>UBND Ủy ban nhân dân tỉnh Cao Bằng  tỉnh Cao Bằng</v>
      </c>
      <c r="C28881" t="str">
        <v>-</v>
      </c>
      <c r="D28881" t="str">
        <v>-</v>
      </c>
      <c r="E28881" t="str">
        <v>-</v>
      </c>
      <c r="F28881" t="str">
        <v>-</v>
      </c>
      <c r="G28881" t="str">
        <v>-</v>
      </c>
    </row>
    <row r="28882">
      <c r="B28882" t="str">
        <v>Công an tỉnh Điện Biên tỉnh Điện Biên</v>
      </c>
      <c r="C28882" t="str">
        <v>-</v>
      </c>
      <c r="D28882" t="str">
        <v>-</v>
      </c>
      <c r="E28882" t="str">
        <v/>
      </c>
      <c r="F28882" t="str">
        <v>-</v>
      </c>
      <c r="G28882" t="str">
        <v>-</v>
      </c>
    </row>
    <row r="28883">
      <c r="B28883" t="str">
        <v>UBND Ủy ban nhân dân tỉnh Điện Biên tỉnh Điện Biên</v>
      </c>
      <c r="C28883" t="str">
        <v>-</v>
      </c>
      <c r="D28883" t="str">
        <v>-</v>
      </c>
      <c r="E28883" t="str">
        <v>-</v>
      </c>
      <c r="F28883" t="str">
        <v>-</v>
      </c>
      <c r="G28883" t="str">
        <v>-</v>
      </c>
    </row>
    <row r="28884">
      <c r="B28884" t="str">
        <v>Công an tỉnh Hà Giang tỉnh Hà Giang</v>
      </c>
      <c r="C28884" t="str">
        <v>-</v>
      </c>
      <c r="D28884" t="str">
        <v>-</v>
      </c>
      <c r="E28884" t="str">
        <v/>
      </c>
      <c r="F28884" t="str">
        <v>-</v>
      </c>
      <c r="G28884" t="str">
        <v>-</v>
      </c>
    </row>
    <row r="28885">
      <c r="B28885" t="str">
        <v>UBND Ủy ban nhân dân tỉnh Hà Giang tỉnh Hà Giang</v>
      </c>
      <c r="C28885" t="str">
        <v>-</v>
      </c>
      <c r="D28885" t="str">
        <v>-</v>
      </c>
      <c r="E28885" t="str">
        <v>-</v>
      </c>
      <c r="F28885" t="str">
        <v>-</v>
      </c>
      <c r="G28885" t="str">
        <v>-</v>
      </c>
    </row>
    <row r="28886">
      <c r="B28886" t="str">
        <v>Công an tỉnh Hà Nam tỉnh Hà Nam</v>
      </c>
      <c r="C28886" t="str">
        <v>-</v>
      </c>
      <c r="D28886" t="str">
        <v>-</v>
      </c>
      <c r="E28886" t="str">
        <v/>
      </c>
      <c r="F28886" t="str">
        <v>-</v>
      </c>
      <c r="G28886" t="str">
        <v>-</v>
      </c>
    </row>
    <row r="28887">
      <c r="B28887" t="str">
        <v>UBND Ủy ban nhân dân tỉnh Hà Nam tỉnh Hà Nam</v>
      </c>
      <c r="C28887" t="str">
        <v>-</v>
      </c>
      <c r="D28887" t="str">
        <v>-</v>
      </c>
      <c r="E28887" t="str">
        <v>-</v>
      </c>
      <c r="F28887" t="str">
        <v>-</v>
      </c>
      <c r="G28887" t="str">
        <v>-</v>
      </c>
    </row>
    <row r="28888">
      <c r="B28888" t="str">
        <v>Công an tỉnh Hưng Yên tỉnh Hưng Yên</v>
      </c>
      <c r="C28888" t="str">
        <v>-</v>
      </c>
      <c r="D28888" t="str">
        <v>-</v>
      </c>
      <c r="E28888" t="str">
        <v/>
      </c>
      <c r="F28888" t="str">
        <v>-</v>
      </c>
      <c r="G28888" t="str">
        <v>-</v>
      </c>
    </row>
    <row r="28889">
      <c r="B28889" t="str">
        <v>UBND Ủy ban nhân dân tỉnh Hưng Yên tỉnh Hưng Yên</v>
      </c>
      <c r="C28889" t="str">
        <v>-</v>
      </c>
      <c r="D28889" t="str">
        <v>-</v>
      </c>
      <c r="E28889" t="str">
        <v>-</v>
      </c>
      <c r="F28889" t="str">
        <v>-</v>
      </c>
      <c r="G28889" t="str">
        <v>-</v>
      </c>
    </row>
    <row r="28890">
      <c r="B28890" t="str">
        <v>Công an tỉnh Hưng Yên  tỉnh Hưng Yên</v>
      </c>
      <c r="C28890" t="str">
        <v>-</v>
      </c>
      <c r="D28890" t="str">
        <v>-</v>
      </c>
      <c r="E28890" t="str">
        <v/>
      </c>
      <c r="F28890" t="str">
        <v>-</v>
      </c>
      <c r="G28890" t="str">
        <v>-</v>
      </c>
    </row>
    <row r="28891">
      <c r="B28891" t="str">
        <v>UBND Ủy ban nhân dân tỉnh Hưng Yên  tỉnh Hưng Yên</v>
      </c>
      <c r="C28891" t="str">
        <v>-</v>
      </c>
      <c r="D28891" t="str">
        <v>-</v>
      </c>
      <c r="E28891" t="str">
        <v>-</v>
      </c>
      <c r="F28891" t="str">
        <v>-</v>
      </c>
      <c r="G28891" t="str">
        <v>-</v>
      </c>
    </row>
    <row r="28892">
      <c r="B28892" t="str">
        <v>Công an tỉnh Nghệ An  tỉnh Nghệ An</v>
      </c>
      <c r="C28892" t="str">
        <v>-</v>
      </c>
      <c r="D28892" t="str">
        <v>-</v>
      </c>
      <c r="E28892" t="str">
        <v/>
      </c>
      <c r="F28892" t="str">
        <v>-</v>
      </c>
      <c r="G28892" t="str">
        <v>-</v>
      </c>
    </row>
    <row r="28893">
      <c r="B28893" t="str">
        <v>UBND Ủy ban nhân dân tỉnh Nghệ An  tỉnh Nghệ An</v>
      </c>
      <c r="C28893" t="str">
        <v>-</v>
      </c>
      <c r="D28893" t="str">
        <v>-</v>
      </c>
      <c r="E28893" t="str">
        <v>-</v>
      </c>
      <c r="F28893" t="str">
        <v>-</v>
      </c>
      <c r="G28893" t="str">
        <v>-</v>
      </c>
    </row>
    <row r="28894">
      <c r="B28894" t="str">
        <v>Công an tỉnh Phú Thọ  tỉnh Phú Thọ</v>
      </c>
      <c r="C28894" t="str">
        <v>-</v>
      </c>
      <c r="D28894" t="str">
        <v>-</v>
      </c>
      <c r="E28894" t="str">
        <v/>
      </c>
      <c r="F28894" t="str">
        <v>-</v>
      </c>
      <c r="G28894" t="str">
        <v>-</v>
      </c>
    </row>
    <row r="28895">
      <c r="B28895" t="str">
        <v>UBND Ủy ban nhân dân tỉnh Phú Thọ  tỉnh Phú Thọ</v>
      </c>
      <c r="C28895" t="str">
        <v>-</v>
      </c>
      <c r="D28895" t="str">
        <v>-</v>
      </c>
      <c r="E28895" t="str">
        <v>-</v>
      </c>
      <c r="F28895" t="str">
        <v>-</v>
      </c>
      <c r="G28895" t="str">
        <v>-</v>
      </c>
    </row>
    <row r="28896">
      <c r="B28896" t="str">
        <v>Công an tỉnh Thái Nguyên  tỉnh Thái Nguyên</v>
      </c>
      <c r="C28896" t="str">
        <v>-</v>
      </c>
      <c r="D28896" t="str">
        <v>-</v>
      </c>
      <c r="E28896" t="str">
        <v/>
      </c>
      <c r="F28896" t="str">
        <v>-</v>
      </c>
      <c r="G28896" t="str">
        <v>-</v>
      </c>
    </row>
    <row r="28897">
      <c r="B28897" t="str">
        <v>UBND Ủy ban nhân dân tỉnh Thái Nguyên  tỉnh Thái Nguyên</v>
      </c>
      <c r="C28897" t="str">
        <v>-</v>
      </c>
      <c r="D28897" t="str">
        <v>-</v>
      </c>
      <c r="E28897" t="str">
        <v>-</v>
      </c>
      <c r="F28897" t="str">
        <v>-</v>
      </c>
      <c r="G28897" t="str">
        <v>-</v>
      </c>
    </row>
    <row r="28898" xml:space="preserve">
      <c r="B28898" t="str" xml:space="preserve">
        <v xml:space="preserve">Công an tỉnh Tuyên Quang _x000d_
 tỉnh Tuyên Quang</v>
      </c>
      <c r="C28898" t="str">
        <v>-</v>
      </c>
      <c r="D28898" t="str">
        <v>-</v>
      </c>
      <c r="E28898" t="str">
        <v/>
      </c>
      <c r="F28898" t="str">
        <v>-</v>
      </c>
      <c r="G28898" t="str">
        <v>-</v>
      </c>
    </row>
    <row r="28899" xml:space="preserve">
      <c r="B28899" t="str" xml:space="preserve">
        <v xml:space="preserve">UBND Ủy ban nhân dân tỉnh Tuyên Quang _x000d_
 tỉnh Tuyên Quang</v>
      </c>
      <c r="C28899" t="str">
        <v>-</v>
      </c>
      <c r="D28899" t="str">
        <v>-</v>
      </c>
      <c r="E28899" t="str">
        <v>-</v>
      </c>
      <c r="F28899" t="str">
        <v>-</v>
      </c>
      <c r="G28899" t="str">
        <v>-</v>
      </c>
    </row>
    <row r="28900">
      <c r="B28900" t="str">
        <v>Công an xã Tân Lợi Thạnh tỉnh Bến Tre</v>
      </c>
      <c r="C28900" t="str">
        <v>-</v>
      </c>
      <c r="D28900" t="str">
        <v>-</v>
      </c>
      <c r="E28900" t="str">
        <v/>
      </c>
      <c r="F28900" t="str">
        <v>-</v>
      </c>
      <c r="G28900" t="str">
        <v>-</v>
      </c>
    </row>
    <row r="28901">
      <c r="B28901" t="str">
        <v>UBND Ủy ban nhân dân xã Tân Lợi Thạnh tỉnh Bến Tre</v>
      </c>
      <c r="C28901" t="str">
        <v>-</v>
      </c>
      <c r="D28901" t="str">
        <v>-</v>
      </c>
      <c r="E28901" t="str">
        <v>-</v>
      </c>
      <c r="F28901" t="str">
        <v>-</v>
      </c>
      <c r="G28901" t="str">
        <v>-</v>
      </c>
    </row>
    <row r="28902">
      <c r="B28902" t="str">
        <v>Công an huyện Triệu Sơn tỉnh Thanh Hóa</v>
      </c>
      <c r="C28902" t="str">
        <v>-</v>
      </c>
      <c r="D28902" t="str">
        <v>-</v>
      </c>
      <c r="E28902" t="str">
        <v/>
      </c>
      <c r="F28902" t="str">
        <v>-</v>
      </c>
      <c r="G28902" t="str">
        <v>-</v>
      </c>
    </row>
    <row r="28903">
      <c r="B28903" t="str">
        <v>UBND Ủy ban nhân dân huyện Triệu Sơn tỉnh Thanh Hóa</v>
      </c>
      <c r="C28903" t="str">
        <v>-</v>
      </c>
      <c r="D28903" t="str">
        <v>-</v>
      </c>
      <c r="E28903" t="str">
        <v>-</v>
      </c>
      <c r="F28903" t="str">
        <v>-</v>
      </c>
      <c r="G28903" t="str">
        <v>-</v>
      </c>
    </row>
    <row r="28904">
      <c r="B28904" t="str">
        <v>Công an xã Tri Lễ  tỉnh Nghệ An</v>
      </c>
      <c r="C28904" t="str">
        <v>-</v>
      </c>
      <c r="D28904" t="str">
        <v>-</v>
      </c>
      <c r="E28904" t="str">
        <v/>
      </c>
      <c r="F28904" t="str">
        <v>-</v>
      </c>
      <c r="G28904" t="str">
        <v>-</v>
      </c>
    </row>
    <row r="28905">
      <c r="B28905" t="str">
        <v>UBND Ủy ban nhân dân xã Tri Lễ  tỉnh Nghệ An</v>
      </c>
      <c r="C28905" t="str">
        <v>-</v>
      </c>
      <c r="D28905" t="str">
        <v>-</v>
      </c>
      <c r="E28905" t="str">
        <v>-</v>
      </c>
      <c r="F28905" t="str">
        <v>-</v>
      </c>
      <c r="G28905" t="str">
        <v>-</v>
      </c>
    </row>
    <row r="28906">
      <c r="B28906" t="str">
        <v>Công an xã Trung Chính  tỉnh Thanh Hóa</v>
      </c>
      <c r="C28906" t="str">
        <v>-</v>
      </c>
      <c r="D28906" t="str">
        <v>-</v>
      </c>
      <c r="E28906" t="str">
        <v/>
      </c>
      <c r="F28906" t="str">
        <v>-</v>
      </c>
      <c r="G28906" t="str">
        <v>-</v>
      </c>
    </row>
    <row r="28907">
      <c r="B28907" t="str">
        <v>UBND Ủy ban nhân dân xã Trung Chính  tỉnh Thanh Hóa</v>
      </c>
      <c r="C28907" t="str">
        <v>-</v>
      </c>
      <c r="D28907" t="str">
        <v>-</v>
      </c>
      <c r="E28907" t="str">
        <v>-</v>
      </c>
      <c r="F28907" t="str">
        <v>-</v>
      </c>
      <c r="G28907" t="str">
        <v>-</v>
      </c>
    </row>
    <row r="28908">
      <c r="B28908" t="str">
        <v>Công an thị trấn Hương Canh  tỉnh Vĩnh Phúc</v>
      </c>
      <c r="C28908" t="str">
        <v>-</v>
      </c>
      <c r="D28908" t="str">
        <v>-</v>
      </c>
      <c r="E28908" t="str">
        <v/>
      </c>
      <c r="F28908" t="str">
        <v>-</v>
      </c>
      <c r="G28908" t="str">
        <v>-</v>
      </c>
    </row>
    <row r="28909">
      <c r="B28909" t="str">
        <v>UBND Ủy ban nhân dân thị trấn Hương Canh  tỉnh Vĩnh Phúc</v>
      </c>
      <c r="C28909" t="str">
        <v>-</v>
      </c>
      <c r="D28909" t="str">
        <v>-</v>
      </c>
      <c r="E28909" t="str">
        <v>-</v>
      </c>
      <c r="F28909" t="str">
        <v>-</v>
      </c>
      <c r="G28909" t="str">
        <v>-</v>
      </c>
    </row>
    <row r="28910">
      <c r="B28910" t="str">
        <v>Công an huyện Vân Hồ  tỉnh Sơn La</v>
      </c>
      <c r="C28910" t="str">
        <v>-</v>
      </c>
      <c r="D28910" t="str">
        <v>-</v>
      </c>
      <c r="E28910" t="str">
        <v/>
      </c>
      <c r="F28910" t="str">
        <v>-</v>
      </c>
      <c r="G28910" t="str">
        <v>-</v>
      </c>
    </row>
    <row r="28911">
      <c r="B28911" t="str">
        <v>UBND Ủy ban nhân dân huyện Vân Hồ  tỉnh Sơn La</v>
      </c>
      <c r="C28911" t="str">
        <v>-</v>
      </c>
      <c r="D28911" t="str">
        <v>-</v>
      </c>
      <c r="E28911" t="str">
        <v>-</v>
      </c>
      <c r="F28911" t="str">
        <v>-</v>
      </c>
      <c r="G28911" t="str">
        <v>-</v>
      </c>
    </row>
    <row r="28912">
      <c r="B28912" t="str">
        <v>Công an xã Vạn Phái tỉnh Thái Nguyên</v>
      </c>
      <c r="C28912" t="str">
        <v>-</v>
      </c>
      <c r="D28912" t="str">
        <v>-</v>
      </c>
      <c r="E28912" t="str">
        <v/>
      </c>
      <c r="F28912" t="str">
        <v>-</v>
      </c>
      <c r="G28912" t="str">
        <v>-</v>
      </c>
    </row>
    <row r="28913">
      <c r="B28913" t="str">
        <v>UBND Ủy ban nhân dân xã Vạn Phái tỉnh Thái Nguyên</v>
      </c>
      <c r="C28913" t="str">
        <v>-</v>
      </c>
      <c r="D28913" t="str">
        <v>-</v>
      </c>
      <c r="E28913" t="str">
        <v>-</v>
      </c>
      <c r="F28913" t="str">
        <v>-</v>
      </c>
      <c r="G28913" t="str">
        <v>-</v>
      </c>
    </row>
    <row r="28914">
      <c r="B28914" t="str">
        <v>Công an xã Vân Sơn tỉnh Thanh Hóa</v>
      </c>
      <c r="C28914" t="str">
        <v>-</v>
      </c>
      <c r="D28914" t="str">
        <v>-</v>
      </c>
      <c r="E28914" t="str">
        <v/>
      </c>
      <c r="F28914" t="str">
        <v>-</v>
      </c>
      <c r="G28914" t="str">
        <v>-</v>
      </c>
    </row>
    <row r="28915">
      <c r="B28915" t="str">
        <v>UBND Ủy ban nhân dân xã Vân Sơn tỉnh Thanh Hóa</v>
      </c>
      <c r="C28915" t="str">
        <v>-</v>
      </c>
      <c r="D28915" t="str">
        <v>-</v>
      </c>
      <c r="E28915" t="str">
        <v>-</v>
      </c>
      <c r="F28915" t="str">
        <v>-</v>
      </c>
      <c r="G28915" t="str">
        <v>-</v>
      </c>
    </row>
    <row r="28916">
      <c r="B28916" t="str">
        <v>Cảnh Sát Giao Thông Việt Nam  thành phố Cần Thơ</v>
      </c>
    </row>
    <row r="28917">
      <c r="B28917" t="str">
        <v>UBND Ủy ban nhân dânt Giao Thông Việt Nam  thành phố Cần Thơ</v>
      </c>
      <c r="C28917" t="str">
        <v>-</v>
      </c>
      <c r="D28917" t="str">
        <v>-</v>
      </c>
      <c r="E28917" t="str">
        <v>-</v>
      </c>
      <c r="F28917" t="str">
        <v>-</v>
      </c>
      <c r="G28917" t="str">
        <v>-</v>
      </c>
    </row>
    <row r="28918">
      <c r="B28918" t="str">
        <v>Công an xã Vĩnh Hoà tỉnh Hải Dương</v>
      </c>
      <c r="C28918" t="str">
        <v>-</v>
      </c>
      <c r="D28918" t="str">
        <v>-</v>
      </c>
      <c r="E28918" t="str">
        <v/>
      </c>
      <c r="F28918" t="str">
        <v>-</v>
      </c>
      <c r="G28918" t="str">
        <v>-</v>
      </c>
    </row>
    <row r="28919">
      <c r="B28919" t="str">
        <v>UBND Ủy ban nhân dân xã Vĩnh Hoà tỉnh Hải Dương</v>
      </c>
      <c r="C28919" t="str">
        <v>-</v>
      </c>
      <c r="D28919" t="str">
        <v>-</v>
      </c>
      <c r="E28919" t="str">
        <v>-</v>
      </c>
      <c r="F28919" t="str">
        <v>-</v>
      </c>
      <c r="G28919" t="str">
        <v>-</v>
      </c>
    </row>
    <row r="28920">
      <c r="B28920" t="str">
        <v>Công an huyện Vĩnh Lộc tỉnh Thanh Hóa</v>
      </c>
      <c r="C28920" t="str">
        <v>-</v>
      </c>
      <c r="D28920" t="str">
        <v>-</v>
      </c>
      <c r="E28920" t="str">
        <v/>
      </c>
      <c r="F28920" t="str">
        <v>-</v>
      </c>
      <c r="G28920" t="str">
        <v>-</v>
      </c>
    </row>
    <row r="28921">
      <c r="B28921" t="str">
        <v>UBND Ủy ban nhân dân huyện Vĩnh Lộc tỉnh Thanh Hóa</v>
      </c>
      <c r="C28921" t="str">
        <v>-</v>
      </c>
      <c r="D28921" t="str">
        <v>-</v>
      </c>
      <c r="E28921" t="str">
        <v>-</v>
      </c>
      <c r="F28921" t="str">
        <v>-</v>
      </c>
      <c r="G28921" t="str">
        <v>-</v>
      </c>
    </row>
    <row r="28922">
      <c r="B28922" t="str">
        <v>Công an tỉnh Vĩnh Phúc tỉnh Vĩnh Phúc</v>
      </c>
      <c r="C28922" t="str">
        <v>-</v>
      </c>
      <c r="D28922" t="str">
        <v>-</v>
      </c>
      <c r="E28922" t="str">
        <v/>
      </c>
      <c r="F28922" t="str">
        <v>-</v>
      </c>
      <c r="G28922" t="str">
        <v>-</v>
      </c>
    </row>
    <row r="28923">
      <c r="B28923" t="str">
        <v>UBND Ủy ban nhân dân tỉnh Vĩnh Phúc tỉnh Vĩnh Phúc</v>
      </c>
      <c r="C28923" t="str">
        <v>-</v>
      </c>
      <c r="D28923" t="str">
        <v>-</v>
      </c>
      <c r="E28923" t="str">
        <v>-</v>
      </c>
      <c r="F28923" t="str">
        <v>-</v>
      </c>
      <c r="G28923" t="str">
        <v>-</v>
      </c>
    </row>
    <row r="28924">
      <c r="B28924" t="str">
        <v>Công an xã Vĩnh Tân  tỉnh Đồng Nai</v>
      </c>
      <c r="C28924" t="str">
        <v>-</v>
      </c>
      <c r="D28924" t="str">
        <v>-</v>
      </c>
      <c r="E28924" t="str">
        <v/>
      </c>
      <c r="F28924" t="str">
        <v>-</v>
      </c>
      <c r="G28924" t="str">
        <v>-</v>
      </c>
    </row>
    <row r="28925">
      <c r="B28925" t="str">
        <v>UBND Ủy ban nhân dân xã Vĩnh Tân  tỉnh Đồng Nai</v>
      </c>
      <c r="C28925" t="str">
        <v>-</v>
      </c>
      <c r="D28925" t="str">
        <v>-</v>
      </c>
      <c r="E28925" t="str">
        <v>-</v>
      </c>
      <c r="F28925" t="str">
        <v>-</v>
      </c>
      <c r="G28925" t="str">
        <v>-</v>
      </c>
    </row>
    <row r="28926">
      <c r="B28926" t="str">
        <v>Công an xã Bản Giang tỉnh Lai Châu</v>
      </c>
      <c r="C28926" t="str">
        <v>-</v>
      </c>
      <c r="D28926" t="str">
        <v>-</v>
      </c>
      <c r="E28926" t="str">
        <v/>
      </c>
      <c r="F28926" t="str">
        <v>-</v>
      </c>
      <c r="G28926" t="str">
        <v>-</v>
      </c>
    </row>
    <row r="28927">
      <c r="B28927" t="str">
        <v>UBND Ủy ban nhân dân xã Bản Giang tỉnh Lai Châu</v>
      </c>
      <c r="C28927" t="str">
        <v>-</v>
      </c>
      <c r="D28927" t="str">
        <v>-</v>
      </c>
      <c r="E28927" t="str">
        <v>-</v>
      </c>
      <c r="F28927" t="str">
        <v>-</v>
      </c>
      <c r="G28927" t="str">
        <v>-</v>
      </c>
    </row>
    <row r="28928">
      <c r="B28928" t="str">
        <v>Công an xã An Châu tỉnh Thái Bình</v>
      </c>
      <c r="C28928" t="str">
        <v>-</v>
      </c>
      <c r="D28928" t="str">
        <v>-</v>
      </c>
      <c r="E28928" t="str">
        <v/>
      </c>
      <c r="F28928" t="str">
        <v>-</v>
      </c>
      <c r="G28928" t="str">
        <v>-</v>
      </c>
    </row>
    <row r="28929">
      <c r="B28929" t="str">
        <v>UBND Ủy ban nhân dân xã An Châu tỉnh Thái Bình</v>
      </c>
      <c r="C28929" t="str">
        <v>-</v>
      </c>
      <c r="D28929" t="str">
        <v>-</v>
      </c>
      <c r="E28929" t="str">
        <v>-</v>
      </c>
      <c r="F28929" t="str">
        <v>-</v>
      </c>
      <c r="G28929" t="str">
        <v>-</v>
      </c>
    </row>
    <row r="28930">
      <c r="B28930" t="str">
        <v>Công an xã An Ngãi Tây  tỉnh Bến Tre</v>
      </c>
      <c r="C28930" t="str">
        <v>-</v>
      </c>
      <c r="D28930" t="str">
        <v>-</v>
      </c>
      <c r="E28930" t="str">
        <v/>
      </c>
      <c r="F28930" t="str">
        <v>-</v>
      </c>
      <c r="G28930" t="str">
        <v>-</v>
      </c>
    </row>
    <row r="28931">
      <c r="B28931" t="str">
        <v>UBND Ủy ban nhân dân xã An Ngãi Tây  tỉnh Bến Tre</v>
      </c>
      <c r="C28931" t="str">
        <v>-</v>
      </c>
      <c r="D28931" t="str">
        <v>-</v>
      </c>
      <c r="E28931" t="str">
        <v>-</v>
      </c>
      <c r="F28931" t="str">
        <v>-</v>
      </c>
      <c r="G28931" t="str">
        <v>-</v>
      </c>
    </row>
    <row r="28932">
      <c r="B28932" t="str">
        <v>Công an xã An Nông  tỉnh Thanh Hóa</v>
      </c>
      <c r="C28932" t="str">
        <v>-</v>
      </c>
      <c r="D28932" t="str">
        <v>-</v>
      </c>
      <c r="E28932" t="str">
        <v/>
      </c>
      <c r="F28932" t="str">
        <v>-</v>
      </c>
      <c r="G28932" t="str">
        <v>-</v>
      </c>
    </row>
    <row r="28933">
      <c r="B28933" t="str">
        <v>UBND Ủy ban nhân dân xã An Nông  tỉnh Thanh Hóa</v>
      </c>
      <c r="C28933" t="str">
        <v>-</v>
      </c>
      <c r="D28933" t="str">
        <v>-</v>
      </c>
      <c r="E28933" t="str">
        <v>-</v>
      </c>
      <c r="F28933" t="str">
        <v>-</v>
      </c>
      <c r="G28933" t="str">
        <v>-</v>
      </c>
    </row>
    <row r="28934">
      <c r="B28934" t="str">
        <v>Công an xã Bình Lương  tỉnh Thanh Hóa</v>
      </c>
      <c r="C28934" t="str">
        <v>-</v>
      </c>
      <c r="D28934" t="str">
        <v>-</v>
      </c>
      <c r="E28934" t="str">
        <v/>
      </c>
      <c r="F28934" t="str">
        <v>-</v>
      </c>
      <c r="G28934" t="str">
        <v>-</v>
      </c>
    </row>
    <row r="28935">
      <c r="B28935" t="str">
        <v>UBND Ủy ban nhân dân xã Bình Lương  tỉnh Thanh Hóa</v>
      </c>
      <c r="C28935" t="str">
        <v>-</v>
      </c>
      <c r="D28935" t="str">
        <v>-</v>
      </c>
      <c r="E28935" t="str">
        <v>-</v>
      </c>
      <c r="F28935" t="str">
        <v>-</v>
      </c>
      <c r="G28935" t="str">
        <v>-</v>
      </c>
    </row>
    <row r="28936">
      <c r="B28936" t="str">
        <v>Công an xã Bình Minh tỉnh TÂY NINH</v>
      </c>
      <c r="C28936" t="str">
        <v>-</v>
      </c>
      <c r="D28936" t="str">
        <v>-</v>
      </c>
      <c r="E28936" t="str">
        <v/>
      </c>
      <c r="F28936" t="str">
        <v>-</v>
      </c>
      <c r="G28936" t="str">
        <v>-</v>
      </c>
    </row>
    <row r="28937">
      <c r="B28937" t="str">
        <v>UBND Ủy ban nhân dân xã Bình Minh tỉnh TÂY NINH</v>
      </c>
      <c r="C28937" t="str">
        <v>-</v>
      </c>
      <c r="D28937" t="str">
        <v>-</v>
      </c>
      <c r="E28937" t="str">
        <v>-</v>
      </c>
      <c r="F28937" t="str">
        <v>-</v>
      </c>
      <c r="G28937" t="str">
        <v>-</v>
      </c>
    </row>
    <row r="28938">
      <c r="B28938" t="str">
        <v>Công an xã Cẩm Lạc  tỉnh Hà Tĩnh</v>
      </c>
      <c r="C28938" t="str">
        <v>-</v>
      </c>
      <c r="D28938" t="str">
        <v>-</v>
      </c>
      <c r="E28938" t="str">
        <v/>
      </c>
      <c r="F28938" t="str">
        <v>-</v>
      </c>
      <c r="G28938" t="str">
        <v>-</v>
      </c>
    </row>
    <row r="28939">
      <c r="B28939" t="str">
        <v>UBND Ủy ban nhân dân xã Cẩm Lạc  tỉnh Hà Tĩnh</v>
      </c>
      <c r="C28939" t="str">
        <v>-</v>
      </c>
      <c r="D28939" t="str">
        <v>-</v>
      </c>
      <c r="E28939" t="str">
        <v>-</v>
      </c>
      <c r="F28939" t="str">
        <v>-</v>
      </c>
      <c r="G28939" t="str">
        <v>-</v>
      </c>
    </row>
    <row r="28940">
      <c r="B28940" t="str">
        <v>Công an xã Cẩm Liên  tỉnh Thanh Hóa</v>
      </c>
      <c r="C28940" t="str">
        <v>-</v>
      </c>
      <c r="D28940" t="str">
        <v>-</v>
      </c>
      <c r="E28940" t="str">
        <v/>
      </c>
      <c r="F28940" t="str">
        <v>-</v>
      </c>
      <c r="G28940" t="str">
        <v>-</v>
      </c>
    </row>
    <row r="28941">
      <c r="B28941" t="str">
        <v>UBND Ủy ban nhân dân xã Cẩm Liên  tỉnh Thanh Hóa</v>
      </c>
      <c r="C28941" t="str">
        <v>-</v>
      </c>
      <c r="D28941" t="str">
        <v>-</v>
      </c>
      <c r="E28941" t="str">
        <v>-</v>
      </c>
      <c r="F28941" t="str">
        <v>-</v>
      </c>
      <c r="G28941" t="str">
        <v>-</v>
      </c>
    </row>
    <row r="28942">
      <c r="B28942" t="str">
        <v>Công an xã Cảnh Hưng  tỉnh Bắc Ninh</v>
      </c>
      <c r="C28942" t="str">
        <v>-</v>
      </c>
      <c r="D28942" t="str">
        <v>-</v>
      </c>
      <c r="E28942" t="str">
        <v/>
      </c>
      <c r="F28942" t="str">
        <v>-</v>
      </c>
      <c r="G28942" t="str">
        <v>-</v>
      </c>
    </row>
    <row r="28943">
      <c r="B28943" t="str">
        <v>UBND Ủy ban nhân dân xã Cảnh Hưng  tỉnh Bắc Ninh</v>
      </c>
      <c r="C28943" t="str">
        <v>-</v>
      </c>
      <c r="D28943" t="str">
        <v>-</v>
      </c>
      <c r="E28943" t="str">
        <v>-</v>
      </c>
      <c r="F28943" t="str">
        <v>-</v>
      </c>
      <c r="G28943" t="str">
        <v>-</v>
      </c>
    </row>
    <row r="28944">
      <c r="B28944" t="str">
        <v>Công an xã Cát Tân  tỉnh Thanh Hóa</v>
      </c>
      <c r="C28944" t="str">
        <v>-</v>
      </c>
      <c r="D28944" t="str">
        <v>-</v>
      </c>
      <c r="E28944" t="str">
        <v/>
      </c>
      <c r="F28944" t="str">
        <v>-</v>
      </c>
      <c r="G28944" t="str">
        <v>-</v>
      </c>
    </row>
    <row r="28945">
      <c r="B28945" t="str">
        <v>UBND Ủy ban nhân dân xã Cát Tân  tỉnh Thanh Hóa</v>
      </c>
      <c r="C28945" t="str">
        <v>-</v>
      </c>
      <c r="D28945" t="str">
        <v>-</v>
      </c>
      <c r="E28945" t="str">
        <v>-</v>
      </c>
      <c r="F28945" t="str">
        <v>-</v>
      </c>
      <c r="G28945" t="str">
        <v>-</v>
      </c>
    </row>
    <row r="28946">
      <c r="B28946" t="str">
        <v>Công an xã Chân Sơn tỉnh Tuyên Quang</v>
      </c>
      <c r="C28946" t="str">
        <v>-</v>
      </c>
      <c r="D28946" t="str">
        <v>-</v>
      </c>
      <c r="E28946" t="str">
        <v/>
      </c>
      <c r="F28946" t="str">
        <v>-</v>
      </c>
      <c r="G28946" t="str">
        <v>-</v>
      </c>
    </row>
    <row r="28947">
      <c r="B28947" t="str">
        <v>UBND Ủy ban nhân dân xã Chân Sơn tỉnh Tuyên Quang</v>
      </c>
      <c r="C28947" t="str">
        <v>-</v>
      </c>
      <c r="D28947" t="str">
        <v>-</v>
      </c>
      <c r="E28947" t="str">
        <v>-</v>
      </c>
      <c r="F28947" t="str">
        <v>-</v>
      </c>
      <c r="G28947" t="str">
        <v>-</v>
      </c>
    </row>
    <row r="28948">
      <c r="B28948" t="str">
        <v>Công an xã Châu Bình  tỉnh Bến Tre</v>
      </c>
      <c r="C28948" t="str">
        <v>-</v>
      </c>
      <c r="D28948" t="str">
        <v>-</v>
      </c>
      <c r="E28948" t="str">
        <v/>
      </c>
      <c r="F28948" t="str">
        <v>-</v>
      </c>
      <c r="G28948" t="str">
        <v>-</v>
      </c>
    </row>
    <row r="28949">
      <c r="B28949" t="str">
        <v>UBND Ủy ban nhân dân xã Châu Bình  tỉnh Bến Tre</v>
      </c>
      <c r="C28949" t="str">
        <v>-</v>
      </c>
      <c r="D28949" t="str">
        <v>-</v>
      </c>
      <c r="E28949" t="str">
        <v>-</v>
      </c>
      <c r="F28949" t="str">
        <v>-</v>
      </c>
      <c r="G28949" t="str">
        <v>-</v>
      </c>
    </row>
    <row r="28950">
      <c r="B28950" t="str">
        <v>Công an xã Châu Điền  tỉnh Trà Vinh</v>
      </c>
      <c r="C28950" t="str">
        <v>-</v>
      </c>
      <c r="D28950" t="str">
        <v>-</v>
      </c>
      <c r="E28950" t="str">
        <v/>
      </c>
      <c r="F28950" t="str">
        <v>-</v>
      </c>
      <c r="G28950" t="str">
        <v>-</v>
      </c>
    </row>
    <row r="28951">
      <c r="B28951" t="str">
        <v>UBND Ủy ban nhân dân xã Châu Điền  tỉnh Trà Vinh</v>
      </c>
      <c r="C28951" t="str">
        <v>-</v>
      </c>
      <c r="D28951" t="str">
        <v>-</v>
      </c>
      <c r="E28951" t="str">
        <v>-</v>
      </c>
      <c r="F28951" t="str">
        <v>-</v>
      </c>
      <c r="G28951" t="str">
        <v>-</v>
      </c>
    </row>
    <row r="28952">
      <c r="B28952" t="str">
        <v>Công an xã Châu Thành  tỉnh Nghệ An</v>
      </c>
      <c r="C28952" t="str">
        <v>-</v>
      </c>
      <c r="D28952" t="str">
        <v>-</v>
      </c>
      <c r="E28952" t="str">
        <v/>
      </c>
      <c r="F28952" t="str">
        <v>-</v>
      </c>
      <c r="G28952" t="str">
        <v>-</v>
      </c>
    </row>
    <row r="28953">
      <c r="B28953" t="str">
        <v>UBND Ủy ban nhân dân xã Châu Thành  tỉnh Nghệ An</v>
      </c>
      <c r="C28953" t="str">
        <v>-</v>
      </c>
      <c r="D28953" t="str">
        <v>-</v>
      </c>
      <c r="E28953" t="str">
        <v>-</v>
      </c>
      <c r="F28953" t="str">
        <v>-</v>
      </c>
      <c r="G28953" t="str">
        <v>-</v>
      </c>
    </row>
    <row r="28954">
      <c r="B28954" t="str">
        <v>Công an xã Chiềng Dong  tỉnh Sơn La</v>
      </c>
      <c r="C28954" t="str">
        <v>-</v>
      </c>
      <c r="D28954" t="str">
        <v>-</v>
      </c>
      <c r="E28954" t="str">
        <v/>
      </c>
      <c r="F28954" t="str">
        <v>-</v>
      </c>
      <c r="G28954" t="str">
        <v>-</v>
      </c>
    </row>
    <row r="28955">
      <c r="B28955" t="str">
        <v>UBND Ủy ban nhân dân xã Chiềng Dong  tỉnh Sơn La</v>
      </c>
      <c r="C28955" t="str">
        <v>-</v>
      </c>
      <c r="D28955" t="str">
        <v>-</v>
      </c>
      <c r="E28955" t="str">
        <v>-</v>
      </c>
      <c r="F28955" t="str">
        <v>-</v>
      </c>
      <c r="G28955" t="str">
        <v>-</v>
      </c>
    </row>
    <row r="28956">
      <c r="B28956" t="str">
        <v>Công an xã Chiềng Hắc  tỉnh Sơn La</v>
      </c>
      <c r="C28956" t="str">
        <v>-</v>
      </c>
      <c r="D28956" t="str">
        <v>-</v>
      </c>
      <c r="E28956" t="str">
        <v/>
      </c>
      <c r="F28956" t="str">
        <v>-</v>
      </c>
      <c r="G28956" t="str">
        <v>-</v>
      </c>
    </row>
    <row r="28957">
      <c r="B28957" t="str">
        <v>UBND Ủy ban nhân dân xã Chiềng Hắc  tỉnh Sơn La</v>
      </c>
      <c r="C28957" t="str">
        <v>-</v>
      </c>
      <c r="D28957" t="str">
        <v>-</v>
      </c>
      <c r="E28957" t="str">
        <v>-</v>
      </c>
      <c r="F28957" t="str">
        <v>-</v>
      </c>
      <c r="G28957" t="str">
        <v>-</v>
      </c>
    </row>
    <row r="28958">
      <c r="B28958" t="str">
        <v>Công an xã Chiềng Pha  tỉnh Sơn La</v>
      </c>
      <c r="C28958" t="str">
        <v>-</v>
      </c>
      <c r="D28958" t="str">
        <v>-</v>
      </c>
      <c r="E28958" t="str">
        <v/>
      </c>
      <c r="F28958" t="str">
        <v>-</v>
      </c>
      <c r="G28958" t="str">
        <v>-</v>
      </c>
    </row>
    <row r="28959">
      <c r="B28959" t="str">
        <v>UBND Ủy ban nhân dân xã Chiềng Pha  tỉnh Sơn La</v>
      </c>
      <c r="C28959" t="str">
        <v>-</v>
      </c>
      <c r="D28959" t="str">
        <v>-</v>
      </c>
      <c r="E28959" t="str">
        <v>-</v>
      </c>
      <c r="F28959" t="str">
        <v>-</v>
      </c>
      <c r="G28959" t="str">
        <v>-</v>
      </c>
    </row>
    <row r="28960">
      <c r="B28960" t="str">
        <v>Công an xã Chiềng Phung  tỉnh Sơn La</v>
      </c>
      <c r="C28960" t="str">
        <v>-</v>
      </c>
      <c r="D28960" t="str">
        <v>-</v>
      </c>
      <c r="E28960" t="str">
        <v/>
      </c>
      <c r="F28960" t="str">
        <v>-</v>
      </c>
      <c r="G28960" t="str">
        <v>-</v>
      </c>
    </row>
    <row r="28961">
      <c r="B28961" t="str">
        <v>UBND Ủy ban nhân dân xã Chiềng Phung  tỉnh Sơn La</v>
      </c>
      <c r="C28961" t="str">
        <v>-</v>
      </c>
      <c r="D28961" t="str">
        <v>-</v>
      </c>
      <c r="E28961" t="str">
        <v>-</v>
      </c>
      <c r="F28961" t="str">
        <v>-</v>
      </c>
      <c r="G28961" t="str">
        <v>-</v>
      </c>
    </row>
    <row r="28962">
      <c r="B28962" t="str">
        <v>Công an xã Cốc Lầu  tỉnh Lào Cai</v>
      </c>
      <c r="C28962" t="str">
        <v>-</v>
      </c>
      <c r="D28962" t="str">
        <v>-</v>
      </c>
      <c r="E28962" t="str">
        <v/>
      </c>
      <c r="F28962" t="str">
        <v>-</v>
      </c>
      <c r="G28962" t="str">
        <v>-</v>
      </c>
    </row>
    <row r="28963">
      <c r="B28963" t="str">
        <v>UBND Ủy ban nhân dân xã Cốc Lầu  tỉnh Lào Cai</v>
      </c>
      <c r="C28963" t="str">
        <v>-</v>
      </c>
      <c r="D28963" t="str">
        <v>-</v>
      </c>
      <c r="E28963" t="str">
        <v>-</v>
      </c>
      <c r="F28963" t="str">
        <v>-</v>
      </c>
      <c r="G28963" t="str">
        <v>-</v>
      </c>
    </row>
    <row r="28964">
      <c r="B28964" t="str">
        <v>Công an xã Ea Đar  tỉnh Đắk Lắk</v>
      </c>
      <c r="C28964" t="str">
        <v>-</v>
      </c>
      <c r="D28964" t="str">
        <v>-</v>
      </c>
      <c r="E28964" t="str">
        <v/>
      </c>
      <c r="F28964" t="str">
        <v>-</v>
      </c>
      <c r="G28964" t="str">
        <v>-</v>
      </c>
    </row>
    <row r="28965">
      <c r="B28965" t="str">
        <v>UBND Ủy ban nhân dân xã Ea Đar  tỉnh Đắk Lắk</v>
      </c>
      <c r="C28965" t="str">
        <v>-</v>
      </c>
      <c r="D28965" t="str">
        <v>-</v>
      </c>
      <c r="E28965" t="str">
        <v>-</v>
      </c>
      <c r="F28965" t="str">
        <v>-</v>
      </c>
      <c r="G28965" t="str">
        <v>-</v>
      </c>
    </row>
    <row r="28966">
      <c r="B28966" t="str">
        <v>Công an xã Đại An tỉnh Nam Định</v>
      </c>
      <c r="C28966" t="str">
        <v>-</v>
      </c>
      <c r="D28966" t="str">
        <v>-</v>
      </c>
      <c r="E28966" t="str">
        <v/>
      </c>
      <c r="F28966" t="str">
        <v>-</v>
      </c>
      <c r="G28966" t="str">
        <v>-</v>
      </c>
    </row>
    <row r="28967">
      <c r="B28967" t="str">
        <v>UBND Ủy ban nhân dân xã Đại An tỉnh Nam Định</v>
      </c>
      <c r="C28967" t="str">
        <v>-</v>
      </c>
      <c r="D28967" t="str">
        <v>-</v>
      </c>
      <c r="E28967" t="str">
        <v>-</v>
      </c>
      <c r="F28967" t="str">
        <v>-</v>
      </c>
      <c r="G28967" t="str">
        <v>-</v>
      </c>
    </row>
    <row r="28968">
      <c r="B28968" t="str">
        <v>Công an xã Đại Bái  tỉnh Bắc Ninh</v>
      </c>
      <c r="C28968" t="str">
        <v>-</v>
      </c>
      <c r="D28968" t="str">
        <v>-</v>
      </c>
      <c r="E28968" t="str">
        <v/>
      </c>
      <c r="F28968" t="str">
        <v>-</v>
      </c>
      <c r="G28968" t="str">
        <v>-</v>
      </c>
    </row>
    <row r="28969">
      <c r="B28969" t="str">
        <v>UBND Ủy ban nhân dân xã Đại Bái  tỉnh Bắc Ninh</v>
      </c>
      <c r="C28969" t="str">
        <v>-</v>
      </c>
      <c r="D28969" t="str">
        <v>-</v>
      </c>
      <c r="E28969" t="str">
        <v>-</v>
      </c>
      <c r="F28969" t="str">
        <v>-</v>
      </c>
      <c r="G28969" t="str">
        <v>-</v>
      </c>
    </row>
    <row r="28970">
      <c r="B28970" t="str">
        <v>Công an xã Đại Hùng thành phố Hà Nội</v>
      </c>
      <c r="C28970" t="str">
        <v>-</v>
      </c>
      <c r="D28970" t="str">
        <v>-</v>
      </c>
      <c r="E28970" t="str">
        <v/>
      </c>
      <c r="F28970" t="str">
        <v>-</v>
      </c>
      <c r="G28970" t="str">
        <v>-</v>
      </c>
    </row>
    <row r="28971">
      <c r="B28971" t="str">
        <v>UBND Ủy ban nhân dân xã Đại Hùng thành phố Hà Nội</v>
      </c>
      <c r="C28971" t="str">
        <v>-</v>
      </c>
      <c r="D28971" t="str">
        <v>-</v>
      </c>
      <c r="E28971" t="str">
        <v>-</v>
      </c>
      <c r="F28971" t="str">
        <v>-</v>
      </c>
      <c r="G28971" t="str">
        <v>-</v>
      </c>
    </row>
    <row r="28972">
      <c r="B28972" t="str">
        <v>Công an xã Đại Lộc  tỉnh Thanh Hóa</v>
      </c>
      <c r="C28972" t="str">
        <v>-</v>
      </c>
      <c r="D28972" t="str">
        <v>-</v>
      </c>
      <c r="E28972" t="str">
        <v/>
      </c>
      <c r="F28972" t="str">
        <v>-</v>
      </c>
      <c r="G28972" t="str">
        <v>-</v>
      </c>
    </row>
    <row r="28973">
      <c r="B28973" t="str">
        <v>UBND Ủy ban nhân dân xã Đại Lộc  tỉnh Thanh Hóa</v>
      </c>
      <c r="C28973" t="str">
        <v>-</v>
      </c>
      <c r="D28973" t="str">
        <v>-</v>
      </c>
      <c r="E28973" t="str">
        <v>-</v>
      </c>
      <c r="F28973" t="str">
        <v>-</v>
      </c>
      <c r="G28973" t="str">
        <v>-</v>
      </c>
    </row>
    <row r="28974">
      <c r="B28974" t="str">
        <v>Công an xã Đại Sơn  tỉnh Cao Bằng</v>
      </c>
      <c r="C28974" t="str">
        <v>-</v>
      </c>
      <c r="D28974" t="str">
        <v>-</v>
      </c>
      <c r="E28974" t="str">
        <v/>
      </c>
      <c r="F28974" t="str">
        <v>-</v>
      </c>
      <c r="G28974" t="str">
        <v>-</v>
      </c>
    </row>
    <row r="28975">
      <c r="B28975" t="str">
        <v>UBND Ủy ban nhân dân xã Đại Sơn  tỉnh Cao Bằng</v>
      </c>
      <c r="C28975" t="str">
        <v>-</v>
      </c>
      <c r="D28975" t="str">
        <v>-</v>
      </c>
      <c r="E28975" t="str">
        <v>-</v>
      </c>
      <c r="F28975" t="str">
        <v>-</v>
      </c>
      <c r="G28975" t="str">
        <v>-</v>
      </c>
    </row>
    <row r="28976">
      <c r="B28976" t="str">
        <v>Công an xã Đak Krong  tỉnh Gia Lai</v>
      </c>
      <c r="C28976" t="str">
        <v>-</v>
      </c>
      <c r="D28976" t="str">
        <v>-</v>
      </c>
      <c r="E28976" t="str">
        <v/>
      </c>
      <c r="F28976" t="str">
        <v>-</v>
      </c>
      <c r="G28976" t="str">
        <v>-</v>
      </c>
    </row>
    <row r="28977">
      <c r="B28977" t="str">
        <v>UBND Ủy ban nhân dân xã Đak Krong  tỉnh Gia Lai</v>
      </c>
      <c r="C28977" t="str">
        <v>-</v>
      </c>
      <c r="D28977" t="str">
        <v>-</v>
      </c>
      <c r="E28977" t="str">
        <v>-</v>
      </c>
      <c r="F28977" t="str">
        <v>-</v>
      </c>
      <c r="G28977" t="str">
        <v>-</v>
      </c>
    </row>
    <row r="28978">
      <c r="B28978" t="str">
        <v>Công an xã Đăk Na tỉnh Kon Tum</v>
      </c>
      <c r="C28978" t="str">
        <v>-</v>
      </c>
      <c r="D28978" t="str">
        <v>-</v>
      </c>
      <c r="E28978" t="str">
        <v/>
      </c>
      <c r="F28978" t="str">
        <v>-</v>
      </c>
      <c r="G28978" t="str">
        <v>-</v>
      </c>
    </row>
    <row r="28979">
      <c r="B28979" t="str">
        <v>UBND Ủy ban nhân dân xã Đăk Na tỉnh Kon Tum</v>
      </c>
      <c r="C28979" t="str">
        <v>-</v>
      </c>
      <c r="D28979" t="str">
        <v>-</v>
      </c>
      <c r="E28979" t="str">
        <v>-</v>
      </c>
      <c r="F28979" t="str">
        <v>-</v>
      </c>
      <c r="G28979" t="str">
        <v>-</v>
      </c>
    </row>
    <row r="28980">
      <c r="B28980" t="str">
        <v>Công an xã Đăk Rơ Ông tỉnh Kon Tum</v>
      </c>
      <c r="C28980" t="str">
        <v>-</v>
      </c>
      <c r="D28980" t="str">
        <v>-</v>
      </c>
      <c r="E28980" t="str">
        <v/>
      </c>
      <c r="F28980" t="str">
        <v>-</v>
      </c>
      <c r="G28980" t="str">
        <v>-</v>
      </c>
    </row>
    <row r="28981">
      <c r="B28981" t="str">
        <v>UBND Ủy ban nhân dân xã Đăk Rơ Ông tỉnh Kon Tum</v>
      </c>
      <c r="C28981" t="str">
        <v>-</v>
      </c>
      <c r="D28981" t="str">
        <v>-</v>
      </c>
      <c r="E28981" t="str">
        <v>-</v>
      </c>
      <c r="F28981" t="str">
        <v>-</v>
      </c>
      <c r="G28981" t="str">
        <v>-</v>
      </c>
    </row>
    <row r="28982">
      <c r="B28982" t="str">
        <v>Công an xã Đạo Lý  tỉnh Hà Nam</v>
      </c>
      <c r="C28982" t="str">
        <v>-</v>
      </c>
      <c r="D28982" t="str">
        <v>-</v>
      </c>
      <c r="E28982" t="str">
        <v/>
      </c>
      <c r="F28982" t="str">
        <v>-</v>
      </c>
      <c r="G28982" t="str">
        <v>-</v>
      </c>
    </row>
    <row r="28983">
      <c r="B28983" t="str">
        <v>UBND Ủy ban nhân dân xã Đạo Lý  tỉnh Hà Nam</v>
      </c>
      <c r="C28983" t="str">
        <v>-</v>
      </c>
      <c r="D28983" t="str">
        <v>-</v>
      </c>
      <c r="E28983" t="str">
        <v>-</v>
      </c>
      <c r="F28983" t="str">
        <v>-</v>
      </c>
      <c r="G28983" t="str">
        <v>-</v>
      </c>
    </row>
    <row r="28984">
      <c r="B28984" t="str">
        <v>Công an xã Dào San tỉnh Lai Châu</v>
      </c>
      <c r="C28984" t="str">
        <v>-</v>
      </c>
      <c r="D28984" t="str">
        <v>-</v>
      </c>
      <c r="E28984" t="str">
        <v/>
      </c>
      <c r="F28984" t="str">
        <v>-</v>
      </c>
      <c r="G28984" t="str">
        <v>-</v>
      </c>
    </row>
    <row r="28985">
      <c r="B28985" t="str">
        <v>UBND Ủy ban nhân dân xã Dào San tỉnh Lai Châu</v>
      </c>
      <c r="C28985" t="str">
        <v>-</v>
      </c>
      <c r="D28985" t="str">
        <v>-</v>
      </c>
      <c r="E28985" t="str">
        <v>-</v>
      </c>
      <c r="F28985" t="str">
        <v>-</v>
      </c>
      <c r="G28985" t="str">
        <v>-</v>
      </c>
    </row>
    <row r="28986">
      <c r="B28986" t="str">
        <v>Công an xã Diễn Hải tỉnh Nghệ An</v>
      </c>
      <c r="C28986" t="str">
        <v>-</v>
      </c>
      <c r="D28986" t="str">
        <v>-</v>
      </c>
      <c r="E28986" t="str">
        <v/>
      </c>
      <c r="F28986" t="str">
        <v>-</v>
      </c>
      <c r="G28986" t="str">
        <v>-</v>
      </c>
    </row>
    <row r="28987">
      <c r="B28987" t="str">
        <v>UBND Ủy ban nhân dân xã Diễn Hải tỉnh Nghệ An</v>
      </c>
      <c r="C28987" t="str">
        <v>-</v>
      </c>
      <c r="D28987" t="str">
        <v>-</v>
      </c>
      <c r="E28987" t="str">
        <v>-</v>
      </c>
      <c r="F28987" t="str">
        <v>-</v>
      </c>
      <c r="G28987" t="str">
        <v>-</v>
      </c>
    </row>
    <row r="28988">
      <c r="B28988" t="str">
        <v>Công an xã Điền Lư tỉnh Thanh Hóa</v>
      </c>
      <c r="C28988" t="str">
        <v>-</v>
      </c>
      <c r="D28988" t="str">
        <v>-</v>
      </c>
      <c r="E28988" t="str">
        <v/>
      </c>
      <c r="F28988" t="str">
        <v>-</v>
      </c>
      <c r="G28988" t="str">
        <v>-</v>
      </c>
    </row>
    <row r="28989">
      <c r="B28989" t="str">
        <v>UBND Ủy ban nhân dân xã Điền Lư tỉnh Thanh Hóa</v>
      </c>
      <c r="C28989" t="str">
        <v>-</v>
      </c>
      <c r="D28989" t="str">
        <v>-</v>
      </c>
      <c r="E28989" t="str">
        <v>-</v>
      </c>
      <c r="F28989" t="str">
        <v>-</v>
      </c>
      <c r="G28989" t="str">
        <v>-</v>
      </c>
    </row>
    <row r="28990">
      <c r="B28990" t="str">
        <v>Công an xã Đoàn Kết  tỉnh Hòa Bình</v>
      </c>
      <c r="C28990" t="str">
        <v>-</v>
      </c>
      <c r="D28990" t="str">
        <v>-</v>
      </c>
      <c r="E28990" t="str">
        <v/>
      </c>
      <c r="F28990" t="str">
        <v>-</v>
      </c>
      <c r="G28990" t="str">
        <v>-</v>
      </c>
    </row>
    <row r="28991">
      <c r="B28991" t="str">
        <v>UBND Ủy ban nhân dân xã Đoàn Kết  tỉnh Hòa Bình</v>
      </c>
      <c r="C28991" t="str">
        <v>-</v>
      </c>
      <c r="D28991" t="str">
        <v>-</v>
      </c>
      <c r="E28991" t="str">
        <v>-</v>
      </c>
      <c r="F28991" t="str">
        <v>-</v>
      </c>
      <c r="G28991" t="str">
        <v>-</v>
      </c>
    </row>
    <row r="28992">
      <c r="B28992" t="str">
        <v>Công an xã Đông Á tỉnh Thái Bình</v>
      </c>
      <c r="C28992" t="str">
        <v>-</v>
      </c>
      <c r="D28992" t="str">
        <v>-</v>
      </c>
      <c r="E28992" t="str">
        <v/>
      </c>
      <c r="F28992" t="str">
        <v>-</v>
      </c>
      <c r="G28992" t="str">
        <v>-</v>
      </c>
    </row>
    <row r="28993">
      <c r="B28993" t="str">
        <v>UBND Ủy ban nhân dân xã Đông Á tỉnh Thái Bình</v>
      </c>
      <c r="C28993" t="str">
        <v>-</v>
      </c>
      <c r="D28993" t="str">
        <v>-</v>
      </c>
      <c r="E28993" t="str">
        <v>-</v>
      </c>
      <c r="F28993" t="str">
        <v>-</v>
      </c>
      <c r="G28993" t="str">
        <v>-</v>
      </c>
    </row>
    <row r="28994">
      <c r="B28994" t="str">
        <v>Công an xã Đông Hải tỉnh Thái Bình</v>
      </c>
      <c r="C28994" t="str">
        <v>-</v>
      </c>
      <c r="D28994" t="str">
        <v>-</v>
      </c>
      <c r="E28994" t="str">
        <v/>
      </c>
      <c r="F28994" t="str">
        <v>-</v>
      </c>
      <c r="G28994" t="str">
        <v>-</v>
      </c>
    </row>
    <row r="28995">
      <c r="B28995" t="str">
        <v>UBND Ủy ban nhân dân xã Đông Hải tỉnh Thái Bình</v>
      </c>
      <c r="C28995" t="str">
        <v>-</v>
      </c>
      <c r="D28995" t="str">
        <v>-</v>
      </c>
      <c r="E28995" t="str">
        <v>-</v>
      </c>
      <c r="F28995" t="str">
        <v>-</v>
      </c>
      <c r="G28995" t="str">
        <v>-</v>
      </c>
    </row>
    <row r="28996">
      <c r="B28996" t="str">
        <v>Công an xã Đồng Hoá  tỉnh Quảng Bình</v>
      </c>
      <c r="C28996" t="str">
        <v>-</v>
      </c>
      <c r="D28996" t="str">
        <v>-</v>
      </c>
      <c r="E28996" t="str">
        <v/>
      </c>
      <c r="F28996" t="str">
        <v>-</v>
      </c>
      <c r="G28996" t="str">
        <v>-</v>
      </c>
    </row>
    <row r="28997">
      <c r="B28997" t="str">
        <v>UBND Ủy ban nhân dân xã Đồng Hoá  tỉnh Quảng Bình</v>
      </c>
      <c r="C28997" t="str">
        <v>-</v>
      </c>
      <c r="D28997" t="str">
        <v>-</v>
      </c>
      <c r="E28997" t="str">
        <v>-</v>
      </c>
      <c r="F28997" t="str">
        <v>-</v>
      </c>
      <c r="G28997" t="str">
        <v>-</v>
      </c>
    </row>
    <row r="28998">
      <c r="B28998" t="str">
        <v>Công an xã Đông Hưng  tỉnh Kiên Giang</v>
      </c>
      <c r="C28998" t="str">
        <v>-</v>
      </c>
      <c r="D28998" t="str">
        <v>-</v>
      </c>
      <c r="E28998" t="str">
        <v/>
      </c>
      <c r="F28998" t="str">
        <v>-</v>
      </c>
      <c r="G28998" t="str">
        <v>-</v>
      </c>
    </row>
    <row r="28999">
      <c r="B28999" t="str">
        <v>UBND Ủy ban nhân dân xã Đông Hưng  tỉnh Kiên Giang</v>
      </c>
      <c r="C28999" t="str">
        <v>-</v>
      </c>
      <c r="D28999" t="str">
        <v>-</v>
      </c>
      <c r="E28999" t="str">
        <v>-</v>
      </c>
      <c r="F28999" t="str">
        <v>-</v>
      </c>
      <c r="G28999" t="str">
        <v>-</v>
      </c>
    </row>
    <row r="29000">
      <c r="B29000" t="str">
        <v>Công an xã Đông Kinh tỉnh Thái Bình</v>
      </c>
      <c r="C29000" t="str">
        <v>-</v>
      </c>
      <c r="D29000" t="str">
        <v>-</v>
      </c>
      <c r="E29000" t="str">
        <v/>
      </c>
      <c r="F29000" t="str">
        <v>-</v>
      </c>
      <c r="G29000" t="str">
        <v>-</v>
      </c>
    </row>
    <row r="29001">
      <c r="B29001" t="str">
        <v>UBND Ủy ban nhân dân xã Đông Kinh tỉnh Thái Bình</v>
      </c>
      <c r="C29001" t="str">
        <v>-</v>
      </c>
      <c r="D29001" t="str">
        <v>-</v>
      </c>
      <c r="E29001" t="str">
        <v>-</v>
      </c>
      <c r="F29001" t="str">
        <v>-</v>
      </c>
      <c r="G29001" t="str">
        <v>-</v>
      </c>
    </row>
    <row r="29002">
      <c r="B29002" t="str">
        <v>Công an xã Đông La thành phố Hà Nội</v>
      </c>
      <c r="C29002" t="str">
        <v>-</v>
      </c>
      <c r="D29002" t="str">
        <v>-</v>
      </c>
      <c r="E29002" t="str">
        <v/>
      </c>
      <c r="F29002" t="str">
        <v>-</v>
      </c>
      <c r="G29002" t="str">
        <v>-</v>
      </c>
    </row>
    <row r="29003">
      <c r="B29003" t="str">
        <v>UBND Ủy ban nhân dân xã Đông La thành phố Hà Nội</v>
      </c>
      <c r="C29003" t="str">
        <v>-</v>
      </c>
      <c r="D29003" t="str">
        <v>-</v>
      </c>
      <c r="E29003" t="str">
        <v>-</v>
      </c>
      <c r="F29003" t="str">
        <v>-</v>
      </c>
      <c r="G29003" t="str">
        <v>-</v>
      </c>
    </row>
    <row r="29004">
      <c r="B29004" t="str">
        <v>Công an xã Đồng Lạc tỉnh Phú Thọ</v>
      </c>
      <c r="C29004" t="str">
        <v>-</v>
      </c>
      <c r="D29004" t="str">
        <v>-</v>
      </c>
      <c r="E29004" t="str">
        <v/>
      </c>
      <c r="F29004" t="str">
        <v>-</v>
      </c>
      <c r="G29004" t="str">
        <v>-</v>
      </c>
    </row>
    <row r="29005">
      <c r="B29005" t="str">
        <v>UBND Ủy ban nhân dân xã Đồng Lạc tỉnh Phú Thọ</v>
      </c>
      <c r="C29005" t="str">
        <v>-</v>
      </c>
      <c r="D29005" t="str">
        <v>-</v>
      </c>
      <c r="E29005" t="str">
        <v>-</v>
      </c>
      <c r="F29005" t="str">
        <v>-</v>
      </c>
      <c r="G29005" t="str">
        <v>-</v>
      </c>
    </row>
    <row r="29006">
      <c r="B29006" t="str">
        <v>Công an xã Đông Long tỉnh Thái Bình</v>
      </c>
      <c r="C29006" t="str">
        <v>-</v>
      </c>
      <c r="D29006" t="str">
        <v>-</v>
      </c>
      <c r="E29006" t="str">
        <v/>
      </c>
      <c r="F29006" t="str">
        <v>-</v>
      </c>
      <c r="G29006" t="str">
        <v>-</v>
      </c>
    </row>
    <row r="29007">
      <c r="B29007" t="str">
        <v>UBND Ủy ban nhân dân xã Đông Long tỉnh Thái Bình</v>
      </c>
      <c r="C29007" t="str">
        <v>-</v>
      </c>
      <c r="D29007" t="str">
        <v>-</v>
      </c>
      <c r="E29007" t="str">
        <v>-</v>
      </c>
      <c r="F29007" t="str">
        <v>-</v>
      </c>
      <c r="G29007" t="str">
        <v>-</v>
      </c>
    </row>
    <row r="29008">
      <c r="B29008" t="str">
        <v>Công an xã Đông Nam  tỉnh Thanh Hóa</v>
      </c>
      <c r="C29008" t="str">
        <v>-</v>
      </c>
      <c r="D29008" t="str">
        <v>-</v>
      </c>
      <c r="E29008" t="str">
        <v/>
      </c>
      <c r="F29008" t="str">
        <v>-</v>
      </c>
      <c r="G29008" t="str">
        <v>-</v>
      </c>
    </row>
    <row r="29009">
      <c r="B29009" t="str">
        <v>UBND Ủy ban nhân dân xã Đông Nam  tỉnh Thanh Hóa</v>
      </c>
      <c r="C29009" t="str">
        <v>-</v>
      </c>
      <c r="D29009" t="str">
        <v>-</v>
      </c>
      <c r="E29009" t="str">
        <v>-</v>
      </c>
      <c r="F29009" t="str">
        <v>-</v>
      </c>
      <c r="G29009" t="str">
        <v>-</v>
      </c>
    </row>
    <row r="29010">
      <c r="B29010" t="str">
        <v>Công an xã Đông Ninh  tỉnh Thanh Hóa</v>
      </c>
      <c r="C29010" t="str">
        <v>-</v>
      </c>
      <c r="D29010" t="str">
        <v>-</v>
      </c>
      <c r="E29010" t="str">
        <v/>
      </c>
      <c r="F29010" t="str">
        <v>-</v>
      </c>
      <c r="G29010" t="str">
        <v>-</v>
      </c>
    </row>
    <row r="29011">
      <c r="B29011" t="str">
        <v>UBND Ủy ban nhân dân xã Đông Ninh  tỉnh Thanh Hóa</v>
      </c>
      <c r="C29011" t="str">
        <v>-</v>
      </c>
      <c r="D29011" t="str">
        <v>-</v>
      </c>
      <c r="E29011" t="str">
        <v>-</v>
      </c>
      <c r="F29011" t="str">
        <v>-</v>
      </c>
      <c r="G29011" t="str">
        <v>-</v>
      </c>
    </row>
    <row r="29012">
      <c r="B29012" t="str">
        <v>Công an xã Đông Phú tỉnh Thanh Hóa</v>
      </c>
      <c r="C29012" t="str">
        <v>-</v>
      </c>
      <c r="D29012" t="str">
        <v>-</v>
      </c>
      <c r="E29012" t="str">
        <v/>
      </c>
      <c r="F29012" t="str">
        <v>-</v>
      </c>
      <c r="G29012" t="str">
        <v>-</v>
      </c>
    </row>
    <row r="29013">
      <c r="B29013" t="str">
        <v>UBND Ủy ban nhân dân xã Đông Phú tỉnh Thanh Hóa</v>
      </c>
      <c r="C29013" t="str">
        <v>-</v>
      </c>
      <c r="D29013" t="str">
        <v>-</v>
      </c>
      <c r="E29013" t="str">
        <v>-</v>
      </c>
      <c r="F29013" t="str">
        <v>-</v>
      </c>
      <c r="G29013" t="str">
        <v>-</v>
      </c>
    </row>
    <row r="29014">
      <c r="B29014" t="str">
        <v>Công an xã Đông Quang tỉnh Thái Bình</v>
      </c>
      <c r="C29014" t="str">
        <v>-</v>
      </c>
      <c r="D29014" t="str">
        <v>-</v>
      </c>
      <c r="E29014" t="str">
        <v/>
      </c>
      <c r="F29014" t="str">
        <v>-</v>
      </c>
      <c r="G29014" t="str">
        <v>-</v>
      </c>
    </row>
    <row r="29015">
      <c r="B29015" t="str">
        <v>UBND Ủy ban nhân dân xã Đông Quang tỉnh Thái Bình</v>
      </c>
      <c r="C29015" t="str">
        <v>-</v>
      </c>
      <c r="D29015" t="str">
        <v>-</v>
      </c>
      <c r="E29015" t="str">
        <v>-</v>
      </c>
      <c r="F29015" t="str">
        <v>-</v>
      </c>
      <c r="G29015" t="str">
        <v>-</v>
      </c>
    </row>
    <row r="29016">
      <c r="B29016" t="str">
        <v>Công an xã Đồng Quý  tỉnh Tuyên Quang</v>
      </c>
      <c r="C29016" t="str">
        <v>-</v>
      </c>
      <c r="D29016" t="str">
        <v>-</v>
      </c>
      <c r="E29016" t="str">
        <v/>
      </c>
      <c r="F29016" t="str">
        <v>-</v>
      </c>
      <c r="G29016" t="str">
        <v>-</v>
      </c>
    </row>
    <row r="29017">
      <c r="B29017" t="str">
        <v>UBND Ủy ban nhân dân xã Đồng Quý  tỉnh Tuyên Quang</v>
      </c>
      <c r="C29017" t="str">
        <v>-</v>
      </c>
      <c r="D29017" t="str">
        <v>-</v>
      </c>
      <c r="E29017" t="str">
        <v>-</v>
      </c>
      <c r="F29017" t="str">
        <v>-</v>
      </c>
      <c r="G29017" t="str">
        <v>-</v>
      </c>
    </row>
    <row r="29018">
      <c r="B29018" t="str">
        <v>Công an xã Đông Sơn tỉnh Bắc Giang</v>
      </c>
      <c r="C29018" t="str">
        <v>-</v>
      </c>
      <c r="D29018" t="str">
        <v>-</v>
      </c>
      <c r="E29018" t="str">
        <v/>
      </c>
      <c r="F29018" t="str">
        <v>-</v>
      </c>
      <c r="G29018" t="str">
        <v>-</v>
      </c>
    </row>
    <row r="29019">
      <c r="B29019" t="str">
        <v>UBND Ủy ban nhân dân xã Đông Sơn tỉnh Bắc Giang</v>
      </c>
      <c r="C29019" t="str">
        <v>-</v>
      </c>
      <c r="D29019" t="str">
        <v>-</v>
      </c>
      <c r="E29019" t="str">
        <v>-</v>
      </c>
      <c r="F29019" t="str">
        <v>-</v>
      </c>
      <c r="G29019" t="str">
        <v>-</v>
      </c>
    </row>
    <row r="29020">
      <c r="B29020" t="str">
        <v>Công an xã Đồng Thắng tỉnh Thanh Hóa</v>
      </c>
      <c r="C29020" t="str">
        <v>-</v>
      </c>
      <c r="D29020" t="str">
        <v>-</v>
      </c>
      <c r="E29020" t="str">
        <v/>
      </c>
      <c r="F29020" t="str">
        <v>-</v>
      </c>
      <c r="G29020" t="str">
        <v>-</v>
      </c>
    </row>
    <row r="29021">
      <c r="B29021" t="str">
        <v>UBND Ủy ban nhân dân xã Đồng Thắng tỉnh Thanh Hóa</v>
      </c>
      <c r="C29021" t="str">
        <v>-</v>
      </c>
      <c r="D29021" t="str">
        <v>-</v>
      </c>
      <c r="E29021" t="str">
        <v>-</v>
      </c>
      <c r="F29021" t="str">
        <v>-</v>
      </c>
      <c r="G29021" t="str">
        <v>-</v>
      </c>
    </row>
    <row r="29022">
      <c r="B29022" t="str">
        <v>Công an xã Đông Thành  tỉnh Phú Thọ</v>
      </c>
      <c r="C29022" t="str">
        <v>-</v>
      </c>
      <c r="D29022" t="str">
        <v>-</v>
      </c>
      <c r="E29022" t="str">
        <v/>
      </c>
      <c r="F29022" t="str">
        <v>-</v>
      </c>
      <c r="G29022" t="str">
        <v>-</v>
      </c>
    </row>
    <row r="29023">
      <c r="B29023" t="str">
        <v>UBND Ủy ban nhân dân xã Đông Thành  tỉnh Phú Thọ</v>
      </c>
      <c r="C29023" t="str">
        <v>-</v>
      </c>
      <c r="D29023" t="str">
        <v>-</v>
      </c>
      <c r="E29023" t="str">
        <v>-</v>
      </c>
      <c r="F29023" t="str">
        <v>-</v>
      </c>
      <c r="G29023" t="str">
        <v>-</v>
      </c>
    </row>
    <row r="29024">
      <c r="B29024" t="str">
        <v>Công an xã Đồng Thịnh  tỉnh Thanh Hóa</v>
      </c>
      <c r="C29024" t="str">
        <v>-</v>
      </c>
      <c r="D29024" t="str">
        <v>-</v>
      </c>
      <c r="E29024" t="str">
        <v/>
      </c>
      <c r="F29024" t="str">
        <v>-</v>
      </c>
      <c r="G29024" t="str">
        <v>-</v>
      </c>
    </row>
    <row r="29025">
      <c r="B29025" t="str">
        <v>UBND Ủy ban nhân dân xã Đồng Thịnh  tỉnh Thanh Hóa</v>
      </c>
      <c r="C29025" t="str">
        <v>-</v>
      </c>
      <c r="D29025" t="str">
        <v>-</v>
      </c>
      <c r="E29025" t="str">
        <v>-</v>
      </c>
      <c r="F29025" t="str">
        <v>-</v>
      </c>
      <c r="G29025" t="str">
        <v>-</v>
      </c>
    </row>
    <row r="29026">
      <c r="B29026" t="str">
        <v>Công an xã Đông Vinh  tỉnh Thái Bình</v>
      </c>
      <c r="C29026" t="str">
        <v>-</v>
      </c>
      <c r="D29026" t="str">
        <v>-</v>
      </c>
      <c r="E29026" t="str">
        <v/>
      </c>
      <c r="F29026" t="str">
        <v>-</v>
      </c>
      <c r="G29026" t="str">
        <v>-</v>
      </c>
    </row>
    <row r="29027">
      <c r="B29027" t="str">
        <v>UBND Ủy ban nhân dân xã Đông Vinh  tỉnh Thái Bình</v>
      </c>
      <c r="C29027" t="str">
        <v>-</v>
      </c>
      <c r="D29027" t="str">
        <v>-</v>
      </c>
      <c r="E29027" t="str">
        <v>-</v>
      </c>
      <c r="F29027" t="str">
        <v>-</v>
      </c>
      <c r="G29027" t="str">
        <v>-</v>
      </c>
    </row>
    <row r="29028">
      <c r="B29028" t="str">
        <v>Công an xã Đông Xá  tỉnh Thái Bình</v>
      </c>
      <c r="C29028" t="str">
        <v>-</v>
      </c>
      <c r="D29028" t="str">
        <v>-</v>
      </c>
      <c r="E29028" t="str">
        <v/>
      </c>
      <c r="F29028" t="str">
        <v>-</v>
      </c>
      <c r="G29028" t="str">
        <v>-</v>
      </c>
    </row>
    <row r="29029">
      <c r="B29029" t="str">
        <v>UBND Ủy ban nhân dân xã Đông Xá  tỉnh Thái Bình</v>
      </c>
      <c r="C29029" t="str">
        <v>-</v>
      </c>
      <c r="D29029" t="str">
        <v>-</v>
      </c>
      <c r="E29029" t="str">
        <v>-</v>
      </c>
      <c r="F29029" t="str">
        <v>-</v>
      </c>
      <c r="G29029" t="str">
        <v>-</v>
      </c>
    </row>
    <row r="29030">
      <c r="B29030" t="str">
        <v>Công an xã Đổng Xá tỉnh Bắc Kạn</v>
      </c>
      <c r="C29030" t="str">
        <v>-</v>
      </c>
      <c r="D29030" t="str">
        <v>-</v>
      </c>
      <c r="E29030" t="str">
        <v/>
      </c>
      <c r="F29030" t="str">
        <v>-</v>
      </c>
      <c r="G29030" t="str">
        <v>-</v>
      </c>
    </row>
    <row r="29031">
      <c r="B29031" t="str">
        <v>UBND Ủy ban nhân dân xã Đổng Xá tỉnh Bắc Kạn</v>
      </c>
      <c r="C29031" t="str">
        <v>-</v>
      </c>
      <c r="D29031" t="str">
        <v>-</v>
      </c>
      <c r="E29031" t="str">
        <v>-</v>
      </c>
      <c r="F29031" t="str">
        <v>-</v>
      </c>
      <c r="G29031" t="str">
        <v>-</v>
      </c>
    </row>
    <row r="29032">
      <c r="B29032" t="str">
        <v>Công an xã Đôn Xuân tỉnh Trà Vinh</v>
      </c>
      <c r="C29032" t="str">
        <v>-</v>
      </c>
      <c r="D29032" t="str">
        <v>-</v>
      </c>
      <c r="E29032" t="str">
        <v/>
      </c>
      <c r="F29032" t="str">
        <v>-</v>
      </c>
      <c r="G29032" t="str">
        <v>-</v>
      </c>
    </row>
    <row r="29033">
      <c r="B29033" t="str">
        <v>UBND Ủy ban nhân dân xã Đôn Xuân tỉnh Trà Vinh</v>
      </c>
      <c r="C29033" t="str">
        <v>-</v>
      </c>
      <c r="D29033" t="str">
        <v>-</v>
      </c>
      <c r="E29033" t="str">
        <v>-</v>
      </c>
      <c r="F29033" t="str">
        <v>-</v>
      </c>
      <c r="G29033" t="str">
        <v>-</v>
      </c>
    </row>
    <row r="29034">
      <c r="B29034" t="str">
        <v>Công an xã Đức Long tỉnh Ninh Bình</v>
      </c>
      <c r="C29034" t="str">
        <v>-</v>
      </c>
      <c r="D29034" t="str">
        <v>-</v>
      </c>
      <c r="E29034" t="str">
        <v/>
      </c>
      <c r="F29034" t="str">
        <v>-</v>
      </c>
      <c r="G29034" t="str">
        <v>-</v>
      </c>
    </row>
    <row r="29035">
      <c r="B29035" t="str">
        <v>UBND Ủy ban nhân dân xã Đức Long tỉnh Ninh Bình</v>
      </c>
      <c r="C29035" t="str">
        <v>-</v>
      </c>
      <c r="D29035" t="str">
        <v>-</v>
      </c>
      <c r="E29035" t="str">
        <v>-</v>
      </c>
      <c r="F29035" t="str">
        <v>-</v>
      </c>
      <c r="G29035" t="str">
        <v>-</v>
      </c>
    </row>
    <row r="29036">
      <c r="B29036" t="str">
        <v>Công an xã Đức Xuyên  tỉnh Đắk Nông</v>
      </c>
      <c r="C29036" t="str">
        <v>-</v>
      </c>
      <c r="D29036" t="str">
        <v>-</v>
      </c>
      <c r="E29036" t="str">
        <v/>
      </c>
      <c r="F29036" t="str">
        <v>-</v>
      </c>
      <c r="G29036" t="str">
        <v>-</v>
      </c>
    </row>
    <row r="29037">
      <c r="B29037" t="str">
        <v>UBND Ủy ban nhân dân xã Đức Xuyên  tỉnh Đắk Nông</v>
      </c>
      <c r="C29037" t="str">
        <v>-</v>
      </c>
      <c r="D29037" t="str">
        <v>-</v>
      </c>
      <c r="E29037" t="str">
        <v>-</v>
      </c>
      <c r="F29037" t="str">
        <v>-</v>
      </c>
      <c r="G29037" t="str">
        <v>-</v>
      </c>
    </row>
    <row r="29038">
      <c r="B29038" t="str">
        <v>Công an xã Ea Nuôl  tỉnh Đắk Lắk</v>
      </c>
      <c r="C29038" t="str">
        <v>-</v>
      </c>
      <c r="D29038" t="str">
        <v>-</v>
      </c>
      <c r="E29038" t="str">
        <v/>
      </c>
      <c r="F29038" t="str">
        <v>-</v>
      </c>
      <c r="G29038" t="str">
        <v>-</v>
      </c>
    </row>
    <row r="29039">
      <c r="B29039" t="str">
        <v>UBND Ủy ban nhân dân xã Ea Nuôl  tỉnh Đắk Lắk</v>
      </c>
      <c r="C29039" t="str">
        <v>-</v>
      </c>
      <c r="D29039" t="str">
        <v>-</v>
      </c>
      <c r="E29039" t="str">
        <v>-</v>
      </c>
      <c r="F29039" t="str">
        <v>-</v>
      </c>
      <c r="G29039" t="str">
        <v>-</v>
      </c>
    </row>
    <row r="29040">
      <c r="B29040" t="str">
        <v>Công an xã Ea Tih tỉnh Đắk Lắk</v>
      </c>
      <c r="C29040" t="str">
        <v>-</v>
      </c>
      <c r="D29040" t="str">
        <v>-</v>
      </c>
      <c r="E29040" t="str">
        <v/>
      </c>
      <c r="F29040" t="str">
        <v>-</v>
      </c>
      <c r="G29040" t="str">
        <v>-</v>
      </c>
    </row>
    <row r="29041">
      <c r="B29041" t="str">
        <v>UBND Ủy ban nhân dân xã Ea Tih tỉnh Đắk Lắk</v>
      </c>
      <c r="C29041" t="str">
        <v>-</v>
      </c>
      <c r="D29041" t="str">
        <v>-</v>
      </c>
      <c r="E29041" t="str">
        <v>-</v>
      </c>
      <c r="F29041" t="str">
        <v>-</v>
      </c>
      <c r="G29041" t="str">
        <v>-</v>
      </c>
    </row>
    <row r="29042">
      <c r="B29042" t="str">
        <v>Công an xã Gia Canh  tỉnh Đồng Nai</v>
      </c>
      <c r="C29042" t="str">
        <v>-</v>
      </c>
      <c r="D29042" t="str">
        <v>-</v>
      </c>
      <c r="E29042" t="str">
        <v/>
      </c>
      <c r="F29042" t="str">
        <v>-</v>
      </c>
      <c r="G29042" t="str">
        <v>-</v>
      </c>
    </row>
    <row r="29043">
      <c r="B29043" t="str">
        <v>UBND Ủy ban nhân dân xã Gia Canh  tỉnh Đồng Nai</v>
      </c>
      <c r="C29043" t="str">
        <v>-</v>
      </c>
      <c r="D29043" t="str">
        <v>-</v>
      </c>
      <c r="E29043" t="str">
        <v>-</v>
      </c>
      <c r="F29043" t="str">
        <v>-</v>
      </c>
      <c r="G29043" t="str">
        <v>-</v>
      </c>
    </row>
    <row r="29044">
      <c r="B29044" t="str">
        <v>Công an xã Gia Hội  tỉnh Yên Bái</v>
      </c>
      <c r="C29044" t="str">
        <v>-</v>
      </c>
      <c r="D29044" t="str">
        <v>-</v>
      </c>
      <c r="E29044" t="str">
        <v/>
      </c>
      <c r="F29044" t="str">
        <v>-</v>
      </c>
      <c r="G29044" t="str">
        <v>-</v>
      </c>
    </row>
    <row r="29045">
      <c r="B29045" t="str">
        <v>UBND Ủy ban nhân dân xã Gia Hội  tỉnh Yên Bái</v>
      </c>
      <c r="C29045" t="str">
        <v>-</v>
      </c>
      <c r="D29045" t="str">
        <v>-</v>
      </c>
      <c r="E29045" t="str">
        <v>-</v>
      </c>
      <c r="F29045" t="str">
        <v>-</v>
      </c>
      <c r="G29045" t="str">
        <v>-</v>
      </c>
    </row>
    <row r="29046">
      <c r="B29046" t="str">
        <v>Công an xã Giao An  tỉnh Thanh Hóa</v>
      </c>
      <c r="C29046" t="str">
        <v>-</v>
      </c>
      <c r="D29046" t="str">
        <v>-</v>
      </c>
      <c r="E29046" t="str">
        <v/>
      </c>
      <c r="F29046" t="str">
        <v>-</v>
      </c>
      <c r="G29046" t="str">
        <v>-</v>
      </c>
    </row>
    <row r="29047">
      <c r="B29047" t="str">
        <v>UBND Ủy ban nhân dân xã Giao An  tỉnh Thanh Hóa</v>
      </c>
      <c r="C29047" t="str">
        <v>-</v>
      </c>
      <c r="D29047" t="str">
        <v>-</v>
      </c>
      <c r="E29047" t="str">
        <v>-</v>
      </c>
      <c r="F29047" t="str">
        <v>-</v>
      </c>
      <c r="G29047" t="str">
        <v>-</v>
      </c>
    </row>
    <row r="29048">
      <c r="B29048" t="str">
        <v>Công an xã Gia Thanh  tỉnh Ninh Bình</v>
      </c>
      <c r="C29048" t="str">
        <v>-</v>
      </c>
      <c r="D29048" t="str">
        <v>-</v>
      </c>
      <c r="E29048" t="str">
        <v/>
      </c>
      <c r="F29048" t="str">
        <v>-</v>
      </c>
      <c r="G29048" t="str">
        <v>-</v>
      </c>
    </row>
    <row r="29049">
      <c r="B29049" t="str">
        <v>UBND Ủy ban nhân dân xã Gia Thanh  tỉnh Ninh Bình</v>
      </c>
      <c r="C29049" t="str">
        <v>-</v>
      </c>
      <c r="D29049" t="str">
        <v>-</v>
      </c>
      <c r="E29049" t="str">
        <v>-</v>
      </c>
      <c r="F29049" t="str">
        <v>-</v>
      </c>
      <c r="G29049" t="str">
        <v>-</v>
      </c>
    </row>
    <row r="29050">
      <c r="B29050" t="str">
        <v>Công an xã Hà Đông tỉnh Gia Lai</v>
      </c>
      <c r="C29050" t="str">
        <v>-</v>
      </c>
      <c r="D29050" t="str">
        <v>-</v>
      </c>
      <c r="E29050" t="str">
        <v/>
      </c>
      <c r="F29050" t="str">
        <v>-</v>
      </c>
      <c r="G29050" t="str">
        <v>-</v>
      </c>
    </row>
    <row r="29051">
      <c r="B29051" t="str">
        <v>UBND Ủy ban nhân dân xã Hà Đông tỉnh Gia Lai</v>
      </c>
      <c r="C29051" t="str">
        <v>-</v>
      </c>
      <c r="D29051" t="str">
        <v>-</v>
      </c>
      <c r="E29051" t="str">
        <v>-</v>
      </c>
      <c r="F29051" t="str">
        <v>-</v>
      </c>
      <c r="G29051" t="str">
        <v>-</v>
      </c>
    </row>
    <row r="29052">
      <c r="B29052" t="str">
        <v>Công an xã Hà Giang  tỉnh Thái Bình</v>
      </c>
      <c r="C29052" t="str">
        <v>-</v>
      </c>
      <c r="D29052" t="str">
        <v>-</v>
      </c>
      <c r="E29052" t="str">
        <v/>
      </c>
      <c r="F29052" t="str">
        <v>-</v>
      </c>
      <c r="G29052" t="str">
        <v>-</v>
      </c>
    </row>
    <row r="29053">
      <c r="B29053" t="str">
        <v>UBND Ủy ban nhân dân xã Hà Giang  tỉnh Thái Bình</v>
      </c>
      <c r="C29053" t="str">
        <v>-</v>
      </c>
      <c r="D29053" t="str">
        <v>-</v>
      </c>
      <c r="E29053" t="str">
        <v>-</v>
      </c>
      <c r="F29053" t="str">
        <v>-</v>
      </c>
      <c r="G29053" t="str">
        <v>-</v>
      </c>
    </row>
    <row r="29054">
      <c r="B29054" t="str">
        <v>Công an xã Hải Hòa  tỉnh Nam Định</v>
      </c>
      <c r="C29054" t="str">
        <v>-</v>
      </c>
      <c r="D29054" t="str">
        <v>-</v>
      </c>
      <c r="E29054" t="str">
        <v/>
      </c>
      <c r="F29054" t="str">
        <v>-</v>
      </c>
      <c r="G29054" t="str">
        <v>-</v>
      </c>
    </row>
    <row r="29055">
      <c r="B29055" t="str">
        <v>UBND Ủy ban nhân dân xã Hải Hòa  tỉnh Nam Định</v>
      </c>
      <c r="C29055" t="str">
        <v>-</v>
      </c>
      <c r="D29055" t="str">
        <v>-</v>
      </c>
      <c r="E29055" t="str">
        <v>-</v>
      </c>
      <c r="F29055" t="str">
        <v>-</v>
      </c>
      <c r="G29055" t="str">
        <v>-</v>
      </c>
    </row>
    <row r="29056">
      <c r="B29056" t="str">
        <v>Công an xã Hải Trung tỉnh Nam Định</v>
      </c>
      <c r="C29056" t="str">
        <v>-</v>
      </c>
      <c r="D29056" t="str">
        <v>-</v>
      </c>
      <c r="E29056" t="str">
        <v/>
      </c>
      <c r="F29056" t="str">
        <v>-</v>
      </c>
      <c r="G29056" t="str">
        <v>-</v>
      </c>
    </row>
    <row r="29057">
      <c r="B29057" t="str">
        <v>UBND Ủy ban nhân dân xã Hải Trung tỉnh Nam Định</v>
      </c>
      <c r="C29057" t="str">
        <v>-</v>
      </c>
      <c r="D29057" t="str">
        <v>-</v>
      </c>
      <c r="E29057" t="str">
        <v>-</v>
      </c>
      <c r="F29057" t="str">
        <v>-</v>
      </c>
      <c r="G29057" t="str">
        <v>-</v>
      </c>
    </row>
    <row r="29058">
      <c r="B29058" t="str">
        <v>Công an xã Háng Đồng tỉnh Sơn La</v>
      </c>
      <c r="C29058" t="str">
        <v>-</v>
      </c>
      <c r="D29058" t="str">
        <v>-</v>
      </c>
      <c r="E29058" t="str">
        <v/>
      </c>
      <c r="F29058" t="str">
        <v>-</v>
      </c>
      <c r="G29058" t="str">
        <v>-</v>
      </c>
    </row>
    <row r="29059">
      <c r="B29059" t="str">
        <v>UBND Ủy ban nhân dân xã Háng Đồng tỉnh Sơn La</v>
      </c>
      <c r="C29059" t="str">
        <v>-</v>
      </c>
      <c r="D29059" t="str">
        <v>-</v>
      </c>
      <c r="E29059" t="str">
        <v>-</v>
      </c>
      <c r="F29059" t="str">
        <v>-</v>
      </c>
      <c r="G29059" t="str">
        <v>-</v>
      </c>
    </row>
    <row r="29060">
      <c r="B29060" t="str">
        <v>Công an xã Hang Kia tỉnh Hòa Bình</v>
      </c>
      <c r="C29060" t="str">
        <v>-</v>
      </c>
      <c r="D29060" t="str">
        <v>-</v>
      </c>
      <c r="E29060" t="str">
        <v/>
      </c>
      <c r="F29060" t="str">
        <v>-</v>
      </c>
      <c r="G29060" t="str">
        <v>-</v>
      </c>
    </row>
    <row r="29061">
      <c r="B29061" t="str">
        <v>UBND Ủy ban nhân dân xã Hang Kia tỉnh Hòa Bình</v>
      </c>
      <c r="C29061" t="str">
        <v>-</v>
      </c>
      <c r="D29061" t="str">
        <v>-</v>
      </c>
      <c r="E29061" t="str">
        <v>-</v>
      </c>
      <c r="F29061" t="str">
        <v>-</v>
      </c>
      <c r="G29061" t="str">
        <v>-</v>
      </c>
    </row>
    <row r="29062">
      <c r="B29062" t="str">
        <v>Công an xã Hậu Mỹ Bắc A  tỉnh TIỀN GIANG</v>
      </c>
      <c r="C29062" t="str">
        <v>-</v>
      </c>
      <c r="D29062" t="str">
        <v>-</v>
      </c>
      <c r="E29062" t="str">
        <v/>
      </c>
      <c r="F29062" t="str">
        <v>-</v>
      </c>
      <c r="G29062" t="str">
        <v>-</v>
      </c>
    </row>
    <row r="29063">
      <c r="B29063" t="str">
        <v>UBND Ủy ban nhân dân xã Hậu Mỹ Bắc A  tỉnh TIỀN GIANG</v>
      </c>
      <c r="C29063" t="str">
        <v>-</v>
      </c>
      <c r="D29063" t="str">
        <v>-</v>
      </c>
      <c r="E29063" t="str">
        <v>-</v>
      </c>
      <c r="F29063" t="str">
        <v>-</v>
      </c>
      <c r="G29063" t="str">
        <v>-</v>
      </c>
    </row>
    <row r="29064">
      <c r="B29064" t="str">
        <v>Công an xã Hẹ Muông  tỉnh Điện Biên</v>
      </c>
      <c r="C29064" t="str">
        <v>-</v>
      </c>
      <c r="D29064" t="str">
        <v>-</v>
      </c>
      <c r="E29064" t="str">
        <v/>
      </c>
      <c r="F29064" t="str">
        <v>-</v>
      </c>
      <c r="G29064" t="str">
        <v>-</v>
      </c>
    </row>
    <row r="29065">
      <c r="B29065" t="str">
        <v>UBND Ủy ban nhân dân xã Hẹ Muông  tỉnh Điện Biên</v>
      </c>
      <c r="C29065" t="str">
        <v>-</v>
      </c>
      <c r="D29065" t="str">
        <v>-</v>
      </c>
      <c r="E29065" t="str">
        <v>-</v>
      </c>
      <c r="F29065" t="str">
        <v>-</v>
      </c>
      <c r="G29065" t="str">
        <v>-</v>
      </c>
    </row>
    <row r="29066">
      <c r="B29066" t="str">
        <v>Công an xã Hoà Hiệp  tỉnh Vĩnh Long</v>
      </c>
      <c r="C29066" t="str">
        <v>-</v>
      </c>
      <c r="D29066" t="str">
        <v>-</v>
      </c>
      <c r="E29066" t="str">
        <v/>
      </c>
      <c r="F29066" t="str">
        <v>-</v>
      </c>
      <c r="G29066" t="str">
        <v>-</v>
      </c>
    </row>
    <row r="29067">
      <c r="B29067" t="str">
        <v>UBND Ủy ban nhân dân xã Hoà Hiệp  tỉnh Vĩnh Long</v>
      </c>
      <c r="C29067" t="str">
        <v>-</v>
      </c>
      <c r="D29067" t="str">
        <v>-</v>
      </c>
      <c r="E29067" t="str">
        <v>-</v>
      </c>
      <c r="F29067" t="str">
        <v>-</v>
      </c>
      <c r="G29067" t="str">
        <v>-</v>
      </c>
    </row>
    <row r="29068">
      <c r="B29068" t="str">
        <v>Công an xã Hòa Mạc  tỉnh Lào Cai</v>
      </c>
      <c r="C29068" t="str">
        <v>-</v>
      </c>
      <c r="D29068" t="str">
        <v>-</v>
      </c>
      <c r="E29068" t="str">
        <v/>
      </c>
      <c r="F29068" t="str">
        <v>-</v>
      </c>
      <c r="G29068" t="str">
        <v>-</v>
      </c>
    </row>
    <row r="29069">
      <c r="B29069" t="str">
        <v>UBND Ủy ban nhân dân xã Hòa Mạc  tỉnh Lào Cai</v>
      </c>
      <c r="C29069" t="str">
        <v>-</v>
      </c>
      <c r="D29069" t="str">
        <v>-</v>
      </c>
      <c r="E29069" t="str">
        <v>-</v>
      </c>
      <c r="F29069" t="str">
        <v>-</v>
      </c>
      <c r="G29069" t="str">
        <v>-</v>
      </c>
    </row>
    <row r="29070">
      <c r="B29070" t="str">
        <v>Công an xã Hoằng Châu  tỉnh Thanh Hóa</v>
      </c>
      <c r="C29070" t="str">
        <v>-</v>
      </c>
      <c r="D29070" t="str">
        <v>-</v>
      </c>
      <c r="E29070" t="str">
        <v/>
      </c>
      <c r="F29070" t="str">
        <v>-</v>
      </c>
      <c r="G29070" t="str">
        <v>-</v>
      </c>
    </row>
    <row r="29071">
      <c r="B29071" t="str">
        <v>UBND Ủy ban nhân dân xã Hoằng Châu  tỉnh Thanh Hóa</v>
      </c>
      <c r="C29071" t="str">
        <v>-</v>
      </c>
      <c r="D29071" t="str">
        <v>-</v>
      </c>
      <c r="E29071" t="str">
        <v>-</v>
      </c>
      <c r="F29071" t="str">
        <v>-</v>
      </c>
      <c r="G29071" t="str">
        <v>-</v>
      </c>
    </row>
    <row r="29072">
      <c r="B29072" t="str">
        <v>Công an xã Hoằng Đồng  tỉnh Thanh Hóa</v>
      </c>
      <c r="C29072" t="str">
        <v>-</v>
      </c>
      <c r="D29072" t="str">
        <v>-</v>
      </c>
      <c r="E29072" t="str">
        <v/>
      </c>
      <c r="F29072" t="str">
        <v>-</v>
      </c>
      <c r="G29072" t="str">
        <v>-</v>
      </c>
    </row>
    <row r="29073">
      <c r="B29073" t="str">
        <v>UBND Ủy ban nhân dân xã Hoằng Đồng  tỉnh Thanh Hóa</v>
      </c>
      <c r="C29073" t="str">
        <v>-</v>
      </c>
      <c r="D29073" t="str">
        <v>-</v>
      </c>
      <c r="E29073" t="str">
        <v>-</v>
      </c>
      <c r="F29073" t="str">
        <v>-</v>
      </c>
      <c r="G29073" t="str">
        <v>-</v>
      </c>
    </row>
    <row r="29074">
      <c r="B29074" t="str">
        <v>Công an xã Hoằng Phong  tỉnh Thanh Hóa</v>
      </c>
      <c r="C29074" t="str">
        <v>-</v>
      </c>
      <c r="D29074" t="str">
        <v>-</v>
      </c>
      <c r="E29074" t="str">
        <v/>
      </c>
      <c r="F29074" t="str">
        <v>-</v>
      </c>
      <c r="G29074" t="str">
        <v>-</v>
      </c>
    </row>
    <row r="29075">
      <c r="B29075" t="str">
        <v>UBND Ủy ban nhân dân xã Hoằng Phong  tỉnh Thanh Hóa</v>
      </c>
      <c r="C29075" t="str">
        <v>-</v>
      </c>
      <c r="D29075" t="str">
        <v>-</v>
      </c>
      <c r="E29075" t="str">
        <v>-</v>
      </c>
      <c r="F29075" t="str">
        <v>-</v>
      </c>
      <c r="G29075" t="str">
        <v>-</v>
      </c>
    </row>
    <row r="29076">
      <c r="B29076" t="str">
        <v>Công an xã Hoằng Quý  tỉnh Thanh Hóa</v>
      </c>
      <c r="C29076" t="str">
        <v>-</v>
      </c>
      <c r="D29076" t="str">
        <v>-</v>
      </c>
      <c r="E29076" t="str">
        <v/>
      </c>
      <c r="F29076" t="str">
        <v>-</v>
      </c>
      <c r="G29076" t="str">
        <v>-</v>
      </c>
    </row>
    <row r="29077">
      <c r="B29077" t="str">
        <v>UBND Ủy ban nhân dân xã Hoằng Quý  tỉnh Thanh Hóa</v>
      </c>
      <c r="C29077" t="str">
        <v>-</v>
      </c>
      <c r="D29077" t="str">
        <v>-</v>
      </c>
      <c r="E29077" t="str">
        <v>-</v>
      </c>
      <c r="F29077" t="str">
        <v>-</v>
      </c>
      <c r="G29077" t="str">
        <v>-</v>
      </c>
    </row>
    <row r="29078">
      <c r="B29078" t="str">
        <v>Công an xã Hoằng Trung tỉnh Thanh Hóa</v>
      </c>
      <c r="C29078" t="str">
        <v>-</v>
      </c>
      <c r="D29078" t="str">
        <v>-</v>
      </c>
      <c r="E29078" t="str">
        <v/>
      </c>
      <c r="F29078" t="str">
        <v>-</v>
      </c>
      <c r="G29078" t="str">
        <v>-</v>
      </c>
    </row>
    <row r="29079">
      <c r="B29079" t="str">
        <v>UBND Ủy ban nhân dân xã Hoằng Trung tỉnh Thanh Hóa</v>
      </c>
      <c r="C29079" t="str">
        <v>-</v>
      </c>
      <c r="D29079" t="str">
        <v>-</v>
      </c>
      <c r="E29079" t="str">
        <v>-</v>
      </c>
      <c r="F29079" t="str">
        <v>-</v>
      </c>
      <c r="G29079" t="str">
        <v>-</v>
      </c>
    </row>
    <row r="29080">
      <c r="B29080" t="str">
        <v>Công an xã Hoằng Trường  tỉnh Thanh Hóa</v>
      </c>
      <c r="C29080" t="str">
        <v>-</v>
      </c>
      <c r="D29080" t="str">
        <v>-</v>
      </c>
      <c r="E29080" t="str">
        <v/>
      </c>
      <c r="F29080" t="str">
        <v>-</v>
      </c>
      <c r="G29080" t="str">
        <v>-</v>
      </c>
    </row>
    <row r="29081">
      <c r="B29081" t="str">
        <v>UBND Ủy ban nhân dân xã Hoằng Trường  tỉnh Thanh Hóa</v>
      </c>
      <c r="C29081" t="str">
        <v>-</v>
      </c>
      <c r="D29081" t="str">
        <v>-</v>
      </c>
      <c r="E29081" t="str">
        <v>-</v>
      </c>
      <c r="F29081" t="str">
        <v>-</v>
      </c>
      <c r="G29081" t="str">
        <v>-</v>
      </c>
    </row>
    <row r="29082">
      <c r="B29082" t="str">
        <v>Công an xã Hoành Sơn  tỉnh Nam Định</v>
      </c>
      <c r="C29082" t="str">
        <v>-</v>
      </c>
      <c r="D29082" t="str">
        <v>-</v>
      </c>
      <c r="E29082" t="str">
        <v/>
      </c>
      <c r="F29082" t="str">
        <v>-</v>
      </c>
      <c r="G29082" t="str">
        <v>-</v>
      </c>
    </row>
    <row r="29083">
      <c r="B29083" t="str">
        <v>UBND Ủy ban nhân dân xã Hoành Sơn  tỉnh Nam Định</v>
      </c>
      <c r="C29083" t="str">
        <v>-</v>
      </c>
      <c r="D29083" t="str">
        <v>-</v>
      </c>
      <c r="E29083" t="str">
        <v>-</v>
      </c>
      <c r="F29083" t="str">
        <v>-</v>
      </c>
      <c r="G29083" t="str">
        <v>-</v>
      </c>
    </row>
    <row r="29084">
      <c r="B29084" t="str">
        <v>Công an xã Hóa Phúc  tỉnh Quảng Bình</v>
      </c>
      <c r="C29084" t="str">
        <v>-</v>
      </c>
      <c r="D29084" t="str">
        <v>-</v>
      </c>
      <c r="E29084" t="str">
        <v/>
      </c>
      <c r="F29084" t="str">
        <v>-</v>
      </c>
      <c r="G29084" t="str">
        <v>-</v>
      </c>
    </row>
    <row r="29085">
      <c r="B29085" t="str">
        <v>UBND Ủy ban nhân dân xã Hóa Phúc  tỉnh Quảng Bình</v>
      </c>
      <c r="C29085" t="str">
        <v>-</v>
      </c>
      <c r="D29085" t="str">
        <v>-</v>
      </c>
      <c r="E29085" t="str">
        <v>-</v>
      </c>
      <c r="F29085" t="str">
        <v>-</v>
      </c>
      <c r="G29085" t="str">
        <v>-</v>
      </c>
    </row>
    <row r="29086">
      <c r="B29086" t="str">
        <v>Công an xã Hồng Bạch  tỉnh Thái Bình</v>
      </c>
      <c r="C29086" t="str">
        <v>-</v>
      </c>
      <c r="D29086" t="str">
        <v>-</v>
      </c>
      <c r="E29086" t="str">
        <v/>
      </c>
      <c r="F29086" t="str">
        <v>-</v>
      </c>
      <c r="G29086" t="str">
        <v>-</v>
      </c>
    </row>
    <row r="29087">
      <c r="B29087" t="str">
        <v>UBND Ủy ban nhân dân xã Hồng Bạch  tỉnh Thái Bình</v>
      </c>
      <c r="C29087" t="str">
        <v>-</v>
      </c>
      <c r="D29087" t="str">
        <v>-</v>
      </c>
      <c r="E29087" t="str">
        <v>-</v>
      </c>
      <c r="F29087" t="str">
        <v>-</v>
      </c>
      <c r="G29087" t="str">
        <v>-</v>
      </c>
    </row>
    <row r="29088">
      <c r="B29088" t="str">
        <v>Công an xã Hồng Việt  tỉnh Thái Bình</v>
      </c>
      <c r="C29088" t="str">
        <v>-</v>
      </c>
      <c r="D29088" t="str">
        <v>-</v>
      </c>
      <c r="E29088" t="str">
        <v/>
      </c>
      <c r="F29088" t="str">
        <v>-</v>
      </c>
      <c r="G29088" t="str">
        <v>-</v>
      </c>
    </row>
    <row r="29089">
      <c r="B29089" t="str">
        <v>UBND Ủy ban nhân dân xã Hồng Việt  tỉnh Thái Bình</v>
      </c>
      <c r="C29089" t="str">
        <v>-</v>
      </c>
      <c r="D29089" t="str">
        <v>-</v>
      </c>
      <c r="E29089" t="str">
        <v>-</v>
      </c>
      <c r="F29089" t="str">
        <v>-</v>
      </c>
      <c r="G29089" t="str">
        <v>-</v>
      </c>
    </row>
    <row r="29090">
      <c r="B29090" t="str">
        <v>Công an xã Hợp Phong  tỉnh Hòa Bình</v>
      </c>
      <c r="C29090" t="str">
        <v>-</v>
      </c>
      <c r="D29090" t="str">
        <v>-</v>
      </c>
      <c r="E29090" t="str">
        <v/>
      </c>
      <c r="F29090" t="str">
        <v>-</v>
      </c>
      <c r="G29090" t="str">
        <v>-</v>
      </c>
    </row>
    <row r="29091">
      <c r="B29091" t="str">
        <v>UBND Ủy ban nhân dân xã Hợp Phong  tỉnh Hòa Bình</v>
      </c>
      <c r="C29091" t="str">
        <v>-</v>
      </c>
      <c r="D29091" t="str">
        <v>-</v>
      </c>
      <c r="E29091" t="str">
        <v>-</v>
      </c>
      <c r="F29091" t="str">
        <v>-</v>
      </c>
      <c r="G29091" t="str">
        <v>-</v>
      </c>
    </row>
    <row r="29092">
      <c r="B29092" t="str">
        <v>Công an xã Hợp Thành  tỉnh Thanh Hóa</v>
      </c>
      <c r="C29092" t="str">
        <v>-</v>
      </c>
      <c r="D29092" t="str">
        <v>-</v>
      </c>
      <c r="E29092" t="str">
        <v/>
      </c>
      <c r="F29092" t="str">
        <v>-</v>
      </c>
      <c r="G29092" t="str">
        <v>-</v>
      </c>
    </row>
    <row r="29093">
      <c r="B29093" t="str">
        <v>UBND Ủy ban nhân dân xã Hợp Thành  tỉnh Thanh Hóa</v>
      </c>
      <c r="C29093" t="str">
        <v>-</v>
      </c>
      <c r="D29093" t="str">
        <v>-</v>
      </c>
      <c r="E29093" t="str">
        <v>-</v>
      </c>
      <c r="F29093" t="str">
        <v>-</v>
      </c>
      <c r="G29093" t="str">
        <v>-</v>
      </c>
    </row>
    <row r="29094">
      <c r="B29094" t="str">
        <v>Công an xã Hua La tỉnh Sơn La</v>
      </c>
      <c r="C29094" t="str">
        <v>-</v>
      </c>
      <c r="D29094" t="str">
        <v>-</v>
      </c>
      <c r="E29094" t="str">
        <v/>
      </c>
      <c r="F29094" t="str">
        <v>-</v>
      </c>
      <c r="G29094" t="str">
        <v>-</v>
      </c>
    </row>
    <row r="29095">
      <c r="B29095" t="str">
        <v>UBND Ủy ban nhân dân xã Hua La tỉnh Sơn La</v>
      </c>
      <c r="C29095" t="str">
        <v>-</v>
      </c>
      <c r="D29095" t="str">
        <v>-</v>
      </c>
      <c r="E29095" t="str">
        <v>-</v>
      </c>
      <c r="F29095" t="str">
        <v>-</v>
      </c>
      <c r="G29095" t="str">
        <v>-</v>
      </c>
    </row>
    <row r="29096">
      <c r="B29096" t="str">
        <v>Công an xã Hưng Mỹ tỉnh Nghệ An</v>
      </c>
      <c r="C29096" t="str">
        <v>-</v>
      </c>
      <c r="D29096" t="str">
        <v>-</v>
      </c>
      <c r="E29096" t="str">
        <v/>
      </c>
      <c r="F29096" t="str">
        <v>-</v>
      </c>
      <c r="G29096" t="str">
        <v>-</v>
      </c>
    </row>
    <row r="29097">
      <c r="B29097" t="str">
        <v>UBND Ủy ban nhân dân xã Hưng Mỹ tỉnh Nghệ An</v>
      </c>
      <c r="C29097" t="str">
        <v>-</v>
      </c>
      <c r="D29097" t="str">
        <v>-</v>
      </c>
      <c r="E29097" t="str">
        <v>-</v>
      </c>
      <c r="F29097" t="str">
        <v>-</v>
      </c>
      <c r="G29097" t="str">
        <v>-</v>
      </c>
    </row>
    <row r="29098">
      <c r="B29098" t="str">
        <v>Công an xã Ia Din  tỉnh Gia Lai</v>
      </c>
      <c r="C29098" t="str">
        <v>-</v>
      </c>
      <c r="D29098" t="str">
        <v>-</v>
      </c>
      <c r="E29098" t="str">
        <v/>
      </c>
      <c r="F29098" t="str">
        <v>-</v>
      </c>
      <c r="G29098" t="str">
        <v>-</v>
      </c>
    </row>
    <row r="29099">
      <c r="B29099" t="str">
        <v>UBND Ủy ban nhân dân xã Ia Din  tỉnh Gia Lai</v>
      </c>
      <c r="C29099" t="str">
        <v>-</v>
      </c>
      <c r="D29099" t="str">
        <v>-</v>
      </c>
      <c r="E29099" t="str">
        <v>-</v>
      </c>
      <c r="F29099" t="str">
        <v>-</v>
      </c>
      <c r="G29099" t="str">
        <v>-</v>
      </c>
    </row>
    <row r="29100">
      <c r="B29100" t="str">
        <v>Công an xã Ia Mơ Nông  tỉnh Gia Lai</v>
      </c>
      <c r="C29100" t="str">
        <v>-</v>
      </c>
      <c r="D29100" t="str">
        <v>-</v>
      </c>
      <c r="E29100" t="str">
        <v/>
      </c>
      <c r="F29100" t="str">
        <v>-</v>
      </c>
      <c r="G29100" t="str">
        <v>-</v>
      </c>
    </row>
    <row r="29101">
      <c r="B29101" t="str">
        <v>UBND Ủy ban nhân dân xã Ia Mơ Nông  tỉnh Gia Lai</v>
      </c>
      <c r="C29101" t="str">
        <v>-</v>
      </c>
      <c r="D29101" t="str">
        <v>-</v>
      </c>
      <c r="E29101" t="str">
        <v>-</v>
      </c>
      <c r="F29101" t="str">
        <v>-</v>
      </c>
      <c r="G29101" t="str">
        <v>-</v>
      </c>
    </row>
    <row r="29102">
      <c r="B29102" t="str">
        <v>Công an xã Khám Lạng  tỉnh Bắc Giang</v>
      </c>
      <c r="C29102" t="str">
        <v>-</v>
      </c>
      <c r="D29102" t="str">
        <v>-</v>
      </c>
      <c r="E29102" t="str">
        <v/>
      </c>
      <c r="F29102" t="str">
        <v>-</v>
      </c>
      <c r="G29102" t="str">
        <v>-</v>
      </c>
    </row>
    <row r="29103">
      <c r="B29103" t="str">
        <v>UBND Ủy ban nhân dân xã Khám Lạng  tỉnh Bắc Giang</v>
      </c>
      <c r="C29103" t="str">
        <v>-</v>
      </c>
      <c r="D29103" t="str">
        <v>-</v>
      </c>
      <c r="E29103" t="str">
        <v>-</v>
      </c>
      <c r="F29103" t="str">
        <v>-</v>
      </c>
      <c r="G29103" t="str">
        <v>-</v>
      </c>
    </row>
    <row r="29104">
      <c r="B29104" t="str">
        <v>Công an xã Khánh Cường  tỉnh Ninh Bình</v>
      </c>
      <c r="C29104" t="str">
        <v>-</v>
      </c>
      <c r="D29104" t="str">
        <v>-</v>
      </c>
      <c r="E29104" t="str">
        <v/>
      </c>
      <c r="F29104" t="str">
        <v>-</v>
      </c>
      <c r="G29104" t="str">
        <v>-</v>
      </c>
    </row>
    <row r="29105">
      <c r="B29105" t="str">
        <v>UBND Ủy ban nhân dân xã Khánh Cường  tỉnh Ninh Bình</v>
      </c>
      <c r="C29105" t="str">
        <v>-</v>
      </c>
      <c r="D29105" t="str">
        <v>-</v>
      </c>
      <c r="E29105" t="str">
        <v>-</v>
      </c>
      <c r="F29105" t="str">
        <v>-</v>
      </c>
      <c r="G29105" t="str">
        <v>-</v>
      </c>
    </row>
    <row r="29106">
      <c r="B29106" t="str">
        <v>Công an xã Khánh Tiên  tỉnh Ninh Bình</v>
      </c>
      <c r="C29106" t="str">
        <v>-</v>
      </c>
      <c r="D29106" t="str">
        <v>-</v>
      </c>
      <c r="E29106" t="str">
        <v/>
      </c>
      <c r="F29106" t="str">
        <v>-</v>
      </c>
      <c r="G29106" t="str">
        <v>-</v>
      </c>
    </row>
    <row r="29107">
      <c r="B29107" t="str">
        <v>UBND Ủy ban nhân dân xã Khánh Tiên  tỉnh Ninh Bình</v>
      </c>
      <c r="C29107" t="str">
        <v>-</v>
      </c>
      <c r="D29107" t="str">
        <v>-</v>
      </c>
      <c r="E29107" t="str">
        <v>-</v>
      </c>
      <c r="F29107" t="str">
        <v>-</v>
      </c>
      <c r="G29107" t="str">
        <v>-</v>
      </c>
    </row>
    <row r="29108">
      <c r="B29108" t="str">
        <v>Công an xã Khánh Vân  tỉnh Ninh Bình</v>
      </c>
      <c r="C29108" t="str">
        <v>-</v>
      </c>
      <c r="D29108" t="str">
        <v>-</v>
      </c>
      <c r="E29108" t="str">
        <v/>
      </c>
      <c r="F29108" t="str">
        <v>-</v>
      </c>
      <c r="G29108" t="str">
        <v>-</v>
      </c>
    </row>
    <row r="29109">
      <c r="B29109" t="str">
        <v>UBND Ủy ban nhân dân xã Khánh Vân  tỉnh Ninh Bình</v>
      </c>
      <c r="C29109" t="str">
        <v>-</v>
      </c>
      <c r="D29109" t="str">
        <v>-</v>
      </c>
      <c r="E29109" t="str">
        <v>-</v>
      </c>
      <c r="F29109" t="str">
        <v>-</v>
      </c>
      <c r="G29109" t="str">
        <v>-</v>
      </c>
    </row>
    <row r="29110">
      <c r="B29110" t="str">
        <v>Công an xã Khôi Kỳ  tỉnh Thái Nguyên</v>
      </c>
      <c r="C29110" t="str">
        <v>-</v>
      </c>
      <c r="D29110" t="str">
        <v>-</v>
      </c>
      <c r="E29110" t="str">
        <v/>
      </c>
      <c r="F29110" t="str">
        <v>-</v>
      </c>
      <c r="G29110" t="str">
        <v>-</v>
      </c>
    </row>
    <row r="29111">
      <c r="B29111" t="str">
        <v>UBND Ủy ban nhân dân xã Khôi Kỳ  tỉnh Thái Nguyên</v>
      </c>
      <c r="C29111" t="str">
        <v>-</v>
      </c>
      <c r="D29111" t="str">
        <v>-</v>
      </c>
      <c r="E29111" t="str">
        <v>-</v>
      </c>
      <c r="F29111" t="str">
        <v>-</v>
      </c>
      <c r="G29111" t="str">
        <v>-</v>
      </c>
    </row>
    <row r="29112">
      <c r="B29112" t="str">
        <v>Công an xã Kim Chính  tỉnh Ninh Bình</v>
      </c>
      <c r="C29112" t="str">
        <v>-</v>
      </c>
      <c r="D29112" t="str">
        <v>-</v>
      </c>
      <c r="E29112" t="str">
        <v/>
      </c>
      <c r="F29112" t="str">
        <v>-</v>
      </c>
      <c r="G29112" t="str">
        <v>-</v>
      </c>
    </row>
    <row r="29113">
      <c r="B29113" t="str">
        <v>UBND Ủy ban nhân dân xã Kim Chính  tỉnh Ninh Bình</v>
      </c>
      <c r="C29113" t="str">
        <v>-</v>
      </c>
      <c r="D29113" t="str">
        <v>-</v>
      </c>
      <c r="E29113" t="str">
        <v>-</v>
      </c>
      <c r="F29113" t="str">
        <v>-</v>
      </c>
      <c r="G29113" t="str">
        <v>-</v>
      </c>
    </row>
    <row r="29114">
      <c r="B29114" t="str">
        <v>Công an xã Kim Lập tỉnh Hòa Bình</v>
      </c>
      <c r="C29114" t="str">
        <v>-</v>
      </c>
      <c r="D29114" t="str">
        <v>-</v>
      </c>
      <c r="E29114" t="str">
        <v/>
      </c>
      <c r="F29114" t="str">
        <v>-</v>
      </c>
      <c r="G29114" t="str">
        <v>-</v>
      </c>
    </row>
    <row r="29115">
      <c r="B29115" t="str">
        <v>UBND Ủy ban nhân dân xã Kim Lập tỉnh Hòa Bình</v>
      </c>
      <c r="C29115" t="str">
        <v>-</v>
      </c>
      <c r="D29115" t="str">
        <v>-</v>
      </c>
      <c r="E29115" t="str">
        <v>-</v>
      </c>
      <c r="F29115" t="str">
        <v>-</v>
      </c>
      <c r="G29115" t="str">
        <v>-</v>
      </c>
    </row>
    <row r="29116">
      <c r="B29116" t="str">
        <v>Công an xã Kon Thụp  tỉnh Gia Lai</v>
      </c>
      <c r="C29116" t="str">
        <v>-</v>
      </c>
      <c r="D29116" t="str">
        <v>-</v>
      </c>
      <c r="E29116" t="str">
        <v/>
      </c>
      <c r="F29116" t="str">
        <v>-</v>
      </c>
      <c r="G29116" t="str">
        <v>-</v>
      </c>
    </row>
    <row r="29117">
      <c r="B29117" t="str">
        <v>UBND Ủy ban nhân dân xã Kon Thụp  tỉnh Gia Lai</v>
      </c>
      <c r="C29117" t="str">
        <v>-</v>
      </c>
      <c r="D29117" t="str">
        <v>-</v>
      </c>
      <c r="E29117" t="str">
        <v>-</v>
      </c>
      <c r="F29117" t="str">
        <v>-</v>
      </c>
      <c r="G29117" t="str">
        <v>-</v>
      </c>
    </row>
    <row r="29118">
      <c r="B29118" t="str">
        <v>Công an xã Kỳ Thượng  tỉnh Hà Tĩnh</v>
      </c>
      <c r="C29118" t="str">
        <v>-</v>
      </c>
      <c r="D29118" t="str">
        <v>-</v>
      </c>
      <c r="E29118" t="str">
        <v/>
      </c>
      <c r="F29118" t="str">
        <v>-</v>
      </c>
      <c r="G29118" t="str">
        <v>-</v>
      </c>
    </row>
    <row r="29119">
      <c r="B29119" t="str">
        <v>UBND Ủy ban nhân dân xã Kỳ Thượng  tỉnh Hà Tĩnh</v>
      </c>
      <c r="C29119" t="str">
        <v>-</v>
      </c>
      <c r="D29119" t="str">
        <v>-</v>
      </c>
      <c r="E29119" t="str">
        <v>-</v>
      </c>
      <c r="F29119" t="str">
        <v>-</v>
      </c>
      <c r="G29119" t="str">
        <v>-</v>
      </c>
    </row>
    <row r="29120">
      <c r="B29120" t="str">
        <v>Công an xã Kỳ Tiến  tỉnh Hà Tĩnh</v>
      </c>
      <c r="C29120" t="str">
        <v>-</v>
      </c>
      <c r="D29120" t="str">
        <v>-</v>
      </c>
      <c r="E29120" t="str">
        <v/>
      </c>
      <c r="F29120" t="str">
        <v>-</v>
      </c>
      <c r="G29120" t="str">
        <v>-</v>
      </c>
    </row>
    <row r="29121">
      <c r="B29121" t="str">
        <v>UBND Ủy ban nhân dân xã Kỳ Tiến  tỉnh Hà Tĩnh</v>
      </c>
      <c r="C29121" t="str">
        <v>-</v>
      </c>
      <c r="D29121" t="str">
        <v>-</v>
      </c>
      <c r="E29121" t="str">
        <v>-</v>
      </c>
      <c r="F29121" t="str">
        <v>-</v>
      </c>
      <c r="G29121" t="str">
        <v>-</v>
      </c>
    </row>
    <row r="29122">
      <c r="B29122" t="str">
        <v>Công an xã Lạc Vệ  tỉnh Bắc Ninh</v>
      </c>
      <c r="C29122" t="str">
        <v>-</v>
      </c>
      <c r="D29122" t="str">
        <v>-</v>
      </c>
      <c r="E29122" t="str">
        <v/>
      </c>
      <c r="F29122" t="str">
        <v>-</v>
      </c>
      <c r="G29122" t="str">
        <v>-</v>
      </c>
    </row>
    <row r="29123">
      <c r="B29123" t="str">
        <v>UBND Ủy ban nhân dân xã Lạc Vệ  tỉnh Bắc Ninh</v>
      </c>
      <c r="C29123" t="str">
        <v>-</v>
      </c>
      <c r="D29123" t="str">
        <v>-</v>
      </c>
      <c r="E29123" t="str">
        <v>-</v>
      </c>
      <c r="F29123" t="str">
        <v>-</v>
      </c>
      <c r="G29123" t="str">
        <v>-</v>
      </c>
    </row>
    <row r="29124">
      <c r="B29124" t="str">
        <v>Công an xã Lại Sơn  tỉnh Kiên Giang</v>
      </c>
      <c r="C29124" t="str">
        <v>-</v>
      </c>
      <c r="D29124" t="str">
        <v>-</v>
      </c>
      <c r="E29124" t="str">
        <v/>
      </c>
      <c r="F29124" t="str">
        <v>-</v>
      </c>
      <c r="G29124" t="str">
        <v>-</v>
      </c>
    </row>
    <row r="29125">
      <c r="B29125" t="str">
        <v>UBND Ủy ban nhân dân xã Lại Sơn  tỉnh Kiên Giang</v>
      </c>
      <c r="C29125" t="str">
        <v>-</v>
      </c>
      <c r="D29125" t="str">
        <v>-</v>
      </c>
      <c r="E29125" t="str">
        <v>-</v>
      </c>
      <c r="F29125" t="str">
        <v>-</v>
      </c>
      <c r="G29125" t="str">
        <v>-</v>
      </c>
    </row>
    <row r="29126">
      <c r="B29126" t="str">
        <v>Công an xã Lâm Hợp  tỉnh Hà Tĩnh</v>
      </c>
      <c r="C29126" t="str">
        <v>-</v>
      </c>
      <c r="D29126" t="str">
        <v>-</v>
      </c>
      <c r="E29126" t="str">
        <v/>
      </c>
      <c r="F29126" t="str">
        <v>-</v>
      </c>
      <c r="G29126" t="str">
        <v>-</v>
      </c>
    </row>
    <row r="29127">
      <c r="B29127" t="str">
        <v>UBND Ủy ban nhân dân xã Lâm Hợp  tỉnh Hà Tĩnh</v>
      </c>
      <c r="C29127" t="str">
        <v>-</v>
      </c>
      <c r="D29127" t="str">
        <v>-</v>
      </c>
      <c r="E29127" t="str">
        <v>-</v>
      </c>
      <c r="F29127" t="str">
        <v>-</v>
      </c>
      <c r="G29127" t="str">
        <v>-</v>
      </c>
    </row>
    <row r="29128">
      <c r="B29128" t="str">
        <v>Công an xã Lãng Sơn  tỉnh Bắc Giang</v>
      </c>
      <c r="C29128" t="str">
        <v>-</v>
      </c>
      <c r="D29128" t="str">
        <v>-</v>
      </c>
      <c r="E29128" t="str">
        <v/>
      </c>
      <c r="F29128" t="str">
        <v>-</v>
      </c>
      <c r="G29128" t="str">
        <v>-</v>
      </c>
    </row>
    <row r="29129">
      <c r="B29129" t="str">
        <v>UBND Ủy ban nhân dân xã Lãng Sơn  tỉnh Bắc Giang</v>
      </c>
      <c r="C29129" t="str">
        <v>-</v>
      </c>
      <c r="D29129" t="str">
        <v>-</v>
      </c>
      <c r="E29129" t="str">
        <v>-</v>
      </c>
      <c r="F29129" t="str">
        <v>-</v>
      </c>
      <c r="G29129" t="str">
        <v>-</v>
      </c>
    </row>
    <row r="29130">
      <c r="B29130" t="str">
        <v>Công an xã Liên Lộc  tỉnh Thanh Hóa</v>
      </c>
      <c r="C29130" t="str">
        <v>-</v>
      </c>
      <c r="D29130" t="str">
        <v>-</v>
      </c>
      <c r="E29130" t="str">
        <v/>
      </c>
      <c r="F29130" t="str">
        <v>-</v>
      </c>
      <c r="G29130" t="str">
        <v>-</v>
      </c>
    </row>
    <row r="29131">
      <c r="B29131" t="str">
        <v>UBND Ủy ban nhân dân xã Liên Lộc  tỉnh Thanh Hóa</v>
      </c>
      <c r="C29131" t="str">
        <v>-</v>
      </c>
      <c r="D29131" t="str">
        <v>-</v>
      </c>
      <c r="E29131" t="str">
        <v>-</v>
      </c>
      <c r="F29131" t="str">
        <v>-</v>
      </c>
      <c r="G29131" t="str">
        <v>-</v>
      </c>
    </row>
    <row r="29132">
      <c r="B29132" t="str">
        <v>Công an xã Liên Minh  tỉnh Thái Nguyên</v>
      </c>
      <c r="C29132" t="str">
        <v>-</v>
      </c>
      <c r="D29132" t="str">
        <v>-</v>
      </c>
      <c r="E29132" t="str">
        <v/>
      </c>
      <c r="F29132" t="str">
        <v>-</v>
      </c>
      <c r="G29132" t="str">
        <v>-</v>
      </c>
    </row>
    <row r="29133">
      <c r="B29133" t="str">
        <v>UBND Ủy ban nhân dân xã Liên Minh  tỉnh Thái Nguyên</v>
      </c>
      <c r="C29133" t="str">
        <v>-</v>
      </c>
      <c r="D29133" t="str">
        <v>-</v>
      </c>
      <c r="E29133" t="str">
        <v>-</v>
      </c>
      <c r="F29133" t="str">
        <v>-</v>
      </c>
      <c r="G29133" t="str">
        <v>-</v>
      </c>
    </row>
    <row r="29134">
      <c r="B29134" t="str">
        <v>Công an xã Liên Nghĩa tỉnh Hưng Yên</v>
      </c>
      <c r="C29134" t="str">
        <v>-</v>
      </c>
      <c r="D29134" t="str">
        <v>-</v>
      </c>
      <c r="E29134" t="str">
        <v/>
      </c>
      <c r="F29134" t="str">
        <v>-</v>
      </c>
      <c r="G29134" t="str">
        <v>-</v>
      </c>
    </row>
    <row r="29135">
      <c r="B29135" t="str">
        <v>UBND Ủy ban nhân dân xã Liên Nghĩa tỉnh Hưng Yên</v>
      </c>
      <c r="C29135" t="str">
        <v>-</v>
      </c>
      <c r="D29135" t="str">
        <v>-</v>
      </c>
      <c r="E29135" t="str">
        <v>-</v>
      </c>
      <c r="F29135" t="str">
        <v>-</v>
      </c>
      <c r="G29135" t="str">
        <v>-</v>
      </c>
    </row>
    <row r="29136">
      <c r="B29136" t="str">
        <v>Công an xã Long Điền  tỉnh Bạc Liêu</v>
      </c>
      <c r="C29136" t="str">
        <v>-</v>
      </c>
      <c r="D29136" t="str">
        <v>-</v>
      </c>
      <c r="E29136" t="str">
        <v/>
      </c>
      <c r="F29136" t="str">
        <v>-</v>
      </c>
      <c r="G29136" t="str">
        <v>-</v>
      </c>
    </row>
    <row r="29137">
      <c r="B29137" t="str">
        <v>UBND Ủy ban nhân dân xã Long Điền  tỉnh Bạc Liêu</v>
      </c>
      <c r="C29137" t="str">
        <v>-</v>
      </c>
      <c r="D29137" t="str">
        <v>-</v>
      </c>
      <c r="E29137" t="str">
        <v>-</v>
      </c>
      <c r="F29137" t="str">
        <v>-</v>
      </c>
      <c r="G29137" t="str">
        <v>-</v>
      </c>
    </row>
    <row r="29138">
      <c r="B29138" t="str">
        <v>Công an xã Lóng Luông  tỉnh Sơn La</v>
      </c>
      <c r="C29138" t="str">
        <v>-</v>
      </c>
      <c r="D29138" t="str">
        <v>-</v>
      </c>
      <c r="E29138" t="str">
        <v/>
      </c>
      <c r="F29138" t="str">
        <v>-</v>
      </c>
      <c r="G29138" t="str">
        <v>-</v>
      </c>
    </row>
    <row r="29139">
      <c r="B29139" t="str">
        <v>UBND Ủy ban nhân dân xã Lóng Luông  tỉnh Sơn La</v>
      </c>
      <c r="C29139" t="str">
        <v>-</v>
      </c>
      <c r="D29139" t="str">
        <v>-</v>
      </c>
      <c r="E29139" t="str">
        <v>-</v>
      </c>
      <c r="F29139" t="str">
        <v>-</v>
      </c>
      <c r="G29139" t="str">
        <v>-</v>
      </c>
    </row>
    <row r="29140">
      <c r="B29140" t="str">
        <v>Công an xã Long Toàn tỉnh Trà Vinh</v>
      </c>
      <c r="C29140" t="str">
        <v>-</v>
      </c>
      <c r="D29140" t="str">
        <v>-</v>
      </c>
      <c r="E29140" t="str">
        <v/>
      </c>
      <c r="F29140" t="str">
        <v>-</v>
      </c>
      <c r="G29140" t="str">
        <v>-</v>
      </c>
    </row>
    <row r="29141">
      <c r="B29141" t="str">
        <v>UBND Ủy ban nhân dân xã Long Toàn tỉnh Trà Vinh</v>
      </c>
      <c r="C29141" t="str">
        <v>-</v>
      </c>
      <c r="D29141" t="str">
        <v>-</v>
      </c>
      <c r="E29141" t="str">
        <v>-</v>
      </c>
      <c r="F29141" t="str">
        <v>-</v>
      </c>
      <c r="G29141" t="str">
        <v>-</v>
      </c>
    </row>
    <row r="29142">
      <c r="B29142" t="str">
        <v>Công an xã Lũng Niêm  tỉnh Thanh Hóa</v>
      </c>
      <c r="C29142" t="str">
        <v>-</v>
      </c>
      <c r="D29142" t="str">
        <v>-</v>
      </c>
      <c r="E29142" t="str">
        <v/>
      </c>
      <c r="F29142" t="str">
        <v>-</v>
      </c>
      <c r="G29142" t="str">
        <v>-</v>
      </c>
    </row>
    <row r="29143">
      <c r="B29143" t="str">
        <v>UBND Ủy ban nhân dân xã Lũng Niêm  tỉnh Thanh Hóa</v>
      </c>
      <c r="C29143" t="str">
        <v>-</v>
      </c>
      <c r="D29143" t="str">
        <v>-</v>
      </c>
      <c r="E29143" t="str">
        <v>-</v>
      </c>
      <c r="F29143" t="str">
        <v>-</v>
      </c>
      <c r="G29143" t="str">
        <v>-</v>
      </c>
    </row>
    <row r="29144">
      <c r="B29144" t="str">
        <v>Công an xã Lương Sơn  tỉnh Thanh Hóa</v>
      </c>
      <c r="C29144" t="str">
        <v>-</v>
      </c>
      <c r="D29144" t="str">
        <v>-</v>
      </c>
      <c r="E29144" t="str">
        <v/>
      </c>
      <c r="F29144" t="str">
        <v>-</v>
      </c>
      <c r="G29144" t="str">
        <v>-</v>
      </c>
    </row>
    <row r="29145">
      <c r="B29145" t="str">
        <v>UBND Ủy ban nhân dân xã Lương Sơn  tỉnh Thanh Hóa</v>
      </c>
      <c r="C29145" t="str">
        <v>-</v>
      </c>
      <c r="D29145" t="str">
        <v>-</v>
      </c>
      <c r="E29145" t="str">
        <v>-</v>
      </c>
      <c r="F29145" t="str">
        <v>-</v>
      </c>
      <c r="G29145" t="str">
        <v>-</v>
      </c>
    </row>
    <row r="29146">
      <c r="B29146" t="str">
        <v>Công an xã Mai Hạ  tỉnh Hòa Bình</v>
      </c>
      <c r="C29146" t="str">
        <v>-</v>
      </c>
      <c r="D29146" t="str">
        <v>-</v>
      </c>
      <c r="E29146" t="str">
        <v/>
      </c>
      <c r="F29146" t="str">
        <v>-</v>
      </c>
      <c r="G29146" t="str">
        <v>-</v>
      </c>
    </row>
    <row r="29147">
      <c r="B29147" t="str">
        <v>UBND Ủy ban nhân dân xã Mai Hạ  tỉnh Hòa Bình</v>
      </c>
      <c r="C29147" t="str">
        <v>-</v>
      </c>
      <c r="D29147" t="str">
        <v>-</v>
      </c>
      <c r="E29147" t="str">
        <v>-</v>
      </c>
      <c r="F29147" t="str">
        <v>-</v>
      </c>
      <c r="G29147" t="str">
        <v>-</v>
      </c>
    </row>
    <row r="29148">
      <c r="B29148" t="str">
        <v>Công an xã Minh Phú  tỉnh Thái Bình</v>
      </c>
      <c r="C29148" t="str">
        <v>-</v>
      </c>
      <c r="D29148" t="str">
        <v>-</v>
      </c>
      <c r="E29148" t="str">
        <v/>
      </c>
      <c r="F29148" t="str">
        <v>-</v>
      </c>
      <c r="G29148" t="str">
        <v>-</v>
      </c>
    </row>
    <row r="29149">
      <c r="B29149" t="str">
        <v>UBND Ủy ban nhân dân xã Minh Phú  tỉnh Thái Bình</v>
      </c>
      <c r="C29149" t="str">
        <v>-</v>
      </c>
      <c r="D29149" t="str">
        <v>-</v>
      </c>
      <c r="E29149" t="str">
        <v>-</v>
      </c>
      <c r="F29149" t="str">
        <v>-</v>
      </c>
      <c r="G29149" t="str">
        <v>-</v>
      </c>
    </row>
    <row r="29150">
      <c r="B29150" t="str">
        <v>Công an xã Minh Tân tỉnh Thái Bình</v>
      </c>
      <c r="C29150" t="str">
        <v>-</v>
      </c>
      <c r="D29150" t="str">
        <v>-</v>
      </c>
      <c r="E29150" t="str">
        <v/>
      </c>
      <c r="F29150" t="str">
        <v>-</v>
      </c>
      <c r="G29150" t="str">
        <v>-</v>
      </c>
    </row>
    <row r="29151">
      <c r="B29151" t="str">
        <v>UBND Ủy ban nhân dân xã Minh Tân tỉnh Thái Bình</v>
      </c>
      <c r="C29151" t="str">
        <v>-</v>
      </c>
      <c r="D29151" t="str">
        <v>-</v>
      </c>
      <c r="E29151" t="str">
        <v>-</v>
      </c>
      <c r="F29151" t="str">
        <v>-</v>
      </c>
      <c r="G29151" t="str">
        <v>-</v>
      </c>
    </row>
    <row r="29152">
      <c r="B29152" t="str">
        <v>Công an xã Minh Thanh  tỉnh Tuyên Quang</v>
      </c>
      <c r="C29152" t="str">
        <v>-</v>
      </c>
      <c r="D29152" t="str">
        <v>-</v>
      </c>
      <c r="E29152" t="str">
        <v/>
      </c>
      <c r="F29152" t="str">
        <v>-</v>
      </c>
      <c r="G29152" t="str">
        <v>-</v>
      </c>
    </row>
    <row r="29153">
      <c r="B29153" t="str">
        <v>UBND Ủy ban nhân dân xã Minh Thanh  tỉnh Tuyên Quang</v>
      </c>
      <c r="C29153" t="str">
        <v>-</v>
      </c>
      <c r="D29153" t="str">
        <v>-</v>
      </c>
      <c r="E29153" t="str">
        <v>-</v>
      </c>
      <c r="F29153" t="str">
        <v>-</v>
      </c>
      <c r="G29153" t="str">
        <v>-</v>
      </c>
    </row>
    <row r="29154">
      <c r="B29154" t="str">
        <v>Công an xã Mường Do tỉnh Sơn La</v>
      </c>
      <c r="C29154" t="str">
        <v>-</v>
      </c>
      <c r="D29154" t="str">
        <v>-</v>
      </c>
      <c r="E29154" t="str">
        <v/>
      </c>
      <c r="F29154" t="str">
        <v>-</v>
      </c>
      <c r="G29154" t="str">
        <v>-</v>
      </c>
    </row>
    <row r="29155">
      <c r="B29155" t="str">
        <v>UBND Ủy ban nhân dân xã Mường Do tỉnh Sơn La</v>
      </c>
      <c r="C29155" t="str">
        <v>-</v>
      </c>
      <c r="D29155" t="str">
        <v>-</v>
      </c>
      <c r="E29155" t="str">
        <v>-</v>
      </c>
      <c r="F29155" t="str">
        <v>-</v>
      </c>
      <c r="G29155" t="str">
        <v>-</v>
      </c>
    </row>
    <row r="29156">
      <c r="B29156" t="str">
        <v>Công an xã Mường É  tỉnh Sơn La</v>
      </c>
      <c r="C29156" t="str">
        <v>-</v>
      </c>
      <c r="D29156" t="str">
        <v>-</v>
      </c>
      <c r="E29156" t="str">
        <v/>
      </c>
      <c r="F29156" t="str">
        <v>-</v>
      </c>
      <c r="G29156" t="str">
        <v>-</v>
      </c>
    </row>
    <row r="29157">
      <c r="B29157" t="str">
        <v>UBND Ủy ban nhân dân xã Mường É  tỉnh Sơn La</v>
      </c>
      <c r="C29157" t="str">
        <v>-</v>
      </c>
      <c r="D29157" t="str">
        <v>-</v>
      </c>
      <c r="E29157" t="str">
        <v>-</v>
      </c>
      <c r="F29157" t="str">
        <v>-</v>
      </c>
      <c r="G29157" t="str">
        <v>-</v>
      </c>
    </row>
    <row r="29158">
      <c r="B29158" t="str">
        <v>Công an xã Mường Khong  tỉnh Điện Biên</v>
      </c>
      <c r="C29158" t="str">
        <v>-</v>
      </c>
      <c r="D29158" t="str">
        <v>-</v>
      </c>
      <c r="E29158" t="str">
        <v/>
      </c>
      <c r="F29158" t="str">
        <v>-</v>
      </c>
      <c r="G29158" t="str">
        <v>-</v>
      </c>
    </row>
    <row r="29159">
      <c r="B29159" t="str">
        <v>UBND Ủy ban nhân dân xã Mường Khong  tỉnh Điện Biên</v>
      </c>
      <c r="C29159" t="str">
        <v>-</v>
      </c>
      <c r="D29159" t="str">
        <v>-</v>
      </c>
      <c r="E29159" t="str">
        <v>-</v>
      </c>
      <c r="F29159" t="str">
        <v>-</v>
      </c>
      <c r="G29159" t="str">
        <v>-</v>
      </c>
    </row>
    <row r="29160">
      <c r="B29160" t="str">
        <v>Công an xã Mường Lạn tỉnh Sơn La</v>
      </c>
      <c r="C29160" t="str">
        <v>-</v>
      </c>
      <c r="D29160" t="str">
        <v>-</v>
      </c>
      <c r="E29160" t="str">
        <v/>
      </c>
      <c r="F29160" t="str">
        <v>-</v>
      </c>
      <c r="G29160" t="str">
        <v>-</v>
      </c>
    </row>
    <row r="29161">
      <c r="B29161" t="str">
        <v>UBND Ủy ban nhân dân xã Mường Lạn tỉnh Sơn La</v>
      </c>
      <c r="C29161" t="str">
        <v>-</v>
      </c>
      <c r="D29161" t="str">
        <v>-</v>
      </c>
      <c r="E29161" t="str">
        <v>-</v>
      </c>
      <c r="F29161" t="str">
        <v>-</v>
      </c>
      <c r="G29161" t="str">
        <v>-</v>
      </c>
    </row>
    <row r="29162">
      <c r="B29162" t="str">
        <v>Công an xã Mường Lang tỉnh Sơn La</v>
      </c>
      <c r="C29162" t="str">
        <v>-</v>
      </c>
      <c r="D29162" t="str">
        <v>-</v>
      </c>
      <c r="E29162" t="str">
        <v/>
      </c>
      <c r="F29162" t="str">
        <v>-</v>
      </c>
      <c r="G29162" t="str">
        <v>-</v>
      </c>
    </row>
    <row r="29163">
      <c r="B29163" t="str">
        <v>UBND Ủy ban nhân dân xã Mường Lang tỉnh Sơn La</v>
      </c>
      <c r="C29163" t="str">
        <v>-</v>
      </c>
      <c r="D29163" t="str">
        <v>-</v>
      </c>
      <c r="E29163" t="str">
        <v>-</v>
      </c>
      <c r="F29163" t="str">
        <v>-</v>
      </c>
      <c r="G29163" t="str">
        <v>-</v>
      </c>
    </row>
    <row r="29164">
      <c r="B29164" t="str">
        <v>Công an xã Mường Lý  tỉnh Thanh Hóa</v>
      </c>
      <c r="C29164" t="str">
        <v>-</v>
      </c>
      <c r="D29164" t="str">
        <v>-</v>
      </c>
      <c r="E29164" t="str">
        <v/>
      </c>
      <c r="F29164" t="str">
        <v>-</v>
      </c>
      <c r="G29164" t="str">
        <v>-</v>
      </c>
    </row>
    <row r="29165">
      <c r="B29165" t="str">
        <v>UBND Ủy ban nhân dân xã Mường Lý  tỉnh Thanh Hóa</v>
      </c>
      <c r="C29165" t="str">
        <v>-</v>
      </c>
      <c r="D29165" t="str">
        <v>-</v>
      </c>
      <c r="E29165" t="str">
        <v>-</v>
      </c>
      <c r="F29165" t="str">
        <v>-</v>
      </c>
      <c r="G29165" t="str">
        <v>-</v>
      </c>
    </row>
    <row r="29166">
      <c r="B29166" t="str">
        <v>Công an xã Mường Phăng tỉnh Điện Biên</v>
      </c>
      <c r="C29166" t="str">
        <v>-</v>
      </c>
      <c r="D29166" t="str">
        <v>-</v>
      </c>
      <c r="E29166" t="str">
        <v/>
      </c>
      <c r="F29166" t="str">
        <v>-</v>
      </c>
      <c r="G29166" t="str">
        <v>-</v>
      </c>
    </row>
    <row r="29167">
      <c r="B29167" t="str">
        <v>UBND Ủy ban nhân dân xã Mường Phăng tỉnh Điện Biên</v>
      </c>
      <c r="C29167" t="str">
        <v>-</v>
      </c>
      <c r="D29167" t="str">
        <v>-</v>
      </c>
      <c r="E29167" t="str">
        <v>-</v>
      </c>
      <c r="F29167" t="str">
        <v>-</v>
      </c>
      <c r="G29167" t="str">
        <v>-</v>
      </c>
    </row>
    <row r="29168">
      <c r="B29168" t="str">
        <v>Công an xã Mỹ An  tỉnh Bến Tre</v>
      </c>
      <c r="C29168" t="str">
        <v>-</v>
      </c>
      <c r="D29168" t="str">
        <v>-</v>
      </c>
      <c r="E29168" t="str">
        <v/>
      </c>
      <c r="F29168" t="str">
        <v>-</v>
      </c>
      <c r="G29168" t="str">
        <v>-</v>
      </c>
    </row>
    <row r="29169">
      <c r="B29169" t="str">
        <v>UBND Ủy ban nhân dân xã Mỹ An  tỉnh Bến Tre</v>
      </c>
      <c r="C29169" t="str">
        <v>-</v>
      </c>
      <c r="D29169" t="str">
        <v>-</v>
      </c>
      <c r="E29169" t="str">
        <v>-</v>
      </c>
      <c r="F29169" t="str">
        <v>-</v>
      </c>
      <c r="G29169" t="str">
        <v>-</v>
      </c>
    </row>
    <row r="29170">
      <c r="B29170" t="str">
        <v>Công an xã Mỹ Chánh Tây  tỉnh Bình Định</v>
      </c>
      <c r="C29170" t="str">
        <v>-</v>
      </c>
      <c r="D29170" t="str">
        <v>-</v>
      </c>
      <c r="E29170" t="str">
        <v/>
      </c>
      <c r="F29170" t="str">
        <v>-</v>
      </c>
      <c r="G29170" t="str">
        <v>-</v>
      </c>
    </row>
    <row r="29171">
      <c r="B29171" t="str">
        <v>UBND Ủy ban nhân dân xã Mỹ Chánh Tây  tỉnh Bình Định</v>
      </c>
      <c r="C29171" t="str">
        <v>-</v>
      </c>
      <c r="D29171" t="str">
        <v>-</v>
      </c>
      <c r="E29171" t="str">
        <v>-</v>
      </c>
      <c r="F29171" t="str">
        <v>-</v>
      </c>
      <c r="G29171" t="str">
        <v>-</v>
      </c>
    </row>
    <row r="29172">
      <c r="B29172" t="str">
        <v>Công an xã Mỹ Đức  tỉnh Lâm Đồng</v>
      </c>
      <c r="C29172" t="str">
        <v>-</v>
      </c>
      <c r="D29172" t="str">
        <v>-</v>
      </c>
      <c r="E29172" t="str">
        <v/>
      </c>
      <c r="F29172" t="str">
        <v>-</v>
      </c>
      <c r="G29172" t="str">
        <v>-</v>
      </c>
    </row>
    <row r="29173">
      <c r="B29173" t="str">
        <v>UBND Ủy ban nhân dân xã Mỹ Đức  tỉnh Lâm Đồng</v>
      </c>
      <c r="C29173" t="str">
        <v>-</v>
      </c>
      <c r="D29173" t="str">
        <v>-</v>
      </c>
      <c r="E29173" t="str">
        <v>-</v>
      </c>
      <c r="F29173" t="str">
        <v>-</v>
      </c>
      <c r="G29173" t="str">
        <v>-</v>
      </c>
    </row>
    <row r="29174">
      <c r="B29174" t="str">
        <v>Công an xã Mỵ Hòa  tỉnh Hòa Bình</v>
      </c>
      <c r="C29174" t="str">
        <v>-</v>
      </c>
      <c r="D29174" t="str">
        <v>-</v>
      </c>
      <c r="E29174" t="str">
        <v/>
      </c>
      <c r="F29174" t="str">
        <v>-</v>
      </c>
      <c r="G29174" t="str">
        <v>-</v>
      </c>
    </row>
    <row r="29175">
      <c r="B29175" t="str">
        <v>UBND Ủy ban nhân dân xã Mỵ Hòa  tỉnh Hòa Bình</v>
      </c>
      <c r="C29175" t="str">
        <v>-</v>
      </c>
      <c r="D29175" t="str">
        <v>-</v>
      </c>
      <c r="E29175" t="str">
        <v>-</v>
      </c>
      <c r="F29175" t="str">
        <v>-</v>
      </c>
      <c r="G29175" t="str">
        <v>-</v>
      </c>
    </row>
    <row r="29176">
      <c r="B29176" t="str">
        <v>Công an xã Mỹ Thành  tỉnh Nghệ An</v>
      </c>
      <c r="C29176" t="str">
        <v>-</v>
      </c>
      <c r="D29176" t="str">
        <v>-</v>
      </c>
      <c r="E29176" t="str">
        <v/>
      </c>
      <c r="F29176" t="str">
        <v>-</v>
      </c>
      <c r="G29176" t="str">
        <v>-</v>
      </c>
    </row>
    <row r="29177">
      <c r="B29177" t="str">
        <v>UBND Ủy ban nhân dân xã Mỹ Thành  tỉnh Nghệ An</v>
      </c>
      <c r="C29177" t="str">
        <v>-</v>
      </c>
      <c r="D29177" t="str">
        <v>-</v>
      </c>
      <c r="E29177" t="str">
        <v>-</v>
      </c>
      <c r="F29177" t="str">
        <v>-</v>
      </c>
      <c r="G29177" t="str">
        <v>-</v>
      </c>
    </row>
    <row r="29178">
      <c r="B29178" t="str">
        <v>Công an xã Na Cô Sa  tỉnh Điện Biên</v>
      </c>
      <c r="C29178" t="str">
        <v>-</v>
      </c>
      <c r="D29178" t="str">
        <v>-</v>
      </c>
      <c r="E29178" t="str">
        <v/>
      </c>
      <c r="F29178" t="str">
        <v>-</v>
      </c>
      <c r="G29178" t="str">
        <v>-</v>
      </c>
    </row>
    <row r="29179">
      <c r="B29179" t="str">
        <v>UBND Ủy ban nhân dân xã Na Cô Sa  tỉnh Điện Biên</v>
      </c>
      <c r="C29179" t="str">
        <v>-</v>
      </c>
      <c r="D29179" t="str">
        <v>-</v>
      </c>
      <c r="E29179" t="str">
        <v>-</v>
      </c>
      <c r="F29179" t="str">
        <v>-</v>
      </c>
      <c r="G29179" t="str">
        <v>-</v>
      </c>
    </row>
    <row r="29180">
      <c r="B29180" t="str">
        <v>Công an xã An Định  tỉnh Bến Tre</v>
      </c>
      <c r="C29180" t="str">
        <v>-</v>
      </c>
      <c r="D29180" t="str">
        <v>-</v>
      </c>
      <c r="E29180" t="str">
        <v/>
      </c>
      <c r="F29180" t="str">
        <v>-</v>
      </c>
      <c r="G29180" t="str">
        <v>-</v>
      </c>
    </row>
    <row r="29181">
      <c r="B29181" t="str">
        <v>UBND Ủy ban nhân dân xã An Định  tỉnh Bến Tre</v>
      </c>
      <c r="C29181" t="str">
        <v>-</v>
      </c>
      <c r="D29181" t="str">
        <v>-</v>
      </c>
      <c r="E29181" t="str">
        <v>-</v>
      </c>
      <c r="F29181" t="str">
        <v>-</v>
      </c>
      <c r="G29181" t="str">
        <v>-</v>
      </c>
    </row>
    <row r="29182">
      <c r="B29182" t="str">
        <v>Công an xã Nam Yang  tỉnh Gia Lai</v>
      </c>
      <c r="C29182" t="str">
        <v>-</v>
      </c>
      <c r="D29182" t="str">
        <v>-</v>
      </c>
      <c r="E29182" t="str">
        <v/>
      </c>
      <c r="F29182" t="str">
        <v>-</v>
      </c>
      <c r="G29182" t="str">
        <v>-</v>
      </c>
    </row>
    <row r="29183">
      <c r="B29183" t="str">
        <v>UBND Ủy ban nhân dân xã Nam Yang  tỉnh Gia Lai</v>
      </c>
      <c r="C29183" t="str">
        <v>-</v>
      </c>
      <c r="D29183" t="str">
        <v>-</v>
      </c>
      <c r="E29183" t="str">
        <v>-</v>
      </c>
      <c r="F29183" t="str">
        <v>-</v>
      </c>
      <c r="G29183" t="str">
        <v>-</v>
      </c>
    </row>
    <row r="29184">
      <c r="B29184" t="str">
        <v>Công an xã Nà Nhạn tỉnh Điện Biên</v>
      </c>
      <c r="C29184" t="str">
        <v>-</v>
      </c>
      <c r="D29184" t="str">
        <v>-</v>
      </c>
      <c r="E29184" t="str">
        <v/>
      </c>
      <c r="F29184" t="str">
        <v>-</v>
      </c>
      <c r="G29184" t="str">
        <v>-</v>
      </c>
    </row>
    <row r="29185">
      <c r="B29185" t="str">
        <v>UBND Ủy ban nhân dân xã Nà Nhạn tỉnh Điện Biên</v>
      </c>
      <c r="C29185" t="str">
        <v>-</v>
      </c>
      <c r="D29185" t="str">
        <v>-</v>
      </c>
      <c r="E29185" t="str">
        <v>-</v>
      </c>
      <c r="F29185" t="str">
        <v>-</v>
      </c>
      <c r="G29185" t="str">
        <v>-</v>
      </c>
    </row>
    <row r="29186">
      <c r="B29186" t="str">
        <v>Công an xã Nánh Nghê  tỉnh Hòa Bình</v>
      </c>
      <c r="C29186" t="str">
        <v>-</v>
      </c>
      <c r="D29186" t="str">
        <v>-</v>
      </c>
      <c r="E29186" t="str">
        <v/>
      </c>
      <c r="F29186" t="str">
        <v>-</v>
      </c>
      <c r="G29186" t="str">
        <v>-</v>
      </c>
    </row>
    <row r="29187">
      <c r="B29187" t="str">
        <v>UBND Ủy ban nhân dân xã Nánh Nghê  tỉnh Hòa Bình</v>
      </c>
      <c r="C29187" t="str">
        <v>-</v>
      </c>
      <c r="D29187" t="str">
        <v>-</v>
      </c>
      <c r="E29187" t="str">
        <v>-</v>
      </c>
      <c r="F29187" t="str">
        <v>-</v>
      </c>
      <c r="G29187" t="str">
        <v>-</v>
      </c>
    </row>
    <row r="29188">
      <c r="B29188" t="str">
        <v>Công an xã Nga Điền tỉnh Thanh Hóa</v>
      </c>
      <c r="C29188" t="str">
        <v>-</v>
      </c>
      <c r="D29188" t="str">
        <v>-</v>
      </c>
      <c r="E29188" t="str">
        <v/>
      </c>
      <c r="F29188" t="str">
        <v>-</v>
      </c>
      <c r="G29188" t="str">
        <v>-</v>
      </c>
    </row>
    <row r="29189">
      <c r="B29189" t="str">
        <v>UBND Ủy ban nhân dân xã Nga Điền tỉnh Thanh Hóa</v>
      </c>
      <c r="C29189" t="str">
        <v>-</v>
      </c>
      <c r="D29189" t="str">
        <v>-</v>
      </c>
      <c r="E29189" t="str">
        <v>-</v>
      </c>
      <c r="F29189" t="str">
        <v>-</v>
      </c>
      <c r="G29189" t="str">
        <v>-</v>
      </c>
    </row>
    <row r="29190">
      <c r="B29190" t="str">
        <v>Công an xã Nghĩa Hưng tỉnh Nghệ An</v>
      </c>
      <c r="C29190" t="str">
        <v>-</v>
      </c>
      <c r="D29190" t="str">
        <v>-</v>
      </c>
      <c r="E29190" t="str">
        <v/>
      </c>
      <c r="F29190" t="str">
        <v>-</v>
      </c>
      <c r="G29190" t="str">
        <v>-</v>
      </c>
    </row>
    <row r="29191">
      <c r="B29191" t="str">
        <v>UBND Ủy ban nhân dân xã Nghĩa Hưng tỉnh Nghệ An</v>
      </c>
      <c r="C29191" t="str">
        <v>-</v>
      </c>
      <c r="D29191" t="str">
        <v>-</v>
      </c>
      <c r="E29191" t="str">
        <v>-</v>
      </c>
      <c r="F29191" t="str">
        <v>-</v>
      </c>
      <c r="G29191" t="str">
        <v>-</v>
      </c>
    </row>
    <row r="29192">
      <c r="B29192" t="str">
        <v>Công an xã Ngọc Thanh  tỉnh Vĩnh Phúc</v>
      </c>
      <c r="C29192" t="str">
        <v>-</v>
      </c>
      <c r="D29192" t="str">
        <v>-</v>
      </c>
      <c r="E29192" t="str">
        <v/>
      </c>
      <c r="F29192" t="str">
        <v>-</v>
      </c>
      <c r="G29192" t="str">
        <v>-</v>
      </c>
    </row>
    <row r="29193">
      <c r="B29193" t="str">
        <v>UBND Ủy ban nhân dân xã Ngọc Thanh  tỉnh Vĩnh Phúc</v>
      </c>
      <c r="C29193" t="str">
        <v>-</v>
      </c>
      <c r="D29193" t="str">
        <v>-</v>
      </c>
      <c r="E29193" t="str">
        <v>-</v>
      </c>
      <c r="F29193" t="str">
        <v>-</v>
      </c>
      <c r="G29193" t="str">
        <v>-</v>
      </c>
    </row>
    <row r="29194">
      <c r="B29194" t="str">
        <v>Công an xã Nhơn Hậu  tỉnh Bình Định</v>
      </c>
      <c r="C29194" t="str">
        <v>-</v>
      </c>
      <c r="D29194" t="str">
        <v>-</v>
      </c>
      <c r="E29194" t="str">
        <v/>
      </c>
      <c r="F29194" t="str">
        <v>-</v>
      </c>
      <c r="G29194" t="str">
        <v>-</v>
      </c>
    </row>
    <row r="29195">
      <c r="B29195" t="str">
        <v>UBND Ủy ban nhân dân xã Nhơn Hậu  tỉnh Bình Định</v>
      </c>
      <c r="C29195" t="str">
        <v>-</v>
      </c>
      <c r="D29195" t="str">
        <v>-</v>
      </c>
      <c r="E29195" t="str">
        <v>-</v>
      </c>
      <c r="F29195" t="str">
        <v>-</v>
      </c>
      <c r="G29195" t="str">
        <v>-</v>
      </c>
    </row>
    <row r="29196">
      <c r="B29196" t="str">
        <v>Công an xã Nhơn Phú tỉnh Vĩnh Long</v>
      </c>
      <c r="C29196" t="str">
        <v>-</v>
      </c>
      <c r="D29196" t="str">
        <v>-</v>
      </c>
      <c r="E29196" t="str">
        <v/>
      </c>
      <c r="F29196" t="str">
        <v>-</v>
      </c>
      <c r="G29196" t="str">
        <v>-</v>
      </c>
    </row>
    <row r="29197">
      <c r="B29197" t="str">
        <v>UBND Ủy ban nhân dân xã Nhơn Phú tỉnh Vĩnh Long</v>
      </c>
      <c r="C29197" t="str">
        <v>-</v>
      </c>
      <c r="D29197" t="str">
        <v>-</v>
      </c>
      <c r="E29197" t="str">
        <v>-</v>
      </c>
      <c r="F29197" t="str">
        <v>-</v>
      </c>
      <c r="G29197" t="str">
        <v>-</v>
      </c>
    </row>
    <row r="29198">
      <c r="B29198" t="str">
        <v>Công an xã Ninh Khang tỉnh Ninh Bình</v>
      </c>
      <c r="C29198" t="str">
        <v>-</v>
      </c>
      <c r="D29198" t="str">
        <v>-</v>
      </c>
      <c r="E29198" t="str">
        <v/>
      </c>
      <c r="F29198" t="str">
        <v>-</v>
      </c>
      <c r="G29198" t="str">
        <v>-</v>
      </c>
    </row>
    <row r="29199">
      <c r="B29199" t="str">
        <v>UBND Ủy ban nhân dân xã Ninh Khang tỉnh Ninh Bình</v>
      </c>
      <c r="C29199" t="str">
        <v>-</v>
      </c>
      <c r="D29199" t="str">
        <v>-</v>
      </c>
      <c r="E29199" t="str">
        <v>-</v>
      </c>
      <c r="F29199" t="str">
        <v>-</v>
      </c>
      <c r="G29199" t="str">
        <v>-</v>
      </c>
    </row>
    <row r="29200">
      <c r="B29200" t="str">
        <v>Công an xã Pá Khoang tỉnh Điện Biên</v>
      </c>
      <c r="C29200" t="str">
        <v>-</v>
      </c>
      <c r="D29200" t="str">
        <v>-</v>
      </c>
      <c r="E29200" t="str">
        <v/>
      </c>
      <c r="F29200" t="str">
        <v>-</v>
      </c>
      <c r="G29200" t="str">
        <v>-</v>
      </c>
    </row>
    <row r="29201">
      <c r="B29201" t="str">
        <v>UBND Ủy ban nhân dân xã Pá Khoang tỉnh Điện Biên</v>
      </c>
      <c r="C29201" t="str">
        <v>-</v>
      </c>
      <c r="D29201" t="str">
        <v>-</v>
      </c>
      <c r="E29201" t="str">
        <v>-</v>
      </c>
      <c r="F29201" t="str">
        <v>-</v>
      </c>
      <c r="G29201" t="str">
        <v>-</v>
      </c>
    </row>
    <row r="29202">
      <c r="B29202" t="str">
        <v>Công an xã Phong Châu  tỉnh Thái Bình</v>
      </c>
      <c r="C29202" t="str">
        <v>-</v>
      </c>
      <c r="D29202" t="str">
        <v>-</v>
      </c>
      <c r="E29202" t="str">
        <v/>
      </c>
      <c r="F29202" t="str">
        <v>-</v>
      </c>
      <c r="G29202" t="str">
        <v>-</v>
      </c>
    </row>
    <row r="29203">
      <c r="B29203" t="str">
        <v>UBND Ủy ban nhân dân xã Phong Châu  tỉnh Thái Bình</v>
      </c>
      <c r="C29203" t="str">
        <v>-</v>
      </c>
      <c r="D29203" t="str">
        <v>-</v>
      </c>
      <c r="E29203" t="str">
        <v>-</v>
      </c>
      <c r="F29203" t="str">
        <v>-</v>
      </c>
      <c r="G29203" t="str">
        <v>-</v>
      </c>
    </row>
    <row r="29204">
      <c r="B29204" t="str">
        <v>Công an xã Phúc Chu  tỉnh Thái Nguyên</v>
      </c>
      <c r="C29204" t="str">
        <v>-</v>
      </c>
      <c r="D29204" t="str">
        <v>-</v>
      </c>
      <c r="E29204" t="str">
        <v/>
      </c>
      <c r="F29204" t="str">
        <v>-</v>
      </c>
      <c r="G29204" t="str">
        <v>-</v>
      </c>
    </row>
    <row r="29205">
      <c r="B29205" t="str">
        <v>UBND Ủy ban nhân dân xã Phúc Chu  tỉnh Thái Nguyên</v>
      </c>
      <c r="C29205" t="str">
        <v>-</v>
      </c>
      <c r="D29205" t="str">
        <v>-</v>
      </c>
      <c r="E29205" t="str">
        <v>-</v>
      </c>
      <c r="F29205" t="str">
        <v>-</v>
      </c>
      <c r="G29205" t="str">
        <v>-</v>
      </c>
    </row>
    <row r="29206">
      <c r="B29206" t="str">
        <v>Công an xã Phú Châu  tỉnh Thái Bình</v>
      </c>
      <c r="C29206" t="str">
        <v>-</v>
      </c>
      <c r="D29206" t="str">
        <v>-</v>
      </c>
      <c r="E29206" t="str">
        <v/>
      </c>
      <c r="F29206" t="str">
        <v>-</v>
      </c>
      <c r="G29206" t="str">
        <v>-</v>
      </c>
    </row>
    <row r="29207">
      <c r="B29207" t="str">
        <v>UBND Ủy ban nhân dân xã Phú Châu  tỉnh Thái Bình</v>
      </c>
      <c r="C29207" t="str">
        <v>-</v>
      </c>
      <c r="D29207" t="str">
        <v>-</v>
      </c>
      <c r="E29207" t="str">
        <v>-</v>
      </c>
      <c r="F29207" t="str">
        <v>-</v>
      </c>
      <c r="G29207" t="str">
        <v>-</v>
      </c>
    </row>
    <row r="29208">
      <c r="B29208" t="str">
        <v>Công an xã Phú Lễ  tỉnh Bến Tre</v>
      </c>
      <c r="C29208" t="str">
        <v>-</v>
      </c>
      <c r="D29208" t="str">
        <v>-</v>
      </c>
      <c r="E29208" t="str">
        <v/>
      </c>
      <c r="F29208" t="str">
        <v>-</v>
      </c>
      <c r="G29208" t="str">
        <v>-</v>
      </c>
    </row>
    <row r="29209">
      <c r="B29209" t="str">
        <v>UBND Ủy ban nhân dân xã Phú Lễ  tỉnh Bến Tre</v>
      </c>
      <c r="C29209" t="str">
        <v>-</v>
      </c>
      <c r="D29209" t="str">
        <v>-</v>
      </c>
      <c r="E29209" t="str">
        <v>-</v>
      </c>
      <c r="F29209" t="str">
        <v>-</v>
      </c>
      <c r="G29209" t="str">
        <v>-</v>
      </c>
    </row>
    <row r="29210">
      <c r="B29210" t="str">
        <v>Công an xã Phù Lưu thành phố Hà Nội</v>
      </c>
      <c r="C29210" t="str">
        <v>-</v>
      </c>
      <c r="D29210" t="str">
        <v>-</v>
      </c>
      <c r="E29210" t="str">
        <v/>
      </c>
      <c r="F29210" t="str">
        <v>-</v>
      </c>
      <c r="G29210" t="str">
        <v>-</v>
      </c>
    </row>
    <row r="29211">
      <c r="B29211" t="str">
        <v>UBND Ủy ban nhân dân xã Phù Lưu thành phố Hà Nội</v>
      </c>
      <c r="C29211" t="str">
        <v>-</v>
      </c>
      <c r="D29211" t="str">
        <v>-</v>
      </c>
      <c r="E29211" t="str">
        <v>-</v>
      </c>
      <c r="F29211" t="str">
        <v>-</v>
      </c>
      <c r="G29211" t="str">
        <v>-</v>
      </c>
    </row>
    <row r="29212">
      <c r="B29212" t="str">
        <v>Công an xã Phủ Lý  tỉnh Thái Nguyên</v>
      </c>
      <c r="C29212" t="str">
        <v>-</v>
      </c>
      <c r="D29212" t="str">
        <v>-</v>
      </c>
      <c r="E29212" t="str">
        <v/>
      </c>
      <c r="F29212" t="str">
        <v>-</v>
      </c>
      <c r="G29212" t="str">
        <v>-</v>
      </c>
    </row>
    <row r="29213">
      <c r="B29213" t="str">
        <v>UBND Ủy ban nhân dân xã Phủ Lý  tỉnh Thái Nguyên</v>
      </c>
      <c r="C29213" t="str">
        <v>-</v>
      </c>
      <c r="D29213" t="str">
        <v>-</v>
      </c>
      <c r="E29213" t="str">
        <v>-</v>
      </c>
      <c r="F29213" t="str">
        <v>-</v>
      </c>
      <c r="G29213" t="str">
        <v>-</v>
      </c>
    </row>
    <row r="29214">
      <c r="B29214" t="str">
        <v>Công an xã Phùng Giáo  tỉnh Thanh Hóa</v>
      </c>
      <c r="C29214" t="str">
        <v>-</v>
      </c>
      <c r="D29214" t="str">
        <v>-</v>
      </c>
      <c r="E29214" t="str">
        <v/>
      </c>
      <c r="F29214" t="str">
        <v>-</v>
      </c>
      <c r="G29214" t="str">
        <v>-</v>
      </c>
    </row>
    <row r="29215">
      <c r="B29215" t="str">
        <v>UBND Ủy ban nhân dân xã Phùng Giáo  tỉnh Thanh Hóa</v>
      </c>
      <c r="C29215" t="str">
        <v>-</v>
      </c>
      <c r="D29215" t="str">
        <v>-</v>
      </c>
      <c r="E29215" t="str">
        <v>-</v>
      </c>
      <c r="F29215" t="str">
        <v>-</v>
      </c>
      <c r="G29215" t="str">
        <v>-</v>
      </c>
    </row>
    <row r="29216">
      <c r="B29216" t="str">
        <v>Công an xã Phước Hải  tỉnh Ninh Bình</v>
      </c>
      <c r="C29216" t="str">
        <v>-</v>
      </c>
      <c r="D29216" t="str">
        <v>-</v>
      </c>
      <c r="E29216" t="str">
        <v/>
      </c>
      <c r="F29216" t="str">
        <v>-</v>
      </c>
      <c r="G29216" t="str">
        <v>-</v>
      </c>
    </row>
    <row r="29217">
      <c r="B29217" t="str">
        <v>UBND Ủy ban nhân dân xã Phước Hải  tỉnh Ninh Bình</v>
      </c>
      <c r="C29217" t="str">
        <v>-</v>
      </c>
      <c r="D29217" t="str">
        <v>-</v>
      </c>
      <c r="E29217" t="str">
        <v>-</v>
      </c>
      <c r="F29217" t="str">
        <v>-</v>
      </c>
      <c r="G29217" t="str">
        <v>-</v>
      </c>
    </row>
    <row r="29218">
      <c r="B29218" t="str">
        <v>Công an xã Phước Hậu  tỉnh Vĩnh Long</v>
      </c>
      <c r="C29218" t="str">
        <v>-</v>
      </c>
      <c r="D29218" t="str">
        <v>-</v>
      </c>
      <c r="E29218" t="str">
        <v/>
      </c>
      <c r="F29218" t="str">
        <v>-</v>
      </c>
      <c r="G29218" t="str">
        <v>-</v>
      </c>
    </row>
    <row r="29219">
      <c r="B29219" t="str">
        <v>UBND Ủy ban nhân dân xã Phước Hậu  tỉnh Vĩnh Long</v>
      </c>
      <c r="C29219" t="str">
        <v>-</v>
      </c>
      <c r="D29219" t="str">
        <v>-</v>
      </c>
      <c r="E29219" t="str">
        <v>-</v>
      </c>
      <c r="F29219" t="str">
        <v>-</v>
      </c>
      <c r="G29219" t="str">
        <v>-</v>
      </c>
    </row>
    <row r="29220">
      <c r="B29220" t="str">
        <v>Công an xã Phước Thành  tỉnh Bình Định</v>
      </c>
      <c r="C29220" t="str">
        <v>-</v>
      </c>
      <c r="D29220" t="str">
        <v>-</v>
      </c>
      <c r="E29220" t="str">
        <v/>
      </c>
      <c r="F29220" t="str">
        <v>-</v>
      </c>
      <c r="G29220" t="str">
        <v>-</v>
      </c>
    </row>
    <row r="29221">
      <c r="B29221" t="str">
        <v>UBND Ủy ban nhân dân xã Phước Thành  tỉnh Bình Định</v>
      </c>
      <c r="C29221" t="str">
        <v>-</v>
      </c>
      <c r="D29221" t="str">
        <v>-</v>
      </c>
      <c r="E29221" t="str">
        <v>-</v>
      </c>
      <c r="F29221" t="str">
        <v>-</v>
      </c>
      <c r="G29221" t="str">
        <v>-</v>
      </c>
    </row>
    <row r="29222">
      <c r="B29222" t="str">
        <v>Công an xã Phước Thuận  tỉnh Ninh Thuận</v>
      </c>
      <c r="C29222" t="str">
        <v>-</v>
      </c>
      <c r="D29222" t="str">
        <v>-</v>
      </c>
      <c r="E29222" t="str">
        <v/>
      </c>
      <c r="F29222" t="str">
        <v>-</v>
      </c>
      <c r="G29222" t="str">
        <v>-</v>
      </c>
    </row>
    <row r="29223">
      <c r="B29223" t="str">
        <v>UBND Ủy ban nhân dân xã Phước Thuận  tỉnh Ninh Thuận</v>
      </c>
      <c r="C29223" t="str">
        <v>-</v>
      </c>
      <c r="D29223" t="str">
        <v>-</v>
      </c>
      <c r="E29223" t="str">
        <v>-</v>
      </c>
      <c r="F29223" t="str">
        <v>-</v>
      </c>
      <c r="G29223" t="str">
        <v>-</v>
      </c>
    </row>
    <row r="29224">
      <c r="B29224" t="str">
        <v>Công an xã Phú Phụng tỉnh Bến Tre</v>
      </c>
      <c r="C29224" t="str">
        <v>-</v>
      </c>
      <c r="D29224" t="str">
        <v>-</v>
      </c>
      <c r="E29224" t="str">
        <v/>
      </c>
      <c r="F29224" t="str">
        <v>-</v>
      </c>
      <c r="G29224" t="str">
        <v>-</v>
      </c>
    </row>
    <row r="29225">
      <c r="B29225" t="str">
        <v>UBND Ủy ban nhân dân xã Phú Phụng tỉnh Bến Tre</v>
      </c>
      <c r="C29225" t="str">
        <v>-</v>
      </c>
      <c r="D29225" t="str">
        <v>-</v>
      </c>
      <c r="E29225" t="str">
        <v>-</v>
      </c>
      <c r="F29225" t="str">
        <v>-</v>
      </c>
      <c r="G29225" t="str">
        <v>-</v>
      </c>
    </row>
    <row r="29226">
      <c r="B29226" t="str">
        <v>Công an xã Phú Thành  tỉnh Nghệ An</v>
      </c>
      <c r="C29226" t="str">
        <v>-</v>
      </c>
      <c r="D29226" t="str">
        <v>-</v>
      </c>
      <c r="E29226" t="str">
        <v/>
      </c>
      <c r="F29226" t="str">
        <v>-</v>
      </c>
      <c r="G29226" t="str">
        <v>-</v>
      </c>
    </row>
    <row r="29227">
      <c r="B29227" t="str">
        <v>UBND Ủy ban nhân dân xã Phú Thành  tỉnh Nghệ An</v>
      </c>
      <c r="C29227" t="str">
        <v>-</v>
      </c>
      <c r="D29227" t="str">
        <v>-</v>
      </c>
      <c r="E29227" t="str">
        <v>-</v>
      </c>
      <c r="F29227" t="str">
        <v>-</v>
      </c>
      <c r="G29227" t="str">
        <v>-</v>
      </c>
    </row>
    <row r="29228">
      <c r="B29228" t="str">
        <v>Công an xã Phú Thuận  tỉnh Bến Tre</v>
      </c>
      <c r="C29228" t="str">
        <v>-</v>
      </c>
      <c r="D29228" t="str">
        <v>-</v>
      </c>
      <c r="E29228" t="str">
        <v/>
      </c>
      <c r="F29228" t="str">
        <v>-</v>
      </c>
      <c r="G29228" t="str">
        <v>-</v>
      </c>
    </row>
    <row r="29229">
      <c r="B29229" t="str">
        <v>UBND Ủy ban nhân dân xã Phú Thuận  tỉnh Bến Tre</v>
      </c>
      <c r="C29229" t="str">
        <v>-</v>
      </c>
      <c r="D29229" t="str">
        <v>-</v>
      </c>
      <c r="E29229" t="str">
        <v>-</v>
      </c>
      <c r="F29229" t="str">
        <v>-</v>
      </c>
      <c r="G29229" t="str">
        <v>-</v>
      </c>
    </row>
    <row r="29230">
      <c r="B29230" t="str">
        <v>Công an xã Quảng Chu tỉnh Bắc Kạn</v>
      </c>
      <c r="C29230" t="str">
        <v>-</v>
      </c>
      <c r="D29230" t="str">
        <v>-</v>
      </c>
      <c r="E29230" t="str">
        <v/>
      </c>
      <c r="F29230" t="str">
        <v>-</v>
      </c>
      <c r="G29230" t="str">
        <v>-</v>
      </c>
    </row>
    <row r="29231">
      <c r="B29231" t="str">
        <v>UBND Ủy ban nhân dân xã Quảng Chu tỉnh Bắc Kạn</v>
      </c>
      <c r="C29231" t="str">
        <v>-</v>
      </c>
      <c r="D29231" t="str">
        <v>-</v>
      </c>
      <c r="E29231" t="str">
        <v>-</v>
      </c>
      <c r="F29231" t="str">
        <v>-</v>
      </c>
      <c r="G29231" t="str">
        <v>-</v>
      </c>
    </row>
    <row r="29232">
      <c r="B29232" t="str">
        <v>Công an xã Quang Diệm  tỉnh Hà Tĩnh</v>
      </c>
      <c r="C29232" t="str">
        <v>-</v>
      </c>
      <c r="D29232" t="str">
        <v>-</v>
      </c>
      <c r="E29232" t="str">
        <v/>
      </c>
      <c r="F29232" t="str">
        <v>-</v>
      </c>
      <c r="G29232" t="str">
        <v>-</v>
      </c>
    </row>
    <row r="29233">
      <c r="B29233" t="str">
        <v>UBND Ủy ban nhân dân xã Quang Diệm  tỉnh Hà Tĩnh</v>
      </c>
      <c r="C29233" t="str">
        <v>-</v>
      </c>
      <c r="D29233" t="str">
        <v>-</v>
      </c>
      <c r="E29233" t="str">
        <v>-</v>
      </c>
      <c r="F29233" t="str">
        <v>-</v>
      </c>
      <c r="G29233" t="str">
        <v>-</v>
      </c>
    </row>
    <row r="29234">
      <c r="B29234" t="str">
        <v>Công an xã Quảng Lãng tỉnh Hưng Yên</v>
      </c>
      <c r="C29234" t="str">
        <v>-</v>
      </c>
      <c r="D29234" t="str">
        <v>-</v>
      </c>
      <c r="E29234" t="str">
        <v/>
      </c>
      <c r="F29234" t="str">
        <v>-</v>
      </c>
      <c r="G29234" t="str">
        <v>-</v>
      </c>
    </row>
    <row r="29235">
      <c r="B29235" t="str">
        <v>UBND Ủy ban nhân dân xã Quảng Lãng tỉnh Hưng Yên</v>
      </c>
      <c r="C29235" t="str">
        <v>-</v>
      </c>
      <c r="D29235" t="str">
        <v>-</v>
      </c>
      <c r="E29235" t="str">
        <v>-</v>
      </c>
      <c r="F29235" t="str">
        <v>-</v>
      </c>
      <c r="G29235" t="str">
        <v>-</v>
      </c>
    </row>
    <row r="29236">
      <c r="B29236" t="str">
        <v>Công an xã Quảng Phú  tỉnh Thanh Hóa</v>
      </c>
      <c r="C29236" t="str">
        <v>-</v>
      </c>
      <c r="D29236" t="str">
        <v>-</v>
      </c>
      <c r="E29236" t="str">
        <v/>
      </c>
      <c r="F29236" t="str">
        <v>-</v>
      </c>
      <c r="G29236" t="str">
        <v>-</v>
      </c>
    </row>
    <row r="29237">
      <c r="B29237" t="str">
        <v>UBND Ủy ban nhân dân xã Quảng Phú  tỉnh Thanh Hóa</v>
      </c>
      <c r="C29237" t="str">
        <v>-</v>
      </c>
      <c r="D29237" t="str">
        <v>-</v>
      </c>
      <c r="E29237" t="str">
        <v>-</v>
      </c>
      <c r="F29237" t="str">
        <v>-</v>
      </c>
      <c r="G29237" t="str">
        <v>-</v>
      </c>
    </row>
    <row r="29238">
      <c r="B29238" t="str">
        <v>Công an xã Quảng Xuân  tỉnh Quảng Bình</v>
      </c>
      <c r="C29238" t="str">
        <v>-</v>
      </c>
      <c r="D29238" t="str">
        <v>-</v>
      </c>
      <c r="E29238" t="str">
        <v/>
      </c>
      <c r="F29238" t="str">
        <v>-</v>
      </c>
      <c r="G29238" t="str">
        <v>-</v>
      </c>
    </row>
    <row r="29239">
      <c r="B29239" t="str">
        <v>UBND Ủy ban nhân dân xã Quảng Xuân  tỉnh Quảng Bình</v>
      </c>
      <c r="C29239" t="str">
        <v>-</v>
      </c>
      <c r="D29239" t="str">
        <v>-</v>
      </c>
      <c r="E29239" t="str">
        <v>-</v>
      </c>
      <c r="F29239" t="str">
        <v>-</v>
      </c>
      <c r="G29239" t="str">
        <v>-</v>
      </c>
    </row>
    <row r="29240">
      <c r="B29240" t="str">
        <v>Công an xã Quy Mông  tỉnh Yên Bái</v>
      </c>
      <c r="C29240" t="str">
        <v>-</v>
      </c>
      <c r="D29240" t="str">
        <v>-</v>
      </c>
      <c r="E29240" t="str">
        <v/>
      </c>
      <c r="F29240" t="str">
        <v>-</v>
      </c>
      <c r="G29240" t="str">
        <v>-</v>
      </c>
    </row>
    <row r="29241">
      <c r="B29241" t="str">
        <v>UBND Ủy ban nhân dân xã Quy Mông  tỉnh Yên Bái</v>
      </c>
      <c r="C29241" t="str">
        <v>-</v>
      </c>
      <c r="D29241" t="str">
        <v>-</v>
      </c>
      <c r="E29241" t="str">
        <v>-</v>
      </c>
      <c r="F29241" t="str">
        <v>-</v>
      </c>
      <c r="G29241" t="str">
        <v>-</v>
      </c>
    </row>
    <row r="29242">
      <c r="B29242" t="str">
        <v>Công an xã Quỳnh Lưu tỉnh Ninh Bình</v>
      </c>
      <c r="C29242" t="str">
        <v>-</v>
      </c>
      <c r="D29242" t="str">
        <v>-</v>
      </c>
      <c r="E29242" t="str">
        <v/>
      </c>
      <c r="F29242" t="str">
        <v>-</v>
      </c>
      <c r="G29242" t="str">
        <v>-</v>
      </c>
    </row>
    <row r="29243">
      <c r="B29243" t="str">
        <v>UBND Ủy ban nhân dân xã Quỳnh Lưu tỉnh Ninh Bình</v>
      </c>
      <c r="C29243" t="str">
        <v>-</v>
      </c>
      <c r="D29243" t="str">
        <v>-</v>
      </c>
      <c r="E29243" t="str">
        <v>-</v>
      </c>
      <c r="F29243" t="str">
        <v>-</v>
      </c>
      <c r="G29243" t="str">
        <v>-</v>
      </c>
    </row>
    <row r="29244">
      <c r="B29244" t="str">
        <v>Công an xã Rạng Đông  tỉnh Điện Biên</v>
      </c>
      <c r="C29244" t="str">
        <v>-</v>
      </c>
      <c r="D29244" t="str">
        <v>-</v>
      </c>
      <c r="E29244" t="str">
        <v/>
      </c>
      <c r="F29244" t="str">
        <v>-</v>
      </c>
      <c r="G29244" t="str">
        <v>-</v>
      </c>
    </row>
    <row r="29245">
      <c r="B29245" t="str">
        <v>UBND Ủy ban nhân dân xã Rạng Đông  tỉnh Điện Biên</v>
      </c>
      <c r="C29245" t="str">
        <v>-</v>
      </c>
      <c r="D29245" t="str">
        <v>-</v>
      </c>
      <c r="E29245" t="str">
        <v>-</v>
      </c>
      <c r="F29245" t="str">
        <v>-</v>
      </c>
      <c r="G29245" t="str">
        <v>-</v>
      </c>
    </row>
    <row r="29246">
      <c r="B29246" t="str">
        <v>Công an xã Sa Lông tỉnh Điện Biên</v>
      </c>
      <c r="C29246" t="str">
        <v>-</v>
      </c>
      <c r="D29246" t="str">
        <v>-</v>
      </c>
      <c r="E29246" t="str">
        <v/>
      </c>
      <c r="F29246" t="str">
        <v>-</v>
      </c>
      <c r="G29246" t="str">
        <v>-</v>
      </c>
    </row>
    <row r="29247">
      <c r="B29247" t="str">
        <v>UBND Ủy ban nhân dân xã Sa Lông tỉnh Điện Biên</v>
      </c>
      <c r="C29247" t="str">
        <v>-</v>
      </c>
      <c r="D29247" t="str">
        <v>-</v>
      </c>
      <c r="E29247" t="str">
        <v>-</v>
      </c>
      <c r="F29247" t="str">
        <v>-</v>
      </c>
      <c r="G29247" t="str">
        <v>-</v>
      </c>
    </row>
    <row r="29248">
      <c r="B29248" t="str">
        <v>Công an xã Song Khủa  tỉnh Sơn La</v>
      </c>
      <c r="C29248" t="str">
        <v>-</v>
      </c>
      <c r="D29248" t="str">
        <v>-</v>
      </c>
      <c r="E29248" t="str">
        <v/>
      </c>
      <c r="F29248" t="str">
        <v>-</v>
      </c>
      <c r="G29248" t="str">
        <v>-</v>
      </c>
    </row>
    <row r="29249">
      <c r="B29249" t="str">
        <v>UBND Ủy ban nhân dân xã Song Khủa  tỉnh Sơn La</v>
      </c>
      <c r="C29249" t="str">
        <v>-</v>
      </c>
      <c r="D29249" t="str">
        <v>-</v>
      </c>
      <c r="E29249" t="str">
        <v>-</v>
      </c>
      <c r="F29249" t="str">
        <v>-</v>
      </c>
      <c r="G29249" t="str">
        <v>-</v>
      </c>
    </row>
    <row r="29250">
      <c r="B29250" t="str">
        <v>Công an xã Sơn Trường tỉnh Hà Tĩnh</v>
      </c>
      <c r="C29250" t="str">
        <v>-</v>
      </c>
      <c r="D29250" t="str">
        <v>-</v>
      </c>
      <c r="E29250" t="str">
        <v/>
      </c>
      <c r="F29250" t="str">
        <v>-</v>
      </c>
      <c r="G29250" t="str">
        <v>-</v>
      </c>
    </row>
    <row r="29251">
      <c r="B29251" t="str">
        <v>UBND Ủy ban nhân dân xã Sơn Trường tỉnh Hà Tĩnh</v>
      </c>
      <c r="C29251" t="str">
        <v>-</v>
      </c>
      <c r="D29251" t="str">
        <v>-</v>
      </c>
      <c r="E29251" t="str">
        <v>-</v>
      </c>
      <c r="F29251" t="str">
        <v>-</v>
      </c>
      <c r="G29251" t="str">
        <v>-</v>
      </c>
    </row>
    <row r="29252">
      <c r="B29252" t="str">
        <v>Công an xã Suối Giàng  tỉnh Yên Bái</v>
      </c>
      <c r="C29252" t="str">
        <v>-</v>
      </c>
      <c r="D29252" t="str">
        <v>-</v>
      </c>
      <c r="E29252" t="str">
        <v/>
      </c>
      <c r="F29252" t="str">
        <v>-</v>
      </c>
      <c r="G29252" t="str">
        <v>-</v>
      </c>
    </row>
    <row r="29253">
      <c r="B29253" t="str">
        <v>UBND Ủy ban nhân dân xã Suối Giàng  tỉnh Yên Bái</v>
      </c>
      <c r="C29253" t="str">
        <v>-</v>
      </c>
      <c r="D29253" t="str">
        <v>-</v>
      </c>
      <c r="E29253" t="str">
        <v>-</v>
      </c>
      <c r="F29253" t="str">
        <v>-</v>
      </c>
      <c r="G29253" t="str">
        <v>-</v>
      </c>
    </row>
    <row r="29254">
      <c r="B29254" t="str">
        <v>Công an xã Suối Hiệp  tỉnh Khánh Hòa</v>
      </c>
      <c r="C29254" t="str">
        <v>-</v>
      </c>
      <c r="D29254" t="str">
        <v>-</v>
      </c>
      <c r="E29254" t="str">
        <v/>
      </c>
      <c r="F29254" t="str">
        <v>-</v>
      </c>
      <c r="G29254" t="str">
        <v>-</v>
      </c>
    </row>
    <row r="29255">
      <c r="B29255" t="str">
        <v>UBND Ủy ban nhân dân xã Suối Hiệp  tỉnh Khánh Hòa</v>
      </c>
      <c r="C29255" t="str">
        <v>-</v>
      </c>
      <c r="D29255" t="str">
        <v>-</v>
      </c>
      <c r="E29255" t="str">
        <v>-</v>
      </c>
      <c r="F29255" t="str">
        <v>-</v>
      </c>
      <c r="G29255" t="str">
        <v>-</v>
      </c>
    </row>
    <row r="29256">
      <c r="B29256" t="str">
        <v>Công an xã Tạ Khoa tỉnh Sơn La</v>
      </c>
      <c r="C29256" t="str">
        <v>-</v>
      </c>
      <c r="D29256" t="str">
        <v>-</v>
      </c>
      <c r="E29256" t="str">
        <v/>
      </c>
      <c r="F29256" t="str">
        <v>-</v>
      </c>
      <c r="G29256" t="str">
        <v>-</v>
      </c>
    </row>
    <row r="29257">
      <c r="B29257" t="str">
        <v>UBND Ủy ban nhân dân xã Tạ Khoa tỉnh Sơn La</v>
      </c>
      <c r="C29257" t="str">
        <v>-</v>
      </c>
      <c r="D29257" t="str">
        <v>-</v>
      </c>
      <c r="E29257" t="str">
        <v>-</v>
      </c>
      <c r="F29257" t="str">
        <v>-</v>
      </c>
      <c r="G29257" t="str">
        <v>-</v>
      </c>
    </row>
    <row r="29258">
      <c r="B29258" t="str">
        <v>Công an xã Tà Long  tỉnh Quảng Trị</v>
      </c>
      <c r="C29258" t="str">
        <v>-</v>
      </c>
      <c r="D29258" t="str">
        <v>-</v>
      </c>
      <c r="E29258" t="str">
        <v/>
      </c>
      <c r="F29258" t="str">
        <v>-</v>
      </c>
      <c r="G29258" t="str">
        <v>-</v>
      </c>
    </row>
    <row r="29259">
      <c r="B29259" t="str">
        <v>UBND Ủy ban nhân dân xã Tà Long  tỉnh Quảng Trị</v>
      </c>
      <c r="C29259" t="str">
        <v>-</v>
      </c>
      <c r="D29259" t="str">
        <v>-</v>
      </c>
      <c r="E29259" t="str">
        <v>-</v>
      </c>
      <c r="F29259" t="str">
        <v>-</v>
      </c>
      <c r="G29259" t="str">
        <v>-</v>
      </c>
    </row>
    <row r="29260">
      <c r="B29260" t="str">
        <v>Công an xã Tam Đa  thành phố Hải Phòng</v>
      </c>
      <c r="C29260" t="str">
        <v>-</v>
      </c>
      <c r="D29260" t="str">
        <v>-</v>
      </c>
      <c r="E29260" t="str">
        <v/>
      </c>
      <c r="F29260" t="str">
        <v>-</v>
      </c>
      <c r="G29260" t="str">
        <v>-</v>
      </c>
    </row>
    <row r="29261">
      <c r="B29261" t="str">
        <v>UBND Ủy ban nhân dân xã Tam Đa  thành phố Hải Phòng</v>
      </c>
      <c r="C29261" t="str">
        <v>-</v>
      </c>
      <c r="D29261" t="str">
        <v>-</v>
      </c>
      <c r="E29261" t="str">
        <v>-</v>
      </c>
      <c r="F29261" t="str">
        <v>-</v>
      </c>
      <c r="G29261" t="str">
        <v>-</v>
      </c>
    </row>
    <row r="29262">
      <c r="B29262" t="str">
        <v>Công an xã Tân An  tỉnh Trà Vinh</v>
      </c>
      <c r="C29262" t="str">
        <v>-</v>
      </c>
      <c r="D29262" t="str">
        <v>-</v>
      </c>
      <c r="E29262" t="str">
        <v/>
      </c>
      <c r="F29262" t="str">
        <v>-</v>
      </c>
      <c r="G29262" t="str">
        <v>-</v>
      </c>
    </row>
    <row r="29263">
      <c r="B29263" t="str">
        <v>UBND Ủy ban nhân dân xã Tân An  tỉnh Trà Vinh</v>
      </c>
      <c r="C29263" t="str">
        <v>-</v>
      </c>
      <c r="D29263" t="str">
        <v>-</v>
      </c>
      <c r="E29263" t="str">
        <v>-</v>
      </c>
      <c r="F29263" t="str">
        <v>-</v>
      </c>
      <c r="G29263" t="str">
        <v>-</v>
      </c>
    </row>
    <row r="29264">
      <c r="B29264" t="str">
        <v>Công an xã Tân Bình  tỉnh Thanh Hóa</v>
      </c>
      <c r="C29264" t="str">
        <v>-</v>
      </c>
      <c r="D29264" t="str">
        <v>-</v>
      </c>
      <c r="E29264" t="str">
        <v/>
      </c>
      <c r="F29264" t="str">
        <v>-</v>
      </c>
      <c r="G29264" t="str">
        <v>-</v>
      </c>
    </row>
    <row r="29265">
      <c r="B29265" t="str">
        <v>UBND Ủy ban nhân dân xã Tân Bình  tỉnh Thanh Hóa</v>
      </c>
      <c r="C29265" t="str">
        <v>-</v>
      </c>
      <c r="D29265" t="str">
        <v>-</v>
      </c>
      <c r="E29265" t="str">
        <v>-</v>
      </c>
      <c r="F29265" t="str">
        <v>-</v>
      </c>
      <c r="G29265" t="str">
        <v>-</v>
      </c>
    </row>
    <row r="29266">
      <c r="B29266" t="str">
        <v>Công an xã Tân Chi tỉnh Bắc Ninh</v>
      </c>
      <c r="C29266" t="str">
        <v>-</v>
      </c>
      <c r="D29266" t="str">
        <v>-</v>
      </c>
      <c r="E29266" t="str">
        <v/>
      </c>
      <c r="F29266" t="str">
        <v>-</v>
      </c>
      <c r="G29266" t="str">
        <v>-</v>
      </c>
    </row>
    <row r="29267">
      <c r="B29267" t="str">
        <v>UBND Ủy ban nhân dân xã Tân Chi tỉnh Bắc Ninh</v>
      </c>
      <c r="C29267" t="str">
        <v>-</v>
      </c>
      <c r="D29267" t="str">
        <v>-</v>
      </c>
      <c r="E29267" t="str">
        <v>-</v>
      </c>
      <c r="F29267" t="str">
        <v>-</v>
      </c>
      <c r="G29267" t="str">
        <v>-</v>
      </c>
    </row>
    <row r="29268">
      <c r="B29268" t="str">
        <v>Công an xã Tân Hòa  tỉnh TÂY NINH</v>
      </c>
      <c r="C29268" t="str">
        <v>-</v>
      </c>
      <c r="D29268" t="str">
        <v>-</v>
      </c>
      <c r="E29268" t="str">
        <v/>
      </c>
      <c r="F29268" t="str">
        <v>-</v>
      </c>
      <c r="G29268" t="str">
        <v>-</v>
      </c>
    </row>
    <row r="29269">
      <c r="B29269" t="str">
        <v>UBND Ủy ban nhân dân xã Tân Hòa  tỉnh TÂY NINH</v>
      </c>
      <c r="C29269" t="str">
        <v>-</v>
      </c>
      <c r="D29269" t="str">
        <v>-</v>
      </c>
      <c r="E29269" t="str">
        <v>-</v>
      </c>
      <c r="F29269" t="str">
        <v>-</v>
      </c>
      <c r="G29269" t="str">
        <v>-</v>
      </c>
    </row>
    <row r="29270">
      <c r="B29270" t="str">
        <v>Công an xã Tân Hòa  tỉnh TÂY NINH</v>
      </c>
      <c r="C29270" t="str">
        <v>-</v>
      </c>
      <c r="D29270" t="str">
        <v>-</v>
      </c>
      <c r="E29270" t="str">
        <v/>
      </c>
      <c r="F29270" t="str">
        <v>-</v>
      </c>
      <c r="G29270" t="str">
        <v>-</v>
      </c>
    </row>
    <row r="29271">
      <c r="B29271" t="str">
        <v>UBND Ủy ban nhân dân xã Tân Hòa  tỉnh TÂY NINH</v>
      </c>
      <c r="C29271" t="str">
        <v>-</v>
      </c>
      <c r="D29271" t="str">
        <v>-</v>
      </c>
      <c r="E29271" t="str">
        <v>-</v>
      </c>
      <c r="F29271" t="str">
        <v>-</v>
      </c>
      <c r="G29271" t="str">
        <v>-</v>
      </c>
    </row>
    <row r="29272">
      <c r="B29272" t="str">
        <v>Công an xã Tân Kỳ  tỉnh Hải Dương</v>
      </c>
      <c r="C29272" t="str">
        <v>-</v>
      </c>
      <c r="D29272" t="str">
        <v>-</v>
      </c>
      <c r="E29272" t="str">
        <v/>
      </c>
      <c r="F29272" t="str">
        <v>-</v>
      </c>
      <c r="G29272" t="str">
        <v>-</v>
      </c>
    </row>
    <row r="29273">
      <c r="B29273" t="str">
        <v>UBND Ủy ban nhân dân xã Tân Kỳ  tỉnh Hải Dương</v>
      </c>
      <c r="C29273" t="str">
        <v>-</v>
      </c>
      <c r="D29273" t="str">
        <v>-</v>
      </c>
      <c r="E29273" t="str">
        <v>-</v>
      </c>
      <c r="F29273" t="str">
        <v>-</v>
      </c>
      <c r="G29273" t="str">
        <v>-</v>
      </c>
    </row>
    <row r="29274">
      <c r="B29274" t="str">
        <v>Công an xã Tân Lãng  tỉnh Bắc Ninh</v>
      </c>
      <c r="C29274" t="str">
        <v>-</v>
      </c>
      <c r="D29274" t="str">
        <v>-</v>
      </c>
      <c r="E29274" t="str">
        <v/>
      </c>
      <c r="F29274" t="str">
        <v>-</v>
      </c>
      <c r="G29274" t="str">
        <v>-</v>
      </c>
    </row>
    <row r="29275">
      <c r="B29275" t="str">
        <v>UBND Ủy ban nhân dân xã Tân Lãng  tỉnh Bắc Ninh</v>
      </c>
      <c r="C29275" t="str">
        <v>-</v>
      </c>
      <c r="D29275" t="str">
        <v>-</v>
      </c>
      <c r="E29275" t="str">
        <v>-</v>
      </c>
      <c r="F29275" t="str">
        <v>-</v>
      </c>
      <c r="G29275" t="str">
        <v>-</v>
      </c>
    </row>
    <row r="29276">
      <c r="B29276" t="str">
        <v>Công an xã Tân Lập  tỉnh Sơn La</v>
      </c>
      <c r="C29276" t="str">
        <v>-</v>
      </c>
      <c r="D29276" t="str">
        <v>-</v>
      </c>
      <c r="E29276" t="str">
        <v/>
      </c>
      <c r="F29276" t="str">
        <v>-</v>
      </c>
      <c r="G29276" t="str">
        <v>-</v>
      </c>
    </row>
    <row r="29277">
      <c r="B29277" t="str">
        <v>UBND Ủy ban nhân dân xã Tân Lập  tỉnh Sơn La</v>
      </c>
      <c r="C29277" t="str">
        <v>-</v>
      </c>
      <c r="D29277" t="str">
        <v>-</v>
      </c>
      <c r="E29277" t="str">
        <v>-</v>
      </c>
      <c r="F29277" t="str">
        <v>-</v>
      </c>
      <c r="G29277" t="str">
        <v>-</v>
      </c>
    </row>
    <row r="29278">
      <c r="B29278" t="str">
        <v>Công an xã Tân Phước Hưng tỉnh Hậu Giang</v>
      </c>
      <c r="C29278" t="str">
        <v>-</v>
      </c>
      <c r="D29278" t="str">
        <v>-</v>
      </c>
      <c r="E29278" t="str">
        <v/>
      </c>
      <c r="F29278" t="str">
        <v>-</v>
      </c>
      <c r="G29278" t="str">
        <v>-</v>
      </c>
    </row>
    <row r="29279">
      <c r="B29279" t="str">
        <v>UBND Ủy ban nhân dân xã Tân Phước Hưng tỉnh Hậu Giang</v>
      </c>
      <c r="C29279" t="str">
        <v>-</v>
      </c>
      <c r="D29279" t="str">
        <v>-</v>
      </c>
      <c r="E29279" t="str">
        <v>-</v>
      </c>
      <c r="F29279" t="str">
        <v>-</v>
      </c>
      <c r="G29279" t="str">
        <v>-</v>
      </c>
    </row>
    <row r="29280">
      <c r="B29280" t="str">
        <v>Công an xã Tân Sơn  tỉnh Hà Nam</v>
      </c>
      <c r="C29280" t="str">
        <v>-</v>
      </c>
      <c r="D29280" t="str">
        <v>-</v>
      </c>
      <c r="E29280" t="str">
        <v/>
      </c>
      <c r="F29280" t="str">
        <v>-</v>
      </c>
      <c r="G29280" t="str">
        <v>-</v>
      </c>
    </row>
    <row r="29281">
      <c r="B29281" t="str">
        <v>UBND Ủy ban nhân dân xã Tân Sơn  tỉnh Hà Nam</v>
      </c>
      <c r="C29281" t="str">
        <v>-</v>
      </c>
      <c r="D29281" t="str">
        <v>-</v>
      </c>
      <c r="E29281" t="str">
        <v>-</v>
      </c>
      <c r="F29281" t="str">
        <v>-</v>
      </c>
      <c r="G29281" t="str">
        <v>-</v>
      </c>
    </row>
    <row r="29282">
      <c r="B29282" t="str">
        <v>Công an xã Tân Thành n tỉnh Thanh Hóa</v>
      </c>
      <c r="C29282" t="str">
        <v>-</v>
      </c>
      <c r="D29282" t="str">
        <v>-</v>
      </c>
      <c r="E29282" t="str">
        <v/>
      </c>
      <c r="F29282" t="str">
        <v>-</v>
      </c>
      <c r="G29282" t="str">
        <v>-</v>
      </c>
    </row>
    <row r="29283">
      <c r="B29283" t="str">
        <v>UBND Ủy ban nhân dân xã Tân Thành n tỉnh Thanh Hóa</v>
      </c>
      <c r="C29283" t="str">
        <v>-</v>
      </c>
      <c r="D29283" t="str">
        <v>-</v>
      </c>
      <c r="E29283" t="str">
        <v>-</v>
      </c>
      <c r="F29283" t="str">
        <v>-</v>
      </c>
      <c r="G29283" t="str">
        <v>-</v>
      </c>
    </row>
    <row r="29284">
      <c r="B29284" t="str">
        <v>Công an xã Tân Thịnh  tỉnh Nam Định</v>
      </c>
      <c r="C29284" t="str">
        <v>-</v>
      </c>
      <c r="D29284" t="str">
        <v>-</v>
      </c>
      <c r="E29284" t="str">
        <v/>
      </c>
      <c r="F29284" t="str">
        <v>-</v>
      </c>
      <c r="G29284" t="str">
        <v>-</v>
      </c>
    </row>
    <row r="29285">
      <c r="B29285" t="str">
        <v>UBND Ủy ban nhân dân xã Tân Thịnh  tỉnh Nam Định</v>
      </c>
      <c r="C29285" t="str">
        <v>-</v>
      </c>
      <c r="D29285" t="str">
        <v>-</v>
      </c>
      <c r="E29285" t="str">
        <v>-</v>
      </c>
      <c r="F29285" t="str">
        <v>-</v>
      </c>
      <c r="G29285" t="str">
        <v>-</v>
      </c>
    </row>
    <row r="29286">
      <c r="B29286" t="str">
        <v>Công an xã Tân Tiến  thành phố Hải Phòng</v>
      </c>
      <c r="C29286" t="str">
        <v>-</v>
      </c>
      <c r="D29286" t="str">
        <v>-</v>
      </c>
      <c r="E29286" t="str">
        <v/>
      </c>
      <c r="F29286" t="str">
        <v>-</v>
      </c>
      <c r="G29286" t="str">
        <v>-</v>
      </c>
    </row>
    <row r="29287">
      <c r="B29287" t="str">
        <v>UBND Ủy ban nhân dân xã Tân Tiến  thành phố Hải Phòng</v>
      </c>
      <c r="C29287" t="str">
        <v>-</v>
      </c>
      <c r="D29287" t="str">
        <v>-</v>
      </c>
      <c r="E29287" t="str">
        <v>-</v>
      </c>
      <c r="F29287" t="str">
        <v>-</v>
      </c>
      <c r="G29287" t="str">
        <v>-</v>
      </c>
    </row>
    <row r="29288">
      <c r="B29288" t="str">
        <v>Công an xã Tân Văn tỉnh Lâm Đồng</v>
      </c>
      <c r="C29288" t="str">
        <v>-</v>
      </c>
      <c r="D29288" t="str">
        <v>-</v>
      </c>
      <c r="E29288" t="str">
        <v/>
      </c>
      <c r="F29288" t="str">
        <v>-</v>
      </c>
      <c r="G29288" t="str">
        <v>-</v>
      </c>
    </row>
    <row r="29289">
      <c r="B29289" t="str">
        <v>UBND Ủy ban nhân dân xã Tân Văn tỉnh Lâm Đồng</v>
      </c>
      <c r="C29289" t="str">
        <v>-</v>
      </c>
      <c r="D29289" t="str">
        <v>-</v>
      </c>
      <c r="E29289" t="str">
        <v>-</v>
      </c>
      <c r="F29289" t="str">
        <v>-</v>
      </c>
      <c r="G29289" t="str">
        <v>-</v>
      </c>
    </row>
    <row r="29290">
      <c r="B29290" t="str">
        <v>Công an xã Tây An  tỉnh Bình Định</v>
      </c>
      <c r="C29290" t="str">
        <v>-</v>
      </c>
      <c r="D29290" t="str">
        <v>-</v>
      </c>
      <c r="E29290" t="str">
        <v/>
      </c>
      <c r="F29290" t="str">
        <v>-</v>
      </c>
      <c r="G29290" t="str">
        <v>-</v>
      </c>
    </row>
    <row r="29291">
      <c r="B29291" t="str">
        <v>UBND Ủy ban nhân dân xã Tây An  tỉnh Bình Định</v>
      </c>
      <c r="C29291" t="str">
        <v>-</v>
      </c>
      <c r="D29291" t="str">
        <v>-</v>
      </c>
      <c r="E29291" t="str">
        <v>-</v>
      </c>
      <c r="F29291" t="str">
        <v>-</v>
      </c>
      <c r="G29291" t="str">
        <v>-</v>
      </c>
    </row>
    <row r="29292">
      <c r="B29292" t="str">
        <v>Công an xã Thạch Đài  tỉnh Hà Tĩnh</v>
      </c>
      <c r="C29292" t="str">
        <v>-</v>
      </c>
      <c r="D29292" t="str">
        <v>-</v>
      </c>
      <c r="E29292" t="str">
        <v/>
      </c>
      <c r="F29292" t="str">
        <v>-</v>
      </c>
      <c r="G29292" t="str">
        <v>-</v>
      </c>
    </row>
    <row r="29293">
      <c r="B29293" t="str">
        <v>UBND Ủy ban nhân dân xã Thạch Đài  tỉnh Hà Tĩnh</v>
      </c>
      <c r="C29293" t="str">
        <v>-</v>
      </c>
      <c r="D29293" t="str">
        <v>-</v>
      </c>
      <c r="E29293" t="str">
        <v>-</v>
      </c>
      <c r="F29293" t="str">
        <v>-</v>
      </c>
      <c r="G29293" t="str">
        <v>-</v>
      </c>
    </row>
    <row r="29294">
      <c r="B29294" t="str">
        <v>Công an xã Thạch Trung  tỉnh Hà Tĩnh</v>
      </c>
      <c r="C29294" t="str">
        <v>-</v>
      </c>
      <c r="D29294" t="str">
        <v>-</v>
      </c>
      <c r="E29294" t="str">
        <v/>
      </c>
      <c r="F29294" t="str">
        <v>-</v>
      </c>
      <c r="G29294" t="str">
        <v>-</v>
      </c>
    </row>
    <row r="29295">
      <c r="B29295" t="str">
        <v>UBND Ủy ban nhân dân xã Thạch Trung  tỉnh Hà Tĩnh</v>
      </c>
      <c r="C29295" t="str">
        <v>-</v>
      </c>
      <c r="D29295" t="str">
        <v>-</v>
      </c>
      <c r="E29295" t="str">
        <v>-</v>
      </c>
      <c r="F29295" t="str">
        <v>-</v>
      </c>
      <c r="G29295" t="str">
        <v>-</v>
      </c>
    </row>
    <row r="29296">
      <c r="B29296" t="str">
        <v>Công an xã Thành An tỉnh Thanh Hóa</v>
      </c>
      <c r="C29296" t="str">
        <v>-</v>
      </c>
      <c r="D29296" t="str">
        <v>-</v>
      </c>
      <c r="E29296" t="str">
        <v/>
      </c>
      <c r="F29296" t="str">
        <v>-</v>
      </c>
      <c r="G29296" t="str">
        <v>-</v>
      </c>
    </row>
    <row r="29297">
      <c r="B29297" t="str">
        <v>UBND Ủy ban nhân dân xã Thành An tỉnh Thanh Hóa</v>
      </c>
      <c r="C29297" t="str">
        <v>-</v>
      </c>
      <c r="D29297" t="str">
        <v>-</v>
      </c>
      <c r="E29297" t="str">
        <v>-</v>
      </c>
      <c r="F29297" t="str">
        <v>-</v>
      </c>
      <c r="G29297" t="str">
        <v>-</v>
      </c>
    </row>
    <row r="29298">
      <c r="B29298" t="str">
        <v>Công an xã Thành Lâm  tỉnh Thanh Hóa</v>
      </c>
      <c r="C29298" t="str">
        <v>-</v>
      </c>
      <c r="D29298" t="str">
        <v>-</v>
      </c>
      <c r="E29298" t="str">
        <v/>
      </c>
      <c r="F29298" t="str">
        <v>-</v>
      </c>
      <c r="G29298" t="str">
        <v>-</v>
      </c>
    </row>
    <row r="29299">
      <c r="B29299" t="str">
        <v>UBND Ủy ban nhân dân xã Thành Lâm  tỉnh Thanh Hóa</v>
      </c>
      <c r="C29299" t="str">
        <v>-</v>
      </c>
      <c r="D29299" t="str">
        <v>-</v>
      </c>
      <c r="E29299" t="str">
        <v>-</v>
      </c>
      <c r="F29299" t="str">
        <v>-</v>
      </c>
      <c r="G29299" t="str">
        <v>-</v>
      </c>
    </row>
    <row r="29300">
      <c r="B29300" t="str">
        <v>Công an xã Thanh Nho  tỉnh Nghệ An</v>
      </c>
      <c r="C29300" t="str">
        <v>-</v>
      </c>
      <c r="D29300" t="str">
        <v>-</v>
      </c>
      <c r="E29300" t="str">
        <v/>
      </c>
      <c r="F29300" t="str">
        <v>-</v>
      </c>
      <c r="G29300" t="str">
        <v>-</v>
      </c>
    </row>
    <row r="29301">
      <c r="B29301" t="str">
        <v>UBND Ủy ban nhân dân xã Thanh Nho  tỉnh Nghệ An</v>
      </c>
      <c r="C29301" t="str">
        <v>-</v>
      </c>
      <c r="D29301" t="str">
        <v>-</v>
      </c>
      <c r="E29301" t="str">
        <v>-</v>
      </c>
      <c r="F29301" t="str">
        <v>-</v>
      </c>
      <c r="G29301" t="str">
        <v>-</v>
      </c>
    </row>
    <row r="29302">
      <c r="B29302" t="str">
        <v>Công an xã Thạnh Quới tỉnh Vĩnh Long</v>
      </c>
      <c r="C29302" t="str">
        <v>-</v>
      </c>
      <c r="D29302" t="str">
        <v>-</v>
      </c>
      <c r="E29302" t="str">
        <v/>
      </c>
      <c r="F29302" t="str">
        <v>-</v>
      </c>
      <c r="G29302" t="str">
        <v>-</v>
      </c>
    </row>
    <row r="29303">
      <c r="B29303" t="str">
        <v>UBND Ủy ban nhân dân xã Thạnh Quới tỉnh Vĩnh Long</v>
      </c>
      <c r="C29303" t="str">
        <v>-</v>
      </c>
      <c r="D29303" t="str">
        <v>-</v>
      </c>
      <c r="E29303" t="str">
        <v>-</v>
      </c>
      <c r="F29303" t="str">
        <v>-</v>
      </c>
      <c r="G29303" t="str">
        <v>-</v>
      </c>
    </row>
    <row r="29304">
      <c r="B29304" t="str">
        <v>Công an xã Thanh Sơn  tỉnh Hải Dương</v>
      </c>
      <c r="C29304" t="str">
        <v>-</v>
      </c>
      <c r="D29304" t="str">
        <v>-</v>
      </c>
      <c r="E29304" t="str">
        <v/>
      </c>
      <c r="F29304" t="str">
        <v>-</v>
      </c>
      <c r="G29304" t="str">
        <v>-</v>
      </c>
    </row>
    <row r="29305">
      <c r="B29305" t="str">
        <v>UBND Ủy ban nhân dân xã Thanh Sơn  tỉnh Hải Dương</v>
      </c>
      <c r="C29305" t="str">
        <v>-</v>
      </c>
      <c r="D29305" t="str">
        <v>-</v>
      </c>
      <c r="E29305" t="str">
        <v>-</v>
      </c>
      <c r="F29305" t="str">
        <v>-</v>
      </c>
      <c r="G29305" t="str">
        <v>-</v>
      </c>
    </row>
    <row r="29306">
      <c r="B29306" t="str">
        <v>Công an xã Thiện Tân  tỉnh Lạng Sơn</v>
      </c>
      <c r="C29306" t="str">
        <v>-</v>
      </c>
      <c r="D29306" t="str">
        <v>-</v>
      </c>
      <c r="E29306" t="str">
        <v/>
      </c>
      <c r="F29306" t="str">
        <v>-</v>
      </c>
      <c r="G29306" t="str">
        <v>-</v>
      </c>
    </row>
    <row r="29307">
      <c r="B29307" t="str">
        <v>UBND Ủy ban nhân dân xã Thiện Tân  tỉnh Lạng Sơn</v>
      </c>
      <c r="C29307" t="str">
        <v>-</v>
      </c>
      <c r="D29307" t="str">
        <v>-</v>
      </c>
      <c r="E29307" t="str">
        <v>-</v>
      </c>
      <c r="F29307" t="str">
        <v>-</v>
      </c>
      <c r="G29307" t="str">
        <v>-</v>
      </c>
    </row>
    <row r="29308">
      <c r="B29308" t="str">
        <v>Công an xã Thiệu Ngọc  tỉnh Thanh Hóa</v>
      </c>
      <c r="C29308" t="str">
        <v>-</v>
      </c>
      <c r="D29308" t="str">
        <v>-</v>
      </c>
      <c r="E29308" t="str">
        <v/>
      </c>
      <c r="F29308" t="str">
        <v>-</v>
      </c>
      <c r="G29308" t="str">
        <v>-</v>
      </c>
    </row>
    <row r="29309">
      <c r="B29309" t="str">
        <v>UBND Ủy ban nhân dân xã Thiệu Ngọc  tỉnh Thanh Hóa</v>
      </c>
      <c r="C29309" t="str">
        <v>-</v>
      </c>
      <c r="D29309" t="str">
        <v>-</v>
      </c>
      <c r="E29309" t="str">
        <v>-</v>
      </c>
      <c r="F29309" t="str">
        <v>-</v>
      </c>
      <c r="G29309" t="str">
        <v>-</v>
      </c>
    </row>
    <row r="29310">
      <c r="B29310" t="str">
        <v>Công an xã Thiệu Vân tỉnh Thanh Hóa</v>
      </c>
      <c r="C29310" t="str">
        <v>-</v>
      </c>
      <c r="D29310" t="str">
        <v>-</v>
      </c>
      <c r="E29310" t="str">
        <v/>
      </c>
      <c r="F29310" t="str">
        <v>-</v>
      </c>
      <c r="G29310" t="str">
        <v>-</v>
      </c>
    </row>
    <row r="29311">
      <c r="B29311" t="str">
        <v>UBND Ủy ban nhân dân xã Thiệu Vân tỉnh Thanh Hóa</v>
      </c>
      <c r="C29311" t="str">
        <v>-</v>
      </c>
      <c r="D29311" t="str">
        <v>-</v>
      </c>
      <c r="E29311" t="str">
        <v>-</v>
      </c>
      <c r="F29311" t="str">
        <v>-</v>
      </c>
      <c r="G29311" t="str">
        <v>-</v>
      </c>
    </row>
    <row r="29312">
      <c r="B29312" t="str">
        <v>Công an xã Thổ Sơn  tỉnh Kiên Giang</v>
      </c>
      <c r="C29312" t="str">
        <v>-</v>
      </c>
      <c r="D29312" t="str">
        <v>-</v>
      </c>
      <c r="E29312" t="str">
        <v/>
      </c>
      <c r="F29312" t="str">
        <v>-</v>
      </c>
      <c r="G29312" t="str">
        <v>-</v>
      </c>
    </row>
    <row r="29313">
      <c r="B29313" t="str">
        <v>UBND Ủy ban nhân dân xã Thổ Sơn  tỉnh Kiên Giang</v>
      </c>
      <c r="C29313" t="str">
        <v>-</v>
      </c>
      <c r="D29313" t="str">
        <v>-</v>
      </c>
      <c r="E29313" t="str">
        <v>-</v>
      </c>
      <c r="F29313" t="str">
        <v>-</v>
      </c>
      <c r="G29313" t="str">
        <v>-</v>
      </c>
    </row>
    <row r="29314">
      <c r="B29314" t="str">
        <v>Công an xã Thọ Thanh tỉnh Thanh Hóa</v>
      </c>
      <c r="C29314" t="str">
        <v>-</v>
      </c>
      <c r="D29314" t="str">
        <v>-</v>
      </c>
      <c r="E29314" t="str">
        <v/>
      </c>
      <c r="F29314" t="str">
        <v>-</v>
      </c>
      <c r="G29314" t="str">
        <v>-</v>
      </c>
    </row>
    <row r="29315">
      <c r="B29315" t="str">
        <v>UBND Ủy ban nhân dân xã Thọ Thanh tỉnh Thanh Hóa</v>
      </c>
      <c r="C29315" t="str">
        <v>-</v>
      </c>
      <c r="D29315" t="str">
        <v>-</v>
      </c>
      <c r="E29315" t="str">
        <v>-</v>
      </c>
      <c r="F29315" t="str">
        <v>-</v>
      </c>
      <c r="G29315" t="str">
        <v>-</v>
      </c>
    </row>
    <row r="29316">
      <c r="B29316" t="str">
        <v>Công an xã Thuận Điền  tỉnh Bến Tre</v>
      </c>
      <c r="C29316" t="str">
        <v>-</v>
      </c>
      <c r="D29316" t="str">
        <v>-</v>
      </c>
      <c r="E29316" t="str">
        <v/>
      </c>
      <c r="F29316" t="str">
        <v>-</v>
      </c>
      <c r="G29316" t="str">
        <v>-</v>
      </c>
    </row>
    <row r="29317">
      <c r="B29317" t="str">
        <v>UBND Ủy ban nhân dân xã Thuận Điền  tỉnh Bến Tre</v>
      </c>
      <c r="C29317" t="str">
        <v>-</v>
      </c>
      <c r="D29317" t="str">
        <v>-</v>
      </c>
      <c r="E29317" t="str">
        <v>-</v>
      </c>
      <c r="F29317" t="str">
        <v>-</v>
      </c>
      <c r="G29317" t="str">
        <v>-</v>
      </c>
    </row>
    <row r="29318">
      <c r="B29318" t="str">
        <v>Công an xã Thuần Hưng  tỉnh Hưng Yên</v>
      </c>
      <c r="C29318" t="str">
        <v>-</v>
      </c>
      <c r="D29318" t="str">
        <v>-</v>
      </c>
      <c r="E29318" t="str">
        <v/>
      </c>
      <c r="F29318" t="str">
        <v>-</v>
      </c>
      <c r="G29318" t="str">
        <v>-</v>
      </c>
    </row>
    <row r="29319">
      <c r="B29319" t="str">
        <v>UBND Ủy ban nhân dân xã Thuần Hưng  tỉnh Hưng Yên</v>
      </c>
      <c r="C29319" t="str">
        <v>-</v>
      </c>
      <c r="D29319" t="str">
        <v>-</v>
      </c>
      <c r="E29319" t="str">
        <v>-</v>
      </c>
      <c r="F29319" t="str">
        <v>-</v>
      </c>
      <c r="G29319" t="str">
        <v>-</v>
      </c>
    </row>
    <row r="29320">
      <c r="B29320" t="str">
        <v>Công an xã Thừa Đức  tỉnh Bến Tre</v>
      </c>
      <c r="C29320" t="str">
        <v>-</v>
      </c>
      <c r="D29320" t="str">
        <v>-</v>
      </c>
      <c r="E29320" t="str">
        <v/>
      </c>
      <c r="F29320" t="str">
        <v>-</v>
      </c>
      <c r="G29320" t="str">
        <v>-</v>
      </c>
    </row>
    <row r="29321">
      <c r="B29321" t="str">
        <v>UBND Ủy ban nhân dân xã Thừa Đức  tỉnh Bến Tre</v>
      </c>
      <c r="C29321" t="str">
        <v>-</v>
      </c>
      <c r="D29321" t="str">
        <v>-</v>
      </c>
      <c r="E29321" t="str">
        <v>-</v>
      </c>
      <c r="F29321" t="str">
        <v>-</v>
      </c>
      <c r="G29321" t="str">
        <v>-</v>
      </c>
    </row>
    <row r="29322">
      <c r="B29322" t="str">
        <v>Công an xã Thượng Ninh  tỉnh Thanh Hóa</v>
      </c>
      <c r="C29322" t="str">
        <v>-</v>
      </c>
      <c r="D29322" t="str">
        <v>-</v>
      </c>
      <c r="E29322" t="str">
        <v/>
      </c>
      <c r="F29322" t="str">
        <v>-</v>
      </c>
      <c r="G29322" t="str">
        <v>-</v>
      </c>
    </row>
    <row r="29323">
      <c r="B29323" t="str">
        <v>UBND Ủy ban nhân dân xã Thượng Ninh  tỉnh Thanh Hóa</v>
      </c>
      <c r="C29323" t="str">
        <v>-</v>
      </c>
      <c r="D29323" t="str">
        <v>-</v>
      </c>
      <c r="E29323" t="str">
        <v>-</v>
      </c>
      <c r="F29323" t="str">
        <v>-</v>
      </c>
      <c r="G29323" t="str">
        <v>-</v>
      </c>
    </row>
    <row r="29324">
      <c r="B29324" t="str">
        <v>Công an xã Thụy Duyên  tỉnh Thái Bình</v>
      </c>
      <c r="C29324" t="str">
        <v>-</v>
      </c>
      <c r="D29324" t="str">
        <v>-</v>
      </c>
      <c r="E29324" t="str">
        <v/>
      </c>
      <c r="F29324" t="str">
        <v>-</v>
      </c>
      <c r="G29324" t="str">
        <v>-</v>
      </c>
    </row>
    <row r="29325">
      <c r="B29325" t="str">
        <v>UBND Ủy ban nhân dân xã Thụy Duyên  tỉnh Thái Bình</v>
      </c>
      <c r="C29325" t="str">
        <v>-</v>
      </c>
      <c r="D29325" t="str">
        <v>-</v>
      </c>
      <c r="E29325" t="str">
        <v>-</v>
      </c>
      <c r="F29325" t="str">
        <v>-</v>
      </c>
      <c r="G29325" t="str">
        <v>-</v>
      </c>
    </row>
    <row r="29326">
      <c r="B29326" t="str">
        <v>Công an xã Tiến Bộ  tỉnh Tuyên Quang</v>
      </c>
      <c r="C29326" t="str">
        <v>-</v>
      </c>
      <c r="D29326" t="str">
        <v>-</v>
      </c>
      <c r="E29326" t="str">
        <v/>
      </c>
      <c r="F29326" t="str">
        <v>-</v>
      </c>
      <c r="G29326" t="str">
        <v>-</v>
      </c>
    </row>
    <row r="29327">
      <c r="B29327" t="str">
        <v>UBND Ủy ban nhân dân xã Tiến Bộ  tỉnh Tuyên Quang</v>
      </c>
      <c r="C29327" t="str">
        <v>-</v>
      </c>
      <c r="D29327" t="str">
        <v>-</v>
      </c>
      <c r="E29327" t="str">
        <v>-</v>
      </c>
      <c r="F29327" t="str">
        <v>-</v>
      </c>
      <c r="G29327" t="str">
        <v>-</v>
      </c>
    </row>
    <row r="29328">
      <c r="B29328" t="str">
        <v>Công an xã Tiên Động  tỉnh Hải Dương</v>
      </c>
      <c r="C29328" t="str">
        <v>-</v>
      </c>
      <c r="D29328" t="str">
        <v>-</v>
      </c>
      <c r="E29328" t="str">
        <v/>
      </c>
      <c r="F29328" t="str">
        <v>-</v>
      </c>
      <c r="G29328" t="str">
        <v>-</v>
      </c>
    </row>
    <row r="29329">
      <c r="B29329" t="str">
        <v>UBND Ủy ban nhân dân xã Tiên Động  tỉnh Hải Dương</v>
      </c>
      <c r="C29329" t="str">
        <v>-</v>
      </c>
      <c r="D29329" t="str">
        <v>-</v>
      </c>
      <c r="E29329" t="str">
        <v>-</v>
      </c>
      <c r="F29329" t="str">
        <v>-</v>
      </c>
      <c r="G29329" t="str">
        <v>-</v>
      </c>
    </row>
    <row r="29330">
      <c r="B29330" t="str">
        <v>Công an xã Tông Lạnh  tỉnh Sơn La</v>
      </c>
      <c r="C29330" t="str">
        <v>-</v>
      </c>
      <c r="D29330" t="str">
        <v>-</v>
      </c>
      <c r="E29330" t="str">
        <v/>
      </c>
      <c r="F29330" t="str">
        <v>-</v>
      </c>
      <c r="G29330" t="str">
        <v>-</v>
      </c>
    </row>
    <row r="29331">
      <c r="B29331" t="str">
        <v>UBND Ủy ban nhân dân xã Tông Lạnh  tỉnh Sơn La</v>
      </c>
      <c r="C29331" t="str">
        <v>-</v>
      </c>
      <c r="D29331" t="str">
        <v>-</v>
      </c>
      <c r="E29331" t="str">
        <v>-</v>
      </c>
      <c r="F29331" t="str">
        <v>-</v>
      </c>
      <c r="G29331" t="str">
        <v>-</v>
      </c>
    </row>
    <row r="29332">
      <c r="B29332" t="str">
        <v>Công an xã Tràng An  tỉnh Hà Nam</v>
      </c>
      <c r="C29332" t="str">
        <v>-</v>
      </c>
      <c r="D29332" t="str">
        <v>-</v>
      </c>
      <c r="E29332" t="str">
        <v/>
      </c>
      <c r="F29332" t="str">
        <v>-</v>
      </c>
      <c r="G29332" t="str">
        <v>-</v>
      </c>
    </row>
    <row r="29333">
      <c r="B29333" t="str">
        <v>UBND Ủy ban nhân dân xã Tràng An  tỉnh Hà Nam</v>
      </c>
      <c r="C29333" t="str">
        <v>-</v>
      </c>
      <c r="D29333" t="str">
        <v>-</v>
      </c>
      <c r="E29333" t="str">
        <v>-</v>
      </c>
      <c r="F29333" t="str">
        <v>-</v>
      </c>
      <c r="G29333" t="str">
        <v>-</v>
      </c>
    </row>
    <row r="29334">
      <c r="B29334" t="str">
        <v>Công an xã Trung Hội  tỉnh Thái Nguyên</v>
      </c>
      <c r="C29334" t="str">
        <v>-</v>
      </c>
      <c r="D29334" t="str">
        <v>-</v>
      </c>
      <c r="E29334" t="str">
        <v/>
      </c>
      <c r="F29334" t="str">
        <v>-</v>
      </c>
      <c r="G29334" t="str">
        <v>-</v>
      </c>
    </row>
    <row r="29335">
      <c r="B29335" t="str">
        <v>UBND Ủy ban nhân dân xã Trung Hội  tỉnh Thái Nguyên</v>
      </c>
      <c r="C29335" t="str">
        <v>-</v>
      </c>
      <c r="D29335" t="str">
        <v>-</v>
      </c>
      <c r="E29335" t="str">
        <v>-</v>
      </c>
      <c r="F29335" t="str">
        <v>-</v>
      </c>
      <c r="G29335" t="str">
        <v>-</v>
      </c>
    </row>
    <row r="29336">
      <c r="B29336" t="str">
        <v>Công an xã Trung Ngãi tỉnh Vĩnh Long</v>
      </c>
      <c r="C29336" t="str">
        <v>-</v>
      </c>
      <c r="D29336" t="str">
        <v>-</v>
      </c>
      <c r="E29336" t="str">
        <v/>
      </c>
      <c r="F29336" t="str">
        <v>-</v>
      </c>
      <c r="G29336" t="str">
        <v>-</v>
      </c>
    </row>
    <row r="29337">
      <c r="B29337" t="str">
        <v>UBND Ủy ban nhân dân xã Trung Ngãi tỉnh Vĩnh Long</v>
      </c>
      <c r="C29337" t="str">
        <v>-</v>
      </c>
      <c r="D29337" t="str">
        <v>-</v>
      </c>
      <c r="E29337" t="str">
        <v>-</v>
      </c>
      <c r="F29337" t="str">
        <v>-</v>
      </c>
      <c r="G29337" t="str">
        <v>-</v>
      </c>
    </row>
    <row r="29338">
      <c r="B29338" t="str">
        <v>Công an xã Trường Đông  tỉnh TÂY NINH</v>
      </c>
      <c r="C29338" t="str">
        <v>-</v>
      </c>
      <c r="D29338" t="str">
        <v>-</v>
      </c>
      <c r="E29338" t="str">
        <v/>
      </c>
      <c r="F29338" t="str">
        <v>-</v>
      </c>
      <c r="G29338" t="str">
        <v>-</v>
      </c>
    </row>
    <row r="29339">
      <c r="B29339" t="str">
        <v>UBND Ủy ban nhân dân xã Trường Đông  tỉnh TÂY NINH</v>
      </c>
      <c r="C29339" t="str">
        <v>-</v>
      </c>
      <c r="D29339" t="str">
        <v>-</v>
      </c>
      <c r="E29339" t="str">
        <v>-</v>
      </c>
      <c r="F29339" t="str">
        <v>-</v>
      </c>
      <c r="G29339" t="str">
        <v>-</v>
      </c>
    </row>
    <row r="29340">
      <c r="B29340" t="str">
        <v>Công an xã Tư Mại tỉnh Bắc Giang</v>
      </c>
      <c r="C29340" t="str">
        <v>-</v>
      </c>
      <c r="D29340" t="str">
        <v>-</v>
      </c>
      <c r="E29340" t="str">
        <v/>
      </c>
      <c r="F29340" t="str">
        <v>-</v>
      </c>
      <c r="G29340" t="str">
        <v>-</v>
      </c>
    </row>
    <row r="29341">
      <c r="B29341" t="str">
        <v>UBND Ủy ban nhân dân xã Tư Mại tỉnh Bắc Giang</v>
      </c>
      <c r="C29341" t="str">
        <v>-</v>
      </c>
      <c r="D29341" t="str">
        <v>-</v>
      </c>
      <c r="E29341" t="str">
        <v>-</v>
      </c>
      <c r="F29341" t="str">
        <v>-</v>
      </c>
      <c r="G29341" t="str">
        <v>-</v>
      </c>
    </row>
    <row r="29342">
      <c r="B29342" t="str">
        <v>Công an xã Tứ xã  tỉnh Phú Thọ</v>
      </c>
      <c r="C29342" t="str">
        <v>-</v>
      </c>
      <c r="D29342" t="str">
        <v>-</v>
      </c>
      <c r="E29342" t="str">
        <v/>
      </c>
      <c r="F29342" t="str">
        <v>-</v>
      </c>
      <c r="G29342" t="str">
        <v>-</v>
      </c>
    </row>
    <row r="29343">
      <c r="B29343" t="str">
        <v>UBND Ủy ban nhân dân xã Tứ xã  tỉnh Phú Thọ</v>
      </c>
      <c r="C29343" t="str">
        <v>-</v>
      </c>
      <c r="D29343" t="str">
        <v>-</v>
      </c>
      <c r="E29343" t="str">
        <v>-</v>
      </c>
      <c r="F29343" t="str">
        <v>-</v>
      </c>
      <c r="G29343" t="str">
        <v>-</v>
      </c>
    </row>
    <row r="29344">
      <c r="B29344" t="str">
        <v>Công an xã Văn Bán tỉnh Phú Thọ</v>
      </c>
      <c r="C29344" t="str">
        <v>-</v>
      </c>
      <c r="D29344" t="str">
        <v>-</v>
      </c>
      <c r="E29344" t="str">
        <v/>
      </c>
      <c r="F29344" t="str">
        <v>-</v>
      </c>
      <c r="G29344" t="str">
        <v>-</v>
      </c>
    </row>
    <row r="29345">
      <c r="B29345" t="str">
        <v>UBND Ủy ban nhân dân xã Văn Bán tỉnh Phú Thọ</v>
      </c>
      <c r="C29345" t="str">
        <v>-</v>
      </c>
      <c r="D29345" t="str">
        <v>-</v>
      </c>
      <c r="E29345" t="str">
        <v>-</v>
      </c>
      <c r="F29345" t="str">
        <v>-</v>
      </c>
      <c r="G29345" t="str">
        <v>-</v>
      </c>
    </row>
    <row r="29346">
      <c r="B29346" t="str">
        <v>Công an xã Vạn Ninh  tỉnh Quảng Bình</v>
      </c>
      <c r="C29346" t="str">
        <v>-</v>
      </c>
      <c r="D29346" t="str">
        <v>-</v>
      </c>
      <c r="E29346" t="str">
        <v/>
      </c>
      <c r="F29346" t="str">
        <v>-</v>
      </c>
      <c r="G29346" t="str">
        <v>-</v>
      </c>
    </row>
    <row r="29347">
      <c r="B29347" t="str">
        <v>UBND Ủy ban nhân dân xã Vạn Ninh  tỉnh Quảng Bình</v>
      </c>
      <c r="C29347" t="str">
        <v>-</v>
      </c>
      <c r="D29347" t="str">
        <v>-</v>
      </c>
      <c r="E29347" t="str">
        <v>-</v>
      </c>
      <c r="F29347" t="str">
        <v>-</v>
      </c>
      <c r="G29347" t="str">
        <v>-</v>
      </c>
    </row>
    <row r="29348">
      <c r="B29348" t="str">
        <v>Công an xã Vạn Thủy tỉnh Lạng Sơn</v>
      </c>
      <c r="C29348" t="str">
        <v>-</v>
      </c>
      <c r="D29348" t="str">
        <v>-</v>
      </c>
      <c r="E29348" t="str">
        <v/>
      </c>
      <c r="F29348" t="str">
        <v>-</v>
      </c>
      <c r="G29348" t="str">
        <v>-</v>
      </c>
    </row>
    <row r="29349">
      <c r="B29349" t="str">
        <v>UBND Ủy ban nhân dân xã Vạn Thủy tỉnh Lạng Sơn</v>
      </c>
      <c r="C29349" t="str">
        <v>-</v>
      </c>
      <c r="D29349" t="str">
        <v>-</v>
      </c>
      <c r="E29349" t="str">
        <v>-</v>
      </c>
      <c r="F29349" t="str">
        <v>-</v>
      </c>
      <c r="G29349" t="str">
        <v>-</v>
      </c>
    </row>
    <row r="29350">
      <c r="B29350" t="str">
        <v>Công an xã Vinh Kim  tỉnh Trà Vinh</v>
      </c>
      <c r="C29350" t="str">
        <v>-</v>
      </c>
      <c r="D29350" t="str">
        <v>-</v>
      </c>
      <c r="E29350" t="str">
        <v/>
      </c>
      <c r="F29350" t="str">
        <v>-</v>
      </c>
      <c r="G29350" t="str">
        <v>-</v>
      </c>
    </row>
    <row r="29351">
      <c r="B29351" t="str">
        <v>UBND Ủy ban nhân dân xã Vinh Kim  tỉnh Trà Vinh</v>
      </c>
      <c r="C29351" t="str">
        <v>-</v>
      </c>
      <c r="D29351" t="str">
        <v>-</v>
      </c>
      <c r="E29351" t="str">
        <v>-</v>
      </c>
      <c r="F29351" t="str">
        <v>-</v>
      </c>
      <c r="G29351" t="str">
        <v>-</v>
      </c>
    </row>
    <row r="29352">
      <c r="B29352" t="str">
        <v>Công an xã Vĩnh Phong  tỉnh Cao Bằng</v>
      </c>
      <c r="C29352" t="str">
        <v>-</v>
      </c>
      <c r="D29352" t="str">
        <v>-</v>
      </c>
      <c r="E29352" t="str">
        <v/>
      </c>
      <c r="F29352" t="str">
        <v>-</v>
      </c>
      <c r="G29352" t="str">
        <v>-</v>
      </c>
    </row>
    <row r="29353">
      <c r="B29353" t="str">
        <v>UBND Ủy ban nhân dân xã Vĩnh Phong  tỉnh Cao Bằng</v>
      </c>
      <c r="C29353" t="str">
        <v>-</v>
      </c>
      <c r="D29353" t="str">
        <v>-</v>
      </c>
      <c r="E29353" t="str">
        <v>-</v>
      </c>
      <c r="F29353" t="str">
        <v>-</v>
      </c>
      <c r="G29353" t="str">
        <v>-</v>
      </c>
    </row>
    <row r="29354">
      <c r="B29354" t="str">
        <v>Công an xã Vĩnh Quang tỉnh Thanh Hóa</v>
      </c>
      <c r="C29354" t="str">
        <v>-</v>
      </c>
      <c r="D29354" t="str">
        <v>-</v>
      </c>
      <c r="E29354" t="str">
        <v/>
      </c>
      <c r="F29354" t="str">
        <v>-</v>
      </c>
      <c r="G29354" t="str">
        <v>-</v>
      </c>
    </row>
    <row r="29355">
      <c r="B29355" t="str">
        <v>UBND Ủy ban nhân dân xã Vĩnh Quang tỉnh Thanh Hóa</v>
      </c>
      <c r="C29355" t="str">
        <v>-</v>
      </c>
      <c r="D29355" t="str">
        <v>-</v>
      </c>
      <c r="E29355" t="str">
        <v>-</v>
      </c>
      <c r="F29355" t="str">
        <v>-</v>
      </c>
      <c r="G29355" t="str">
        <v>-</v>
      </c>
    </row>
    <row r="29356">
      <c r="B29356" t="str">
        <v>Công an xã Vĩnh Sơn  tỉnh Bình Định</v>
      </c>
      <c r="C29356" t="str">
        <v>-</v>
      </c>
      <c r="D29356" t="str">
        <v>-</v>
      </c>
      <c r="E29356" t="str">
        <v/>
      </c>
      <c r="F29356" t="str">
        <v>-</v>
      </c>
      <c r="G29356" t="str">
        <v>-</v>
      </c>
    </row>
    <row r="29357">
      <c r="B29357" t="str">
        <v>UBND Ủy ban nhân dân xã Vĩnh Sơn  tỉnh Bình Định</v>
      </c>
      <c r="C29357" t="str">
        <v>-</v>
      </c>
      <c r="D29357" t="str">
        <v>-</v>
      </c>
      <c r="E29357" t="str">
        <v>-</v>
      </c>
      <c r="F29357" t="str">
        <v>-</v>
      </c>
      <c r="G29357" t="str">
        <v>-</v>
      </c>
    </row>
    <row r="29358">
      <c r="B29358" t="str">
        <v>Công an xã Vĩnh Tiến  tỉnh Thanh Hóa</v>
      </c>
      <c r="C29358" t="str">
        <v>-</v>
      </c>
      <c r="D29358" t="str">
        <v>-</v>
      </c>
      <c r="E29358" t="str">
        <v/>
      </c>
      <c r="F29358" t="str">
        <v>-</v>
      </c>
      <c r="G29358" t="str">
        <v>-</v>
      </c>
    </row>
    <row r="29359">
      <c r="B29359" t="str">
        <v>UBND Ủy ban nhân dân xã Vĩnh Tiến  tỉnh Thanh Hóa</v>
      </c>
      <c r="C29359" t="str">
        <v>-</v>
      </c>
      <c r="D29359" t="str">
        <v>-</v>
      </c>
      <c r="E29359" t="str">
        <v>-</v>
      </c>
      <c r="F29359" t="str">
        <v>-</v>
      </c>
      <c r="G29359" t="str">
        <v>-</v>
      </c>
    </row>
    <row r="29360">
      <c r="B29360" t="str">
        <v>Công an xã Vô Tranh  tỉnh Phú Thọ</v>
      </c>
      <c r="C29360" t="str">
        <v>-</v>
      </c>
      <c r="D29360" t="str">
        <v>-</v>
      </c>
      <c r="E29360" t="str">
        <v/>
      </c>
      <c r="F29360" t="str">
        <v>-</v>
      </c>
      <c r="G29360" t="str">
        <v>-</v>
      </c>
    </row>
    <row r="29361">
      <c r="B29361" t="str">
        <v>UBND Ủy ban nhân dân xã Vô Tranh  tỉnh Phú Thọ</v>
      </c>
      <c r="C29361" t="str">
        <v>-</v>
      </c>
      <c r="D29361" t="str">
        <v>-</v>
      </c>
      <c r="E29361" t="str">
        <v>-</v>
      </c>
      <c r="F29361" t="str">
        <v>-</v>
      </c>
      <c r="G29361" t="str">
        <v>-</v>
      </c>
    </row>
    <row r="29362">
      <c r="B29362" t="str">
        <v>Công an xã Vô Tranh tỉnh Bắc Giang</v>
      </c>
      <c r="C29362" t="str">
        <v>-</v>
      </c>
      <c r="D29362" t="str">
        <v>-</v>
      </c>
      <c r="E29362" t="str">
        <v/>
      </c>
      <c r="F29362" t="str">
        <v>-</v>
      </c>
      <c r="G29362" t="str">
        <v>-</v>
      </c>
    </row>
    <row r="29363">
      <c r="B29363" t="str">
        <v>UBND Ủy ban nhân dân xã Vô Tranh tỉnh Bắc Giang</v>
      </c>
      <c r="C29363" t="str">
        <v>-</v>
      </c>
      <c r="D29363" t="str">
        <v>-</v>
      </c>
      <c r="E29363" t="str">
        <v>-</v>
      </c>
      <c r="F29363" t="str">
        <v>-</v>
      </c>
      <c r="G29363" t="str">
        <v>-</v>
      </c>
    </row>
    <row r="29364">
      <c r="B29364" t="str">
        <v>Công an xã Vĩnh Sơn tỉnh Nghệ An</v>
      </c>
      <c r="C29364" t="str">
        <v>-</v>
      </c>
      <c r="D29364" t="str">
        <v>-</v>
      </c>
      <c r="E29364" t="str">
        <v/>
      </c>
      <c r="F29364" t="str">
        <v>-</v>
      </c>
      <c r="G29364" t="str">
        <v>-</v>
      </c>
    </row>
    <row r="29365">
      <c r="B29365" t="str">
        <v>UBND Ủy ban nhân dân xã Vĩnh Sơn tỉnh Nghệ An</v>
      </c>
      <c r="C29365" t="str">
        <v>-</v>
      </c>
      <c r="D29365" t="str">
        <v>-</v>
      </c>
      <c r="E29365" t="str">
        <v>-</v>
      </c>
      <c r="F29365" t="str">
        <v>-</v>
      </c>
      <c r="G29365" t="str">
        <v>-</v>
      </c>
    </row>
    <row r="29366">
      <c r="B29366" t="str">
        <v>Công an xã Xuân An tỉnh Gia Lai</v>
      </c>
      <c r="C29366" t="str">
        <v>-</v>
      </c>
      <c r="D29366" t="str">
        <v>-</v>
      </c>
      <c r="E29366" t="str">
        <v/>
      </c>
      <c r="F29366" t="str">
        <v>-</v>
      </c>
      <c r="G29366" t="str">
        <v>-</v>
      </c>
    </row>
    <row r="29367">
      <c r="B29367" t="str">
        <v>UBND Ủy ban nhân dân xã Xuân An tỉnh Gia Lai</v>
      </c>
      <c r="C29367" t="str">
        <v>-</v>
      </c>
      <c r="D29367" t="str">
        <v>-</v>
      </c>
      <c r="E29367" t="str">
        <v>-</v>
      </c>
      <c r="F29367" t="str">
        <v>-</v>
      </c>
      <c r="G29367" t="str">
        <v>-</v>
      </c>
    </row>
    <row r="29368">
      <c r="B29368" t="str">
        <v>Công an xã Xuân Châu tỉnh Nam Định</v>
      </c>
      <c r="C29368" t="str">
        <v>-</v>
      </c>
      <c r="D29368" t="str">
        <v>-</v>
      </c>
      <c r="E29368" t="str">
        <v/>
      </c>
      <c r="F29368" t="str">
        <v>-</v>
      </c>
      <c r="G29368" t="str">
        <v>-</v>
      </c>
    </row>
    <row r="29369">
      <c r="B29369" t="str">
        <v>UBND Ủy ban nhân dân xã Xuân Châu tỉnh Nam Định</v>
      </c>
      <c r="C29369" t="str">
        <v>-</v>
      </c>
      <c r="D29369" t="str">
        <v>-</v>
      </c>
      <c r="E29369" t="str">
        <v>-</v>
      </c>
      <c r="F29369" t="str">
        <v>-</v>
      </c>
      <c r="G29369" t="str">
        <v>-</v>
      </c>
    </row>
    <row r="29370">
      <c r="B29370" t="str">
        <v>Công an xã Xuân Lam  tỉnh Hà Tĩnh</v>
      </c>
      <c r="C29370" t="str">
        <v>-</v>
      </c>
      <c r="D29370" t="str">
        <v>-</v>
      </c>
      <c r="E29370" t="str">
        <v/>
      </c>
      <c r="F29370" t="str">
        <v>-</v>
      </c>
      <c r="G29370" t="str">
        <v>-</v>
      </c>
    </row>
    <row r="29371">
      <c r="B29371" t="str">
        <v>UBND Ủy ban nhân dân xã Xuân Lam  tỉnh Hà Tĩnh</v>
      </c>
      <c r="C29371" t="str">
        <v>-</v>
      </c>
      <c r="D29371" t="str">
        <v>-</v>
      </c>
      <c r="E29371" t="str">
        <v>-</v>
      </c>
      <c r="F29371" t="str">
        <v>-</v>
      </c>
      <c r="G29371" t="str">
        <v>-</v>
      </c>
    </row>
    <row r="29372">
      <c r="B29372" t="str">
        <v>Công an xã Xuân Mỹ  tỉnh Đồng Nai</v>
      </c>
      <c r="C29372" t="str">
        <v>-</v>
      </c>
      <c r="D29372" t="str">
        <v>-</v>
      </c>
      <c r="E29372" t="str">
        <v/>
      </c>
      <c r="F29372" t="str">
        <v>-</v>
      </c>
      <c r="G29372" t="str">
        <v>-</v>
      </c>
    </row>
    <row r="29373">
      <c r="B29373" t="str">
        <v>UBND Ủy ban nhân dân xã Xuân Mỹ  tỉnh Đồng Nai</v>
      </c>
      <c r="C29373" t="str">
        <v>-</v>
      </c>
      <c r="D29373" t="str">
        <v>-</v>
      </c>
      <c r="E29373" t="str">
        <v>-</v>
      </c>
      <c r="F29373" t="str">
        <v>-</v>
      </c>
      <c r="G29373" t="str">
        <v>-</v>
      </c>
    </row>
    <row r="29374">
      <c r="B29374" t="str">
        <v>Công an xã Yên Khê  tỉnh Nghệ An</v>
      </c>
      <c r="C29374" t="str">
        <v>-</v>
      </c>
      <c r="D29374" t="str">
        <v>-</v>
      </c>
      <c r="E29374" t="str">
        <v/>
      </c>
      <c r="F29374" t="str">
        <v>-</v>
      </c>
      <c r="G29374" t="str">
        <v>-</v>
      </c>
    </row>
    <row r="29375">
      <c r="B29375" t="str">
        <v>UBND Ủy ban nhân dân xã Yên Khê  tỉnh Nghệ An</v>
      </c>
      <c r="C29375" t="str">
        <v>-</v>
      </c>
      <c r="D29375" t="str">
        <v>-</v>
      </c>
      <c r="E29375" t="str">
        <v>-</v>
      </c>
      <c r="F29375" t="str">
        <v>-</v>
      </c>
      <c r="G29375" t="str">
        <v>-</v>
      </c>
    </row>
    <row r="29376">
      <c r="B29376" t="str">
        <v>Công an xã Yên Kỳ  tỉnh Phú Thọ</v>
      </c>
      <c r="C29376" t="str">
        <v>-</v>
      </c>
      <c r="D29376" t="str">
        <v>-</v>
      </c>
      <c r="E29376" t="str">
        <v/>
      </c>
      <c r="F29376" t="str">
        <v>-</v>
      </c>
      <c r="G29376" t="str">
        <v>-</v>
      </c>
    </row>
    <row r="29377">
      <c r="B29377" t="str">
        <v>UBND Ủy ban nhân dân xã Yên Kỳ  tỉnh Phú Thọ</v>
      </c>
      <c r="C29377" t="str">
        <v>-</v>
      </c>
      <c r="D29377" t="str">
        <v>-</v>
      </c>
      <c r="E29377" t="str">
        <v>-</v>
      </c>
      <c r="F29377" t="str">
        <v>-</v>
      </c>
      <c r="G29377" t="str">
        <v>-</v>
      </c>
    </row>
    <row r="29378">
      <c r="B29378" t="str">
        <v>Công an xã Yên Nguyên tỉnh Tuyên Quang</v>
      </c>
      <c r="C29378" t="str">
        <v>-</v>
      </c>
      <c r="D29378" t="str">
        <v>-</v>
      </c>
      <c r="E29378" t="str">
        <v/>
      </c>
      <c r="F29378" t="str">
        <v>-</v>
      </c>
      <c r="G29378" t="str">
        <v>-</v>
      </c>
    </row>
    <row r="29379">
      <c r="B29379" t="str">
        <v>UBND Ủy ban nhân dân xã Yên Nguyên tỉnh Tuyên Quang</v>
      </c>
      <c r="C29379" t="str">
        <v>-</v>
      </c>
      <c r="D29379" t="str">
        <v>-</v>
      </c>
      <c r="E29379" t="str">
        <v>-</v>
      </c>
      <c r="F29379" t="str">
        <v>-</v>
      </c>
      <c r="G29379" t="str">
        <v>-</v>
      </c>
    </row>
    <row r="29380">
      <c r="B29380" t="str">
        <v>Công an xã Yên Ninh tỉnh Thanh Hóa</v>
      </c>
      <c r="C29380" t="str">
        <v>-</v>
      </c>
      <c r="D29380" t="str">
        <v>-</v>
      </c>
      <c r="E29380" t="str">
        <v/>
      </c>
      <c r="F29380" t="str">
        <v>-</v>
      </c>
      <c r="G29380" t="str">
        <v>-</v>
      </c>
    </row>
    <row r="29381">
      <c r="B29381" t="str">
        <v>UBND Ủy ban nhân dân xã Yên Ninh tỉnh Thanh Hóa</v>
      </c>
      <c r="C29381" t="str">
        <v>-</v>
      </c>
      <c r="D29381" t="str">
        <v>-</v>
      </c>
      <c r="E29381" t="str">
        <v>-</v>
      </c>
      <c r="F29381" t="str">
        <v>-</v>
      </c>
      <c r="G29381" t="str">
        <v>-</v>
      </c>
    </row>
    <row r="29382">
      <c r="B29382" t="str">
        <v>Công an xã Yên Trung tỉnh Bắc Ninh</v>
      </c>
      <c r="C29382" t="str">
        <v>-</v>
      </c>
      <c r="D29382" t="str">
        <v>-</v>
      </c>
      <c r="E29382" t="str">
        <v/>
      </c>
      <c r="F29382" t="str">
        <v>-</v>
      </c>
      <c r="G29382" t="str">
        <v>-</v>
      </c>
    </row>
    <row r="29383">
      <c r="B29383" t="str">
        <v>UBND Ủy ban nhân dân xã Yên Trung tỉnh Bắc Ninh</v>
      </c>
      <c r="C29383" t="str">
        <v>-</v>
      </c>
      <c r="D29383" t="str">
        <v>-</v>
      </c>
      <c r="E29383" t="str">
        <v>-</v>
      </c>
      <c r="F29383" t="str">
        <v>-</v>
      </c>
      <c r="G29383" t="str">
        <v>-</v>
      </c>
    </row>
    <row r="29384">
      <c r="B29384" t="str">
        <v>Công an xã Xuân Hòa tỉnh Thanh Hóa</v>
      </c>
      <c r="C29384" t="str">
        <v>-</v>
      </c>
      <c r="D29384" t="str">
        <v>-</v>
      </c>
      <c r="E29384" t="str">
        <v/>
      </c>
      <c r="F29384" t="str">
        <v>-</v>
      </c>
      <c r="G29384" t="str">
        <v>-</v>
      </c>
    </row>
    <row r="29385">
      <c r="B29385" t="str">
        <v>UBND Ủy ban nhân dân xã Xuân Hòa tỉnh Thanh Hóa</v>
      </c>
      <c r="C29385" t="str">
        <v>-</v>
      </c>
      <c r="D29385" t="str">
        <v>-</v>
      </c>
      <c r="E29385" t="str">
        <v>-</v>
      </c>
      <c r="F29385" t="str">
        <v>-</v>
      </c>
      <c r="G29385" t="str">
        <v>-</v>
      </c>
    </row>
    <row r="29386">
      <c r="B29386" t="str">
        <v>Công an xã Yên Khương tỉnh Thanh Hóa</v>
      </c>
      <c r="C29386" t="str">
        <v>-</v>
      </c>
      <c r="D29386" t="str">
        <v>-</v>
      </c>
      <c r="E29386" t="str">
        <v/>
      </c>
      <c r="F29386" t="str">
        <v>-</v>
      </c>
      <c r="G29386" t="str">
        <v>-</v>
      </c>
    </row>
    <row r="29387">
      <c r="B29387" t="str">
        <v>UBND Ủy ban nhân dân xã Yên Khương tỉnh Thanh Hóa</v>
      </c>
      <c r="C29387" t="str">
        <v>-</v>
      </c>
      <c r="D29387" t="str">
        <v>-</v>
      </c>
      <c r="E29387" t="str">
        <v>-</v>
      </c>
      <c r="F29387" t="str">
        <v>-</v>
      </c>
      <c r="G29387" t="str">
        <v>-</v>
      </c>
    </row>
    <row r="29388">
      <c r="B29388" t="str">
        <v>Công an thị trấn Yên Lâm tỉnh Thanh Hóa</v>
      </c>
      <c r="C29388" t="str">
        <v>-</v>
      </c>
      <c r="D29388" t="str">
        <v>-</v>
      </c>
      <c r="E29388" t="str">
        <v/>
      </c>
      <c r="F29388" t="str">
        <v>-</v>
      </c>
      <c r="G29388" t="str">
        <v>-</v>
      </c>
    </row>
    <row r="29389">
      <c r="B29389" t="str">
        <v>UBND Ủy ban nhân dân thị trấn Yên Lâm tỉnh Thanh Hóa</v>
      </c>
      <c r="C29389" t="str">
        <v>-</v>
      </c>
      <c r="D29389" t="str">
        <v>-</v>
      </c>
      <c r="E29389" t="str">
        <v>-</v>
      </c>
      <c r="F29389" t="str">
        <v>-</v>
      </c>
      <c r="G29389" t="str">
        <v>-</v>
      </c>
    </row>
    <row r="29390">
      <c r="B29390" t="str">
        <v>Công an huyện Yên Thuỷ tỉnh Hòa Bình</v>
      </c>
      <c r="C29390" t="str">
        <v>-</v>
      </c>
      <c r="D29390" t="str">
        <v>-</v>
      </c>
      <c r="E29390" t="str">
        <v/>
      </c>
      <c r="F29390" t="str">
        <v>-</v>
      </c>
      <c r="G29390" t="str">
        <v>-</v>
      </c>
    </row>
    <row r="29391">
      <c r="B29391" t="str">
        <v>UBND Ủy ban nhân dân huyện Yên Thuỷ tỉnh Hòa Bình</v>
      </c>
      <c r="C29391" t="str">
        <v>-</v>
      </c>
      <c r="D29391" t="str">
        <v>-</v>
      </c>
      <c r="E29391" t="str">
        <v>-</v>
      </c>
      <c r="F29391" t="str">
        <v>-</v>
      </c>
      <c r="G29391" t="str">
        <v>-</v>
      </c>
    </row>
    <row r="29392">
      <c r="B29392" t="str">
        <v>Công an xã Bình Khánh  tỉnh Bến Tre</v>
      </c>
      <c r="C29392" t="str">
        <v>-</v>
      </c>
      <c r="D29392" t="str">
        <v>-</v>
      </c>
      <c r="E29392" t="str">
        <v/>
      </c>
      <c r="F29392" t="str">
        <v>-</v>
      </c>
      <c r="G29392" t="str">
        <v>-</v>
      </c>
    </row>
    <row r="29393">
      <c r="B29393" t="str">
        <v>UBND Ủy ban nhân dân xã Bình Khánh  tỉnh Bến Tre</v>
      </c>
      <c r="C29393" t="str">
        <v>-</v>
      </c>
      <c r="D29393" t="str">
        <v>-</v>
      </c>
      <c r="E29393" t="str">
        <v>-</v>
      </c>
      <c r="F29393" t="str">
        <v>-</v>
      </c>
      <c r="G29393" t="str">
        <v>-</v>
      </c>
    </row>
    <row r="29394">
      <c r="B29394" t="str">
        <v>Công an xã Bình An  tỉnh Đồng Nai</v>
      </c>
      <c r="C29394" t="str">
        <v>-</v>
      </c>
      <c r="D29394" t="str">
        <v>-</v>
      </c>
      <c r="E29394" t="str">
        <v/>
      </c>
      <c r="F29394" t="str">
        <v>-</v>
      </c>
      <c r="G29394" t="str">
        <v>-</v>
      </c>
    </row>
    <row r="29395">
      <c r="B29395" t="str">
        <v>UBND Ủy ban nhân dân xã Bình An  tỉnh Đồng Nai</v>
      </c>
      <c r="C29395" t="str">
        <v>-</v>
      </c>
      <c r="D29395" t="str">
        <v>-</v>
      </c>
      <c r="E29395" t="str">
        <v>-</v>
      </c>
      <c r="F29395" t="str">
        <v>-</v>
      </c>
      <c r="G29395" t="str">
        <v>-</v>
      </c>
    </row>
    <row r="29396">
      <c r="B29396" t="str">
        <v>Công an thành phố Hải Phòng thành phố Hải Phòng</v>
      </c>
      <c r="C29396" t="str">
        <v>-</v>
      </c>
      <c r="D29396" t="str">
        <v>-</v>
      </c>
      <c r="E29396" t="str">
        <v/>
      </c>
      <c r="F29396" t="str">
        <v>-</v>
      </c>
      <c r="G29396" t="str">
        <v>-</v>
      </c>
    </row>
    <row r="29397">
      <c r="B29397" t="str">
        <v>UBND Ủy ban nhân dân thành phố Hải Phòng thành phố Hải Phòng</v>
      </c>
      <c r="C29397" t="str">
        <v>-</v>
      </c>
      <c r="D29397" t="str">
        <v>-</v>
      </c>
      <c r="E29397" t="str">
        <v>-</v>
      </c>
      <c r="F29397" t="str">
        <v>-</v>
      </c>
      <c r="G29397" t="str">
        <v>-</v>
      </c>
    </row>
    <row r="29398">
      <c r="B29398" t="str">
        <v>Công an xã Tân Khang  tỉnh Thanh Hóa</v>
      </c>
      <c r="C29398" t="str">
        <v>-</v>
      </c>
      <c r="D29398" t="str">
        <v>-</v>
      </c>
      <c r="E29398" t="str">
        <v/>
      </c>
      <c r="F29398" t="str">
        <v>-</v>
      </c>
      <c r="G29398" t="str">
        <v>-</v>
      </c>
    </row>
    <row r="29399">
      <c r="B29399" t="str">
        <v>UBND Ủy ban nhân dân xã Tân Khang  tỉnh Thanh Hóa</v>
      </c>
      <c r="C29399" t="str">
        <v>-</v>
      </c>
      <c r="D29399" t="str">
        <v>-</v>
      </c>
      <c r="E29399" t="str">
        <v>-</v>
      </c>
      <c r="F29399" t="str">
        <v>-</v>
      </c>
      <c r="G29399" t="str">
        <v>-</v>
      </c>
    </row>
    <row r="29400">
      <c r="B29400" t="str">
        <v>Công an tỉnh Tây Ninh  tỉnh TÂY NINH</v>
      </c>
      <c r="C29400" t="str">
        <v>-</v>
      </c>
      <c r="D29400" t="str">
        <v>-</v>
      </c>
      <c r="E29400" t="str">
        <v/>
      </c>
      <c r="F29400" t="str">
        <v>-</v>
      </c>
      <c r="G29400" t="str">
        <v>-</v>
      </c>
    </row>
    <row r="29401">
      <c r="B29401" t="str">
        <v>UBND Ủy ban nhân dân tỉnh Tây Ninh  tỉnh TÂY NINH</v>
      </c>
      <c r="C29401" t="str">
        <v>-</v>
      </c>
      <c r="D29401" t="str">
        <v>-</v>
      </c>
      <c r="E29401" t="str">
        <v>-</v>
      </c>
      <c r="F29401" t="str">
        <v>-</v>
      </c>
      <c r="G29401" t="str">
        <v>-</v>
      </c>
    </row>
    <row r="29402" xml:space="preserve">
      <c r="B29402" t="str" xml:space="preserve">
        <v xml:space="preserve">Cảnh sát cơ động thành phố Hà Nội_x000d_
 thành phố Hà Nội</v>
      </c>
    </row>
    <row r="29403" xml:space="preserve">
      <c r="B29403" t="str" xml:space="preserve">
        <v xml:space="preserve">UBND Ủy ban nhân dânt cơ động thành phố Hà Nội_x000d_
 thành phố Hà Nội</v>
      </c>
      <c r="C29403" t="str">
        <v>-</v>
      </c>
      <c r="D29403" t="str">
        <v>-</v>
      </c>
      <c r="E29403" t="str">
        <v>-</v>
      </c>
      <c r="F29403" t="str">
        <v>-</v>
      </c>
      <c r="G29403" t="str">
        <v>-</v>
      </c>
    </row>
    <row r="29404">
      <c r="B29404" t="str">
        <v>Cảnh sát giao thông tỉnh Quảng Trị  tỉnh Quảng Trị</v>
      </c>
    </row>
    <row r="29405">
      <c r="B29405" t="str">
        <v>UBND Ủy ban nhân dânt giao thông tỉnh Quảng Trị  tỉnh Quảng Trị</v>
      </c>
      <c r="C29405" t="str">
        <v>-</v>
      </c>
      <c r="D29405" t="str">
        <v>-</v>
      </c>
      <c r="E29405" t="str">
        <v>-</v>
      </c>
      <c r="F29405" t="str">
        <v>-</v>
      </c>
      <c r="G29405" t="str">
        <v>-</v>
      </c>
    </row>
    <row r="29406">
      <c r="B29406" t="str">
        <v>Công an huyện Trấn Yên tỉnh Yên Bái</v>
      </c>
      <c r="C29406" t="str">
        <v>-</v>
      </c>
      <c r="D29406" t="str">
        <v>-</v>
      </c>
      <c r="E29406" t="str">
        <v/>
      </c>
      <c r="F29406" t="str">
        <v>-</v>
      </c>
      <c r="G29406" t="str">
        <v>-</v>
      </c>
    </row>
    <row r="29407">
      <c r="B29407" t="str">
        <v>UBND Ủy ban nhân dân huyện Trấn Yên tỉnh Yên Bái</v>
      </c>
      <c r="C29407" t="str">
        <v>-</v>
      </c>
      <c r="D29407" t="str">
        <v>-</v>
      </c>
      <c r="E29407" t="str">
        <v>-</v>
      </c>
      <c r="F29407" t="str">
        <v>-</v>
      </c>
      <c r="G29407" t="str">
        <v>-</v>
      </c>
    </row>
    <row r="29408">
      <c r="B29408" t="str">
        <v>Công an thành phố Quảng Ngãi tỉnh Quảng Ngãi</v>
      </c>
      <c r="C29408" t="str">
        <v>-</v>
      </c>
      <c r="D29408" t="str">
        <v>-</v>
      </c>
      <c r="E29408" t="str">
        <v/>
      </c>
      <c r="F29408" t="str">
        <v>-</v>
      </c>
      <c r="G29408" t="str">
        <v>-</v>
      </c>
    </row>
    <row r="29409">
      <c r="B29409" t="str">
        <v>UBND Ủy ban nhân dân thành phố Quảng Ngãi tỉnh Quảng Ngãi</v>
      </c>
      <c r="C29409" t="str">
        <v>-</v>
      </c>
      <c r="D29409" t="str">
        <v>-</v>
      </c>
      <c r="E29409" t="str">
        <v>-</v>
      </c>
      <c r="F29409" t="str">
        <v>-</v>
      </c>
      <c r="G29409" t="str">
        <v>-</v>
      </c>
    </row>
    <row r="29410">
      <c r="B29410" t="str">
        <v>Công an huyện Ngọc Lặc tỉnh Thanh Hóa</v>
      </c>
      <c r="C29410" t="str">
        <v>-</v>
      </c>
      <c r="D29410" t="str">
        <v>-</v>
      </c>
      <c r="E29410" t="str">
        <v/>
      </c>
      <c r="F29410" t="str">
        <v>-</v>
      </c>
      <c r="G29410" t="str">
        <v>-</v>
      </c>
    </row>
    <row r="29411">
      <c r="B29411" t="str">
        <v>UBND Ủy ban nhân dân huyện Ngọc Lặc tỉnh Thanh Hóa</v>
      </c>
      <c r="C29411" t="str">
        <v>-</v>
      </c>
      <c r="D29411" t="str">
        <v>-</v>
      </c>
      <c r="E29411" t="str">
        <v>-</v>
      </c>
      <c r="F29411" t="str">
        <v>-</v>
      </c>
      <c r="G29411" t="str">
        <v>-</v>
      </c>
    </row>
    <row r="29412">
      <c r="B29412" t="str">
        <v>Cảnh sát giao thông tỉnh Quảng Bình tỉnh Quảng Bình</v>
      </c>
    </row>
    <row r="29413">
      <c r="B29413" t="str">
        <v>UBND Ủy ban nhân dânt giao thông tỉnh Quảng Bình tỉnh Quảng Bình</v>
      </c>
      <c r="C29413" t="str">
        <v>-</v>
      </c>
      <c r="D29413" t="str">
        <v>-</v>
      </c>
      <c r="E29413" t="str">
        <v>-</v>
      </c>
      <c r="F29413" t="str">
        <v>-</v>
      </c>
      <c r="G29413" t="str">
        <v>-</v>
      </c>
    </row>
    <row r="29414">
      <c r="B29414" t="str">
        <v>Công an tỉnh Sơn La tỉnh Sơn La</v>
      </c>
      <c r="C29414" t="str">
        <v>-</v>
      </c>
      <c r="D29414" t="str">
        <v>-</v>
      </c>
      <c r="E29414" t="str">
        <v/>
      </c>
      <c r="F29414" t="str">
        <v>-</v>
      </c>
      <c r="G29414" t="str">
        <v>-</v>
      </c>
    </row>
    <row r="29415">
      <c r="B29415" t="str">
        <v>UBND Ủy ban nhân dân tỉnh Sơn La tỉnh Sơn La</v>
      </c>
      <c r="C29415" t="str">
        <v>-</v>
      </c>
      <c r="D29415" t="str">
        <v>-</v>
      </c>
      <c r="E29415" t="str">
        <v>-</v>
      </c>
      <c r="F29415" t="str">
        <v>-</v>
      </c>
      <c r="G29415" t="str">
        <v>-</v>
      </c>
    </row>
    <row r="29416">
      <c r="B29416" t="str">
        <v>Công an huyện Thạch Hà  tỉnh Hà Tĩnh</v>
      </c>
      <c r="C29416" t="str">
        <v>-</v>
      </c>
      <c r="D29416" t="str">
        <v>-</v>
      </c>
      <c r="E29416" t="str">
        <v/>
      </c>
      <c r="F29416" t="str">
        <v>-</v>
      </c>
      <c r="G29416" t="str">
        <v>-</v>
      </c>
    </row>
    <row r="29417">
      <c r="B29417" t="str">
        <v>UBND Ủy ban nhân dân huyện Thạch Hà  tỉnh Hà Tĩnh</v>
      </c>
      <c r="C29417" t="str">
        <v>-</v>
      </c>
      <c r="D29417" t="str">
        <v>-</v>
      </c>
      <c r="E29417" t="str">
        <v>-</v>
      </c>
      <c r="F29417" t="str">
        <v>-</v>
      </c>
      <c r="G29417" t="str">
        <v>-</v>
      </c>
    </row>
    <row r="29418">
      <c r="B29418" t="str">
        <v>Công an tỉnh Vĩnh Phúc  tỉnh Vĩnh Phúc</v>
      </c>
      <c r="C29418" t="str">
        <v>-</v>
      </c>
      <c r="D29418" t="str">
        <v>-</v>
      </c>
      <c r="E29418" t="str">
        <v/>
      </c>
      <c r="F29418" t="str">
        <v>-</v>
      </c>
      <c r="G29418" t="str">
        <v>-</v>
      </c>
    </row>
    <row r="29419">
      <c r="B29419" t="str">
        <v>UBND Ủy ban nhân dân tỉnh Vĩnh Phúc  tỉnh Vĩnh Phúc</v>
      </c>
      <c r="C29419" t="str">
        <v>-</v>
      </c>
      <c r="D29419" t="str">
        <v>-</v>
      </c>
      <c r="E29419" t="str">
        <v>-</v>
      </c>
      <c r="F29419" t="str">
        <v>-</v>
      </c>
      <c r="G29419" t="str">
        <v>-</v>
      </c>
    </row>
    <row r="29420">
      <c r="B29420" t="str">
        <v>Công an tỉnh An Giang tỉnh An Giang</v>
      </c>
      <c r="C29420" t="str">
        <v>-</v>
      </c>
      <c r="D29420" t="str">
        <v>-</v>
      </c>
      <c r="E29420" t="str">
        <v/>
      </c>
      <c r="F29420" t="str">
        <v>-</v>
      </c>
      <c r="G29420" t="str">
        <v>-</v>
      </c>
    </row>
    <row r="29421">
      <c r="B29421" t="str">
        <v>UBND Ủy ban nhân dân tỉnh An Giang tỉnh An Giang</v>
      </c>
      <c r="C29421" t="str">
        <v>-</v>
      </c>
      <c r="D29421" t="str">
        <v>-</v>
      </c>
      <c r="E29421" t="str">
        <v>-</v>
      </c>
      <c r="F29421" t="str">
        <v>-</v>
      </c>
      <c r="G29421" t="str">
        <v>-</v>
      </c>
    </row>
    <row r="29422">
      <c r="B29422" t="str">
        <v>Công an tỉnh Bình Dương  tỉnh Bình Dương</v>
      </c>
      <c r="C29422" t="str">
        <v>-</v>
      </c>
      <c r="D29422" t="str">
        <v>-</v>
      </c>
      <c r="E29422" t="str">
        <v/>
      </c>
      <c r="F29422" t="str">
        <v>-</v>
      </c>
      <c r="G29422" t="str">
        <v>-</v>
      </c>
    </row>
    <row r="29423">
      <c r="B29423" t="str">
        <v>UBND Ủy ban nhân dân tỉnh Bình Dương  tỉnh Bình Dương</v>
      </c>
      <c r="C29423" t="str">
        <v>-</v>
      </c>
      <c r="D29423" t="str">
        <v>-</v>
      </c>
      <c r="E29423" t="str">
        <v>-</v>
      </c>
      <c r="F29423" t="str">
        <v>-</v>
      </c>
      <c r="G29423" t="str">
        <v>-</v>
      </c>
    </row>
    <row r="29424">
      <c r="B29424" t="str">
        <v>Công an tỉnh Thanh Hoá  tỉnh Thanh Hóa</v>
      </c>
      <c r="C29424" t="str">
        <v>-</v>
      </c>
      <c r="D29424" t="str">
        <v>-</v>
      </c>
      <c r="E29424" t="str">
        <v/>
      </c>
      <c r="F29424" t="str">
        <v>-</v>
      </c>
      <c r="G29424" t="str">
        <v>-</v>
      </c>
    </row>
    <row r="29425">
      <c r="B29425" t="str">
        <v>UBND Ủy ban nhân dân tỉnh Thanh Hoá  tỉnh Thanh Hóa</v>
      </c>
      <c r="C29425" t="str">
        <v>-</v>
      </c>
      <c r="D29425" t="str">
        <v>-</v>
      </c>
      <c r="E29425" t="str">
        <v>-</v>
      </c>
      <c r="F29425" t="str">
        <v>-</v>
      </c>
      <c r="G29425" t="str">
        <v>-</v>
      </c>
    </row>
    <row r="29426">
      <c r="B29426" t="str">
        <v>Công an huyện Hàm Yên  tỉnh Tuyên Quang</v>
      </c>
      <c r="C29426" t="str">
        <v>-</v>
      </c>
      <c r="D29426" t="str">
        <v>-</v>
      </c>
      <c r="E29426" t="str">
        <v/>
      </c>
      <c r="F29426" t="str">
        <v>-</v>
      </c>
      <c r="G29426" t="str">
        <v>-</v>
      </c>
    </row>
    <row r="29427">
      <c r="B29427" t="str">
        <v>UBND Ủy ban nhân dân huyện Hàm Yên  tỉnh Tuyên Quang</v>
      </c>
      <c r="C29427" t="str">
        <v>-</v>
      </c>
      <c r="D29427" t="str">
        <v>-</v>
      </c>
      <c r="E29427" t="str">
        <v>-</v>
      </c>
      <c r="F29427" t="str">
        <v>-</v>
      </c>
      <c r="G29427" t="str">
        <v>-</v>
      </c>
    </row>
    <row r="29428">
      <c r="B29428" t="str">
        <v>Công an tỉnh Hoà Bình tỉnh Hòa Bình</v>
      </c>
      <c r="C29428" t="str">
        <v>-</v>
      </c>
      <c r="D29428" t="str">
        <v>-</v>
      </c>
      <c r="E29428" t="str">
        <v/>
      </c>
      <c r="F29428" t="str">
        <v>-</v>
      </c>
      <c r="G29428" t="str">
        <v>-</v>
      </c>
    </row>
    <row r="29429">
      <c r="B29429" t="str">
        <v>UBND Ủy ban nhân dân tỉnh Hoà Bình tỉnh Hòa Bình</v>
      </c>
      <c r="C29429" t="str">
        <v>-</v>
      </c>
      <c r="D29429" t="str">
        <v>-</v>
      </c>
      <c r="E29429" t="str">
        <v>-</v>
      </c>
      <c r="F29429" t="str">
        <v>-</v>
      </c>
      <c r="G29429" t="str">
        <v>-</v>
      </c>
    </row>
    <row r="29430">
      <c r="B29430" t="str">
        <v>Công an huyện Thanh Ba  tỉnh Phú Thọ</v>
      </c>
      <c r="C29430" t="str">
        <v>-</v>
      </c>
      <c r="D29430" t="str">
        <v>-</v>
      </c>
      <c r="E29430" t="str">
        <v/>
      </c>
      <c r="F29430" t="str">
        <v>-</v>
      </c>
      <c r="G29430" t="str">
        <v>-</v>
      </c>
    </row>
    <row r="29431">
      <c r="B29431" t="str">
        <v>UBND Ủy ban nhân dân huyện Thanh Ba  tỉnh Phú Thọ</v>
      </c>
      <c r="C29431" t="str">
        <v>-</v>
      </c>
      <c r="D29431" t="str">
        <v>-</v>
      </c>
      <c r="E29431" t="str">
        <v>-</v>
      </c>
      <c r="F29431" t="str">
        <v>-</v>
      </c>
      <c r="G29431" t="str">
        <v>-</v>
      </c>
    </row>
    <row r="29432">
      <c r="B29432" t="str">
        <v>Cảnh sát Hình sự Xứ Thanh  tỉnh Thanh Hóa</v>
      </c>
    </row>
    <row r="29433">
      <c r="B29433" t="str">
        <v>UBND Ủy ban nhân dânt Hình sự Xứ Thanh  tỉnh Thanh Hóa</v>
      </c>
      <c r="C29433" t="str">
        <v>-</v>
      </c>
      <c r="D29433" t="str">
        <v>-</v>
      </c>
      <c r="E29433" t="str">
        <v>-</v>
      </c>
      <c r="F29433" t="str">
        <v>-</v>
      </c>
      <c r="G29433" t="str">
        <v>-</v>
      </c>
    </row>
    <row r="29434">
      <c r="B29434" t="str">
        <v>Công an thành phố Hà Tĩnh  tỉnh Hà Tĩnh</v>
      </c>
      <c r="C29434" t="str">
        <v>-</v>
      </c>
      <c r="D29434" t="str">
        <v>-</v>
      </c>
      <c r="E29434" t="str">
        <v/>
      </c>
      <c r="F29434" t="str">
        <v>-</v>
      </c>
      <c r="G29434" t="str">
        <v>-</v>
      </c>
    </row>
    <row r="29435">
      <c r="B29435" t="str">
        <v>UBND Ủy ban nhân dân thành phố Hà Tĩnh  tỉnh Hà Tĩnh</v>
      </c>
      <c r="C29435" t="str">
        <v>-</v>
      </c>
      <c r="D29435" t="str">
        <v>-</v>
      </c>
      <c r="E29435" t="str">
        <v>-</v>
      </c>
      <c r="F29435" t="str">
        <v>-</v>
      </c>
      <c r="G29435" t="str">
        <v>-</v>
      </c>
    </row>
    <row r="29436">
      <c r="B29436" t="str">
        <v>Công an tỉnh Quảng Bình  tỉnh Quảng Bình</v>
      </c>
      <c r="C29436" t="str">
        <v>-</v>
      </c>
      <c r="D29436" t="str">
        <v>-</v>
      </c>
      <c r="E29436" t="str">
        <v/>
      </c>
      <c r="F29436" t="str">
        <v>-</v>
      </c>
      <c r="G29436" t="str">
        <v>-</v>
      </c>
    </row>
    <row r="29437">
      <c r="B29437" t="str">
        <v>UBND Ủy ban nhân dân tỉnh Quảng Bình  tỉnh Quảng Bình</v>
      </c>
      <c r="C29437" t="str">
        <v>-</v>
      </c>
      <c r="D29437" t="str">
        <v>-</v>
      </c>
      <c r="E29437" t="str">
        <v>-</v>
      </c>
      <c r="F29437" t="str">
        <v>-</v>
      </c>
      <c r="G29437" t="str">
        <v>-</v>
      </c>
    </row>
    <row r="29438">
      <c r="B29438" t="str">
        <v>Công an tỉnh Quảng Trị  tỉnh Quảng Trị</v>
      </c>
      <c r="C29438" t="str">
        <v>-</v>
      </c>
      <c r="D29438" t="str">
        <v>-</v>
      </c>
      <c r="E29438" t="str">
        <v/>
      </c>
      <c r="F29438" t="str">
        <v>-</v>
      </c>
      <c r="G29438" t="str">
        <v>-</v>
      </c>
    </row>
    <row r="29439">
      <c r="B29439" t="str">
        <v>UBND Ủy ban nhân dân tỉnh Quảng Trị  tỉnh Quảng Trị</v>
      </c>
      <c r="C29439" t="str">
        <v>-</v>
      </c>
      <c r="D29439" t="str">
        <v>-</v>
      </c>
      <c r="E29439" t="str">
        <v>-</v>
      </c>
      <c r="F29439" t="str">
        <v>-</v>
      </c>
      <c r="G29439" t="str">
        <v>-</v>
      </c>
    </row>
    <row r="29440">
      <c r="B29440" t="str">
        <v>Công an thành phố Yên Bái  tỉnh Yên Bái</v>
      </c>
      <c r="C29440" t="str">
        <v>-</v>
      </c>
      <c r="D29440" t="str">
        <v>-</v>
      </c>
      <c r="E29440" t="str">
        <v/>
      </c>
      <c r="F29440" t="str">
        <v>-</v>
      </c>
      <c r="G29440" t="str">
        <v>-</v>
      </c>
    </row>
    <row r="29441">
      <c r="B29441" t="str">
        <v>UBND Ủy ban nhân dân thành phố Yên Bái  tỉnh Yên Bái</v>
      </c>
      <c r="C29441" t="str">
        <v>-</v>
      </c>
      <c r="D29441" t="str">
        <v>-</v>
      </c>
      <c r="E29441" t="str">
        <v>-</v>
      </c>
      <c r="F29441" t="str">
        <v>-</v>
      </c>
      <c r="G29441" t="str">
        <v>-</v>
      </c>
    </row>
    <row r="29442">
      <c r="B29442" t="str">
        <v>Công an tỉnh Quảng Ninh  tỉnh Quảng Ninh</v>
      </c>
      <c r="C29442" t="str">
        <v>-</v>
      </c>
      <c r="D29442" t="str">
        <v>-</v>
      </c>
      <c r="E29442" t="str">
        <v/>
      </c>
      <c r="F29442" t="str">
        <v>-</v>
      </c>
      <c r="G29442" t="str">
        <v>-</v>
      </c>
    </row>
    <row r="29443">
      <c r="B29443" t="str">
        <v>UBND Ủy ban nhân dân tỉnh Quảng Ninh  tỉnh Quảng Ninh</v>
      </c>
      <c r="C29443" t="str">
        <v>-</v>
      </c>
      <c r="D29443" t="str">
        <v>-</v>
      </c>
      <c r="E29443" t="str">
        <v>-</v>
      </c>
      <c r="F29443" t="str">
        <v>-</v>
      </c>
      <c r="G29443" t="str">
        <v>-</v>
      </c>
    </row>
    <row r="29444">
      <c r="B29444" t="str">
        <v>Công an tỉnh Vĩnh Long  tỉnh Vĩnh Long</v>
      </c>
      <c r="C29444" t="str">
        <v>-</v>
      </c>
      <c r="D29444" t="str">
        <v>-</v>
      </c>
      <c r="E29444" t="str">
        <v/>
      </c>
      <c r="F29444" t="str">
        <v>-</v>
      </c>
      <c r="G29444" t="str">
        <v>-</v>
      </c>
    </row>
    <row r="29445">
      <c r="B29445" t="str">
        <v>UBND Ủy ban nhân dân tỉnh Vĩnh Long  tỉnh Vĩnh Long</v>
      </c>
      <c r="C29445" t="str">
        <v>-</v>
      </c>
      <c r="D29445" t="str">
        <v>-</v>
      </c>
      <c r="E29445" t="str">
        <v>-</v>
      </c>
      <c r="F29445" t="str">
        <v>-</v>
      </c>
      <c r="G29445" t="str">
        <v>-</v>
      </c>
    </row>
    <row r="29446">
      <c r="B29446" t="str">
        <v>Cục Quản lý xuất nhập cảnh thành phố Hồ Chí Minh  thành phố Hồ Chí Minh</v>
      </c>
    </row>
    <row r="29447">
      <c r="B29447" t="str">
        <v>UBND Ủy ban nhân dânn lý xuất nhập cảnh thành phố Hồ Chí Minh  thành phố Hồ Chí Minh</v>
      </c>
      <c r="C29447" t="str">
        <v>-</v>
      </c>
      <c r="D29447" t="str">
        <v>-</v>
      </c>
      <c r="E29447" t="str">
        <v>-</v>
      </c>
      <c r="F29447" t="str">
        <v>-</v>
      </c>
      <c r="G29447" t="str">
        <v>-</v>
      </c>
    </row>
    <row r="29448">
      <c r="B29448" t="str">
        <v>Cục Cảnh sát kinh tế Bộ Công an  thành phố Hà Nội</v>
      </c>
    </row>
    <row r="29449">
      <c r="B29449" t="str">
        <v>UBND Ủy ban nhân dânh sát kinh tế Bộ Công an  thành phố Hà Nội</v>
      </c>
      <c r="C29449" t="str">
        <v>-</v>
      </c>
      <c r="D29449" t="str">
        <v>-</v>
      </c>
      <c r="E29449" t="str">
        <v>-</v>
      </c>
      <c r="F29449" t="str">
        <v>-</v>
      </c>
      <c r="G29449" t="str">
        <v>-</v>
      </c>
    </row>
    <row r="29450">
      <c r="B29450" t="str">
        <v>Cảnh sát Cơ động Thủ đô thành phố Hà Nội</v>
      </c>
    </row>
    <row r="29451">
      <c r="B29451" t="str">
        <v>UBND Ủy ban nhân dânt Cơ động Thủ đô thành phố Hà Nội</v>
      </c>
      <c r="C29451" t="str">
        <v>-</v>
      </c>
      <c r="D29451" t="str">
        <v>-</v>
      </c>
      <c r="E29451" t="str">
        <v>-</v>
      </c>
      <c r="F29451" t="str">
        <v>-</v>
      </c>
      <c r="G29451" t="str">
        <v>-</v>
      </c>
    </row>
    <row r="29452">
      <c r="B29452" t="str">
        <v>Công an Tỉnh Lào Cai  tỉnh Lào Cai</v>
      </c>
      <c r="C29452" t="str">
        <v>-</v>
      </c>
      <c r="D29452" t="str">
        <v>-</v>
      </c>
      <c r="E29452" t="str">
        <v/>
      </c>
      <c r="F29452" t="str">
        <v>-</v>
      </c>
      <c r="G29452" t="str">
        <v>-</v>
      </c>
    </row>
    <row r="29453">
      <c r="B29453" t="str">
        <v>UBND Ủy ban nhân dân Tỉnh Lào Cai  tỉnh Lào Cai</v>
      </c>
      <c r="C29453" t="str">
        <v>-</v>
      </c>
      <c r="D29453" t="str">
        <v>-</v>
      </c>
      <c r="E29453" t="str">
        <v>-</v>
      </c>
      <c r="F29453" t="str">
        <v>-</v>
      </c>
      <c r="G29453" t="str">
        <v>-</v>
      </c>
    </row>
    <row r="29454">
      <c r="B29454" t="str">
        <v>Công an xã Tế Thắng tỉnh Thanh Hóa</v>
      </c>
      <c r="C29454" t="str">
        <v>-</v>
      </c>
      <c r="D29454" t="str">
        <v>-</v>
      </c>
      <c r="E29454" t="str">
        <v/>
      </c>
      <c r="F29454" t="str">
        <v>-</v>
      </c>
      <c r="G29454" t="str">
        <v>-</v>
      </c>
    </row>
    <row r="29455">
      <c r="B29455" t="str">
        <v>UBND Ủy ban nhân dân xã Tế Thắng tỉnh Thanh Hóa</v>
      </c>
      <c r="C29455" t="str">
        <v>-</v>
      </c>
      <c r="D29455" t="str">
        <v>-</v>
      </c>
      <c r="E29455" t="str">
        <v>-</v>
      </c>
      <c r="F29455" t="str">
        <v>-</v>
      </c>
      <c r="G29455" t="str">
        <v>-</v>
      </c>
    </row>
    <row r="29456">
      <c r="B29456" t="str">
        <v>Công an tỉnh Kiên Giang  tỉnh Kiên Giang</v>
      </c>
      <c r="C29456" t="str">
        <v>-</v>
      </c>
      <c r="D29456" t="str">
        <v>-</v>
      </c>
      <c r="E29456" t="str">
        <v/>
      </c>
      <c r="F29456" t="str">
        <v>-</v>
      </c>
      <c r="G29456" t="str">
        <v>-</v>
      </c>
    </row>
    <row r="29457">
      <c r="B29457" t="str">
        <v>UBND Ủy ban nhân dân tỉnh Kiên Giang  tỉnh Kiên Giang</v>
      </c>
      <c r="C29457" t="str">
        <v>-</v>
      </c>
      <c r="D29457" t="str">
        <v>-</v>
      </c>
      <c r="E29457" t="str">
        <v>-</v>
      </c>
      <c r="F29457" t="str">
        <v>-</v>
      </c>
      <c r="G29457" t="str">
        <v>-</v>
      </c>
    </row>
    <row r="29458">
      <c r="B29458" t="str">
        <v>Bộ Công an thành phố Hà Nội</v>
      </c>
    </row>
    <row r="29459">
      <c r="B29459" t="str">
        <v>UBND Ủy ban nhân dân an thành phố Hà Nội</v>
      </c>
      <c r="C29459" t="str">
        <v>-</v>
      </c>
      <c r="D29459" t="str">
        <v>-</v>
      </c>
      <c r="E29459" t="str">
        <v>-</v>
      </c>
      <c r="F29459" t="str">
        <v>-</v>
      </c>
      <c r="G29459" t="str">
        <v>-</v>
      </c>
    </row>
    <row r="29460">
      <c r="B29460" t="str">
        <v xml:space="preserve"> Công an huyện Buôn Đôn tỉnh Đắk Lắk</v>
      </c>
    </row>
    <row r="29461">
      <c r="B29461" t="str">
        <v>UBND Ủy ban nhân dânn huyện Buôn Đôn tỉnh Đắk Lắk</v>
      </c>
      <c r="C29461" t="str">
        <v>-</v>
      </c>
      <c r="D29461" t="str">
        <v>-</v>
      </c>
      <c r="E29461" t="str">
        <v>-</v>
      </c>
      <c r="F29461" t="str">
        <v>-</v>
      </c>
      <c r="G29461" t="str">
        <v>-</v>
      </c>
    </row>
    <row r="29462">
      <c r="B29462" t="str">
        <v>Công an thị xã La Gi  tỉnh Bình Thuận</v>
      </c>
      <c r="C29462" t="str">
        <v>-</v>
      </c>
      <c r="D29462" t="str">
        <v>-</v>
      </c>
      <c r="E29462" t="str">
        <v/>
      </c>
      <c r="F29462" t="str">
        <v>-</v>
      </c>
      <c r="G29462" t="str">
        <v>-</v>
      </c>
    </row>
    <row r="29463">
      <c r="B29463" t="str">
        <v>UBND Ủy ban nhân dân thị xã La Gi  tỉnh Bình Thuận</v>
      </c>
      <c r="C29463" t="str">
        <v>-</v>
      </c>
      <c r="D29463" t="str">
        <v>-</v>
      </c>
      <c r="E29463" t="str">
        <v>-</v>
      </c>
      <c r="F29463" t="str">
        <v>-</v>
      </c>
      <c r="G29463" t="str">
        <v>-</v>
      </c>
    </row>
    <row r="29464" xml:space="preserve">
      <c r="B29464" t="str" xml:space="preserve">
        <v xml:space="preserve"> Công an tỉnh Phú Yên _x000d_
 tỉnh Phú Yên</v>
      </c>
    </row>
    <row r="29465" xml:space="preserve">
      <c r="B29465" t="str" xml:space="preserve">
        <v xml:space="preserve">UBND Ủy ban nhân dânn tỉnh Phú Yên _x000d_
 tỉnh Phú Yên</v>
      </c>
      <c r="C29465" t="str">
        <v>-</v>
      </c>
      <c r="D29465" t="str">
        <v>-</v>
      </c>
      <c r="E29465" t="str">
        <v>-</v>
      </c>
      <c r="F29465" t="str">
        <v>-</v>
      </c>
      <c r="G29465" t="str">
        <v>-</v>
      </c>
    </row>
    <row r="29466">
      <c r="B29466" t="str">
        <v>Công an tỉnh Bà Rịa-Vũng Tàu  tỉnh Bà Rịa - Vũng Tàu</v>
      </c>
      <c r="C29466" t="str">
        <v>-</v>
      </c>
      <c r="D29466" t="str">
        <v>-</v>
      </c>
      <c r="E29466" t="str">
        <v/>
      </c>
      <c r="F29466" t="str">
        <v>-</v>
      </c>
      <c r="G29466" t="str">
        <v>-</v>
      </c>
    </row>
    <row r="29467">
      <c r="B29467" t="str">
        <v>UBND Ủy ban nhân dân tỉnh Bà Rịa-Vũng Tàu  tỉnh Bà Rịa - Vũng Tàu</v>
      </c>
      <c r="C29467" t="str">
        <v>-</v>
      </c>
      <c r="D29467" t="str">
        <v>-</v>
      </c>
      <c r="E29467" t="str">
        <v>-</v>
      </c>
      <c r="F29467" t="str">
        <v>-</v>
      </c>
      <c r="G29467" t="str">
        <v>-</v>
      </c>
    </row>
    <row r="29468">
      <c r="B29468" t="str">
        <v>Công an Thủ đô  thành phố Hà Nội</v>
      </c>
      <c r="C29468" t="str">
        <v>-</v>
      </c>
      <c r="D29468" t="str">
        <v>-</v>
      </c>
      <c r="E29468" t="str">
        <v/>
      </c>
      <c r="F29468" t="str">
        <v>-</v>
      </c>
      <c r="G29468" t="str">
        <v>-</v>
      </c>
    </row>
    <row r="29469">
      <c r="B29469" t="str">
        <v>UBND Ủy ban nhân dân Thủ đô  thành phố Hà Nội</v>
      </c>
      <c r="C29469" t="str">
        <v>-</v>
      </c>
      <c r="D29469" t="str">
        <v>-</v>
      </c>
      <c r="E29469" t="str">
        <v>-</v>
      </c>
      <c r="F29469" t="str">
        <v>-</v>
      </c>
      <c r="G29469" t="str">
        <v>-</v>
      </c>
    </row>
    <row r="29470" xml:space="preserve">
      <c r="B29470" t="str" xml:space="preserve">
        <v xml:space="preserve">Công an quận Hoàn Kiếm _x000d_
 thành phố Hà Nội</v>
      </c>
      <c r="C29470" t="str">
        <v>-</v>
      </c>
      <c r="D29470" t="str">
        <v>-</v>
      </c>
      <c r="E29470" t="str">
        <v/>
      </c>
      <c r="F29470" t="str">
        <v>-</v>
      </c>
      <c r="G29470" t="str">
        <v>-</v>
      </c>
    </row>
    <row r="29471" xml:space="preserve">
      <c r="B29471" t="str" xml:space="preserve">
        <v xml:space="preserve">UBND Ủy ban nhân dân quận Hoàn Kiếm _x000d_
 thành phố Hà Nội</v>
      </c>
      <c r="C29471" t="str">
        <v>-</v>
      </c>
      <c r="D29471" t="str">
        <v>-</v>
      </c>
      <c r="E29471" t="str">
        <v>-</v>
      </c>
      <c r="F29471" t="str">
        <v>-</v>
      </c>
      <c r="G29471" t="str">
        <v>-</v>
      </c>
    </row>
    <row r="29472">
      <c r="B29472" t="str">
        <v>Công an tỉnh Hưng Yên  tỉnh Hưng Yên</v>
      </c>
      <c r="C29472" t="str">
        <v>-</v>
      </c>
      <c r="D29472" t="str">
        <v>-</v>
      </c>
      <c r="E29472" t="str">
        <v/>
      </c>
      <c r="F29472" t="str">
        <v>-</v>
      </c>
      <c r="G29472" t="str">
        <v>-</v>
      </c>
    </row>
    <row r="29473">
      <c r="B29473" t="str">
        <v>UBND Ủy ban nhân dân tỉnh Hưng Yên  tỉnh Hưng Yên</v>
      </c>
      <c r="C29473" t="str">
        <v>-</v>
      </c>
      <c r="D29473" t="str">
        <v>-</v>
      </c>
      <c r="E29473" t="str">
        <v>-</v>
      </c>
      <c r="F29473" t="str">
        <v>-</v>
      </c>
      <c r="G29473" t="str">
        <v>-</v>
      </c>
    </row>
    <row r="29474" xml:space="preserve">
      <c r="B29474" t="str" xml:space="preserve">
        <v xml:space="preserve">Công an huyện Yên Phong _x000d_
 tỉnh Bắc Ninh</v>
      </c>
      <c r="C29474" t="str">
        <v>-</v>
      </c>
      <c r="D29474" t="str">
        <v>-</v>
      </c>
      <c r="E29474" t="str">
        <v/>
      </c>
      <c r="F29474" t="str">
        <v>-</v>
      </c>
      <c r="G29474" t="str">
        <v>-</v>
      </c>
    </row>
    <row r="29475" xml:space="preserve">
      <c r="B29475" t="str" xml:space="preserve">
        <v xml:space="preserve">UBND Ủy ban nhân dân huyện Yên Phong _x000d_
 tỉnh Bắc Ninh</v>
      </c>
      <c r="C29475" t="str">
        <v>-</v>
      </c>
      <c r="D29475" t="str">
        <v>-</v>
      </c>
      <c r="E29475" t="str">
        <v>-</v>
      </c>
      <c r="F29475" t="str">
        <v>-</v>
      </c>
      <c r="G29475" t="str">
        <v>-</v>
      </c>
    </row>
    <row r="29476">
      <c r="B29476" t="str">
        <v xml:space="preserve"> Công an huyện Sông Lô  tỉnh Vĩnh Phúc</v>
      </c>
    </row>
    <row r="29477">
      <c r="B29477" t="str">
        <v>UBND Ủy ban nhân dânn huyện Sông Lô  tỉnh Vĩnh Phúc</v>
      </c>
      <c r="C29477" t="str">
        <v>-</v>
      </c>
      <c r="D29477" t="str">
        <v>-</v>
      </c>
      <c r="E29477" t="str">
        <v>-</v>
      </c>
      <c r="F29477" t="str">
        <v>-</v>
      </c>
      <c r="G29477" t="str">
        <v>-</v>
      </c>
    </row>
    <row r="29478">
      <c r="B29478" t="str">
        <v>Công an tỉnh Bắc Ninh  tỉnh Bắc Ninh</v>
      </c>
      <c r="C29478" t="str">
        <v>-</v>
      </c>
      <c r="D29478" t="str">
        <v>-</v>
      </c>
      <c r="E29478" t="str">
        <v/>
      </c>
      <c r="F29478" t="str">
        <v>-</v>
      </c>
      <c r="G29478" t="str">
        <v>-</v>
      </c>
    </row>
    <row r="29479">
      <c r="B29479" t="str">
        <v>UBND Ủy ban nhân dân tỉnh Bắc Ninh  tỉnh Bắc Ninh</v>
      </c>
      <c r="C29479" t="str">
        <v>-</v>
      </c>
      <c r="D29479" t="str">
        <v>-</v>
      </c>
      <c r="E29479" t="str">
        <v>-</v>
      </c>
      <c r="F29479" t="str">
        <v>-</v>
      </c>
      <c r="G29479" t="str">
        <v>-</v>
      </c>
    </row>
    <row r="29480">
      <c r="B29480" t="str">
        <v>Công an thành phố Long Xuyên  tỉnh Long An</v>
      </c>
      <c r="C29480" t="str">
        <v>-</v>
      </c>
      <c r="D29480" t="str">
        <v>-</v>
      </c>
      <c r="E29480" t="str">
        <v/>
      </c>
      <c r="F29480" t="str">
        <v>-</v>
      </c>
      <c r="G29480" t="str">
        <v>-</v>
      </c>
    </row>
    <row r="29481">
      <c r="B29481" t="str">
        <v>UBND Ủy ban nhân dân thành phố Long Xuyên  tỉnh Long An</v>
      </c>
      <c r="C29481" t="str">
        <v>-</v>
      </c>
      <c r="D29481" t="str">
        <v>-</v>
      </c>
      <c r="E29481" t="str">
        <v>-</v>
      </c>
      <c r="F29481" t="str">
        <v>-</v>
      </c>
      <c r="G29481" t="str">
        <v>-</v>
      </c>
    </row>
    <row r="29482">
      <c r="B29482" t="str">
        <v>Công an huyện Văn Giang  tỉnh Hưng Yên</v>
      </c>
      <c r="C29482" t="str">
        <v>-</v>
      </c>
      <c r="D29482" t="str">
        <v>-</v>
      </c>
      <c r="E29482" t="str">
        <v/>
      </c>
      <c r="F29482" t="str">
        <v>-</v>
      </c>
      <c r="G29482" t="str">
        <v>-</v>
      </c>
    </row>
    <row r="29483">
      <c r="B29483" t="str">
        <v>UBND Ủy ban nhân dân huyện Văn Giang  tỉnh Hưng Yên</v>
      </c>
      <c r="C29483" t="str">
        <v>-</v>
      </c>
      <c r="D29483" t="str">
        <v>-</v>
      </c>
      <c r="E29483" t="str">
        <v>-</v>
      </c>
      <c r="F29483" t="str">
        <v>-</v>
      </c>
      <c r="G29483" t="str">
        <v>-</v>
      </c>
    </row>
    <row r="29484">
      <c r="B29484" t="str">
        <v>Công an tỉnh Hà Nam  tỉnh Hà Nam</v>
      </c>
      <c r="C29484" t="str">
        <v>-</v>
      </c>
      <c r="D29484" t="str">
        <v>-</v>
      </c>
      <c r="E29484" t="str">
        <v/>
      </c>
      <c r="F29484" t="str">
        <v>-</v>
      </c>
      <c r="G29484" t="str">
        <v>-</v>
      </c>
    </row>
    <row r="29485">
      <c r="B29485" t="str">
        <v>UBND Ủy ban nhân dân tỉnh Hà Nam  tỉnh Hà Nam</v>
      </c>
      <c r="C29485" t="str">
        <v>-</v>
      </c>
      <c r="D29485" t="str">
        <v>-</v>
      </c>
      <c r="E29485" t="str">
        <v>-</v>
      </c>
      <c r="F29485" t="str">
        <v>-</v>
      </c>
      <c r="G29485" t="str">
        <v>-</v>
      </c>
    </row>
    <row r="29486">
      <c r="B29486" t="str">
        <v>Công an huyện Bắc Hà  tỉnh Lào Cai</v>
      </c>
      <c r="C29486" t="str">
        <v>-</v>
      </c>
      <c r="D29486" t="str">
        <v>-</v>
      </c>
      <c r="E29486" t="str">
        <v/>
      </c>
      <c r="F29486" t="str">
        <v>-</v>
      </c>
      <c r="G29486" t="str">
        <v>-</v>
      </c>
    </row>
    <row r="29487">
      <c r="B29487" t="str">
        <v>UBND Ủy ban nhân dân huyện Bắc Hà  tỉnh Lào Cai</v>
      </c>
      <c r="C29487" t="str">
        <v>-</v>
      </c>
      <c r="D29487" t="str">
        <v>-</v>
      </c>
      <c r="E29487" t="str">
        <v>-</v>
      </c>
      <c r="F29487" t="str">
        <v>-</v>
      </c>
      <c r="G29487" t="str">
        <v>-</v>
      </c>
    </row>
    <row r="29488">
      <c r="B29488" t="str">
        <v>Công an huyện Lăk  tỉnh Đắk Lắk</v>
      </c>
      <c r="C29488" t="str">
        <v>-</v>
      </c>
      <c r="D29488" t="str">
        <v>-</v>
      </c>
      <c r="E29488" t="str">
        <v/>
      </c>
      <c r="F29488" t="str">
        <v>-</v>
      </c>
      <c r="G29488" t="str">
        <v>-</v>
      </c>
    </row>
    <row r="29489">
      <c r="B29489" t="str">
        <v>UBND Ủy ban nhân dân huyện Lăk  tỉnh Đắk Lắk</v>
      </c>
      <c r="C29489" t="str">
        <v>-</v>
      </c>
      <c r="D29489" t="str">
        <v>-</v>
      </c>
      <c r="E29489" t="str">
        <v>-</v>
      </c>
      <c r="F29489" t="str">
        <v>-</v>
      </c>
      <c r="G29489" t="str">
        <v>-</v>
      </c>
    </row>
    <row r="29490">
      <c r="B29490" t="str">
        <v>Công an tỉnh Lâm Đồng  tỉnh Lâm Đồng</v>
      </c>
      <c r="C29490" t="str">
        <v>-</v>
      </c>
      <c r="D29490" t="str">
        <v>-</v>
      </c>
      <c r="E29490" t="str">
        <v/>
      </c>
      <c r="F29490" t="str">
        <v>-</v>
      </c>
      <c r="G29490" t="str">
        <v>-</v>
      </c>
    </row>
    <row r="29491">
      <c r="B29491" t="str">
        <v>UBND Ủy ban nhân dân tỉnh Lâm Đồng  tỉnh Lâm Đồng</v>
      </c>
      <c r="C29491" t="str">
        <v>-</v>
      </c>
      <c r="D29491" t="str">
        <v>-</v>
      </c>
      <c r="E29491" t="str">
        <v>-</v>
      </c>
      <c r="F29491" t="str">
        <v>-</v>
      </c>
      <c r="G29491" t="str">
        <v>-</v>
      </c>
    </row>
    <row r="29492">
      <c r="B29492" t="str">
        <v>Công an tỉnh Nghệ An  tỉnh Nghệ An</v>
      </c>
      <c r="C29492" t="str">
        <v>-</v>
      </c>
      <c r="D29492" t="str">
        <v>-</v>
      </c>
      <c r="E29492" t="str">
        <v/>
      </c>
      <c r="F29492" t="str">
        <v>-</v>
      </c>
      <c r="G29492" t="str">
        <v>-</v>
      </c>
    </row>
    <row r="29493">
      <c r="B29493" t="str">
        <v>UBND Ủy ban nhân dân tỉnh Nghệ An  tỉnh Nghệ An</v>
      </c>
      <c r="C29493" t="str">
        <v>-</v>
      </c>
      <c r="D29493" t="str">
        <v>-</v>
      </c>
      <c r="E29493" t="str">
        <v>-</v>
      </c>
      <c r="F29493" t="str">
        <v>-</v>
      </c>
      <c r="G29493" t="str">
        <v>-</v>
      </c>
    </row>
    <row r="29494">
      <c r="B29494" t="str">
        <v>Công an tỉnh Tây Ninh  tỉnh TÂY NINH</v>
      </c>
      <c r="C29494" t="str">
        <v>-</v>
      </c>
      <c r="D29494" t="str">
        <v>-</v>
      </c>
      <c r="E29494" t="str">
        <v/>
      </c>
      <c r="F29494" t="str">
        <v>-</v>
      </c>
      <c r="G29494" t="str">
        <v>-</v>
      </c>
    </row>
    <row r="29495">
      <c r="B29495" t="str">
        <v>UBND Ủy ban nhân dân tỉnh Tây Ninh  tỉnh TÂY NINH</v>
      </c>
      <c r="C29495" t="str">
        <v>-</v>
      </c>
      <c r="D29495" t="str">
        <v>-</v>
      </c>
      <c r="E29495" t="str">
        <v>-</v>
      </c>
      <c r="F29495" t="str">
        <v>-</v>
      </c>
      <c r="G29495" t="str">
        <v>-</v>
      </c>
    </row>
    <row r="29496">
      <c r="B29496" t="str">
        <v>Công an tỉnh Lào Cai  tỉnh Lào Cai</v>
      </c>
      <c r="C29496" t="str">
        <v>-</v>
      </c>
      <c r="D29496" t="str">
        <v>-</v>
      </c>
      <c r="E29496" t="str">
        <v/>
      </c>
      <c r="F29496" t="str">
        <v>-</v>
      </c>
      <c r="G29496" t="str">
        <v>-</v>
      </c>
    </row>
    <row r="29497">
      <c r="B29497" t="str">
        <v>UBND Ủy ban nhân dân tỉnh Lào Cai  tỉnh Lào Cai</v>
      </c>
      <c r="C29497" t="str">
        <v>-</v>
      </c>
      <c r="D29497" t="str">
        <v>-</v>
      </c>
      <c r="E29497" t="str">
        <v>-</v>
      </c>
      <c r="F29497" t="str">
        <v>-</v>
      </c>
      <c r="G29497" t="str">
        <v>-</v>
      </c>
    </row>
    <row r="29498">
      <c r="B29498" t="str">
        <v>Công an tỉnh Tuyên Quang  tỉnh Tuyên Quang</v>
      </c>
      <c r="C29498" t="str">
        <v>-</v>
      </c>
      <c r="D29498" t="str">
        <v>-</v>
      </c>
      <c r="E29498" t="str">
        <v/>
      </c>
      <c r="F29498" t="str">
        <v>-</v>
      </c>
      <c r="G29498" t="str">
        <v>-</v>
      </c>
    </row>
    <row r="29499">
      <c r="B29499" t="str">
        <v>UBND Ủy ban nhân dân tỉnh Tuyên Quang  tỉnh Tuyên Quang</v>
      </c>
      <c r="C29499" t="str">
        <v>-</v>
      </c>
      <c r="D29499" t="str">
        <v>-</v>
      </c>
      <c r="E29499" t="str">
        <v>-</v>
      </c>
      <c r="F29499" t="str">
        <v>-</v>
      </c>
      <c r="G29499" t="str">
        <v>-</v>
      </c>
    </row>
    <row r="29500">
      <c r="B29500" t="str">
        <v>Công an xã Ia Hla  tỉnh Gia Lai</v>
      </c>
      <c r="C29500" t="str">
        <v>-</v>
      </c>
      <c r="D29500" t="str">
        <v>-</v>
      </c>
      <c r="E29500" t="str">
        <v/>
      </c>
      <c r="F29500" t="str">
        <v>-</v>
      </c>
      <c r="G29500" t="str">
        <v>-</v>
      </c>
    </row>
    <row r="29501">
      <c r="B29501" t="str">
        <v>UBND Ủy ban nhân dân xã Ia Hla  tỉnh Gia Lai</v>
      </c>
      <c r="C29501" t="str">
        <v>-</v>
      </c>
      <c r="D29501" t="str">
        <v>-</v>
      </c>
      <c r="E29501" t="str">
        <v>-</v>
      </c>
      <c r="F29501" t="str">
        <v>-</v>
      </c>
      <c r="G29501" t="str">
        <v>-</v>
      </c>
    </row>
    <row r="29502">
      <c r="B29502" t="str">
        <v>Công an xã Lùng Vai tỉnh Lào Cai</v>
      </c>
      <c r="C29502" t="str">
        <v>-</v>
      </c>
      <c r="D29502" t="str">
        <v>-</v>
      </c>
      <c r="E29502" t="str">
        <v/>
      </c>
      <c r="F29502" t="str">
        <v>-</v>
      </c>
      <c r="G29502" t="str">
        <v>-</v>
      </c>
    </row>
    <row r="29503">
      <c r="B29503" t="str">
        <v>UBND Ủy ban nhân dân xã Lùng Vai tỉnh Lào Cai</v>
      </c>
      <c r="C29503" t="str">
        <v>-</v>
      </c>
      <c r="D29503" t="str">
        <v>-</v>
      </c>
      <c r="E29503" t="str">
        <v>-</v>
      </c>
      <c r="F29503" t="str">
        <v>-</v>
      </c>
      <c r="G29503" t="str">
        <v>-</v>
      </c>
    </row>
    <row r="29504">
      <c r="B29504" t="str">
        <v>Cảnh sát Bà Rịa Vũng Tàu  tỉnh Bà Rịa - Vũng Tàu</v>
      </c>
    </row>
    <row r="29505">
      <c r="B29505" t="str">
        <v>UBND Ủy ban nhân dânt Bà Rịa Vũng Tàu  tỉnh Bà Rịa - Vũng Tàu</v>
      </c>
      <c r="C29505" t="str">
        <v>-</v>
      </c>
      <c r="D29505" t="str">
        <v>-</v>
      </c>
      <c r="E29505" t="str">
        <v>-</v>
      </c>
      <c r="F29505" t="str">
        <v>-</v>
      </c>
      <c r="G29505" t="str">
        <v>-</v>
      </c>
    </row>
    <row r="29506">
      <c r="B29506" t="str">
        <v>Công an thành phố Yên Bái  tỉnh Yên Bái</v>
      </c>
      <c r="C29506" t="str">
        <v>-</v>
      </c>
      <c r="D29506" t="str">
        <v>-</v>
      </c>
      <c r="E29506" t="str">
        <v/>
      </c>
      <c r="F29506" t="str">
        <v>-</v>
      </c>
      <c r="G29506" t="str">
        <v>-</v>
      </c>
    </row>
    <row r="29507">
      <c r="B29507" t="str">
        <v>UBND Ủy ban nhân dân thành phố Yên Bái  tỉnh Yên Bái</v>
      </c>
      <c r="C29507" t="str">
        <v>-</v>
      </c>
      <c r="D29507" t="str">
        <v>-</v>
      </c>
      <c r="E29507" t="str">
        <v>-</v>
      </c>
      <c r="F29507" t="str">
        <v>-</v>
      </c>
      <c r="G29507" t="str">
        <v>-</v>
      </c>
    </row>
    <row r="29508">
      <c r="B29508" t="str">
        <v>Công an thành phố Nha Trang  tỉnh Khánh Hòa</v>
      </c>
      <c r="C29508" t="str">
        <v>-</v>
      </c>
      <c r="D29508" t="str">
        <v>-</v>
      </c>
      <c r="E29508" t="str">
        <v/>
      </c>
      <c r="F29508" t="str">
        <v>-</v>
      </c>
      <c r="G29508" t="str">
        <v>-</v>
      </c>
    </row>
    <row r="29509">
      <c r="B29509" t="str">
        <v>UBND Ủy ban nhân dân thành phố Nha Trang  tỉnh Khánh Hòa</v>
      </c>
      <c r="C29509" t="str">
        <v>-</v>
      </c>
      <c r="D29509" t="str">
        <v>-</v>
      </c>
      <c r="E29509" t="str">
        <v>-</v>
      </c>
      <c r="F29509" t="str">
        <v>-</v>
      </c>
      <c r="G29509" t="str">
        <v>-</v>
      </c>
    </row>
    <row r="29510">
      <c r="B29510" t="str">
        <v>Công an huyện Cẩm Xuyên  tỉnh Hà Tĩnh</v>
      </c>
      <c r="C29510" t="str">
        <v>-</v>
      </c>
      <c r="D29510" t="str">
        <v>-</v>
      </c>
      <c r="E29510" t="str">
        <v/>
      </c>
      <c r="F29510" t="str">
        <v>-</v>
      </c>
      <c r="G29510" t="str">
        <v>-</v>
      </c>
    </row>
    <row r="29511">
      <c r="B29511" t="str">
        <v>UBND Ủy ban nhân dân huyện Cẩm Xuyên  tỉnh Hà Tĩnh</v>
      </c>
      <c r="C29511" t="str">
        <v>-</v>
      </c>
      <c r="D29511" t="str">
        <v>-</v>
      </c>
      <c r="E29511" t="str">
        <v>-</v>
      </c>
      <c r="F29511" t="str">
        <v>-</v>
      </c>
      <c r="G29511" t="str">
        <v>-</v>
      </c>
    </row>
    <row r="29512">
      <c r="B29512" t="str">
        <v>Công an huyện Phú Lộc tỉnh THỪA THIÊN HUẾ</v>
      </c>
      <c r="C29512" t="str">
        <v>-</v>
      </c>
      <c r="D29512" t="str">
        <v>-</v>
      </c>
      <c r="E29512" t="str">
        <v/>
      </c>
      <c r="F29512" t="str">
        <v>-</v>
      </c>
      <c r="G29512" t="str">
        <v>-</v>
      </c>
    </row>
    <row r="29513">
      <c r="B29513" t="str">
        <v>UBND Ủy ban nhân dân huyện Phú Lộc tỉnh THỪA THIÊN HUẾ</v>
      </c>
      <c r="C29513" t="str">
        <v>-</v>
      </c>
      <c r="D29513" t="str">
        <v>-</v>
      </c>
      <c r="E29513" t="str">
        <v>-</v>
      </c>
      <c r="F29513" t="str">
        <v>-</v>
      </c>
      <c r="G29513" t="str">
        <v>-</v>
      </c>
    </row>
    <row r="29514">
      <c r="B29514" t="str">
        <v>Đội Phòng chống tội phạm thành phố Nha Trang  tỉnh Khánh Hòa</v>
      </c>
    </row>
    <row r="29515">
      <c r="B29515" t="str">
        <v>UBND Ủy ban nhân dânng chống tội phạm thành phố Nha Trang  tỉnh Khánh Hòa</v>
      </c>
      <c r="C29515" t="str">
        <v>-</v>
      </c>
      <c r="D29515" t="str">
        <v>-</v>
      </c>
      <c r="E29515" t="str">
        <v>-</v>
      </c>
      <c r="F29515" t="str">
        <v>-</v>
      </c>
      <c r="G29515" t="str">
        <v>-</v>
      </c>
    </row>
    <row r="29516">
      <c r="B29516" t="str">
        <v>Công an xã Ký Phú  tỉnh Thái Nguyên</v>
      </c>
      <c r="C29516" t="str">
        <v>-</v>
      </c>
      <c r="D29516" t="str">
        <v>-</v>
      </c>
      <c r="E29516" t="str">
        <v/>
      </c>
      <c r="F29516" t="str">
        <v>-</v>
      </c>
      <c r="G29516" t="str">
        <v>-</v>
      </c>
    </row>
    <row r="29517">
      <c r="B29517" t="str">
        <v>UBND Ủy ban nhân dân xã Ký Phú  tỉnh Thái Nguyên</v>
      </c>
      <c r="C29517" t="str">
        <v>-</v>
      </c>
      <c r="D29517" t="str">
        <v>-</v>
      </c>
      <c r="E29517" t="str">
        <v>-</v>
      </c>
      <c r="F29517" t="str">
        <v>-</v>
      </c>
      <c r="G29517" t="str">
        <v>-</v>
      </c>
    </row>
    <row r="29518">
      <c r="B29518" t="str">
        <v>Công an Khu công nghiệp Minh Hưng  tỉnh Bình Phước</v>
      </c>
      <c r="C29518" t="str">
        <v>-</v>
      </c>
      <c r="D29518" t="str">
        <v>-</v>
      </c>
      <c r="E29518" t="str">
        <v/>
      </c>
      <c r="F29518" t="str">
        <v>-</v>
      </c>
      <c r="G29518" t="str">
        <v>-</v>
      </c>
    </row>
    <row r="29519">
      <c r="B29519" t="str">
        <v>UBND Ủy ban nhân dân Khu công nghiệp Minh Hưng  tỉnh Bình Phước</v>
      </c>
      <c r="C29519" t="str">
        <v>-</v>
      </c>
      <c r="D29519" t="str">
        <v>-</v>
      </c>
      <c r="E29519" t="str">
        <v>-</v>
      </c>
      <c r="F29519" t="str">
        <v>-</v>
      </c>
      <c r="G29519" t="str">
        <v>-</v>
      </c>
    </row>
    <row r="29520">
      <c r="B29520" t="str">
        <v>Công an phường Tân Đông Hiệp tỉnh Bình Dương</v>
      </c>
      <c r="C29520" t="str">
        <v>-</v>
      </c>
      <c r="D29520" t="str">
        <v>-</v>
      </c>
      <c r="E29520" t="str">
        <v/>
      </c>
      <c r="F29520" t="str">
        <v>-</v>
      </c>
      <c r="G29520" t="str">
        <v>-</v>
      </c>
    </row>
    <row r="29521">
      <c r="B29521" t="str">
        <v>UBND Ủy ban nhân dân phường Tân Đông Hiệp tỉnh Bình Dương</v>
      </c>
      <c r="C29521" t="str">
        <v>-</v>
      </c>
      <c r="D29521" t="str">
        <v>-</v>
      </c>
      <c r="E29521" t="str">
        <v>-</v>
      </c>
      <c r="F29521" t="str">
        <v>-</v>
      </c>
      <c r="G29521" t="str">
        <v>-</v>
      </c>
    </row>
    <row r="29522">
      <c r="B29522" t="str">
        <v>Công an tỉnh Vĩnh Phúc tỉnh Vĩnh Phúc</v>
      </c>
      <c r="C29522" t="str">
        <v>-</v>
      </c>
      <c r="D29522" t="str">
        <v>-</v>
      </c>
      <c r="E29522" t="str">
        <v/>
      </c>
      <c r="F29522" t="str">
        <v>-</v>
      </c>
      <c r="G29522" t="str">
        <v>-</v>
      </c>
    </row>
    <row r="29523">
      <c r="B29523" t="str">
        <v>UBND Ủy ban nhân dân tỉnh Vĩnh Phúc tỉnh Vĩnh Phúc</v>
      </c>
      <c r="C29523" t="str">
        <v>-</v>
      </c>
      <c r="D29523" t="str">
        <v>-</v>
      </c>
      <c r="E29523" t="str">
        <v>-</v>
      </c>
      <c r="F29523" t="str">
        <v>-</v>
      </c>
      <c r="G29523" t="str">
        <v>-</v>
      </c>
    </row>
    <row r="29524">
      <c r="B29524" t="str">
        <v>Công an huyện Đan Phượng  thành phố Hà Nội</v>
      </c>
      <c r="C29524" t="str">
        <v>-</v>
      </c>
      <c r="D29524" t="str">
        <v>-</v>
      </c>
      <c r="E29524" t="str">
        <v/>
      </c>
      <c r="F29524" t="str">
        <v>-</v>
      </c>
      <c r="G29524" t="str">
        <v>-</v>
      </c>
    </row>
    <row r="29525">
      <c r="B29525" t="str">
        <v>UBND Ủy ban nhân dân huyện Đan Phượng  thành phố Hà Nội</v>
      </c>
      <c r="C29525" t="str">
        <v>-</v>
      </c>
      <c r="D29525" t="str">
        <v>-</v>
      </c>
      <c r="E29525" t="str">
        <v>-</v>
      </c>
      <c r="F29525" t="str">
        <v>-</v>
      </c>
      <c r="G29525" t="str">
        <v>-</v>
      </c>
    </row>
    <row r="29526">
      <c r="B29526" t="str">
        <v>Công an huyện Đầm Dơi  tỉnh Cà Mau</v>
      </c>
      <c r="C29526" t="str">
        <v>-</v>
      </c>
      <c r="D29526" t="str">
        <v>-</v>
      </c>
      <c r="E29526" t="str">
        <v/>
      </c>
      <c r="F29526" t="str">
        <v>-</v>
      </c>
      <c r="G29526" t="str">
        <v>-</v>
      </c>
    </row>
    <row r="29527">
      <c r="B29527" t="str">
        <v>UBND Ủy ban nhân dân huyện Đầm Dơi  tỉnh Cà Mau</v>
      </c>
      <c r="C29527" t="str">
        <v>-</v>
      </c>
      <c r="D29527" t="str">
        <v>-</v>
      </c>
      <c r="E29527" t="str">
        <v>-</v>
      </c>
      <c r="F29527" t="str">
        <v>-</v>
      </c>
      <c r="G29527" t="str">
        <v>-</v>
      </c>
    </row>
    <row r="29528">
      <c r="B29528" t="str">
        <v>Công an huyện Nghĩa Hưng  tỉnh Nam Định</v>
      </c>
      <c r="C29528" t="str">
        <v>-</v>
      </c>
      <c r="D29528" t="str">
        <v>-</v>
      </c>
      <c r="E29528" t="str">
        <v/>
      </c>
      <c r="F29528" t="str">
        <v>-</v>
      </c>
      <c r="G29528" t="str">
        <v>-</v>
      </c>
    </row>
    <row r="29529">
      <c r="B29529" t="str">
        <v>UBND Ủy ban nhân dân huyện Nghĩa Hưng  tỉnh Nam Định</v>
      </c>
      <c r="C29529" t="str">
        <v>-</v>
      </c>
      <c r="D29529" t="str">
        <v>-</v>
      </c>
      <c r="E29529" t="str">
        <v>-</v>
      </c>
      <c r="F29529" t="str">
        <v>-</v>
      </c>
      <c r="G29529" t="str">
        <v>-</v>
      </c>
    </row>
    <row r="29530">
      <c r="B29530" t="str">
        <v>Công an tỉnh Hưng Yên tỉnh Hưng Yên</v>
      </c>
      <c r="C29530" t="str">
        <v>-</v>
      </c>
      <c r="D29530" t="str">
        <v>-</v>
      </c>
      <c r="E29530" t="str">
        <v/>
      </c>
      <c r="F29530" t="str">
        <v>-</v>
      </c>
      <c r="G29530" t="str">
        <v>-</v>
      </c>
    </row>
    <row r="29531">
      <c r="B29531" t="str">
        <v>UBND Ủy ban nhân dân tỉnh Hưng Yên tỉnh Hưng Yên</v>
      </c>
      <c r="C29531" t="str">
        <v>-</v>
      </c>
      <c r="D29531" t="str">
        <v>-</v>
      </c>
      <c r="E29531" t="str">
        <v>-</v>
      </c>
      <c r="F29531" t="str">
        <v>-</v>
      </c>
      <c r="G29531" t="str">
        <v>-</v>
      </c>
    </row>
    <row r="29532">
      <c r="B29532" t="str">
        <v>Công an huyện Khoái Châu  tỉnh Hưng Yên</v>
      </c>
      <c r="C29532" t="str">
        <v>-</v>
      </c>
      <c r="D29532" t="str">
        <v>-</v>
      </c>
      <c r="E29532" t="str">
        <v/>
      </c>
      <c r="F29532" t="str">
        <v>-</v>
      </c>
      <c r="G29532" t="str">
        <v>-</v>
      </c>
    </row>
    <row r="29533">
      <c r="B29533" t="str">
        <v>UBND Ủy ban nhân dân huyện Khoái Châu  tỉnh Hưng Yên</v>
      </c>
      <c r="C29533" t="str">
        <v>-</v>
      </c>
      <c r="D29533" t="str">
        <v>-</v>
      </c>
      <c r="E29533" t="str">
        <v>-</v>
      </c>
      <c r="F29533" t="str">
        <v>-</v>
      </c>
      <c r="G29533" t="str">
        <v>-</v>
      </c>
    </row>
    <row r="29534">
      <c r="B29534" t="str">
        <v>Công an huyện Quan Sơn  tỉnh Thanh Hóa</v>
      </c>
      <c r="C29534" t="str">
        <v>-</v>
      </c>
      <c r="D29534" t="str">
        <v>-</v>
      </c>
      <c r="E29534" t="str">
        <v/>
      </c>
      <c r="F29534" t="str">
        <v>-</v>
      </c>
      <c r="G29534" t="str">
        <v>-</v>
      </c>
    </row>
    <row r="29535">
      <c r="B29535" t="str">
        <v>UBND Ủy ban nhân dân huyện Quan Sơn  tỉnh Thanh Hóa</v>
      </c>
      <c r="C29535" t="str">
        <v>-</v>
      </c>
      <c r="D29535" t="str">
        <v>-</v>
      </c>
      <c r="E29535" t="str">
        <v>-</v>
      </c>
      <c r="F29535" t="str">
        <v>-</v>
      </c>
      <c r="G29535" t="str">
        <v>-</v>
      </c>
    </row>
    <row r="29536">
      <c r="B29536" t="str">
        <v>Công an tỉnh Bình Phước  tỉnh Bình Phước</v>
      </c>
      <c r="C29536" t="str">
        <v>-</v>
      </c>
      <c r="D29536" t="str">
        <v>-</v>
      </c>
      <c r="E29536" t="str">
        <v/>
      </c>
      <c r="F29536" t="str">
        <v>-</v>
      </c>
      <c r="G29536" t="str">
        <v>-</v>
      </c>
    </row>
    <row r="29537">
      <c r="B29537" t="str">
        <v>UBND Ủy ban nhân dân tỉnh Bình Phước  tỉnh Bình Phước</v>
      </c>
      <c r="C29537" t="str">
        <v>-</v>
      </c>
      <c r="D29537" t="str">
        <v>-</v>
      </c>
      <c r="E29537" t="str">
        <v>-</v>
      </c>
      <c r="F29537" t="str">
        <v>-</v>
      </c>
      <c r="G29537" t="str">
        <v>-</v>
      </c>
    </row>
    <row r="29538">
      <c r="B29538" t="str">
        <v>Công an thành phô Hải Phòng  thành phố Hải Phòng</v>
      </c>
      <c r="C29538" t="str">
        <v>-</v>
      </c>
      <c r="D29538" t="str">
        <v>-</v>
      </c>
      <c r="E29538" t="str">
        <v/>
      </c>
      <c r="F29538" t="str">
        <v>-</v>
      </c>
      <c r="G29538" t="str">
        <v>-</v>
      </c>
    </row>
    <row r="29539">
      <c r="B29539" t="str">
        <v>UBND Ủy ban nhân dân thành phô Hải Phòng  thành phố Hải Phòng</v>
      </c>
      <c r="C29539" t="str">
        <v>-</v>
      </c>
      <c r="D29539" t="str">
        <v>-</v>
      </c>
      <c r="E29539" t="str">
        <v>-</v>
      </c>
      <c r="F29539" t="str">
        <v>-</v>
      </c>
      <c r="G29539" t="str">
        <v>-</v>
      </c>
    </row>
    <row r="29540">
      <c r="B29540" t="str">
        <v>Công an tỉnh Quảng Ngãi  tỉnh Quảng Ngãi</v>
      </c>
      <c r="C29540" t="str">
        <v>-</v>
      </c>
      <c r="D29540" t="str">
        <v>-</v>
      </c>
      <c r="E29540" t="str">
        <v/>
      </c>
      <c r="F29540" t="str">
        <v>-</v>
      </c>
      <c r="G29540" t="str">
        <v>-</v>
      </c>
    </row>
    <row r="29541">
      <c r="B29541" t="str">
        <v>UBND Ủy ban nhân dân tỉnh Quảng Ngãi  tỉnh Quảng Ngãi</v>
      </c>
      <c r="C29541" t="str">
        <v>-</v>
      </c>
      <c r="D29541" t="str">
        <v>-</v>
      </c>
      <c r="E29541" t="str">
        <v>-</v>
      </c>
      <c r="F29541" t="str">
        <v>-</v>
      </c>
      <c r="G29541" t="str">
        <v>-</v>
      </c>
    </row>
    <row r="29542">
      <c r="B29542" t="str">
        <v>Công an thị xã Bình Minh  tỉnh Vĩnh Long</v>
      </c>
      <c r="C29542" t="str">
        <v>-</v>
      </c>
      <c r="D29542" t="str">
        <v>-</v>
      </c>
      <c r="E29542" t="str">
        <v/>
      </c>
      <c r="F29542" t="str">
        <v>-</v>
      </c>
      <c r="G29542" t="str">
        <v>-</v>
      </c>
    </row>
    <row r="29543">
      <c r="B29543" t="str">
        <v>UBND Ủy ban nhân dân thị xã Bình Minh  tỉnh Vĩnh Long</v>
      </c>
      <c r="C29543" t="str">
        <v>-</v>
      </c>
      <c r="D29543" t="str">
        <v>-</v>
      </c>
      <c r="E29543" t="str">
        <v>-</v>
      </c>
      <c r="F29543" t="str">
        <v>-</v>
      </c>
      <c r="G29543" t="str">
        <v>-</v>
      </c>
    </row>
    <row r="29544">
      <c r="B29544" t="str">
        <v>Công an xã Hoằng Châu  tỉnh Thanh Hóa</v>
      </c>
      <c r="C29544" t="str">
        <v>-</v>
      </c>
      <c r="D29544" t="str">
        <v>-</v>
      </c>
      <c r="E29544" t="str">
        <v/>
      </c>
      <c r="F29544" t="str">
        <v>-</v>
      </c>
      <c r="G29544" t="str">
        <v>-</v>
      </c>
    </row>
    <row r="29545">
      <c r="B29545" t="str">
        <v>UBND Ủy ban nhân dân xã Hoằng Châu  tỉnh Thanh Hóa</v>
      </c>
      <c r="C29545" t="str">
        <v>-</v>
      </c>
      <c r="D29545" t="str">
        <v>-</v>
      </c>
      <c r="E29545" t="str">
        <v>-</v>
      </c>
      <c r="F29545" t="str">
        <v>-</v>
      </c>
      <c r="G29545" t="str">
        <v>-</v>
      </c>
    </row>
    <row r="29546">
      <c r="B29546" t="str">
        <v>Công an xã Hoằng Đồng tỉnh Thanh Hóa</v>
      </c>
      <c r="C29546" t="str">
        <v>-</v>
      </c>
      <c r="D29546" t="str">
        <v>-</v>
      </c>
      <c r="E29546" t="str">
        <v/>
      </c>
      <c r="F29546" t="str">
        <v>-</v>
      </c>
      <c r="G29546" t="str">
        <v>-</v>
      </c>
    </row>
    <row r="29547">
      <c r="B29547" t="str">
        <v>UBND Ủy ban nhân dân xã Hoằng Đồng tỉnh Thanh Hóa</v>
      </c>
      <c r="C29547" t="str">
        <v>-</v>
      </c>
      <c r="D29547" t="str">
        <v>-</v>
      </c>
      <c r="E29547" t="str">
        <v>-</v>
      </c>
      <c r="F29547" t="str">
        <v>-</v>
      </c>
      <c r="G29547" t="str">
        <v>-</v>
      </c>
    </row>
    <row r="29548" xml:space="preserve">
      <c r="B29548" t="str" xml:space="preserve">
        <v xml:space="preserve">Công an xã Hoằng Phong _x000d_
 tỉnh Thanh Hóa</v>
      </c>
      <c r="C29548" t="str">
        <v>-</v>
      </c>
      <c r="D29548" t="str">
        <v>-</v>
      </c>
      <c r="E29548" t="str">
        <v/>
      </c>
      <c r="F29548" t="str">
        <v>-</v>
      </c>
      <c r="G29548" t="str">
        <v>-</v>
      </c>
    </row>
    <row r="29549" xml:space="preserve">
      <c r="B29549" t="str" xml:space="preserve">
        <v xml:space="preserve">UBND Ủy ban nhân dân xã Hoằng Phong _x000d_
 tỉnh Thanh Hóa</v>
      </c>
      <c r="C29549" t="str">
        <v>-</v>
      </c>
      <c r="D29549" t="str">
        <v>-</v>
      </c>
      <c r="E29549" t="str">
        <v>-</v>
      </c>
      <c r="F29549" t="str">
        <v>-</v>
      </c>
      <c r="G29549" t="str">
        <v>-</v>
      </c>
    </row>
    <row r="29550">
      <c r="B29550" t="str">
        <v>Công an xã Hoằng Quý  tỉnh Thanh Hóa</v>
      </c>
      <c r="C29550" t="str">
        <v>-</v>
      </c>
      <c r="D29550" t="str">
        <v>-</v>
      </c>
      <c r="E29550" t="str">
        <v/>
      </c>
      <c r="F29550" t="str">
        <v>-</v>
      </c>
      <c r="G29550" t="str">
        <v>-</v>
      </c>
    </row>
    <row r="29551">
      <c r="B29551" t="str">
        <v>UBND Ủy ban nhân dân xã Hoằng Quý  tỉnh Thanh Hóa</v>
      </c>
      <c r="C29551" t="str">
        <v>-</v>
      </c>
      <c r="D29551" t="str">
        <v>-</v>
      </c>
      <c r="E29551" t="str">
        <v>-</v>
      </c>
      <c r="F29551" t="str">
        <v>-</v>
      </c>
      <c r="G29551" t="str">
        <v>-</v>
      </c>
    </row>
    <row r="29552">
      <c r="B29552" t="str">
        <v>Công an xã Hoằng Trung  tỉnh Thanh Hóa</v>
      </c>
      <c r="C29552" t="str">
        <v>-</v>
      </c>
      <c r="D29552" t="str">
        <v>-</v>
      </c>
      <c r="E29552" t="str">
        <v/>
      </c>
      <c r="F29552" t="str">
        <v>-</v>
      </c>
      <c r="G29552" t="str">
        <v>-</v>
      </c>
    </row>
    <row r="29553">
      <c r="B29553" t="str">
        <v>UBND Ủy ban nhân dân xã Hoằng Trung  tỉnh Thanh Hóa</v>
      </c>
      <c r="C29553" t="str">
        <v>-</v>
      </c>
      <c r="D29553" t="str">
        <v>-</v>
      </c>
      <c r="E29553" t="str">
        <v>-</v>
      </c>
      <c r="F29553" t="str">
        <v>-</v>
      </c>
      <c r="G29553" t="str">
        <v>-</v>
      </c>
    </row>
    <row r="29554">
      <c r="B29554" t="str">
        <v>Công an xã Hoằng Trường tỉnh Thanh Hóa</v>
      </c>
      <c r="C29554" t="str">
        <v>-</v>
      </c>
      <c r="D29554" t="str">
        <v>-</v>
      </c>
      <c r="E29554" t="str">
        <v/>
      </c>
      <c r="F29554" t="str">
        <v>-</v>
      </c>
      <c r="G29554" t="str">
        <v>-</v>
      </c>
    </row>
    <row r="29555">
      <c r="B29555" t="str">
        <v>UBND Ủy ban nhân dân xã Hoằng Trường tỉnh Thanh Hóa</v>
      </c>
      <c r="C29555" t="str">
        <v>-</v>
      </c>
      <c r="D29555" t="str">
        <v>-</v>
      </c>
      <c r="E29555" t="str">
        <v>-</v>
      </c>
      <c r="F29555" t="str">
        <v>-</v>
      </c>
      <c r="G29555" t="str">
        <v>-</v>
      </c>
    </row>
    <row r="29556" xml:space="preserve">
      <c r="B29556" t="str" xml:space="preserve">
        <v xml:space="preserve">Công an xã Hoành Sơn _x000d_
 tỉnh Nam Định</v>
      </c>
      <c r="C29556" t="str">
        <v>-</v>
      </c>
      <c r="D29556" t="str">
        <v>-</v>
      </c>
      <c r="E29556" t="str">
        <v/>
      </c>
      <c r="F29556" t="str">
        <v>-</v>
      </c>
      <c r="G29556" t="str">
        <v>-</v>
      </c>
    </row>
    <row r="29557" xml:space="preserve">
      <c r="B29557" t="str" xml:space="preserve">
        <v xml:space="preserve">UBND Ủy ban nhân dân xã Hoành Sơn _x000d_
 tỉnh Nam Định</v>
      </c>
      <c r="C29557" t="str">
        <v>-</v>
      </c>
      <c r="D29557" t="str">
        <v>-</v>
      </c>
      <c r="E29557" t="str">
        <v>-</v>
      </c>
      <c r="F29557" t="str">
        <v>-</v>
      </c>
      <c r="G29557" t="str">
        <v>-</v>
      </c>
    </row>
    <row r="29558">
      <c r="B29558" t="str">
        <v>Công an xã Hóa Phúc tỉnh Quảng Bình</v>
      </c>
      <c r="C29558" t="str">
        <v>-</v>
      </c>
      <c r="D29558" t="str">
        <v>-</v>
      </c>
      <c r="E29558" t="str">
        <v/>
      </c>
      <c r="F29558" t="str">
        <v>-</v>
      </c>
      <c r="G29558" t="str">
        <v>-</v>
      </c>
    </row>
    <row r="29559">
      <c r="B29559" t="str">
        <v>UBND Ủy ban nhân dân xã Hóa Phúc tỉnh Quảng Bình</v>
      </c>
      <c r="C29559" t="str">
        <v>-</v>
      </c>
      <c r="D29559" t="str">
        <v>-</v>
      </c>
      <c r="E29559" t="str">
        <v>-</v>
      </c>
      <c r="F29559" t="str">
        <v>-</v>
      </c>
      <c r="G29559" t="str">
        <v>-</v>
      </c>
    </row>
    <row r="29560">
      <c r="B29560" t="str">
        <v>Công an xã Hồng Bạch tỉnh Thái Bình</v>
      </c>
      <c r="C29560" t="str">
        <v>-</v>
      </c>
      <c r="D29560" t="str">
        <v>-</v>
      </c>
      <c r="E29560" t="str">
        <v/>
      </c>
      <c r="F29560" t="str">
        <v>-</v>
      </c>
      <c r="G29560" t="str">
        <v>-</v>
      </c>
    </row>
    <row r="29561">
      <c r="B29561" t="str">
        <v>UBND Ủy ban nhân dân xã Hồng Bạch tỉnh Thái Bình</v>
      </c>
      <c r="C29561" t="str">
        <v>-</v>
      </c>
      <c r="D29561" t="str">
        <v>-</v>
      </c>
      <c r="E29561" t="str">
        <v>-</v>
      </c>
      <c r="F29561" t="str">
        <v>-</v>
      </c>
      <c r="G29561" t="str">
        <v>-</v>
      </c>
    </row>
    <row r="29562">
      <c r="B29562" t="str">
        <v>Công an xã Hồng Việt tỉnh Thái Bình</v>
      </c>
      <c r="C29562" t="str">
        <v>-</v>
      </c>
      <c r="D29562" t="str">
        <v>-</v>
      </c>
      <c r="E29562" t="str">
        <v/>
      </c>
      <c r="F29562" t="str">
        <v>-</v>
      </c>
      <c r="G29562" t="str">
        <v>-</v>
      </c>
    </row>
    <row r="29563">
      <c r="B29563" t="str">
        <v>UBND Ủy ban nhân dân xã Hồng Việt tỉnh Thái Bình</v>
      </c>
      <c r="C29563" t="str">
        <v>-</v>
      </c>
      <c r="D29563" t="str">
        <v>-</v>
      </c>
      <c r="E29563" t="str">
        <v>-</v>
      </c>
      <c r="F29563" t="str">
        <v>-</v>
      </c>
      <c r="G29563" t="str">
        <v>-</v>
      </c>
    </row>
    <row r="29564">
      <c r="B29564" t="str">
        <v>Công an xã Hợp Phong  tỉnh Hòa Bình</v>
      </c>
      <c r="C29564" t="str">
        <v>-</v>
      </c>
      <c r="D29564" t="str">
        <v>-</v>
      </c>
      <c r="E29564" t="str">
        <v/>
      </c>
      <c r="F29564" t="str">
        <v>-</v>
      </c>
      <c r="G29564" t="str">
        <v>-</v>
      </c>
    </row>
    <row r="29565">
      <c r="B29565" t="str">
        <v>UBND Ủy ban nhân dân xã Hợp Phong  tỉnh Hòa Bình</v>
      </c>
      <c r="C29565" t="str">
        <v>-</v>
      </c>
      <c r="D29565" t="str">
        <v>-</v>
      </c>
      <c r="E29565" t="str">
        <v>-</v>
      </c>
      <c r="F29565" t="str">
        <v>-</v>
      </c>
      <c r="G29565" t="str">
        <v>-</v>
      </c>
    </row>
    <row r="29566">
      <c r="B29566" t="str">
        <v>Công an xã Hợp Thành  tỉnh Nghệ An</v>
      </c>
      <c r="C29566" t="str">
        <v>-</v>
      </c>
      <c r="D29566" t="str">
        <v>-</v>
      </c>
      <c r="E29566" t="str">
        <v/>
      </c>
      <c r="F29566" t="str">
        <v>-</v>
      </c>
      <c r="G29566" t="str">
        <v>-</v>
      </c>
    </row>
    <row r="29567">
      <c r="B29567" t="str">
        <v>UBND Ủy ban nhân dân xã Hợp Thành  tỉnh Nghệ An</v>
      </c>
      <c r="C29567" t="str">
        <v>-</v>
      </c>
      <c r="D29567" t="str">
        <v>-</v>
      </c>
      <c r="E29567" t="str">
        <v>-</v>
      </c>
      <c r="F29567" t="str">
        <v>-</v>
      </c>
      <c r="G29567" t="str">
        <v>-</v>
      </c>
    </row>
    <row r="29568">
      <c r="B29568" t="str">
        <v>Công an xã Hua La tỉnh Sơn La</v>
      </c>
      <c r="C29568" t="str">
        <v>-</v>
      </c>
      <c r="D29568" t="str">
        <v>-</v>
      </c>
      <c r="E29568" t="str">
        <v/>
      </c>
      <c r="F29568" t="str">
        <v>-</v>
      </c>
      <c r="G29568" t="str">
        <v>-</v>
      </c>
    </row>
    <row r="29569">
      <c r="B29569" t="str">
        <v>UBND Ủy ban nhân dân xã Hua La tỉnh Sơn La</v>
      </c>
      <c r="C29569" t="str">
        <v>-</v>
      </c>
      <c r="D29569" t="str">
        <v>-</v>
      </c>
      <c r="E29569" t="str">
        <v>-</v>
      </c>
      <c r="F29569" t="str">
        <v>-</v>
      </c>
      <c r="G29569" t="str">
        <v>-</v>
      </c>
    </row>
    <row r="29570">
      <c r="B29570" t="str">
        <v>Công an xã Hưng Mỹ  tỉnh Nghệ An</v>
      </c>
      <c r="C29570" t="str">
        <v>-</v>
      </c>
      <c r="D29570" t="str">
        <v>-</v>
      </c>
      <c r="E29570" t="str">
        <v/>
      </c>
      <c r="F29570" t="str">
        <v>-</v>
      </c>
      <c r="G29570" t="str">
        <v>-</v>
      </c>
    </row>
    <row r="29571">
      <c r="B29571" t="str">
        <v>UBND Ủy ban nhân dân xã Hưng Mỹ  tỉnh Nghệ An</v>
      </c>
      <c r="C29571" t="str">
        <v>-</v>
      </c>
      <c r="D29571" t="str">
        <v>-</v>
      </c>
      <c r="E29571" t="str">
        <v>-</v>
      </c>
      <c r="F29571" t="str">
        <v>-</v>
      </c>
      <c r="G29571" t="str">
        <v>-</v>
      </c>
    </row>
    <row r="29572">
      <c r="B29572" t="str">
        <v>Công an xã Ia Din tỉnh Gia Lai</v>
      </c>
      <c r="C29572" t="str">
        <v>-</v>
      </c>
      <c r="D29572" t="str">
        <v>-</v>
      </c>
      <c r="E29572" t="str">
        <v/>
      </c>
      <c r="F29572" t="str">
        <v>-</v>
      </c>
      <c r="G29572" t="str">
        <v>-</v>
      </c>
    </row>
    <row r="29573">
      <c r="B29573" t="str">
        <v>UBND Ủy ban nhân dân xã Ia Din tỉnh Gia Lai</v>
      </c>
      <c r="C29573" t="str">
        <v>-</v>
      </c>
      <c r="D29573" t="str">
        <v>-</v>
      </c>
      <c r="E29573" t="str">
        <v>-</v>
      </c>
      <c r="F29573" t="str">
        <v>-</v>
      </c>
      <c r="G29573" t="str">
        <v>-</v>
      </c>
    </row>
    <row r="29574">
      <c r="B29574" t="str">
        <v>Công an xã Ia Mơ Nông tỉnh Gia Lai</v>
      </c>
      <c r="C29574" t="str">
        <v>-</v>
      </c>
      <c r="D29574" t="str">
        <v>-</v>
      </c>
      <c r="E29574" t="str">
        <v/>
      </c>
      <c r="F29574" t="str">
        <v>-</v>
      </c>
      <c r="G29574" t="str">
        <v>-</v>
      </c>
    </row>
    <row r="29575">
      <c r="B29575" t="str">
        <v>UBND Ủy ban nhân dân xã Ia Mơ Nông tỉnh Gia Lai</v>
      </c>
      <c r="C29575" t="str">
        <v>-</v>
      </c>
      <c r="D29575" t="str">
        <v>-</v>
      </c>
      <c r="E29575" t="str">
        <v>-</v>
      </c>
      <c r="F29575" t="str">
        <v>-</v>
      </c>
      <c r="G29575" t="str">
        <v>-</v>
      </c>
    </row>
    <row r="29576">
      <c r="B29576" t="str">
        <v>Công an xã Khám Lạng  tỉnh Bắc Giang</v>
      </c>
      <c r="C29576" t="str">
        <v>-</v>
      </c>
      <c r="D29576" t="str">
        <v>-</v>
      </c>
      <c r="E29576" t="str">
        <v/>
      </c>
      <c r="F29576" t="str">
        <v>-</v>
      </c>
      <c r="G29576" t="str">
        <v>-</v>
      </c>
    </row>
    <row r="29577">
      <c r="B29577" t="str">
        <v>UBND Ủy ban nhân dân xã Khám Lạng  tỉnh Bắc Giang</v>
      </c>
      <c r="C29577" t="str">
        <v>-</v>
      </c>
      <c r="D29577" t="str">
        <v>-</v>
      </c>
      <c r="E29577" t="str">
        <v>-</v>
      </c>
      <c r="F29577" t="str">
        <v>-</v>
      </c>
      <c r="G29577" t="str">
        <v>-</v>
      </c>
    </row>
    <row r="29578" xml:space="preserve">
      <c r="B29578" t="str" xml:space="preserve">
        <v xml:space="preserve">Công an xã Khánh Cường _x000d_
 tỉnh Ninh Bình</v>
      </c>
      <c r="C29578" t="str">
        <v>-</v>
      </c>
      <c r="D29578" t="str">
        <v>-</v>
      </c>
      <c r="E29578" t="str">
        <v/>
      </c>
      <c r="F29578" t="str">
        <v>-</v>
      </c>
      <c r="G29578" t="str">
        <v>-</v>
      </c>
    </row>
    <row r="29579" xml:space="preserve">
      <c r="B29579" t="str" xml:space="preserve">
        <v xml:space="preserve">UBND Ủy ban nhân dân xã Khánh Cường _x000d_
 tỉnh Ninh Bình</v>
      </c>
      <c r="C29579" t="str">
        <v>-</v>
      </c>
      <c r="D29579" t="str">
        <v>-</v>
      </c>
      <c r="E29579" t="str">
        <v>-</v>
      </c>
      <c r="F29579" t="str">
        <v>-</v>
      </c>
      <c r="G29579" t="str">
        <v>-</v>
      </c>
    </row>
    <row r="29580">
      <c r="B29580" t="str">
        <v>Công an xã Khánh Tiên  tỉnh Ninh Bình</v>
      </c>
      <c r="C29580" t="str">
        <v>-</v>
      </c>
      <c r="D29580" t="str">
        <v>-</v>
      </c>
      <c r="E29580" t="str">
        <v/>
      </c>
      <c r="F29580" t="str">
        <v>-</v>
      </c>
      <c r="G29580" t="str">
        <v>-</v>
      </c>
    </row>
    <row r="29581">
      <c r="B29581" t="str">
        <v>UBND Ủy ban nhân dân xã Khánh Tiên  tỉnh Ninh Bình</v>
      </c>
      <c r="C29581" t="str">
        <v>-</v>
      </c>
      <c r="D29581" t="str">
        <v>-</v>
      </c>
      <c r="E29581" t="str">
        <v>-</v>
      </c>
      <c r="F29581" t="str">
        <v>-</v>
      </c>
      <c r="G29581" t="str">
        <v>-</v>
      </c>
    </row>
    <row r="29582">
      <c r="B29582" t="str">
        <v>Công an xã Khánh Vân  tỉnh Ninh Bình</v>
      </c>
      <c r="C29582" t="str">
        <v>-</v>
      </c>
      <c r="D29582" t="str">
        <v>-</v>
      </c>
      <c r="E29582" t="str">
        <v/>
      </c>
      <c r="F29582" t="str">
        <v>-</v>
      </c>
      <c r="G29582" t="str">
        <v>-</v>
      </c>
    </row>
    <row r="29583">
      <c r="B29583" t="str">
        <v>UBND Ủy ban nhân dân xã Khánh Vân  tỉnh Ninh Bình</v>
      </c>
      <c r="C29583" t="str">
        <v>-</v>
      </c>
      <c r="D29583" t="str">
        <v>-</v>
      </c>
      <c r="E29583" t="str">
        <v>-</v>
      </c>
      <c r="F29583" t="str">
        <v>-</v>
      </c>
      <c r="G29583" t="str">
        <v>-</v>
      </c>
    </row>
    <row r="29584">
      <c r="B29584" t="str">
        <v>Công an xã Khôi Kỳ tỉnh Thái Nguyên</v>
      </c>
      <c r="C29584" t="str">
        <v>-</v>
      </c>
      <c r="D29584" t="str">
        <v>-</v>
      </c>
      <c r="E29584" t="str">
        <v/>
      </c>
      <c r="F29584" t="str">
        <v>-</v>
      </c>
      <c r="G29584" t="str">
        <v>-</v>
      </c>
    </row>
    <row r="29585">
      <c r="B29585" t="str">
        <v>UBND Ủy ban nhân dân xã Khôi Kỳ tỉnh Thái Nguyên</v>
      </c>
      <c r="C29585" t="str">
        <v>-</v>
      </c>
      <c r="D29585" t="str">
        <v>-</v>
      </c>
      <c r="E29585" t="str">
        <v>-</v>
      </c>
      <c r="F29585" t="str">
        <v>-</v>
      </c>
      <c r="G29585" t="str">
        <v>-</v>
      </c>
    </row>
    <row r="29586">
      <c r="B29586" t="str">
        <v>Công an xã Kim Chính  tỉnh Ninh Bình</v>
      </c>
      <c r="C29586" t="str">
        <v>-</v>
      </c>
      <c r="D29586" t="str">
        <v>-</v>
      </c>
      <c r="E29586" t="str">
        <v/>
      </c>
      <c r="F29586" t="str">
        <v>-</v>
      </c>
      <c r="G29586" t="str">
        <v>-</v>
      </c>
    </row>
    <row r="29587">
      <c r="B29587" t="str">
        <v>UBND Ủy ban nhân dân xã Kim Chính  tỉnh Ninh Bình</v>
      </c>
      <c r="C29587" t="str">
        <v>-</v>
      </c>
      <c r="D29587" t="str">
        <v>-</v>
      </c>
      <c r="E29587" t="str">
        <v>-</v>
      </c>
      <c r="F29587" t="str">
        <v>-</v>
      </c>
      <c r="G29587" t="str">
        <v>-</v>
      </c>
    </row>
    <row r="29588">
      <c r="B29588" t="str">
        <v>Công an xã Kim Lập tỉnh Hòa Bình</v>
      </c>
      <c r="C29588" t="str">
        <v>-</v>
      </c>
      <c r="D29588" t="str">
        <v>-</v>
      </c>
      <c r="E29588" t="str">
        <v/>
      </c>
      <c r="F29588" t="str">
        <v>-</v>
      </c>
      <c r="G29588" t="str">
        <v>-</v>
      </c>
    </row>
    <row r="29589">
      <c r="B29589" t="str">
        <v>UBND Ủy ban nhân dân xã Kim Lập tỉnh Hòa Bình</v>
      </c>
      <c r="C29589" t="str">
        <v>-</v>
      </c>
      <c r="D29589" t="str">
        <v>-</v>
      </c>
      <c r="E29589" t="str">
        <v>-</v>
      </c>
      <c r="F29589" t="str">
        <v>-</v>
      </c>
      <c r="G29589" t="str">
        <v>-</v>
      </c>
    </row>
    <row r="29590">
      <c r="B29590" t="str">
        <v>Công an xã Kon Thụp tỉnh Gia Lai</v>
      </c>
      <c r="C29590" t="str">
        <v>-</v>
      </c>
      <c r="D29590" t="str">
        <v>-</v>
      </c>
      <c r="E29590" t="str">
        <v/>
      </c>
      <c r="F29590" t="str">
        <v>-</v>
      </c>
      <c r="G29590" t="str">
        <v>-</v>
      </c>
    </row>
    <row r="29591">
      <c r="B29591" t="str">
        <v>UBND Ủy ban nhân dân xã Kon Thụp tỉnh Gia Lai</v>
      </c>
      <c r="C29591" t="str">
        <v>-</v>
      </c>
      <c r="D29591" t="str">
        <v>-</v>
      </c>
      <c r="E29591" t="str">
        <v>-</v>
      </c>
      <c r="F29591" t="str">
        <v>-</v>
      </c>
      <c r="G29591" t="str">
        <v>-</v>
      </c>
    </row>
    <row r="29592">
      <c r="B29592" t="str">
        <v>Công an xã Kỳ Thượng tỉnh Hà Tĩnh</v>
      </c>
      <c r="C29592" t="str">
        <v>-</v>
      </c>
      <c r="D29592" t="str">
        <v>-</v>
      </c>
      <c r="E29592" t="str">
        <v/>
      </c>
      <c r="F29592" t="str">
        <v>-</v>
      </c>
      <c r="G29592" t="str">
        <v>-</v>
      </c>
    </row>
    <row r="29593">
      <c r="B29593" t="str">
        <v>UBND Ủy ban nhân dân xã Kỳ Thượng tỉnh Hà Tĩnh</v>
      </c>
      <c r="C29593" t="str">
        <v>-</v>
      </c>
      <c r="D29593" t="str">
        <v>-</v>
      </c>
      <c r="E29593" t="str">
        <v>-</v>
      </c>
      <c r="F29593" t="str">
        <v>-</v>
      </c>
      <c r="G29593" t="str">
        <v>-</v>
      </c>
    </row>
    <row r="29594">
      <c r="B29594" t="str">
        <v>Công an xã Kỳ Tiến tỉnh Hà Tĩnh</v>
      </c>
      <c r="C29594" t="str">
        <v>-</v>
      </c>
      <c r="D29594" t="str">
        <v>-</v>
      </c>
      <c r="E29594" t="str">
        <v/>
      </c>
      <c r="F29594" t="str">
        <v>-</v>
      </c>
      <c r="G29594" t="str">
        <v>-</v>
      </c>
    </row>
    <row r="29595">
      <c r="B29595" t="str">
        <v>UBND Ủy ban nhân dân xã Kỳ Tiến tỉnh Hà Tĩnh</v>
      </c>
      <c r="C29595" t="str">
        <v>-</v>
      </c>
      <c r="D29595" t="str">
        <v>-</v>
      </c>
      <c r="E29595" t="str">
        <v>-</v>
      </c>
      <c r="F29595" t="str">
        <v>-</v>
      </c>
      <c r="G29595" t="str">
        <v>-</v>
      </c>
    </row>
    <row r="29596">
      <c r="B29596" t="str">
        <v>Công an xã Lạc Vệ tỉnh Bắc Ninh</v>
      </c>
      <c r="C29596" t="str">
        <v>-</v>
      </c>
      <c r="D29596" t="str">
        <v>-</v>
      </c>
      <c r="E29596" t="str">
        <v/>
      </c>
      <c r="F29596" t="str">
        <v>-</v>
      </c>
      <c r="G29596" t="str">
        <v>-</v>
      </c>
    </row>
    <row r="29597">
      <c r="B29597" t="str">
        <v>UBND Ủy ban nhân dân xã Lạc Vệ tỉnh Bắc Ninh</v>
      </c>
      <c r="C29597" t="str">
        <v>-</v>
      </c>
      <c r="D29597" t="str">
        <v>-</v>
      </c>
      <c r="E29597" t="str">
        <v>-</v>
      </c>
      <c r="F29597" t="str">
        <v>-</v>
      </c>
      <c r="G29597" t="str">
        <v>-</v>
      </c>
    </row>
    <row r="29598">
      <c r="B29598" t="str">
        <v>Công an xã Lại Sơn tỉnh Kiên Giang</v>
      </c>
      <c r="C29598" t="str">
        <v>-</v>
      </c>
      <c r="D29598" t="str">
        <v>-</v>
      </c>
      <c r="E29598" t="str">
        <v/>
      </c>
      <c r="F29598" t="str">
        <v>-</v>
      </c>
      <c r="G29598" t="str">
        <v>-</v>
      </c>
    </row>
    <row r="29599">
      <c r="B29599" t="str">
        <v>UBND Ủy ban nhân dân xã Lại Sơn tỉnh Kiên Giang</v>
      </c>
      <c r="C29599" t="str">
        <v>-</v>
      </c>
      <c r="D29599" t="str">
        <v>-</v>
      </c>
      <c r="E29599" t="str">
        <v>-</v>
      </c>
      <c r="F29599" t="str">
        <v>-</v>
      </c>
      <c r="G29599" t="str">
        <v>-</v>
      </c>
    </row>
    <row r="29600">
      <c r="B29600" t="str">
        <v>Công an xã Nà Nhạn tỉnh Điện Biên</v>
      </c>
      <c r="C29600" t="str">
        <v>-</v>
      </c>
      <c r="D29600" t="str">
        <v>-</v>
      </c>
      <c r="E29600" t="str">
        <v/>
      </c>
      <c r="F29600" t="str">
        <v>-</v>
      </c>
      <c r="G29600" t="str">
        <v>-</v>
      </c>
    </row>
    <row r="29601">
      <c r="B29601" t="str">
        <v>UBND Ủy ban nhân dân xã Nà Nhạn tỉnh Điện Biên</v>
      </c>
      <c r="C29601" t="str">
        <v>-</v>
      </c>
      <c r="D29601" t="str">
        <v>-</v>
      </c>
      <c r="E29601" t="str">
        <v>-</v>
      </c>
      <c r="F29601" t="str">
        <v>-</v>
      </c>
      <c r="G29601" t="str">
        <v>-</v>
      </c>
    </row>
    <row r="29602">
      <c r="B29602" t="str">
        <v>Công an xã Nánh Nghê tỉnh Hòa Bình</v>
      </c>
      <c r="C29602" t="str">
        <v>-</v>
      </c>
      <c r="D29602" t="str">
        <v>-</v>
      </c>
      <c r="E29602" t="str">
        <v/>
      </c>
      <c r="F29602" t="str">
        <v>-</v>
      </c>
      <c r="G29602" t="str">
        <v>-</v>
      </c>
    </row>
    <row r="29603">
      <c r="B29603" t="str">
        <v>UBND Ủy ban nhân dân xã Nánh Nghê tỉnh Hòa Bình</v>
      </c>
      <c r="C29603" t="str">
        <v>-</v>
      </c>
      <c r="D29603" t="str">
        <v>-</v>
      </c>
      <c r="E29603" t="str">
        <v>-</v>
      </c>
      <c r="F29603" t="str">
        <v>-</v>
      </c>
      <c r="G29603" t="str">
        <v>-</v>
      </c>
    </row>
    <row r="29604">
      <c r="B29604" t="str">
        <v>Công an xã Nga Điền tỉnh Thanh Hóa</v>
      </c>
      <c r="C29604" t="str">
        <v>-</v>
      </c>
      <c r="D29604" t="str">
        <v>-</v>
      </c>
      <c r="E29604" t="str">
        <v/>
      </c>
      <c r="F29604" t="str">
        <v>-</v>
      </c>
      <c r="G29604" t="str">
        <v>-</v>
      </c>
    </row>
    <row r="29605">
      <c r="B29605" t="str">
        <v>UBND Ủy ban nhân dân xã Nga Điền tỉnh Thanh Hóa</v>
      </c>
      <c r="C29605" t="str">
        <v>-</v>
      </c>
      <c r="D29605" t="str">
        <v>-</v>
      </c>
      <c r="E29605" t="str">
        <v>-</v>
      </c>
      <c r="F29605" t="str">
        <v>-</v>
      </c>
      <c r="G29605" t="str">
        <v>-</v>
      </c>
    </row>
    <row r="29606">
      <c r="B29606" t="str">
        <v>Công an xã Nghĩa Hưng tỉnh Nghệ An</v>
      </c>
      <c r="C29606" t="str">
        <v>-</v>
      </c>
      <c r="D29606" t="str">
        <v>-</v>
      </c>
      <c r="E29606" t="str">
        <v/>
      </c>
      <c r="F29606" t="str">
        <v>-</v>
      </c>
      <c r="G29606" t="str">
        <v>-</v>
      </c>
    </row>
    <row r="29607">
      <c r="B29607" t="str">
        <v>UBND Ủy ban nhân dân xã Nghĩa Hưng tỉnh Nghệ An</v>
      </c>
      <c r="C29607" t="str">
        <v>-</v>
      </c>
      <c r="D29607" t="str">
        <v>-</v>
      </c>
      <c r="E29607" t="str">
        <v>-</v>
      </c>
      <c r="F29607" t="str">
        <v>-</v>
      </c>
      <c r="G29607" t="str">
        <v>-</v>
      </c>
    </row>
    <row r="29608">
      <c r="B29608" t="str">
        <v>Công an xã Ngọc Thanh  tỉnh Vĩnh Phúc</v>
      </c>
      <c r="C29608" t="str">
        <v>-</v>
      </c>
      <c r="D29608" t="str">
        <v>-</v>
      </c>
      <c r="E29608" t="str">
        <v/>
      </c>
      <c r="F29608" t="str">
        <v>-</v>
      </c>
      <c r="G29608" t="str">
        <v>-</v>
      </c>
    </row>
    <row r="29609">
      <c r="B29609" t="str">
        <v>UBND Ủy ban nhân dân xã Ngọc Thanh  tỉnh Vĩnh Phúc</v>
      </c>
      <c r="C29609" t="str">
        <v>-</v>
      </c>
      <c r="D29609" t="str">
        <v>-</v>
      </c>
      <c r="E29609" t="str">
        <v>-</v>
      </c>
      <c r="F29609" t="str">
        <v>-</v>
      </c>
      <c r="G29609" t="str">
        <v>-</v>
      </c>
    </row>
    <row r="29610">
      <c r="B29610" t="str">
        <v>Công an xã Nhơn Hậu  tỉnh Bình Định</v>
      </c>
      <c r="C29610" t="str">
        <v>-</v>
      </c>
      <c r="D29610" t="str">
        <v>-</v>
      </c>
      <c r="E29610" t="str">
        <v/>
      </c>
      <c r="F29610" t="str">
        <v>-</v>
      </c>
      <c r="G29610" t="str">
        <v>-</v>
      </c>
    </row>
    <row r="29611">
      <c r="B29611" t="str">
        <v>UBND Ủy ban nhân dân xã Nhơn Hậu  tỉnh Bình Định</v>
      </c>
      <c r="C29611" t="str">
        <v>-</v>
      </c>
      <c r="D29611" t="str">
        <v>-</v>
      </c>
      <c r="E29611" t="str">
        <v>-</v>
      </c>
      <c r="F29611" t="str">
        <v>-</v>
      </c>
      <c r="G29611" t="str">
        <v>-</v>
      </c>
    </row>
    <row r="29612">
      <c r="B29612" t="str">
        <v>Công an xã Nhơn Phú tỉnh Vĩnh Long</v>
      </c>
      <c r="C29612" t="str">
        <v>-</v>
      </c>
      <c r="D29612" t="str">
        <v>-</v>
      </c>
      <c r="E29612" t="str">
        <v/>
      </c>
      <c r="F29612" t="str">
        <v>-</v>
      </c>
      <c r="G29612" t="str">
        <v>-</v>
      </c>
    </row>
    <row r="29613">
      <c r="B29613" t="str">
        <v>UBND Ủy ban nhân dân xã Nhơn Phú tỉnh Vĩnh Long</v>
      </c>
      <c r="C29613" t="str">
        <v>-</v>
      </c>
      <c r="D29613" t="str">
        <v>-</v>
      </c>
      <c r="E29613" t="str">
        <v>-</v>
      </c>
      <c r="F29613" t="str">
        <v>-</v>
      </c>
      <c r="G29613" t="str">
        <v>-</v>
      </c>
    </row>
    <row r="29614">
      <c r="B29614" t="str">
        <v>Công an xã Ninh Khang tỉnh Ninh Bình</v>
      </c>
      <c r="C29614" t="str">
        <v>-</v>
      </c>
      <c r="D29614" t="str">
        <v>-</v>
      </c>
      <c r="E29614" t="str">
        <v/>
      </c>
      <c r="F29614" t="str">
        <v>-</v>
      </c>
      <c r="G29614" t="str">
        <v>-</v>
      </c>
    </row>
    <row r="29615">
      <c r="B29615" t="str">
        <v>UBND Ủy ban nhân dân xã Ninh Khang tỉnh Ninh Bình</v>
      </c>
      <c r="C29615" t="str">
        <v>-</v>
      </c>
      <c r="D29615" t="str">
        <v>-</v>
      </c>
      <c r="E29615" t="str">
        <v>-</v>
      </c>
      <c r="F29615" t="str">
        <v>-</v>
      </c>
      <c r="G29615" t="str">
        <v>-</v>
      </c>
    </row>
    <row r="29616">
      <c r="B29616" t="str">
        <v>Công an xã Pá Khoang tỉnh Điện Biên</v>
      </c>
      <c r="C29616" t="str">
        <v>-</v>
      </c>
      <c r="D29616" t="str">
        <v>-</v>
      </c>
      <c r="E29616" t="str">
        <v/>
      </c>
      <c r="F29616" t="str">
        <v>-</v>
      </c>
      <c r="G29616" t="str">
        <v>-</v>
      </c>
    </row>
    <row r="29617">
      <c r="B29617" t="str">
        <v>UBND Ủy ban nhân dân xã Pá Khoang tỉnh Điện Biên</v>
      </c>
      <c r="C29617" t="str">
        <v>-</v>
      </c>
      <c r="D29617" t="str">
        <v>-</v>
      </c>
      <c r="E29617" t="str">
        <v>-</v>
      </c>
      <c r="F29617" t="str">
        <v>-</v>
      </c>
      <c r="G29617" t="str">
        <v>-</v>
      </c>
    </row>
    <row r="29618">
      <c r="B29618" t="str">
        <v>Công an xã Phong Châu  tỉnh Thái Bình</v>
      </c>
      <c r="C29618" t="str">
        <v>-</v>
      </c>
      <c r="D29618" t="str">
        <v>-</v>
      </c>
      <c r="E29618" t="str">
        <v/>
      </c>
      <c r="F29618" t="str">
        <v>-</v>
      </c>
      <c r="G29618" t="str">
        <v>-</v>
      </c>
    </row>
    <row r="29619">
      <c r="B29619" t="str">
        <v>UBND Ủy ban nhân dân xã Phong Châu  tỉnh Thái Bình</v>
      </c>
      <c r="C29619" t="str">
        <v>-</v>
      </c>
      <c r="D29619" t="str">
        <v>-</v>
      </c>
      <c r="E29619" t="str">
        <v>-</v>
      </c>
      <c r="F29619" t="str">
        <v>-</v>
      </c>
      <c r="G29619" t="str">
        <v>-</v>
      </c>
    </row>
    <row r="29620">
      <c r="B29620" t="str">
        <v>Công an xã Phúc Chu tỉnh Thái Nguyên</v>
      </c>
      <c r="C29620" t="str">
        <v>-</v>
      </c>
      <c r="D29620" t="str">
        <v>-</v>
      </c>
      <c r="E29620" t="str">
        <v/>
      </c>
      <c r="F29620" t="str">
        <v>-</v>
      </c>
      <c r="G29620" t="str">
        <v>-</v>
      </c>
    </row>
    <row r="29621">
      <c r="B29621" t="str">
        <v>UBND Ủy ban nhân dân xã Phúc Chu tỉnh Thái Nguyên</v>
      </c>
      <c r="C29621" t="str">
        <v>-</v>
      </c>
      <c r="D29621" t="str">
        <v>-</v>
      </c>
      <c r="E29621" t="str">
        <v>-</v>
      </c>
      <c r="F29621" t="str">
        <v>-</v>
      </c>
      <c r="G29621" t="str">
        <v>-</v>
      </c>
    </row>
    <row r="29622">
      <c r="B29622" t="str">
        <v>Công an xã Phú Châu tỉnh Thái Bình</v>
      </c>
      <c r="C29622" t="str">
        <v>-</v>
      </c>
      <c r="D29622" t="str">
        <v>-</v>
      </c>
      <c r="E29622" t="str">
        <v/>
      </c>
      <c r="F29622" t="str">
        <v>-</v>
      </c>
      <c r="G29622" t="str">
        <v>-</v>
      </c>
    </row>
    <row r="29623">
      <c r="B29623" t="str">
        <v>UBND Ủy ban nhân dân xã Phú Châu tỉnh Thái Bình</v>
      </c>
      <c r="C29623" t="str">
        <v>-</v>
      </c>
      <c r="D29623" t="str">
        <v>-</v>
      </c>
      <c r="E29623" t="str">
        <v>-</v>
      </c>
      <c r="F29623" t="str">
        <v>-</v>
      </c>
      <c r="G29623" t="str">
        <v>-</v>
      </c>
    </row>
    <row r="29624">
      <c r="B29624" t="str">
        <v>Công an xã Phú Lễ  tỉnh Bến Tre</v>
      </c>
      <c r="C29624" t="str">
        <v>-</v>
      </c>
      <c r="D29624" t="str">
        <v>-</v>
      </c>
      <c r="E29624" t="str">
        <v/>
      </c>
      <c r="F29624" t="str">
        <v>-</v>
      </c>
      <c r="G29624" t="str">
        <v>-</v>
      </c>
    </row>
    <row r="29625">
      <c r="B29625" t="str">
        <v>UBND Ủy ban nhân dân xã Phú Lễ  tỉnh Bến Tre</v>
      </c>
      <c r="C29625" t="str">
        <v>-</v>
      </c>
      <c r="D29625" t="str">
        <v>-</v>
      </c>
      <c r="E29625" t="str">
        <v>-</v>
      </c>
      <c r="F29625" t="str">
        <v>-</v>
      </c>
      <c r="G29625" t="str">
        <v>-</v>
      </c>
    </row>
    <row r="29626">
      <c r="B29626" t="str">
        <v>Công an xã Phù Lưu thành phố Hà Nội</v>
      </c>
      <c r="C29626" t="str">
        <v>-</v>
      </c>
      <c r="D29626" t="str">
        <v>-</v>
      </c>
      <c r="E29626" t="str">
        <v/>
      </c>
      <c r="F29626" t="str">
        <v>-</v>
      </c>
      <c r="G29626" t="str">
        <v>-</v>
      </c>
    </row>
    <row r="29627">
      <c r="B29627" t="str">
        <v>UBND Ủy ban nhân dân xã Phù Lưu thành phố Hà Nội</v>
      </c>
      <c r="C29627" t="str">
        <v>-</v>
      </c>
      <c r="D29627" t="str">
        <v>-</v>
      </c>
      <c r="E29627" t="str">
        <v>-</v>
      </c>
      <c r="F29627" t="str">
        <v>-</v>
      </c>
      <c r="G29627" t="str">
        <v>-</v>
      </c>
    </row>
    <row r="29628">
      <c r="B29628" t="str">
        <v>Công an xã Phủ Lý tỉnh Thái Nguyên</v>
      </c>
      <c r="C29628" t="str">
        <v>-</v>
      </c>
      <c r="D29628" t="str">
        <v>-</v>
      </c>
      <c r="E29628" t="str">
        <v/>
      </c>
      <c r="F29628" t="str">
        <v>-</v>
      </c>
      <c r="G29628" t="str">
        <v>-</v>
      </c>
    </row>
    <row r="29629">
      <c r="B29629" t="str">
        <v>UBND Ủy ban nhân dân xã Phủ Lý tỉnh Thái Nguyên</v>
      </c>
      <c r="C29629" t="str">
        <v>-</v>
      </c>
      <c r="D29629" t="str">
        <v>-</v>
      </c>
      <c r="E29629" t="str">
        <v>-</v>
      </c>
      <c r="F29629" t="str">
        <v>-</v>
      </c>
      <c r="G29629" t="str">
        <v>-</v>
      </c>
    </row>
    <row r="29630">
      <c r="B29630" t="str">
        <v>Công an xã Phùng Giáo tỉnh Thanh Hóa</v>
      </c>
      <c r="C29630" t="str">
        <v>-</v>
      </c>
      <c r="D29630" t="str">
        <v>-</v>
      </c>
      <c r="E29630" t="str">
        <v/>
      </c>
      <c r="F29630" t="str">
        <v>-</v>
      </c>
      <c r="G29630" t="str">
        <v>-</v>
      </c>
    </row>
    <row r="29631">
      <c r="B29631" t="str">
        <v>UBND Ủy ban nhân dân xã Phùng Giáo tỉnh Thanh Hóa</v>
      </c>
      <c r="C29631" t="str">
        <v>-</v>
      </c>
      <c r="D29631" t="str">
        <v>-</v>
      </c>
      <c r="E29631" t="str">
        <v>-</v>
      </c>
      <c r="F29631" t="str">
        <v>-</v>
      </c>
      <c r="G29631" t="str">
        <v>-</v>
      </c>
    </row>
    <row r="29632">
      <c r="B29632" t="str">
        <v>Công an xã Phước Hải tỉnh Ninh Thuận</v>
      </c>
      <c r="C29632" t="str">
        <v>-</v>
      </c>
      <c r="D29632" t="str">
        <v>-</v>
      </c>
      <c r="E29632" t="str">
        <v/>
      </c>
      <c r="F29632" t="str">
        <v>-</v>
      </c>
      <c r="G29632" t="str">
        <v>-</v>
      </c>
    </row>
    <row r="29633">
      <c r="B29633" t="str">
        <v>UBND Ủy ban nhân dân xã Phước Hải tỉnh Ninh Thuận</v>
      </c>
      <c r="C29633" t="str">
        <v>-</v>
      </c>
      <c r="D29633" t="str">
        <v>-</v>
      </c>
      <c r="E29633" t="str">
        <v>-</v>
      </c>
      <c r="F29633" t="str">
        <v>-</v>
      </c>
      <c r="G29633" t="str">
        <v>-</v>
      </c>
    </row>
    <row r="29634">
      <c r="B29634" t="str">
        <v>Công an xã Phước Hậu  tỉnh Vĩnh Long</v>
      </c>
      <c r="C29634" t="str">
        <v>-</v>
      </c>
      <c r="D29634" t="str">
        <v>-</v>
      </c>
      <c r="E29634" t="str">
        <v/>
      </c>
      <c r="F29634" t="str">
        <v>-</v>
      </c>
      <c r="G29634" t="str">
        <v>-</v>
      </c>
    </row>
    <row r="29635">
      <c r="B29635" t="str">
        <v>UBND Ủy ban nhân dân xã Phước Hậu  tỉnh Vĩnh Long</v>
      </c>
      <c r="C29635" t="str">
        <v>-</v>
      </c>
      <c r="D29635" t="str">
        <v>-</v>
      </c>
      <c r="E29635" t="str">
        <v>-</v>
      </c>
      <c r="F29635" t="str">
        <v>-</v>
      </c>
      <c r="G29635" t="str">
        <v>-</v>
      </c>
    </row>
    <row r="29636">
      <c r="B29636" t="str">
        <v>Công an xã Phước Thành tỉnh Bình Định</v>
      </c>
      <c r="C29636" t="str">
        <v>-</v>
      </c>
      <c r="D29636" t="str">
        <v>-</v>
      </c>
      <c r="E29636" t="str">
        <v/>
      </c>
      <c r="F29636" t="str">
        <v>-</v>
      </c>
      <c r="G29636" t="str">
        <v>-</v>
      </c>
    </row>
    <row r="29637">
      <c r="B29637" t="str">
        <v>UBND Ủy ban nhân dân xã Phước Thành tỉnh Bình Định</v>
      </c>
      <c r="C29637" t="str">
        <v>-</v>
      </c>
      <c r="D29637" t="str">
        <v>-</v>
      </c>
      <c r="E29637" t="str">
        <v>-</v>
      </c>
      <c r="F29637" t="str">
        <v>-</v>
      </c>
      <c r="G29637" t="str">
        <v>-</v>
      </c>
    </row>
    <row r="29638">
      <c r="B29638" t="str">
        <v>Công an xã Phước Thuận tỉnh Ninh Thuận</v>
      </c>
      <c r="C29638" t="str">
        <v>-</v>
      </c>
      <c r="D29638" t="str">
        <v>-</v>
      </c>
      <c r="E29638" t="str">
        <v/>
      </c>
      <c r="F29638" t="str">
        <v>-</v>
      </c>
      <c r="G29638" t="str">
        <v>-</v>
      </c>
    </row>
    <row r="29639">
      <c r="B29639" t="str">
        <v>UBND Ủy ban nhân dân xã Phước Thuận tỉnh Ninh Thuận</v>
      </c>
      <c r="C29639" t="str">
        <v>-</v>
      </c>
      <c r="D29639" t="str">
        <v>-</v>
      </c>
      <c r="E29639" t="str">
        <v>-</v>
      </c>
      <c r="F29639" t="str">
        <v>-</v>
      </c>
      <c r="G29639" t="str">
        <v>-</v>
      </c>
    </row>
    <row r="29640">
      <c r="B29640" t="str">
        <v>Công an xã Phú Phụng   tỉnh Bến Tre</v>
      </c>
      <c r="C29640" t="str">
        <v>-</v>
      </c>
      <c r="D29640" t="str">
        <v>-</v>
      </c>
      <c r="E29640" t="str">
        <v/>
      </c>
      <c r="F29640" t="str">
        <v>-</v>
      </c>
      <c r="G29640" t="str">
        <v>-</v>
      </c>
    </row>
    <row r="29641">
      <c r="B29641" t="str">
        <v>UBND Ủy ban nhân dân xã Phú Phụng   tỉnh Bến Tre</v>
      </c>
      <c r="C29641" t="str">
        <v>-</v>
      </c>
      <c r="D29641" t="str">
        <v>-</v>
      </c>
      <c r="E29641" t="str">
        <v>-</v>
      </c>
      <c r="F29641" t="str">
        <v>-</v>
      </c>
      <c r="G29641" t="str">
        <v>-</v>
      </c>
    </row>
    <row r="29642">
      <c r="B29642" t="str">
        <v>Công an xã Phú Thành  tỉnh Nghệ An</v>
      </c>
      <c r="C29642" t="str">
        <v>-</v>
      </c>
      <c r="D29642" t="str">
        <v>-</v>
      </c>
      <c r="E29642" t="str">
        <v/>
      </c>
      <c r="F29642" t="str">
        <v>-</v>
      </c>
      <c r="G29642" t="str">
        <v>-</v>
      </c>
    </row>
    <row r="29643">
      <c r="B29643" t="str">
        <v>UBND Ủy ban nhân dân xã Phú Thành  tỉnh Nghệ An</v>
      </c>
      <c r="C29643" t="str">
        <v>-</v>
      </c>
      <c r="D29643" t="str">
        <v>-</v>
      </c>
      <c r="E29643" t="str">
        <v>-</v>
      </c>
      <c r="F29643" t="str">
        <v>-</v>
      </c>
      <c r="G29643" t="str">
        <v>-</v>
      </c>
    </row>
    <row r="29644">
      <c r="B29644" t="str">
        <v>Công an xã Phú Thuận  tỉnh Bến Tre</v>
      </c>
      <c r="C29644" t="str">
        <v>-</v>
      </c>
      <c r="D29644" t="str">
        <v>-</v>
      </c>
      <c r="E29644" t="str">
        <v/>
      </c>
      <c r="F29644" t="str">
        <v>-</v>
      </c>
      <c r="G29644" t="str">
        <v>-</v>
      </c>
    </row>
    <row r="29645">
      <c r="B29645" t="str">
        <v>UBND Ủy ban nhân dân xã Phú Thuận  tỉnh Bến Tre</v>
      </c>
      <c r="C29645" t="str">
        <v>-</v>
      </c>
      <c r="D29645" t="str">
        <v>-</v>
      </c>
      <c r="E29645" t="str">
        <v>-</v>
      </c>
      <c r="F29645" t="str">
        <v>-</v>
      </c>
      <c r="G29645" t="str">
        <v>-</v>
      </c>
    </row>
    <row r="29646">
      <c r="B29646" t="str">
        <v>Công an xã Quảng Chu  tỉnh Bắc Kạn</v>
      </c>
      <c r="C29646" t="str">
        <v>-</v>
      </c>
      <c r="D29646" t="str">
        <v>-</v>
      </c>
      <c r="E29646" t="str">
        <v/>
      </c>
      <c r="F29646" t="str">
        <v>-</v>
      </c>
      <c r="G29646" t="str">
        <v>-</v>
      </c>
    </row>
    <row r="29647">
      <c r="B29647" t="str">
        <v>UBND Ủy ban nhân dân xã Quảng Chu  tỉnh Bắc Kạn</v>
      </c>
      <c r="C29647" t="str">
        <v>-</v>
      </c>
      <c r="D29647" t="str">
        <v>-</v>
      </c>
      <c r="E29647" t="str">
        <v>-</v>
      </c>
      <c r="F29647" t="str">
        <v>-</v>
      </c>
      <c r="G29647" t="str">
        <v>-</v>
      </c>
    </row>
    <row r="29648">
      <c r="B29648" t="str">
        <v>Công an xã Quang Diệm tỉnh Hà Tĩnh</v>
      </c>
      <c r="C29648" t="str">
        <v>-</v>
      </c>
      <c r="D29648" t="str">
        <v>-</v>
      </c>
      <c r="E29648" t="str">
        <v/>
      </c>
      <c r="F29648" t="str">
        <v>-</v>
      </c>
      <c r="G29648" t="str">
        <v>-</v>
      </c>
    </row>
    <row r="29649">
      <c r="B29649" t="str">
        <v>UBND Ủy ban nhân dân xã Quang Diệm tỉnh Hà Tĩnh</v>
      </c>
      <c r="C29649" t="str">
        <v>-</v>
      </c>
      <c r="D29649" t="str">
        <v>-</v>
      </c>
      <c r="E29649" t="str">
        <v>-</v>
      </c>
      <c r="F29649" t="str">
        <v>-</v>
      </c>
      <c r="G29649" t="str">
        <v>-</v>
      </c>
    </row>
    <row r="29650">
      <c r="B29650" t="str">
        <v>Công an xã Quảng Lãng tỉnh Hưng Yên</v>
      </c>
      <c r="C29650" t="str">
        <v>-</v>
      </c>
      <c r="D29650" t="str">
        <v>-</v>
      </c>
      <c r="E29650" t="str">
        <v/>
      </c>
      <c r="F29650" t="str">
        <v>-</v>
      </c>
      <c r="G29650" t="str">
        <v>-</v>
      </c>
    </row>
    <row r="29651">
      <c r="B29651" t="str">
        <v>UBND Ủy ban nhân dân xã Quảng Lãng tỉnh Hưng Yên</v>
      </c>
      <c r="C29651" t="str">
        <v>-</v>
      </c>
      <c r="D29651" t="str">
        <v>-</v>
      </c>
      <c r="E29651" t="str">
        <v>-</v>
      </c>
      <c r="F29651" t="str">
        <v>-</v>
      </c>
      <c r="G29651" t="str">
        <v>-</v>
      </c>
    </row>
    <row r="29652">
      <c r="B29652" t="str">
        <v>Công an xã Quảng Phú tỉnh Thanh Hóa</v>
      </c>
      <c r="C29652" t="str">
        <v>-</v>
      </c>
      <c r="D29652" t="str">
        <v>-</v>
      </c>
      <c r="E29652" t="str">
        <v/>
      </c>
      <c r="F29652" t="str">
        <v>-</v>
      </c>
      <c r="G29652" t="str">
        <v>-</v>
      </c>
    </row>
    <row r="29653">
      <c r="B29653" t="str">
        <v>UBND Ủy ban nhân dân xã Quảng Phú tỉnh Thanh Hóa</v>
      </c>
      <c r="C29653" t="str">
        <v>-</v>
      </c>
      <c r="D29653" t="str">
        <v>-</v>
      </c>
      <c r="E29653" t="str">
        <v>-</v>
      </c>
      <c r="F29653" t="str">
        <v>-</v>
      </c>
      <c r="G29653" t="str">
        <v>-</v>
      </c>
    </row>
    <row r="29654">
      <c r="B29654" t="str">
        <v>Công an xã Quảng Xuân  tỉnh Quảng Bình</v>
      </c>
      <c r="C29654" t="str">
        <v>-</v>
      </c>
      <c r="D29654" t="str">
        <v>-</v>
      </c>
      <c r="E29654" t="str">
        <v/>
      </c>
      <c r="F29654" t="str">
        <v>-</v>
      </c>
      <c r="G29654" t="str">
        <v>-</v>
      </c>
    </row>
    <row r="29655">
      <c r="B29655" t="str">
        <v>UBND Ủy ban nhân dân xã Quảng Xuân  tỉnh Quảng Bình</v>
      </c>
      <c r="C29655" t="str">
        <v>-</v>
      </c>
      <c r="D29655" t="str">
        <v>-</v>
      </c>
      <c r="E29655" t="str">
        <v>-</v>
      </c>
      <c r="F29655" t="str">
        <v>-</v>
      </c>
      <c r="G29655" t="str">
        <v>-</v>
      </c>
    </row>
    <row r="29656">
      <c r="B29656" t="str">
        <v>Công an huyện Ngọc Hồi  tỉnh Kon Tum</v>
      </c>
      <c r="C29656" t="str">
        <v>-</v>
      </c>
      <c r="D29656" t="str">
        <v>-</v>
      </c>
      <c r="E29656" t="str">
        <v/>
      </c>
      <c r="F29656" t="str">
        <v>-</v>
      </c>
      <c r="G29656" t="str">
        <v>-</v>
      </c>
    </row>
    <row r="29657">
      <c r="B29657" t="str">
        <v>UBND Ủy ban nhân dân huyện Ngọc Hồi  tỉnh Kon Tum</v>
      </c>
      <c r="C29657" t="str">
        <v>-</v>
      </c>
      <c r="D29657" t="str">
        <v>-</v>
      </c>
      <c r="E29657" t="str">
        <v>-</v>
      </c>
      <c r="F29657" t="str">
        <v>-</v>
      </c>
      <c r="G29657" t="str">
        <v>-</v>
      </c>
    </row>
    <row r="29658">
      <c r="B29658" t="str">
        <v>Công an xã Cốc Lầu tỉnh Lào Cai</v>
      </c>
      <c r="C29658" t="str">
        <v>-</v>
      </c>
      <c r="D29658" t="str">
        <v>-</v>
      </c>
      <c r="E29658" t="str">
        <v/>
      </c>
      <c r="F29658" t="str">
        <v>-</v>
      </c>
      <c r="G29658" t="str">
        <v>-</v>
      </c>
    </row>
    <row r="29659">
      <c r="B29659" t="str">
        <v>UBND Ủy ban nhân dân xã Cốc Lầu tỉnh Lào Cai</v>
      </c>
      <c r="C29659" t="str">
        <v>-</v>
      </c>
      <c r="D29659" t="str">
        <v>-</v>
      </c>
      <c r="E29659" t="str">
        <v>-</v>
      </c>
      <c r="F29659" t="str">
        <v>-</v>
      </c>
      <c r="G29659" t="str">
        <v>-</v>
      </c>
    </row>
    <row r="29660" xml:space="preserve">
      <c r="B29660" t="str" xml:space="preserve">
        <v xml:space="preserve">Công an xã Ea Đar _x000d_
 tỉnh Đắk Lắk</v>
      </c>
      <c r="C29660" t="str">
        <v>-</v>
      </c>
      <c r="D29660" t="str">
        <v>-</v>
      </c>
      <c r="E29660" t="str">
        <v/>
      </c>
      <c r="F29660" t="str">
        <v>-</v>
      </c>
      <c r="G29660" t="str">
        <v>-</v>
      </c>
    </row>
    <row r="29661" xml:space="preserve">
      <c r="B29661" t="str" xml:space="preserve">
        <v xml:space="preserve">UBND Ủy ban nhân dân xã Ea Đar _x000d_
 tỉnh Đắk Lắk</v>
      </c>
      <c r="C29661" t="str">
        <v>-</v>
      </c>
      <c r="D29661" t="str">
        <v>-</v>
      </c>
      <c r="E29661" t="str">
        <v>-</v>
      </c>
      <c r="F29661" t="str">
        <v>-</v>
      </c>
      <c r="G29661" t="str">
        <v>-</v>
      </c>
    </row>
    <row r="29662">
      <c r="B29662" t="str">
        <v>Công an xã Đại An  tỉnh Nam Định</v>
      </c>
      <c r="C29662" t="str">
        <v>-</v>
      </c>
      <c r="D29662" t="str">
        <v>-</v>
      </c>
      <c r="E29662" t="str">
        <v/>
      </c>
      <c r="F29662" t="str">
        <v>-</v>
      </c>
      <c r="G29662" t="str">
        <v>-</v>
      </c>
    </row>
    <row r="29663">
      <c r="B29663" t="str">
        <v>UBND Ủy ban nhân dân xã Đại An  tỉnh Nam Định</v>
      </c>
      <c r="C29663" t="str">
        <v>-</v>
      </c>
      <c r="D29663" t="str">
        <v>-</v>
      </c>
      <c r="E29663" t="str">
        <v>-</v>
      </c>
      <c r="F29663" t="str">
        <v>-</v>
      </c>
      <c r="G29663" t="str">
        <v>-</v>
      </c>
    </row>
    <row r="29664">
      <c r="B29664" t="str">
        <v>Công an xã Đại Bái  tỉnh Bắc Ninh</v>
      </c>
      <c r="C29664" t="str">
        <v>-</v>
      </c>
      <c r="D29664" t="str">
        <v>-</v>
      </c>
      <c r="E29664" t="str">
        <v/>
      </c>
      <c r="F29664" t="str">
        <v>-</v>
      </c>
      <c r="G29664" t="str">
        <v>-</v>
      </c>
    </row>
    <row r="29665">
      <c r="B29665" t="str">
        <v>UBND Ủy ban nhân dân xã Đại Bái  tỉnh Bắc Ninh</v>
      </c>
      <c r="C29665" t="str">
        <v>-</v>
      </c>
      <c r="D29665" t="str">
        <v>-</v>
      </c>
      <c r="E29665" t="str">
        <v>-</v>
      </c>
      <c r="F29665" t="str">
        <v>-</v>
      </c>
      <c r="G29665" t="str">
        <v>-</v>
      </c>
    </row>
    <row r="29666">
      <c r="B29666" t="str">
        <v>Công an xã Đại Hùng thành phố Hà Nội</v>
      </c>
      <c r="C29666" t="str">
        <v>-</v>
      </c>
      <c r="D29666" t="str">
        <v>-</v>
      </c>
      <c r="E29666" t="str">
        <v/>
      </c>
      <c r="F29666" t="str">
        <v>-</v>
      </c>
      <c r="G29666" t="str">
        <v>-</v>
      </c>
    </row>
    <row r="29667">
      <c r="B29667" t="str">
        <v>UBND Ủy ban nhân dân xã Đại Hùng thành phố Hà Nội</v>
      </c>
      <c r="C29667" t="str">
        <v>-</v>
      </c>
      <c r="D29667" t="str">
        <v>-</v>
      </c>
      <c r="E29667" t="str">
        <v>-</v>
      </c>
      <c r="F29667" t="str">
        <v>-</v>
      </c>
      <c r="G29667" t="str">
        <v>-</v>
      </c>
    </row>
    <row r="29668">
      <c r="B29668" t="str">
        <v>Công an xã Đại Lộc tỉnh Thanh Hóa</v>
      </c>
      <c r="C29668" t="str">
        <v>-</v>
      </c>
      <c r="D29668" t="str">
        <v>-</v>
      </c>
      <c r="E29668" t="str">
        <v/>
      </c>
      <c r="F29668" t="str">
        <v>-</v>
      </c>
      <c r="G29668" t="str">
        <v>-</v>
      </c>
    </row>
    <row r="29669">
      <c r="B29669" t="str">
        <v>UBND Ủy ban nhân dân xã Đại Lộc tỉnh Thanh Hóa</v>
      </c>
      <c r="C29669" t="str">
        <v>-</v>
      </c>
      <c r="D29669" t="str">
        <v>-</v>
      </c>
      <c r="E29669" t="str">
        <v>-</v>
      </c>
      <c r="F29669" t="str">
        <v>-</v>
      </c>
      <c r="G29669" t="str">
        <v>-</v>
      </c>
    </row>
    <row r="29670">
      <c r="B29670" t="str">
        <v>Công an xã Đại Sơn tỉnh Cao Bằng</v>
      </c>
      <c r="C29670" t="str">
        <v>-</v>
      </c>
      <c r="D29670" t="str">
        <v>-</v>
      </c>
      <c r="E29670" t="str">
        <v/>
      </c>
      <c r="F29670" t="str">
        <v>-</v>
      </c>
      <c r="G29670" t="str">
        <v>-</v>
      </c>
    </row>
    <row r="29671">
      <c r="B29671" t="str">
        <v>UBND Ủy ban nhân dân xã Đại Sơn tỉnh Cao Bằng</v>
      </c>
      <c r="C29671" t="str">
        <v>-</v>
      </c>
      <c r="D29671" t="str">
        <v>-</v>
      </c>
      <c r="E29671" t="str">
        <v>-</v>
      </c>
      <c r="F29671" t="str">
        <v>-</v>
      </c>
      <c r="G29671" t="str">
        <v>-</v>
      </c>
    </row>
    <row r="29672">
      <c r="B29672" t="str">
        <v>Công an xã Đak Krong tỉnh Gia Lai</v>
      </c>
      <c r="C29672" t="str">
        <v>-</v>
      </c>
      <c r="D29672" t="str">
        <v>-</v>
      </c>
      <c r="E29672" t="str">
        <v/>
      </c>
      <c r="F29672" t="str">
        <v>-</v>
      </c>
      <c r="G29672" t="str">
        <v>-</v>
      </c>
    </row>
    <row r="29673">
      <c r="B29673" t="str">
        <v>UBND Ủy ban nhân dân xã Đak Krong tỉnh Gia Lai</v>
      </c>
      <c r="C29673" t="str">
        <v>-</v>
      </c>
      <c r="D29673" t="str">
        <v>-</v>
      </c>
      <c r="E29673" t="str">
        <v>-</v>
      </c>
      <c r="F29673" t="str">
        <v>-</v>
      </c>
      <c r="G29673" t="str">
        <v>-</v>
      </c>
    </row>
    <row r="29674" xml:space="preserve">
      <c r="B29674" t="str" xml:space="preserve">
        <v xml:space="preserve">Công an xã Đăk Na _x000d_
 tỉnh Kon Tum</v>
      </c>
      <c r="C29674" t="str">
        <v>-</v>
      </c>
      <c r="D29674" t="str">
        <v>-</v>
      </c>
      <c r="E29674" t="str">
        <v/>
      </c>
      <c r="F29674" t="str">
        <v>-</v>
      </c>
      <c r="G29674" t="str">
        <v>-</v>
      </c>
    </row>
    <row r="29675" xml:space="preserve">
      <c r="B29675" t="str" xml:space="preserve">
        <v xml:space="preserve">UBND Ủy ban nhân dân xã Đăk Na _x000d_
 tỉnh Kon Tum</v>
      </c>
      <c r="C29675" t="str">
        <v>-</v>
      </c>
      <c r="D29675" t="str">
        <v>-</v>
      </c>
      <c r="E29675" t="str">
        <v>-</v>
      </c>
      <c r="F29675" t="str">
        <v>-</v>
      </c>
      <c r="G29675" t="str">
        <v>-</v>
      </c>
    </row>
    <row r="29676">
      <c r="B29676" t="str">
        <v>Công an xã Đăk Rơ Ông tỉnh Kon Tum</v>
      </c>
      <c r="C29676" t="str">
        <v>-</v>
      </c>
      <c r="D29676" t="str">
        <v>-</v>
      </c>
      <c r="E29676" t="str">
        <v/>
      </c>
      <c r="F29676" t="str">
        <v>-</v>
      </c>
      <c r="G29676" t="str">
        <v>-</v>
      </c>
    </row>
    <row r="29677">
      <c r="B29677" t="str">
        <v>UBND Ủy ban nhân dân xã Đăk Rơ Ông tỉnh Kon Tum</v>
      </c>
      <c r="C29677" t="str">
        <v>-</v>
      </c>
      <c r="D29677" t="str">
        <v>-</v>
      </c>
      <c r="E29677" t="str">
        <v>-</v>
      </c>
      <c r="F29677" t="str">
        <v>-</v>
      </c>
      <c r="G29677" t="str">
        <v>-</v>
      </c>
    </row>
    <row r="29678">
      <c r="B29678" t="str">
        <v>Công an xã Đạo Lý tỉnh Hà Nam</v>
      </c>
      <c r="C29678" t="str">
        <v>-</v>
      </c>
      <c r="D29678" t="str">
        <v>-</v>
      </c>
      <c r="E29678" t="str">
        <v/>
      </c>
      <c r="F29678" t="str">
        <v>-</v>
      </c>
      <c r="G29678" t="str">
        <v>-</v>
      </c>
    </row>
    <row r="29679">
      <c r="B29679" t="str">
        <v>UBND Ủy ban nhân dân xã Đạo Lý tỉnh Hà Nam</v>
      </c>
      <c r="C29679" t="str">
        <v>-</v>
      </c>
      <c r="D29679" t="str">
        <v>-</v>
      </c>
      <c r="E29679" t="str">
        <v>-</v>
      </c>
      <c r="F29679" t="str">
        <v>-</v>
      </c>
      <c r="G29679" t="str">
        <v>-</v>
      </c>
    </row>
    <row r="29680" xml:space="preserve">
      <c r="B29680" t="str" xml:space="preserve">
        <v xml:space="preserve">Công an xã Dào San _x000d_
 tỉnh Lai Châu</v>
      </c>
      <c r="C29680" t="str">
        <v>-</v>
      </c>
      <c r="D29680" t="str">
        <v>-</v>
      </c>
      <c r="E29680" t="str">
        <v/>
      </c>
      <c r="F29680" t="str">
        <v>-</v>
      </c>
      <c r="G29680" t="str">
        <v>-</v>
      </c>
    </row>
    <row r="29681" xml:space="preserve">
      <c r="B29681" t="str" xml:space="preserve">
        <v xml:space="preserve">UBND Ủy ban nhân dân xã Dào San _x000d_
 tỉnh Lai Châu</v>
      </c>
      <c r="C29681" t="str">
        <v>-</v>
      </c>
      <c r="D29681" t="str">
        <v>-</v>
      </c>
      <c r="E29681" t="str">
        <v>-</v>
      </c>
      <c r="F29681" t="str">
        <v>-</v>
      </c>
      <c r="G29681" t="str">
        <v>-</v>
      </c>
    </row>
    <row r="29682">
      <c r="B29682" t="str">
        <v>Công an xã Diễn Hải tỉnh Nghệ An</v>
      </c>
      <c r="C29682" t="str">
        <v>-</v>
      </c>
      <c r="D29682" t="str">
        <v>-</v>
      </c>
      <c r="E29682" t="str">
        <v/>
      </c>
      <c r="F29682" t="str">
        <v>-</v>
      </c>
      <c r="G29682" t="str">
        <v>-</v>
      </c>
    </row>
    <row r="29683">
      <c r="B29683" t="str">
        <v>UBND Ủy ban nhân dân xã Diễn Hải tỉnh Nghệ An</v>
      </c>
      <c r="C29683" t="str">
        <v>-</v>
      </c>
      <c r="D29683" t="str">
        <v>-</v>
      </c>
      <c r="E29683" t="str">
        <v>-</v>
      </c>
      <c r="F29683" t="str">
        <v>-</v>
      </c>
      <c r="G29683" t="str">
        <v>-</v>
      </c>
    </row>
    <row r="29684">
      <c r="B29684" t="str">
        <v>Công an xã Điền Lư tỉnh Thanh Hóa</v>
      </c>
      <c r="C29684" t="str">
        <v>-</v>
      </c>
      <c r="D29684" t="str">
        <v>-</v>
      </c>
      <c r="E29684" t="str">
        <v/>
      </c>
      <c r="F29684" t="str">
        <v>-</v>
      </c>
      <c r="G29684" t="str">
        <v>-</v>
      </c>
    </row>
    <row r="29685">
      <c r="B29685" t="str">
        <v>UBND Ủy ban nhân dân xã Điền Lư tỉnh Thanh Hóa</v>
      </c>
      <c r="C29685" t="str">
        <v>-</v>
      </c>
      <c r="D29685" t="str">
        <v>-</v>
      </c>
      <c r="E29685" t="str">
        <v>-</v>
      </c>
      <c r="F29685" t="str">
        <v>-</v>
      </c>
      <c r="G29685" t="str">
        <v>-</v>
      </c>
    </row>
    <row r="29686">
      <c r="B29686" t="str">
        <v>Công an xã Đoàn Kết  tỉnh Hòa Bình</v>
      </c>
      <c r="C29686" t="str">
        <v>-</v>
      </c>
      <c r="D29686" t="str">
        <v>-</v>
      </c>
      <c r="E29686" t="str">
        <v/>
      </c>
      <c r="F29686" t="str">
        <v>-</v>
      </c>
      <c r="G29686" t="str">
        <v>-</v>
      </c>
    </row>
    <row r="29687">
      <c r="B29687" t="str">
        <v>UBND Ủy ban nhân dân xã Đoàn Kết  tỉnh Hòa Bình</v>
      </c>
      <c r="C29687" t="str">
        <v>-</v>
      </c>
      <c r="D29687" t="str">
        <v>-</v>
      </c>
      <c r="E29687" t="str">
        <v>-</v>
      </c>
      <c r="F29687" t="str">
        <v>-</v>
      </c>
      <c r="G29687" t="str">
        <v>-</v>
      </c>
    </row>
    <row r="29688">
      <c r="B29688" t="str">
        <v>Công an xã Đông Á tỉnh Thái Bình</v>
      </c>
      <c r="C29688" t="str">
        <v>-</v>
      </c>
      <c r="D29688" t="str">
        <v>-</v>
      </c>
      <c r="E29688" t="str">
        <v/>
      </c>
      <c r="F29688" t="str">
        <v>-</v>
      </c>
      <c r="G29688" t="str">
        <v>-</v>
      </c>
    </row>
    <row r="29689">
      <c r="B29689" t="str">
        <v>UBND Ủy ban nhân dân xã Đông Á tỉnh Thái Bình</v>
      </c>
      <c r="C29689" t="str">
        <v>-</v>
      </c>
      <c r="D29689" t="str">
        <v>-</v>
      </c>
      <c r="E29689" t="str">
        <v>-</v>
      </c>
      <c r="F29689" t="str">
        <v>-</v>
      </c>
      <c r="G29689" t="str">
        <v>-</v>
      </c>
    </row>
    <row r="29690">
      <c r="B29690" t="str">
        <v>Công an xã Đông Hải  tỉnh Thái Bình</v>
      </c>
      <c r="C29690" t="str">
        <v>-</v>
      </c>
      <c r="D29690" t="str">
        <v>-</v>
      </c>
      <c r="E29690" t="str">
        <v/>
      </c>
      <c r="F29690" t="str">
        <v>-</v>
      </c>
      <c r="G29690" t="str">
        <v>-</v>
      </c>
    </row>
    <row r="29691">
      <c r="B29691" t="str">
        <v>UBND Ủy ban nhân dân xã Đông Hải  tỉnh Thái Bình</v>
      </c>
      <c r="C29691" t="str">
        <v>-</v>
      </c>
      <c r="D29691" t="str">
        <v>-</v>
      </c>
      <c r="E29691" t="str">
        <v>-</v>
      </c>
      <c r="F29691" t="str">
        <v>-</v>
      </c>
      <c r="G29691" t="str">
        <v>-</v>
      </c>
    </row>
    <row r="29692">
      <c r="B29692" t="str">
        <v>Công an xã Đồng Hoá tỉnh Quảng Bình</v>
      </c>
      <c r="C29692" t="str">
        <v>-</v>
      </c>
      <c r="D29692" t="str">
        <v>-</v>
      </c>
      <c r="E29692" t="str">
        <v/>
      </c>
      <c r="F29692" t="str">
        <v>-</v>
      </c>
      <c r="G29692" t="str">
        <v>-</v>
      </c>
    </row>
    <row r="29693">
      <c r="B29693" t="str">
        <v>UBND Ủy ban nhân dân xã Đồng Hoá tỉnh Quảng Bình</v>
      </c>
      <c r="C29693" t="str">
        <v>-</v>
      </c>
      <c r="D29693" t="str">
        <v>-</v>
      </c>
      <c r="E29693" t="str">
        <v>-</v>
      </c>
      <c r="F29693" t="str">
        <v>-</v>
      </c>
      <c r="G29693" t="str">
        <v>-</v>
      </c>
    </row>
    <row r="29694">
      <c r="B29694" t="str">
        <v>Công an xã Đông Hưng tỉnh Kiên Giang</v>
      </c>
      <c r="C29694" t="str">
        <v>-</v>
      </c>
      <c r="D29694" t="str">
        <v>-</v>
      </c>
      <c r="E29694" t="str">
        <v/>
      </c>
      <c r="F29694" t="str">
        <v>-</v>
      </c>
      <c r="G29694" t="str">
        <v>-</v>
      </c>
    </row>
    <row r="29695">
      <c r="B29695" t="str">
        <v>UBND Ủy ban nhân dân xã Đông Hưng tỉnh Kiên Giang</v>
      </c>
      <c r="C29695" t="str">
        <v>-</v>
      </c>
      <c r="D29695" t="str">
        <v>-</v>
      </c>
      <c r="E29695" t="str">
        <v>-</v>
      </c>
      <c r="F29695" t="str">
        <v>-</v>
      </c>
      <c r="G29695" t="str">
        <v>-</v>
      </c>
    </row>
    <row r="29696">
      <c r="B29696" t="str">
        <v>Công an xã Đông Kinh tỉnh Thái Bình</v>
      </c>
      <c r="C29696" t="str">
        <v>-</v>
      </c>
      <c r="D29696" t="str">
        <v>-</v>
      </c>
      <c r="E29696" t="str">
        <v/>
      </c>
      <c r="F29696" t="str">
        <v>-</v>
      </c>
      <c r="G29696" t="str">
        <v>-</v>
      </c>
    </row>
    <row r="29697">
      <c r="B29697" t="str">
        <v>UBND Ủy ban nhân dân xã Đông Kinh tỉnh Thái Bình</v>
      </c>
      <c r="C29697" t="str">
        <v>-</v>
      </c>
      <c r="D29697" t="str">
        <v>-</v>
      </c>
      <c r="E29697" t="str">
        <v>-</v>
      </c>
      <c r="F29697" t="str">
        <v>-</v>
      </c>
      <c r="G29697" t="str">
        <v>-</v>
      </c>
    </row>
    <row r="29698">
      <c r="B29698" t="str">
        <v>Công an xã Đông La thành phố Hà Nội</v>
      </c>
      <c r="C29698" t="str">
        <v>-</v>
      </c>
      <c r="D29698" t="str">
        <v>-</v>
      </c>
      <c r="E29698" t="str">
        <v/>
      </c>
      <c r="F29698" t="str">
        <v>-</v>
      </c>
      <c r="G29698" t="str">
        <v>-</v>
      </c>
    </row>
    <row r="29699">
      <c r="B29699" t="str">
        <v>UBND Ủy ban nhân dân xã Đông La thành phố Hà Nội</v>
      </c>
      <c r="C29699" t="str">
        <v>-</v>
      </c>
      <c r="D29699" t="str">
        <v>-</v>
      </c>
      <c r="E29699" t="str">
        <v>-</v>
      </c>
      <c r="F29699" t="str">
        <v>-</v>
      </c>
      <c r="G29699" t="str">
        <v>-</v>
      </c>
    </row>
    <row r="29700">
      <c r="B29700" t="str">
        <v>Công an xã Đồng Lạc tỉnh Phú Thọ</v>
      </c>
      <c r="C29700" t="str">
        <v>-</v>
      </c>
      <c r="D29700" t="str">
        <v>-</v>
      </c>
      <c r="E29700" t="str">
        <v/>
      </c>
      <c r="F29700" t="str">
        <v>-</v>
      </c>
      <c r="G29700" t="str">
        <v>-</v>
      </c>
    </row>
    <row r="29701">
      <c r="B29701" t="str">
        <v>UBND Ủy ban nhân dân xã Đồng Lạc tỉnh Phú Thọ</v>
      </c>
      <c r="C29701" t="str">
        <v>-</v>
      </c>
      <c r="D29701" t="str">
        <v>-</v>
      </c>
      <c r="E29701" t="str">
        <v>-</v>
      </c>
      <c r="F29701" t="str">
        <v>-</v>
      </c>
      <c r="G29701" t="str">
        <v>-</v>
      </c>
    </row>
    <row r="29702">
      <c r="B29702" t="str">
        <v>Công an xã Đông Long tỉnh Thái Bình</v>
      </c>
      <c r="C29702" t="str">
        <v>-</v>
      </c>
      <c r="D29702" t="str">
        <v>-</v>
      </c>
      <c r="E29702" t="str">
        <v/>
      </c>
      <c r="F29702" t="str">
        <v>-</v>
      </c>
      <c r="G29702" t="str">
        <v>-</v>
      </c>
    </row>
    <row r="29703">
      <c r="B29703" t="str">
        <v>UBND Ủy ban nhân dân xã Đông Long tỉnh Thái Bình</v>
      </c>
      <c r="C29703" t="str">
        <v>-</v>
      </c>
      <c r="D29703" t="str">
        <v>-</v>
      </c>
      <c r="E29703" t="str">
        <v>-</v>
      </c>
      <c r="F29703" t="str">
        <v>-</v>
      </c>
      <c r="G29703" t="str">
        <v>-</v>
      </c>
    </row>
    <row r="29704">
      <c r="B29704" t="str">
        <v>Công an xã Đông Nam tỉnh Thanh Hóa</v>
      </c>
      <c r="C29704" t="str">
        <v>-</v>
      </c>
      <c r="D29704" t="str">
        <v>-</v>
      </c>
      <c r="E29704" t="str">
        <v/>
      </c>
      <c r="F29704" t="str">
        <v>-</v>
      </c>
      <c r="G29704" t="str">
        <v>-</v>
      </c>
    </row>
    <row r="29705">
      <c r="B29705" t="str">
        <v>UBND Ủy ban nhân dân xã Đông Nam tỉnh Thanh Hóa</v>
      </c>
      <c r="C29705" t="str">
        <v>-</v>
      </c>
      <c r="D29705" t="str">
        <v>-</v>
      </c>
      <c r="E29705" t="str">
        <v>-</v>
      </c>
      <c r="F29705" t="str">
        <v>-</v>
      </c>
      <c r="G29705" t="str">
        <v>-</v>
      </c>
    </row>
    <row r="29706">
      <c r="B29706" t="str">
        <v>Công an xã Đông Ninh  tỉnh Thanh Hóa</v>
      </c>
      <c r="C29706" t="str">
        <v>-</v>
      </c>
      <c r="D29706" t="str">
        <v>-</v>
      </c>
      <c r="E29706" t="str">
        <v/>
      </c>
      <c r="F29706" t="str">
        <v>-</v>
      </c>
      <c r="G29706" t="str">
        <v>-</v>
      </c>
    </row>
    <row r="29707">
      <c r="B29707" t="str">
        <v>UBND Ủy ban nhân dân xã Đông Ninh  tỉnh Thanh Hóa</v>
      </c>
      <c r="C29707" t="str">
        <v>-</v>
      </c>
      <c r="D29707" t="str">
        <v>-</v>
      </c>
      <c r="E29707" t="str">
        <v>-</v>
      </c>
      <c r="F29707" t="str">
        <v>-</v>
      </c>
      <c r="G29707" t="str">
        <v>-</v>
      </c>
    </row>
    <row r="29708">
      <c r="B29708" t="str">
        <v>Công an tỉnh An Giang  tỉnh An Giang</v>
      </c>
      <c r="C29708" t="str">
        <v>-</v>
      </c>
      <c r="D29708" t="str">
        <v>-</v>
      </c>
      <c r="E29708" t="str">
        <v/>
      </c>
      <c r="F29708" t="str">
        <v>-</v>
      </c>
      <c r="G29708" t="str">
        <v>-</v>
      </c>
    </row>
    <row r="29709">
      <c r="B29709" t="str">
        <v>UBND Ủy ban nhân dân tỉnh An Giang  tỉnh An Giang</v>
      </c>
      <c r="C29709" t="str">
        <v>-</v>
      </c>
      <c r="D29709" t="str">
        <v>-</v>
      </c>
      <c r="E29709" t="str">
        <v>-</v>
      </c>
      <c r="F29709" t="str">
        <v>-</v>
      </c>
      <c r="G29709" t="str">
        <v>-</v>
      </c>
    </row>
    <row r="29710">
      <c r="B29710" t="str">
        <v>Công an thị xã Duy Tiên  tỉnh Hà Nam</v>
      </c>
      <c r="C29710" t="str">
        <v>-</v>
      </c>
      <c r="D29710" t="str">
        <v>-</v>
      </c>
      <c r="E29710" t="str">
        <v/>
      </c>
      <c r="F29710" t="str">
        <v>-</v>
      </c>
      <c r="G29710" t="str">
        <v>-</v>
      </c>
    </row>
    <row r="29711">
      <c r="B29711" t="str">
        <v>UBND Ủy ban nhân dân thị xã Duy Tiên  tỉnh Hà Nam</v>
      </c>
      <c r="C29711" t="str">
        <v>-</v>
      </c>
      <c r="D29711" t="str">
        <v>-</v>
      </c>
      <c r="E29711" t="str">
        <v>-</v>
      </c>
      <c r="F29711" t="str">
        <v>-</v>
      </c>
      <c r="G29711" t="str">
        <v>-</v>
      </c>
    </row>
    <row r="29712">
      <c r="B29712" t="str">
        <v>Công an huyện Phù Mỹ  tỉnh Bình Định</v>
      </c>
      <c r="C29712" t="str">
        <v>-</v>
      </c>
      <c r="D29712" t="str">
        <v>-</v>
      </c>
      <c r="E29712" t="str">
        <v/>
      </c>
      <c r="F29712" t="str">
        <v>-</v>
      </c>
      <c r="G29712" t="str">
        <v>-</v>
      </c>
    </row>
    <row r="29713">
      <c r="B29713" t="str">
        <v>UBND Ủy ban nhân dân huyện Phù Mỹ  tỉnh Bình Định</v>
      </c>
      <c r="C29713" t="str">
        <v>-</v>
      </c>
      <c r="D29713" t="str">
        <v>-</v>
      </c>
      <c r="E29713" t="str">
        <v>-</v>
      </c>
      <c r="F29713" t="str">
        <v>-</v>
      </c>
      <c r="G29713" t="str">
        <v>-</v>
      </c>
    </row>
    <row r="29714">
      <c r="B29714" t="str">
        <v>Công an thành phố Hồ Chí Minh  thành phố Hồ Chí Minh</v>
      </c>
      <c r="C29714" t="str">
        <v>-</v>
      </c>
      <c r="D29714" t="str">
        <v>-</v>
      </c>
      <c r="E29714" t="str">
        <v/>
      </c>
      <c r="F29714" t="str">
        <v>-</v>
      </c>
      <c r="G29714" t="str">
        <v>-</v>
      </c>
    </row>
    <row r="29715">
      <c r="B29715" t="str">
        <v>UBND Ủy ban nhân dân thành phố Hồ Chí Minh  thành phố Hồ Chí Minh</v>
      </c>
      <c r="C29715" t="str">
        <v>-</v>
      </c>
      <c r="D29715" t="str">
        <v>-</v>
      </c>
      <c r="E29715" t="str">
        <v>-</v>
      </c>
      <c r="F29715" t="str">
        <v>-</v>
      </c>
      <c r="G29715" t="str">
        <v>-</v>
      </c>
    </row>
    <row r="29716">
      <c r="B29716" t="str">
        <v>Công an tỉnh Cao Bằng  tỉnh Cao Bằng</v>
      </c>
      <c r="C29716" t="str">
        <v>-</v>
      </c>
      <c r="D29716" t="str">
        <v>-</v>
      </c>
      <c r="E29716" t="str">
        <v/>
      </c>
      <c r="F29716" t="str">
        <v>-</v>
      </c>
      <c r="G29716" t="str">
        <v>-</v>
      </c>
    </row>
    <row r="29717">
      <c r="B29717" t="str">
        <v>UBND Ủy ban nhân dân tỉnh Cao Bằng  tỉnh Cao Bằng</v>
      </c>
      <c r="C29717" t="str">
        <v>-</v>
      </c>
      <c r="D29717" t="str">
        <v>-</v>
      </c>
      <c r="E29717" t="str">
        <v>-</v>
      </c>
      <c r="F29717" t="str">
        <v>-</v>
      </c>
      <c r="G29717" t="str">
        <v>-</v>
      </c>
    </row>
    <row r="29718">
      <c r="B29718" t="str">
        <v>Công an huyện Đông Anh  thành phố Hà Nội</v>
      </c>
      <c r="C29718" t="str">
        <v>-</v>
      </c>
      <c r="D29718" t="str">
        <v>-</v>
      </c>
      <c r="E29718" t="str">
        <v/>
      </c>
      <c r="F29718" t="str">
        <v>-</v>
      </c>
      <c r="G29718" t="str">
        <v>-</v>
      </c>
    </row>
    <row r="29719">
      <c r="B29719" t="str">
        <v>UBND Ủy ban nhân dân huyện Đông Anh  thành phố Hà Nội</v>
      </c>
      <c r="C29719" t="str">
        <v>-</v>
      </c>
      <c r="D29719" t="str">
        <v>-</v>
      </c>
      <c r="E29719" t="str">
        <v>-</v>
      </c>
      <c r="F29719" t="str">
        <v>-</v>
      </c>
      <c r="G29719" t="str">
        <v>-</v>
      </c>
    </row>
    <row r="29720">
      <c r="B29720" t="str">
        <v>Công an huyện Tương Dương  tỉnh Nghệ An</v>
      </c>
      <c r="C29720" t="str">
        <v>-</v>
      </c>
      <c r="D29720" t="str">
        <v>-</v>
      </c>
      <c r="E29720" t="str">
        <v/>
      </c>
      <c r="F29720" t="str">
        <v>-</v>
      </c>
      <c r="G29720" t="str">
        <v>-</v>
      </c>
    </row>
    <row r="29721">
      <c r="B29721" t="str">
        <v>UBND Ủy ban nhân dân huyện Tương Dương  tỉnh Nghệ An</v>
      </c>
      <c r="C29721" t="str">
        <v>-</v>
      </c>
      <c r="D29721" t="str">
        <v>-</v>
      </c>
      <c r="E29721" t="str">
        <v>-</v>
      </c>
      <c r="F29721" t="str">
        <v>-</v>
      </c>
      <c r="G29721" t="str">
        <v>-</v>
      </c>
    </row>
    <row r="29722">
      <c r="B29722" t="str">
        <v>Công an tỉnh Bạc Liêu  tỉnh Bạc Liêu</v>
      </c>
      <c r="C29722" t="str">
        <v>-</v>
      </c>
      <c r="D29722" t="str">
        <v>-</v>
      </c>
      <c r="E29722" t="str">
        <v/>
      </c>
      <c r="F29722" t="str">
        <v>-</v>
      </c>
      <c r="G29722" t="str">
        <v>-</v>
      </c>
    </row>
    <row r="29723">
      <c r="B29723" t="str">
        <v>UBND Ủy ban nhân dân tỉnh Bạc Liêu  tỉnh Bạc Liêu</v>
      </c>
      <c r="C29723" t="str">
        <v>-</v>
      </c>
      <c r="D29723" t="str">
        <v>-</v>
      </c>
      <c r="E29723" t="str">
        <v>-</v>
      </c>
      <c r="F29723" t="str">
        <v>-</v>
      </c>
      <c r="G29723" t="str">
        <v>-</v>
      </c>
    </row>
    <row r="29724">
      <c r="B29724" t="str">
        <v>Công an tỉnh Nam Định  tỉnh Nam Định</v>
      </c>
      <c r="C29724" t="str">
        <v>-</v>
      </c>
      <c r="D29724" t="str">
        <v>-</v>
      </c>
      <c r="E29724" t="str">
        <v/>
      </c>
      <c r="F29724" t="str">
        <v>-</v>
      </c>
      <c r="G29724" t="str">
        <v>-</v>
      </c>
    </row>
    <row r="29725">
      <c r="B29725" t="str">
        <v>UBND Ủy ban nhân dân tỉnh Nam Định  tỉnh Nam Định</v>
      </c>
      <c r="C29725" t="str">
        <v>-</v>
      </c>
      <c r="D29725" t="str">
        <v>-</v>
      </c>
      <c r="E29725" t="str">
        <v>-</v>
      </c>
      <c r="F29725" t="str">
        <v>-</v>
      </c>
      <c r="G29725" t="str">
        <v>-</v>
      </c>
    </row>
    <row r="29726" xml:space="preserve">
      <c r="B29726" t="str" xml:space="preserve">
        <v xml:space="preserve">Công an xã Tân Hiệp _x000d_
 thành phố Hồ Chí Minh</v>
      </c>
      <c r="C29726" t="str">
        <v>-</v>
      </c>
      <c r="D29726" t="str">
        <v>-</v>
      </c>
      <c r="E29726" t="str">
        <v/>
      </c>
      <c r="F29726" t="str">
        <v>-</v>
      </c>
      <c r="G29726" t="str">
        <v>-</v>
      </c>
    </row>
    <row r="29727" xml:space="preserve">
      <c r="B29727" t="str" xml:space="preserve">
        <v xml:space="preserve">UBND Ủy ban nhân dân xã Tân Hiệp _x000d_
 thành phố Hồ Chí Minh</v>
      </c>
      <c r="C29727" t="str">
        <v>-</v>
      </c>
      <c r="D29727" t="str">
        <v>-</v>
      </c>
      <c r="E29727" t="str">
        <v>-</v>
      </c>
      <c r="F29727" t="str">
        <v>-</v>
      </c>
      <c r="G29727" t="str">
        <v>-</v>
      </c>
    </row>
    <row r="29728">
      <c r="B29728" t="str">
        <v>Công an tỉnh Đắk Lắk  tỉnh Đắk Lắk</v>
      </c>
      <c r="C29728" t="str">
        <v>-</v>
      </c>
      <c r="D29728" t="str">
        <v>-</v>
      </c>
      <c r="E29728" t="str">
        <v/>
      </c>
      <c r="F29728" t="str">
        <v>-</v>
      </c>
      <c r="G29728" t="str">
        <v>-</v>
      </c>
    </row>
    <row r="29729">
      <c r="B29729" t="str">
        <v>UBND Ủy ban nhân dân tỉnh Đắk Lắk  tỉnh Đắk Lắk</v>
      </c>
      <c r="C29729" t="str">
        <v>-</v>
      </c>
      <c r="D29729" t="str">
        <v>-</v>
      </c>
      <c r="E29729" t="str">
        <v>-</v>
      </c>
      <c r="F29729" t="str">
        <v>-</v>
      </c>
      <c r="G29729" t="str">
        <v>-</v>
      </c>
    </row>
    <row r="29730">
      <c r="B29730" t="str">
        <v>Công an huyện Đăk Hà  tỉnh Kon Tum</v>
      </c>
      <c r="C29730" t="str">
        <v>-</v>
      </c>
      <c r="D29730" t="str">
        <v>-</v>
      </c>
      <c r="E29730" t="str">
        <v/>
      </c>
      <c r="F29730" t="str">
        <v>-</v>
      </c>
      <c r="G29730" t="str">
        <v>-</v>
      </c>
    </row>
    <row r="29731">
      <c r="B29731" t="str">
        <v>UBND Ủy ban nhân dân huyện Đăk Hà  tỉnh Kon Tum</v>
      </c>
      <c r="C29731" t="str">
        <v>-</v>
      </c>
      <c r="D29731" t="str">
        <v>-</v>
      </c>
      <c r="E29731" t="str">
        <v>-</v>
      </c>
      <c r="F29731" t="str">
        <v>-</v>
      </c>
      <c r="G29731" t="str">
        <v>-</v>
      </c>
    </row>
    <row r="29732">
      <c r="B29732" t="str">
        <v>Công an xã Định An  tỉnh Trà Vinh</v>
      </c>
      <c r="C29732" t="str">
        <v>-</v>
      </c>
      <c r="D29732" t="str">
        <v>-</v>
      </c>
      <c r="E29732" t="str">
        <v/>
      </c>
      <c r="F29732" t="str">
        <v>-</v>
      </c>
      <c r="G29732" t="str">
        <v>-</v>
      </c>
    </row>
    <row r="29733">
      <c r="B29733" t="str">
        <v>UBND Ủy ban nhân dân xã Định An  tỉnh Trà Vinh</v>
      </c>
      <c r="C29733" t="str">
        <v>-</v>
      </c>
      <c r="D29733" t="str">
        <v>-</v>
      </c>
      <c r="E29733" t="str">
        <v>-</v>
      </c>
      <c r="F29733" t="str">
        <v>-</v>
      </c>
      <c r="G29733" t="str">
        <v>-</v>
      </c>
    </row>
    <row r="29734">
      <c r="B29734" t="str">
        <v>Công an xã Đồng Lương tỉnh Thanh Hóa</v>
      </c>
      <c r="C29734" t="str">
        <v>-</v>
      </c>
      <c r="D29734" t="str">
        <v>-</v>
      </c>
      <c r="E29734" t="str">
        <v/>
      </c>
      <c r="F29734" t="str">
        <v>-</v>
      </c>
      <c r="G29734" t="str">
        <v>-</v>
      </c>
    </row>
    <row r="29735">
      <c r="B29735" t="str">
        <v>UBND Ủy ban nhân dân xã Đồng Lương tỉnh Thanh Hóa</v>
      </c>
      <c r="C29735" t="str">
        <v>-</v>
      </c>
      <c r="D29735" t="str">
        <v>-</v>
      </c>
      <c r="E29735" t="str">
        <v>-</v>
      </c>
      <c r="F29735" t="str">
        <v>-</v>
      </c>
      <c r="G29735" t="str">
        <v>-</v>
      </c>
    </row>
    <row r="29736" xml:space="preserve">
      <c r="B29736" t="str" xml:space="preserve">
        <v xml:space="preserve">Công an tỉnh Quảng Ninh _x000d_
 tỉnh Quảng Ninh</v>
      </c>
      <c r="C29736" t="str">
        <v>-</v>
      </c>
      <c r="D29736" t="str">
        <v>-</v>
      </c>
      <c r="E29736" t="str">
        <v/>
      </c>
      <c r="F29736" t="str">
        <v>-</v>
      </c>
      <c r="G29736" t="str">
        <v>-</v>
      </c>
    </row>
    <row r="29737" xml:space="preserve">
      <c r="B29737" t="str" xml:space="preserve">
        <v xml:space="preserve">UBND Ủy ban nhân dân tỉnh Quảng Ninh _x000d_
 tỉnh Quảng Ninh</v>
      </c>
      <c r="C29737" t="str">
        <v>-</v>
      </c>
      <c r="D29737" t="str">
        <v>-</v>
      </c>
      <c r="E29737" t="str">
        <v>-</v>
      </c>
      <c r="F29737" t="str">
        <v>-</v>
      </c>
      <c r="G29737" t="str">
        <v>-</v>
      </c>
    </row>
    <row r="29738" xml:space="preserve">
      <c r="B29738" t="str" xml:space="preserve">
        <v xml:space="preserve">Công an tỉnh Tây Ninh _x000d_
 tỉnh TÂY NINH</v>
      </c>
      <c r="C29738" t="str">
        <v>-</v>
      </c>
      <c r="D29738" t="str">
        <v>-</v>
      </c>
      <c r="E29738" t="str">
        <v/>
      </c>
      <c r="F29738" t="str">
        <v>-</v>
      </c>
      <c r="G29738" t="str">
        <v>-</v>
      </c>
    </row>
    <row r="29739" xml:space="preserve">
      <c r="B29739" t="str" xml:space="preserve">
        <v xml:space="preserve">UBND Ủy ban nhân dân tỉnh Tây Ninh _x000d_
 tỉnh TÂY NINH</v>
      </c>
      <c r="C29739" t="str">
        <v>-</v>
      </c>
      <c r="D29739" t="str">
        <v>-</v>
      </c>
      <c r="E29739" t="str">
        <v>-</v>
      </c>
      <c r="F29739" t="str">
        <v>-</v>
      </c>
      <c r="G29739" t="str">
        <v>-</v>
      </c>
    </row>
    <row r="29740">
      <c r="B29740" t="str">
        <v>Công an xã Tà Xi Láng tỉnh Yên Bái</v>
      </c>
      <c r="C29740" t="str">
        <v>-</v>
      </c>
      <c r="D29740" t="str">
        <v>-</v>
      </c>
      <c r="E29740" t="str">
        <v/>
      </c>
      <c r="F29740" t="str">
        <v>-</v>
      </c>
      <c r="G29740" t="str">
        <v>-</v>
      </c>
    </row>
    <row r="29741">
      <c r="B29741" t="str">
        <v>UBND Ủy ban nhân dân xã Tà Xi Láng tỉnh Yên Bái</v>
      </c>
      <c r="C29741" t="str">
        <v>-</v>
      </c>
      <c r="D29741" t="str">
        <v>-</v>
      </c>
      <c r="E29741" t="str">
        <v>-</v>
      </c>
      <c r="F29741" t="str">
        <v>-</v>
      </c>
      <c r="G29741" t="str">
        <v>-</v>
      </c>
    </row>
    <row r="29742">
      <c r="B29742" t="str">
        <v>Công an xã Khải Xuân tỉnh Phú Thọ</v>
      </c>
      <c r="C29742" t="str">
        <v>-</v>
      </c>
      <c r="D29742" t="str">
        <v>-</v>
      </c>
      <c r="E29742" t="str">
        <v/>
      </c>
      <c r="F29742" t="str">
        <v>-</v>
      </c>
      <c r="G29742" t="str">
        <v>-</v>
      </c>
    </row>
    <row r="29743">
      <c r="B29743" t="str">
        <v>UBND Ủy ban nhân dân xã Khải Xuân tỉnh Phú Thọ</v>
      </c>
      <c r="C29743" t="str">
        <v>-</v>
      </c>
      <c r="D29743" t="str">
        <v>-</v>
      </c>
      <c r="E29743" t="str">
        <v>-</v>
      </c>
      <c r="F29743" t="str">
        <v>-</v>
      </c>
      <c r="G29743" t="str">
        <v>-</v>
      </c>
    </row>
    <row r="29744">
      <c r="B29744" t="str">
        <v>Công an xã Bàu Cạn tỉnh Gia Lai</v>
      </c>
      <c r="C29744" t="str">
        <v>-</v>
      </c>
      <c r="D29744" t="str">
        <v>-</v>
      </c>
      <c r="E29744" t="str">
        <v/>
      </c>
      <c r="F29744" t="str">
        <v>-</v>
      </c>
      <c r="G29744" t="str">
        <v>-</v>
      </c>
    </row>
    <row r="29745">
      <c r="B29745" t="str">
        <v>UBND Ủy ban nhân dân xã Bàu Cạn tỉnh Gia Lai</v>
      </c>
      <c r="C29745" t="str">
        <v>-</v>
      </c>
      <c r="D29745" t="str">
        <v>-</v>
      </c>
      <c r="E29745" t="str">
        <v>-</v>
      </c>
      <c r="F29745" t="str">
        <v>-</v>
      </c>
      <c r="G29745" t="str">
        <v>-</v>
      </c>
    </row>
    <row r="29746">
      <c r="B29746" t="str">
        <v>Công an huyện Cẩm Xuyên  tỉnh Hà Tĩnh</v>
      </c>
      <c r="C29746" t="str">
        <v>-</v>
      </c>
      <c r="D29746" t="str">
        <v>-</v>
      </c>
      <c r="E29746" t="str">
        <v/>
      </c>
      <c r="F29746" t="str">
        <v>-</v>
      </c>
      <c r="G29746" t="str">
        <v>-</v>
      </c>
    </row>
    <row r="29747">
      <c r="B29747" t="str">
        <v>UBND Ủy ban nhân dân huyện Cẩm Xuyên  tỉnh Hà Tĩnh</v>
      </c>
      <c r="C29747" t="str">
        <v>-</v>
      </c>
      <c r="D29747" t="str">
        <v>-</v>
      </c>
      <c r="E29747" t="str">
        <v>-</v>
      </c>
      <c r="F29747" t="str">
        <v>-</v>
      </c>
      <c r="G29747" t="str">
        <v>-</v>
      </c>
    </row>
    <row r="29748">
      <c r="B29748" t="str">
        <v>Công an tỉnh Gia Lai  tỉnh Gia Lai</v>
      </c>
      <c r="C29748" t="str">
        <v>-</v>
      </c>
      <c r="D29748" t="str">
        <v>-</v>
      </c>
      <c r="E29748" t="str">
        <v/>
      </c>
      <c r="F29748" t="str">
        <v>-</v>
      </c>
      <c r="G29748" t="str">
        <v>-</v>
      </c>
    </row>
    <row r="29749">
      <c r="B29749" t="str">
        <v>UBND Ủy ban nhân dân tỉnh Gia Lai  tỉnh Gia Lai</v>
      </c>
      <c r="C29749" t="str">
        <v>-</v>
      </c>
      <c r="D29749" t="str">
        <v>-</v>
      </c>
      <c r="E29749" t="str">
        <v>-</v>
      </c>
      <c r="F29749" t="str">
        <v>-</v>
      </c>
      <c r="G29749" t="str">
        <v>-</v>
      </c>
    </row>
    <row r="29750">
      <c r="B29750" t="str">
        <v>Công an tỉnh Bình Phước  tỉnh Bình Phước</v>
      </c>
      <c r="C29750" t="str">
        <v>-</v>
      </c>
      <c r="D29750" t="str">
        <v>-</v>
      </c>
      <c r="E29750" t="str">
        <v/>
      </c>
      <c r="F29750" t="str">
        <v>-</v>
      </c>
      <c r="G29750" t="str">
        <v>-</v>
      </c>
    </row>
    <row r="29751">
      <c r="B29751" t="str">
        <v>UBND Ủy ban nhân dân tỉnh Bình Phước  tỉnh Bình Phước</v>
      </c>
      <c r="C29751" t="str">
        <v>-</v>
      </c>
      <c r="D29751" t="str">
        <v>-</v>
      </c>
      <c r="E29751" t="str">
        <v>-</v>
      </c>
      <c r="F29751" t="str">
        <v>-</v>
      </c>
      <c r="G29751" t="str">
        <v>-</v>
      </c>
    </row>
    <row r="29752">
      <c r="B29752" t="str">
        <v>Công an huyện Can Lộc  tỉnh Hà Tĩnh</v>
      </c>
      <c r="C29752" t="str">
        <v>-</v>
      </c>
      <c r="D29752" t="str">
        <v>-</v>
      </c>
      <c r="E29752" t="str">
        <v/>
      </c>
      <c r="F29752" t="str">
        <v>-</v>
      </c>
      <c r="G29752" t="str">
        <v>-</v>
      </c>
    </row>
    <row r="29753">
      <c r="B29753" t="str">
        <v>UBND Ủy ban nhân dân huyện Can Lộc  tỉnh Hà Tĩnh</v>
      </c>
      <c r="C29753" t="str">
        <v>-</v>
      </c>
      <c r="D29753" t="str">
        <v>-</v>
      </c>
      <c r="E29753" t="str">
        <v>-</v>
      </c>
      <c r="F29753" t="str">
        <v>-</v>
      </c>
      <c r="G29753" t="str">
        <v>-</v>
      </c>
    </row>
    <row r="29754">
      <c r="B29754" t="str">
        <v>Công an xã Thành An tỉnh Thanh Hóa</v>
      </c>
      <c r="C29754" t="str">
        <v>-</v>
      </c>
      <c r="D29754" t="str">
        <v>-</v>
      </c>
      <c r="E29754" t="str">
        <v/>
      </c>
      <c r="F29754" t="str">
        <v>-</v>
      </c>
      <c r="G29754" t="str">
        <v>-</v>
      </c>
    </row>
    <row r="29755">
      <c r="B29755" t="str">
        <v>UBND Ủy ban nhân dân xã Thành An tỉnh Thanh Hóa</v>
      </c>
      <c r="C29755" t="str">
        <v>-</v>
      </c>
      <c r="D29755" t="str">
        <v>-</v>
      </c>
      <c r="E29755" t="str">
        <v>-</v>
      </c>
      <c r="F29755" t="str">
        <v>-</v>
      </c>
      <c r="G29755" t="str">
        <v>-</v>
      </c>
    </row>
    <row r="29756">
      <c r="B29756" t="str">
        <v>Công an xã Thành Lâm  tỉnh Thanh Hóa</v>
      </c>
      <c r="C29756" t="str">
        <v>-</v>
      </c>
      <c r="D29756" t="str">
        <v>-</v>
      </c>
      <c r="E29756" t="str">
        <v/>
      </c>
      <c r="F29756" t="str">
        <v>-</v>
      </c>
      <c r="G29756" t="str">
        <v>-</v>
      </c>
    </row>
    <row r="29757">
      <c r="B29757" t="str">
        <v>UBND Ủy ban nhân dân xã Thành Lâm  tỉnh Thanh Hóa</v>
      </c>
      <c r="C29757" t="str">
        <v>-</v>
      </c>
      <c r="D29757" t="str">
        <v>-</v>
      </c>
      <c r="E29757" t="str">
        <v>-</v>
      </c>
      <c r="F29757" t="str">
        <v>-</v>
      </c>
      <c r="G29757" t="str">
        <v>-</v>
      </c>
    </row>
    <row r="29758" xml:space="preserve">
      <c r="B29758" t="str" xml:space="preserve">
        <v xml:space="preserve">Công an xã Thanh Nho _x000d_
 tỉnh Nghệ An</v>
      </c>
      <c r="C29758" t="str">
        <v>-</v>
      </c>
      <c r="D29758" t="str">
        <v>-</v>
      </c>
      <c r="E29758" t="str">
        <v/>
      </c>
      <c r="F29758" t="str">
        <v>-</v>
      </c>
      <c r="G29758" t="str">
        <v>-</v>
      </c>
    </row>
    <row r="29759" xml:space="preserve">
      <c r="B29759" t="str" xml:space="preserve">
        <v xml:space="preserve">UBND Ủy ban nhân dân xã Thanh Nho _x000d_
 tỉnh Nghệ An</v>
      </c>
      <c r="C29759" t="str">
        <v>-</v>
      </c>
      <c r="D29759" t="str">
        <v>-</v>
      </c>
      <c r="E29759" t="str">
        <v>-</v>
      </c>
      <c r="F29759" t="str">
        <v>-</v>
      </c>
      <c r="G29759" t="str">
        <v>-</v>
      </c>
    </row>
    <row r="29760">
      <c r="B29760" t="str">
        <v>Công an xã Thạnh Quới tỉnh Vĩnh Long</v>
      </c>
      <c r="C29760" t="str">
        <v>-</v>
      </c>
      <c r="D29760" t="str">
        <v>-</v>
      </c>
      <c r="E29760" t="str">
        <v/>
      </c>
      <c r="F29760" t="str">
        <v>-</v>
      </c>
      <c r="G29760" t="str">
        <v>-</v>
      </c>
    </row>
    <row r="29761">
      <c r="B29761" t="str">
        <v>UBND Ủy ban nhân dân xã Thạnh Quới tỉnh Vĩnh Long</v>
      </c>
      <c r="C29761" t="str">
        <v>-</v>
      </c>
      <c r="D29761" t="str">
        <v>-</v>
      </c>
      <c r="E29761" t="str">
        <v>-</v>
      </c>
      <c r="F29761" t="str">
        <v>-</v>
      </c>
      <c r="G29761" t="str">
        <v>-</v>
      </c>
    </row>
    <row r="29762">
      <c r="B29762" t="str">
        <v>Công an xã Thanh Sơn tỉnh Hải Dương</v>
      </c>
      <c r="C29762" t="str">
        <v>-</v>
      </c>
      <c r="D29762" t="str">
        <v>-</v>
      </c>
      <c r="E29762" t="str">
        <v/>
      </c>
      <c r="F29762" t="str">
        <v>-</v>
      </c>
      <c r="G29762" t="str">
        <v>-</v>
      </c>
    </row>
    <row r="29763">
      <c r="B29763" t="str">
        <v>UBND Ủy ban nhân dân xã Thanh Sơn tỉnh Hải Dương</v>
      </c>
      <c r="C29763" t="str">
        <v>-</v>
      </c>
      <c r="D29763" t="str">
        <v>-</v>
      </c>
      <c r="E29763" t="str">
        <v>-</v>
      </c>
      <c r="F29763" t="str">
        <v>-</v>
      </c>
      <c r="G29763" t="str">
        <v>-</v>
      </c>
    </row>
    <row r="29764">
      <c r="B29764" t="str">
        <v>Công an xã Thiện Tân tỉnh Lạng Sơn</v>
      </c>
      <c r="C29764" t="str">
        <v>-</v>
      </c>
      <c r="D29764" t="str">
        <v>-</v>
      </c>
      <c r="E29764" t="str">
        <v/>
      </c>
      <c r="F29764" t="str">
        <v>-</v>
      </c>
      <c r="G29764" t="str">
        <v>-</v>
      </c>
    </row>
    <row r="29765">
      <c r="B29765" t="str">
        <v>UBND Ủy ban nhân dân xã Thiện Tân tỉnh Lạng Sơn</v>
      </c>
      <c r="C29765" t="str">
        <v>-</v>
      </c>
      <c r="D29765" t="str">
        <v>-</v>
      </c>
      <c r="E29765" t="str">
        <v>-</v>
      </c>
      <c r="F29765" t="str">
        <v>-</v>
      </c>
      <c r="G29765" t="str">
        <v>-</v>
      </c>
    </row>
    <row r="29766" xml:space="preserve">
      <c r="B29766" t="str" xml:space="preserve">
        <v xml:space="preserve">Công an xã Thiệu Ngọc _x000d_
 tỉnh Thanh Hóa</v>
      </c>
      <c r="C29766" t="str">
        <v>-</v>
      </c>
      <c r="D29766" t="str">
        <v>-</v>
      </c>
      <c r="E29766" t="str">
        <v/>
      </c>
      <c r="F29766" t="str">
        <v>-</v>
      </c>
      <c r="G29766" t="str">
        <v>-</v>
      </c>
    </row>
    <row r="29767" xml:space="preserve">
      <c r="B29767" t="str" xml:space="preserve">
        <v xml:space="preserve">UBND Ủy ban nhân dân xã Thiệu Ngọc _x000d_
 tỉnh Thanh Hóa</v>
      </c>
      <c r="C29767" t="str">
        <v>-</v>
      </c>
      <c r="D29767" t="str">
        <v>-</v>
      </c>
      <c r="E29767" t="str">
        <v>-</v>
      </c>
      <c r="F29767" t="str">
        <v>-</v>
      </c>
      <c r="G29767" t="str">
        <v>-</v>
      </c>
    </row>
    <row r="29768">
      <c r="B29768" t="str">
        <v>Công an xã Thiệu Vân tỉnh Thanh Hóa</v>
      </c>
      <c r="C29768" t="str">
        <v>-</v>
      </c>
      <c r="D29768" t="str">
        <v>-</v>
      </c>
      <c r="E29768" t="str">
        <v/>
      </c>
      <c r="F29768" t="str">
        <v>-</v>
      </c>
      <c r="G29768" t="str">
        <v>-</v>
      </c>
    </row>
    <row r="29769">
      <c r="B29769" t="str">
        <v>UBND Ủy ban nhân dân xã Thiệu Vân tỉnh Thanh Hóa</v>
      </c>
      <c r="C29769" t="str">
        <v>-</v>
      </c>
      <c r="D29769" t="str">
        <v>-</v>
      </c>
      <c r="E29769" t="str">
        <v>-</v>
      </c>
      <c r="F29769" t="str">
        <v>-</v>
      </c>
      <c r="G29769" t="str">
        <v>-</v>
      </c>
    </row>
    <row r="29770">
      <c r="B29770" t="str">
        <v>Công an xã Thổ Sơn  tỉnh Kiên Giang</v>
      </c>
      <c r="C29770" t="str">
        <v>-</v>
      </c>
      <c r="D29770" t="str">
        <v>-</v>
      </c>
      <c r="E29770" t="str">
        <v/>
      </c>
      <c r="F29770" t="str">
        <v>-</v>
      </c>
      <c r="G29770" t="str">
        <v>-</v>
      </c>
    </row>
    <row r="29771">
      <c r="B29771" t="str">
        <v>UBND Ủy ban nhân dân xã Thổ Sơn  tỉnh Kiên Giang</v>
      </c>
      <c r="C29771" t="str">
        <v>-</v>
      </c>
      <c r="D29771" t="str">
        <v>-</v>
      </c>
      <c r="E29771" t="str">
        <v>-</v>
      </c>
      <c r="F29771" t="str">
        <v>-</v>
      </c>
      <c r="G29771" t="str">
        <v>-</v>
      </c>
    </row>
    <row r="29772">
      <c r="B29772" t="str">
        <v>Công an xã Thọ Thanh  tỉnh Thanh Hóa</v>
      </c>
      <c r="C29772" t="str">
        <v>-</v>
      </c>
      <c r="D29772" t="str">
        <v>-</v>
      </c>
      <c r="E29772" t="str">
        <v/>
      </c>
      <c r="F29772" t="str">
        <v>-</v>
      </c>
      <c r="G29772" t="str">
        <v>-</v>
      </c>
    </row>
    <row r="29773">
      <c r="B29773" t="str">
        <v>UBND Ủy ban nhân dân xã Thọ Thanh  tỉnh Thanh Hóa</v>
      </c>
      <c r="C29773" t="str">
        <v>-</v>
      </c>
      <c r="D29773" t="str">
        <v>-</v>
      </c>
      <c r="E29773" t="str">
        <v>-</v>
      </c>
      <c r="F29773" t="str">
        <v>-</v>
      </c>
      <c r="G29773" t="str">
        <v>-</v>
      </c>
    </row>
    <row r="29774">
      <c r="B29774" t="str">
        <v>Công an xã Thuận Điền  tỉnh Bến Tre</v>
      </c>
      <c r="C29774" t="str">
        <v>-</v>
      </c>
      <c r="D29774" t="str">
        <v>-</v>
      </c>
      <c r="E29774" t="str">
        <v/>
      </c>
      <c r="F29774" t="str">
        <v>-</v>
      </c>
      <c r="G29774" t="str">
        <v>-</v>
      </c>
    </row>
    <row r="29775">
      <c r="B29775" t="str">
        <v>UBND Ủy ban nhân dân xã Thuận Điền  tỉnh Bến Tre</v>
      </c>
      <c r="C29775" t="str">
        <v>-</v>
      </c>
      <c r="D29775" t="str">
        <v>-</v>
      </c>
      <c r="E29775" t="str">
        <v>-</v>
      </c>
      <c r="F29775" t="str">
        <v>-</v>
      </c>
      <c r="G29775" t="str">
        <v>-</v>
      </c>
    </row>
    <row r="29776">
      <c r="B29776" t="str">
        <v>Công an xã Thuần Hưng tỉnh Hưng Yên</v>
      </c>
      <c r="C29776" t="str">
        <v>-</v>
      </c>
      <c r="D29776" t="str">
        <v>-</v>
      </c>
      <c r="E29776" t="str">
        <v/>
      </c>
      <c r="F29776" t="str">
        <v>-</v>
      </c>
      <c r="G29776" t="str">
        <v>-</v>
      </c>
    </row>
    <row r="29777">
      <c r="B29777" t="str">
        <v>UBND Ủy ban nhân dân xã Thuần Hưng tỉnh Hưng Yên</v>
      </c>
      <c r="C29777" t="str">
        <v>-</v>
      </c>
      <c r="D29777" t="str">
        <v>-</v>
      </c>
      <c r="E29777" t="str">
        <v>-</v>
      </c>
      <c r="F29777" t="str">
        <v>-</v>
      </c>
      <c r="G29777" t="str">
        <v>-</v>
      </c>
    </row>
    <row r="29778">
      <c r="B29778" t="str">
        <v>Công an xã Thừa Đức  tỉnh Bến Tre</v>
      </c>
      <c r="C29778" t="str">
        <v>-</v>
      </c>
      <c r="D29778" t="str">
        <v>-</v>
      </c>
      <c r="E29778" t="str">
        <v/>
      </c>
      <c r="F29778" t="str">
        <v>-</v>
      </c>
      <c r="G29778" t="str">
        <v>-</v>
      </c>
    </row>
    <row r="29779">
      <c r="B29779" t="str">
        <v>UBND Ủy ban nhân dân xã Thừa Đức  tỉnh Bến Tre</v>
      </c>
      <c r="C29779" t="str">
        <v>-</v>
      </c>
      <c r="D29779" t="str">
        <v>-</v>
      </c>
      <c r="E29779" t="str">
        <v>-</v>
      </c>
      <c r="F29779" t="str">
        <v>-</v>
      </c>
      <c r="G29779" t="str">
        <v>-</v>
      </c>
    </row>
    <row r="29780">
      <c r="B29780" t="str">
        <v>Công an xã Thượng Ninh  tỉnh Thanh Hóa</v>
      </c>
      <c r="C29780" t="str">
        <v>-</v>
      </c>
      <c r="D29780" t="str">
        <v>-</v>
      </c>
      <c r="E29780" t="str">
        <v/>
      </c>
      <c r="F29780" t="str">
        <v>-</v>
      </c>
      <c r="G29780" t="str">
        <v>-</v>
      </c>
    </row>
    <row r="29781">
      <c r="B29781" t="str">
        <v>UBND Ủy ban nhân dân xã Thượng Ninh  tỉnh Thanh Hóa</v>
      </c>
      <c r="C29781" t="str">
        <v>-</v>
      </c>
      <c r="D29781" t="str">
        <v>-</v>
      </c>
      <c r="E29781" t="str">
        <v>-</v>
      </c>
      <c r="F29781" t="str">
        <v>-</v>
      </c>
      <c r="G29781" t="str">
        <v>-</v>
      </c>
    </row>
    <row r="29782">
      <c r="B29782" t="str">
        <v>Công an xã Thụy Duyên  tỉnh Thái Bình</v>
      </c>
      <c r="C29782" t="str">
        <v>-</v>
      </c>
      <c r="D29782" t="str">
        <v>-</v>
      </c>
      <c r="E29782" t="str">
        <v/>
      </c>
      <c r="F29782" t="str">
        <v>-</v>
      </c>
      <c r="G29782" t="str">
        <v>-</v>
      </c>
    </row>
    <row r="29783">
      <c r="B29783" t="str">
        <v>UBND Ủy ban nhân dân xã Thụy Duyên  tỉnh Thái Bình</v>
      </c>
      <c r="C29783" t="str">
        <v>-</v>
      </c>
      <c r="D29783" t="str">
        <v>-</v>
      </c>
      <c r="E29783" t="str">
        <v>-</v>
      </c>
      <c r="F29783" t="str">
        <v>-</v>
      </c>
      <c r="G29783" t="str">
        <v>-</v>
      </c>
    </row>
    <row r="29784">
      <c r="B29784" t="str">
        <v>Công an xã Tiến Bộ  tỉnh Tuyên Quang</v>
      </c>
      <c r="C29784" t="str">
        <v>-</v>
      </c>
      <c r="D29784" t="str">
        <v>-</v>
      </c>
      <c r="E29784" t="str">
        <v/>
      </c>
      <c r="F29784" t="str">
        <v>-</v>
      </c>
      <c r="G29784" t="str">
        <v>-</v>
      </c>
    </row>
    <row r="29785">
      <c r="B29785" t="str">
        <v>UBND Ủy ban nhân dân xã Tiến Bộ  tỉnh Tuyên Quang</v>
      </c>
      <c r="C29785" t="str">
        <v>-</v>
      </c>
      <c r="D29785" t="str">
        <v>-</v>
      </c>
      <c r="E29785" t="str">
        <v>-</v>
      </c>
      <c r="F29785" t="str">
        <v>-</v>
      </c>
      <c r="G29785" t="str">
        <v>-</v>
      </c>
    </row>
    <row r="29786">
      <c r="B29786" t="str">
        <v>Công an xã Tiên Động tỉnh Hải Dương</v>
      </c>
      <c r="C29786" t="str">
        <v>-</v>
      </c>
      <c r="D29786" t="str">
        <v>-</v>
      </c>
      <c r="E29786" t="str">
        <v/>
      </c>
      <c r="F29786" t="str">
        <v>-</v>
      </c>
      <c r="G29786" t="str">
        <v>-</v>
      </c>
    </row>
    <row r="29787">
      <c r="B29787" t="str">
        <v>UBND Ủy ban nhân dân xã Tiên Động tỉnh Hải Dương</v>
      </c>
      <c r="C29787" t="str">
        <v>-</v>
      </c>
      <c r="D29787" t="str">
        <v>-</v>
      </c>
      <c r="E29787" t="str">
        <v>-</v>
      </c>
      <c r="F29787" t="str">
        <v>-</v>
      </c>
      <c r="G29787" t="str">
        <v>-</v>
      </c>
    </row>
    <row r="29788">
      <c r="B29788" t="str">
        <v>Công an xã Tông Lạnh  tỉnh Sơn La</v>
      </c>
      <c r="C29788" t="str">
        <v>-</v>
      </c>
      <c r="D29788" t="str">
        <v>-</v>
      </c>
      <c r="E29788" t="str">
        <v/>
      </c>
      <c r="F29788" t="str">
        <v>-</v>
      </c>
      <c r="G29788" t="str">
        <v>-</v>
      </c>
    </row>
    <row r="29789">
      <c r="B29789" t="str">
        <v>UBND Ủy ban nhân dân xã Tông Lạnh  tỉnh Sơn La</v>
      </c>
      <c r="C29789" t="str">
        <v>-</v>
      </c>
      <c r="D29789" t="str">
        <v>-</v>
      </c>
      <c r="E29789" t="str">
        <v>-</v>
      </c>
      <c r="F29789" t="str">
        <v>-</v>
      </c>
      <c r="G29789" t="str">
        <v>-</v>
      </c>
    </row>
    <row r="29790">
      <c r="B29790" t="str">
        <v>Công an xã Tràng An  tỉnh Hà Nam</v>
      </c>
      <c r="C29790" t="str">
        <v>-</v>
      </c>
      <c r="D29790" t="str">
        <v>-</v>
      </c>
      <c r="E29790" t="str">
        <v/>
      </c>
      <c r="F29790" t="str">
        <v>-</v>
      </c>
      <c r="G29790" t="str">
        <v>-</v>
      </c>
    </row>
    <row r="29791">
      <c r="B29791" t="str">
        <v>UBND Ủy ban nhân dân xã Tràng An  tỉnh Hà Nam</v>
      </c>
      <c r="C29791" t="str">
        <v>-</v>
      </c>
      <c r="D29791" t="str">
        <v>-</v>
      </c>
      <c r="E29791" t="str">
        <v>-</v>
      </c>
      <c r="F29791" t="str">
        <v>-</v>
      </c>
      <c r="G29791" t="str">
        <v>-</v>
      </c>
    </row>
    <row r="29792">
      <c r="B29792" t="str">
        <v>Công an xã Trung Hội tỉnh Thái Nguyên</v>
      </c>
      <c r="C29792" t="str">
        <v>-</v>
      </c>
      <c r="D29792" t="str">
        <v>-</v>
      </c>
      <c r="E29792" t="str">
        <v/>
      </c>
      <c r="F29792" t="str">
        <v>-</v>
      </c>
      <c r="G29792" t="str">
        <v>-</v>
      </c>
    </row>
    <row r="29793">
      <c r="B29793" t="str">
        <v>UBND Ủy ban nhân dân xã Trung Hội tỉnh Thái Nguyên</v>
      </c>
      <c r="C29793" t="str">
        <v>-</v>
      </c>
      <c r="D29793" t="str">
        <v>-</v>
      </c>
      <c r="E29793" t="str">
        <v>-</v>
      </c>
      <c r="F29793" t="str">
        <v>-</v>
      </c>
      <c r="G29793" t="str">
        <v>-</v>
      </c>
    </row>
    <row r="29794">
      <c r="B29794" t="str">
        <v>Công an xã Trung Ngãi tỉnh Vĩnh Long</v>
      </c>
      <c r="C29794" t="str">
        <v>-</v>
      </c>
      <c r="D29794" t="str">
        <v>-</v>
      </c>
      <c r="E29794" t="str">
        <v/>
      </c>
      <c r="F29794" t="str">
        <v>-</v>
      </c>
      <c r="G29794" t="str">
        <v>-</v>
      </c>
    </row>
    <row r="29795">
      <c r="B29795" t="str">
        <v>UBND Ủy ban nhân dân xã Trung Ngãi tỉnh Vĩnh Long</v>
      </c>
      <c r="C29795" t="str">
        <v>-</v>
      </c>
      <c r="D29795" t="str">
        <v>-</v>
      </c>
      <c r="E29795" t="str">
        <v>-</v>
      </c>
      <c r="F29795" t="str">
        <v>-</v>
      </c>
      <c r="G29795" t="str">
        <v>-</v>
      </c>
    </row>
    <row r="29796">
      <c r="B29796" t="str">
        <v>Công an xã Trường Đông tỉnh TÂY NINH</v>
      </c>
      <c r="C29796" t="str">
        <v>-</v>
      </c>
      <c r="D29796" t="str">
        <v>-</v>
      </c>
      <c r="E29796" t="str">
        <v/>
      </c>
      <c r="F29796" t="str">
        <v>-</v>
      </c>
      <c r="G29796" t="str">
        <v>-</v>
      </c>
    </row>
    <row r="29797">
      <c r="B29797" t="str">
        <v>UBND Ủy ban nhân dân xã Trường Đông tỉnh TÂY NINH</v>
      </c>
      <c r="C29797" t="str">
        <v>-</v>
      </c>
      <c r="D29797" t="str">
        <v>-</v>
      </c>
      <c r="E29797" t="str">
        <v>-</v>
      </c>
      <c r="F29797" t="str">
        <v>-</v>
      </c>
      <c r="G29797" t="str">
        <v>-</v>
      </c>
    </row>
    <row r="29798">
      <c r="B29798" t="str">
        <v>Công an xã Tư Mại tỉnh Bắc Giang</v>
      </c>
      <c r="C29798" t="str">
        <v>-</v>
      </c>
      <c r="D29798" t="str">
        <v>-</v>
      </c>
      <c r="E29798" t="str">
        <v/>
      </c>
      <c r="F29798" t="str">
        <v>-</v>
      </c>
      <c r="G29798" t="str">
        <v>-</v>
      </c>
    </row>
    <row r="29799">
      <c r="B29799" t="str">
        <v>UBND Ủy ban nhân dân xã Tư Mại tỉnh Bắc Giang</v>
      </c>
      <c r="C29799" t="str">
        <v>-</v>
      </c>
      <c r="D29799" t="str">
        <v>-</v>
      </c>
      <c r="E29799" t="str">
        <v>-</v>
      </c>
      <c r="F29799" t="str">
        <v>-</v>
      </c>
      <c r="G29799" t="str">
        <v>-</v>
      </c>
    </row>
    <row r="29800">
      <c r="B29800" t="str">
        <v>Công an xã Tứ xã  tỉnh Phú Thọ</v>
      </c>
      <c r="C29800" t="str">
        <v>-</v>
      </c>
      <c r="D29800" t="str">
        <v>-</v>
      </c>
      <c r="E29800" t="str">
        <v/>
      </c>
      <c r="F29800" t="str">
        <v>-</v>
      </c>
      <c r="G29800" t="str">
        <v>-</v>
      </c>
    </row>
    <row r="29801">
      <c r="B29801" t="str">
        <v>UBND Ủy ban nhân dân xã Tứ xã  tỉnh Phú Thọ</v>
      </c>
      <c r="C29801" t="str">
        <v>-</v>
      </c>
      <c r="D29801" t="str">
        <v>-</v>
      </c>
      <c r="E29801" t="str">
        <v>-</v>
      </c>
      <c r="F29801" t="str">
        <v>-</v>
      </c>
      <c r="G29801" t="str">
        <v>-</v>
      </c>
    </row>
    <row r="29802">
      <c r="B29802" t="str">
        <v>Công an xã Văn Bán tỉnh Phú Thọ</v>
      </c>
      <c r="C29802" t="str">
        <v>-</v>
      </c>
      <c r="D29802" t="str">
        <v>-</v>
      </c>
      <c r="E29802" t="str">
        <v/>
      </c>
      <c r="F29802" t="str">
        <v>-</v>
      </c>
      <c r="G29802" t="str">
        <v>-</v>
      </c>
    </row>
    <row r="29803">
      <c r="B29803" t="str">
        <v>UBND Ủy ban nhân dân xã Văn Bán tỉnh Phú Thọ</v>
      </c>
      <c r="C29803" t="str">
        <v>-</v>
      </c>
      <c r="D29803" t="str">
        <v>-</v>
      </c>
      <c r="E29803" t="str">
        <v>-</v>
      </c>
      <c r="F29803" t="str">
        <v>-</v>
      </c>
      <c r="G29803" t="str">
        <v>-</v>
      </c>
    </row>
    <row r="29804">
      <c r="B29804" t="str">
        <v>Công an xã Vạn Ninh  tỉnh Quảng Bình</v>
      </c>
      <c r="C29804" t="str">
        <v>-</v>
      </c>
      <c r="D29804" t="str">
        <v>-</v>
      </c>
      <c r="E29804" t="str">
        <v/>
      </c>
      <c r="F29804" t="str">
        <v>-</v>
      </c>
      <c r="G29804" t="str">
        <v>-</v>
      </c>
    </row>
    <row r="29805">
      <c r="B29805" t="str">
        <v>UBND Ủy ban nhân dân xã Vạn Ninh  tỉnh Quảng Bình</v>
      </c>
      <c r="C29805" t="str">
        <v>-</v>
      </c>
      <c r="D29805" t="str">
        <v>-</v>
      </c>
      <c r="E29805" t="str">
        <v>-</v>
      </c>
      <c r="F29805" t="str">
        <v>-</v>
      </c>
      <c r="G29805" t="str">
        <v>-</v>
      </c>
    </row>
    <row r="29806">
      <c r="B29806" t="str">
        <v>Công an xã Vạn Thủy tỉnh Lạng Sơn</v>
      </c>
      <c r="C29806" t="str">
        <v>-</v>
      </c>
      <c r="D29806" t="str">
        <v>-</v>
      </c>
      <c r="E29806" t="str">
        <v/>
      </c>
      <c r="F29806" t="str">
        <v>-</v>
      </c>
      <c r="G29806" t="str">
        <v>-</v>
      </c>
    </row>
    <row r="29807">
      <c r="B29807" t="str">
        <v>UBND Ủy ban nhân dân xã Vạn Thủy tỉnh Lạng Sơn</v>
      </c>
      <c r="C29807" t="str">
        <v>-</v>
      </c>
      <c r="D29807" t="str">
        <v>-</v>
      </c>
      <c r="E29807" t="str">
        <v>-</v>
      </c>
      <c r="F29807" t="str">
        <v>-</v>
      </c>
      <c r="G29807" t="str">
        <v>-</v>
      </c>
    </row>
    <row r="29808">
      <c r="B29808" t="str">
        <v>Công an xã Vinh Kim  tỉnh Trà Vinh</v>
      </c>
      <c r="C29808" t="str">
        <v>-</v>
      </c>
      <c r="D29808" t="str">
        <v>-</v>
      </c>
      <c r="E29808" t="str">
        <v/>
      </c>
      <c r="F29808" t="str">
        <v>-</v>
      </c>
      <c r="G29808" t="str">
        <v>-</v>
      </c>
    </row>
    <row r="29809">
      <c r="B29809" t="str">
        <v>UBND Ủy ban nhân dân xã Vinh Kim  tỉnh Trà Vinh</v>
      </c>
      <c r="C29809" t="str">
        <v>-</v>
      </c>
      <c r="D29809" t="str">
        <v>-</v>
      </c>
      <c r="E29809" t="str">
        <v>-</v>
      </c>
      <c r="F29809" t="str">
        <v>-</v>
      </c>
      <c r="G29809" t="str">
        <v>-</v>
      </c>
    </row>
    <row r="29810">
      <c r="B29810" t="str">
        <v xml:space="preserve"> Công an tỉnh Phú Yên tỉnh Phú Yên</v>
      </c>
    </row>
    <row r="29811">
      <c r="B29811" t="str">
        <v>UBND Ủy ban nhân dânn tỉnh Phú Yên tỉnh Phú Yên</v>
      </c>
      <c r="C29811" t="str">
        <v>-</v>
      </c>
      <c r="D29811" t="str">
        <v>-</v>
      </c>
      <c r="E29811" t="str">
        <v>-</v>
      </c>
      <c r="F29811" t="str">
        <v>-</v>
      </c>
      <c r="G29811" t="str">
        <v>-</v>
      </c>
    </row>
    <row r="29812">
      <c r="B29812" t="str">
        <v>Công an tỉnh Nam Định tỉnh Nam Định</v>
      </c>
      <c r="C29812" t="str">
        <v>-</v>
      </c>
      <c r="D29812" t="str">
        <v>-</v>
      </c>
      <c r="E29812" t="str">
        <v/>
      </c>
      <c r="F29812" t="str">
        <v>-</v>
      </c>
      <c r="G29812" t="str">
        <v>-</v>
      </c>
    </row>
    <row r="29813">
      <c r="B29813" t="str">
        <v>UBND Ủy ban nhân dân tỉnh Nam Định tỉnh Nam Định</v>
      </c>
      <c r="C29813" t="str">
        <v>-</v>
      </c>
      <c r="D29813" t="str">
        <v>-</v>
      </c>
      <c r="E29813" t="str">
        <v>-</v>
      </c>
      <c r="F29813" t="str">
        <v>-</v>
      </c>
      <c r="G29813" t="str">
        <v>-</v>
      </c>
    </row>
    <row r="29814">
      <c r="B29814" t="str">
        <v>Công an tỉnh Bà Rịa - Vũng Tàu tỉnh Bà Rịa - Vũng Tàu</v>
      </c>
      <c r="C29814" t="str">
        <v>-</v>
      </c>
      <c r="D29814" t="str">
        <v>-</v>
      </c>
      <c r="E29814" t="str">
        <v/>
      </c>
      <c r="F29814" t="str">
        <v>-</v>
      </c>
      <c r="G29814" t="str">
        <v>-</v>
      </c>
    </row>
    <row r="29815">
      <c r="B29815" t="str">
        <v>UBND Ủy ban nhân dân tỉnh Bà Rịa - Vũng Tàu tỉnh Bà Rịa - Vũng Tàu</v>
      </c>
      <c r="C29815" t="str">
        <v>-</v>
      </c>
      <c r="D29815" t="str">
        <v>-</v>
      </c>
      <c r="E29815" t="str">
        <v>-</v>
      </c>
      <c r="F29815" t="str">
        <v>-</v>
      </c>
      <c r="G29815" t="str">
        <v>-</v>
      </c>
    </row>
    <row r="29816">
      <c r="B29816" t="str">
        <v>Công an tỉnh Bình Thuận tỉnh Bình Thuận</v>
      </c>
      <c r="C29816" t="str">
        <v>-</v>
      </c>
      <c r="D29816" t="str">
        <v>-</v>
      </c>
      <c r="E29816" t="str">
        <v/>
      </c>
      <c r="F29816" t="str">
        <v>-</v>
      </c>
      <c r="G29816" t="str">
        <v>-</v>
      </c>
    </row>
    <row r="29817">
      <c r="B29817" t="str">
        <v>UBND Ủy ban nhân dân tỉnh Bình Thuận tỉnh Bình Thuận</v>
      </c>
      <c r="C29817" t="str">
        <v>-</v>
      </c>
      <c r="D29817" t="str">
        <v>-</v>
      </c>
      <c r="E29817" t="str">
        <v>-</v>
      </c>
      <c r="F29817" t="str">
        <v>-</v>
      </c>
      <c r="G29817" t="str">
        <v>-</v>
      </c>
    </row>
    <row r="29818">
      <c r="B29818" t="str">
        <v>Công an tỉnh Vĩnh Phúc tỉnh Vĩnh Phúc</v>
      </c>
      <c r="C29818" t="str">
        <v>-</v>
      </c>
      <c r="D29818" t="str">
        <v>-</v>
      </c>
      <c r="E29818" t="str">
        <v/>
      </c>
      <c r="F29818" t="str">
        <v>-</v>
      </c>
      <c r="G29818" t="str">
        <v>-</v>
      </c>
    </row>
    <row r="29819">
      <c r="B29819" t="str">
        <v>UBND Ủy ban nhân dân tỉnh Vĩnh Phúc tỉnh Vĩnh Phúc</v>
      </c>
      <c r="C29819" t="str">
        <v>-</v>
      </c>
      <c r="D29819" t="str">
        <v>-</v>
      </c>
      <c r="E29819" t="str">
        <v>-</v>
      </c>
      <c r="F29819" t="str">
        <v>-</v>
      </c>
      <c r="G29819" t="str">
        <v>-</v>
      </c>
    </row>
    <row r="29820">
      <c r="B29820" t="str">
        <v>Công an quận Phú Nhuận thành phố Hồ Chí Minh</v>
      </c>
      <c r="C29820" t="str">
        <v>-</v>
      </c>
      <c r="D29820" t="str">
        <v>-</v>
      </c>
      <c r="E29820" t="str">
        <v/>
      </c>
      <c r="F29820" t="str">
        <v>-</v>
      </c>
      <c r="G29820" t="str">
        <v>-</v>
      </c>
    </row>
    <row r="29821">
      <c r="B29821" t="str">
        <v>UBND Ủy ban nhân dân quận Phú Nhuận thành phố Hồ Chí Minh</v>
      </c>
      <c r="C29821" t="str">
        <v>-</v>
      </c>
      <c r="D29821" t="str">
        <v>-</v>
      </c>
      <c r="E29821" t="str">
        <v>-</v>
      </c>
      <c r="F29821" t="str">
        <v>-</v>
      </c>
      <c r="G29821" t="str">
        <v>-</v>
      </c>
    </row>
    <row r="29822">
      <c r="B29822" t="str">
        <v>Công an xã Minh Đức tỉnh Bình Phước</v>
      </c>
      <c r="C29822" t="str">
        <v>-</v>
      </c>
      <c r="D29822" t="str">
        <v>-</v>
      </c>
      <c r="E29822" t="str">
        <v/>
      </c>
      <c r="F29822" t="str">
        <v>-</v>
      </c>
      <c r="G29822" t="str">
        <v>-</v>
      </c>
    </row>
    <row r="29823">
      <c r="B29823" t="str">
        <v>UBND Ủy ban nhân dân xã Minh Đức tỉnh Bình Phước</v>
      </c>
      <c r="C29823" t="str">
        <v>-</v>
      </c>
      <c r="D29823" t="str">
        <v>-</v>
      </c>
      <c r="E29823" t="str">
        <v>-</v>
      </c>
      <c r="F29823" t="str">
        <v>-</v>
      </c>
      <c r="G29823" t="str">
        <v>-</v>
      </c>
    </row>
    <row r="29824" xml:space="preserve">
      <c r="B29824" t="str" xml:space="preserve">
        <v xml:space="preserve">Công an huyện Dak Mil_x000d_
 tỉnh Đắk Nông</v>
      </c>
      <c r="C29824" t="str">
        <v>-</v>
      </c>
      <c r="D29824" t="str">
        <v>-</v>
      </c>
      <c r="E29824" t="str">
        <v/>
      </c>
      <c r="F29824" t="str">
        <v>-</v>
      </c>
      <c r="G29824" t="str">
        <v>-</v>
      </c>
    </row>
    <row r="29825" xml:space="preserve">
      <c r="B29825" t="str" xml:space="preserve">
        <v xml:space="preserve">UBND Ủy ban nhân dân huyện Dak Mil_x000d_
 tỉnh Đắk Nông</v>
      </c>
      <c r="C29825" t="str">
        <v>-</v>
      </c>
      <c r="D29825" t="str">
        <v>-</v>
      </c>
      <c r="E29825" t="str">
        <v>-</v>
      </c>
      <c r="F29825" t="str">
        <v>-</v>
      </c>
      <c r="G29825" t="str">
        <v>-</v>
      </c>
    </row>
    <row r="29826" xml:space="preserve">
      <c r="B29826" t="str" xml:space="preserve">
        <v xml:space="preserve"> Công an tỉnh Tiền Giang_x000d_
 tỉnh TIỀN GIANG</v>
      </c>
    </row>
    <row r="29827" xml:space="preserve">
      <c r="B29827" t="str" xml:space="preserve">
        <v xml:space="preserve">UBND Ủy ban nhân dânn tỉnh Tiền Giang_x000d_
 tỉnh TIỀN GIANG</v>
      </c>
      <c r="C29827" t="str">
        <v>-</v>
      </c>
      <c r="D29827" t="str">
        <v>-</v>
      </c>
      <c r="E29827" t="str">
        <v>-</v>
      </c>
      <c r="F29827" t="str">
        <v>-</v>
      </c>
      <c r="G29827" t="str">
        <v>-</v>
      </c>
    </row>
    <row r="29828" xml:space="preserve">
      <c r="B29828" t="str" xml:space="preserve">
        <v xml:space="preserve">Công an tỉnh Bến Tre_x000d_
 tỉnh Bến Tre</v>
      </c>
      <c r="C29828" t="str">
        <v>-</v>
      </c>
      <c r="D29828" t="str">
        <v>-</v>
      </c>
      <c r="E29828" t="str">
        <v/>
      </c>
      <c r="F29828" t="str">
        <v>-</v>
      </c>
      <c r="G29828" t="str">
        <v>-</v>
      </c>
    </row>
    <row r="29829" xml:space="preserve">
      <c r="B29829" t="str" xml:space="preserve">
        <v xml:space="preserve">UBND Ủy ban nhân dân tỉnh Bến Tre_x000d_
 tỉnh Bến Tre</v>
      </c>
      <c r="C29829" t="str">
        <v>-</v>
      </c>
      <c r="D29829" t="str">
        <v>-</v>
      </c>
      <c r="E29829" t="str">
        <v>-</v>
      </c>
      <c r="F29829" t="str">
        <v>-</v>
      </c>
      <c r="G29829" t="str">
        <v>-</v>
      </c>
    </row>
    <row r="29830" xml:space="preserve">
      <c r="B29830" t="str" xml:space="preserve">
        <v xml:space="preserve">Công an tỉnh Kontum_x000d_
 tỉnh Kon Tum</v>
      </c>
      <c r="C29830" t="str">
        <v>-</v>
      </c>
      <c r="D29830" t="str">
        <v>-</v>
      </c>
      <c r="E29830" t="str">
        <v/>
      </c>
      <c r="F29830" t="str">
        <v>-</v>
      </c>
      <c r="G29830" t="str">
        <v>-</v>
      </c>
    </row>
    <row r="29831" xml:space="preserve">
      <c r="B29831" t="str" xml:space="preserve">
        <v xml:space="preserve">UBND Ủy ban nhân dân tỉnh Kontum_x000d_
 tỉnh Kon Tum</v>
      </c>
      <c r="C29831" t="str">
        <v>-</v>
      </c>
      <c r="D29831" t="str">
        <v>-</v>
      </c>
      <c r="E29831" t="str">
        <v>-</v>
      </c>
      <c r="F29831" t="str">
        <v>-</v>
      </c>
      <c r="G29831" t="str">
        <v>-</v>
      </c>
    </row>
    <row r="29832" xml:space="preserve">
      <c r="B29832" t="str" xml:space="preserve">
        <v xml:space="preserve">Công an thành phố Trà Vinh_x000d_
 tỉnh Trà Vinh</v>
      </c>
      <c r="C29832" t="str">
        <v>-</v>
      </c>
      <c r="D29832" t="str">
        <v>-</v>
      </c>
      <c r="E29832" t="str">
        <v/>
      </c>
      <c r="F29832" t="str">
        <v>-</v>
      </c>
      <c r="G29832" t="str">
        <v>-</v>
      </c>
    </row>
    <row r="29833" xml:space="preserve">
      <c r="B29833" t="str" xml:space="preserve">
        <v xml:space="preserve">UBND Ủy ban nhân dân thành phố Trà Vinh_x000d_
 tỉnh Trà Vinh</v>
      </c>
      <c r="C29833" t="str">
        <v>-</v>
      </c>
      <c r="D29833" t="str">
        <v>-</v>
      </c>
      <c r="E29833" t="str">
        <v>-</v>
      </c>
      <c r="F29833" t="str">
        <v>-</v>
      </c>
      <c r="G29833" t="str">
        <v>-</v>
      </c>
    </row>
    <row r="29834" xml:space="preserve">
      <c r="B29834" t="str" xml:space="preserve">
        <v xml:space="preserve">Công an huyện Trảng Bom_x000d_
 tỉnh Đồng Nai</v>
      </c>
      <c r="C29834" t="str">
        <v>-</v>
      </c>
      <c r="D29834" t="str">
        <v>-</v>
      </c>
      <c r="E29834" t="str">
        <v/>
      </c>
      <c r="F29834" t="str">
        <v>-</v>
      </c>
      <c r="G29834" t="str">
        <v>-</v>
      </c>
    </row>
    <row r="29835" xml:space="preserve">
      <c r="B29835" t="str" xml:space="preserve">
        <v xml:space="preserve">UBND Ủy ban nhân dân huyện Trảng Bom_x000d_
 tỉnh Đồng Nai</v>
      </c>
      <c r="C29835" t="str">
        <v>-</v>
      </c>
      <c r="D29835" t="str">
        <v>-</v>
      </c>
      <c r="E29835" t="str">
        <v>-</v>
      </c>
      <c r="F29835" t="str">
        <v>-</v>
      </c>
      <c r="G29835" t="str">
        <v>-</v>
      </c>
    </row>
    <row r="29836" xml:space="preserve">
      <c r="B29836" t="str" xml:space="preserve">
        <v xml:space="preserve"> Công an tỉnh Phú Thọ _x000d_
 tỉnh Phú Thọ</v>
      </c>
    </row>
    <row r="29837" xml:space="preserve">
      <c r="B29837" t="str" xml:space="preserve">
        <v xml:space="preserve">UBND Ủy ban nhân dânn tỉnh Phú Thọ _x000d_
 tỉnh Phú Thọ</v>
      </c>
      <c r="C29837" t="str">
        <v>-</v>
      </c>
      <c r="D29837" t="str">
        <v>-</v>
      </c>
      <c r="E29837" t="str">
        <v>-</v>
      </c>
      <c r="F29837" t="str">
        <v>-</v>
      </c>
      <c r="G29837" t="str">
        <v>-</v>
      </c>
    </row>
    <row r="29838">
      <c r="B29838" t="str">
        <v>Công an tỉnh Ninh Thuận  tỉnh Ninh Thuận</v>
      </c>
      <c r="C29838" t="str">
        <v>-</v>
      </c>
      <c r="D29838" t="str">
        <v>-</v>
      </c>
      <c r="E29838" t="str">
        <v/>
      </c>
      <c r="F29838" t="str">
        <v>-</v>
      </c>
      <c r="G29838" t="str">
        <v>-</v>
      </c>
    </row>
    <row r="29839">
      <c r="B29839" t="str">
        <v>UBND Ủy ban nhân dân tỉnh Ninh Thuận  tỉnh Ninh Thuận</v>
      </c>
      <c r="C29839" t="str">
        <v>-</v>
      </c>
      <c r="D29839" t="str">
        <v>-</v>
      </c>
      <c r="E29839" t="str">
        <v>-</v>
      </c>
      <c r="F29839" t="str">
        <v>-</v>
      </c>
      <c r="G29839" t="str">
        <v>-</v>
      </c>
    </row>
    <row r="29840" xml:space="preserve">
      <c r="B29840" t="str" xml:space="preserve">
        <v xml:space="preserve">Cục Cảnh sát điều tra tội phạm về ma túy PC47 _x000d_
 thành phố Hà Nội</v>
      </c>
    </row>
    <row r="29841" xml:space="preserve">
      <c r="B29841" t="str" xml:space="preserve">
        <v xml:space="preserve">UBND Ủy ban nhân dânh sát điều tra tội phạm về ma túy PC47 _x000d_
 thành phố Hà Nội</v>
      </c>
      <c r="C29841" t="str">
        <v>-</v>
      </c>
      <c r="D29841" t="str">
        <v>-</v>
      </c>
      <c r="E29841" t="str">
        <v>-</v>
      </c>
      <c r="F29841" t="str">
        <v>-</v>
      </c>
      <c r="G29841" t="str">
        <v>-</v>
      </c>
    </row>
    <row r="29842">
      <c r="B29842" t="str">
        <v>Cảnh sát giao thông tỉnh Quảng Trị  tỉnh Quảng Trị</v>
      </c>
    </row>
    <row r="29843">
      <c r="B29843" t="str">
        <v>UBND Ủy ban nhân dânt giao thông tỉnh Quảng Trị  tỉnh Quảng Trị</v>
      </c>
      <c r="C29843" t="str">
        <v>-</v>
      </c>
      <c r="D29843" t="str">
        <v>-</v>
      </c>
      <c r="E29843" t="str">
        <v>-</v>
      </c>
      <c r="F29843" t="str">
        <v>-</v>
      </c>
      <c r="G29843" t="str">
        <v>-</v>
      </c>
    </row>
    <row r="29844">
      <c r="B29844" t="str">
        <v>Công an huyện Trấn Yên tỉnh Yên Bái</v>
      </c>
      <c r="C29844" t="str">
        <v>-</v>
      </c>
      <c r="D29844" t="str">
        <v>-</v>
      </c>
      <c r="E29844" t="str">
        <v/>
      </c>
      <c r="F29844" t="str">
        <v>-</v>
      </c>
      <c r="G29844" t="str">
        <v>-</v>
      </c>
    </row>
    <row r="29845">
      <c r="B29845" t="str">
        <v>UBND Ủy ban nhân dân huyện Trấn Yên tỉnh Yên Bái</v>
      </c>
      <c r="C29845" t="str">
        <v>-</v>
      </c>
      <c r="D29845" t="str">
        <v>-</v>
      </c>
      <c r="E29845" t="str">
        <v>-</v>
      </c>
      <c r="F29845" t="str">
        <v>-</v>
      </c>
      <c r="G29845" t="str">
        <v>-</v>
      </c>
    </row>
    <row r="29846">
      <c r="B29846" t="str">
        <v>Công an thành phố Quảng Ngãi tỉnh Quảng Ngãi</v>
      </c>
      <c r="C29846" t="str">
        <v>-</v>
      </c>
      <c r="D29846" t="str">
        <v>-</v>
      </c>
      <c r="E29846" t="str">
        <v/>
      </c>
      <c r="F29846" t="str">
        <v>-</v>
      </c>
      <c r="G29846" t="str">
        <v>-</v>
      </c>
    </row>
    <row r="29847">
      <c r="B29847" t="str">
        <v>UBND Ủy ban nhân dân thành phố Quảng Ngãi tỉnh Quảng Ngãi</v>
      </c>
      <c r="C29847" t="str">
        <v>-</v>
      </c>
      <c r="D29847" t="str">
        <v>-</v>
      </c>
      <c r="E29847" t="str">
        <v>-</v>
      </c>
      <c r="F29847" t="str">
        <v>-</v>
      </c>
      <c r="G29847" t="str">
        <v>-</v>
      </c>
    </row>
    <row r="29848">
      <c r="B29848" t="str">
        <v>Công an huyện Ngọc Lặc tỉnh Thanh Hóa</v>
      </c>
      <c r="C29848" t="str">
        <v>-</v>
      </c>
      <c r="D29848" t="str">
        <v>-</v>
      </c>
      <c r="E29848" t="str">
        <v/>
      </c>
      <c r="F29848" t="str">
        <v>-</v>
      </c>
      <c r="G29848" t="str">
        <v>-</v>
      </c>
    </row>
    <row r="29849">
      <c r="B29849" t="str">
        <v>UBND Ủy ban nhân dân huyện Ngọc Lặc tỉnh Thanh Hóa</v>
      </c>
      <c r="C29849" t="str">
        <v>-</v>
      </c>
      <c r="D29849" t="str">
        <v>-</v>
      </c>
      <c r="E29849" t="str">
        <v>-</v>
      </c>
      <c r="F29849" t="str">
        <v>-</v>
      </c>
      <c r="G29849" t="str">
        <v>-</v>
      </c>
    </row>
    <row r="29850">
      <c r="B29850" t="str">
        <v>Cảnh sát giao thông tỉnh Quảng Bình tỉnh Quảng Bình</v>
      </c>
    </row>
    <row r="29851">
      <c r="B29851" t="str">
        <v>UBND Ủy ban nhân dânt giao thông tỉnh Quảng Bình tỉnh Quảng Bình</v>
      </c>
      <c r="C29851" t="str">
        <v>-</v>
      </c>
      <c r="D29851" t="str">
        <v>-</v>
      </c>
      <c r="E29851" t="str">
        <v>-</v>
      </c>
      <c r="F29851" t="str">
        <v>-</v>
      </c>
      <c r="G29851" t="str">
        <v>-</v>
      </c>
    </row>
    <row r="29852">
      <c r="B29852" t="str">
        <v>Công an tỉnh Sơn La tỉnh Sơn La</v>
      </c>
      <c r="C29852" t="str">
        <v>-</v>
      </c>
      <c r="D29852" t="str">
        <v>-</v>
      </c>
      <c r="E29852" t="str">
        <v/>
      </c>
      <c r="F29852" t="str">
        <v>-</v>
      </c>
      <c r="G29852" t="str">
        <v>-</v>
      </c>
    </row>
    <row r="29853">
      <c r="B29853" t="str">
        <v>UBND Ủy ban nhân dân tỉnh Sơn La tỉnh Sơn La</v>
      </c>
      <c r="C29853" t="str">
        <v>-</v>
      </c>
      <c r="D29853" t="str">
        <v>-</v>
      </c>
      <c r="E29853" t="str">
        <v>-</v>
      </c>
      <c r="F29853" t="str">
        <v>-</v>
      </c>
      <c r="G29853" t="str">
        <v>-</v>
      </c>
    </row>
    <row r="29854">
      <c r="B29854" t="str">
        <v>Công an huyện Thạch Hà  tỉnh Hà Tĩnh</v>
      </c>
      <c r="C29854" t="str">
        <v>-</v>
      </c>
      <c r="D29854" t="str">
        <v>-</v>
      </c>
      <c r="E29854" t="str">
        <v/>
      </c>
      <c r="F29854" t="str">
        <v>-</v>
      </c>
      <c r="G29854" t="str">
        <v>-</v>
      </c>
    </row>
    <row r="29855">
      <c r="B29855" t="str">
        <v>UBND Ủy ban nhân dân huyện Thạch Hà  tỉnh Hà Tĩnh</v>
      </c>
      <c r="C29855" t="str">
        <v>-</v>
      </c>
      <c r="D29855" t="str">
        <v>-</v>
      </c>
      <c r="E29855" t="str">
        <v>-</v>
      </c>
      <c r="F29855" t="str">
        <v>-</v>
      </c>
      <c r="G29855" t="str">
        <v>-</v>
      </c>
    </row>
    <row r="29856">
      <c r="B29856" t="str">
        <v>Công an tỉnh Vĩnh Phúc  tỉnh Vĩnh Phúc</v>
      </c>
      <c r="C29856" t="str">
        <v>-</v>
      </c>
      <c r="D29856" t="str">
        <v>-</v>
      </c>
      <c r="E29856" t="str">
        <v/>
      </c>
      <c r="F29856" t="str">
        <v>-</v>
      </c>
      <c r="G29856" t="str">
        <v>-</v>
      </c>
    </row>
    <row r="29857">
      <c r="B29857" t="str">
        <v>UBND Ủy ban nhân dân tỉnh Vĩnh Phúc  tỉnh Vĩnh Phúc</v>
      </c>
      <c r="C29857" t="str">
        <v>-</v>
      </c>
      <c r="D29857" t="str">
        <v>-</v>
      </c>
      <c r="E29857" t="str">
        <v>-</v>
      </c>
      <c r="F29857" t="str">
        <v>-</v>
      </c>
      <c r="G29857" t="str">
        <v>-</v>
      </c>
    </row>
    <row r="29858">
      <c r="B29858" t="str">
        <v>Công an tỉnh An Giang tỉnh An Giang</v>
      </c>
      <c r="C29858" t="str">
        <v>-</v>
      </c>
      <c r="D29858" t="str">
        <v>-</v>
      </c>
      <c r="E29858" t="str">
        <v/>
      </c>
      <c r="F29858" t="str">
        <v>-</v>
      </c>
      <c r="G29858" t="str">
        <v>-</v>
      </c>
    </row>
    <row r="29859">
      <c r="B29859" t="str">
        <v>UBND Ủy ban nhân dân tỉnh An Giang tỉnh An Giang</v>
      </c>
      <c r="C29859" t="str">
        <v>-</v>
      </c>
      <c r="D29859" t="str">
        <v>-</v>
      </c>
      <c r="E29859" t="str">
        <v>-</v>
      </c>
      <c r="F29859" t="str">
        <v>-</v>
      </c>
      <c r="G29859" t="str">
        <v>-</v>
      </c>
    </row>
    <row r="29860" xml:space="preserve">
      <c r="B29860" t="str" xml:space="preserve">
        <v xml:space="preserve">Công an tỉnh Bắc Ninh _x000d_
 tỉnh Bắc Ninh</v>
      </c>
      <c r="C29860" t="str">
        <v>-</v>
      </c>
      <c r="D29860" t="str">
        <v>-</v>
      </c>
      <c r="E29860" t="str">
        <v/>
      </c>
      <c r="F29860" t="str">
        <v>-</v>
      </c>
      <c r="G29860" t="str">
        <v>-</v>
      </c>
    </row>
    <row r="29861" xml:space="preserve">
      <c r="B29861" t="str" xml:space="preserve">
        <v xml:space="preserve">UBND Ủy ban nhân dân tỉnh Bắc Ninh _x000d_
 tỉnh Bắc Ninh</v>
      </c>
      <c r="C29861" t="str">
        <v>-</v>
      </c>
      <c r="D29861" t="str">
        <v>-</v>
      </c>
      <c r="E29861" t="str">
        <v>-</v>
      </c>
      <c r="F29861" t="str">
        <v>-</v>
      </c>
      <c r="G29861" t="str">
        <v>-</v>
      </c>
    </row>
    <row r="29862" xml:space="preserve">
      <c r="B29862" t="str" xml:space="preserve">
        <v xml:space="preserve">Công an quận Gò Vấp _x000d_
 thành phố Hồ Chí Minh</v>
      </c>
      <c r="C29862" t="str">
        <v>-</v>
      </c>
      <c r="D29862" t="str">
        <v>-</v>
      </c>
      <c r="E29862" t="str">
        <v/>
      </c>
      <c r="F29862" t="str">
        <v>-</v>
      </c>
      <c r="G29862" t="str">
        <v>-</v>
      </c>
    </row>
    <row r="29863" xml:space="preserve">
      <c r="B29863" t="str" xml:space="preserve">
        <v xml:space="preserve">UBND Ủy ban nhân dân quận Gò Vấp _x000d_
 thành phố Hồ Chí Minh</v>
      </c>
      <c r="C29863" t="str">
        <v>-</v>
      </c>
      <c r="D29863" t="str">
        <v>-</v>
      </c>
      <c r="E29863" t="str">
        <v>-</v>
      </c>
      <c r="F29863" t="str">
        <v>-</v>
      </c>
      <c r="G29863" t="str">
        <v>-</v>
      </c>
    </row>
    <row r="29864">
      <c r="B29864" t="str">
        <v>Công an huyện Đức Hòa thành phố Hồ Chí Minh</v>
      </c>
      <c r="C29864" t="str">
        <v>-</v>
      </c>
      <c r="D29864" t="str">
        <v>-</v>
      </c>
      <c r="E29864" t="str">
        <v/>
      </c>
      <c r="F29864" t="str">
        <v>-</v>
      </c>
      <c r="G29864" t="str">
        <v>-</v>
      </c>
    </row>
    <row r="29865">
      <c r="B29865" t="str">
        <v>UBND Ủy ban nhân dân huyện Đức Hòa thành phố Hồ Chí Minh</v>
      </c>
      <c r="C29865" t="str">
        <v>-</v>
      </c>
      <c r="D29865" t="str">
        <v>-</v>
      </c>
      <c r="E29865" t="str">
        <v>-</v>
      </c>
      <c r="F29865" t="str">
        <v>-</v>
      </c>
      <c r="G29865" t="str">
        <v>-</v>
      </c>
    </row>
    <row r="29866" xml:space="preserve">
      <c r="B29866" t="str" xml:space="preserve">
        <v xml:space="preserve">Công an tỉnh Lai Châu _x000d_
 tỉnh Lai Châu</v>
      </c>
      <c r="C29866" t="str">
        <v>-</v>
      </c>
      <c r="D29866" t="str">
        <v>-</v>
      </c>
      <c r="E29866" t="str">
        <v/>
      </c>
      <c r="F29866" t="str">
        <v>-</v>
      </c>
      <c r="G29866" t="str">
        <v>-</v>
      </c>
    </row>
    <row r="29867" xml:space="preserve">
      <c r="B29867" t="str" xml:space="preserve">
        <v xml:space="preserve">UBND Ủy ban nhân dân tỉnh Lai Châu _x000d_
 tỉnh Lai Châu</v>
      </c>
      <c r="C29867" t="str">
        <v>-</v>
      </c>
      <c r="D29867" t="str">
        <v>-</v>
      </c>
      <c r="E29867" t="str">
        <v>-</v>
      </c>
      <c r="F29867" t="str">
        <v>-</v>
      </c>
      <c r="G29867" t="str">
        <v>-</v>
      </c>
    </row>
    <row r="29868" xml:space="preserve">
      <c r="B29868" t="str" xml:space="preserve">
        <v xml:space="preserve">Công an tỉnh Bạc Liêu _x000d_
 tỉnh Bạc Liêu</v>
      </c>
      <c r="C29868" t="str">
        <v>-</v>
      </c>
      <c r="D29868" t="str">
        <v>-</v>
      </c>
      <c r="E29868" t="str">
        <v/>
      </c>
      <c r="F29868" t="str">
        <v>-</v>
      </c>
      <c r="G29868" t="str">
        <v>-</v>
      </c>
    </row>
    <row r="29869" xml:space="preserve">
      <c r="B29869" t="str" xml:space="preserve">
        <v xml:space="preserve">UBND Ủy ban nhân dân tỉnh Bạc Liêu _x000d_
 tỉnh Bạc Liêu</v>
      </c>
      <c r="C29869" t="str">
        <v>-</v>
      </c>
      <c r="D29869" t="str">
        <v>-</v>
      </c>
      <c r="E29869" t="str">
        <v>-</v>
      </c>
      <c r="F29869" t="str">
        <v>-</v>
      </c>
      <c r="G29869" t="str">
        <v>-</v>
      </c>
    </row>
    <row r="29870">
      <c r="B29870" t="str">
        <v>Công an tỉnh Nghệ An  tỉnh Nghệ An</v>
      </c>
      <c r="C29870" t="str">
        <v>-</v>
      </c>
      <c r="D29870" t="str">
        <v>-</v>
      </c>
      <c r="E29870" t="str">
        <v/>
      </c>
      <c r="F29870" t="str">
        <v>-</v>
      </c>
      <c r="G29870" t="str">
        <v>-</v>
      </c>
    </row>
    <row r="29871">
      <c r="B29871" t="str">
        <v>UBND Ủy ban nhân dân tỉnh Nghệ An  tỉnh Nghệ An</v>
      </c>
      <c r="C29871" t="str">
        <v>-</v>
      </c>
      <c r="D29871" t="str">
        <v>-</v>
      </c>
      <c r="E29871" t="str">
        <v>-</v>
      </c>
      <c r="F29871" t="str">
        <v>-</v>
      </c>
      <c r="G29871" t="str">
        <v>-</v>
      </c>
    </row>
    <row r="29872" xml:space="preserve">
      <c r="B29872" t="str" xml:space="preserve">
        <v xml:space="preserve">Công an tỉnh Hòa Bình _x000d_
 tỉnh Hòa Bình</v>
      </c>
      <c r="C29872" t="str">
        <v>-</v>
      </c>
      <c r="D29872" t="str">
        <v>-</v>
      </c>
      <c r="E29872" t="str">
        <v/>
      </c>
      <c r="F29872" t="str">
        <v>-</v>
      </c>
      <c r="G29872" t="str">
        <v>-</v>
      </c>
    </row>
    <row r="29873" xml:space="preserve">
      <c r="B29873" t="str" xml:space="preserve">
        <v xml:space="preserve">UBND Ủy ban nhân dân tỉnh Hòa Bình _x000d_
 tỉnh Hòa Bình</v>
      </c>
      <c r="C29873" t="str">
        <v>-</v>
      </c>
      <c r="D29873" t="str">
        <v>-</v>
      </c>
      <c r="E29873" t="str">
        <v>-</v>
      </c>
      <c r="F29873" t="str">
        <v>-</v>
      </c>
      <c r="G29873" t="str">
        <v>-</v>
      </c>
    </row>
    <row r="29874">
      <c r="B29874" t="str">
        <v>Công an tỉnh Bạc Liêu  tỉnh Bạc Liêu</v>
      </c>
      <c r="C29874" t="str">
        <v>-</v>
      </c>
      <c r="D29874" t="str">
        <v>-</v>
      </c>
      <c r="E29874" t="str">
        <v/>
      </c>
      <c r="F29874" t="str">
        <v>-</v>
      </c>
      <c r="G29874" t="str">
        <v>-</v>
      </c>
    </row>
    <row r="29875">
      <c r="B29875" t="str">
        <v>UBND Ủy ban nhân dân tỉnh Bạc Liêu  tỉnh Bạc Liêu</v>
      </c>
      <c r="C29875" t="str">
        <v>-</v>
      </c>
      <c r="D29875" t="str">
        <v>-</v>
      </c>
      <c r="E29875" t="str">
        <v>-</v>
      </c>
      <c r="F29875" t="str">
        <v>-</v>
      </c>
      <c r="G29875" t="str">
        <v>-</v>
      </c>
    </row>
    <row r="29876" xml:space="preserve">
      <c r="B29876" t="str" xml:space="preserve">
        <v xml:space="preserve">Công an tỉnh Kiên Giang _x000d_
 tỉnh Kiên Giang</v>
      </c>
      <c r="C29876" t="str">
        <v>-</v>
      </c>
      <c r="D29876" t="str">
        <v>-</v>
      </c>
      <c r="E29876" t="str">
        <v/>
      </c>
      <c r="F29876" t="str">
        <v>-</v>
      </c>
      <c r="G29876" t="str">
        <v>-</v>
      </c>
    </row>
    <row r="29877" xml:space="preserve">
      <c r="B29877" t="str" xml:space="preserve">
        <v xml:space="preserve">UBND Ủy ban nhân dân tỉnh Kiên Giang _x000d_
 tỉnh Kiên Giang</v>
      </c>
      <c r="C29877" t="str">
        <v>-</v>
      </c>
      <c r="D29877" t="str">
        <v>-</v>
      </c>
      <c r="E29877" t="str">
        <v>-</v>
      </c>
      <c r="F29877" t="str">
        <v>-</v>
      </c>
      <c r="G29877" t="str">
        <v>-</v>
      </c>
    </row>
    <row r="29878">
      <c r="B29878" t="str">
        <v>Công an tỉnh Lạng Sơn  tỉnh Lạng Sơn</v>
      </c>
      <c r="C29878" t="str">
        <v>-</v>
      </c>
      <c r="D29878" t="str">
        <v>-</v>
      </c>
      <c r="E29878" t="str">
        <v/>
      </c>
      <c r="F29878" t="str">
        <v>-</v>
      </c>
      <c r="G29878" t="str">
        <v>-</v>
      </c>
    </row>
    <row r="29879">
      <c r="B29879" t="str">
        <v>UBND Ủy ban nhân dân tỉnh Lạng Sơn  tỉnh Lạng Sơn</v>
      </c>
      <c r="C29879" t="str">
        <v>-</v>
      </c>
      <c r="D29879" t="str">
        <v>-</v>
      </c>
      <c r="E29879" t="str">
        <v>-</v>
      </c>
      <c r="F29879" t="str">
        <v>-</v>
      </c>
      <c r="G29879" t="str">
        <v>-</v>
      </c>
    </row>
    <row r="29880" xml:space="preserve">
      <c r="B29880" t="str" xml:space="preserve">
        <v xml:space="preserve">Công an thành phố Cần Thơ _x000d_
 thành phố Cần Thơ</v>
      </c>
      <c r="C29880" t="str">
        <v>-</v>
      </c>
      <c r="D29880" t="str">
        <v>-</v>
      </c>
      <c r="E29880" t="str">
        <v/>
      </c>
      <c r="F29880" t="str">
        <v>-</v>
      </c>
      <c r="G29880" t="str">
        <v>-</v>
      </c>
    </row>
    <row r="29881" xml:space="preserve">
      <c r="B29881" t="str" xml:space="preserve">
        <v xml:space="preserve">UBND Ủy ban nhân dân thành phố Cần Thơ _x000d_
 thành phố Cần Thơ</v>
      </c>
      <c r="C29881" t="str">
        <v>-</v>
      </c>
      <c r="D29881" t="str">
        <v>-</v>
      </c>
      <c r="E29881" t="str">
        <v>-</v>
      </c>
      <c r="F29881" t="str">
        <v>-</v>
      </c>
      <c r="G29881" t="str">
        <v>-</v>
      </c>
    </row>
    <row r="29882">
      <c r="B29882" t="str">
        <v>Công an tỉnh Bạc Liêu  tỉnh Bạc Liêu</v>
      </c>
      <c r="C29882" t="str">
        <v>-</v>
      </c>
      <c r="D29882" t="str">
        <v>-</v>
      </c>
      <c r="E29882" t="str">
        <v/>
      </c>
      <c r="F29882" t="str">
        <v>-</v>
      </c>
      <c r="G29882" t="str">
        <v>-</v>
      </c>
    </row>
    <row r="29883">
      <c r="B29883" t="str">
        <v>UBND Ủy ban nhân dân tỉnh Bạc Liêu  tỉnh Bạc Liêu</v>
      </c>
      <c r="C29883" t="str">
        <v>-</v>
      </c>
      <c r="D29883" t="str">
        <v>-</v>
      </c>
      <c r="E29883" t="str">
        <v>-</v>
      </c>
      <c r="F29883" t="str">
        <v>-</v>
      </c>
      <c r="G29883" t="str">
        <v>-</v>
      </c>
    </row>
    <row r="29884">
      <c r="B29884" t="str">
        <v xml:space="preserve"> Công an tỉnh Quảng Bình  tỉnh Quảng Bình</v>
      </c>
    </row>
    <row r="29885">
      <c r="B29885" t="str">
        <v>UBND Ủy ban nhân dânn tỉnh Quảng Bình  tỉnh Quảng Bình</v>
      </c>
      <c r="C29885" t="str">
        <v>-</v>
      </c>
      <c r="D29885" t="str">
        <v>-</v>
      </c>
      <c r="E29885" t="str">
        <v>-</v>
      </c>
      <c r="F29885" t="str">
        <v>-</v>
      </c>
      <c r="G29885" t="str">
        <v>-</v>
      </c>
    </row>
    <row r="29886" xml:space="preserve">
      <c r="B29886" t="str" xml:space="preserve">
        <v xml:space="preserve">Công an tỉnh Thái Bình _x000d_
 tỉnh Thái Bình</v>
      </c>
      <c r="C29886" t="str">
        <v>-</v>
      </c>
      <c r="D29886" t="str">
        <v>-</v>
      </c>
      <c r="E29886" t="str">
        <v/>
      </c>
      <c r="F29886" t="str">
        <v>-</v>
      </c>
      <c r="G29886" t="str">
        <v>-</v>
      </c>
    </row>
    <row r="29887" xml:space="preserve">
      <c r="B29887" t="str" xml:space="preserve">
        <v xml:space="preserve">UBND Ủy ban nhân dân tỉnh Thái Bình _x000d_
 tỉnh Thái Bình</v>
      </c>
      <c r="C29887" t="str">
        <v>-</v>
      </c>
      <c r="D29887" t="str">
        <v>-</v>
      </c>
      <c r="E29887" t="str">
        <v>-</v>
      </c>
      <c r="F29887" t="str">
        <v>-</v>
      </c>
      <c r="G29887" t="str">
        <v>-</v>
      </c>
    </row>
    <row r="29888" xml:space="preserve">
      <c r="B29888" t="str" xml:space="preserve">
        <v xml:space="preserve">Công an tỉnh Thái Nguyên _x000d_
 tỉnh Thái Nguyên</v>
      </c>
      <c r="C29888" t="str">
        <v>-</v>
      </c>
      <c r="D29888" t="str">
        <v>-</v>
      </c>
      <c r="E29888" t="str">
        <v/>
      </c>
      <c r="F29888" t="str">
        <v>-</v>
      </c>
      <c r="G29888" t="str">
        <v>-</v>
      </c>
    </row>
    <row r="29889" xml:space="preserve">
      <c r="B29889" t="str" xml:space="preserve">
        <v xml:space="preserve">UBND Ủy ban nhân dân tỉnh Thái Nguyên _x000d_
 tỉnh Thái Nguyên</v>
      </c>
      <c r="C29889" t="str">
        <v>-</v>
      </c>
      <c r="D29889" t="str">
        <v>-</v>
      </c>
      <c r="E29889" t="str">
        <v>-</v>
      </c>
      <c r="F29889" t="str">
        <v>-</v>
      </c>
      <c r="G29889" t="str">
        <v>-</v>
      </c>
    </row>
    <row r="29890" xml:space="preserve">
      <c r="B29890" t="str" xml:space="preserve">
        <v xml:space="preserve">Công an tỉnh Bắc Ninh _x000d_
 tỉnh Bắc Ninh</v>
      </c>
      <c r="C29890" t="str">
        <v>-</v>
      </c>
      <c r="D29890" t="str">
        <v>-</v>
      </c>
      <c r="E29890" t="str">
        <v/>
      </c>
      <c r="F29890" t="str">
        <v>-</v>
      </c>
      <c r="G29890" t="str">
        <v>-</v>
      </c>
    </row>
    <row r="29891" xml:space="preserve">
      <c r="B29891" t="str" xml:space="preserve">
        <v xml:space="preserve">UBND Ủy ban nhân dân tỉnh Bắc Ninh _x000d_
 tỉnh Bắc Ninh</v>
      </c>
      <c r="C29891" t="str">
        <v>-</v>
      </c>
      <c r="D29891" t="str">
        <v>-</v>
      </c>
      <c r="E29891" t="str">
        <v>-</v>
      </c>
      <c r="F29891" t="str">
        <v>-</v>
      </c>
      <c r="G29891" t="str">
        <v>-</v>
      </c>
    </row>
    <row r="29892" xml:space="preserve">
      <c r="B29892" t="str" xml:space="preserve">
        <v xml:space="preserve">Công an tỉnh Hà Tĩnh _x000d_
 tỉnh Hà Tĩnh</v>
      </c>
      <c r="C29892" t="str">
        <v>-</v>
      </c>
      <c r="D29892" t="str">
        <v>-</v>
      </c>
      <c r="E29892" t="str">
        <v/>
      </c>
      <c r="F29892" t="str">
        <v>-</v>
      </c>
      <c r="G29892" t="str">
        <v>-</v>
      </c>
    </row>
    <row r="29893" xml:space="preserve">
      <c r="B29893" t="str" xml:space="preserve">
        <v xml:space="preserve">UBND Ủy ban nhân dân tỉnh Hà Tĩnh _x000d_
 tỉnh Hà Tĩnh</v>
      </c>
      <c r="C29893" t="str">
        <v>-</v>
      </c>
      <c r="D29893" t="str">
        <v>-</v>
      </c>
      <c r="E29893" t="str">
        <v>-</v>
      </c>
      <c r="F29893" t="str">
        <v>-</v>
      </c>
      <c r="G29893" t="str">
        <v>-</v>
      </c>
    </row>
    <row r="29894" xml:space="preserve">
      <c r="B29894" t="str" xml:space="preserve">
        <v xml:space="preserve">Công an thành phố Sơn La _x000d_
 tỉnh Sơn La</v>
      </c>
      <c r="C29894" t="str">
        <v>-</v>
      </c>
      <c r="D29894" t="str">
        <v>-</v>
      </c>
      <c r="E29894" t="str">
        <v/>
      </c>
      <c r="F29894" t="str">
        <v>-</v>
      </c>
      <c r="G29894" t="str">
        <v>-</v>
      </c>
    </row>
    <row r="29895" xml:space="preserve">
      <c r="B29895" t="str" xml:space="preserve">
        <v xml:space="preserve">UBND Ủy ban nhân dân thành phố Sơn La _x000d_
 tỉnh Sơn La</v>
      </c>
      <c r="C29895" t="str">
        <v>-</v>
      </c>
      <c r="D29895" t="str">
        <v>-</v>
      </c>
      <c r="E29895" t="str">
        <v>-</v>
      </c>
      <c r="F29895" t="str">
        <v>-</v>
      </c>
      <c r="G29895" t="str">
        <v>-</v>
      </c>
    </row>
    <row r="29896" xml:space="preserve">
      <c r="B29896" t="str" xml:space="preserve">
        <v xml:space="preserve">Công an tỉnh Tây Ninh _x000d_
 tỉnh TÂY NINH</v>
      </c>
      <c r="C29896" t="str">
        <v>-</v>
      </c>
      <c r="D29896" t="str">
        <v>-</v>
      </c>
      <c r="E29896" t="str">
        <v/>
      </c>
      <c r="F29896" t="str">
        <v>-</v>
      </c>
      <c r="G29896" t="str">
        <v>-</v>
      </c>
    </row>
    <row r="29897" xml:space="preserve">
      <c r="B29897" t="str" xml:space="preserve">
        <v xml:space="preserve">UBND Ủy ban nhân dân tỉnh Tây Ninh _x000d_
 tỉnh TÂY NINH</v>
      </c>
      <c r="C29897" t="str">
        <v>-</v>
      </c>
      <c r="D29897" t="str">
        <v>-</v>
      </c>
      <c r="E29897" t="str">
        <v>-</v>
      </c>
      <c r="F29897" t="str">
        <v>-</v>
      </c>
      <c r="G29897" t="str">
        <v>-</v>
      </c>
    </row>
    <row r="29898">
      <c r="B29898" t="str">
        <v>Công an tỉnh Thừa Thiên Huế  tỉnh THỪA THIÊN HUẾ</v>
      </c>
      <c r="C29898" t="str">
        <v>-</v>
      </c>
      <c r="D29898" t="str">
        <v>-</v>
      </c>
      <c r="E29898" t="str">
        <v/>
      </c>
      <c r="F29898" t="str">
        <v>-</v>
      </c>
      <c r="G29898" t="str">
        <v>-</v>
      </c>
    </row>
    <row r="29899">
      <c r="B29899" t="str">
        <v>UBND Ủy ban nhân dân tỉnh Thừa Thiên Huế  tỉnh THỪA THIÊN HUẾ</v>
      </c>
      <c r="C29899" t="str">
        <v>-</v>
      </c>
      <c r="D29899" t="str">
        <v>-</v>
      </c>
      <c r="E29899" t="str">
        <v>-</v>
      </c>
      <c r="F29899" t="str">
        <v>-</v>
      </c>
      <c r="G29899" t="str">
        <v>-</v>
      </c>
    </row>
    <row r="29900" xml:space="preserve">
      <c r="B29900" t="str" xml:space="preserve">
        <v xml:space="preserve">Công an tỉnh Nghệ An _x000d_
 tỉnh Nghệ An</v>
      </c>
      <c r="C29900" t="str">
        <v>-</v>
      </c>
      <c r="D29900" t="str">
        <v>-</v>
      </c>
      <c r="E29900" t="str">
        <v/>
      </c>
      <c r="F29900" t="str">
        <v>-</v>
      </c>
      <c r="G29900" t="str">
        <v>-</v>
      </c>
    </row>
    <row r="29901" xml:space="preserve">
      <c r="B29901" t="str" xml:space="preserve">
        <v xml:space="preserve">UBND Ủy ban nhân dân tỉnh Nghệ An _x000d_
 tỉnh Nghệ An</v>
      </c>
      <c r="C29901" t="str">
        <v>-</v>
      </c>
      <c r="D29901" t="str">
        <v>-</v>
      </c>
      <c r="E29901" t="str">
        <v>-</v>
      </c>
      <c r="F29901" t="str">
        <v>-</v>
      </c>
      <c r="G29901" t="str">
        <v>-</v>
      </c>
    </row>
    <row r="29902" xml:space="preserve">
      <c r="B29902" t="str" xml:space="preserve">
        <v xml:space="preserve"> Công an tỉnh Bạc Liêu _x000d_
 tỉnh Bạc Liêu</v>
      </c>
    </row>
    <row r="29903" xml:space="preserve">
      <c r="B29903" t="str" xml:space="preserve">
        <v xml:space="preserve">UBND Ủy ban nhân dânn tỉnh Bạc Liêu _x000d_
 tỉnh Bạc Liêu</v>
      </c>
      <c r="C29903" t="str">
        <v>-</v>
      </c>
      <c r="D29903" t="str">
        <v>-</v>
      </c>
      <c r="E29903" t="str">
        <v>-</v>
      </c>
      <c r="F29903" t="str">
        <v>-</v>
      </c>
      <c r="G29903" t="str">
        <v>-</v>
      </c>
    </row>
    <row r="29904">
      <c r="B29904" t="str">
        <v>Công an tỉnh Khánh Hòa  tỉnh Khánh Hòa</v>
      </c>
      <c r="C29904" t="str">
        <v>-</v>
      </c>
      <c r="D29904" t="str">
        <v>-</v>
      </c>
      <c r="E29904" t="str">
        <v/>
      </c>
      <c r="F29904" t="str">
        <v>-</v>
      </c>
      <c r="G29904" t="str">
        <v>-</v>
      </c>
    </row>
    <row r="29905">
      <c r="B29905" t="str">
        <v>UBND Ủy ban nhân dân tỉnh Khánh Hòa  tỉnh Khánh Hòa</v>
      </c>
      <c r="C29905" t="str">
        <v>-</v>
      </c>
      <c r="D29905" t="str">
        <v>-</v>
      </c>
      <c r="E29905" t="str">
        <v>-</v>
      </c>
      <c r="F29905" t="str">
        <v>-</v>
      </c>
      <c r="G29905" t="str">
        <v>-</v>
      </c>
    </row>
    <row r="29906" xml:space="preserve">
      <c r="B29906" t="str" xml:space="preserve">
        <v xml:space="preserve"> Công an tỉnh Tây Ninh _x000d_
 tỉnh TÂY NINH</v>
      </c>
    </row>
    <row r="29907" xml:space="preserve">
      <c r="B29907" t="str" xml:space="preserve">
        <v xml:space="preserve">UBND Ủy ban nhân dânn tỉnh Tây Ninh _x000d_
 tỉnh TÂY NINH</v>
      </c>
      <c r="C29907" t="str">
        <v>-</v>
      </c>
      <c r="D29907" t="str">
        <v>-</v>
      </c>
      <c r="E29907" t="str">
        <v>-</v>
      </c>
      <c r="F29907" t="str">
        <v>-</v>
      </c>
      <c r="G29907" t="str">
        <v>-</v>
      </c>
    </row>
    <row r="29908">
      <c r="B29908" t="str">
        <v>Công an tỉnh Hà Tĩnh  tỉnh Hà Tĩnh</v>
      </c>
      <c r="C29908" t="str">
        <v>-</v>
      </c>
      <c r="D29908" t="str">
        <v>-</v>
      </c>
      <c r="E29908" t="str">
        <v/>
      </c>
      <c r="F29908" t="str">
        <v>-</v>
      </c>
      <c r="G29908" t="str">
        <v>-</v>
      </c>
    </row>
    <row r="29909">
      <c r="B29909" t="str">
        <v>UBND Ủy ban nhân dân tỉnh Hà Tĩnh  tỉnh Hà Tĩnh</v>
      </c>
      <c r="C29909" t="str">
        <v>-</v>
      </c>
      <c r="D29909" t="str">
        <v>-</v>
      </c>
      <c r="E29909" t="str">
        <v>-</v>
      </c>
      <c r="F29909" t="str">
        <v>-</v>
      </c>
      <c r="G29909" t="str">
        <v>-</v>
      </c>
    </row>
    <row r="29910" xml:space="preserve">
      <c r="B29910" t="str" xml:space="preserve">
        <v xml:space="preserve"> Công an tỉnh Bạc Liêu _x000d_
 tỉnh Bạc Liêu</v>
      </c>
    </row>
    <row r="29911" xml:space="preserve">
      <c r="B29911" t="str" xml:space="preserve">
        <v xml:space="preserve">UBND Ủy ban nhân dânn tỉnh Bạc Liêu _x000d_
 tỉnh Bạc Liêu</v>
      </c>
      <c r="C29911" t="str">
        <v>-</v>
      </c>
      <c r="D29911" t="str">
        <v>-</v>
      </c>
      <c r="E29911" t="str">
        <v>-</v>
      </c>
      <c r="F29911" t="str">
        <v>-</v>
      </c>
      <c r="G29911" t="str">
        <v>-</v>
      </c>
    </row>
    <row r="29912" xml:space="preserve">
      <c r="B29912" t="str" xml:space="preserve">
        <v xml:space="preserve">Công an tỉnh Quảng Trị _x000d_
 tỉnh Quảng Trị</v>
      </c>
      <c r="C29912" t="str">
        <v>-</v>
      </c>
      <c r="D29912" t="str">
        <v>-</v>
      </c>
      <c r="E29912" t="str">
        <v/>
      </c>
      <c r="F29912" t="str">
        <v>-</v>
      </c>
      <c r="G29912" t="str">
        <v>-</v>
      </c>
    </row>
    <row r="29913" xml:space="preserve">
      <c r="B29913" t="str" xml:space="preserve">
        <v xml:space="preserve">UBND Ủy ban nhân dân tỉnh Quảng Trị _x000d_
 tỉnh Quảng Trị</v>
      </c>
      <c r="C29913" t="str">
        <v>-</v>
      </c>
      <c r="D29913" t="str">
        <v>-</v>
      </c>
      <c r="E29913" t="str">
        <v>-</v>
      </c>
      <c r="F29913" t="str">
        <v>-</v>
      </c>
      <c r="G29913" t="str">
        <v>-</v>
      </c>
    </row>
    <row r="29914">
      <c r="B29914" t="str">
        <v xml:space="preserve"> Công an tỉnh Hòa Bình  tỉnh Hòa Bình</v>
      </c>
    </row>
    <row r="29915">
      <c r="B29915" t="str">
        <v>UBND Ủy ban nhân dânn tỉnh Hòa Bình  tỉnh Hòa Bình</v>
      </c>
      <c r="C29915" t="str">
        <v>-</v>
      </c>
      <c r="D29915" t="str">
        <v>-</v>
      </c>
      <c r="E29915" t="str">
        <v>-</v>
      </c>
      <c r="F29915" t="str">
        <v>-</v>
      </c>
      <c r="G29915" t="str">
        <v>-</v>
      </c>
    </row>
    <row r="29916" xml:space="preserve">
      <c r="B29916" t="str" xml:space="preserve">
        <v xml:space="preserve"> Công an tỉnh Vĩnh Phúc _x000d_
 tỉnh Vĩnh Phúc</v>
      </c>
    </row>
    <row r="29917" xml:space="preserve">
      <c r="B29917" t="str" xml:space="preserve">
        <v xml:space="preserve">UBND Ủy ban nhân dânn tỉnh Vĩnh Phúc _x000d_
 tỉnh Vĩnh Phúc</v>
      </c>
      <c r="C29917" t="str">
        <v>-</v>
      </c>
      <c r="D29917" t="str">
        <v>-</v>
      </c>
      <c r="E29917" t="str">
        <v>-</v>
      </c>
      <c r="F29917" t="str">
        <v>-</v>
      </c>
      <c r="G29917" t="str">
        <v>-</v>
      </c>
    </row>
    <row r="29918">
      <c r="B29918" t="str">
        <v xml:space="preserve"> Công an tỉnh Yên Bái  tỉnh Yên Bái</v>
      </c>
    </row>
    <row r="29919">
      <c r="B29919" t="str">
        <v>UBND Ủy ban nhân dânn tỉnh Yên Bái  tỉnh Yên Bái</v>
      </c>
      <c r="C29919" t="str">
        <v>-</v>
      </c>
      <c r="D29919" t="str">
        <v>-</v>
      </c>
      <c r="E29919" t="str">
        <v>-</v>
      </c>
      <c r="F29919" t="str">
        <v>-</v>
      </c>
      <c r="G29919" t="str">
        <v>-</v>
      </c>
    </row>
    <row r="29920" xml:space="preserve">
      <c r="B29920" t="str" xml:space="preserve">
        <v xml:space="preserve">Công an tỉnh Hà Tĩnh _x000d_
 tỉnh Hà Tĩnh</v>
      </c>
      <c r="C29920" t="str">
        <v>-</v>
      </c>
      <c r="D29920" t="str">
        <v>-</v>
      </c>
      <c r="E29920" t="str">
        <v/>
      </c>
      <c r="F29920" t="str">
        <v>-</v>
      </c>
      <c r="G29920" t="str">
        <v>-</v>
      </c>
    </row>
    <row r="29921" xml:space="preserve">
      <c r="B29921" t="str" xml:space="preserve">
        <v xml:space="preserve">UBND Ủy ban nhân dân tỉnh Hà Tĩnh _x000d_
 tỉnh Hà Tĩnh</v>
      </c>
      <c r="C29921" t="str">
        <v>-</v>
      </c>
      <c r="D29921" t="str">
        <v>-</v>
      </c>
      <c r="E29921" t="str">
        <v>-</v>
      </c>
      <c r="F29921" t="str">
        <v>-</v>
      </c>
      <c r="G29921" t="str">
        <v>-</v>
      </c>
    </row>
    <row r="29922" xml:space="preserve">
      <c r="B29922" t="str" xml:space="preserve">
        <v xml:space="preserve">Công an huyện Hương Sơn _x000d_
 tỉnh Hà Tĩnh</v>
      </c>
      <c r="C29922" t="str">
        <v>-</v>
      </c>
      <c r="D29922" t="str">
        <v>-</v>
      </c>
      <c r="E29922" t="str">
        <v/>
      </c>
      <c r="F29922" t="str">
        <v>-</v>
      </c>
      <c r="G29922" t="str">
        <v>-</v>
      </c>
    </row>
    <row r="29923" xml:space="preserve">
      <c r="B29923" t="str" xml:space="preserve">
        <v xml:space="preserve">UBND Ủy ban nhân dân huyện Hương Sơn _x000d_
 tỉnh Hà Tĩnh</v>
      </c>
      <c r="C29923" t="str">
        <v>-</v>
      </c>
      <c r="D29923" t="str">
        <v>-</v>
      </c>
      <c r="E29923" t="str">
        <v>-</v>
      </c>
      <c r="F29923" t="str">
        <v>-</v>
      </c>
      <c r="G29923" t="str">
        <v>-</v>
      </c>
    </row>
    <row r="29924">
      <c r="B29924" t="str">
        <v>Công an huyện Đak Đoa  tỉnh Gia Lai</v>
      </c>
      <c r="C29924" t="str">
        <v>-</v>
      </c>
      <c r="D29924" t="str">
        <v>-</v>
      </c>
      <c r="E29924" t="str">
        <v/>
      </c>
      <c r="F29924" t="str">
        <v>-</v>
      </c>
      <c r="G29924" t="str">
        <v>-</v>
      </c>
    </row>
    <row r="29925">
      <c r="B29925" t="str">
        <v>UBND Ủy ban nhân dân huyện Đak Đoa  tỉnh Gia Lai</v>
      </c>
      <c r="C29925" t="str">
        <v>-</v>
      </c>
      <c r="D29925" t="str">
        <v>-</v>
      </c>
      <c r="E29925" t="str">
        <v>-</v>
      </c>
      <c r="F29925" t="str">
        <v>-</v>
      </c>
      <c r="G29925" t="str">
        <v>-</v>
      </c>
    </row>
    <row r="29926" xml:space="preserve">
      <c r="B29926" t="str" xml:space="preserve">
        <v xml:space="preserve">Công an thành phố Hà Nội _x000d_
 thành phố Hà Nội</v>
      </c>
      <c r="C29926" t="str">
        <v>-</v>
      </c>
      <c r="D29926" t="str">
        <v>-</v>
      </c>
      <c r="E29926" t="str">
        <v/>
      </c>
      <c r="F29926" t="str">
        <v>-</v>
      </c>
      <c r="G29926" t="str">
        <v>-</v>
      </c>
    </row>
    <row r="29927" xml:space="preserve">
      <c r="B29927" t="str" xml:space="preserve">
        <v xml:space="preserve">UBND Ủy ban nhân dân thành phố Hà Nội _x000d_
 thành phố Hà Nội</v>
      </c>
      <c r="C29927" t="str">
        <v>-</v>
      </c>
      <c r="D29927" t="str">
        <v>-</v>
      </c>
      <c r="E29927" t="str">
        <v>-</v>
      </c>
      <c r="F29927" t="str">
        <v>-</v>
      </c>
      <c r="G29927" t="str">
        <v>-</v>
      </c>
    </row>
    <row r="29928" xml:space="preserve">
      <c r="B29928" t="str" xml:space="preserve">
        <v xml:space="preserve">Công an thành phố Hà Nội _x000d_
 thành phố Hà Nội</v>
      </c>
      <c r="C29928" t="str">
        <v>-</v>
      </c>
      <c r="D29928" t="str">
        <v>-</v>
      </c>
      <c r="E29928" t="str">
        <v/>
      </c>
      <c r="F29928" t="str">
        <v>-</v>
      </c>
      <c r="G29928" t="str">
        <v>-</v>
      </c>
    </row>
    <row r="29929" xml:space="preserve">
      <c r="B29929" t="str" xml:space="preserve">
        <v xml:space="preserve">UBND Ủy ban nhân dân thành phố Hà Nội _x000d_
 thành phố Hà Nội</v>
      </c>
      <c r="C29929" t="str">
        <v>-</v>
      </c>
      <c r="D29929" t="str">
        <v>-</v>
      </c>
      <c r="E29929" t="str">
        <v>-</v>
      </c>
      <c r="F29929" t="str">
        <v>-</v>
      </c>
      <c r="G29929" t="str">
        <v>-</v>
      </c>
    </row>
    <row r="29930" xml:space="preserve">
      <c r="B29930" t="str" xml:space="preserve">
        <v xml:space="preserve">Công an tỉnh Quảng Ninh _x000d_
 tỉnh Quảng Ninh</v>
      </c>
      <c r="C29930" t="str">
        <v>-</v>
      </c>
      <c r="D29930" t="str">
        <v>-</v>
      </c>
      <c r="E29930" t="str">
        <v/>
      </c>
      <c r="F29930" t="str">
        <v>-</v>
      </c>
      <c r="G29930" t="str">
        <v>-</v>
      </c>
    </row>
    <row r="29931" xml:space="preserve">
      <c r="B29931" t="str" xml:space="preserve">
        <v xml:space="preserve">UBND Ủy ban nhân dân tỉnh Quảng Ninh _x000d_
 tỉnh Quảng Ninh</v>
      </c>
      <c r="C29931" t="str">
        <v>-</v>
      </c>
      <c r="D29931" t="str">
        <v>-</v>
      </c>
      <c r="E29931" t="str">
        <v>-</v>
      </c>
      <c r="F29931" t="str">
        <v>-</v>
      </c>
      <c r="G29931" t="str">
        <v>-</v>
      </c>
    </row>
    <row r="29932">
      <c r="B29932" t="str">
        <v xml:space="preserve"> Công an tỉnh Hòa Bình  tỉnh Hòa Bình</v>
      </c>
    </row>
    <row r="29933">
      <c r="B29933" t="str">
        <v>UBND Ủy ban nhân dânn tỉnh Hòa Bình  tỉnh Hòa Bình</v>
      </c>
      <c r="C29933" t="str">
        <v>-</v>
      </c>
      <c r="D29933" t="str">
        <v>-</v>
      </c>
      <c r="E29933" t="str">
        <v>-</v>
      </c>
      <c r="F29933" t="str">
        <v>-</v>
      </c>
      <c r="G29933" t="str">
        <v>-</v>
      </c>
    </row>
    <row r="29934" xml:space="preserve">
      <c r="B29934" t="str" xml:space="preserve">
        <v xml:space="preserve"> Công an tỉnh Bạc Liêu _x000d_
 tỉnh Bạc Liêu</v>
      </c>
    </row>
    <row r="29935" xml:space="preserve">
      <c r="B29935" t="str" xml:space="preserve">
        <v xml:space="preserve">UBND Ủy ban nhân dânn tỉnh Bạc Liêu _x000d_
 tỉnh Bạc Liêu</v>
      </c>
      <c r="C29935" t="str">
        <v>-</v>
      </c>
      <c r="D29935" t="str">
        <v>-</v>
      </c>
      <c r="E29935" t="str">
        <v>-</v>
      </c>
      <c r="F29935" t="str">
        <v>-</v>
      </c>
      <c r="G29935" t="str">
        <v>-</v>
      </c>
    </row>
    <row r="29936">
      <c r="B29936" t="str">
        <v xml:space="preserve"> Công an tỉnh Kiên Giang  tỉnh Kiên Giang</v>
      </c>
    </row>
    <row r="29937">
      <c r="B29937" t="str">
        <v>UBND Ủy ban nhân dânn tỉnh Kiên Giang  tỉnh Kiên Giang</v>
      </c>
      <c r="C29937" t="str">
        <v>-</v>
      </c>
      <c r="D29937" t="str">
        <v>-</v>
      </c>
      <c r="E29937" t="str">
        <v>-</v>
      </c>
      <c r="F29937" t="str">
        <v>-</v>
      </c>
      <c r="G29937" t="str">
        <v>-</v>
      </c>
    </row>
    <row r="29938">
      <c r="B29938" t="str">
        <v xml:space="preserve"> Công an tỉnh Cao Bằng  tỉnh Cao Bằng</v>
      </c>
    </row>
    <row r="29939">
      <c r="B29939" t="str">
        <v>UBND Ủy ban nhân dânn tỉnh Cao Bằng  tỉnh Cao Bằng</v>
      </c>
      <c r="C29939" t="str">
        <v>-</v>
      </c>
      <c r="D29939" t="str">
        <v>-</v>
      </c>
      <c r="E29939" t="str">
        <v>-</v>
      </c>
      <c r="F29939" t="str">
        <v>-</v>
      </c>
      <c r="G29939" t="str">
        <v>-</v>
      </c>
    </row>
    <row r="29940" xml:space="preserve">
      <c r="B29940" t="str" xml:space="preserve">
        <v xml:space="preserve">Cong an tỉnh Vĩnh Long _x000d_
 tỉnh Vĩnh Long</v>
      </c>
    </row>
    <row r="29941" xml:space="preserve">
      <c r="B29941" t="str" xml:space="preserve">
        <v xml:space="preserve">UBND Ủy ban nhân dân tỉnh Vĩnh Long _x000d_
 tỉnh Vĩnh Long</v>
      </c>
      <c r="C29941" t="str">
        <v>-</v>
      </c>
      <c r="D29941" t="str">
        <v>-</v>
      </c>
      <c r="E29941" t="str">
        <v>-</v>
      </c>
      <c r="F29941" t="str">
        <v>-</v>
      </c>
      <c r="G29941" t="str">
        <v>-</v>
      </c>
    </row>
    <row r="29942" xml:space="preserve">
      <c r="B29942" t="str" xml:space="preserve">
        <v xml:space="preserve">Cong an tinh Bình Định _x000d_
 tỉnh Bình Định</v>
      </c>
    </row>
    <row r="29943" xml:space="preserve">
      <c r="B29943" t="str" xml:space="preserve">
        <v xml:space="preserve">UBND Ủy ban nhân dân tinh Bình Định _x000d_
 tỉnh Bình Định</v>
      </c>
      <c r="C29943" t="str">
        <v>-</v>
      </c>
      <c r="D29943" t="str">
        <v>-</v>
      </c>
      <c r="E29943" t="str">
        <v>-</v>
      </c>
      <c r="F29943" t="str">
        <v>-</v>
      </c>
      <c r="G29943" t="str">
        <v>-</v>
      </c>
    </row>
    <row r="29944">
      <c r="B29944" t="str">
        <v xml:space="preserve"> Công an tỉnh Gia Lai  tỉnh Gia Lai</v>
      </c>
    </row>
    <row r="29945">
      <c r="B29945" t="str">
        <v>UBND Ủy ban nhân dânn tỉnh Gia Lai  tỉnh Gia Lai</v>
      </c>
      <c r="C29945" t="str">
        <v>-</v>
      </c>
      <c r="D29945" t="str">
        <v>-</v>
      </c>
      <c r="E29945" t="str">
        <v>-</v>
      </c>
      <c r="F29945" t="str">
        <v>-</v>
      </c>
      <c r="G29945" t="str">
        <v>-</v>
      </c>
    </row>
    <row r="29946" xml:space="preserve">
      <c r="B29946" t="str" xml:space="preserve">
        <v xml:space="preserve"> Công an tỉnh Hà Giang _x000d_
 tỉnh Hà Giang</v>
      </c>
    </row>
    <row r="29947" xml:space="preserve">
      <c r="B29947" t="str" xml:space="preserve">
        <v xml:space="preserve">UBND Ủy ban nhân dânn tỉnh Hà Giang _x000d_
 tỉnh Hà Giang</v>
      </c>
      <c r="C29947" t="str">
        <v>-</v>
      </c>
      <c r="D29947" t="str">
        <v>-</v>
      </c>
      <c r="E29947" t="str">
        <v>-</v>
      </c>
      <c r="F29947" t="str">
        <v>-</v>
      </c>
      <c r="G29947" t="str">
        <v>-</v>
      </c>
    </row>
    <row r="29948">
      <c r="B29948" t="str">
        <v xml:space="preserve"> Công an tỉnh Hưng Yên  tỉnh Hưng Yên</v>
      </c>
    </row>
    <row r="29949">
      <c r="B29949" t="str">
        <v>UBND Ủy ban nhân dânn tỉnh Hưng Yên  tỉnh Hưng Yên</v>
      </c>
      <c r="C29949" t="str">
        <v>-</v>
      </c>
      <c r="D29949" t="str">
        <v>-</v>
      </c>
      <c r="E29949" t="str">
        <v>-</v>
      </c>
      <c r="F29949" t="str">
        <v>-</v>
      </c>
      <c r="G29949" t="str">
        <v>-</v>
      </c>
    </row>
    <row r="29950">
      <c r="B29950" t="str">
        <v>Công an tỉnh Lạng Sơn  tỉnh Lạng Sơn</v>
      </c>
      <c r="C29950" t="str">
        <v>-</v>
      </c>
      <c r="D29950" t="str">
        <v>-</v>
      </c>
      <c r="E29950" t="str">
        <v/>
      </c>
      <c r="F29950" t="str">
        <v>-</v>
      </c>
      <c r="G29950" t="str">
        <v>-</v>
      </c>
    </row>
    <row r="29951">
      <c r="B29951" t="str">
        <v>UBND Ủy ban nhân dân tỉnh Lạng Sơn  tỉnh Lạng Sơn</v>
      </c>
      <c r="C29951" t="str">
        <v>-</v>
      </c>
      <c r="D29951" t="str">
        <v>-</v>
      </c>
      <c r="E29951" t="str">
        <v>-</v>
      </c>
      <c r="F29951" t="str">
        <v>-</v>
      </c>
      <c r="G29951" t="str">
        <v>-</v>
      </c>
    </row>
    <row r="29952" xml:space="preserve">
      <c r="B29952" t="str" xml:space="preserve">
        <v xml:space="preserve"> Công an tỉnh Quảng Bình _x000d_
 tỉnh Quảng Bình</v>
      </c>
    </row>
    <row r="29953" xml:space="preserve">
      <c r="B29953" t="str" xml:space="preserve">
        <v xml:space="preserve">UBND Ủy ban nhân dânn tỉnh Quảng Bình _x000d_
 tỉnh Quảng Bình</v>
      </c>
      <c r="C29953" t="str">
        <v>-</v>
      </c>
      <c r="D29953" t="str">
        <v>-</v>
      </c>
      <c r="E29953" t="str">
        <v>-</v>
      </c>
      <c r="F29953" t="str">
        <v>-</v>
      </c>
      <c r="G29953" t="str">
        <v>-</v>
      </c>
    </row>
    <row r="29954">
      <c r="B29954" t="str">
        <v>Công an tỉnh Tây Ninh  tỉnh TÂY NINH</v>
      </c>
      <c r="C29954" t="str">
        <v>-</v>
      </c>
      <c r="D29954" t="str">
        <v>-</v>
      </c>
      <c r="E29954" t="str">
        <v/>
      </c>
      <c r="F29954" t="str">
        <v>-</v>
      </c>
      <c r="G29954" t="str">
        <v>-</v>
      </c>
    </row>
    <row r="29955">
      <c r="B29955" t="str">
        <v>UBND Ủy ban nhân dân tỉnh Tây Ninh  tỉnh TÂY NINH</v>
      </c>
      <c r="C29955" t="str">
        <v>-</v>
      </c>
      <c r="D29955" t="str">
        <v>-</v>
      </c>
      <c r="E29955" t="str">
        <v>-</v>
      </c>
      <c r="F29955" t="str">
        <v>-</v>
      </c>
      <c r="G29955" t="str">
        <v>-</v>
      </c>
    </row>
    <row r="29956" xml:space="preserve">
      <c r="B29956" t="str" xml:space="preserve">
        <v xml:space="preserve">Công an thành phố Hồ Chí Minh_x000d_
 thành phố Hồ Chí Minh</v>
      </c>
      <c r="C29956" t="str">
        <v>-</v>
      </c>
      <c r="D29956" t="str">
        <v>-</v>
      </c>
      <c r="E29956" t="str">
        <v/>
      </c>
      <c r="F29956" t="str">
        <v>-</v>
      </c>
      <c r="G29956" t="str">
        <v>-</v>
      </c>
    </row>
    <row r="29957" xml:space="preserve">
      <c r="B29957" t="str" xml:space="preserve">
        <v xml:space="preserve">UBND Ủy ban nhân dân thành phố Hồ Chí Minh_x000d_
 thành phố Hồ Chí Minh</v>
      </c>
      <c r="C29957" t="str">
        <v>-</v>
      </c>
      <c r="D29957" t="str">
        <v>-</v>
      </c>
      <c r="E29957" t="str">
        <v>-</v>
      </c>
      <c r="F29957" t="str">
        <v>-</v>
      </c>
      <c r="G29957" t="str">
        <v>-</v>
      </c>
    </row>
    <row r="29958" xml:space="preserve">
      <c r="B29958" t="str" xml:space="preserve">
        <v xml:space="preserve">Công an tinh Hải Dương _x000d_
 tỉnh Hải Dương</v>
      </c>
      <c r="C29958" t="str">
        <v>-</v>
      </c>
      <c r="D29958" t="str">
        <v>-</v>
      </c>
      <c r="E29958" t="str">
        <v/>
      </c>
      <c r="F29958" t="str">
        <v>-</v>
      </c>
      <c r="G29958" t="str">
        <v>-</v>
      </c>
    </row>
    <row r="29959" xml:space="preserve">
      <c r="B29959" t="str" xml:space="preserve">
        <v xml:space="preserve">UBND Ủy ban nhân dân tinh Hải Dương _x000d_
 tỉnh Hải Dương</v>
      </c>
      <c r="C29959" t="str">
        <v>-</v>
      </c>
      <c r="D29959" t="str">
        <v>-</v>
      </c>
      <c r="E29959" t="str">
        <v>-</v>
      </c>
      <c r="F29959" t="str">
        <v>-</v>
      </c>
      <c r="G29959" t="str">
        <v>-</v>
      </c>
    </row>
    <row r="29960" xml:space="preserve">
      <c r="B29960" t="str" xml:space="preserve">
        <v xml:space="preserve">Công an huyện Anh Sơn _x000d_
 tỉnh Nghệ An</v>
      </c>
      <c r="C29960" t="str">
        <v>-</v>
      </c>
      <c r="D29960" t="str">
        <v>-</v>
      </c>
      <c r="E29960" t="str">
        <v/>
      </c>
      <c r="F29960" t="str">
        <v>-</v>
      </c>
      <c r="G29960" t="str">
        <v>-</v>
      </c>
    </row>
    <row r="29961" xml:space="preserve">
      <c r="B29961" t="str" xml:space="preserve">
        <v xml:space="preserve">UBND Ủy ban nhân dân huyện Anh Sơn _x000d_
 tỉnh Nghệ An</v>
      </c>
      <c r="C29961" t="str">
        <v>-</v>
      </c>
      <c r="D29961" t="str">
        <v>-</v>
      </c>
      <c r="E29961" t="str">
        <v>-</v>
      </c>
      <c r="F29961" t="str">
        <v>-</v>
      </c>
      <c r="G29961" t="str">
        <v>-</v>
      </c>
    </row>
    <row r="29962" xml:space="preserve">
      <c r="B29962" t="str" xml:space="preserve">
        <v xml:space="preserve">Công an huyện Minh Hóa _x000d_
 tỉnh Kon Tum</v>
      </c>
      <c r="C29962" t="str">
        <v>-</v>
      </c>
      <c r="D29962" t="str">
        <v>-</v>
      </c>
      <c r="E29962" t="str">
        <v/>
      </c>
      <c r="F29962" t="str">
        <v>-</v>
      </c>
      <c r="G29962" t="str">
        <v>-</v>
      </c>
    </row>
    <row r="29963" xml:space="preserve">
      <c r="B29963" t="str" xml:space="preserve">
        <v xml:space="preserve">UBND Ủy ban nhân dân huyện Minh Hóa _x000d_
 tỉnh Kon Tum</v>
      </c>
      <c r="C29963" t="str">
        <v>-</v>
      </c>
      <c r="D29963" t="str">
        <v>-</v>
      </c>
      <c r="E29963" t="str">
        <v>-</v>
      </c>
      <c r="F29963" t="str">
        <v>-</v>
      </c>
      <c r="G29963" t="str">
        <v>-</v>
      </c>
    </row>
    <row r="29964" xml:space="preserve">
      <c r="B29964" t="str" xml:space="preserve">
        <v xml:space="preserve">Công an thành phố Đà Nẵng _x000d_
 thành phố Đà Nẵng</v>
      </c>
      <c r="C29964" t="str">
        <v>-</v>
      </c>
      <c r="D29964" t="str">
        <v>-</v>
      </c>
      <c r="E29964" t="str">
        <v/>
      </c>
      <c r="F29964" t="str">
        <v>-</v>
      </c>
      <c r="G29964" t="str">
        <v>-</v>
      </c>
    </row>
    <row r="29965" xml:space="preserve">
      <c r="B29965" t="str" xml:space="preserve">
        <v xml:space="preserve">UBND Ủy ban nhân dân thành phố Đà Nẵng _x000d_
 thành phố Đà Nẵng</v>
      </c>
      <c r="C29965" t="str">
        <v>-</v>
      </c>
      <c r="D29965" t="str">
        <v>-</v>
      </c>
      <c r="E29965" t="str">
        <v>-</v>
      </c>
      <c r="F29965" t="str">
        <v>-</v>
      </c>
      <c r="G29965" t="str">
        <v>-</v>
      </c>
    </row>
    <row r="29966">
      <c r="B29966" t="str">
        <v>Công an thị xã Nghi Sơn tỉnh Thanh Hóa</v>
      </c>
      <c r="C29966" t="str">
        <v>-</v>
      </c>
      <c r="D29966" t="str">
        <v>-</v>
      </c>
      <c r="E29966" t="str">
        <v/>
      </c>
      <c r="F29966" t="str">
        <v>-</v>
      </c>
      <c r="G29966" t="str">
        <v>-</v>
      </c>
    </row>
    <row r="29967">
      <c r="B29967" t="str">
        <v>UBND Ủy ban nhân dân thị xã Nghi Sơn tỉnh Thanh Hóa</v>
      </c>
      <c r="C29967" t="str">
        <v>-</v>
      </c>
      <c r="D29967" t="str">
        <v>-</v>
      </c>
      <c r="E29967" t="str">
        <v>-</v>
      </c>
      <c r="F29967" t="str">
        <v>-</v>
      </c>
      <c r="G29967" t="str">
        <v>-</v>
      </c>
    </row>
    <row r="29968" xml:space="preserve">
      <c r="B29968" t="str" xml:space="preserve">
        <v xml:space="preserve"> Công an tỉnh Vĩnh Long _x000d_
 tỉnh Vĩnh Long</v>
      </c>
    </row>
    <row r="29969" xml:space="preserve">
      <c r="B29969" t="str" xml:space="preserve">
        <v xml:space="preserve">UBND Ủy ban nhân dânn tỉnh Vĩnh Long _x000d_
 tỉnh Vĩnh Long</v>
      </c>
      <c r="C29969" t="str">
        <v>-</v>
      </c>
      <c r="D29969" t="str">
        <v>-</v>
      </c>
      <c r="E29969" t="str">
        <v>-</v>
      </c>
      <c r="F29969" t="str">
        <v>-</v>
      </c>
      <c r="G29969" t="str">
        <v>-</v>
      </c>
    </row>
    <row r="29970" xml:space="preserve">
      <c r="B29970" t="str" xml:space="preserve">
        <v xml:space="preserve">Công an thành phố Lào Cai _x000d_
 tỉnh Lào Cai</v>
      </c>
      <c r="C29970" t="str">
        <v>-</v>
      </c>
      <c r="D29970" t="str">
        <v>-</v>
      </c>
      <c r="E29970" t="str">
        <v/>
      </c>
      <c r="F29970" t="str">
        <v>-</v>
      </c>
      <c r="G29970" t="str">
        <v>-</v>
      </c>
    </row>
    <row r="29971" xml:space="preserve">
      <c r="B29971" t="str" xml:space="preserve">
        <v xml:space="preserve">UBND Ủy ban nhân dân thành phố Lào Cai _x000d_
 tỉnh Lào Cai</v>
      </c>
      <c r="C29971" t="str">
        <v>-</v>
      </c>
      <c r="D29971" t="str">
        <v>-</v>
      </c>
      <c r="E29971" t="str">
        <v>-</v>
      </c>
      <c r="F29971" t="str">
        <v>-</v>
      </c>
      <c r="G29971" t="str">
        <v>-</v>
      </c>
    </row>
    <row r="29972" xml:space="preserve">
      <c r="B29972" t="str" xml:space="preserve">
        <v xml:space="preserve">Công an xã yên thắng _x000d_
 tỉnh Thanh Hóa</v>
      </c>
      <c r="C29972" t="str">
        <v>-</v>
      </c>
      <c r="D29972" t="str">
        <v>-</v>
      </c>
      <c r="E29972" t="str">
        <v/>
      </c>
      <c r="F29972" t="str">
        <v>-</v>
      </c>
      <c r="G29972" t="str">
        <v>-</v>
      </c>
    </row>
    <row r="29973" xml:space="preserve">
      <c r="B29973" t="str" xml:space="preserve">
        <v xml:space="preserve">UBND Ủy ban nhân dân xã yên thắng _x000d_
 tỉnh Thanh Hóa</v>
      </c>
      <c r="C29973" t="str">
        <v>-</v>
      </c>
      <c r="D29973" t="str">
        <v>-</v>
      </c>
      <c r="E29973" t="str">
        <v>-</v>
      </c>
      <c r="F29973" t="str">
        <v>-</v>
      </c>
      <c r="G29973" t="str">
        <v>-</v>
      </c>
    </row>
    <row r="29974">
      <c r="B29974" t="str">
        <v>Công an xã Hưng Thạnh tỉnh TIỀN GIANG</v>
      </c>
      <c r="C29974" t="str">
        <v>-</v>
      </c>
      <c r="D29974" t="str">
        <v>-</v>
      </c>
      <c r="E29974" t="str">
        <v/>
      </c>
      <c r="F29974" t="str">
        <v>-</v>
      </c>
      <c r="G29974" t="str">
        <v>-</v>
      </c>
    </row>
    <row r="29975">
      <c r="B29975" t="str">
        <v>UBND Ủy ban nhân dân xã Hưng Thạnh tỉnh TIỀN GIANG</v>
      </c>
      <c r="C29975" t="str">
        <v>-</v>
      </c>
      <c r="D29975" t="str">
        <v>-</v>
      </c>
      <c r="E29975" t="str">
        <v>-</v>
      </c>
      <c r="F29975" t="str">
        <v>-</v>
      </c>
      <c r="G29975" t="str">
        <v>-</v>
      </c>
    </row>
    <row r="29976">
      <c r="B29976" t="str">
        <v>Công an xã Hưng Thạnh tỉnh TIỀN GIANG</v>
      </c>
      <c r="C29976" t="str">
        <v>-</v>
      </c>
      <c r="D29976" t="str">
        <v>-</v>
      </c>
      <c r="E29976" t="str">
        <v/>
      </c>
      <c r="F29976" t="str">
        <v>-</v>
      </c>
      <c r="G29976" t="str">
        <v>-</v>
      </c>
    </row>
    <row r="29977">
      <c r="B29977" t="str">
        <v>UBND Ủy ban nhân dân xã Hưng Thạnh tỉnh TIỀN GIANG</v>
      </c>
      <c r="C29977" t="str">
        <v>-</v>
      </c>
      <c r="D29977" t="str">
        <v>-</v>
      </c>
      <c r="E29977" t="str">
        <v>-</v>
      </c>
      <c r="F29977" t="str">
        <v>-</v>
      </c>
      <c r="G29977" t="str">
        <v>-</v>
      </c>
    </row>
    <row r="29978" xml:space="preserve">
      <c r="B29978" t="str" xml:space="preserve">
        <v xml:space="preserve">Công an phường Phạm Thái _x000d_
 tỉnh Hải Dương</v>
      </c>
      <c r="C29978" t="str">
        <v>-</v>
      </c>
      <c r="D29978" t="str">
        <v>-</v>
      </c>
      <c r="E29978" t="str">
        <v/>
      </c>
      <c r="F29978" t="str">
        <v>-</v>
      </c>
      <c r="G29978" t="str">
        <v>-</v>
      </c>
    </row>
    <row r="29979" xml:space="preserve">
      <c r="B29979" t="str" xml:space="preserve">
        <v xml:space="preserve">UBND Ủy ban nhân dân phường Phạm Thái _x000d_
 tỉnh Hải Dương</v>
      </c>
      <c r="C29979" t="str">
        <v>-</v>
      </c>
      <c r="D29979" t="str">
        <v>-</v>
      </c>
      <c r="E29979" t="str">
        <v>-</v>
      </c>
      <c r="F29979" t="str">
        <v>-</v>
      </c>
      <c r="G29979" t="str">
        <v>-</v>
      </c>
    </row>
    <row r="29980">
      <c r="B29980" t="str">
        <v>Công an xã Thạnh Lộc thành phố Cần Thơ</v>
      </c>
      <c r="C29980" t="str">
        <v>-</v>
      </c>
      <c r="D29980" t="str">
        <v>-</v>
      </c>
      <c r="E29980" t="str">
        <v/>
      </c>
      <c r="F29980" t="str">
        <v>-</v>
      </c>
      <c r="G29980" t="str">
        <v>-</v>
      </c>
    </row>
    <row r="29981">
      <c r="B29981" t="str">
        <v>UBND Ủy ban nhân dân xã Thạnh Lộc thành phố Cần Thơ</v>
      </c>
      <c r="C29981" t="str">
        <v>-</v>
      </c>
      <c r="D29981" t="str">
        <v>-</v>
      </c>
      <c r="E29981" t="str">
        <v>-</v>
      </c>
      <c r="F29981" t="str">
        <v>-</v>
      </c>
      <c r="G29981" t="str">
        <v>-</v>
      </c>
    </row>
    <row r="29982">
      <c r="B29982" t="str">
        <v>Công an tỉnh Yên Bái  tỉnh Yên Bái</v>
      </c>
      <c r="C29982" t="str">
        <v>-</v>
      </c>
      <c r="D29982" t="str">
        <v>-</v>
      </c>
      <c r="E29982" t="str">
        <v/>
      </c>
      <c r="F29982" t="str">
        <v>-</v>
      </c>
      <c r="G29982" t="str">
        <v>-</v>
      </c>
    </row>
    <row r="29983">
      <c r="B29983" t="str">
        <v>UBND Ủy ban nhân dân tỉnh Yên Bái  tỉnh Yên Bái</v>
      </c>
      <c r="C29983" t="str">
        <v>-</v>
      </c>
      <c r="D29983" t="str">
        <v>-</v>
      </c>
      <c r="E29983" t="str">
        <v>-</v>
      </c>
      <c r="F29983" t="str">
        <v>-</v>
      </c>
      <c r="G29983" t="str">
        <v>-</v>
      </c>
    </row>
    <row r="29984" xml:space="preserve">
      <c r="B29984" t="str" xml:space="preserve">
        <v xml:space="preserve">Công an tỉnh Bình Thuận _x000d_
 tỉnh Bình Thuận</v>
      </c>
      <c r="C29984" t="str">
        <v>-</v>
      </c>
      <c r="D29984" t="str">
        <v>-</v>
      </c>
      <c r="E29984" t="str">
        <v/>
      </c>
      <c r="F29984" t="str">
        <v>-</v>
      </c>
      <c r="G29984" t="str">
        <v>-</v>
      </c>
    </row>
    <row r="29985" xml:space="preserve">
      <c r="B29985" t="str" xml:space="preserve">
        <v xml:space="preserve">UBND Ủy ban nhân dân tỉnh Bình Thuận _x000d_
 tỉnh Bình Thuận</v>
      </c>
      <c r="C29985" t="str">
        <v>-</v>
      </c>
      <c r="D29985" t="str">
        <v>-</v>
      </c>
      <c r="E29985" t="str">
        <v>-</v>
      </c>
      <c r="F29985" t="str">
        <v>-</v>
      </c>
      <c r="G29985" t="str">
        <v>-</v>
      </c>
    </row>
    <row r="29986" xml:space="preserve">
      <c r="B29986" t="str" xml:space="preserve">
        <v xml:space="preserve">Công an tỉnh Lạng Sơn _x000d_
 tỉnh Lạng Sơn</v>
      </c>
      <c r="C29986" t="str">
        <v>-</v>
      </c>
      <c r="D29986" t="str">
        <v>-</v>
      </c>
      <c r="E29986" t="str">
        <v/>
      </c>
      <c r="F29986" t="str">
        <v>-</v>
      </c>
      <c r="G29986" t="str">
        <v>-</v>
      </c>
    </row>
    <row r="29987" xml:space="preserve">
      <c r="B29987" t="str" xml:space="preserve">
        <v xml:space="preserve">UBND Ủy ban nhân dân tỉnh Lạng Sơn _x000d_
 tỉnh Lạng Sơn</v>
      </c>
      <c r="C29987" t="str">
        <v>-</v>
      </c>
      <c r="D29987" t="str">
        <v>-</v>
      </c>
      <c r="E29987" t="str">
        <v>-</v>
      </c>
      <c r="F29987" t="str">
        <v>-</v>
      </c>
      <c r="G29987" t="str">
        <v>-</v>
      </c>
    </row>
    <row r="29988" xml:space="preserve">
      <c r="B29988" t="str" xml:space="preserve">
        <v xml:space="preserve">Công an tỉnh Gia Lai _x000d_
 tỉnh Gia Lai</v>
      </c>
      <c r="C29988" t="str">
        <v>-</v>
      </c>
      <c r="D29988" t="str">
        <v>-</v>
      </c>
      <c r="E29988" t="str">
        <v/>
      </c>
      <c r="F29988" t="str">
        <v>-</v>
      </c>
      <c r="G29988" t="str">
        <v>-</v>
      </c>
    </row>
    <row r="29989" xml:space="preserve">
      <c r="B29989" t="str" xml:space="preserve">
        <v xml:space="preserve">UBND Ủy ban nhân dân tỉnh Gia Lai _x000d_
 tỉnh Gia Lai</v>
      </c>
      <c r="C29989" t="str">
        <v>-</v>
      </c>
      <c r="D29989" t="str">
        <v>-</v>
      </c>
      <c r="E29989" t="str">
        <v>-</v>
      </c>
      <c r="F29989" t="str">
        <v>-</v>
      </c>
      <c r="G29989" t="str">
        <v>-</v>
      </c>
    </row>
    <row r="29990" xml:space="preserve">
      <c r="B29990" t="str" xml:space="preserve">
        <v xml:space="preserve">Công an tỉnh Khánh Hoà _x000d_
 tỉnh Khánh Hòa</v>
      </c>
      <c r="C29990" t="str">
        <v>-</v>
      </c>
      <c r="D29990" t="str">
        <v>-</v>
      </c>
      <c r="E29990" t="str">
        <v/>
      </c>
      <c r="F29990" t="str">
        <v>-</v>
      </c>
      <c r="G29990" t="str">
        <v>-</v>
      </c>
    </row>
    <row r="29991" xml:space="preserve">
      <c r="B29991" t="str" xml:space="preserve">
        <v xml:space="preserve">UBND Ủy ban nhân dân tỉnh Khánh Hoà _x000d_
 tỉnh Khánh Hòa</v>
      </c>
      <c r="C29991" t="str">
        <v>-</v>
      </c>
      <c r="D29991" t="str">
        <v>-</v>
      </c>
      <c r="E29991" t="str">
        <v>-</v>
      </c>
      <c r="F29991" t="str">
        <v>-</v>
      </c>
      <c r="G29991" t="str">
        <v>-</v>
      </c>
    </row>
    <row r="29992" xml:space="preserve">
      <c r="B29992" t="str" xml:space="preserve">
        <v xml:space="preserve">Công an tỉnh Tây Ninh _x000d_
 tỉnh TÂY NINH</v>
      </c>
      <c r="C29992" t="str">
        <v>-</v>
      </c>
      <c r="D29992" t="str">
        <v>-</v>
      </c>
      <c r="E29992" t="str">
        <v/>
      </c>
      <c r="F29992" t="str">
        <v>-</v>
      </c>
      <c r="G29992" t="str">
        <v>-</v>
      </c>
    </row>
    <row r="29993" xml:space="preserve">
      <c r="B29993" t="str" xml:space="preserve">
        <v xml:space="preserve">UBND Ủy ban nhân dân tỉnh Tây Ninh _x000d_
 tỉnh TÂY NINH</v>
      </c>
      <c r="C29993" t="str">
        <v>-</v>
      </c>
      <c r="D29993" t="str">
        <v>-</v>
      </c>
      <c r="E29993" t="str">
        <v>-</v>
      </c>
      <c r="F29993" t="str">
        <v>-</v>
      </c>
      <c r="G29993" t="str">
        <v>-</v>
      </c>
    </row>
    <row r="29994" xml:space="preserve">
      <c r="B29994" t="str" xml:space="preserve">
        <v xml:space="preserve"> Công an tỉnh Tây Ninh _x000d_
 tỉnh TÂY NINH</v>
      </c>
    </row>
    <row r="29995" xml:space="preserve">
      <c r="B29995" t="str" xml:space="preserve">
        <v xml:space="preserve">UBND Ủy ban nhân dânn tỉnh Tây Ninh _x000d_
 tỉnh TÂY NINH</v>
      </c>
      <c r="C29995" t="str">
        <v>-</v>
      </c>
      <c r="D29995" t="str">
        <v>-</v>
      </c>
      <c r="E29995" t="str">
        <v>-</v>
      </c>
      <c r="F29995" t="str">
        <v>-</v>
      </c>
      <c r="G29995" t="str">
        <v>-</v>
      </c>
    </row>
    <row r="29996">
      <c r="B29996" t="str">
        <v xml:space="preserve"> Công an tỉnh Vĩnh Long  tỉnh Vĩnh Long</v>
      </c>
    </row>
    <row r="29997">
      <c r="B29997" t="str">
        <v>UBND Ủy ban nhân dânn tỉnh Vĩnh Long  tỉnh Vĩnh Long</v>
      </c>
      <c r="C29997" t="str">
        <v>-</v>
      </c>
      <c r="D29997" t="str">
        <v>-</v>
      </c>
      <c r="E29997" t="str">
        <v>-</v>
      </c>
      <c r="F29997" t="str">
        <v>-</v>
      </c>
      <c r="G29997" t="str">
        <v>-</v>
      </c>
    </row>
    <row r="29998" xml:space="preserve">
      <c r="B29998" t="str" xml:space="preserve">
        <v xml:space="preserve">Công an tỉnh Lai Châu _x000d_
 tỉnh Lai Châu</v>
      </c>
      <c r="C29998" t="str">
        <v>-</v>
      </c>
      <c r="D29998" t="str">
        <v>-</v>
      </c>
      <c r="E29998" t="str">
        <v/>
      </c>
      <c r="F29998" t="str">
        <v>-</v>
      </c>
      <c r="G29998" t="str">
        <v>-</v>
      </c>
    </row>
    <row r="29999" xml:space="preserve">
      <c r="B29999" t="str" xml:space="preserve">
        <v xml:space="preserve">UBND Ủy ban nhân dân tỉnh Lai Châu _x000d_
 tỉnh Lai Châu</v>
      </c>
      <c r="C29999" t="str">
        <v>-</v>
      </c>
      <c r="D29999" t="str">
        <v>-</v>
      </c>
      <c r="E29999" t="str">
        <v>-</v>
      </c>
      <c r="F29999" t="str">
        <v>-</v>
      </c>
      <c r="G29999" t="str">
        <v>-</v>
      </c>
    </row>
    <row r="30000" xml:space="preserve">
      <c r="B30000" t="str" xml:space="preserve">
        <v xml:space="preserve">Công an tỉnh Sơn La _x000d_
 tỉnh Sơn La</v>
      </c>
      <c r="C30000" t="str">
        <v>-</v>
      </c>
      <c r="D30000" t="str">
        <v>-</v>
      </c>
      <c r="E30000" t="str">
        <v/>
      </c>
      <c r="F30000" t="str">
        <v>-</v>
      </c>
      <c r="G30000" t="str">
        <v>-</v>
      </c>
    </row>
    <row r="30001" xml:space="preserve">
      <c r="B30001" t="str" xml:space="preserve">
        <v xml:space="preserve">UBND Ủy ban nhân dân tỉnh Sơn La _x000d_
 tỉnh Sơn La</v>
      </c>
      <c r="C30001" t="str">
        <v>-</v>
      </c>
      <c r="D30001" t="str">
        <v>-</v>
      </c>
      <c r="E30001" t="str">
        <v>-</v>
      </c>
      <c r="F30001" t="str">
        <v>-</v>
      </c>
      <c r="G30001" t="str">
        <v>-</v>
      </c>
    </row>
    <row r="30002" xml:space="preserve">
      <c r="B30002" t="str" xml:space="preserve">
        <v xml:space="preserve">Công an tỉnh Ninh Thuận _x000d_
 tỉnh Ninh Thuận</v>
      </c>
      <c r="C30002" t="str">
        <v>-</v>
      </c>
      <c r="D30002" t="str">
        <v>-</v>
      </c>
      <c r="E30002" t="str">
        <v/>
      </c>
      <c r="F30002" t="str">
        <v>-</v>
      </c>
      <c r="G30002" t="str">
        <v>-</v>
      </c>
    </row>
    <row r="30003" xml:space="preserve">
      <c r="B30003" t="str" xml:space="preserve">
        <v xml:space="preserve">UBND Ủy ban nhân dân tỉnh Ninh Thuận _x000d_
 tỉnh Ninh Thuận</v>
      </c>
      <c r="C30003" t="str">
        <v>-</v>
      </c>
      <c r="D30003" t="str">
        <v>-</v>
      </c>
      <c r="E30003" t="str">
        <v>-</v>
      </c>
      <c r="F30003" t="str">
        <v>-</v>
      </c>
      <c r="G30003" t="str">
        <v>-</v>
      </c>
    </row>
    <row r="30004">
      <c r="B30004" t="str">
        <v>Công an xã Nghĩa An  tỉnh Nam Định</v>
      </c>
      <c r="C30004" t="str">
        <v>-</v>
      </c>
      <c r="D30004" t="str">
        <v>-</v>
      </c>
      <c r="E30004" t="str">
        <v/>
      </c>
      <c r="F30004" t="str">
        <v>-</v>
      </c>
      <c r="G30004" t="str">
        <v>-</v>
      </c>
    </row>
    <row r="30005">
      <c r="B30005" t="str">
        <v>UBND Ủy ban nhân dân xã Nghĩa An  tỉnh Nam Định</v>
      </c>
      <c r="C30005" t="str">
        <v>-</v>
      </c>
      <c r="D30005" t="str">
        <v>-</v>
      </c>
      <c r="E30005" t="str">
        <v>-</v>
      </c>
      <c r="F30005" t="str">
        <v>-</v>
      </c>
      <c r="G30005" t="str">
        <v>-</v>
      </c>
    </row>
    <row r="30006">
      <c r="B30006" t="str">
        <v>Công an huyện Nam Đông  tỉnh THỪA THIÊN HUẾ</v>
      </c>
      <c r="C30006" t="str">
        <v>-</v>
      </c>
      <c r="D30006" t="str">
        <v>-</v>
      </c>
      <c r="E30006" t="str">
        <v/>
      </c>
      <c r="F30006" t="str">
        <v>-</v>
      </c>
      <c r="G30006" t="str">
        <v>-</v>
      </c>
    </row>
    <row r="30007">
      <c r="B30007" t="str">
        <v>UBND Ủy ban nhân dân huyện Nam Đông  tỉnh THỪA THIÊN HUẾ</v>
      </c>
      <c r="C30007" t="str">
        <v>-</v>
      </c>
      <c r="D30007" t="str">
        <v>-</v>
      </c>
      <c r="E30007" t="str">
        <v>-</v>
      </c>
      <c r="F30007" t="str">
        <v>-</v>
      </c>
      <c r="G30007" t="str">
        <v>-</v>
      </c>
    </row>
    <row r="30008">
      <c r="B30008" t="str">
        <v>Công an tỉnh Nghệ An tỉnh Nghệ An</v>
      </c>
      <c r="C30008" t="str">
        <v>-</v>
      </c>
      <c r="D30008" t="str">
        <v>-</v>
      </c>
      <c r="E30008" t="str">
        <v/>
      </c>
      <c r="F30008" t="str">
        <v>-</v>
      </c>
      <c r="G30008" t="str">
        <v>-</v>
      </c>
    </row>
    <row r="30009">
      <c r="B30009" t="str">
        <v>UBND Ủy ban nhân dân tỉnh Nghệ An tỉnh Nghệ An</v>
      </c>
      <c r="C30009" t="str">
        <v>-</v>
      </c>
      <c r="D30009" t="str">
        <v>-</v>
      </c>
      <c r="E30009" t="str">
        <v>-</v>
      </c>
      <c r="F30009" t="str">
        <v>-</v>
      </c>
      <c r="G30009" t="str">
        <v>-</v>
      </c>
    </row>
    <row r="30010" xml:space="preserve">
      <c r="B30010" t="str" xml:space="preserve">
        <v xml:space="preserve">Công an huyện Phú Lộc _x000d_
 tỉnh THỪA THIÊN HUẾ</v>
      </c>
      <c r="C30010" t="str">
        <v>-</v>
      </c>
      <c r="D30010" t="str">
        <v>-</v>
      </c>
      <c r="E30010" t="str">
        <v/>
      </c>
      <c r="F30010" t="str">
        <v>-</v>
      </c>
      <c r="G30010" t="str">
        <v>-</v>
      </c>
    </row>
    <row r="30011" xml:space="preserve">
      <c r="B30011" t="str" xml:space="preserve">
        <v xml:space="preserve">UBND Ủy ban nhân dân huyện Phú Lộc _x000d_
 tỉnh THỪA THIÊN HUẾ</v>
      </c>
      <c r="C30011" t="str">
        <v>-</v>
      </c>
      <c r="D30011" t="str">
        <v>-</v>
      </c>
      <c r="E30011" t="str">
        <v>-</v>
      </c>
      <c r="F30011" t="str">
        <v>-</v>
      </c>
      <c r="G30011" t="str">
        <v>-</v>
      </c>
    </row>
    <row r="30012">
      <c r="B30012" t="str">
        <v>Công an huyện Cam Lộ  tỉnh Quảng Trị</v>
      </c>
      <c r="C30012" t="str">
        <v>-</v>
      </c>
      <c r="D30012" t="str">
        <v>-</v>
      </c>
      <c r="E30012" t="str">
        <v/>
      </c>
      <c r="F30012" t="str">
        <v>-</v>
      </c>
      <c r="G30012" t="str">
        <v>-</v>
      </c>
    </row>
    <row r="30013">
      <c r="B30013" t="str">
        <v>UBND Ủy ban nhân dân huyện Cam Lộ  tỉnh Quảng Trị</v>
      </c>
      <c r="C30013" t="str">
        <v>-</v>
      </c>
      <c r="D30013" t="str">
        <v>-</v>
      </c>
      <c r="E30013" t="str">
        <v>-</v>
      </c>
      <c r="F30013" t="str">
        <v>-</v>
      </c>
      <c r="G30013" t="str">
        <v>-</v>
      </c>
    </row>
    <row r="30014" xml:space="preserve">
      <c r="B30014" t="str" xml:space="preserve">
        <v xml:space="preserve">Công an xã Phú Nham _x000d_
 tỉnh Phú Thọ</v>
      </c>
      <c r="C30014" t="str">
        <v>-</v>
      </c>
      <c r="D30014" t="str">
        <v>-</v>
      </c>
      <c r="E30014" t="str">
        <v/>
      </c>
      <c r="F30014" t="str">
        <v>-</v>
      </c>
      <c r="G30014" t="str">
        <v>-</v>
      </c>
    </row>
    <row r="30015" xml:space="preserve">
      <c r="B30015" t="str" xml:space="preserve">
        <v xml:space="preserve">UBND Ủy ban nhân dân xã Phú Nham _x000d_
 tỉnh Phú Thọ</v>
      </c>
      <c r="C30015" t="str">
        <v>-</v>
      </c>
      <c r="D30015" t="str">
        <v>-</v>
      </c>
      <c r="E30015" t="str">
        <v>-</v>
      </c>
      <c r="F30015" t="str">
        <v>-</v>
      </c>
      <c r="G30015" t="str">
        <v>-</v>
      </c>
    </row>
    <row r="30016" xml:space="preserve">
      <c r="B30016" t="str" xml:space="preserve">
        <v xml:space="preserve">Công an tỉnh Hưng Yên _x000d_
 tỉnh Hưng Yên</v>
      </c>
      <c r="C30016" t="str">
        <v>-</v>
      </c>
      <c r="D30016" t="str">
        <v>-</v>
      </c>
      <c r="E30016" t="str">
        <v/>
      </c>
      <c r="F30016" t="str">
        <v>-</v>
      </c>
      <c r="G30016" t="str">
        <v>-</v>
      </c>
    </row>
    <row r="30017" xml:space="preserve">
      <c r="B30017" t="str" xml:space="preserve">
        <v xml:space="preserve">UBND Ủy ban nhân dân tỉnh Hưng Yên _x000d_
 tỉnh Hưng Yên</v>
      </c>
      <c r="C30017" t="str">
        <v>-</v>
      </c>
      <c r="D30017" t="str">
        <v>-</v>
      </c>
      <c r="E30017" t="str">
        <v>-</v>
      </c>
      <c r="F30017" t="str">
        <v>-</v>
      </c>
      <c r="G30017" t="str">
        <v>-</v>
      </c>
    </row>
    <row r="30018">
      <c r="B30018" t="str">
        <v xml:space="preserve"> Công an tỉnh Yên Bái  tỉnh Yên Bái</v>
      </c>
    </row>
    <row r="30019">
      <c r="B30019" t="str">
        <v>UBND Ủy ban nhân dânn tỉnh Yên Bái  tỉnh Yên Bái</v>
      </c>
      <c r="C30019" t="str">
        <v>-</v>
      </c>
      <c r="D30019" t="str">
        <v>-</v>
      </c>
      <c r="E30019" t="str">
        <v>-</v>
      </c>
      <c r="F30019" t="str">
        <v>-</v>
      </c>
      <c r="G30019" t="str">
        <v>-</v>
      </c>
    </row>
    <row r="30020">
      <c r="B30020" t="str">
        <v>Công an tỉnh Hà Tĩnh  tỉnh Hà Tĩnh</v>
      </c>
      <c r="C30020" t="str">
        <v>-</v>
      </c>
      <c r="D30020" t="str">
        <v>-</v>
      </c>
      <c r="E30020" t="str">
        <v/>
      </c>
      <c r="F30020" t="str">
        <v>-</v>
      </c>
      <c r="G30020" t="str">
        <v>-</v>
      </c>
    </row>
    <row r="30021">
      <c r="B30021" t="str">
        <v>UBND Ủy ban nhân dân tỉnh Hà Tĩnh  tỉnh Hà Tĩnh</v>
      </c>
      <c r="C30021" t="str">
        <v>-</v>
      </c>
      <c r="D30021" t="str">
        <v>-</v>
      </c>
      <c r="E30021" t="str">
        <v>-</v>
      </c>
      <c r="F30021" t="str">
        <v>-</v>
      </c>
      <c r="G30021" t="str">
        <v>-</v>
      </c>
    </row>
    <row r="30022" xml:space="preserve">
      <c r="B30022" t="str" xml:space="preserve">
        <v xml:space="preserve">Công an tỉnh Bắc Kạn _x000d_
 tỉnh Bắc Kạn</v>
      </c>
      <c r="C30022" t="str">
        <v>-</v>
      </c>
      <c r="D30022" t="str">
        <v>-</v>
      </c>
      <c r="E30022" t="str">
        <v/>
      </c>
      <c r="F30022" t="str">
        <v>-</v>
      </c>
      <c r="G30022" t="str">
        <v>-</v>
      </c>
    </row>
    <row r="30023" xml:space="preserve">
      <c r="B30023" t="str" xml:space="preserve">
        <v xml:space="preserve">UBND Ủy ban nhân dân tỉnh Bắc Kạn _x000d_
 tỉnh Bắc Kạn</v>
      </c>
      <c r="C30023" t="str">
        <v>-</v>
      </c>
      <c r="D30023" t="str">
        <v>-</v>
      </c>
      <c r="E30023" t="str">
        <v>-</v>
      </c>
      <c r="F30023" t="str">
        <v>-</v>
      </c>
      <c r="G30023" t="str">
        <v>-</v>
      </c>
    </row>
    <row r="30024" xml:space="preserve">
      <c r="B30024" t="str" xml:space="preserve">
        <v xml:space="preserve">Công an tỉnh Điện Biên _x000d_
 tỉnh Điện Biên</v>
      </c>
      <c r="C30024" t="str">
        <v>-</v>
      </c>
      <c r="D30024" t="str">
        <v>-</v>
      </c>
      <c r="E30024" t="str">
        <v/>
      </c>
      <c r="F30024" t="str">
        <v>-</v>
      </c>
      <c r="G30024" t="str">
        <v>-</v>
      </c>
    </row>
    <row r="30025" xml:space="preserve">
      <c r="B30025" t="str" xml:space="preserve">
        <v xml:space="preserve">UBND Ủy ban nhân dân tỉnh Điện Biên _x000d_
 tỉnh Điện Biên</v>
      </c>
      <c r="C30025" t="str">
        <v>-</v>
      </c>
      <c r="D30025" t="str">
        <v>-</v>
      </c>
      <c r="E30025" t="str">
        <v>-</v>
      </c>
      <c r="F30025" t="str">
        <v>-</v>
      </c>
      <c r="G30025" t="str">
        <v>-</v>
      </c>
    </row>
    <row r="30026" xml:space="preserve">
      <c r="B30026" t="str" xml:space="preserve">
        <v xml:space="preserve">Công an tỉnh Đồng Nai _x000d_
 tỉnh Đồng Nai</v>
      </c>
      <c r="C30026" t="str">
        <v>-</v>
      </c>
      <c r="D30026" t="str">
        <v>-</v>
      </c>
      <c r="E30026" t="str">
        <v/>
      </c>
      <c r="F30026" t="str">
        <v>-</v>
      </c>
      <c r="G30026" t="str">
        <v>-</v>
      </c>
    </row>
    <row r="30027" xml:space="preserve">
      <c r="B30027" t="str" xml:space="preserve">
        <v xml:space="preserve">UBND Ủy ban nhân dân tỉnh Đồng Nai _x000d_
 tỉnh Đồng Nai</v>
      </c>
      <c r="C30027" t="str">
        <v>-</v>
      </c>
      <c r="D30027" t="str">
        <v>-</v>
      </c>
      <c r="E30027" t="str">
        <v>-</v>
      </c>
      <c r="F30027" t="str">
        <v>-</v>
      </c>
      <c r="G30027" t="str">
        <v>-</v>
      </c>
    </row>
    <row r="30028" xml:space="preserve">
      <c r="B30028" t="str" xml:space="preserve">
        <v xml:space="preserve">Công an tỉnh Hà Nam _x000d_
 tỉnh Hà Nam</v>
      </c>
      <c r="C30028" t="str">
        <v>-</v>
      </c>
      <c r="D30028" t="str">
        <v>-</v>
      </c>
      <c r="E30028" t="str">
        <v/>
      </c>
      <c r="F30028" t="str">
        <v>-</v>
      </c>
      <c r="G30028" t="str">
        <v>-</v>
      </c>
    </row>
    <row r="30029" xml:space="preserve">
      <c r="B30029" t="str" xml:space="preserve">
        <v xml:space="preserve">UBND Ủy ban nhân dân tỉnh Hà Nam _x000d_
 tỉnh Hà Nam</v>
      </c>
      <c r="C30029" t="str">
        <v>-</v>
      </c>
      <c r="D30029" t="str">
        <v>-</v>
      </c>
      <c r="E30029" t="str">
        <v>-</v>
      </c>
      <c r="F30029" t="str">
        <v>-</v>
      </c>
      <c r="G30029" t="str">
        <v>-</v>
      </c>
    </row>
    <row r="30030" xml:space="preserve">
      <c r="B30030" t="str" xml:space="preserve">
        <v xml:space="preserve">Công an huyện Hòa An _x000d_
 tỉnh Cao Bằng</v>
      </c>
      <c r="C30030" t="str">
        <v>-</v>
      </c>
      <c r="D30030" t="str">
        <v>-</v>
      </c>
      <c r="E30030" t="str">
        <v/>
      </c>
      <c r="F30030" t="str">
        <v>-</v>
      </c>
      <c r="G30030" t="str">
        <v>-</v>
      </c>
    </row>
    <row r="30031" xml:space="preserve">
      <c r="B30031" t="str" xml:space="preserve">
        <v xml:space="preserve">UBND Ủy ban nhân dân huyện Hòa An _x000d_
 tỉnh Cao Bằng</v>
      </c>
      <c r="C30031" t="str">
        <v>-</v>
      </c>
      <c r="D30031" t="str">
        <v>-</v>
      </c>
      <c r="E30031" t="str">
        <v>-</v>
      </c>
      <c r="F30031" t="str">
        <v>-</v>
      </c>
      <c r="G30031" t="str">
        <v>-</v>
      </c>
    </row>
    <row r="30032" xml:space="preserve">
      <c r="B30032" t="str" xml:space="preserve">
        <v xml:space="preserve">Công an tỉnh Ninh Bình _x000d_
 tỉnh Ninh Bình</v>
      </c>
      <c r="C30032" t="str">
        <v>-</v>
      </c>
      <c r="D30032" t="str">
        <v>-</v>
      </c>
      <c r="E30032" t="str">
        <v/>
      </c>
      <c r="F30032" t="str">
        <v>-</v>
      </c>
      <c r="G30032" t="str">
        <v>-</v>
      </c>
    </row>
    <row r="30033" xml:space="preserve">
      <c r="B30033" t="str" xml:space="preserve">
        <v xml:space="preserve">UBND Ủy ban nhân dân tỉnh Ninh Bình _x000d_
 tỉnh Ninh Bình</v>
      </c>
      <c r="C30033" t="str">
        <v>-</v>
      </c>
      <c r="D30033" t="str">
        <v>-</v>
      </c>
      <c r="E30033" t="str">
        <v>-</v>
      </c>
      <c r="F30033" t="str">
        <v>-</v>
      </c>
      <c r="G30033" t="str">
        <v>-</v>
      </c>
    </row>
    <row r="30034" xml:space="preserve">
      <c r="B30034" t="str" xml:space="preserve">
        <v xml:space="preserve">Công an tỉnh Quảng Nam _x000d_
 tỉnh Quảng Nam</v>
      </c>
      <c r="C30034" t="str">
        <v>-</v>
      </c>
      <c r="D30034" t="str">
        <v>-</v>
      </c>
      <c r="E30034" t="str">
        <v/>
      </c>
      <c r="F30034" t="str">
        <v>-</v>
      </c>
      <c r="G30034" t="str">
        <v>-</v>
      </c>
    </row>
    <row r="30035" xml:space="preserve">
      <c r="B30035" t="str" xml:space="preserve">
        <v xml:space="preserve">UBND Ủy ban nhân dân tỉnh Quảng Nam _x000d_
 tỉnh Quảng Nam</v>
      </c>
      <c r="C30035" t="str">
        <v>-</v>
      </c>
      <c r="D30035" t="str">
        <v>-</v>
      </c>
      <c r="E30035" t="str">
        <v>-</v>
      </c>
      <c r="F30035" t="str">
        <v>-</v>
      </c>
      <c r="G30035" t="str">
        <v>-</v>
      </c>
    </row>
    <row r="30036" xml:space="preserve">
      <c r="B30036" t="str" xml:space="preserve">
        <v xml:space="preserve"> Công an tỉnh Bắc Giang _x000d_
 tỉnh Bắc Giang</v>
      </c>
    </row>
    <row r="30037" xml:space="preserve">
      <c r="B30037" t="str" xml:space="preserve">
        <v xml:space="preserve">UBND Ủy ban nhân dânn tỉnh Bắc Giang _x000d_
 tỉnh Bắc Giang</v>
      </c>
      <c r="C30037" t="str">
        <v>-</v>
      </c>
      <c r="D30037" t="str">
        <v>-</v>
      </c>
      <c r="E30037" t="str">
        <v>-</v>
      </c>
      <c r="F30037" t="str">
        <v>-</v>
      </c>
      <c r="G30037" t="str">
        <v>-</v>
      </c>
    </row>
    <row r="30038">
      <c r="B30038" t="str">
        <v>Công an phường Phước Bình tỉnh Bình Phước</v>
      </c>
      <c r="C30038" t="str">
        <v>-</v>
      </c>
      <c r="D30038" t="str">
        <v>-</v>
      </c>
      <c r="E30038" t="str">
        <v/>
      </c>
      <c r="F30038" t="str">
        <v>-</v>
      </c>
      <c r="G30038" t="str">
        <v>-</v>
      </c>
    </row>
    <row r="30039">
      <c r="B30039" t="str">
        <v>UBND Ủy ban nhân dân phường Phước Bình tỉnh Bình Phước</v>
      </c>
      <c r="C30039" t="str">
        <v>-</v>
      </c>
      <c r="D30039" t="str">
        <v>-</v>
      </c>
      <c r="E30039" t="str">
        <v>-</v>
      </c>
      <c r="F30039" t="str">
        <v>-</v>
      </c>
      <c r="G30039" t="str">
        <v>-</v>
      </c>
    </row>
    <row r="30040" xml:space="preserve">
      <c r="B30040" t="str" xml:space="preserve">
        <v xml:space="preserve">Công an huyện Phước Long _x000d_
 tỉnh Bạc Liêu</v>
      </c>
      <c r="C30040" t="str">
        <v>-</v>
      </c>
      <c r="D30040" t="str">
        <v>-</v>
      </c>
      <c r="E30040" t="str">
        <v/>
      </c>
      <c r="F30040" t="str">
        <v>-</v>
      </c>
      <c r="G30040" t="str">
        <v>-</v>
      </c>
    </row>
    <row r="30041" xml:space="preserve">
      <c r="B30041" t="str" xml:space="preserve">
        <v xml:space="preserve">UBND Ủy ban nhân dân huyện Phước Long _x000d_
 tỉnh Bạc Liêu</v>
      </c>
      <c r="C30041" t="str">
        <v>-</v>
      </c>
      <c r="D30041" t="str">
        <v>-</v>
      </c>
      <c r="E30041" t="str">
        <v>-</v>
      </c>
      <c r="F30041" t="str">
        <v>-</v>
      </c>
      <c r="G30041" t="str">
        <v>-</v>
      </c>
    </row>
    <row r="30042" xml:space="preserve">
      <c r="B30042" t="str" xml:space="preserve">
        <v xml:space="preserve">Công an huyện Cần Giờ _x000d_
 thành phố Hồ Chí Minh</v>
      </c>
      <c r="C30042" t="str">
        <v>-</v>
      </c>
      <c r="D30042" t="str">
        <v>-</v>
      </c>
      <c r="E30042" t="str">
        <v/>
      </c>
      <c r="F30042" t="str">
        <v>-</v>
      </c>
      <c r="G30042" t="str">
        <v>-</v>
      </c>
    </row>
    <row r="30043" xml:space="preserve">
      <c r="B30043" t="str" xml:space="preserve">
        <v xml:space="preserve">UBND Ủy ban nhân dân huyện Cần Giờ _x000d_
 thành phố Hồ Chí Minh</v>
      </c>
      <c r="C30043" t="str">
        <v>-</v>
      </c>
      <c r="D30043" t="str">
        <v>-</v>
      </c>
      <c r="E30043" t="str">
        <v>-</v>
      </c>
      <c r="F30043" t="str">
        <v>-</v>
      </c>
      <c r="G30043" t="str">
        <v>-</v>
      </c>
    </row>
    <row r="30044">
      <c r="B30044" t="str">
        <v>Công an xã Phong Lộc tỉnh Thanh Hóa</v>
      </c>
      <c r="C30044" t="str">
        <v>-</v>
      </c>
      <c r="D30044" t="str">
        <v>-</v>
      </c>
      <c r="E30044" t="str">
        <v/>
      </c>
      <c r="F30044" t="str">
        <v>-</v>
      </c>
      <c r="G30044" t="str">
        <v>-</v>
      </c>
    </row>
    <row r="30045">
      <c r="B30045" t="str">
        <v>UBND Ủy ban nhân dân xã Phong Lộc tỉnh Thanh Hóa</v>
      </c>
      <c r="C30045" t="str">
        <v>-</v>
      </c>
      <c r="D30045" t="str">
        <v>-</v>
      </c>
      <c r="E30045" t="str">
        <v>-</v>
      </c>
      <c r="F30045" t="str">
        <v>-</v>
      </c>
      <c r="G30045" t="str">
        <v>-</v>
      </c>
    </row>
    <row r="30046">
      <c r="B30046" t="str">
        <v>Công an thị xã Vĩnh Châu  tỉnh Sóc Trăng</v>
      </c>
      <c r="C30046" t="str">
        <v>-</v>
      </c>
      <c r="D30046" t="str">
        <v>-</v>
      </c>
      <c r="E30046" t="str">
        <v/>
      </c>
      <c r="F30046" t="str">
        <v>-</v>
      </c>
      <c r="G30046" t="str">
        <v>-</v>
      </c>
    </row>
    <row r="30047">
      <c r="B30047" t="str">
        <v>UBND Ủy ban nhân dân thị xã Vĩnh Châu  tỉnh Sóc Trăng</v>
      </c>
      <c r="C30047" t="str">
        <v>-</v>
      </c>
      <c r="D30047" t="str">
        <v>-</v>
      </c>
      <c r="E30047" t="str">
        <v>-</v>
      </c>
      <c r="F30047" t="str">
        <v>-</v>
      </c>
      <c r="G30047" t="str">
        <v>-</v>
      </c>
    </row>
    <row r="30048">
      <c r="B30048" t="str">
        <v>Công an huyện Đầm Dơi  tỉnh Cà Mau</v>
      </c>
      <c r="C30048" t="str">
        <v>-</v>
      </c>
      <c r="D30048" t="str">
        <v>-</v>
      </c>
      <c r="E30048" t="str">
        <v/>
      </c>
      <c r="F30048" t="str">
        <v>-</v>
      </c>
      <c r="G30048" t="str">
        <v>-</v>
      </c>
    </row>
    <row r="30049">
      <c r="B30049" t="str">
        <v>UBND Ủy ban nhân dân huyện Đầm Dơi  tỉnh Cà Mau</v>
      </c>
      <c r="C30049" t="str">
        <v>-</v>
      </c>
      <c r="D30049" t="str">
        <v>-</v>
      </c>
      <c r="E30049" t="str">
        <v>-</v>
      </c>
      <c r="F30049" t="str">
        <v>-</v>
      </c>
      <c r="G30049" t="str">
        <v>-</v>
      </c>
    </row>
    <row r="30050">
      <c r="B30050" t="str">
        <v>Công an xã An Dục tỉnh Thái Bình</v>
      </c>
      <c r="C30050" t="str">
        <v>-</v>
      </c>
      <c r="D30050" t="str">
        <v>-</v>
      </c>
      <c r="E30050" t="str">
        <v/>
      </c>
      <c r="F30050" t="str">
        <v>-</v>
      </c>
      <c r="G30050" t="str">
        <v>-</v>
      </c>
    </row>
    <row r="30051">
      <c r="B30051" t="str">
        <v>UBND Ủy ban nhân dân xã An Dục tỉnh Thái Bình</v>
      </c>
      <c r="C30051" t="str">
        <v>-</v>
      </c>
      <c r="D30051" t="str">
        <v>-</v>
      </c>
      <c r="E30051" t="str">
        <v>-</v>
      </c>
      <c r="F30051" t="str">
        <v>-</v>
      </c>
      <c r="G30051" t="str">
        <v>-</v>
      </c>
    </row>
    <row r="30052" xml:space="preserve">
      <c r="B30052" t="str" xml:space="preserve">
        <v xml:space="preserve">Công an xã Nghi Xá _x000d_
 tỉnh Nghệ An</v>
      </c>
      <c r="C30052" t="str">
        <v>-</v>
      </c>
      <c r="D30052" t="str">
        <v>-</v>
      </c>
      <c r="E30052" t="str">
        <v/>
      </c>
      <c r="F30052" t="str">
        <v>-</v>
      </c>
      <c r="G30052" t="str">
        <v>-</v>
      </c>
    </row>
    <row r="30053" xml:space="preserve">
      <c r="B30053" t="str" xml:space="preserve">
        <v xml:space="preserve">UBND Ủy ban nhân dân xã Nghi Xá _x000d_
 tỉnh Nghệ An</v>
      </c>
      <c r="C30053" t="str">
        <v>-</v>
      </c>
      <c r="D30053" t="str">
        <v>-</v>
      </c>
      <c r="E30053" t="str">
        <v>-</v>
      </c>
      <c r="F30053" t="str">
        <v>-</v>
      </c>
      <c r="G30053" t="str">
        <v>-</v>
      </c>
    </row>
    <row r="30054" xml:space="preserve">
      <c r="B30054" t="str" xml:space="preserve">
        <v xml:space="preserve">Công an huyện Tân Biên _x000d_
 tỉnh TÂY NINH</v>
      </c>
      <c r="C30054" t="str">
        <v>-</v>
      </c>
      <c r="D30054" t="str">
        <v>-</v>
      </c>
      <c r="E30054" t="str">
        <v/>
      </c>
      <c r="F30054" t="str">
        <v>-</v>
      </c>
      <c r="G30054" t="str">
        <v>-</v>
      </c>
    </row>
    <row r="30055" xml:space="preserve">
      <c r="B30055" t="str" xml:space="preserve">
        <v xml:space="preserve">UBND Ủy ban nhân dân huyện Tân Biên _x000d_
 tỉnh TÂY NINH</v>
      </c>
      <c r="C30055" t="str">
        <v>-</v>
      </c>
      <c r="D30055" t="str">
        <v>-</v>
      </c>
      <c r="E30055" t="str">
        <v>-</v>
      </c>
      <c r="F30055" t="str">
        <v>-</v>
      </c>
      <c r="G30055" t="str">
        <v>-</v>
      </c>
    </row>
    <row r="30056" xml:space="preserve">
      <c r="B30056" t="str" xml:space="preserve">
        <v xml:space="preserve">Công an xã A Rooi _x000d_
 tỉnh Quảng Nam</v>
      </c>
      <c r="C30056" t="str">
        <v>-</v>
      </c>
      <c r="D30056" t="str">
        <v>-</v>
      </c>
      <c r="E30056" t="str">
        <v/>
      </c>
      <c r="F30056" t="str">
        <v>-</v>
      </c>
      <c r="G30056" t="str">
        <v>-</v>
      </c>
    </row>
    <row r="30057" xml:space="preserve">
      <c r="B30057" t="str" xml:space="preserve">
        <v xml:space="preserve">UBND Ủy ban nhân dân xã A Rooi _x000d_
 tỉnh Quảng Nam</v>
      </c>
      <c r="C30057" t="str">
        <v>-</v>
      </c>
      <c r="D30057" t="str">
        <v>-</v>
      </c>
      <c r="E30057" t="str">
        <v>-</v>
      </c>
      <c r="F30057" t="str">
        <v>-</v>
      </c>
      <c r="G30057" t="str">
        <v>-</v>
      </c>
    </row>
    <row r="30058" xml:space="preserve">
      <c r="B30058" t="str" xml:space="preserve">
        <v xml:space="preserve">Công an xã Avương _x000d_
 tỉnh Quảng Nam</v>
      </c>
      <c r="C30058" t="str">
        <v>-</v>
      </c>
      <c r="D30058" t="str">
        <v>-</v>
      </c>
      <c r="E30058" t="str">
        <v/>
      </c>
      <c r="F30058" t="str">
        <v>-</v>
      </c>
      <c r="G30058" t="str">
        <v>-</v>
      </c>
    </row>
    <row r="30059" xml:space="preserve">
      <c r="B30059" t="str" xml:space="preserve">
        <v xml:space="preserve">UBND Ủy ban nhân dân xã Avương _x000d_
 tỉnh Quảng Nam</v>
      </c>
      <c r="C30059" t="str">
        <v>-</v>
      </c>
      <c r="D30059" t="str">
        <v>-</v>
      </c>
      <c r="E30059" t="str">
        <v>-</v>
      </c>
      <c r="F30059" t="str">
        <v>-</v>
      </c>
      <c r="G30059" t="str">
        <v>-</v>
      </c>
    </row>
    <row r="30060" xml:space="preserve">
      <c r="B30060" t="str" xml:space="preserve">
        <v xml:space="preserve">Công an xã Bình An _x000d_
 tỉnh Quảng Nam</v>
      </c>
      <c r="C30060" t="str">
        <v>-</v>
      </c>
      <c r="D30060" t="str">
        <v>-</v>
      </c>
      <c r="E30060" t="str">
        <v/>
      </c>
      <c r="F30060" t="str">
        <v>-</v>
      </c>
      <c r="G30060" t="str">
        <v>-</v>
      </c>
    </row>
    <row r="30061" xml:space="preserve">
      <c r="B30061" t="str" xml:space="preserve">
        <v xml:space="preserve">UBND Ủy ban nhân dân xã Bình An _x000d_
 tỉnh Quảng Nam</v>
      </c>
      <c r="C30061" t="str">
        <v>-</v>
      </c>
      <c r="D30061" t="str">
        <v>-</v>
      </c>
      <c r="E30061" t="str">
        <v>-</v>
      </c>
      <c r="F30061" t="str">
        <v>-</v>
      </c>
      <c r="G30061" t="str">
        <v>-</v>
      </c>
    </row>
    <row r="30062" xml:space="preserve">
      <c r="B30062" t="str" xml:space="preserve">
        <v xml:space="preserve">Công an xã Bình Đào _x000d_
 tỉnh Quảng Nam</v>
      </c>
      <c r="C30062" t="str">
        <v>-</v>
      </c>
      <c r="D30062" t="str">
        <v>-</v>
      </c>
      <c r="E30062" t="str">
        <v/>
      </c>
      <c r="F30062" t="str">
        <v>-</v>
      </c>
      <c r="G30062" t="str">
        <v>-</v>
      </c>
    </row>
    <row r="30063" xml:space="preserve">
      <c r="B30063" t="str" xml:space="preserve">
        <v xml:space="preserve">UBND Ủy ban nhân dân xã Bình Đào _x000d_
 tỉnh Quảng Nam</v>
      </c>
      <c r="C30063" t="str">
        <v>-</v>
      </c>
      <c r="D30063" t="str">
        <v>-</v>
      </c>
      <c r="E30063" t="str">
        <v>-</v>
      </c>
      <c r="F30063" t="str">
        <v>-</v>
      </c>
      <c r="G30063" t="str">
        <v>-</v>
      </c>
    </row>
    <row r="30064">
      <c r="B30064" t="str">
        <v>Công an xã Bình Lãnh  tỉnh Quảng Nam</v>
      </c>
      <c r="C30064" t="str">
        <v>-</v>
      </c>
      <c r="D30064" t="str">
        <v>-</v>
      </c>
      <c r="E30064" t="str">
        <v/>
      </c>
      <c r="F30064" t="str">
        <v>-</v>
      </c>
      <c r="G30064" t="str">
        <v>-</v>
      </c>
    </row>
    <row r="30065">
      <c r="B30065" t="str">
        <v>UBND Ủy ban nhân dân xã Bình Lãnh  tỉnh Quảng Nam</v>
      </c>
      <c r="C30065" t="str">
        <v>-</v>
      </c>
      <c r="D30065" t="str">
        <v>-</v>
      </c>
      <c r="E30065" t="str">
        <v>-</v>
      </c>
      <c r="F30065" t="str">
        <v>-</v>
      </c>
      <c r="G30065" t="str">
        <v>-</v>
      </c>
    </row>
    <row r="30066">
      <c r="B30066" t="str">
        <v>Công an xã Bình Nguyên  tỉnh Quảng Nam</v>
      </c>
      <c r="C30066" t="str">
        <v>-</v>
      </c>
      <c r="D30066" t="str">
        <v>-</v>
      </c>
      <c r="E30066" t="str">
        <v/>
      </c>
      <c r="F30066" t="str">
        <v>-</v>
      </c>
      <c r="G30066" t="str">
        <v>-</v>
      </c>
    </row>
    <row r="30067">
      <c r="B30067" t="str">
        <v>UBND Ủy ban nhân dân xã Bình Nguyên  tỉnh Quảng Nam</v>
      </c>
      <c r="C30067" t="str">
        <v>-</v>
      </c>
      <c r="D30067" t="str">
        <v>-</v>
      </c>
      <c r="E30067" t="str">
        <v>-</v>
      </c>
      <c r="F30067" t="str">
        <v>-</v>
      </c>
      <c r="G30067" t="str">
        <v>-</v>
      </c>
    </row>
    <row r="30068" xml:space="preserve">
      <c r="B30068" t="str" xml:space="preserve">
        <v xml:space="preserve">Công an xã Bình Phục _x000d_
 tỉnh Quảng Nam</v>
      </c>
      <c r="C30068" t="str">
        <v>-</v>
      </c>
      <c r="D30068" t="str">
        <v>-</v>
      </c>
      <c r="E30068" t="str">
        <v/>
      </c>
      <c r="F30068" t="str">
        <v>-</v>
      </c>
      <c r="G30068" t="str">
        <v>-</v>
      </c>
    </row>
    <row r="30069" xml:space="preserve">
      <c r="B30069" t="str" xml:space="preserve">
        <v xml:space="preserve">UBND Ủy ban nhân dân xã Bình Phục _x000d_
 tỉnh Quảng Nam</v>
      </c>
      <c r="C30069" t="str">
        <v>-</v>
      </c>
      <c r="D30069" t="str">
        <v>-</v>
      </c>
      <c r="E30069" t="str">
        <v>-</v>
      </c>
      <c r="F30069" t="str">
        <v>-</v>
      </c>
      <c r="G30069" t="str">
        <v>-</v>
      </c>
    </row>
    <row r="30070" xml:space="preserve">
      <c r="B30070" t="str" xml:space="preserve">
        <v xml:space="preserve">Công an xã Bình Quý _x000d_
 tỉnh Quảng Nam</v>
      </c>
      <c r="C30070" t="str">
        <v>-</v>
      </c>
      <c r="D30070" t="str">
        <v>-</v>
      </c>
      <c r="E30070" t="str">
        <v/>
      </c>
      <c r="F30070" t="str">
        <v>-</v>
      </c>
      <c r="G30070" t="str">
        <v>-</v>
      </c>
    </row>
    <row r="30071" xml:space="preserve">
      <c r="B30071" t="str" xml:space="preserve">
        <v xml:space="preserve">UBND Ủy ban nhân dân xã Bình Quý _x000d_
 tỉnh Quảng Nam</v>
      </c>
      <c r="C30071" t="str">
        <v>-</v>
      </c>
      <c r="D30071" t="str">
        <v>-</v>
      </c>
      <c r="E30071" t="str">
        <v>-</v>
      </c>
      <c r="F30071" t="str">
        <v>-</v>
      </c>
      <c r="G30071" t="str">
        <v>-</v>
      </c>
    </row>
    <row r="30072" xml:space="preserve">
      <c r="B30072" t="str" xml:space="preserve">
        <v xml:space="preserve">Công an xã Bình Sa _x000d_
 tỉnh Quảng Nam</v>
      </c>
      <c r="C30072" t="str">
        <v>-</v>
      </c>
      <c r="D30072" t="str">
        <v>-</v>
      </c>
      <c r="E30072" t="str">
        <v/>
      </c>
      <c r="F30072" t="str">
        <v>-</v>
      </c>
      <c r="G30072" t="str">
        <v>-</v>
      </c>
    </row>
    <row r="30073" xml:space="preserve">
      <c r="B30073" t="str" xml:space="preserve">
        <v xml:space="preserve">UBND Ủy ban nhân dân xã Bình Sa _x000d_
 tỉnh Quảng Nam</v>
      </c>
      <c r="C30073" t="str">
        <v>-</v>
      </c>
      <c r="D30073" t="str">
        <v>-</v>
      </c>
      <c r="E30073" t="str">
        <v>-</v>
      </c>
      <c r="F30073" t="str">
        <v>-</v>
      </c>
      <c r="G30073" t="str">
        <v>-</v>
      </c>
    </row>
    <row r="30074" xml:space="preserve">
      <c r="B30074" t="str" xml:space="preserve">
        <v xml:space="preserve">Công an xã Bình Triều _x000d_
 tỉnh Quảng Nam</v>
      </c>
      <c r="C30074" t="str">
        <v>-</v>
      </c>
      <c r="D30074" t="str">
        <v>-</v>
      </c>
      <c r="E30074" t="str">
        <v/>
      </c>
      <c r="F30074" t="str">
        <v>-</v>
      </c>
      <c r="G30074" t="str">
        <v>-</v>
      </c>
    </row>
    <row r="30075" xml:space="preserve">
      <c r="B30075" t="str" xml:space="preserve">
        <v xml:space="preserve">UBND Ủy ban nhân dân xã Bình Triều _x000d_
 tỉnh Quảng Nam</v>
      </c>
      <c r="C30075" t="str">
        <v>-</v>
      </c>
      <c r="D30075" t="str">
        <v>-</v>
      </c>
      <c r="E30075" t="str">
        <v>-</v>
      </c>
      <c r="F30075" t="str">
        <v>-</v>
      </c>
      <c r="G30075" t="str">
        <v>-</v>
      </c>
    </row>
    <row r="30076">
      <c r="B30076" t="str">
        <v>Công an xã Bình Tú  tỉnh Quảng Nam</v>
      </c>
      <c r="C30076" t="str">
        <v>-</v>
      </c>
      <c r="D30076" t="str">
        <v>-</v>
      </c>
      <c r="E30076" t="str">
        <v/>
      </c>
      <c r="F30076" t="str">
        <v>-</v>
      </c>
      <c r="G30076" t="str">
        <v>-</v>
      </c>
    </row>
    <row r="30077">
      <c r="B30077" t="str">
        <v>UBND Ủy ban nhân dân xã Bình Tú  tỉnh Quảng Nam</v>
      </c>
      <c r="C30077" t="str">
        <v>-</v>
      </c>
      <c r="D30077" t="str">
        <v>-</v>
      </c>
      <c r="E30077" t="str">
        <v>-</v>
      </c>
      <c r="F30077" t="str">
        <v>-</v>
      </c>
      <c r="G30077" t="str">
        <v>-</v>
      </c>
    </row>
    <row r="30078" xml:space="preserve">
      <c r="B30078" t="str" xml:space="preserve">
        <v xml:space="preserve">Công an xã Đại Chánh _x000d_
 tỉnh Quảng Nam</v>
      </c>
      <c r="C30078" t="str">
        <v>-</v>
      </c>
      <c r="D30078" t="str">
        <v>-</v>
      </c>
      <c r="E30078" t="str">
        <v/>
      </c>
      <c r="F30078" t="str">
        <v>-</v>
      </c>
      <c r="G30078" t="str">
        <v>-</v>
      </c>
    </row>
    <row r="30079" xml:space="preserve">
      <c r="B30079" t="str" xml:space="preserve">
        <v xml:space="preserve">UBND Ủy ban nhân dân xã Đại Chánh _x000d_
 tỉnh Quảng Nam</v>
      </c>
      <c r="C30079" t="str">
        <v>-</v>
      </c>
      <c r="D30079" t="str">
        <v>-</v>
      </c>
      <c r="E30079" t="str">
        <v>-</v>
      </c>
      <c r="F30079" t="str">
        <v>-</v>
      </c>
      <c r="G30079" t="str">
        <v>-</v>
      </c>
    </row>
    <row r="30080" xml:space="preserve">
      <c r="B30080" t="str" xml:space="preserve">
        <v xml:space="preserve">Công an xã Đại Cường _x000d_
 tỉnh Quảng Nam</v>
      </c>
      <c r="C30080" t="str">
        <v>-</v>
      </c>
      <c r="D30080" t="str">
        <v>-</v>
      </c>
      <c r="E30080" t="str">
        <v/>
      </c>
      <c r="F30080" t="str">
        <v>-</v>
      </c>
      <c r="G30080" t="str">
        <v>-</v>
      </c>
    </row>
    <row r="30081" xml:space="preserve">
      <c r="B30081" t="str" xml:space="preserve">
        <v xml:space="preserve">UBND Ủy ban nhân dân xã Đại Cường _x000d_
 tỉnh Quảng Nam</v>
      </c>
      <c r="C30081" t="str">
        <v>-</v>
      </c>
      <c r="D30081" t="str">
        <v>-</v>
      </c>
      <c r="E30081" t="str">
        <v>-</v>
      </c>
      <c r="F30081" t="str">
        <v>-</v>
      </c>
      <c r="G30081" t="str">
        <v>-</v>
      </c>
    </row>
    <row r="30082" xml:space="preserve">
      <c r="B30082" t="str" xml:space="preserve">
        <v xml:space="preserve">Công an xã Đại Hồng _x000d_
 tỉnh Quảng Nam</v>
      </c>
      <c r="C30082" t="str">
        <v>-</v>
      </c>
      <c r="D30082" t="str">
        <v>-</v>
      </c>
      <c r="E30082" t="str">
        <v/>
      </c>
      <c r="F30082" t="str">
        <v>-</v>
      </c>
      <c r="G30082" t="str">
        <v>-</v>
      </c>
    </row>
    <row r="30083" xml:space="preserve">
      <c r="B30083" t="str" xml:space="preserve">
        <v xml:space="preserve">UBND Ủy ban nhân dân xã Đại Hồng _x000d_
 tỉnh Quảng Nam</v>
      </c>
      <c r="C30083" t="str">
        <v>-</v>
      </c>
      <c r="D30083" t="str">
        <v>-</v>
      </c>
      <c r="E30083" t="str">
        <v>-</v>
      </c>
      <c r="F30083" t="str">
        <v>-</v>
      </c>
      <c r="G30083" t="str">
        <v>-</v>
      </c>
    </row>
    <row r="30084">
      <c r="B30084" t="str">
        <v>Công an huyện Đại Lộc tỉnh Quảng Nam</v>
      </c>
      <c r="C30084" t="str">
        <v>-</v>
      </c>
      <c r="D30084" t="str">
        <v>-</v>
      </c>
      <c r="E30084" t="str">
        <v/>
      </c>
      <c r="F30084" t="str">
        <v>-</v>
      </c>
      <c r="G30084" t="str">
        <v>-</v>
      </c>
    </row>
    <row r="30085">
      <c r="B30085" t="str">
        <v>UBND Ủy ban nhân dân huyện Đại Lộc tỉnh Quảng Nam</v>
      </c>
      <c r="C30085" t="str">
        <v>-</v>
      </c>
      <c r="D30085" t="str">
        <v>-</v>
      </c>
      <c r="E30085" t="str">
        <v>-</v>
      </c>
      <c r="F30085" t="str">
        <v>-</v>
      </c>
      <c r="G30085" t="str">
        <v>-</v>
      </c>
    </row>
    <row r="30086" xml:space="preserve">
      <c r="B30086" t="str" xml:space="preserve">
        <v xml:space="preserve">Công an xã Đại Phong _x000d_
 tỉnh Quảng Nam</v>
      </c>
      <c r="C30086" t="str">
        <v>-</v>
      </c>
      <c r="D30086" t="str">
        <v>-</v>
      </c>
      <c r="E30086" t="str">
        <v/>
      </c>
      <c r="F30086" t="str">
        <v>-</v>
      </c>
      <c r="G30086" t="str">
        <v>-</v>
      </c>
    </row>
    <row r="30087" xml:space="preserve">
      <c r="B30087" t="str" xml:space="preserve">
        <v xml:space="preserve">UBND Ủy ban nhân dân xã Đại Phong _x000d_
 tỉnh Quảng Nam</v>
      </c>
      <c r="C30087" t="str">
        <v>-</v>
      </c>
      <c r="D30087" t="str">
        <v>-</v>
      </c>
      <c r="E30087" t="str">
        <v>-</v>
      </c>
      <c r="F30087" t="str">
        <v>-</v>
      </c>
      <c r="G30087" t="str">
        <v>-</v>
      </c>
    </row>
    <row r="30088" xml:space="preserve">
      <c r="B30088" t="str" xml:space="preserve">
        <v xml:space="preserve">Công an xã Đại Thạnh _x000d_
 tỉnh Quảng Nam</v>
      </c>
      <c r="C30088" t="str">
        <v>-</v>
      </c>
      <c r="D30088" t="str">
        <v>-</v>
      </c>
      <c r="E30088" t="str">
        <v/>
      </c>
      <c r="F30088" t="str">
        <v>-</v>
      </c>
      <c r="G30088" t="str">
        <v>-</v>
      </c>
    </row>
    <row r="30089" xml:space="preserve">
      <c r="B30089" t="str" xml:space="preserve">
        <v xml:space="preserve">UBND Ủy ban nhân dân xã Đại Thạnh _x000d_
 tỉnh Quảng Nam</v>
      </c>
      <c r="C30089" t="str">
        <v>-</v>
      </c>
      <c r="D30089" t="str">
        <v>-</v>
      </c>
      <c r="E30089" t="str">
        <v>-</v>
      </c>
      <c r="F30089" t="str">
        <v>-</v>
      </c>
      <c r="G30089" t="str">
        <v>-</v>
      </c>
    </row>
    <row r="30090" xml:space="preserve">
      <c r="B30090" t="str" xml:space="preserve">
        <v xml:space="preserve">Công an thị xã Điện Bàn _x000d_
 tỉnh Quảng Nam</v>
      </c>
      <c r="C30090" t="str">
        <v>-</v>
      </c>
      <c r="D30090" t="str">
        <v>-</v>
      </c>
      <c r="E30090" t="str">
        <v/>
      </c>
      <c r="F30090" t="str">
        <v>-</v>
      </c>
      <c r="G30090" t="str">
        <v>-</v>
      </c>
    </row>
    <row r="30091" xml:space="preserve">
      <c r="B30091" t="str" xml:space="preserve">
        <v xml:space="preserve">UBND Ủy ban nhân dân thị xã Điện Bàn _x000d_
 tỉnh Quảng Nam</v>
      </c>
      <c r="C30091" t="str">
        <v>-</v>
      </c>
      <c r="D30091" t="str">
        <v>-</v>
      </c>
      <c r="E30091" t="str">
        <v>-</v>
      </c>
      <c r="F30091" t="str">
        <v>-</v>
      </c>
      <c r="G30091" t="str">
        <v>-</v>
      </c>
    </row>
    <row r="30092">
      <c r="B30092" t="str">
        <v>Công an xã Điện Hồng tỉnh Quảng Nam</v>
      </c>
      <c r="C30092" t="str">
        <v>-</v>
      </c>
      <c r="D30092" t="str">
        <v>-</v>
      </c>
      <c r="E30092" t="str">
        <v/>
      </c>
      <c r="F30092" t="str">
        <v>-</v>
      </c>
      <c r="G30092" t="str">
        <v>-</v>
      </c>
    </row>
    <row r="30093">
      <c r="B30093" t="str">
        <v>UBND Ủy ban nhân dân xã Điện Hồng tỉnh Quảng Nam</v>
      </c>
      <c r="C30093" t="str">
        <v>-</v>
      </c>
      <c r="D30093" t="str">
        <v>-</v>
      </c>
      <c r="E30093" t="str">
        <v>-</v>
      </c>
      <c r="F30093" t="str">
        <v>-</v>
      </c>
      <c r="G30093" t="str">
        <v>-</v>
      </c>
    </row>
    <row r="30094" xml:space="preserve">
      <c r="B30094" t="str" xml:space="preserve">
        <v xml:space="preserve">Công an huyện Đông Giang _x000d_
 tỉnh Quảng Nam</v>
      </c>
      <c r="C30094" t="str">
        <v>-</v>
      </c>
      <c r="D30094" t="str">
        <v>-</v>
      </c>
      <c r="E30094" t="str">
        <v/>
      </c>
      <c r="F30094" t="str">
        <v>-</v>
      </c>
      <c r="G30094" t="str">
        <v>-</v>
      </c>
    </row>
    <row r="30095" xml:space="preserve">
      <c r="B30095" t="str" xml:space="preserve">
        <v xml:space="preserve">UBND Ủy ban nhân dân huyện Đông Giang _x000d_
 tỉnh Quảng Nam</v>
      </c>
      <c r="C30095" t="str">
        <v>-</v>
      </c>
      <c r="D30095" t="str">
        <v>-</v>
      </c>
      <c r="E30095" t="str">
        <v>-</v>
      </c>
      <c r="F30095" t="str">
        <v>-</v>
      </c>
      <c r="G30095" t="str">
        <v>-</v>
      </c>
    </row>
    <row r="30096">
      <c r="B30096" t="str">
        <v>Công an xã Duy Châu  tỉnh Quảng Nam</v>
      </c>
      <c r="C30096" t="str">
        <v>-</v>
      </c>
      <c r="D30096" t="str">
        <v>-</v>
      </c>
      <c r="E30096" t="str">
        <v/>
      </c>
      <c r="F30096" t="str">
        <v>-</v>
      </c>
      <c r="G30096" t="str">
        <v>-</v>
      </c>
    </row>
    <row r="30097">
      <c r="B30097" t="str">
        <v>UBND Ủy ban nhân dân xã Duy Châu  tỉnh Quảng Nam</v>
      </c>
      <c r="C30097" t="str">
        <v>-</v>
      </c>
      <c r="D30097" t="str">
        <v>-</v>
      </c>
      <c r="E30097" t="str">
        <v>-</v>
      </c>
      <c r="F30097" t="str">
        <v>-</v>
      </c>
      <c r="G30097" t="str">
        <v>-</v>
      </c>
    </row>
    <row r="30098">
      <c r="B30098" t="str">
        <v>Công an xã Duy Hải tỉnh Quảng Nam</v>
      </c>
      <c r="C30098" t="str">
        <v>-</v>
      </c>
      <c r="D30098" t="str">
        <v>-</v>
      </c>
      <c r="E30098" t="str">
        <v/>
      </c>
      <c r="F30098" t="str">
        <v>-</v>
      </c>
      <c r="G30098" t="str">
        <v>-</v>
      </c>
    </row>
    <row r="30099">
      <c r="B30099" t="str">
        <v>UBND Ủy ban nhân dân xã Duy Hải tỉnh Quảng Nam</v>
      </c>
      <c r="C30099" t="str">
        <v>-</v>
      </c>
      <c r="D30099" t="str">
        <v>-</v>
      </c>
      <c r="E30099" t="str">
        <v>-</v>
      </c>
      <c r="F30099" t="str">
        <v>-</v>
      </c>
      <c r="G30099" t="str">
        <v>-</v>
      </c>
    </row>
    <row r="30100">
      <c r="B30100" t="str">
        <v>Công an xã Duy Hoà  tỉnh Quảng Nam</v>
      </c>
      <c r="C30100" t="str">
        <v>-</v>
      </c>
      <c r="D30100" t="str">
        <v>-</v>
      </c>
      <c r="E30100" t="str">
        <v/>
      </c>
      <c r="F30100" t="str">
        <v>-</v>
      </c>
      <c r="G30100" t="str">
        <v>-</v>
      </c>
    </row>
    <row r="30101">
      <c r="B30101" t="str">
        <v>UBND Ủy ban nhân dân xã Duy Hoà  tỉnh Quảng Nam</v>
      </c>
      <c r="C30101" t="str">
        <v>-</v>
      </c>
      <c r="D30101" t="str">
        <v>-</v>
      </c>
      <c r="E30101" t="str">
        <v>-</v>
      </c>
      <c r="F30101" t="str">
        <v>-</v>
      </c>
      <c r="G30101" t="str">
        <v>-</v>
      </c>
    </row>
    <row r="30102">
      <c r="B30102" t="str">
        <v>Công an xã Duy Nghĩa  tỉnh Quảng Nam</v>
      </c>
      <c r="C30102" t="str">
        <v>-</v>
      </c>
      <c r="D30102" t="str">
        <v>-</v>
      </c>
      <c r="E30102" t="str">
        <v/>
      </c>
      <c r="F30102" t="str">
        <v>-</v>
      </c>
      <c r="G30102" t="str">
        <v>-</v>
      </c>
    </row>
    <row r="30103">
      <c r="B30103" t="str">
        <v>UBND Ủy ban nhân dân xã Duy Nghĩa  tỉnh Quảng Nam</v>
      </c>
      <c r="C30103" t="str">
        <v>-</v>
      </c>
      <c r="D30103" t="str">
        <v>-</v>
      </c>
      <c r="E30103" t="str">
        <v>-</v>
      </c>
      <c r="F30103" t="str">
        <v>-</v>
      </c>
      <c r="G30103" t="str">
        <v>-</v>
      </c>
    </row>
    <row r="30104" xml:space="preserve">
      <c r="B30104" t="str" xml:space="preserve">
        <v xml:space="preserve">Công an xã Duy Phú _x000d_
 tỉnh Quảng Nam</v>
      </c>
      <c r="C30104" t="str">
        <v>-</v>
      </c>
      <c r="D30104" t="str">
        <v>-</v>
      </c>
      <c r="E30104" t="str">
        <v/>
      </c>
      <c r="F30104" t="str">
        <v>-</v>
      </c>
      <c r="G30104" t="str">
        <v>-</v>
      </c>
    </row>
    <row r="30105" xml:space="preserve">
      <c r="B30105" t="str" xml:space="preserve">
        <v xml:space="preserve">UBND Ủy ban nhân dân xã Duy Phú _x000d_
 tỉnh Quảng Nam</v>
      </c>
      <c r="C30105" t="str">
        <v>-</v>
      </c>
      <c r="D30105" t="str">
        <v>-</v>
      </c>
      <c r="E30105" t="str">
        <v>-</v>
      </c>
      <c r="F30105" t="str">
        <v>-</v>
      </c>
      <c r="G30105" t="str">
        <v>-</v>
      </c>
    </row>
    <row r="30106">
      <c r="B30106" t="str">
        <v>Công an xã Duy Phước  tỉnh Quảng Nam</v>
      </c>
      <c r="C30106" t="str">
        <v>-</v>
      </c>
      <c r="D30106" t="str">
        <v>-</v>
      </c>
      <c r="E30106" t="str">
        <v/>
      </c>
      <c r="F30106" t="str">
        <v>-</v>
      </c>
      <c r="G30106" t="str">
        <v>-</v>
      </c>
    </row>
    <row r="30107">
      <c r="B30107" t="str">
        <v>UBND Ủy ban nhân dân xã Duy Phước  tỉnh Quảng Nam</v>
      </c>
      <c r="C30107" t="str">
        <v>-</v>
      </c>
      <c r="D30107" t="str">
        <v>-</v>
      </c>
      <c r="E30107" t="str">
        <v>-</v>
      </c>
      <c r="F30107" t="str">
        <v>-</v>
      </c>
      <c r="G30107" t="str">
        <v>-</v>
      </c>
    </row>
    <row r="30108">
      <c r="B30108" t="str">
        <v>Công an xã Duy Sơn  tỉnh Quảng Nam</v>
      </c>
      <c r="C30108" t="str">
        <v>-</v>
      </c>
      <c r="D30108" t="str">
        <v>-</v>
      </c>
      <c r="E30108" t="str">
        <v/>
      </c>
      <c r="F30108" t="str">
        <v>-</v>
      </c>
      <c r="G30108" t="str">
        <v>-</v>
      </c>
    </row>
    <row r="30109">
      <c r="B30109" t="str">
        <v>UBND Ủy ban nhân dân xã Duy Sơn  tỉnh Quảng Nam</v>
      </c>
      <c r="C30109" t="str">
        <v>-</v>
      </c>
      <c r="D30109" t="str">
        <v>-</v>
      </c>
      <c r="E30109" t="str">
        <v>-</v>
      </c>
      <c r="F30109" t="str">
        <v>-</v>
      </c>
      <c r="G30109" t="str">
        <v>-</v>
      </c>
    </row>
    <row r="30110">
      <c r="B30110" t="str">
        <v>Công an xã Duy Tân  tỉnh Quảng Nam</v>
      </c>
      <c r="C30110" t="str">
        <v>-</v>
      </c>
      <c r="D30110" t="str">
        <v>-</v>
      </c>
      <c r="E30110" t="str">
        <v/>
      </c>
      <c r="F30110" t="str">
        <v>-</v>
      </c>
      <c r="G30110" t="str">
        <v>-</v>
      </c>
    </row>
    <row r="30111">
      <c r="B30111" t="str">
        <v>UBND Ủy ban nhân dân xã Duy Tân  tỉnh Quảng Nam</v>
      </c>
      <c r="C30111" t="str">
        <v>-</v>
      </c>
      <c r="D30111" t="str">
        <v>-</v>
      </c>
      <c r="E30111" t="str">
        <v>-</v>
      </c>
      <c r="F30111" t="str">
        <v>-</v>
      </c>
      <c r="G30111" t="str">
        <v>-</v>
      </c>
    </row>
    <row r="30112">
      <c r="B30112" t="str">
        <v>Công an xã Duy Thu  tỉnh Quảng Nam</v>
      </c>
      <c r="C30112" t="str">
        <v>-</v>
      </c>
      <c r="D30112" t="str">
        <v>-</v>
      </c>
      <c r="E30112" t="str">
        <v/>
      </c>
      <c r="F30112" t="str">
        <v>-</v>
      </c>
      <c r="G30112" t="str">
        <v>-</v>
      </c>
    </row>
    <row r="30113">
      <c r="B30113" t="str">
        <v>UBND Ủy ban nhân dân xã Duy Thu  tỉnh Quảng Nam</v>
      </c>
      <c r="C30113" t="str">
        <v>-</v>
      </c>
      <c r="D30113" t="str">
        <v>-</v>
      </c>
      <c r="E30113" t="str">
        <v>-</v>
      </c>
      <c r="F30113" t="str">
        <v>-</v>
      </c>
      <c r="G30113" t="str">
        <v>-</v>
      </c>
    </row>
    <row r="30114">
      <c r="B30114" t="str">
        <v>Công an xã Duy Trinh  tỉnh Quảng Nam</v>
      </c>
      <c r="C30114" t="str">
        <v>-</v>
      </c>
      <c r="D30114" t="str">
        <v>-</v>
      </c>
      <c r="E30114" t="str">
        <v/>
      </c>
      <c r="F30114" t="str">
        <v>-</v>
      </c>
      <c r="G30114" t="str">
        <v>-</v>
      </c>
    </row>
    <row r="30115">
      <c r="B30115" t="str">
        <v>UBND Ủy ban nhân dân xã Duy Trinh  tỉnh Quảng Nam</v>
      </c>
      <c r="C30115" t="str">
        <v>-</v>
      </c>
      <c r="D30115" t="str">
        <v>-</v>
      </c>
      <c r="E30115" t="str">
        <v>-</v>
      </c>
      <c r="F30115" t="str">
        <v>-</v>
      </c>
      <c r="G30115" t="str">
        <v>-</v>
      </c>
    </row>
    <row r="30116">
      <c r="B30116" t="str">
        <v>Công an xã Duy Trung  tỉnh Quảng Nam</v>
      </c>
      <c r="C30116" t="str">
        <v>-</v>
      </c>
      <c r="D30116" t="str">
        <v>-</v>
      </c>
      <c r="E30116" t="str">
        <v/>
      </c>
      <c r="F30116" t="str">
        <v>-</v>
      </c>
      <c r="G30116" t="str">
        <v>-</v>
      </c>
    </row>
    <row r="30117">
      <c r="B30117" t="str">
        <v>UBND Ủy ban nhân dân xã Duy Trung  tỉnh Quảng Nam</v>
      </c>
      <c r="C30117" t="str">
        <v>-</v>
      </c>
      <c r="D30117" t="str">
        <v>-</v>
      </c>
      <c r="E30117" t="str">
        <v>-</v>
      </c>
      <c r="F30117" t="str">
        <v>-</v>
      </c>
      <c r="G30117" t="str">
        <v>-</v>
      </c>
    </row>
    <row r="30118">
      <c r="B30118" t="str">
        <v>Công an xã Duy Vinh  tỉnh Quảng Nam</v>
      </c>
      <c r="C30118" t="str">
        <v>-</v>
      </c>
      <c r="D30118" t="str">
        <v>-</v>
      </c>
      <c r="E30118" t="str">
        <v/>
      </c>
      <c r="F30118" t="str">
        <v>-</v>
      </c>
      <c r="G30118" t="str">
        <v>-</v>
      </c>
    </row>
    <row r="30119">
      <c r="B30119" t="str">
        <v>UBND Ủy ban nhân dân xã Duy Vinh  tỉnh Quảng Nam</v>
      </c>
      <c r="C30119" t="str">
        <v>-</v>
      </c>
      <c r="D30119" t="str">
        <v>-</v>
      </c>
      <c r="E30119" t="str">
        <v>-</v>
      </c>
      <c r="F30119" t="str">
        <v>-</v>
      </c>
      <c r="G30119" t="str">
        <v>-</v>
      </c>
    </row>
    <row r="30120">
      <c r="B30120" t="str">
        <v>Công an huyện Duy Xuyên  tỉnh Quảng Nam</v>
      </c>
      <c r="C30120" t="str">
        <v>-</v>
      </c>
      <c r="D30120" t="str">
        <v>-</v>
      </c>
      <c r="E30120" t="str">
        <v/>
      </c>
      <c r="F30120" t="str">
        <v>-</v>
      </c>
      <c r="G30120" t="str">
        <v>-</v>
      </c>
    </row>
    <row r="30121">
      <c r="B30121" t="str">
        <v>UBND Ủy ban nhân dân huyện Duy Xuyên  tỉnh Quảng Nam</v>
      </c>
      <c r="C30121" t="str">
        <v>-</v>
      </c>
      <c r="D30121" t="str">
        <v>-</v>
      </c>
      <c r="E30121" t="str">
        <v>-</v>
      </c>
      <c r="F30121" t="str">
        <v>-</v>
      </c>
      <c r="G30121" t="str">
        <v>-</v>
      </c>
    </row>
    <row r="30122" xml:space="preserve">
      <c r="B30122" t="str" xml:space="preserve">
        <v xml:space="preserve">Công an huyện Hiệp Đức _x000d_
 tỉnh Quảng Nam</v>
      </c>
      <c r="C30122" t="str">
        <v>-</v>
      </c>
      <c r="D30122" t="str">
        <v>-</v>
      </c>
      <c r="E30122" t="str">
        <v/>
      </c>
      <c r="F30122" t="str">
        <v>-</v>
      </c>
      <c r="G30122" t="str">
        <v>-</v>
      </c>
    </row>
    <row r="30123" xml:space="preserve">
      <c r="B30123" t="str" xml:space="preserve">
        <v xml:space="preserve">UBND Ủy ban nhân dân huyện Hiệp Đức _x000d_
 tỉnh Quảng Nam</v>
      </c>
      <c r="C30123" t="str">
        <v>-</v>
      </c>
      <c r="D30123" t="str">
        <v>-</v>
      </c>
      <c r="E30123" t="str">
        <v>-</v>
      </c>
      <c r="F30123" t="str">
        <v>-</v>
      </c>
      <c r="G30123" t="str">
        <v>-</v>
      </c>
    </row>
    <row r="30124" xml:space="preserve">
      <c r="B30124" t="str" xml:space="preserve">
        <v xml:space="preserve">Công an xã Hiệp Thuận _x000d_
 tỉnh Quảng Nam</v>
      </c>
      <c r="C30124" t="str">
        <v>-</v>
      </c>
      <c r="D30124" t="str">
        <v>-</v>
      </c>
      <c r="E30124" t="str">
        <v/>
      </c>
      <c r="F30124" t="str">
        <v>-</v>
      </c>
      <c r="G30124" t="str">
        <v>-</v>
      </c>
    </row>
    <row r="30125" xml:space="preserve">
      <c r="B30125" t="str" xml:space="preserve">
        <v xml:space="preserve">UBND Ủy ban nhân dân xã Hiệp Thuận _x000d_
 tỉnh Quảng Nam</v>
      </c>
      <c r="C30125" t="str">
        <v>-</v>
      </c>
      <c r="D30125" t="str">
        <v>-</v>
      </c>
      <c r="E30125" t="str">
        <v>-</v>
      </c>
      <c r="F30125" t="str">
        <v>-</v>
      </c>
      <c r="G30125" t="str">
        <v>-</v>
      </c>
    </row>
    <row r="30126">
      <c r="B30126" t="str">
        <v>Công an thành phố Hội An  tỉnh Quảng Nam</v>
      </c>
      <c r="C30126" t="str">
        <v>-</v>
      </c>
      <c r="D30126" t="str">
        <v>-</v>
      </c>
      <c r="E30126" t="str">
        <v/>
      </c>
      <c r="F30126" t="str">
        <v>-</v>
      </c>
      <c r="G30126" t="str">
        <v>-</v>
      </c>
    </row>
    <row r="30127">
      <c r="B30127" t="str">
        <v>UBND Ủy ban nhân dân thành phố Hội An  tỉnh Quảng Nam</v>
      </c>
      <c r="C30127" t="str">
        <v>-</v>
      </c>
      <c r="D30127" t="str">
        <v>-</v>
      </c>
      <c r="E30127" t="str">
        <v>-</v>
      </c>
      <c r="F30127" t="str">
        <v>-</v>
      </c>
      <c r="G30127" t="str">
        <v>-</v>
      </c>
    </row>
    <row r="30128">
      <c r="B30128" t="str">
        <v>Công an xã Jơ Ngây  tỉnh Quảng Nam</v>
      </c>
      <c r="C30128" t="str">
        <v>-</v>
      </c>
      <c r="D30128" t="str">
        <v>-</v>
      </c>
      <c r="E30128" t="str">
        <v/>
      </c>
      <c r="F30128" t="str">
        <v>-</v>
      </c>
      <c r="G30128" t="str">
        <v>-</v>
      </c>
    </row>
    <row r="30129">
      <c r="B30129" t="str">
        <v>UBND Ủy ban nhân dân xã Jơ Ngây  tỉnh Quảng Nam</v>
      </c>
      <c r="C30129" t="str">
        <v>-</v>
      </c>
      <c r="D30129" t="str">
        <v>-</v>
      </c>
      <c r="E30129" t="str">
        <v>-</v>
      </c>
      <c r="F30129" t="str">
        <v>-</v>
      </c>
      <c r="G30129" t="str">
        <v>-</v>
      </c>
    </row>
    <row r="30130" xml:space="preserve">
      <c r="B30130" t="str" xml:space="preserve">
        <v xml:space="preserve">Công an xã Kà Dăng _x000d_
 tỉnh Quảng Nam</v>
      </c>
      <c r="C30130" t="str">
        <v>-</v>
      </c>
      <c r="D30130" t="str">
        <v>-</v>
      </c>
      <c r="E30130" t="str">
        <v/>
      </c>
      <c r="F30130" t="str">
        <v>-</v>
      </c>
      <c r="G30130" t="str">
        <v>-</v>
      </c>
    </row>
    <row r="30131" xml:space="preserve">
      <c r="B30131" t="str" xml:space="preserve">
        <v xml:space="preserve">UBND Ủy ban nhân dân xã Kà Dăng _x000d_
 tỉnh Quảng Nam</v>
      </c>
      <c r="C30131" t="str">
        <v>-</v>
      </c>
      <c r="D30131" t="str">
        <v>-</v>
      </c>
      <c r="E30131" t="str">
        <v>-</v>
      </c>
      <c r="F30131" t="str">
        <v>-</v>
      </c>
      <c r="G30131" t="str">
        <v>-</v>
      </c>
    </row>
    <row r="30132" xml:space="preserve">
      <c r="B30132" t="str" xml:space="preserve">
        <v xml:space="preserve">Công an xã Mà Cooih _x000d_
 tỉnh Quảng Nam</v>
      </c>
      <c r="C30132" t="str">
        <v>-</v>
      </c>
      <c r="D30132" t="str">
        <v>-</v>
      </c>
      <c r="E30132" t="str">
        <v/>
      </c>
      <c r="F30132" t="str">
        <v>-</v>
      </c>
      <c r="G30132" t="str">
        <v>-</v>
      </c>
    </row>
    <row r="30133" xml:space="preserve">
      <c r="B30133" t="str" xml:space="preserve">
        <v xml:space="preserve">UBND Ủy ban nhân dân xã Mà Cooih _x000d_
 tỉnh Quảng Nam</v>
      </c>
      <c r="C30133" t="str">
        <v>-</v>
      </c>
      <c r="D30133" t="str">
        <v>-</v>
      </c>
      <c r="E30133" t="str">
        <v>-</v>
      </c>
      <c r="F30133" t="str">
        <v>-</v>
      </c>
      <c r="G30133" t="str">
        <v>-</v>
      </c>
    </row>
    <row r="30134" xml:space="preserve">
      <c r="B30134" t="str" xml:space="preserve">
        <v xml:space="preserve">Công an tỉnh Nam Định _x000d_
 tỉnh Nam Định</v>
      </c>
      <c r="C30134" t="str">
        <v>-</v>
      </c>
      <c r="D30134" t="str">
        <v>-</v>
      </c>
      <c r="E30134" t="str">
        <v/>
      </c>
      <c r="F30134" t="str">
        <v>-</v>
      </c>
      <c r="G30134" t="str">
        <v>-</v>
      </c>
    </row>
    <row r="30135" xml:space="preserve">
      <c r="B30135" t="str" xml:space="preserve">
        <v xml:space="preserve">UBND Ủy ban nhân dân tỉnh Nam Định _x000d_
 tỉnh Nam Định</v>
      </c>
      <c r="C30135" t="str">
        <v>-</v>
      </c>
      <c r="D30135" t="str">
        <v>-</v>
      </c>
      <c r="E30135" t="str">
        <v>-</v>
      </c>
      <c r="F30135" t="str">
        <v>-</v>
      </c>
      <c r="G30135" t="str">
        <v>-</v>
      </c>
    </row>
    <row r="30136" xml:space="preserve">
      <c r="B30136" t="str" xml:space="preserve">
        <v xml:space="preserve">Công an huyện Nam Giang _x000d_
 tỉnh Quảng Nam</v>
      </c>
      <c r="C30136" t="str">
        <v>-</v>
      </c>
      <c r="D30136" t="str">
        <v>-</v>
      </c>
      <c r="E30136" t="str">
        <v/>
      </c>
      <c r="F30136" t="str">
        <v>-</v>
      </c>
      <c r="G30136" t="str">
        <v>-</v>
      </c>
    </row>
    <row r="30137" xml:space="preserve">
      <c r="B30137" t="str" xml:space="preserve">
        <v xml:space="preserve">UBND Ủy ban nhân dân huyện Nam Giang _x000d_
 tỉnh Quảng Nam</v>
      </c>
      <c r="C30137" t="str">
        <v>-</v>
      </c>
      <c r="D30137" t="str">
        <v>-</v>
      </c>
      <c r="E30137" t="str">
        <v>-</v>
      </c>
      <c r="F30137" t="str">
        <v>-</v>
      </c>
      <c r="G30137" t="str">
        <v>-</v>
      </c>
    </row>
    <row r="30138">
      <c r="B30138" t="str">
        <v>Công an huyện Nam Trà My  tỉnh Quảng Nam</v>
      </c>
      <c r="C30138" t="str">
        <v>-</v>
      </c>
      <c r="D30138" t="str">
        <v>-</v>
      </c>
      <c r="E30138" t="str">
        <v/>
      </c>
      <c r="F30138" t="str">
        <v>-</v>
      </c>
      <c r="G30138" t="str">
        <v>-</v>
      </c>
    </row>
    <row r="30139">
      <c r="B30139" t="str">
        <v>UBND Ủy ban nhân dân huyện Nam Trà My  tỉnh Quảng Nam</v>
      </c>
      <c r="C30139" t="str">
        <v>-</v>
      </c>
      <c r="D30139" t="str">
        <v>-</v>
      </c>
      <c r="E30139" t="str">
        <v>-</v>
      </c>
      <c r="F30139" t="str">
        <v>-</v>
      </c>
      <c r="G30139" t="str">
        <v>-</v>
      </c>
    </row>
    <row r="30140">
      <c r="B30140" t="str">
        <v>Công an xã Nga Vịn tỉnh Thanh Hóa</v>
      </c>
      <c r="C30140" t="str">
        <v>-</v>
      </c>
      <c r="D30140" t="str">
        <v>-</v>
      </c>
      <c r="E30140" t="str">
        <v/>
      </c>
      <c r="F30140" t="str">
        <v>-</v>
      </c>
      <c r="G30140" t="str">
        <v>-</v>
      </c>
    </row>
    <row r="30141">
      <c r="B30141" t="str">
        <v>UBND Ủy ban nhân dân xã Nga Vịn tỉnh Thanh Hóa</v>
      </c>
      <c r="C30141" t="str">
        <v>-</v>
      </c>
      <c r="D30141" t="str">
        <v>-</v>
      </c>
      <c r="E30141" t="str">
        <v>-</v>
      </c>
      <c r="F30141" t="str">
        <v>-</v>
      </c>
      <c r="G30141" t="str">
        <v>-</v>
      </c>
    </row>
    <row r="30142">
      <c r="B30142" t="str">
        <v>Công an huyện Nông Sơn  tỉnh Quảng Nam</v>
      </c>
      <c r="C30142" t="str">
        <v>-</v>
      </c>
      <c r="D30142" t="str">
        <v>-</v>
      </c>
      <c r="E30142" t="str">
        <v/>
      </c>
      <c r="F30142" t="str">
        <v>-</v>
      </c>
      <c r="G30142" t="str">
        <v>-</v>
      </c>
    </row>
    <row r="30143">
      <c r="B30143" t="str">
        <v>UBND Ủy ban nhân dân huyện Nông Sơn  tỉnh Quảng Nam</v>
      </c>
      <c r="C30143" t="str">
        <v>-</v>
      </c>
      <c r="D30143" t="str">
        <v>-</v>
      </c>
      <c r="E30143" t="str">
        <v>-</v>
      </c>
      <c r="F30143" t="str">
        <v>-</v>
      </c>
      <c r="G30143" t="str">
        <v>-</v>
      </c>
    </row>
    <row r="30144">
      <c r="B30144" t="str">
        <v>Công an huyện Phú Ninh  tỉnh Quảng Nam</v>
      </c>
      <c r="C30144" t="str">
        <v>-</v>
      </c>
      <c r="D30144" t="str">
        <v>-</v>
      </c>
      <c r="E30144" t="str">
        <v/>
      </c>
      <c r="F30144" t="str">
        <v>-</v>
      </c>
      <c r="G30144" t="str">
        <v>-</v>
      </c>
    </row>
    <row r="30145">
      <c r="B30145" t="str">
        <v>UBND Ủy ban nhân dân huyện Phú Ninh  tỉnh Quảng Nam</v>
      </c>
      <c r="C30145" t="str">
        <v>-</v>
      </c>
      <c r="D30145" t="str">
        <v>-</v>
      </c>
      <c r="E30145" t="str">
        <v>-</v>
      </c>
      <c r="F30145" t="str">
        <v>-</v>
      </c>
      <c r="G30145" t="str">
        <v>-</v>
      </c>
    </row>
    <row r="30146" xml:space="preserve">
      <c r="B30146" t="str" xml:space="preserve">
        <v xml:space="preserve">Công an xã Phước Đức _x000d_
 tỉnh Quảng Nam</v>
      </c>
      <c r="C30146" t="str">
        <v>-</v>
      </c>
      <c r="D30146" t="str">
        <v>-</v>
      </c>
      <c r="E30146" t="str">
        <v/>
      </c>
      <c r="F30146" t="str">
        <v>-</v>
      </c>
      <c r="G30146" t="str">
        <v>-</v>
      </c>
    </row>
    <row r="30147" xml:space="preserve">
      <c r="B30147" t="str" xml:space="preserve">
        <v xml:space="preserve">UBND Ủy ban nhân dân xã Phước Đức _x000d_
 tỉnh Quảng Nam</v>
      </c>
      <c r="C30147" t="str">
        <v>-</v>
      </c>
      <c r="D30147" t="str">
        <v>-</v>
      </c>
      <c r="E30147" t="str">
        <v>-</v>
      </c>
      <c r="F30147" t="str">
        <v>-</v>
      </c>
      <c r="G30147" t="str">
        <v>-</v>
      </c>
    </row>
    <row r="30148">
      <c r="B30148" t="str">
        <v>Công an xã Phước Gia  tỉnh Quảng Nam</v>
      </c>
      <c r="C30148" t="str">
        <v>-</v>
      </c>
      <c r="D30148" t="str">
        <v>-</v>
      </c>
      <c r="E30148" t="str">
        <v/>
      </c>
      <c r="F30148" t="str">
        <v>-</v>
      </c>
      <c r="G30148" t="str">
        <v>-</v>
      </c>
    </row>
    <row r="30149">
      <c r="B30149" t="str">
        <v>UBND Ủy ban nhân dân xã Phước Gia  tỉnh Quảng Nam</v>
      </c>
      <c r="C30149" t="str">
        <v>-</v>
      </c>
      <c r="D30149" t="str">
        <v>-</v>
      </c>
      <c r="E30149" t="str">
        <v>-</v>
      </c>
      <c r="F30149" t="str">
        <v>-</v>
      </c>
      <c r="G30149" t="str">
        <v>-</v>
      </c>
    </row>
    <row r="30150">
      <c r="B30150" t="str">
        <v>Công an xã Phước Kim  tỉnh Quảng Nam</v>
      </c>
      <c r="C30150" t="str">
        <v>-</v>
      </c>
      <c r="D30150" t="str">
        <v>-</v>
      </c>
      <c r="E30150" t="str">
        <v/>
      </c>
      <c r="F30150" t="str">
        <v>-</v>
      </c>
      <c r="G30150" t="str">
        <v>-</v>
      </c>
    </row>
    <row r="30151">
      <c r="B30151" t="str">
        <v>UBND Ủy ban nhân dân xã Phước Kim  tỉnh Quảng Nam</v>
      </c>
      <c r="C30151" t="str">
        <v>-</v>
      </c>
      <c r="D30151" t="str">
        <v>-</v>
      </c>
      <c r="E30151" t="str">
        <v>-</v>
      </c>
      <c r="F30151" t="str">
        <v>-</v>
      </c>
      <c r="G30151" t="str">
        <v>-</v>
      </c>
    </row>
    <row r="30152" xml:space="preserve">
      <c r="B30152" t="str" xml:space="preserve">
        <v xml:space="preserve">Công an xã Phước Mỹ _x000d_
 tỉnh Quảng Nam</v>
      </c>
      <c r="C30152" t="str">
        <v>-</v>
      </c>
      <c r="D30152" t="str">
        <v>-</v>
      </c>
      <c r="E30152" t="str">
        <v/>
      </c>
      <c r="F30152" t="str">
        <v>-</v>
      </c>
      <c r="G30152" t="str">
        <v>-</v>
      </c>
    </row>
    <row r="30153" xml:space="preserve">
      <c r="B30153" t="str" xml:space="preserve">
        <v xml:space="preserve">UBND Ủy ban nhân dân xã Phước Mỹ _x000d_
 tỉnh Quảng Nam</v>
      </c>
      <c r="C30153" t="str">
        <v>-</v>
      </c>
      <c r="D30153" t="str">
        <v>-</v>
      </c>
      <c r="E30153" t="str">
        <v>-</v>
      </c>
      <c r="F30153" t="str">
        <v>-</v>
      </c>
      <c r="G30153" t="str">
        <v>-</v>
      </c>
    </row>
    <row r="30154">
      <c r="B30154" t="str">
        <v>Công an xã Phước Năng  tỉnh Quảng Nam</v>
      </c>
      <c r="C30154" t="str">
        <v>-</v>
      </c>
      <c r="D30154" t="str">
        <v>-</v>
      </c>
      <c r="E30154" t="str">
        <v/>
      </c>
      <c r="F30154" t="str">
        <v>-</v>
      </c>
      <c r="G30154" t="str">
        <v>-</v>
      </c>
    </row>
    <row r="30155">
      <c r="B30155" t="str">
        <v>UBND Ủy ban nhân dân xã Phước Năng  tỉnh Quảng Nam</v>
      </c>
      <c r="C30155" t="str">
        <v>-</v>
      </c>
      <c r="D30155" t="str">
        <v>-</v>
      </c>
      <c r="E30155" t="str">
        <v>-</v>
      </c>
      <c r="F30155" t="str">
        <v>-</v>
      </c>
      <c r="G30155" t="str">
        <v>-</v>
      </c>
    </row>
    <row r="30156">
      <c r="B30156" t="str">
        <v>Công an thị trấn Prao tỉnh Quảng Nam</v>
      </c>
      <c r="C30156" t="str">
        <v>-</v>
      </c>
      <c r="D30156" t="str">
        <v>-</v>
      </c>
      <c r="E30156" t="str">
        <v/>
      </c>
      <c r="F30156" t="str">
        <v>-</v>
      </c>
      <c r="G30156" t="str">
        <v>-</v>
      </c>
    </row>
    <row r="30157">
      <c r="B30157" t="str">
        <v>UBND Ủy ban nhân dân thị trấn Prao tỉnh Quảng Nam</v>
      </c>
      <c r="C30157" t="str">
        <v>-</v>
      </c>
      <c r="D30157" t="str">
        <v>-</v>
      </c>
      <c r="E30157" t="str">
        <v>-</v>
      </c>
      <c r="F30157" t="str">
        <v>-</v>
      </c>
      <c r="G30157" t="str">
        <v>-</v>
      </c>
    </row>
    <row r="30158">
      <c r="B30158" t="str">
        <v>Công an tỉnh Quảng Nam  tỉnh Quảng Nam</v>
      </c>
      <c r="C30158" t="str">
        <v>-</v>
      </c>
      <c r="D30158" t="str">
        <v>-</v>
      </c>
      <c r="E30158" t="str">
        <v/>
      </c>
      <c r="F30158" t="str">
        <v>-</v>
      </c>
      <c r="G30158" t="str">
        <v>-</v>
      </c>
    </row>
    <row r="30159">
      <c r="B30159" t="str">
        <v>UBND Ủy ban nhân dân tỉnh Quảng Nam  tỉnh Quảng Nam</v>
      </c>
      <c r="C30159" t="str">
        <v>-</v>
      </c>
      <c r="D30159" t="str">
        <v>-</v>
      </c>
      <c r="E30159" t="str">
        <v>-</v>
      </c>
      <c r="F30159" t="str">
        <v>-</v>
      </c>
      <c r="G30159" t="str">
        <v>-</v>
      </c>
    </row>
    <row r="30160">
      <c r="B30160" t="str">
        <v>Công an xã Quế Long  tỉnh Quảng Nam</v>
      </c>
      <c r="C30160" t="str">
        <v>-</v>
      </c>
      <c r="D30160" t="str">
        <v>-</v>
      </c>
      <c r="E30160" t="str">
        <v/>
      </c>
      <c r="F30160" t="str">
        <v>-</v>
      </c>
      <c r="G30160" t="str">
        <v>-</v>
      </c>
    </row>
    <row r="30161">
      <c r="B30161" t="str">
        <v>UBND Ủy ban nhân dân xã Quế Long  tỉnh Quảng Nam</v>
      </c>
      <c r="C30161" t="str">
        <v>-</v>
      </c>
      <c r="D30161" t="str">
        <v>-</v>
      </c>
      <c r="E30161" t="str">
        <v>-</v>
      </c>
      <c r="F30161" t="str">
        <v>-</v>
      </c>
      <c r="G30161" t="str">
        <v>-</v>
      </c>
    </row>
    <row r="30162" xml:space="preserve">
      <c r="B30162" t="str" xml:space="preserve">
        <v xml:space="preserve">Công an xã Quế Phú _x000d_
 tỉnh Quảng Nam</v>
      </c>
      <c r="C30162" t="str">
        <v>-</v>
      </c>
      <c r="D30162" t="str">
        <v>-</v>
      </c>
      <c r="E30162" t="str">
        <v/>
      </c>
      <c r="F30162" t="str">
        <v>-</v>
      </c>
      <c r="G30162" t="str">
        <v>-</v>
      </c>
    </row>
    <row r="30163" xml:space="preserve">
      <c r="B30163" t="str" xml:space="preserve">
        <v xml:space="preserve">UBND Ủy ban nhân dân xã Quế Phú _x000d_
 tỉnh Quảng Nam</v>
      </c>
      <c r="C30163" t="str">
        <v>-</v>
      </c>
      <c r="D30163" t="str">
        <v>-</v>
      </c>
      <c r="E30163" t="str">
        <v>-</v>
      </c>
      <c r="F30163" t="str">
        <v>-</v>
      </c>
      <c r="G30163" t="str">
        <v>-</v>
      </c>
    </row>
    <row r="30164" xml:space="preserve">
      <c r="B30164" t="str" xml:space="preserve">
        <v xml:space="preserve">Công an huyện Quế Sơn _x000d_
 tỉnh Quảng Nam</v>
      </c>
      <c r="C30164" t="str">
        <v>-</v>
      </c>
      <c r="D30164" t="str">
        <v>-</v>
      </c>
      <c r="E30164" t="str">
        <v/>
      </c>
      <c r="F30164" t="str">
        <v>-</v>
      </c>
      <c r="G30164" t="str">
        <v>-</v>
      </c>
    </row>
    <row r="30165" xml:space="preserve">
      <c r="B30165" t="str" xml:space="preserve">
        <v xml:space="preserve">UBND Ủy ban nhân dân huyện Quế Sơn _x000d_
 tỉnh Quảng Nam</v>
      </c>
      <c r="C30165" t="str">
        <v>-</v>
      </c>
      <c r="D30165" t="str">
        <v>-</v>
      </c>
      <c r="E30165" t="str">
        <v>-</v>
      </c>
      <c r="F30165" t="str">
        <v>-</v>
      </c>
      <c r="G30165" t="str">
        <v>-</v>
      </c>
    </row>
    <row r="30166" xml:space="preserve">
      <c r="B30166" t="str" xml:space="preserve">
        <v xml:space="preserve">Công an xã Quế Thuận _x000d_
 tỉnh Quảng Nam</v>
      </c>
      <c r="C30166" t="str">
        <v>-</v>
      </c>
      <c r="D30166" t="str">
        <v>-</v>
      </c>
      <c r="E30166" t="str">
        <v/>
      </c>
      <c r="F30166" t="str">
        <v>-</v>
      </c>
      <c r="G30166" t="str">
        <v>-</v>
      </c>
    </row>
    <row r="30167" xml:space="preserve">
      <c r="B30167" t="str" xml:space="preserve">
        <v xml:space="preserve">UBND Ủy ban nhân dân xã Quế Thuận _x000d_
 tỉnh Quảng Nam</v>
      </c>
      <c r="C30167" t="str">
        <v>-</v>
      </c>
      <c r="D30167" t="str">
        <v>-</v>
      </c>
      <c r="E30167" t="str">
        <v>-</v>
      </c>
      <c r="F30167" t="str">
        <v>-</v>
      </c>
      <c r="G30167" t="str">
        <v>-</v>
      </c>
    </row>
    <row r="30168" xml:space="preserve">
      <c r="B30168" t="str" xml:space="preserve">
        <v xml:space="preserve">Công an thị trấn Trung Phước _x000d_
 tỉnh Quảng Nam</v>
      </c>
      <c r="C30168" t="str">
        <v>-</v>
      </c>
      <c r="D30168" t="str">
        <v>-</v>
      </c>
      <c r="E30168" t="str">
        <v/>
      </c>
      <c r="F30168" t="str">
        <v>-</v>
      </c>
      <c r="G30168" t="str">
        <v>-</v>
      </c>
    </row>
    <row r="30169" xml:space="preserve">
      <c r="B30169" t="str" xml:space="preserve">
        <v xml:space="preserve">UBND Ủy ban nhân dân thị trấn Trung Phước _x000d_
 tỉnh Quảng Nam</v>
      </c>
      <c r="C30169" t="str">
        <v>-</v>
      </c>
      <c r="D30169" t="str">
        <v>-</v>
      </c>
      <c r="E30169" t="str">
        <v>-</v>
      </c>
      <c r="F30169" t="str">
        <v>-</v>
      </c>
      <c r="G30169" t="str">
        <v>-</v>
      </c>
    </row>
    <row r="30170">
      <c r="B30170" t="str">
        <v>Công an xã Sông Kôn  tỉnh Quảng Nam</v>
      </c>
      <c r="C30170" t="str">
        <v>-</v>
      </c>
      <c r="D30170" t="str">
        <v>-</v>
      </c>
      <c r="E30170" t="str">
        <v/>
      </c>
      <c r="F30170" t="str">
        <v>-</v>
      </c>
      <c r="G30170" t="str">
        <v>-</v>
      </c>
    </row>
    <row r="30171">
      <c r="B30171" t="str">
        <v>UBND Ủy ban nhân dân xã Sông Kôn  tỉnh Quảng Nam</v>
      </c>
      <c r="C30171" t="str">
        <v>-</v>
      </c>
      <c r="D30171" t="str">
        <v>-</v>
      </c>
      <c r="E30171" t="str">
        <v>-</v>
      </c>
      <c r="F30171" t="str">
        <v>-</v>
      </c>
      <c r="G30171" t="str">
        <v>-</v>
      </c>
    </row>
    <row r="30172">
      <c r="B30172" t="str">
        <v>Công an xã Tà Lu  tỉnh Quảng Nam</v>
      </c>
      <c r="C30172" t="str">
        <v>-</v>
      </c>
      <c r="D30172" t="str">
        <v>-</v>
      </c>
      <c r="E30172" t="str">
        <v/>
      </c>
      <c r="F30172" t="str">
        <v>-</v>
      </c>
      <c r="G30172" t="str">
        <v>-</v>
      </c>
    </row>
    <row r="30173">
      <c r="B30173" t="str">
        <v>UBND Ủy ban nhân dân xã Tà Lu  tỉnh Quảng Nam</v>
      </c>
      <c r="C30173" t="str">
        <v>-</v>
      </c>
      <c r="D30173" t="str">
        <v>-</v>
      </c>
      <c r="E30173" t="str">
        <v>-</v>
      </c>
      <c r="F30173" t="str">
        <v>-</v>
      </c>
      <c r="G30173" t="str">
        <v>-</v>
      </c>
    </row>
    <row r="30174">
      <c r="B30174" t="str">
        <v>Công an xã Tam Lãnh  tỉnh Quảng Nam</v>
      </c>
      <c r="C30174" t="str">
        <v>-</v>
      </c>
      <c r="D30174" t="str">
        <v>-</v>
      </c>
      <c r="E30174" t="str">
        <v/>
      </c>
      <c r="F30174" t="str">
        <v>-</v>
      </c>
      <c r="G30174" t="str">
        <v>-</v>
      </c>
    </row>
    <row r="30175">
      <c r="B30175" t="str">
        <v>UBND Ủy ban nhân dân xã Tam Lãnh  tỉnh Quảng Nam</v>
      </c>
      <c r="C30175" t="str">
        <v>-</v>
      </c>
      <c r="D30175" t="str">
        <v>-</v>
      </c>
      <c r="E30175" t="str">
        <v>-</v>
      </c>
      <c r="F30175" t="str">
        <v>-</v>
      </c>
      <c r="G30175" t="str">
        <v>-</v>
      </c>
    </row>
    <row r="30176">
      <c r="B30176" t="str">
        <v>Công an xã Tam Xuân I  tỉnh Quảng Nam</v>
      </c>
      <c r="C30176" t="str">
        <v>-</v>
      </c>
      <c r="D30176" t="str">
        <v>-</v>
      </c>
      <c r="E30176" t="str">
        <v/>
      </c>
      <c r="F30176" t="str">
        <v>-</v>
      </c>
      <c r="G30176" t="str">
        <v>-</v>
      </c>
    </row>
    <row r="30177">
      <c r="B30177" t="str">
        <v>UBND Ủy ban nhân dân xã Tam Xuân I  tỉnh Quảng Nam</v>
      </c>
      <c r="C30177" t="str">
        <v>-</v>
      </c>
      <c r="D30177" t="str">
        <v>-</v>
      </c>
      <c r="E30177" t="str">
        <v>-</v>
      </c>
      <c r="F30177" t="str">
        <v>-</v>
      </c>
      <c r="G30177" t="str">
        <v>-</v>
      </c>
    </row>
    <row r="30178">
      <c r="B30178" t="str">
        <v>Công an thị trấn Tân Bình  tỉnh Quảng Nam</v>
      </c>
      <c r="C30178" t="str">
        <v>-</v>
      </c>
      <c r="D30178" t="str">
        <v>-</v>
      </c>
      <c r="E30178" t="str">
        <v/>
      </c>
      <c r="F30178" t="str">
        <v>-</v>
      </c>
      <c r="G30178" t="str">
        <v>-</v>
      </c>
    </row>
    <row r="30179">
      <c r="B30179" t="str">
        <v>UBND Ủy ban nhân dân thị trấn Tân Bình  tỉnh Quảng Nam</v>
      </c>
      <c r="C30179" t="str">
        <v>-</v>
      </c>
      <c r="D30179" t="str">
        <v>-</v>
      </c>
      <c r="E30179" t="str">
        <v>-</v>
      </c>
      <c r="F30179" t="str">
        <v>-</v>
      </c>
      <c r="G30179" t="str">
        <v>-</v>
      </c>
    </row>
    <row r="30180">
      <c r="B30180" t="str">
        <v>Công an huyện Tây Giang  tỉnh Quảng Nam</v>
      </c>
      <c r="C30180" t="str">
        <v>-</v>
      </c>
      <c r="D30180" t="str">
        <v>-</v>
      </c>
      <c r="E30180" t="str">
        <v/>
      </c>
      <c r="F30180" t="str">
        <v>-</v>
      </c>
      <c r="G30180" t="str">
        <v>-</v>
      </c>
    </row>
    <row r="30181">
      <c r="B30181" t="str">
        <v>UBND Ủy ban nhân dân huyện Tây Giang  tỉnh Quảng Nam</v>
      </c>
      <c r="C30181" t="str">
        <v>-</v>
      </c>
      <c r="D30181" t="str">
        <v>-</v>
      </c>
      <c r="E30181" t="str">
        <v>-</v>
      </c>
      <c r="F30181" t="str">
        <v>-</v>
      </c>
      <c r="G30181" t="str">
        <v>-</v>
      </c>
    </row>
    <row r="30182" xml:space="preserve">
      <c r="B30182" t="str" xml:space="preserve">
        <v xml:space="preserve">Công an huyện Thăng Bình _x000d_
 tỉnh Quảng Nam</v>
      </c>
      <c r="C30182" t="str">
        <v>-</v>
      </c>
      <c r="D30182" t="str">
        <v>-</v>
      </c>
      <c r="E30182" t="str">
        <v/>
      </c>
      <c r="F30182" t="str">
        <v>-</v>
      </c>
      <c r="G30182" t="str">
        <v>-</v>
      </c>
    </row>
    <row r="30183" xml:space="preserve">
      <c r="B30183" t="str" xml:space="preserve">
        <v xml:space="preserve">UBND Ủy ban nhân dân huyện Thăng Bình _x000d_
 tỉnh Quảng Nam</v>
      </c>
      <c r="C30183" t="str">
        <v>-</v>
      </c>
      <c r="D30183" t="str">
        <v>-</v>
      </c>
      <c r="E30183" t="str">
        <v>-</v>
      </c>
      <c r="F30183" t="str">
        <v>-</v>
      </c>
      <c r="G30183" t="str">
        <v>-</v>
      </c>
    </row>
    <row r="30184" xml:space="preserve">
      <c r="B30184" t="str" xml:space="preserve">
        <v xml:space="preserve">Công an xã Thụy Dân _x000d_
 tỉnh Thái Bình</v>
      </c>
      <c r="C30184" t="str">
        <v>-</v>
      </c>
      <c r="D30184" t="str">
        <v>-</v>
      </c>
      <c r="E30184" t="str">
        <v/>
      </c>
      <c r="F30184" t="str">
        <v>-</v>
      </c>
      <c r="G30184" t="str">
        <v>-</v>
      </c>
    </row>
    <row r="30185" xml:space="preserve">
      <c r="B30185" t="str" xml:space="preserve">
        <v xml:space="preserve">UBND Ủy ban nhân dân xã Thụy Dân _x000d_
 tỉnh Thái Bình</v>
      </c>
      <c r="C30185" t="str">
        <v>-</v>
      </c>
      <c r="D30185" t="str">
        <v>-</v>
      </c>
      <c r="E30185" t="str">
        <v>-</v>
      </c>
      <c r="F30185" t="str">
        <v>-</v>
      </c>
      <c r="G30185" t="str">
        <v>-</v>
      </c>
    </row>
    <row r="30186" xml:space="preserve">
      <c r="B30186" t="str" xml:space="preserve">
        <v xml:space="preserve">Công an xã Tiên Cảnh _x000d_
 tỉnh Quảng Nam</v>
      </c>
      <c r="C30186" t="str">
        <v>-</v>
      </c>
      <c r="D30186" t="str">
        <v>-</v>
      </c>
      <c r="E30186" t="str">
        <v/>
      </c>
      <c r="F30186" t="str">
        <v>-</v>
      </c>
      <c r="G30186" t="str">
        <v>-</v>
      </c>
    </row>
    <row r="30187" xml:space="preserve">
      <c r="B30187" t="str" xml:space="preserve">
        <v xml:space="preserve">UBND Ủy ban nhân dân xã Tiên Cảnh _x000d_
 tỉnh Quảng Nam</v>
      </c>
      <c r="C30187" t="str">
        <v>-</v>
      </c>
      <c r="D30187" t="str">
        <v>-</v>
      </c>
      <c r="E30187" t="str">
        <v>-</v>
      </c>
      <c r="F30187" t="str">
        <v>-</v>
      </c>
      <c r="G30187" t="str">
        <v>-</v>
      </c>
    </row>
    <row r="30188">
      <c r="B30188" t="str">
        <v>Công an xã Tiên Châu  tỉnh Quảng Nam</v>
      </c>
      <c r="C30188" t="str">
        <v>-</v>
      </c>
      <c r="D30188" t="str">
        <v>-</v>
      </c>
      <c r="E30188" t="str">
        <v/>
      </c>
      <c r="F30188" t="str">
        <v>-</v>
      </c>
      <c r="G30188" t="str">
        <v>-</v>
      </c>
    </row>
    <row r="30189">
      <c r="B30189" t="str">
        <v>UBND Ủy ban nhân dân xã Tiên Châu  tỉnh Quảng Nam</v>
      </c>
      <c r="C30189" t="str">
        <v>-</v>
      </c>
      <c r="D30189" t="str">
        <v>-</v>
      </c>
      <c r="E30189" t="str">
        <v>-</v>
      </c>
      <c r="F30189" t="str">
        <v>-</v>
      </c>
      <c r="G30189" t="str">
        <v>-</v>
      </c>
    </row>
    <row r="30190" xml:space="preserve">
      <c r="B30190" t="str" xml:space="preserve">
        <v xml:space="preserve">Công an xã Tiên Hà _x000d_
 tỉnh Quảng Nam</v>
      </c>
      <c r="C30190" t="str">
        <v>-</v>
      </c>
      <c r="D30190" t="str">
        <v>-</v>
      </c>
      <c r="E30190" t="str">
        <v/>
      </c>
      <c r="F30190" t="str">
        <v>-</v>
      </c>
      <c r="G30190" t="str">
        <v>-</v>
      </c>
    </row>
    <row r="30191" xml:space="preserve">
      <c r="B30191" t="str" xml:space="preserve">
        <v xml:space="preserve">UBND Ủy ban nhân dân xã Tiên Hà _x000d_
 tỉnh Quảng Nam</v>
      </c>
      <c r="C30191" t="str">
        <v>-</v>
      </c>
      <c r="D30191" t="str">
        <v>-</v>
      </c>
      <c r="E30191" t="str">
        <v>-</v>
      </c>
      <c r="F30191" t="str">
        <v>-</v>
      </c>
      <c r="G30191" t="str">
        <v>-</v>
      </c>
    </row>
    <row r="30192">
      <c r="B30192" t="str">
        <v>Công an xã Tiên Lãnh  tỉnh Quảng Nam</v>
      </c>
      <c r="C30192" t="str">
        <v>-</v>
      </c>
      <c r="D30192" t="str">
        <v>-</v>
      </c>
      <c r="E30192" t="str">
        <v/>
      </c>
      <c r="F30192" t="str">
        <v>-</v>
      </c>
      <c r="G30192" t="str">
        <v>-</v>
      </c>
    </row>
    <row r="30193">
      <c r="B30193" t="str">
        <v>UBND Ủy ban nhân dân xã Tiên Lãnh  tỉnh Quảng Nam</v>
      </c>
      <c r="C30193" t="str">
        <v>-</v>
      </c>
      <c r="D30193" t="str">
        <v>-</v>
      </c>
      <c r="E30193" t="str">
        <v>-</v>
      </c>
      <c r="F30193" t="str">
        <v>-</v>
      </c>
      <c r="G30193" t="str">
        <v>-</v>
      </c>
    </row>
    <row r="30194">
      <c r="B30194" t="str">
        <v>Công an xã Tiên Ngọc  tỉnh Quảng Nam</v>
      </c>
      <c r="C30194" t="str">
        <v>-</v>
      </c>
      <c r="D30194" t="str">
        <v>-</v>
      </c>
      <c r="E30194" t="str">
        <v/>
      </c>
      <c r="F30194" t="str">
        <v>-</v>
      </c>
      <c r="G30194" t="str">
        <v>-</v>
      </c>
    </row>
    <row r="30195">
      <c r="B30195" t="str">
        <v>UBND Ủy ban nhân dân xã Tiên Ngọc  tỉnh Quảng Nam</v>
      </c>
      <c r="C30195" t="str">
        <v>-</v>
      </c>
      <c r="D30195" t="str">
        <v>-</v>
      </c>
      <c r="E30195" t="str">
        <v>-</v>
      </c>
      <c r="F30195" t="str">
        <v>-</v>
      </c>
      <c r="G30195" t="str">
        <v>-</v>
      </c>
    </row>
    <row r="30196">
      <c r="B30196" t="str">
        <v>Công an xã Tiên Phong  tỉnh Quảng Nam</v>
      </c>
      <c r="C30196" t="str">
        <v>-</v>
      </c>
      <c r="D30196" t="str">
        <v>-</v>
      </c>
      <c r="E30196" t="str">
        <v/>
      </c>
      <c r="F30196" t="str">
        <v>-</v>
      </c>
      <c r="G30196" t="str">
        <v>-</v>
      </c>
    </row>
    <row r="30197">
      <c r="B30197" t="str">
        <v>UBND Ủy ban nhân dân xã Tiên Phong  tỉnh Quảng Nam</v>
      </c>
      <c r="C30197" t="str">
        <v>-</v>
      </c>
      <c r="D30197" t="str">
        <v>-</v>
      </c>
      <c r="E30197" t="str">
        <v>-</v>
      </c>
      <c r="F30197" t="str">
        <v>-</v>
      </c>
      <c r="G30197" t="str">
        <v>-</v>
      </c>
    </row>
    <row r="30198" xml:space="preserve">
      <c r="B30198" t="str" xml:space="preserve">
        <v xml:space="preserve">Công an huyện Tiên Phước _x000d_
 tỉnh Quảng Nam</v>
      </c>
      <c r="C30198" t="str">
        <v>-</v>
      </c>
      <c r="D30198" t="str">
        <v>-</v>
      </c>
      <c r="E30198" t="str">
        <v/>
      </c>
      <c r="F30198" t="str">
        <v>-</v>
      </c>
      <c r="G30198" t="str">
        <v>-</v>
      </c>
    </row>
    <row r="30199" xml:space="preserve">
      <c r="B30199" t="str" xml:space="preserve">
        <v xml:space="preserve">UBND Ủy ban nhân dân huyện Tiên Phước _x000d_
 tỉnh Quảng Nam</v>
      </c>
      <c r="C30199" t="str">
        <v>-</v>
      </c>
      <c r="D30199" t="str">
        <v>-</v>
      </c>
      <c r="E30199" t="str">
        <v>-</v>
      </c>
      <c r="F30199" t="str">
        <v>-</v>
      </c>
      <c r="G30199" t="str">
        <v>-</v>
      </c>
    </row>
    <row r="30200" xml:space="preserve">
      <c r="B30200" t="str" xml:space="preserve">
        <v xml:space="preserve">Công an xã Tiên Sơn _x000d_
 tỉnh Quảng Nam</v>
      </c>
      <c r="C30200" t="str">
        <v>-</v>
      </c>
      <c r="D30200" t="str">
        <v>-</v>
      </c>
      <c r="E30200" t="str">
        <v/>
      </c>
      <c r="F30200" t="str">
        <v>-</v>
      </c>
      <c r="G30200" t="str">
        <v>-</v>
      </c>
    </row>
    <row r="30201" xml:space="preserve">
      <c r="B30201" t="str" xml:space="preserve">
        <v xml:space="preserve">UBND Ủy ban nhân dân xã Tiên Sơn _x000d_
 tỉnh Quảng Nam</v>
      </c>
      <c r="C30201" t="str">
        <v>-</v>
      </c>
      <c r="D30201" t="str">
        <v>-</v>
      </c>
      <c r="E30201" t="str">
        <v>-</v>
      </c>
      <c r="F30201" t="str">
        <v>-</v>
      </c>
      <c r="G30201" t="str">
        <v>-</v>
      </c>
    </row>
    <row r="30202">
      <c r="B30202" t="str">
        <v>Công an xã Trà Đốc tỉnh Quảng Nam</v>
      </c>
      <c r="C30202" t="str">
        <v>-</v>
      </c>
      <c r="D30202" t="str">
        <v>-</v>
      </c>
      <c r="E30202" t="str">
        <v/>
      </c>
      <c r="F30202" t="str">
        <v>-</v>
      </c>
      <c r="G30202" t="str">
        <v>-</v>
      </c>
    </row>
    <row r="30203">
      <c r="B30203" t="str">
        <v>UBND Ủy ban nhân dân xã Trà Đốc tỉnh Quảng Nam</v>
      </c>
      <c r="C30203" t="str">
        <v>-</v>
      </c>
      <c r="D30203" t="str">
        <v>-</v>
      </c>
      <c r="E30203" t="str">
        <v>-</v>
      </c>
      <c r="F30203" t="str">
        <v>-</v>
      </c>
      <c r="G30203" t="str">
        <v>-</v>
      </c>
    </row>
    <row r="30204">
      <c r="B30204" t="str">
        <v>Công an xã Trà Ka  tỉnh Quảng Nam</v>
      </c>
      <c r="C30204" t="str">
        <v>-</v>
      </c>
      <c r="D30204" t="str">
        <v>-</v>
      </c>
      <c r="E30204" t="str">
        <v/>
      </c>
      <c r="F30204" t="str">
        <v>-</v>
      </c>
      <c r="G30204" t="str">
        <v>-</v>
      </c>
    </row>
    <row r="30205">
      <c r="B30205" t="str">
        <v>UBND Ủy ban nhân dân xã Trà Ka  tỉnh Quảng Nam</v>
      </c>
      <c r="C30205" t="str">
        <v>-</v>
      </c>
      <c r="D30205" t="str">
        <v>-</v>
      </c>
      <c r="E30205" t="str">
        <v>-</v>
      </c>
      <c r="F30205" t="str">
        <v>-</v>
      </c>
      <c r="G30205" t="str">
        <v>-</v>
      </c>
    </row>
    <row r="30206" xml:space="preserve">
      <c r="B30206" t="str" xml:space="preserve">
        <v xml:space="preserve">Công an xã Trà Kót _x000d_
 tỉnh Quảng Nam</v>
      </c>
      <c r="C30206" t="str">
        <v>-</v>
      </c>
      <c r="D30206" t="str">
        <v>-</v>
      </c>
      <c r="E30206" t="str">
        <v/>
      </c>
      <c r="F30206" t="str">
        <v>-</v>
      </c>
      <c r="G30206" t="str">
        <v>-</v>
      </c>
    </row>
    <row r="30207" xml:space="preserve">
      <c r="B30207" t="str" xml:space="preserve">
        <v xml:space="preserve">UBND Ủy ban nhân dân xã Trà Kót _x000d_
 tỉnh Quảng Nam</v>
      </c>
      <c r="C30207" t="str">
        <v>-</v>
      </c>
      <c r="D30207" t="str">
        <v>-</v>
      </c>
      <c r="E30207" t="str">
        <v>-</v>
      </c>
      <c r="F30207" t="str">
        <v>-</v>
      </c>
      <c r="G30207" t="str">
        <v>-</v>
      </c>
    </row>
    <row r="30208" xml:space="preserve">
      <c r="B30208" t="str" xml:space="preserve">
        <v xml:space="preserve">Công an xã Trà Leng _x000d_
 tỉnh Quảng Nam</v>
      </c>
      <c r="C30208" t="str">
        <v>-</v>
      </c>
      <c r="D30208" t="str">
        <v>-</v>
      </c>
      <c r="E30208" t="str">
        <v/>
      </c>
      <c r="F30208" t="str">
        <v>-</v>
      </c>
      <c r="G30208" t="str">
        <v>-</v>
      </c>
    </row>
    <row r="30209" xml:space="preserve">
      <c r="B30209" t="str" xml:space="preserve">
        <v xml:space="preserve">UBND Ủy ban nhân dân xã Trà Leng _x000d_
 tỉnh Quảng Nam</v>
      </c>
      <c r="C30209" t="str">
        <v>-</v>
      </c>
      <c r="D30209" t="str">
        <v>-</v>
      </c>
      <c r="E30209" t="str">
        <v>-</v>
      </c>
      <c r="F30209" t="str">
        <v>-</v>
      </c>
      <c r="G30209" t="str">
        <v>-</v>
      </c>
    </row>
    <row r="30210" xml:space="preserve">
      <c r="B30210" t="str" xml:space="preserve">
        <v xml:space="preserve">Công an xã Trà Vinh _x000d_
 tỉnh Quảng Nam</v>
      </c>
      <c r="C30210" t="str">
        <v>-</v>
      </c>
      <c r="D30210" t="str">
        <v>-</v>
      </c>
      <c r="E30210" t="str">
        <v/>
      </c>
      <c r="F30210" t="str">
        <v>-</v>
      </c>
      <c r="G30210" t="str">
        <v>-</v>
      </c>
    </row>
    <row r="30211" xml:space="preserve">
      <c r="B30211" t="str" xml:space="preserve">
        <v xml:space="preserve">UBND Ủy ban nhân dân xã Trà Vinh _x000d_
 tỉnh Quảng Nam</v>
      </c>
      <c r="C30211" t="str">
        <v>-</v>
      </c>
      <c r="D30211" t="str">
        <v>-</v>
      </c>
      <c r="E30211" t="str">
        <v>-</v>
      </c>
      <c r="F30211" t="str">
        <v>-</v>
      </c>
      <c r="G30211" t="str">
        <v>-</v>
      </c>
    </row>
    <row r="30212" xml:space="preserve">
      <c r="B30212" t="str" xml:space="preserve">
        <v xml:space="preserve">Công an xã Tr'hy _x000d_
 tỉnh Quảng Nam</v>
      </c>
      <c r="C30212" t="str">
        <v>-</v>
      </c>
      <c r="D30212" t="str">
        <v>-</v>
      </c>
      <c r="E30212" t="str">
        <v/>
      </c>
      <c r="F30212" t="str">
        <v>-</v>
      </c>
      <c r="G30212" t="str">
        <v>-</v>
      </c>
    </row>
    <row r="30213" xml:space="preserve">
      <c r="B30213" t="str" xml:space="preserve">
        <v xml:space="preserve">UBND Ủy ban nhân dân xã Tr'hy _x000d_
 tỉnh Quảng Nam</v>
      </c>
      <c r="C30213" t="str">
        <v>-</v>
      </c>
      <c r="D30213" t="str">
        <v>-</v>
      </c>
      <c r="E30213" t="str">
        <v>-</v>
      </c>
      <c r="F30213" t="str">
        <v>-</v>
      </c>
      <c r="G30213" t="str">
        <v>-</v>
      </c>
    </row>
    <row r="30214">
      <c r="B30214" t="str">
        <v>Công an huyện Văn Chấn tỉnh Yên Bái</v>
      </c>
      <c r="C30214" t="str">
        <v>-</v>
      </c>
      <c r="D30214" t="str">
        <v>-</v>
      </c>
      <c r="E30214" t="str">
        <v/>
      </c>
      <c r="F30214" t="str">
        <v>-</v>
      </c>
      <c r="G30214" t="str">
        <v>-</v>
      </c>
    </row>
    <row r="30215">
      <c r="B30215" t="str">
        <v>UBND Ủy ban nhân dân huyện Văn Chấn tỉnh Yên Bái</v>
      </c>
      <c r="C30215" t="str">
        <v>-</v>
      </c>
      <c r="D30215" t="str">
        <v>-</v>
      </c>
      <c r="E30215" t="str">
        <v>-</v>
      </c>
      <c r="F30215" t="str">
        <v>-</v>
      </c>
      <c r="G30215" t="str">
        <v>-</v>
      </c>
    </row>
    <row r="30216" xml:space="preserve">
      <c r="B30216" t="str" xml:space="preserve">
        <v xml:space="preserve">Công an xã Vĩnh Chân _x000d_
 tỉnh Phú Thọ</v>
      </c>
      <c r="C30216" t="str">
        <v>-</v>
      </c>
      <c r="D30216" t="str">
        <v>-</v>
      </c>
      <c r="E30216" t="str">
        <v/>
      </c>
      <c r="F30216" t="str">
        <v>-</v>
      </c>
      <c r="G30216" t="str">
        <v>-</v>
      </c>
    </row>
    <row r="30217" xml:space="preserve">
      <c r="B30217" t="str" xml:space="preserve">
        <v xml:space="preserve">UBND Ủy ban nhân dân xã Vĩnh Chân _x000d_
 tỉnh Phú Thọ</v>
      </c>
      <c r="C30217" t="str">
        <v>-</v>
      </c>
      <c r="D30217" t="str">
        <v>-</v>
      </c>
      <c r="E30217" t="str">
        <v>-</v>
      </c>
      <c r="F30217" t="str">
        <v>-</v>
      </c>
      <c r="G30217" t="str">
        <v>-</v>
      </c>
    </row>
    <row r="30218">
      <c r="B30218" t="str">
        <v>Công an xã Dang  tỉnh Quảng Nam</v>
      </c>
      <c r="C30218" t="str">
        <v>-</v>
      </c>
      <c r="D30218" t="str">
        <v>-</v>
      </c>
      <c r="E30218" t="str">
        <v/>
      </c>
      <c r="F30218" t="str">
        <v>-</v>
      </c>
      <c r="G30218" t="str">
        <v>-</v>
      </c>
    </row>
    <row r="30219">
      <c r="B30219" t="str">
        <v>UBND Ủy ban nhân dân xã Dang  tỉnh Quảng Nam</v>
      </c>
      <c r="C30219" t="str">
        <v>-</v>
      </c>
      <c r="D30219" t="str">
        <v>-</v>
      </c>
      <c r="E30219" t="str">
        <v>-</v>
      </c>
      <c r="F30219" t="str">
        <v>-</v>
      </c>
      <c r="G30219" t="str">
        <v>-</v>
      </c>
    </row>
    <row r="30220" xml:space="preserve">
      <c r="B30220" t="str" xml:space="preserve">
        <v xml:space="preserve">Công an xã Trà Dơn _x000d_
 tỉnh Quảng Nam</v>
      </c>
      <c r="C30220" t="str">
        <v>-</v>
      </c>
      <c r="D30220" t="str">
        <v>-</v>
      </c>
      <c r="E30220" t="str">
        <v/>
      </c>
      <c r="F30220" t="str">
        <v>-</v>
      </c>
      <c r="G30220" t="str">
        <v>-</v>
      </c>
    </row>
    <row r="30221" xml:space="preserve">
      <c r="B30221" t="str" xml:space="preserve">
        <v xml:space="preserve">UBND Ủy ban nhân dân xã Trà Dơn _x000d_
 tỉnh Quảng Nam</v>
      </c>
      <c r="C30221" t="str">
        <v>-</v>
      </c>
      <c r="D30221" t="str">
        <v>-</v>
      </c>
      <c r="E30221" t="str">
        <v>-</v>
      </c>
      <c r="F30221" t="str">
        <v>-</v>
      </c>
      <c r="G30221" t="str">
        <v>-</v>
      </c>
    </row>
    <row r="30222" xml:space="preserve">
      <c r="B30222" t="str" xml:space="preserve">
        <v xml:space="preserve">Công an xã Tư _x000d_
 tỉnh Quảng Nam</v>
      </c>
      <c r="C30222" t="str">
        <v>-</v>
      </c>
      <c r="D30222" t="str">
        <v>-</v>
      </c>
      <c r="E30222" t="str">
        <v/>
      </c>
      <c r="F30222" t="str">
        <v>-</v>
      </c>
      <c r="G30222" t="str">
        <v>-</v>
      </c>
    </row>
    <row r="30223" xml:space="preserve">
      <c r="B30223" t="str" xml:space="preserve">
        <v xml:space="preserve">UBND Ủy ban nhân dân xã Tư _x000d_
 tỉnh Quảng Nam</v>
      </c>
      <c r="C30223" t="str">
        <v>-</v>
      </c>
      <c r="D30223" t="str">
        <v>-</v>
      </c>
      <c r="E30223" t="str">
        <v>-</v>
      </c>
      <c r="F30223" t="str">
        <v>-</v>
      </c>
      <c r="G30223" t="str">
        <v>-</v>
      </c>
    </row>
    <row r="30224">
      <c r="B30224" t="str">
        <v>Công an xã Za Hung  tỉnh Quảng Nam</v>
      </c>
      <c r="C30224" t="str">
        <v>-</v>
      </c>
      <c r="D30224" t="str">
        <v>-</v>
      </c>
      <c r="E30224" t="str">
        <v/>
      </c>
      <c r="F30224" t="str">
        <v>-</v>
      </c>
      <c r="G30224" t="str">
        <v>-</v>
      </c>
    </row>
    <row r="30225">
      <c r="B30225" t="str">
        <v>UBND Ủy ban nhân dân xã Za Hung  tỉnh Quảng Nam</v>
      </c>
      <c r="C30225" t="str">
        <v>-</v>
      </c>
      <c r="D30225" t="str">
        <v>-</v>
      </c>
      <c r="E30225" t="str">
        <v>-</v>
      </c>
      <c r="F30225" t="str">
        <v>-</v>
      </c>
      <c r="G30225" t="str">
        <v>-</v>
      </c>
    </row>
    <row r="30226">
      <c r="B30226" t="str">
        <v>Công an phường Ninh Hiệp tỉnh Khánh Hòa</v>
      </c>
      <c r="C30226" t="str">
        <v>-</v>
      </c>
      <c r="D30226" t="str">
        <v>-</v>
      </c>
      <c r="E30226" t="str">
        <v/>
      </c>
      <c r="F30226" t="str">
        <v>-</v>
      </c>
      <c r="G30226" t="str">
        <v>-</v>
      </c>
    </row>
    <row r="30227">
      <c r="B30227" t="str">
        <v>UBND Ủy ban nhân dân phường Ninh Hiệp tỉnh Khánh Hòa</v>
      </c>
      <c r="C30227" t="str">
        <v>-</v>
      </c>
      <c r="D30227" t="str">
        <v>-</v>
      </c>
      <c r="E30227" t="str">
        <v>-</v>
      </c>
      <c r="F30227" t="str">
        <v>-</v>
      </c>
      <c r="G30227" t="str">
        <v>-</v>
      </c>
    </row>
    <row r="30228">
      <c r="B30228" t="str">
        <v>Công an xã Ia Lâu  tỉnh Gia Lai</v>
      </c>
      <c r="C30228" t="str">
        <v>-</v>
      </c>
      <c r="D30228" t="str">
        <v>-</v>
      </c>
      <c r="E30228" t="str">
        <v/>
      </c>
      <c r="F30228" t="str">
        <v>-</v>
      </c>
      <c r="G30228" t="str">
        <v>-</v>
      </c>
    </row>
    <row r="30229">
      <c r="B30229" t="str">
        <v>UBND Ủy ban nhân dân xã Ia Lâu  tỉnh Gia Lai</v>
      </c>
      <c r="C30229" t="str">
        <v>-</v>
      </c>
      <c r="D30229" t="str">
        <v>-</v>
      </c>
      <c r="E30229" t="str">
        <v>-</v>
      </c>
      <c r="F30229" t="str">
        <v>-</v>
      </c>
      <c r="G30229" t="str">
        <v>-</v>
      </c>
    </row>
    <row r="30230" xml:space="preserve">
      <c r="B30230" t="str" xml:space="preserve">
        <v xml:space="preserve">Cảnh Sát Giao Thông tỉnh Thanh Hóa _x000d_
 tỉnh Thanh Hóa</v>
      </c>
    </row>
    <row r="30231" xml:space="preserve">
      <c r="B30231" t="str" xml:space="preserve">
        <v xml:space="preserve">UBND Ủy ban nhân dânt Giao Thông tỉnh Thanh Hóa _x000d_
 tỉnh Thanh Hóa</v>
      </c>
      <c r="C30231" t="str">
        <v>-</v>
      </c>
      <c r="D30231" t="str">
        <v>-</v>
      </c>
      <c r="E30231" t="str">
        <v>-</v>
      </c>
      <c r="F30231" t="str">
        <v>-</v>
      </c>
      <c r="G30231" t="str">
        <v>-</v>
      </c>
    </row>
    <row r="30232">
      <c r="B30232" t="str">
        <v>Công an phường 6 tỉnh Sóc Trăng</v>
      </c>
      <c r="C30232" t="str">
        <v>-</v>
      </c>
      <c r="D30232" t="str">
        <v>-</v>
      </c>
      <c r="E30232" t="str">
        <v/>
      </c>
      <c r="F30232" t="str">
        <v>-</v>
      </c>
      <c r="G30232" t="str">
        <v>-</v>
      </c>
    </row>
    <row r="30233">
      <c r="B30233" t="str">
        <v>UBND Ủy ban nhân dân phường 6 tỉnh Sóc Trăng</v>
      </c>
      <c r="C30233" t="str">
        <v>-</v>
      </c>
      <c r="D30233" t="str">
        <v>-</v>
      </c>
      <c r="E30233" t="str">
        <v>-</v>
      </c>
      <c r="F30233" t="str">
        <v>-</v>
      </c>
      <c r="G30233" t="str">
        <v>-</v>
      </c>
    </row>
    <row r="30234">
      <c r="B30234" t="str">
        <v>Công an xã Thiết Ống tỉnh Thanh Hóa</v>
      </c>
      <c r="C30234" t="str">
        <v>-</v>
      </c>
      <c r="D30234" t="str">
        <v>-</v>
      </c>
      <c r="E30234" t="str">
        <v/>
      </c>
      <c r="F30234" t="str">
        <v>-</v>
      </c>
      <c r="G30234" t="str">
        <v>-</v>
      </c>
    </row>
    <row r="30235">
      <c r="B30235" t="str">
        <v>UBND Ủy ban nhân dân xã Thiết Ống tỉnh Thanh Hóa</v>
      </c>
      <c r="C30235" t="str">
        <v>-</v>
      </c>
      <c r="D30235" t="str">
        <v>-</v>
      </c>
      <c r="E30235" t="str">
        <v>-</v>
      </c>
      <c r="F30235" t="str">
        <v>-</v>
      </c>
      <c r="G30235" t="str">
        <v>-</v>
      </c>
    </row>
    <row r="30236">
      <c r="B30236" t="str">
        <v>Công an huyện Kế Sách  tỉnh Sóc Trăng</v>
      </c>
      <c r="C30236" t="str">
        <v>-</v>
      </c>
      <c r="D30236" t="str">
        <v>-</v>
      </c>
      <c r="E30236" t="str">
        <v/>
      </c>
      <c r="F30236" t="str">
        <v>-</v>
      </c>
      <c r="G30236" t="str">
        <v>-</v>
      </c>
    </row>
    <row r="30237">
      <c r="B30237" t="str">
        <v>UBND Ủy ban nhân dân huyện Kế Sách  tỉnh Sóc Trăng</v>
      </c>
      <c r="C30237" t="str">
        <v>-</v>
      </c>
      <c r="D30237" t="str">
        <v>-</v>
      </c>
      <c r="E30237" t="str">
        <v>-</v>
      </c>
      <c r="F30237" t="str">
        <v>-</v>
      </c>
      <c r="G30237" t="str">
        <v>-</v>
      </c>
    </row>
    <row r="30238">
      <c r="B30238" t="str">
        <v>Công an huyện Chương Mỹ  thành phố Hà Nội</v>
      </c>
      <c r="C30238" t="str">
        <v>-</v>
      </c>
      <c r="D30238" t="str">
        <v>-</v>
      </c>
      <c r="E30238" t="str">
        <v/>
      </c>
      <c r="F30238" t="str">
        <v>-</v>
      </c>
      <c r="G30238" t="str">
        <v>-</v>
      </c>
    </row>
    <row r="30239">
      <c r="B30239" t="str">
        <v>UBND Ủy ban nhân dân huyện Chương Mỹ  thành phố Hà Nội</v>
      </c>
      <c r="C30239" t="str">
        <v>-</v>
      </c>
      <c r="D30239" t="str">
        <v>-</v>
      </c>
      <c r="E30239" t="str">
        <v>-</v>
      </c>
      <c r="F30239" t="str">
        <v>-</v>
      </c>
      <c r="G30239" t="str">
        <v>-</v>
      </c>
    </row>
    <row r="30240" xml:space="preserve">
      <c r="B30240" t="str" xml:space="preserve">
        <v xml:space="preserve">Công an xã Xuân Thành _x000d_
 tỉnh Đồng Nai</v>
      </c>
      <c r="C30240" t="str">
        <v>-</v>
      </c>
      <c r="D30240" t="str">
        <v>-</v>
      </c>
      <c r="E30240" t="str">
        <v/>
      </c>
      <c r="F30240" t="str">
        <v>-</v>
      </c>
      <c r="G30240" t="str">
        <v>-</v>
      </c>
    </row>
    <row r="30241" xml:space="preserve">
      <c r="B30241" t="str" xml:space="preserve">
        <v xml:space="preserve">UBND Ủy ban nhân dân xã Xuân Thành _x000d_
 tỉnh Đồng Nai</v>
      </c>
      <c r="C30241" t="str">
        <v>-</v>
      </c>
      <c r="D30241" t="str">
        <v>-</v>
      </c>
      <c r="E30241" t="str">
        <v>-</v>
      </c>
      <c r="F30241" t="str">
        <v>-</v>
      </c>
      <c r="G30241" t="str">
        <v>-</v>
      </c>
    </row>
    <row r="30242">
      <c r="B30242" t="str">
        <v>Công an huyện Ân Thi tỉnh Hưng Yên</v>
      </c>
      <c r="C30242" t="str">
        <v>-</v>
      </c>
      <c r="D30242" t="str">
        <v>-</v>
      </c>
      <c r="E30242" t="str">
        <v/>
      </c>
      <c r="F30242" t="str">
        <v>-</v>
      </c>
      <c r="G30242" t="str">
        <v>-</v>
      </c>
    </row>
    <row r="30243">
      <c r="B30243" t="str">
        <v>UBND Ủy ban nhân dân huyện Ân Thi tỉnh Hưng Yên</v>
      </c>
      <c r="C30243" t="str">
        <v>-</v>
      </c>
      <c r="D30243" t="str">
        <v>-</v>
      </c>
      <c r="E30243" t="str">
        <v>-</v>
      </c>
      <c r="F30243" t="str">
        <v>-</v>
      </c>
      <c r="G30243" t="str">
        <v>-</v>
      </c>
    </row>
    <row r="30244">
      <c r="B30244" t="str">
        <v>Công an xã Ia Blang tỉnh Gia Lai</v>
      </c>
      <c r="C30244" t="str">
        <v>-</v>
      </c>
      <c r="D30244" t="str">
        <v>-</v>
      </c>
      <c r="E30244" t="str">
        <v/>
      </c>
      <c r="F30244" t="str">
        <v>-</v>
      </c>
      <c r="G30244" t="str">
        <v>-</v>
      </c>
    </row>
    <row r="30245">
      <c r="B30245" t="str">
        <v>UBND Ủy ban nhân dân xã Ia Blang tỉnh Gia Lai</v>
      </c>
      <c r="C30245" t="str">
        <v>-</v>
      </c>
      <c r="D30245" t="str">
        <v>-</v>
      </c>
      <c r="E30245" t="str">
        <v>-</v>
      </c>
      <c r="F30245" t="str">
        <v>-</v>
      </c>
      <c r="G30245" t="str">
        <v>-</v>
      </c>
    </row>
    <row r="30246">
      <c r="B30246" t="str">
        <v>Công an thị trấn Kon Dơng tỉnh Gia Lai</v>
      </c>
      <c r="C30246" t="str">
        <v>-</v>
      </c>
      <c r="D30246" t="str">
        <v>-</v>
      </c>
      <c r="E30246" t="str">
        <v/>
      </c>
      <c r="F30246" t="str">
        <v>-</v>
      </c>
      <c r="G30246" t="str">
        <v>-</v>
      </c>
    </row>
    <row r="30247">
      <c r="B30247" t="str">
        <v>UBND Ủy ban nhân dân thị trấn Kon Dơng tỉnh Gia Lai</v>
      </c>
      <c r="C30247" t="str">
        <v>-</v>
      </c>
      <c r="D30247" t="str">
        <v>-</v>
      </c>
      <c r="E30247" t="str">
        <v>-</v>
      </c>
      <c r="F30247" t="str">
        <v>-</v>
      </c>
      <c r="G30247" t="str">
        <v>-</v>
      </c>
    </row>
    <row r="30248">
      <c r="B30248" t="str">
        <v>Công an xã Quỳnh Lương  tỉnh Nghệ An</v>
      </c>
      <c r="C30248" t="str">
        <v>-</v>
      </c>
      <c r="D30248" t="str">
        <v>-</v>
      </c>
      <c r="E30248" t="str">
        <v/>
      </c>
      <c r="F30248" t="str">
        <v>-</v>
      </c>
      <c r="G30248" t="str">
        <v>-</v>
      </c>
    </row>
    <row r="30249">
      <c r="B30249" t="str">
        <v>UBND Ủy ban nhân dân xã Quỳnh Lương  tỉnh Nghệ An</v>
      </c>
      <c r="C30249" t="str">
        <v>-</v>
      </c>
      <c r="D30249" t="str">
        <v>-</v>
      </c>
      <c r="E30249" t="str">
        <v>-</v>
      </c>
      <c r="F30249" t="str">
        <v>-</v>
      </c>
      <c r="G30249" t="str">
        <v>-</v>
      </c>
    </row>
    <row r="30250" xml:space="preserve">
      <c r="B30250" t="str" xml:space="preserve">
        <v xml:space="preserve">Công an huyện Yên Mô _x000d_
 tỉnh Ninh Bình</v>
      </c>
      <c r="C30250" t="str">
        <v>-</v>
      </c>
      <c r="D30250" t="str">
        <v>-</v>
      </c>
      <c r="E30250" t="str">
        <v/>
      </c>
      <c r="F30250" t="str">
        <v>-</v>
      </c>
      <c r="G30250" t="str">
        <v>-</v>
      </c>
    </row>
    <row r="30251" xml:space="preserve">
      <c r="B30251" t="str" xml:space="preserve">
        <v xml:space="preserve">UBND Ủy ban nhân dân huyện Yên Mô _x000d_
 tỉnh Ninh Bình</v>
      </c>
      <c r="C30251" t="str">
        <v>-</v>
      </c>
      <c r="D30251" t="str">
        <v>-</v>
      </c>
      <c r="E30251" t="str">
        <v>-</v>
      </c>
      <c r="F30251" t="str">
        <v>-</v>
      </c>
      <c r="G30251" t="str">
        <v>-</v>
      </c>
    </row>
    <row r="30252" xml:space="preserve">
      <c r="B30252" t="str" xml:space="preserve">
        <v xml:space="preserve">Công an xã Cát Vân _x000d_
 tỉnh Nghệ An</v>
      </c>
      <c r="C30252" t="str">
        <v>-</v>
      </c>
      <c r="D30252" t="str">
        <v>-</v>
      </c>
      <c r="E30252" t="str">
        <v/>
      </c>
      <c r="F30252" t="str">
        <v>-</v>
      </c>
      <c r="G30252" t="str">
        <v>-</v>
      </c>
    </row>
    <row r="30253" xml:space="preserve">
      <c r="B30253" t="str" xml:space="preserve">
        <v xml:space="preserve">UBND Ủy ban nhân dân xã Cát Vân _x000d_
 tỉnh Nghệ An</v>
      </c>
      <c r="C30253" t="str">
        <v>-</v>
      </c>
      <c r="D30253" t="str">
        <v>-</v>
      </c>
      <c r="E30253" t="str">
        <v>-</v>
      </c>
      <c r="F30253" t="str">
        <v>-</v>
      </c>
      <c r="G30253" t="str">
        <v>-</v>
      </c>
    </row>
    <row r="30254">
      <c r="B30254" t="str">
        <v>Công an huyện Nghĩa Đàn  tỉnh Nghệ An</v>
      </c>
      <c r="C30254" t="str">
        <v>-</v>
      </c>
      <c r="D30254" t="str">
        <v>-</v>
      </c>
      <c r="E30254" t="str">
        <v/>
      </c>
      <c r="F30254" t="str">
        <v>-</v>
      </c>
      <c r="G30254" t="str">
        <v>-</v>
      </c>
    </row>
    <row r="30255">
      <c r="B30255" t="str">
        <v>UBND Ủy ban nhân dân huyện Nghĩa Đàn  tỉnh Nghệ An</v>
      </c>
      <c r="C30255" t="str">
        <v>-</v>
      </c>
      <c r="D30255" t="str">
        <v>-</v>
      </c>
      <c r="E30255" t="str">
        <v>-</v>
      </c>
      <c r="F30255" t="str">
        <v>-</v>
      </c>
      <c r="G30255" t="str">
        <v>-</v>
      </c>
    </row>
    <row r="30256">
      <c r="B30256" t="str">
        <v>Công an xã Lìa tỉnh Quảng Trị</v>
      </c>
      <c r="C30256" t="str">
        <v>-</v>
      </c>
      <c r="D30256" t="str">
        <v>-</v>
      </c>
      <c r="E30256" t="str">
        <v/>
      </c>
      <c r="F30256" t="str">
        <v>-</v>
      </c>
      <c r="G30256" t="str">
        <v>-</v>
      </c>
    </row>
    <row r="30257">
      <c r="B30257" t="str">
        <v>UBND Ủy ban nhân dân xã Lìa tỉnh Quảng Trị</v>
      </c>
      <c r="C30257" t="str">
        <v>-</v>
      </c>
      <c r="D30257" t="str">
        <v>-</v>
      </c>
      <c r="E30257" t="str">
        <v>-</v>
      </c>
      <c r="F30257" t="str">
        <v>-</v>
      </c>
      <c r="G30257" t="str">
        <v>-</v>
      </c>
    </row>
    <row r="30258" xml:space="preserve">
      <c r="B30258" t="str" xml:space="preserve">
        <v xml:space="preserve">Công an xã Vĩnh Sơn _x000d_
 tỉnh Vĩnh Phúc</v>
      </c>
      <c r="C30258" t="str">
        <v>-</v>
      </c>
      <c r="D30258" t="str">
        <v>-</v>
      </c>
      <c r="E30258" t="str">
        <v/>
      </c>
      <c r="F30258" t="str">
        <v>-</v>
      </c>
      <c r="G30258" t="str">
        <v>-</v>
      </c>
    </row>
    <row r="30259" xml:space="preserve">
      <c r="B30259" t="str" xml:space="preserve">
        <v xml:space="preserve">UBND Ủy ban nhân dân xã Vĩnh Sơn _x000d_
 tỉnh Vĩnh Phúc</v>
      </c>
      <c r="C30259" t="str">
        <v>-</v>
      </c>
      <c r="D30259" t="str">
        <v>-</v>
      </c>
      <c r="E30259" t="str">
        <v>-</v>
      </c>
      <c r="F30259" t="str">
        <v>-</v>
      </c>
      <c r="G30259" t="str">
        <v>-</v>
      </c>
    </row>
    <row r="30260" xml:space="preserve">
      <c r="B30260" t="str" xml:space="preserve">
        <v xml:space="preserve">Công an xã Ban Công _x000d_
 tỉnh Thanh Hóa</v>
      </c>
      <c r="C30260" t="str">
        <v>-</v>
      </c>
      <c r="D30260" t="str">
        <v>-</v>
      </c>
      <c r="E30260" t="str">
        <v/>
      </c>
      <c r="F30260" t="str">
        <v>-</v>
      </c>
      <c r="G30260" t="str">
        <v>-</v>
      </c>
    </row>
    <row r="30261" xml:space="preserve">
      <c r="B30261" t="str" xml:space="preserve">
        <v xml:space="preserve">UBND Ủy ban nhân dân xã Ban Công _x000d_
 tỉnh Thanh Hóa</v>
      </c>
      <c r="C30261" t="str">
        <v>-</v>
      </c>
      <c r="D30261" t="str">
        <v>-</v>
      </c>
      <c r="E30261" t="str">
        <v>-</v>
      </c>
      <c r="F30261" t="str">
        <v>-</v>
      </c>
      <c r="G30261" t="str">
        <v>-</v>
      </c>
    </row>
    <row r="30262">
      <c r="B30262" t="str">
        <v>Công an xã Cam Thành tỉnh Quảng Trị</v>
      </c>
      <c r="C30262" t="str">
        <v>-</v>
      </c>
      <c r="D30262" t="str">
        <v>-</v>
      </c>
      <c r="E30262" t="str">
        <v/>
      </c>
      <c r="F30262" t="str">
        <v>-</v>
      </c>
      <c r="G30262" t="str">
        <v>-</v>
      </c>
    </row>
    <row r="30263">
      <c r="B30263" t="str">
        <v>UBND Ủy ban nhân dân xã Cam Thành tỉnh Quảng Trị</v>
      </c>
      <c r="C30263" t="str">
        <v>-</v>
      </c>
      <c r="D30263" t="str">
        <v>-</v>
      </c>
      <c r="E30263" t="str">
        <v>-</v>
      </c>
      <c r="F30263" t="str">
        <v>-</v>
      </c>
      <c r="G30263" t="str">
        <v>-</v>
      </c>
    </row>
    <row r="30264" xml:space="preserve">
      <c r="B30264" t="str" xml:space="preserve">
        <v xml:space="preserve">Công an xã Quỳnh Lập _x000d_
 tỉnh Nghệ An</v>
      </c>
      <c r="C30264" t="str">
        <v>-</v>
      </c>
      <c r="D30264" t="str">
        <v>-</v>
      </c>
      <c r="E30264" t="str">
        <v/>
      </c>
      <c r="F30264" t="str">
        <v>-</v>
      </c>
      <c r="G30264" t="str">
        <v>-</v>
      </c>
    </row>
    <row r="30265" xml:space="preserve">
      <c r="B30265" t="str" xml:space="preserve">
        <v xml:space="preserve">UBND Ủy ban nhân dân xã Quỳnh Lập _x000d_
 tỉnh Nghệ An</v>
      </c>
      <c r="C30265" t="str">
        <v>-</v>
      </c>
      <c r="D30265" t="str">
        <v>-</v>
      </c>
      <c r="E30265" t="str">
        <v>-</v>
      </c>
      <c r="F30265" t="str">
        <v>-</v>
      </c>
      <c r="G30265" t="str">
        <v>-</v>
      </c>
    </row>
    <row r="30266">
      <c r="B30266" t="str">
        <v>Công an xã Vạn Thiện tỉnh Thanh Hóa</v>
      </c>
      <c r="C30266" t="str">
        <v>-</v>
      </c>
      <c r="D30266" t="str">
        <v>-</v>
      </c>
      <c r="E30266" t="str">
        <v/>
      </c>
      <c r="F30266" t="str">
        <v>-</v>
      </c>
      <c r="G30266" t="str">
        <v>-</v>
      </c>
    </row>
    <row r="30267">
      <c r="B30267" t="str">
        <v>UBND Ủy ban nhân dân xã Vạn Thiện tỉnh Thanh Hóa</v>
      </c>
      <c r="C30267" t="str">
        <v>-</v>
      </c>
      <c r="D30267" t="str">
        <v>-</v>
      </c>
      <c r="E30267" t="str">
        <v>-</v>
      </c>
      <c r="F30267" t="str">
        <v>-</v>
      </c>
      <c r="G30267" t="str">
        <v>-</v>
      </c>
    </row>
    <row r="30268">
      <c r="B30268" t="str">
        <v>Công an thị trấn Mường Lát tỉnh Thanh Hóa</v>
      </c>
      <c r="C30268" t="str">
        <v>-</v>
      </c>
      <c r="D30268" t="str">
        <v>-</v>
      </c>
      <c r="E30268" t="str">
        <v/>
      </c>
      <c r="F30268" t="str">
        <v>-</v>
      </c>
      <c r="G30268" t="str">
        <v>-</v>
      </c>
    </row>
    <row r="30269">
      <c r="B30269" t="str">
        <v>UBND Ủy ban nhân dân thị trấn Mường Lát tỉnh Thanh Hóa</v>
      </c>
      <c r="C30269" t="str">
        <v>-</v>
      </c>
      <c r="D30269" t="str">
        <v>-</v>
      </c>
      <c r="E30269" t="str">
        <v>-</v>
      </c>
      <c r="F30269" t="str">
        <v>-</v>
      </c>
      <c r="G30269" t="str">
        <v>-</v>
      </c>
    </row>
    <row r="30270" xml:space="preserve">
      <c r="B30270" t="str" xml:space="preserve">
        <v xml:space="preserve">Công an xã Lưu Sơn _x000d_
 tỉnh Nghệ An</v>
      </c>
      <c r="C30270" t="str">
        <v>-</v>
      </c>
      <c r="D30270" t="str">
        <v>-</v>
      </c>
      <c r="E30270" t="str">
        <v/>
      </c>
      <c r="F30270" t="str">
        <v>-</v>
      </c>
      <c r="G30270" t="str">
        <v>-</v>
      </c>
    </row>
    <row r="30271" xml:space="preserve">
      <c r="B30271" t="str" xml:space="preserve">
        <v xml:space="preserve">UBND Ủy ban nhân dân xã Lưu Sơn _x000d_
 tỉnh Nghệ An</v>
      </c>
      <c r="C30271" t="str">
        <v>-</v>
      </c>
      <c r="D30271" t="str">
        <v>-</v>
      </c>
      <c r="E30271" t="str">
        <v>-</v>
      </c>
      <c r="F30271" t="str">
        <v>-</v>
      </c>
      <c r="G30271" t="str">
        <v>-</v>
      </c>
    </row>
    <row r="30272" xml:space="preserve">
      <c r="B30272" t="str" xml:space="preserve">
        <v xml:space="preserve">Công an xã Quỳnh Long _x000d_
 tỉnh Nghệ An</v>
      </c>
      <c r="C30272" t="str">
        <v>-</v>
      </c>
      <c r="D30272" t="str">
        <v>-</v>
      </c>
      <c r="E30272" t="str">
        <v/>
      </c>
      <c r="F30272" t="str">
        <v>-</v>
      </c>
      <c r="G30272" t="str">
        <v>-</v>
      </c>
    </row>
    <row r="30273" xml:space="preserve">
      <c r="B30273" t="str" xml:space="preserve">
        <v xml:space="preserve">UBND Ủy ban nhân dân xã Quỳnh Long _x000d_
 tỉnh Nghệ An</v>
      </c>
      <c r="C30273" t="str">
        <v>-</v>
      </c>
      <c r="D30273" t="str">
        <v>-</v>
      </c>
      <c r="E30273" t="str">
        <v>-</v>
      </c>
      <c r="F30273" t="str">
        <v>-</v>
      </c>
      <c r="G30273" t="str">
        <v>-</v>
      </c>
    </row>
    <row r="30274">
      <c r="B30274" t="str">
        <v>Công an huyện Kon Rẫy  tỉnh Kon Tum</v>
      </c>
      <c r="C30274" t="str">
        <v>-</v>
      </c>
      <c r="D30274" t="str">
        <v>-</v>
      </c>
      <c r="E30274" t="str">
        <v/>
      </c>
      <c r="F30274" t="str">
        <v>-</v>
      </c>
      <c r="G30274" t="str">
        <v>-</v>
      </c>
    </row>
    <row r="30275">
      <c r="B30275" t="str">
        <v>UBND Ủy ban nhân dân huyện Kon Rẫy  tỉnh Kon Tum</v>
      </c>
      <c r="C30275" t="str">
        <v>-</v>
      </c>
      <c r="D30275" t="str">
        <v>-</v>
      </c>
      <c r="E30275" t="str">
        <v>-</v>
      </c>
      <c r="F30275" t="str">
        <v>-</v>
      </c>
      <c r="G30275" t="str">
        <v>-</v>
      </c>
    </row>
    <row r="30276">
      <c r="B30276" t="str">
        <v>Công an xã Định Tiến tỉnh Thanh Hóa</v>
      </c>
      <c r="C30276" t="str">
        <v>-</v>
      </c>
      <c r="D30276" t="str">
        <v>-</v>
      </c>
      <c r="E30276" t="str">
        <v/>
      </c>
      <c r="F30276" t="str">
        <v>-</v>
      </c>
      <c r="G30276" t="str">
        <v>-</v>
      </c>
    </row>
    <row r="30277">
      <c r="B30277" t="str">
        <v>UBND Ủy ban nhân dân xã Định Tiến tỉnh Thanh Hóa</v>
      </c>
      <c r="C30277" t="str">
        <v>-</v>
      </c>
      <c r="D30277" t="str">
        <v>-</v>
      </c>
      <c r="E30277" t="str">
        <v>-</v>
      </c>
      <c r="F30277" t="str">
        <v>-</v>
      </c>
      <c r="G30277" t="str">
        <v>-</v>
      </c>
    </row>
    <row r="30278">
      <c r="B30278" t="str">
        <v>Công an tỉnh Khánh Hoà tỉnh Khánh Hòa</v>
      </c>
      <c r="C30278" t="str">
        <v>-</v>
      </c>
      <c r="D30278" t="str">
        <v>-</v>
      </c>
      <c r="E30278" t="str">
        <v/>
      </c>
      <c r="F30278" t="str">
        <v>-</v>
      </c>
      <c r="G30278" t="str">
        <v>-</v>
      </c>
    </row>
    <row r="30279">
      <c r="B30279" t="str">
        <v>UBND Ủy ban nhân dân tỉnh Khánh Hoà tỉnh Khánh Hòa</v>
      </c>
      <c r="C30279" t="str">
        <v>-</v>
      </c>
      <c r="D30279" t="str">
        <v>-</v>
      </c>
      <c r="E30279" t="str">
        <v>-</v>
      </c>
      <c r="F30279" t="str">
        <v>-</v>
      </c>
      <c r="G30279" t="str">
        <v>-</v>
      </c>
    </row>
    <row r="30280">
      <c r="B30280" t="str">
        <v>Công an huyện Anh Sơn  tỉnh Nghệ An</v>
      </c>
      <c r="C30280" t="str">
        <v>-</v>
      </c>
      <c r="D30280" t="str">
        <v>-</v>
      </c>
      <c r="E30280" t="str">
        <v/>
      </c>
      <c r="F30280" t="str">
        <v>-</v>
      </c>
      <c r="G30280" t="str">
        <v>-</v>
      </c>
    </row>
    <row r="30281">
      <c r="B30281" t="str">
        <v>UBND Ủy ban nhân dân huyện Anh Sơn  tỉnh Nghệ An</v>
      </c>
      <c r="C30281" t="str">
        <v>-</v>
      </c>
      <c r="D30281" t="str">
        <v>-</v>
      </c>
      <c r="E30281" t="str">
        <v>-</v>
      </c>
      <c r="F30281" t="str">
        <v>-</v>
      </c>
      <c r="G30281" t="str">
        <v>-</v>
      </c>
    </row>
    <row r="30282">
      <c r="B30282" t="str">
        <v>Công an xã Nghĩa Sơn tỉnh Nghệ An</v>
      </c>
      <c r="C30282" t="str">
        <v>-</v>
      </c>
      <c r="D30282" t="str">
        <v>-</v>
      </c>
      <c r="E30282" t="str">
        <v/>
      </c>
      <c r="F30282" t="str">
        <v>-</v>
      </c>
      <c r="G30282" t="str">
        <v>-</v>
      </c>
    </row>
    <row r="30283">
      <c r="B30283" t="str">
        <v>UBND Ủy ban nhân dân xã Nghĩa Sơn tỉnh Nghệ An</v>
      </c>
      <c r="C30283" t="str">
        <v>-</v>
      </c>
      <c r="D30283" t="str">
        <v>-</v>
      </c>
      <c r="E30283" t="str">
        <v>-</v>
      </c>
      <c r="F30283" t="str">
        <v>-</v>
      </c>
      <c r="G30283" t="str">
        <v>-</v>
      </c>
    </row>
    <row r="30284" xml:space="preserve">
      <c r="B30284" t="str" xml:space="preserve">
        <v xml:space="preserve">Công an xã Ia Hrú _x000d_
 tỉnh Gia Lai</v>
      </c>
      <c r="C30284" t="str">
        <v>-</v>
      </c>
      <c r="D30284" t="str">
        <v>-</v>
      </c>
      <c r="E30284" t="str">
        <v/>
      </c>
      <c r="F30284" t="str">
        <v>-</v>
      </c>
      <c r="G30284" t="str">
        <v>-</v>
      </c>
    </row>
    <row r="30285" xml:space="preserve">
      <c r="B30285" t="str" xml:space="preserve">
        <v xml:space="preserve">UBND Ủy ban nhân dân xã Ia Hrú _x000d_
 tỉnh Gia Lai</v>
      </c>
      <c r="C30285" t="str">
        <v>-</v>
      </c>
      <c r="D30285" t="str">
        <v>-</v>
      </c>
      <c r="E30285" t="str">
        <v>-</v>
      </c>
      <c r="F30285" t="str">
        <v>-</v>
      </c>
      <c r="G30285" t="str">
        <v>-</v>
      </c>
    </row>
    <row r="30286">
      <c r="B30286" t="str">
        <v>Công an tỉnh Hà Tĩnh tỉnh Hà Tĩnh</v>
      </c>
      <c r="C30286" t="str">
        <v>-</v>
      </c>
      <c r="D30286" t="str">
        <v>-</v>
      </c>
      <c r="E30286" t="str">
        <v/>
      </c>
      <c r="F30286" t="str">
        <v>-</v>
      </c>
      <c r="G30286" t="str">
        <v>-</v>
      </c>
    </row>
    <row r="30287">
      <c r="B30287" t="str">
        <v>UBND Ủy ban nhân dân tỉnh Hà Tĩnh tỉnh Hà Tĩnh</v>
      </c>
      <c r="C30287" t="str">
        <v>-</v>
      </c>
      <c r="D30287" t="str">
        <v>-</v>
      </c>
      <c r="E30287" t="str">
        <v>-</v>
      </c>
      <c r="F30287" t="str">
        <v>-</v>
      </c>
      <c r="G30287" t="str">
        <v>-</v>
      </c>
    </row>
    <row r="30288">
      <c r="B30288" t="str">
        <v>Công an xã Hoàng Sơn tỉnh Thanh Hóa</v>
      </c>
      <c r="C30288" t="str">
        <v>-</v>
      </c>
      <c r="D30288" t="str">
        <v>-</v>
      </c>
      <c r="E30288" t="str">
        <v/>
      </c>
      <c r="F30288" t="str">
        <v>-</v>
      </c>
      <c r="G30288" t="str">
        <v>-</v>
      </c>
    </row>
    <row r="30289">
      <c r="B30289" t="str">
        <v>UBND Ủy ban nhân dân xã Hoàng Sơn tỉnh Thanh Hóa</v>
      </c>
      <c r="C30289" t="str">
        <v>-</v>
      </c>
      <c r="D30289" t="str">
        <v>-</v>
      </c>
      <c r="E30289" t="str">
        <v>-</v>
      </c>
      <c r="F30289" t="str">
        <v>-</v>
      </c>
      <c r="G30289" t="str">
        <v>-</v>
      </c>
    </row>
    <row r="30290">
      <c r="B30290" t="str">
        <v>Công an xã Ia Drang tỉnh Gia Lai</v>
      </c>
      <c r="C30290" t="str">
        <v>-</v>
      </c>
      <c r="D30290" t="str">
        <v>-</v>
      </c>
      <c r="E30290" t="str">
        <v/>
      </c>
      <c r="F30290" t="str">
        <v>-</v>
      </c>
      <c r="G30290" t="str">
        <v>-</v>
      </c>
    </row>
    <row r="30291">
      <c r="B30291" t="str">
        <v>UBND Ủy ban nhân dân xã Ia Drang tỉnh Gia Lai</v>
      </c>
      <c r="C30291" t="str">
        <v>-</v>
      </c>
      <c r="D30291" t="str">
        <v>-</v>
      </c>
      <c r="E30291" t="str">
        <v>-</v>
      </c>
      <c r="F30291" t="str">
        <v>-</v>
      </c>
      <c r="G30291" t="str">
        <v>-</v>
      </c>
    </row>
    <row r="30292" xml:space="preserve">
      <c r="B30292" t="str" xml:space="preserve">
        <v xml:space="preserve">Công an xã Đồng Tiến _x000d_
 tỉnh Quảng Ninh</v>
      </c>
      <c r="C30292" t="str">
        <v>-</v>
      </c>
      <c r="D30292" t="str">
        <v>-</v>
      </c>
      <c r="E30292" t="str">
        <v/>
      </c>
      <c r="F30292" t="str">
        <v>-</v>
      </c>
      <c r="G30292" t="str">
        <v>-</v>
      </c>
    </row>
    <row r="30293" xml:space="preserve">
      <c r="B30293" t="str" xml:space="preserve">
        <v xml:space="preserve">UBND Ủy ban nhân dân xã Đồng Tiến _x000d_
 tỉnh Quảng Ninh</v>
      </c>
      <c r="C30293" t="str">
        <v>-</v>
      </c>
      <c r="D30293" t="str">
        <v>-</v>
      </c>
      <c r="E30293" t="str">
        <v>-</v>
      </c>
      <c r="F30293" t="str">
        <v>-</v>
      </c>
      <c r="G30293" t="str">
        <v>-</v>
      </c>
    </row>
    <row r="30294">
      <c r="B30294" t="str">
        <v>Công an xã Tân Hợp tỉnh Quảng Trị</v>
      </c>
      <c r="C30294" t="str">
        <v>-</v>
      </c>
      <c r="D30294" t="str">
        <v>-</v>
      </c>
      <c r="E30294" t="str">
        <v/>
      </c>
      <c r="F30294" t="str">
        <v>-</v>
      </c>
      <c r="G30294" t="str">
        <v>-</v>
      </c>
    </row>
    <row r="30295">
      <c r="B30295" t="str">
        <v>UBND Ủy ban nhân dân xã Tân Hợp tỉnh Quảng Trị</v>
      </c>
      <c r="C30295" t="str">
        <v>-</v>
      </c>
      <c r="D30295" t="str">
        <v>-</v>
      </c>
      <c r="E30295" t="str">
        <v>-</v>
      </c>
      <c r="F30295" t="str">
        <v>-</v>
      </c>
      <c r="G30295" t="str">
        <v>-</v>
      </c>
    </row>
    <row r="30296">
      <c r="B30296" t="str">
        <v>Công an xã Kỳ Bắc  tỉnh Hà Tĩnh</v>
      </c>
      <c r="C30296" t="str">
        <v>-</v>
      </c>
      <c r="D30296" t="str">
        <v>-</v>
      </c>
      <c r="E30296" t="str">
        <v/>
      </c>
      <c r="F30296" t="str">
        <v>-</v>
      </c>
      <c r="G30296" t="str">
        <v>-</v>
      </c>
    </row>
    <row r="30297">
      <c r="B30297" t="str">
        <v>UBND Ủy ban nhân dân xã Kỳ Bắc  tỉnh Hà Tĩnh</v>
      </c>
      <c r="C30297" t="str">
        <v>-</v>
      </c>
      <c r="D30297" t="str">
        <v>-</v>
      </c>
      <c r="E30297" t="str">
        <v>-</v>
      </c>
      <c r="F30297" t="str">
        <v>-</v>
      </c>
      <c r="G30297" t="str">
        <v>-</v>
      </c>
    </row>
    <row r="30298">
      <c r="B30298" t="str">
        <v>Công an xã Triệu Độ tỉnh Quảng Trị</v>
      </c>
      <c r="C30298" t="str">
        <v>-</v>
      </c>
      <c r="D30298" t="str">
        <v>-</v>
      </c>
      <c r="E30298" t="str">
        <v/>
      </c>
      <c r="F30298" t="str">
        <v>-</v>
      </c>
      <c r="G30298" t="str">
        <v>-</v>
      </c>
    </row>
    <row r="30299">
      <c r="B30299" t="str">
        <v>UBND Ủy ban nhân dân xã Triệu Độ tỉnh Quảng Trị</v>
      </c>
      <c r="C30299" t="str">
        <v>-</v>
      </c>
      <c r="D30299" t="str">
        <v>-</v>
      </c>
      <c r="E30299" t="str">
        <v>-</v>
      </c>
      <c r="F30299" t="str">
        <v>-</v>
      </c>
      <c r="G30299" t="str">
        <v>-</v>
      </c>
    </row>
    <row r="30300">
      <c r="B30300" t="str">
        <v>Công an xã Kỳ Phú tỉnh Thái Nguyên</v>
      </c>
      <c r="C30300" t="str">
        <v>-</v>
      </c>
      <c r="D30300" t="str">
        <v>-</v>
      </c>
      <c r="E30300" t="str">
        <v/>
      </c>
      <c r="F30300" t="str">
        <v>-</v>
      </c>
      <c r="G30300" t="str">
        <v>-</v>
      </c>
    </row>
    <row r="30301">
      <c r="B30301" t="str">
        <v>UBND Ủy ban nhân dân xã Kỳ Phú tỉnh Thái Nguyên</v>
      </c>
      <c r="C30301" t="str">
        <v>-</v>
      </c>
      <c r="D30301" t="str">
        <v>-</v>
      </c>
      <c r="E30301" t="str">
        <v>-</v>
      </c>
      <c r="F30301" t="str">
        <v>-</v>
      </c>
      <c r="G30301" t="str">
        <v>-</v>
      </c>
    </row>
    <row r="30302" xml:space="preserve">
      <c r="B30302" t="str" xml:space="preserve">
        <v xml:space="preserve">Công an huyện Bắc Bình _x000d_
 tỉnh Bình Thuận</v>
      </c>
      <c r="C30302" t="str">
        <v>-</v>
      </c>
      <c r="D30302" t="str">
        <v>-</v>
      </c>
      <c r="E30302" t="str">
        <v/>
      </c>
      <c r="F30302" t="str">
        <v>-</v>
      </c>
      <c r="G30302" t="str">
        <v>-</v>
      </c>
    </row>
    <row r="30303" xml:space="preserve">
      <c r="B30303" t="str" xml:space="preserve">
        <v xml:space="preserve">UBND Ủy ban nhân dân huyện Bắc Bình _x000d_
 tỉnh Bình Thuận</v>
      </c>
      <c r="C30303" t="str">
        <v>-</v>
      </c>
      <c r="D30303" t="str">
        <v>-</v>
      </c>
      <c r="E30303" t="str">
        <v>-</v>
      </c>
      <c r="F30303" t="str">
        <v>-</v>
      </c>
      <c r="G30303" t="str">
        <v>-</v>
      </c>
    </row>
    <row r="30304">
      <c r="B30304" t="str">
        <v xml:space="preserve"> Công an huyện Nam Trực  tỉnh Nam Định</v>
      </c>
    </row>
    <row r="30305">
      <c r="B30305" t="str">
        <v>UBND Ủy ban nhân dânn huyện Nam Trực  tỉnh Nam Định</v>
      </c>
      <c r="C30305" t="str">
        <v>-</v>
      </c>
      <c r="D30305" t="str">
        <v>-</v>
      </c>
      <c r="E30305" t="str">
        <v>-</v>
      </c>
      <c r="F30305" t="str">
        <v>-</v>
      </c>
      <c r="G30305" t="str">
        <v>-</v>
      </c>
    </row>
    <row r="30306">
      <c r="B30306" t="str">
        <v xml:space="preserve"> Công an xã Thuỷ Thanh  tỉnh THỪA THIÊN HUẾ</v>
      </c>
    </row>
    <row r="30307">
      <c r="B30307" t="str">
        <v>UBND Ủy ban nhân dânn xã Thuỷ Thanh  tỉnh THỪA THIÊN HUẾ</v>
      </c>
      <c r="C30307" t="str">
        <v>-</v>
      </c>
      <c r="D30307" t="str">
        <v>-</v>
      </c>
      <c r="E30307" t="str">
        <v>-</v>
      </c>
      <c r="F30307" t="str">
        <v>-</v>
      </c>
      <c r="G30307" t="str">
        <v>-</v>
      </c>
    </row>
    <row r="30308" xml:space="preserve">
      <c r="B30308" t="str" xml:space="preserve">
        <v xml:space="preserve">Công an xã Ia Tôr _x000d_
 tỉnh Gia Lai</v>
      </c>
      <c r="C30308" t="str">
        <v>-</v>
      </c>
      <c r="D30308" t="str">
        <v>-</v>
      </c>
      <c r="E30308" t="str">
        <v/>
      </c>
      <c r="F30308" t="str">
        <v>-</v>
      </c>
      <c r="G30308" t="str">
        <v>-</v>
      </c>
    </row>
    <row r="30309" xml:space="preserve">
      <c r="B30309" t="str" xml:space="preserve">
        <v xml:space="preserve">UBND Ủy ban nhân dân xã Ia Tôr _x000d_
 tỉnh Gia Lai</v>
      </c>
      <c r="C30309" t="str">
        <v>-</v>
      </c>
      <c r="D30309" t="str">
        <v>-</v>
      </c>
      <c r="E30309" t="str">
        <v>-</v>
      </c>
      <c r="F30309" t="str">
        <v>-</v>
      </c>
      <c r="G30309" t="str">
        <v>-</v>
      </c>
    </row>
    <row r="30310">
      <c r="B30310" t="str">
        <v>Công an tỉnh Bắc Kạn  tỉnh Bắc Kạn</v>
      </c>
      <c r="C30310" t="str">
        <v>-</v>
      </c>
      <c r="D30310" t="str">
        <v>-</v>
      </c>
      <c r="E30310" t="str">
        <v/>
      </c>
      <c r="F30310" t="str">
        <v>-</v>
      </c>
      <c r="G30310" t="str">
        <v>-</v>
      </c>
    </row>
    <row r="30311">
      <c r="B30311" t="str">
        <v>UBND Ủy ban nhân dân tỉnh Bắc Kạn  tỉnh Bắc Kạn</v>
      </c>
      <c r="C30311" t="str">
        <v>-</v>
      </c>
      <c r="D30311" t="str">
        <v>-</v>
      </c>
      <c r="E30311" t="str">
        <v>-</v>
      </c>
      <c r="F30311" t="str">
        <v>-</v>
      </c>
      <c r="G30311" t="str">
        <v>-</v>
      </c>
    </row>
    <row r="30312">
      <c r="B30312" t="str">
        <v>Công an thaành phố Hồ Chí Minh thành phố Hồ Chí Minh</v>
      </c>
      <c r="C30312" t="str">
        <v>-</v>
      </c>
      <c r="D30312" t="str">
        <v>-</v>
      </c>
      <c r="E30312" t="str">
        <v/>
      </c>
      <c r="F30312" t="str">
        <v>-</v>
      </c>
      <c r="G30312" t="str">
        <v>-</v>
      </c>
    </row>
    <row r="30313">
      <c r="B30313" t="str">
        <v>UBND Ủy ban nhân dân thaành phố Hồ Chí Minh thành phố Hồ Chí Minh</v>
      </c>
      <c r="C30313" t="str">
        <v>-</v>
      </c>
      <c r="D30313" t="str">
        <v>-</v>
      </c>
      <c r="E30313" t="str">
        <v>-</v>
      </c>
      <c r="F30313" t="str">
        <v>-</v>
      </c>
      <c r="G30313" t="str">
        <v>-</v>
      </c>
    </row>
    <row r="30314">
      <c r="B30314" t="str">
        <v>Công an xã Đỉnh Sơn  tỉnh Nghệ An</v>
      </c>
      <c r="C30314" t="str">
        <v>-</v>
      </c>
      <c r="D30314" t="str">
        <v>-</v>
      </c>
      <c r="E30314" t="str">
        <v/>
      </c>
      <c r="F30314" t="str">
        <v>-</v>
      </c>
      <c r="G30314" t="str">
        <v>-</v>
      </c>
    </row>
    <row r="30315">
      <c r="B30315" t="str">
        <v>UBND Ủy ban nhân dân xã Đỉnh Sơn  tỉnh Nghệ An</v>
      </c>
      <c r="C30315" t="str">
        <v>-</v>
      </c>
      <c r="D30315" t="str">
        <v>-</v>
      </c>
      <c r="E30315" t="str">
        <v>-</v>
      </c>
      <c r="F30315" t="str">
        <v>-</v>
      </c>
      <c r="G30315" t="str">
        <v>-</v>
      </c>
    </row>
    <row r="30316">
      <c r="B30316" t="str">
        <v>Công an xã Diễn Thịnh  tỉnh Nghệ An</v>
      </c>
      <c r="C30316" t="str">
        <v>-</v>
      </c>
      <c r="D30316" t="str">
        <v>-</v>
      </c>
      <c r="E30316" t="str">
        <v/>
      </c>
      <c r="F30316" t="str">
        <v>-</v>
      </c>
      <c r="G30316" t="str">
        <v>-</v>
      </c>
    </row>
    <row r="30317">
      <c r="B30317" t="str">
        <v>UBND Ủy ban nhân dân xã Diễn Thịnh  tỉnh Nghệ An</v>
      </c>
      <c r="C30317" t="str">
        <v>-</v>
      </c>
      <c r="D30317" t="str">
        <v>-</v>
      </c>
      <c r="E30317" t="str">
        <v>-</v>
      </c>
      <c r="F30317" t="str">
        <v>-</v>
      </c>
      <c r="G30317" t="str">
        <v>-</v>
      </c>
    </row>
    <row r="30318" xml:space="preserve">
      <c r="B30318" t="str" xml:space="preserve">
        <v xml:space="preserve">Công an xã Yang Trung _x000d_
 tỉnh Gia Lai</v>
      </c>
      <c r="C30318" t="str">
        <v>-</v>
      </c>
      <c r="D30318" t="str">
        <v>-</v>
      </c>
      <c r="E30318" t="str">
        <v/>
      </c>
      <c r="F30318" t="str">
        <v>-</v>
      </c>
      <c r="G30318" t="str">
        <v>-</v>
      </c>
    </row>
    <row r="30319" xml:space="preserve">
      <c r="B30319" t="str" xml:space="preserve">
        <v xml:space="preserve">UBND Ủy ban nhân dân xã Yang Trung _x000d_
 tỉnh Gia Lai</v>
      </c>
      <c r="C30319" t="str">
        <v>-</v>
      </c>
      <c r="D30319" t="str">
        <v>-</v>
      </c>
      <c r="E30319" t="str">
        <v>-</v>
      </c>
      <c r="F30319" t="str">
        <v>-</v>
      </c>
      <c r="G30319" t="str">
        <v>-</v>
      </c>
    </row>
    <row r="30320" xml:space="preserve">
      <c r="B30320" t="str" xml:space="preserve">
        <v xml:space="preserve">Công an xã Vĩnh Thủy _x000d_
 tỉnh Quảng Trị</v>
      </c>
      <c r="C30320" t="str">
        <v>-</v>
      </c>
      <c r="D30320" t="str">
        <v>-</v>
      </c>
      <c r="E30320" t="str">
        <v/>
      </c>
      <c r="F30320" t="str">
        <v>-</v>
      </c>
      <c r="G30320" t="str">
        <v>-</v>
      </c>
    </row>
    <row r="30321" xml:space="preserve">
      <c r="B30321" t="str" xml:space="preserve">
        <v xml:space="preserve">UBND Ủy ban nhân dân xã Vĩnh Thủy _x000d_
 tỉnh Quảng Trị</v>
      </c>
      <c r="C30321" t="str">
        <v>-</v>
      </c>
      <c r="D30321" t="str">
        <v>-</v>
      </c>
      <c r="E30321" t="str">
        <v>-</v>
      </c>
      <c r="F30321" t="str">
        <v>-</v>
      </c>
      <c r="G30321" t="str">
        <v>-</v>
      </c>
    </row>
    <row r="30322" xml:space="preserve">
      <c r="B30322" t="str" xml:space="preserve">
        <v xml:space="preserve">Công an xã An Khê _x000d_
 tỉnh Thái Bình</v>
      </c>
      <c r="C30322" t="str">
        <v>-</v>
      </c>
      <c r="D30322" t="str">
        <v>-</v>
      </c>
      <c r="E30322" t="str">
        <v/>
      </c>
      <c r="F30322" t="str">
        <v>-</v>
      </c>
      <c r="G30322" t="str">
        <v>-</v>
      </c>
    </row>
    <row r="30323" xml:space="preserve">
      <c r="B30323" t="str" xml:space="preserve">
        <v xml:space="preserve">UBND Ủy ban nhân dân xã An Khê _x000d_
 tỉnh Thái Bình</v>
      </c>
      <c r="C30323" t="str">
        <v>-</v>
      </c>
      <c r="D30323" t="str">
        <v>-</v>
      </c>
      <c r="E30323" t="str">
        <v>-</v>
      </c>
      <c r="F30323" t="str">
        <v>-</v>
      </c>
      <c r="G30323" t="str">
        <v>-</v>
      </c>
    </row>
    <row r="30324">
      <c r="B30324" t="str">
        <v>Công an xã Quảng Văn tỉnh Quảng Bình</v>
      </c>
      <c r="C30324" t="str">
        <v>-</v>
      </c>
      <c r="D30324" t="str">
        <v>-</v>
      </c>
      <c r="E30324" t="str">
        <v/>
      </c>
      <c r="F30324" t="str">
        <v>-</v>
      </c>
      <c r="G30324" t="str">
        <v>-</v>
      </c>
    </row>
    <row r="30325">
      <c r="B30325" t="str">
        <v>UBND Ủy ban nhân dân xã Quảng Văn tỉnh Quảng Bình</v>
      </c>
      <c r="C30325" t="str">
        <v>-</v>
      </c>
      <c r="D30325" t="str">
        <v>-</v>
      </c>
      <c r="E30325" t="str">
        <v>-</v>
      </c>
      <c r="F30325" t="str">
        <v>-</v>
      </c>
      <c r="G30325" t="str">
        <v>-</v>
      </c>
    </row>
    <row r="30326">
      <c r="B30326" t="str">
        <v>Công an huyện Thanh Oai  thành phố Hà Nội</v>
      </c>
      <c r="C30326" t="str">
        <v>-</v>
      </c>
      <c r="D30326" t="str">
        <v>-</v>
      </c>
      <c r="E30326" t="str">
        <v/>
      </c>
      <c r="F30326" t="str">
        <v>-</v>
      </c>
      <c r="G30326" t="str">
        <v>-</v>
      </c>
    </row>
    <row r="30327">
      <c r="B30327" t="str">
        <v>UBND Ủy ban nhân dân huyện Thanh Oai  thành phố Hà Nội</v>
      </c>
      <c r="C30327" t="str">
        <v>-</v>
      </c>
      <c r="D30327" t="str">
        <v>-</v>
      </c>
      <c r="E30327" t="str">
        <v>-</v>
      </c>
      <c r="F30327" t="str">
        <v>-</v>
      </c>
      <c r="G30327" t="str">
        <v>-</v>
      </c>
    </row>
    <row r="30328" xml:space="preserve">
      <c r="B30328" t="str" xml:space="preserve">
        <v xml:space="preserve">Công an xã Hải Đường _x000d_
 tỉnh Nam Định</v>
      </c>
      <c r="C30328" t="str">
        <v>-</v>
      </c>
      <c r="D30328" t="str">
        <v>-</v>
      </c>
      <c r="E30328" t="str">
        <v/>
      </c>
      <c r="F30328" t="str">
        <v>-</v>
      </c>
      <c r="G30328" t="str">
        <v>-</v>
      </c>
    </row>
    <row r="30329" xml:space="preserve">
      <c r="B30329" t="str" xml:space="preserve">
        <v xml:space="preserve">UBND Ủy ban nhân dân xã Hải Đường _x000d_
 tỉnh Nam Định</v>
      </c>
      <c r="C30329" t="str">
        <v>-</v>
      </c>
      <c r="D30329" t="str">
        <v>-</v>
      </c>
      <c r="E30329" t="str">
        <v>-</v>
      </c>
      <c r="F30329" t="str">
        <v>-</v>
      </c>
      <c r="G30329" t="str">
        <v>-</v>
      </c>
    </row>
    <row r="30330">
      <c r="B30330" t="str">
        <v>Công an xã Tốt Động  thành phố Hà Nội</v>
      </c>
      <c r="C30330" t="str">
        <v>-</v>
      </c>
      <c r="D30330" t="str">
        <v>-</v>
      </c>
      <c r="E30330" t="str">
        <v/>
      </c>
      <c r="F30330" t="str">
        <v>-</v>
      </c>
      <c r="G30330" t="str">
        <v>-</v>
      </c>
    </row>
    <row r="30331">
      <c r="B30331" t="str">
        <v>UBND Ủy ban nhân dân xã Tốt Động  thành phố Hà Nội</v>
      </c>
      <c r="C30331" t="str">
        <v>-</v>
      </c>
      <c r="D30331" t="str">
        <v>-</v>
      </c>
      <c r="E30331" t="str">
        <v>-</v>
      </c>
      <c r="F30331" t="str">
        <v>-</v>
      </c>
      <c r="G30331" t="str">
        <v>-</v>
      </c>
    </row>
    <row r="30332" xml:space="preserve">
      <c r="B30332" t="str" xml:space="preserve">
        <v xml:space="preserve">Công an xã Nam Thịnh _x000d_
 tỉnh Thái Bình</v>
      </c>
      <c r="C30332" t="str">
        <v>-</v>
      </c>
      <c r="D30332" t="str">
        <v>-</v>
      </c>
      <c r="E30332" t="str">
        <v/>
      </c>
      <c r="F30332" t="str">
        <v>-</v>
      </c>
      <c r="G30332" t="str">
        <v>-</v>
      </c>
    </row>
    <row r="30333" xml:space="preserve">
      <c r="B30333" t="str" xml:space="preserve">
        <v xml:space="preserve">UBND Ủy ban nhân dân xã Nam Thịnh _x000d_
 tỉnh Thái Bình</v>
      </c>
      <c r="C30333" t="str">
        <v>-</v>
      </c>
      <c r="D30333" t="str">
        <v>-</v>
      </c>
      <c r="E30333" t="str">
        <v>-</v>
      </c>
      <c r="F30333" t="str">
        <v>-</v>
      </c>
      <c r="G30333" t="str">
        <v>-</v>
      </c>
    </row>
    <row r="30334">
      <c r="B30334" t="str">
        <v>Công an huyện Diên Khánh  tỉnh Khánh Hòa</v>
      </c>
      <c r="C30334" t="str">
        <v>-</v>
      </c>
      <c r="D30334" t="str">
        <v>-</v>
      </c>
      <c r="E30334" t="str">
        <v/>
      </c>
      <c r="F30334" t="str">
        <v>-</v>
      </c>
      <c r="G30334" t="str">
        <v>-</v>
      </c>
    </row>
    <row r="30335">
      <c r="B30335" t="str">
        <v>UBND Ủy ban nhân dân huyện Diên Khánh  tỉnh Khánh Hòa</v>
      </c>
      <c r="C30335" t="str">
        <v>-</v>
      </c>
      <c r="D30335" t="str">
        <v>-</v>
      </c>
      <c r="E30335" t="str">
        <v>-</v>
      </c>
      <c r="F30335" t="str">
        <v>-</v>
      </c>
      <c r="G30335" t="str">
        <v>-</v>
      </c>
    </row>
    <row r="30336">
      <c r="B30336" t="str">
        <v>Công an xã An Phượng tỉnh Hải Dương</v>
      </c>
      <c r="C30336" t="str">
        <v>-</v>
      </c>
      <c r="D30336" t="str">
        <v>-</v>
      </c>
      <c r="E30336" t="str">
        <v/>
      </c>
      <c r="F30336" t="str">
        <v>-</v>
      </c>
      <c r="G30336" t="str">
        <v>-</v>
      </c>
    </row>
    <row r="30337">
      <c r="B30337" t="str">
        <v>UBND Ủy ban nhân dân xã An Phượng tỉnh Hải Dương</v>
      </c>
      <c r="C30337" t="str">
        <v>-</v>
      </c>
      <c r="D30337" t="str">
        <v>-</v>
      </c>
      <c r="E30337" t="str">
        <v>-</v>
      </c>
      <c r="F30337" t="str">
        <v>-</v>
      </c>
      <c r="G30337" t="str">
        <v>-</v>
      </c>
    </row>
    <row r="30338" xml:space="preserve">
      <c r="B30338" t="str" xml:space="preserve">
        <v xml:space="preserve">Công an thị trấn Gôi _x000d_
 tỉnh Nam Định</v>
      </c>
      <c r="C30338" t="str">
        <v>-</v>
      </c>
      <c r="D30338" t="str">
        <v>-</v>
      </c>
      <c r="E30338" t="str">
        <v/>
      </c>
      <c r="F30338" t="str">
        <v>-</v>
      </c>
      <c r="G30338" t="str">
        <v>-</v>
      </c>
    </row>
    <row r="30339" xml:space="preserve">
      <c r="B30339" t="str" xml:space="preserve">
        <v xml:space="preserve">UBND Ủy ban nhân dân thị trấn Gôi _x000d_
 tỉnh Nam Định</v>
      </c>
      <c r="C30339" t="str">
        <v>-</v>
      </c>
      <c r="D30339" t="str">
        <v>-</v>
      </c>
      <c r="E30339" t="str">
        <v>-</v>
      </c>
      <c r="F30339" t="str">
        <v>-</v>
      </c>
      <c r="G30339" t="str">
        <v>-</v>
      </c>
    </row>
    <row r="30340">
      <c r="B30340" t="str">
        <v>Công an xã Thạnh Thới Thuận  tỉnh Sóc Trăng</v>
      </c>
      <c r="C30340" t="str">
        <v>-</v>
      </c>
      <c r="D30340" t="str">
        <v>-</v>
      </c>
      <c r="E30340" t="str">
        <v/>
      </c>
      <c r="F30340" t="str">
        <v>-</v>
      </c>
      <c r="G30340" t="str">
        <v>-</v>
      </c>
    </row>
    <row r="30341">
      <c r="B30341" t="str">
        <v>UBND Ủy ban nhân dân xã Thạnh Thới Thuận  tỉnh Sóc Trăng</v>
      </c>
      <c r="C30341" t="str">
        <v>-</v>
      </c>
      <c r="D30341" t="str">
        <v>-</v>
      </c>
      <c r="E30341" t="str">
        <v>-</v>
      </c>
      <c r="F30341" t="str">
        <v>-</v>
      </c>
      <c r="G30341" t="str">
        <v>-</v>
      </c>
    </row>
    <row r="30342" xml:space="preserve">
      <c r="B30342" t="str" xml:space="preserve">
        <v xml:space="preserve">Công an xã Thanh Ngọc _x000d_
 tỉnh Nghệ An</v>
      </c>
      <c r="C30342" t="str">
        <v>-</v>
      </c>
      <c r="D30342" t="str">
        <v>-</v>
      </c>
      <c r="E30342" t="str">
        <v/>
      </c>
      <c r="F30342" t="str">
        <v>-</v>
      </c>
      <c r="G30342" t="str">
        <v>-</v>
      </c>
    </row>
    <row r="30343" xml:space="preserve">
      <c r="B30343" t="str" xml:space="preserve">
        <v xml:space="preserve">UBND Ủy ban nhân dân xã Thanh Ngọc _x000d_
 tỉnh Nghệ An</v>
      </c>
      <c r="C30343" t="str">
        <v>-</v>
      </c>
      <c r="D30343" t="str">
        <v>-</v>
      </c>
      <c r="E30343" t="str">
        <v>-</v>
      </c>
      <c r="F30343" t="str">
        <v>-</v>
      </c>
      <c r="G30343" t="str">
        <v>-</v>
      </c>
    </row>
    <row r="30344">
      <c r="B30344" t="str">
        <v>Công an phường Quang Vinh tỉnh Thái Nguyên</v>
      </c>
      <c r="C30344" t="str">
        <v>-</v>
      </c>
      <c r="D30344" t="str">
        <v>-</v>
      </c>
      <c r="E30344" t="str">
        <v/>
      </c>
      <c r="F30344" t="str">
        <v>-</v>
      </c>
      <c r="G30344" t="str">
        <v>-</v>
      </c>
    </row>
    <row r="30345">
      <c r="B30345" t="str">
        <v>UBND Ủy ban nhân dân phường Quang Vinh tỉnh Thái Nguyên</v>
      </c>
      <c r="C30345" t="str">
        <v>-</v>
      </c>
      <c r="D30345" t="str">
        <v>-</v>
      </c>
      <c r="E30345" t="str">
        <v>-</v>
      </c>
      <c r="F30345" t="str">
        <v>-</v>
      </c>
      <c r="G30345" t="str">
        <v>-</v>
      </c>
    </row>
    <row r="30346" xml:space="preserve">
      <c r="B30346" t="str" xml:space="preserve">
        <v xml:space="preserve">Công an phường Bảo An _x000d_
 tỉnh Ninh Thuận</v>
      </c>
      <c r="C30346" t="str">
        <v>-</v>
      </c>
      <c r="D30346" t="str">
        <v>-</v>
      </c>
      <c r="E30346" t="str">
        <v/>
      </c>
      <c r="F30346" t="str">
        <v>-</v>
      </c>
      <c r="G30346" t="str">
        <v>-</v>
      </c>
    </row>
    <row r="30347" xml:space="preserve">
      <c r="B30347" t="str" xml:space="preserve">
        <v xml:space="preserve">UBND Ủy ban nhân dân phường Bảo An _x000d_
 tỉnh Ninh Thuận</v>
      </c>
      <c r="C30347" t="str">
        <v>-</v>
      </c>
      <c r="D30347" t="str">
        <v>-</v>
      </c>
      <c r="E30347" t="str">
        <v>-</v>
      </c>
      <c r="F30347" t="str">
        <v>-</v>
      </c>
      <c r="G30347" t="str">
        <v>-</v>
      </c>
    </row>
    <row r="30348">
      <c r="B30348" t="str">
        <v>Công an xã Phú Xuân tỉnh Thái Bình</v>
      </c>
      <c r="C30348" t="str">
        <v>-</v>
      </c>
      <c r="D30348" t="str">
        <v>-</v>
      </c>
      <c r="E30348" t="str">
        <v/>
      </c>
      <c r="F30348" t="str">
        <v>-</v>
      </c>
      <c r="G30348" t="str">
        <v>-</v>
      </c>
    </row>
    <row r="30349">
      <c r="B30349" t="str">
        <v>UBND Ủy ban nhân dân xã Phú Xuân tỉnh Thái Bình</v>
      </c>
      <c r="C30349" t="str">
        <v>-</v>
      </c>
      <c r="D30349" t="str">
        <v>-</v>
      </c>
      <c r="E30349" t="str">
        <v>-</v>
      </c>
      <c r="F30349" t="str">
        <v>-</v>
      </c>
      <c r="G30349" t="str">
        <v>-</v>
      </c>
    </row>
    <row r="30350" xml:space="preserve">
      <c r="B30350" t="str" xml:space="preserve">
        <v xml:space="preserve">Công an xã Lam Sơn _x000d_
 tỉnh Phú Thọ</v>
      </c>
      <c r="C30350" t="str">
        <v>-</v>
      </c>
      <c r="D30350" t="str">
        <v>-</v>
      </c>
      <c r="E30350" t="str">
        <v/>
      </c>
      <c r="F30350" t="str">
        <v>-</v>
      </c>
      <c r="G30350" t="str">
        <v>-</v>
      </c>
    </row>
    <row r="30351" xml:space="preserve">
      <c r="B30351" t="str" xml:space="preserve">
        <v xml:space="preserve">UBND Ủy ban nhân dân xã Lam Sơn _x000d_
 tỉnh Phú Thọ</v>
      </c>
      <c r="C30351" t="str">
        <v>-</v>
      </c>
      <c r="D30351" t="str">
        <v>-</v>
      </c>
      <c r="E30351" t="str">
        <v>-</v>
      </c>
      <c r="F30351" t="str">
        <v>-</v>
      </c>
      <c r="G30351" t="str">
        <v>-</v>
      </c>
    </row>
    <row r="30352" xml:space="preserve">
      <c r="B30352" t="str" xml:space="preserve">
        <v xml:space="preserve">Công an xã Mỹ An _x000d_
 tỉnh Vĩnh Long</v>
      </c>
      <c r="C30352" t="str">
        <v>-</v>
      </c>
      <c r="D30352" t="str">
        <v>-</v>
      </c>
      <c r="E30352" t="str">
        <v/>
      </c>
      <c r="F30352" t="str">
        <v>-</v>
      </c>
      <c r="G30352" t="str">
        <v>-</v>
      </c>
    </row>
    <row r="30353" xml:space="preserve">
      <c r="B30353" t="str" xml:space="preserve">
        <v xml:space="preserve">UBND Ủy ban nhân dân xã Mỹ An _x000d_
 tỉnh Vĩnh Long</v>
      </c>
      <c r="C30353" t="str">
        <v>-</v>
      </c>
      <c r="D30353" t="str">
        <v>-</v>
      </c>
      <c r="E30353" t="str">
        <v>-</v>
      </c>
      <c r="F30353" t="str">
        <v>-</v>
      </c>
      <c r="G30353" t="str">
        <v>-</v>
      </c>
    </row>
    <row r="30354">
      <c r="B30354" t="str">
        <v>Công an huyện Bắc Yên tỉnh Sơn La</v>
      </c>
      <c r="C30354" t="str">
        <v>-</v>
      </c>
      <c r="D30354" t="str">
        <v>-</v>
      </c>
      <c r="E30354" t="str">
        <v/>
      </c>
      <c r="F30354" t="str">
        <v>-</v>
      </c>
      <c r="G30354" t="str">
        <v>-</v>
      </c>
    </row>
    <row r="30355">
      <c r="B30355" t="str">
        <v>UBND Ủy ban nhân dân huyện Bắc Yên tỉnh Sơn La</v>
      </c>
      <c r="C30355" t="str">
        <v>-</v>
      </c>
      <c r="D30355" t="str">
        <v>-</v>
      </c>
      <c r="E30355" t="str">
        <v>-</v>
      </c>
      <c r="F30355" t="str">
        <v>-</v>
      </c>
      <c r="G30355" t="str">
        <v>-</v>
      </c>
    </row>
    <row r="30356" xml:space="preserve">
      <c r="B30356" t="str" xml:space="preserve">
        <v xml:space="preserve">Công an xã Nam Xuân _x000d_
 tỉnh Nghệ An</v>
      </c>
      <c r="C30356" t="str">
        <v>-</v>
      </c>
      <c r="D30356" t="str">
        <v>-</v>
      </c>
      <c r="E30356" t="str">
        <v/>
      </c>
      <c r="F30356" t="str">
        <v>-</v>
      </c>
      <c r="G30356" t="str">
        <v>-</v>
      </c>
    </row>
    <row r="30357" xml:space="preserve">
      <c r="B30357" t="str" xml:space="preserve">
        <v xml:space="preserve">UBND Ủy ban nhân dân xã Nam Xuân _x000d_
 tỉnh Nghệ An</v>
      </c>
      <c r="C30357" t="str">
        <v>-</v>
      </c>
      <c r="D30357" t="str">
        <v>-</v>
      </c>
      <c r="E30357" t="str">
        <v>-</v>
      </c>
      <c r="F30357" t="str">
        <v>-</v>
      </c>
      <c r="G30357" t="str">
        <v>-</v>
      </c>
    </row>
    <row r="30358">
      <c r="B30358" t="str">
        <v>Công an xã Khánh An  tỉnh Ninh Bình</v>
      </c>
      <c r="C30358" t="str">
        <v>-</v>
      </c>
      <c r="D30358" t="str">
        <v>-</v>
      </c>
      <c r="E30358" t="str">
        <v/>
      </c>
      <c r="F30358" t="str">
        <v>-</v>
      </c>
      <c r="G30358" t="str">
        <v>-</v>
      </c>
    </row>
    <row r="30359">
      <c r="B30359" t="str">
        <v>UBND Ủy ban nhân dân xã Khánh An  tỉnh Ninh Bình</v>
      </c>
      <c r="C30359" t="str">
        <v>-</v>
      </c>
      <c r="D30359" t="str">
        <v>-</v>
      </c>
      <c r="E30359" t="str">
        <v>-</v>
      </c>
      <c r="F30359" t="str">
        <v>-</v>
      </c>
      <c r="G30359" t="str">
        <v>-</v>
      </c>
    </row>
    <row r="30360">
      <c r="B30360" t="str">
        <v>Công an xã Diễn Ngọc tỉnh Nghệ An</v>
      </c>
      <c r="C30360" t="str">
        <v>-</v>
      </c>
      <c r="D30360" t="str">
        <v>-</v>
      </c>
      <c r="E30360" t="str">
        <v/>
      </c>
      <c r="F30360" t="str">
        <v>-</v>
      </c>
      <c r="G30360" t="str">
        <v>-</v>
      </c>
    </row>
    <row r="30361">
      <c r="B30361" t="str">
        <v>UBND Ủy ban nhân dân xã Diễn Ngọc tỉnh Nghệ An</v>
      </c>
      <c r="C30361" t="str">
        <v>-</v>
      </c>
      <c r="D30361" t="str">
        <v>-</v>
      </c>
      <c r="E30361" t="str">
        <v>-</v>
      </c>
      <c r="F30361" t="str">
        <v>-</v>
      </c>
      <c r="G30361" t="str">
        <v>-</v>
      </c>
    </row>
    <row r="30362">
      <c r="B30362" t="str">
        <v>Công an xã Xuân Phúc tỉnh Thanh Hóa</v>
      </c>
      <c r="C30362" t="str">
        <v>-</v>
      </c>
      <c r="D30362" t="str">
        <v>-</v>
      </c>
      <c r="E30362" t="str">
        <v/>
      </c>
      <c r="F30362" t="str">
        <v>-</v>
      </c>
      <c r="G30362" t="str">
        <v>-</v>
      </c>
    </row>
    <row r="30363">
      <c r="B30363" t="str">
        <v>UBND Ủy ban nhân dân xã Xuân Phúc tỉnh Thanh Hóa</v>
      </c>
      <c r="C30363" t="str">
        <v>-</v>
      </c>
      <c r="D30363" t="str">
        <v>-</v>
      </c>
      <c r="E30363" t="str">
        <v>-</v>
      </c>
      <c r="F30363" t="str">
        <v>-</v>
      </c>
      <c r="G30363" t="str">
        <v>-</v>
      </c>
    </row>
    <row r="30364">
      <c r="B30364" t="str">
        <v>Công an xã Vũ Vinh tỉnh Thái Bình</v>
      </c>
      <c r="C30364" t="str">
        <v>-</v>
      </c>
      <c r="D30364" t="str">
        <v>-</v>
      </c>
      <c r="E30364" t="str">
        <v/>
      </c>
      <c r="F30364" t="str">
        <v>-</v>
      </c>
      <c r="G30364" t="str">
        <v>-</v>
      </c>
    </row>
    <row r="30365">
      <c r="B30365" t="str">
        <v>UBND Ủy ban nhân dân xã Vũ Vinh tỉnh Thái Bình</v>
      </c>
      <c r="C30365" t="str">
        <v>-</v>
      </c>
      <c r="D30365" t="str">
        <v>-</v>
      </c>
      <c r="E30365" t="str">
        <v>-</v>
      </c>
      <c r="F30365" t="str">
        <v>-</v>
      </c>
      <c r="G30365" t="str">
        <v>-</v>
      </c>
    </row>
    <row r="30366" xml:space="preserve">
      <c r="B30366" t="str" xml:space="preserve">
        <v xml:space="preserve">Công an xã Vũ Di _x000d_
 tỉnh Vĩnh Phúc</v>
      </c>
      <c r="C30366" t="str">
        <v>-</v>
      </c>
      <c r="D30366" t="str">
        <v>-</v>
      </c>
      <c r="E30366" t="str">
        <v/>
      </c>
      <c r="F30366" t="str">
        <v>-</v>
      </c>
      <c r="G30366" t="str">
        <v>-</v>
      </c>
    </row>
    <row r="30367" xml:space="preserve">
      <c r="B30367" t="str" xml:space="preserve">
        <v xml:space="preserve">UBND Ủy ban nhân dân xã Vũ Di _x000d_
 tỉnh Vĩnh Phúc</v>
      </c>
      <c r="C30367" t="str">
        <v>-</v>
      </c>
      <c r="D30367" t="str">
        <v>-</v>
      </c>
      <c r="E30367" t="str">
        <v>-</v>
      </c>
      <c r="F30367" t="str">
        <v>-</v>
      </c>
      <c r="G30367" t="str">
        <v>-</v>
      </c>
    </row>
    <row r="30368" xml:space="preserve">
      <c r="B30368" t="str" xml:space="preserve">
        <v xml:space="preserve">Công an xã Yang Nam _x000d_
 tỉnh Gia Lai</v>
      </c>
      <c r="C30368" t="str">
        <v>-</v>
      </c>
      <c r="D30368" t="str">
        <v>-</v>
      </c>
      <c r="E30368" t="str">
        <v/>
      </c>
      <c r="F30368" t="str">
        <v>-</v>
      </c>
      <c r="G30368" t="str">
        <v>-</v>
      </c>
    </row>
    <row r="30369" xml:space="preserve">
      <c r="B30369" t="str" xml:space="preserve">
        <v xml:space="preserve">UBND Ủy ban nhân dân xã Yang Nam _x000d_
 tỉnh Gia Lai</v>
      </c>
      <c r="C30369" t="str">
        <v>-</v>
      </c>
      <c r="D30369" t="str">
        <v>-</v>
      </c>
      <c r="E30369" t="str">
        <v>-</v>
      </c>
      <c r="F30369" t="str">
        <v>-</v>
      </c>
      <c r="G30369" t="str">
        <v>-</v>
      </c>
    </row>
    <row r="30370">
      <c r="B30370" t="str">
        <v>Công an xã Quất Lưu  tỉnh Vĩnh Phúc</v>
      </c>
      <c r="C30370" t="str">
        <v>-</v>
      </c>
      <c r="D30370" t="str">
        <v>-</v>
      </c>
      <c r="E30370" t="str">
        <v/>
      </c>
      <c r="F30370" t="str">
        <v>-</v>
      </c>
      <c r="G30370" t="str">
        <v>-</v>
      </c>
    </row>
    <row r="30371">
      <c r="B30371" t="str">
        <v>UBND Ủy ban nhân dân xã Quất Lưu  tỉnh Vĩnh Phúc</v>
      </c>
      <c r="C30371" t="str">
        <v>-</v>
      </c>
      <c r="D30371" t="str">
        <v>-</v>
      </c>
      <c r="E30371" t="str">
        <v>-</v>
      </c>
      <c r="F30371" t="str">
        <v>-</v>
      </c>
      <c r="G30371" t="str">
        <v>-</v>
      </c>
    </row>
    <row r="30372">
      <c r="B30372" t="str">
        <v>Công an huyện Thạch Hà tỉnh Hà Tĩnh</v>
      </c>
      <c r="C30372" t="str">
        <v>-</v>
      </c>
      <c r="D30372" t="str">
        <v>-</v>
      </c>
      <c r="E30372" t="str">
        <v/>
      </c>
      <c r="F30372" t="str">
        <v>-</v>
      </c>
      <c r="G30372" t="str">
        <v>-</v>
      </c>
    </row>
    <row r="30373">
      <c r="B30373" t="str">
        <v>UBND Ủy ban nhân dân huyện Thạch Hà tỉnh Hà Tĩnh</v>
      </c>
      <c r="C30373" t="str">
        <v>-</v>
      </c>
      <c r="D30373" t="str">
        <v>-</v>
      </c>
      <c r="E30373" t="str">
        <v>-</v>
      </c>
      <c r="F30373" t="str">
        <v>-</v>
      </c>
      <c r="G30373" t="str">
        <v>-</v>
      </c>
    </row>
    <row r="30374">
      <c r="B30374" t="str">
        <v>Công an huyện Mỹ Tú tỉnh Sóc Trăng</v>
      </c>
      <c r="C30374" t="str">
        <v>-</v>
      </c>
      <c r="D30374" t="str">
        <v>-</v>
      </c>
      <c r="E30374" t="str">
        <v/>
      </c>
      <c r="F30374" t="str">
        <v>-</v>
      </c>
      <c r="G30374" t="str">
        <v>-</v>
      </c>
    </row>
    <row r="30375">
      <c r="B30375" t="str">
        <v>UBND Ủy ban nhân dân huyện Mỹ Tú tỉnh Sóc Trăng</v>
      </c>
      <c r="C30375" t="str">
        <v>-</v>
      </c>
      <c r="D30375" t="str">
        <v>-</v>
      </c>
      <c r="E30375" t="str">
        <v>-</v>
      </c>
      <c r="F30375" t="str">
        <v>-</v>
      </c>
      <c r="G30375" t="str">
        <v>-</v>
      </c>
    </row>
    <row r="30376">
      <c r="B30376" t="str">
        <v>Công an xã Bình Sơn tỉnh Nghệ An</v>
      </c>
      <c r="C30376" t="str">
        <v>-</v>
      </c>
      <c r="D30376" t="str">
        <v>-</v>
      </c>
      <c r="E30376" t="str">
        <v/>
      </c>
      <c r="F30376" t="str">
        <v>-</v>
      </c>
      <c r="G30376" t="str">
        <v>-</v>
      </c>
    </row>
    <row r="30377">
      <c r="B30377" t="str">
        <v>UBND Ủy ban nhân dân xã Bình Sơn tỉnh Nghệ An</v>
      </c>
      <c r="C30377" t="str">
        <v>-</v>
      </c>
      <c r="D30377" t="str">
        <v>-</v>
      </c>
      <c r="E30377" t="str">
        <v>-</v>
      </c>
      <c r="F30377" t="str">
        <v>-</v>
      </c>
      <c r="G30377" t="str">
        <v>-</v>
      </c>
    </row>
    <row r="30378">
      <c r="B30378" t="str">
        <v>Công an xã Đông Phú tỉnh Bắc Giang</v>
      </c>
      <c r="C30378" t="str">
        <v>-</v>
      </c>
      <c r="D30378" t="str">
        <v>-</v>
      </c>
      <c r="E30378" t="str">
        <v/>
      </c>
      <c r="F30378" t="str">
        <v>-</v>
      </c>
      <c r="G30378" t="str">
        <v>-</v>
      </c>
    </row>
    <row r="30379">
      <c r="B30379" t="str">
        <v>UBND Ủy ban nhân dân xã Đông Phú tỉnh Bắc Giang</v>
      </c>
      <c r="C30379" t="str">
        <v>-</v>
      </c>
      <c r="D30379" t="str">
        <v>-</v>
      </c>
      <c r="E30379" t="str">
        <v>-</v>
      </c>
      <c r="F30379" t="str">
        <v>-</v>
      </c>
      <c r="G30379" t="str">
        <v>-</v>
      </c>
    </row>
    <row r="30380" xml:space="preserve">
      <c r="B30380" t="str" xml:space="preserve">
        <v xml:space="preserve">Công an xã Yên Thọ _x000d_
 tỉnh Thanh Hóa</v>
      </c>
      <c r="C30380" t="str">
        <v>-</v>
      </c>
      <c r="D30380" t="str">
        <v>-</v>
      </c>
      <c r="E30380" t="str">
        <v/>
      </c>
      <c r="F30380" t="str">
        <v>-</v>
      </c>
      <c r="G30380" t="str">
        <v>-</v>
      </c>
    </row>
    <row r="30381" xml:space="preserve">
      <c r="B30381" t="str" xml:space="preserve">
        <v xml:space="preserve">UBND Ủy ban nhân dân xã Yên Thọ _x000d_
 tỉnh Thanh Hóa</v>
      </c>
      <c r="C30381" t="str">
        <v>-</v>
      </c>
      <c r="D30381" t="str">
        <v>-</v>
      </c>
      <c r="E30381" t="str">
        <v>-</v>
      </c>
      <c r="F30381" t="str">
        <v>-</v>
      </c>
      <c r="G30381" t="str">
        <v>-</v>
      </c>
    </row>
    <row r="30382">
      <c r="B30382" t="str">
        <v>Công an xã Cẩm Ngọc tỉnh Thanh Hóa</v>
      </c>
      <c r="C30382" t="str">
        <v>-</v>
      </c>
      <c r="D30382" t="str">
        <v>-</v>
      </c>
      <c r="E30382" t="str">
        <v/>
      </c>
      <c r="F30382" t="str">
        <v>-</v>
      </c>
      <c r="G30382" t="str">
        <v>-</v>
      </c>
    </row>
    <row r="30383">
      <c r="B30383" t="str">
        <v>UBND Ủy ban nhân dân xã Cẩm Ngọc tỉnh Thanh Hóa</v>
      </c>
      <c r="C30383" t="str">
        <v>-</v>
      </c>
      <c r="D30383" t="str">
        <v>-</v>
      </c>
      <c r="E30383" t="str">
        <v>-</v>
      </c>
      <c r="F30383" t="str">
        <v>-</v>
      </c>
      <c r="G30383" t="str">
        <v>-</v>
      </c>
    </row>
    <row r="30384" xml:space="preserve">
      <c r="B30384" t="str" xml:space="preserve">
        <v xml:space="preserve">Công an xã Hoàng Đan _x000d_
 tỉnh Vĩnh Phúc</v>
      </c>
      <c r="C30384" t="str">
        <v>-</v>
      </c>
      <c r="D30384" t="str">
        <v>-</v>
      </c>
      <c r="E30384" t="str">
        <v/>
      </c>
      <c r="F30384" t="str">
        <v>-</v>
      </c>
      <c r="G30384" t="str">
        <v>-</v>
      </c>
    </row>
    <row r="30385" xml:space="preserve">
      <c r="B30385" t="str" xml:space="preserve">
        <v xml:space="preserve">UBND Ủy ban nhân dân xã Hoàng Đan _x000d_
 tỉnh Vĩnh Phúc</v>
      </c>
      <c r="C30385" t="str">
        <v>-</v>
      </c>
      <c r="D30385" t="str">
        <v>-</v>
      </c>
      <c r="E30385" t="str">
        <v>-</v>
      </c>
      <c r="F30385" t="str">
        <v>-</v>
      </c>
      <c r="G30385" t="str">
        <v>-</v>
      </c>
    </row>
    <row r="30386">
      <c r="B30386" t="str">
        <v>Công an xã Thành Tâm tỉnh Thanh Hóa</v>
      </c>
      <c r="C30386" t="str">
        <v>-</v>
      </c>
      <c r="D30386" t="str">
        <v>-</v>
      </c>
      <c r="E30386" t="str">
        <v/>
      </c>
      <c r="F30386" t="str">
        <v>-</v>
      </c>
      <c r="G30386" t="str">
        <v>-</v>
      </c>
    </row>
    <row r="30387">
      <c r="B30387" t="str">
        <v>UBND Ủy ban nhân dân xã Thành Tâm tỉnh Thanh Hóa</v>
      </c>
      <c r="C30387" t="str">
        <v>-</v>
      </c>
      <c r="D30387" t="str">
        <v>-</v>
      </c>
      <c r="E30387" t="str">
        <v>-</v>
      </c>
      <c r="F30387" t="str">
        <v>-</v>
      </c>
      <c r="G30387" t="str">
        <v>-</v>
      </c>
    </row>
    <row r="30388" xml:space="preserve">
      <c r="B30388" t="str" xml:space="preserve">
        <v xml:space="preserve">Công an xã Kim Định _x000d_
 tỉnh Hải Dương</v>
      </c>
      <c r="C30388" t="str">
        <v>-</v>
      </c>
      <c r="D30388" t="str">
        <v>-</v>
      </c>
      <c r="E30388" t="str">
        <v/>
      </c>
      <c r="F30388" t="str">
        <v>-</v>
      </c>
      <c r="G30388" t="str">
        <v>-</v>
      </c>
    </row>
    <row r="30389" xml:space="preserve">
      <c r="B30389" t="str" xml:space="preserve">
        <v xml:space="preserve">UBND Ủy ban nhân dân xã Kim Định _x000d_
 tỉnh Hải Dương</v>
      </c>
      <c r="C30389" t="str">
        <v>-</v>
      </c>
      <c r="D30389" t="str">
        <v>-</v>
      </c>
      <c r="E30389" t="str">
        <v>-</v>
      </c>
      <c r="F30389" t="str">
        <v>-</v>
      </c>
      <c r="G30389" t="str">
        <v>-</v>
      </c>
    </row>
    <row r="30390">
      <c r="B30390" t="str">
        <v>Công an phường Phú Sơn tỉnh Thanh Hóa</v>
      </c>
      <c r="C30390" t="str">
        <v>-</v>
      </c>
      <c r="D30390" t="str">
        <v>-</v>
      </c>
      <c r="E30390" t="str">
        <v/>
      </c>
      <c r="F30390" t="str">
        <v>-</v>
      </c>
      <c r="G30390" t="str">
        <v>-</v>
      </c>
    </row>
    <row r="30391">
      <c r="B30391" t="str">
        <v>UBND Ủy ban nhân dân phường Phú Sơn tỉnh Thanh Hóa</v>
      </c>
      <c r="C30391" t="str">
        <v>-</v>
      </c>
      <c r="D30391" t="str">
        <v>-</v>
      </c>
      <c r="E30391" t="str">
        <v>-</v>
      </c>
      <c r="F30391" t="str">
        <v>-</v>
      </c>
      <c r="G30391" t="str">
        <v>-</v>
      </c>
    </row>
    <row r="30392">
      <c r="B30392" t="str">
        <v>Công an xã Nam Phúc Thăng  tỉnh Hà Tĩnh</v>
      </c>
      <c r="C30392" t="str">
        <v>-</v>
      </c>
      <c r="D30392" t="str">
        <v>-</v>
      </c>
      <c r="E30392" t="str">
        <v/>
      </c>
      <c r="F30392" t="str">
        <v>-</v>
      </c>
      <c r="G30392" t="str">
        <v>-</v>
      </c>
    </row>
    <row r="30393">
      <c r="B30393" t="str">
        <v>UBND Ủy ban nhân dân xã Nam Phúc Thăng  tỉnh Hà Tĩnh</v>
      </c>
      <c r="C30393" t="str">
        <v>-</v>
      </c>
      <c r="D30393" t="str">
        <v>-</v>
      </c>
      <c r="E30393" t="str">
        <v>-</v>
      </c>
      <c r="F30393" t="str">
        <v>-</v>
      </c>
      <c r="G30393" t="str">
        <v>-</v>
      </c>
    </row>
    <row r="30394" xml:space="preserve">
      <c r="B30394" t="str" xml:space="preserve">
        <v xml:space="preserve">Công an xã Sơn Trà _x000d_
 tỉnh Hà Tĩnh</v>
      </c>
      <c r="C30394" t="str">
        <v>-</v>
      </c>
      <c r="D30394" t="str">
        <v>-</v>
      </c>
      <c r="E30394" t="str">
        <v/>
      </c>
      <c r="F30394" t="str">
        <v>-</v>
      </c>
      <c r="G30394" t="str">
        <v>-</v>
      </c>
    </row>
    <row r="30395" xml:space="preserve">
      <c r="B30395" t="str" xml:space="preserve">
        <v xml:space="preserve">UBND Ủy ban nhân dân xã Sơn Trà _x000d_
 tỉnh Hà Tĩnh</v>
      </c>
      <c r="C30395" t="str">
        <v>-</v>
      </c>
      <c r="D30395" t="str">
        <v>-</v>
      </c>
      <c r="E30395" t="str">
        <v>-</v>
      </c>
      <c r="F30395" t="str">
        <v>-</v>
      </c>
      <c r="G30395" t="str">
        <v>-</v>
      </c>
    </row>
    <row r="30396">
      <c r="B30396" t="str">
        <v>Công an xã Tùng Châu tỉnh Hà Tĩnh</v>
      </c>
      <c r="C30396" t="str">
        <v>-</v>
      </c>
      <c r="D30396" t="str">
        <v>-</v>
      </c>
      <c r="E30396" t="str">
        <v/>
      </c>
      <c r="F30396" t="str">
        <v>-</v>
      </c>
      <c r="G30396" t="str">
        <v>-</v>
      </c>
    </row>
    <row r="30397">
      <c r="B30397" t="str">
        <v>UBND Ủy ban nhân dân xã Tùng Châu tỉnh Hà Tĩnh</v>
      </c>
      <c r="C30397" t="str">
        <v>-</v>
      </c>
      <c r="D30397" t="str">
        <v>-</v>
      </c>
      <c r="E30397" t="str">
        <v>-</v>
      </c>
      <c r="F30397" t="str">
        <v>-</v>
      </c>
      <c r="G30397" t="str">
        <v>-</v>
      </c>
    </row>
    <row r="30398">
      <c r="B30398" t="str">
        <v>Công an xã Khổng Lào tỉnh Lai Châu</v>
      </c>
      <c r="C30398" t="str">
        <v>-</v>
      </c>
      <c r="D30398" t="str">
        <v>-</v>
      </c>
      <c r="E30398" t="str">
        <v/>
      </c>
      <c r="F30398" t="str">
        <v>-</v>
      </c>
      <c r="G30398" t="str">
        <v>-</v>
      </c>
    </row>
    <row r="30399">
      <c r="B30399" t="str">
        <v>UBND Ủy ban nhân dân xã Khổng Lào tỉnh Lai Châu</v>
      </c>
      <c r="C30399" t="str">
        <v>-</v>
      </c>
      <c r="D30399" t="str">
        <v>-</v>
      </c>
      <c r="E30399" t="str">
        <v>-</v>
      </c>
      <c r="F30399" t="str">
        <v>-</v>
      </c>
      <c r="G30399" t="str">
        <v>-</v>
      </c>
    </row>
    <row r="30400">
      <c r="B30400" t="str">
        <v>Công an xã Lạc Sơn  tỉnh Nghệ An</v>
      </c>
      <c r="C30400" t="str">
        <v>-</v>
      </c>
      <c r="D30400" t="str">
        <v>-</v>
      </c>
      <c r="E30400" t="str">
        <v/>
      </c>
      <c r="F30400" t="str">
        <v>-</v>
      </c>
      <c r="G30400" t="str">
        <v>-</v>
      </c>
    </row>
    <row r="30401">
      <c r="B30401" t="str">
        <v>UBND Ủy ban nhân dân xã Lạc Sơn  tỉnh Nghệ An</v>
      </c>
      <c r="C30401" t="str">
        <v>-</v>
      </c>
      <c r="D30401" t="str">
        <v>-</v>
      </c>
      <c r="E30401" t="str">
        <v>-</v>
      </c>
      <c r="F30401" t="str">
        <v>-</v>
      </c>
      <c r="G30401" t="str">
        <v>-</v>
      </c>
    </row>
    <row r="30402">
      <c r="B30402" t="str">
        <v>Công an huyện Lộc Bình  tỉnh Lạng Sơn</v>
      </c>
      <c r="C30402" t="str">
        <v>-</v>
      </c>
      <c r="D30402" t="str">
        <v>-</v>
      </c>
      <c r="E30402" t="str">
        <v/>
      </c>
      <c r="F30402" t="str">
        <v>-</v>
      </c>
      <c r="G30402" t="str">
        <v>-</v>
      </c>
    </row>
    <row r="30403">
      <c r="B30403" t="str">
        <v>UBND Ủy ban nhân dân huyện Lộc Bình  tỉnh Lạng Sơn</v>
      </c>
      <c r="C30403" t="str">
        <v>-</v>
      </c>
      <c r="D30403" t="str">
        <v>-</v>
      </c>
      <c r="E30403" t="str">
        <v>-</v>
      </c>
      <c r="F30403" t="str">
        <v>-</v>
      </c>
      <c r="G30403" t="str">
        <v>-</v>
      </c>
    </row>
    <row r="30404" xml:space="preserve">
      <c r="B30404" t="str" xml:space="preserve">
        <v xml:space="preserve">Công an xã Tân Lập _x000d_
 thành phố Hà Nội</v>
      </c>
      <c r="C30404" t="str">
        <v>-</v>
      </c>
      <c r="D30404" t="str">
        <v>-</v>
      </c>
      <c r="E30404" t="str">
        <v/>
      </c>
      <c r="F30404" t="str">
        <v>-</v>
      </c>
      <c r="G30404" t="str">
        <v>-</v>
      </c>
    </row>
    <row r="30405" xml:space="preserve">
      <c r="B30405" t="str" xml:space="preserve">
        <v xml:space="preserve">UBND Ủy ban nhân dân xã Tân Lập _x000d_
 thành phố Hà Nội</v>
      </c>
      <c r="C30405" t="str">
        <v>-</v>
      </c>
      <c r="D30405" t="str">
        <v>-</v>
      </c>
      <c r="E30405" t="str">
        <v>-</v>
      </c>
      <c r="F30405" t="str">
        <v>-</v>
      </c>
      <c r="G30405" t="str">
        <v>-</v>
      </c>
    </row>
    <row r="30406">
      <c r="B30406" t="str">
        <v>Công an xã Đông Sơn  tỉnh Nghệ An</v>
      </c>
      <c r="C30406" t="str">
        <v>-</v>
      </c>
      <c r="D30406" t="str">
        <v>-</v>
      </c>
      <c r="E30406" t="str">
        <v/>
      </c>
      <c r="F30406" t="str">
        <v>-</v>
      </c>
      <c r="G30406" t="str">
        <v>-</v>
      </c>
    </row>
    <row r="30407">
      <c r="B30407" t="str">
        <v>UBND Ủy ban nhân dân xã Đông Sơn  tỉnh Nghệ An</v>
      </c>
      <c r="C30407" t="str">
        <v>-</v>
      </c>
      <c r="D30407" t="str">
        <v>-</v>
      </c>
      <c r="E30407" t="str">
        <v>-</v>
      </c>
      <c r="F30407" t="str">
        <v>-</v>
      </c>
      <c r="G30407" t="str">
        <v>-</v>
      </c>
    </row>
    <row r="30408">
      <c r="B30408" t="str">
        <v>Công an xã Kim Tân tỉnh Ninh Bình</v>
      </c>
      <c r="C30408" t="str">
        <v>-</v>
      </c>
      <c r="D30408" t="str">
        <v>-</v>
      </c>
      <c r="E30408" t="str">
        <v/>
      </c>
      <c r="F30408" t="str">
        <v>-</v>
      </c>
      <c r="G30408" t="str">
        <v>-</v>
      </c>
    </row>
    <row r="30409">
      <c r="B30409" t="str">
        <v>UBND Ủy ban nhân dân xã Kim Tân tỉnh Ninh Bình</v>
      </c>
      <c r="C30409" t="str">
        <v>-</v>
      </c>
      <c r="D30409" t="str">
        <v>-</v>
      </c>
      <c r="E30409" t="str">
        <v>-</v>
      </c>
      <c r="F30409" t="str">
        <v>-</v>
      </c>
      <c r="G30409" t="str">
        <v>-</v>
      </c>
    </row>
    <row r="30410" xml:space="preserve">
      <c r="B30410" t="str" xml:space="preserve">
        <v xml:space="preserve">Công an xã Nghĩa Khánh _x000d_
 tỉnh Nghệ An</v>
      </c>
      <c r="C30410" t="str">
        <v>-</v>
      </c>
      <c r="D30410" t="str">
        <v>-</v>
      </c>
      <c r="E30410" t="str">
        <v/>
      </c>
      <c r="F30410" t="str">
        <v>-</v>
      </c>
      <c r="G30410" t="str">
        <v>-</v>
      </c>
    </row>
    <row r="30411" xml:space="preserve">
      <c r="B30411" t="str" xml:space="preserve">
        <v xml:space="preserve">UBND Ủy ban nhân dân xã Nghĩa Khánh _x000d_
 tỉnh Nghệ An</v>
      </c>
      <c r="C30411" t="str">
        <v>-</v>
      </c>
      <c r="D30411" t="str">
        <v>-</v>
      </c>
      <c r="E30411" t="str">
        <v>-</v>
      </c>
      <c r="F30411" t="str">
        <v>-</v>
      </c>
      <c r="G30411" t="str">
        <v>-</v>
      </c>
    </row>
    <row r="30412">
      <c r="B30412" t="str">
        <v>Công an xã Nghĩa Khánh  tỉnh Nghệ An</v>
      </c>
      <c r="C30412" t="str">
        <v>-</v>
      </c>
      <c r="D30412" t="str">
        <v>-</v>
      </c>
      <c r="E30412" t="str">
        <v/>
      </c>
      <c r="F30412" t="str">
        <v>-</v>
      </c>
      <c r="G30412" t="str">
        <v>-</v>
      </c>
    </row>
    <row r="30413">
      <c r="B30413" t="str">
        <v>UBND Ủy ban nhân dân xã Nghĩa Khánh  tỉnh Nghệ An</v>
      </c>
      <c r="C30413" t="str">
        <v>-</v>
      </c>
      <c r="D30413" t="str">
        <v>-</v>
      </c>
      <c r="E30413" t="str">
        <v>-</v>
      </c>
      <c r="F30413" t="str">
        <v>-</v>
      </c>
      <c r="G30413" t="str">
        <v>-</v>
      </c>
    </row>
    <row r="30414">
      <c r="B30414" t="str">
        <v>Công an xã Kỳ Giang tỉnh Hà Tĩnh</v>
      </c>
      <c r="C30414" t="str">
        <v>-</v>
      </c>
      <c r="D30414" t="str">
        <v>-</v>
      </c>
      <c r="E30414" t="str">
        <v/>
      </c>
      <c r="F30414" t="str">
        <v>-</v>
      </c>
      <c r="G30414" t="str">
        <v>-</v>
      </c>
    </row>
    <row r="30415">
      <c r="B30415" t="str">
        <v>UBND Ủy ban nhân dân xã Kỳ Giang tỉnh Hà Tĩnh</v>
      </c>
      <c r="C30415" t="str">
        <v>-</v>
      </c>
      <c r="D30415" t="str">
        <v>-</v>
      </c>
      <c r="E30415" t="str">
        <v>-</v>
      </c>
      <c r="F30415" t="str">
        <v>-</v>
      </c>
      <c r="G30415" t="str">
        <v>-</v>
      </c>
    </row>
    <row r="30416">
      <c r="B30416" t="str">
        <v>Công an xã Long Xá tỉnh Nghệ An</v>
      </c>
      <c r="C30416" t="str">
        <v>-</v>
      </c>
      <c r="D30416" t="str">
        <v>-</v>
      </c>
      <c r="E30416" t="str">
        <v/>
      </c>
      <c r="F30416" t="str">
        <v>-</v>
      </c>
      <c r="G30416" t="str">
        <v>-</v>
      </c>
    </row>
    <row r="30417">
      <c r="B30417" t="str">
        <v>UBND Ủy ban nhân dân xã Long Xá tỉnh Nghệ An</v>
      </c>
      <c r="C30417" t="str">
        <v>-</v>
      </c>
      <c r="D30417" t="str">
        <v>-</v>
      </c>
      <c r="E30417" t="str">
        <v>-</v>
      </c>
      <c r="F30417" t="str">
        <v>-</v>
      </c>
      <c r="G30417" t="str">
        <v>-</v>
      </c>
    </row>
    <row r="30418">
      <c r="B30418" t="str">
        <v>Công an xã Ia Phang  tỉnh Gia Lai</v>
      </c>
      <c r="C30418" t="str">
        <v>-</v>
      </c>
      <c r="D30418" t="str">
        <v>-</v>
      </c>
      <c r="E30418" t="str">
        <v/>
      </c>
      <c r="F30418" t="str">
        <v>-</v>
      </c>
      <c r="G30418" t="str">
        <v>-</v>
      </c>
    </row>
    <row r="30419">
      <c r="B30419" t="str">
        <v>UBND Ủy ban nhân dân xã Ia Phang  tỉnh Gia Lai</v>
      </c>
      <c r="C30419" t="str">
        <v>-</v>
      </c>
      <c r="D30419" t="str">
        <v>-</v>
      </c>
      <c r="E30419" t="str">
        <v>-</v>
      </c>
      <c r="F30419" t="str">
        <v>-</v>
      </c>
      <c r="G30419" t="str">
        <v>-</v>
      </c>
    </row>
    <row r="30420">
      <c r="B30420" t="str">
        <v>Công an xã Kỳ Nam tỉnh Hà Tĩnh</v>
      </c>
      <c r="C30420" t="str">
        <v>-</v>
      </c>
      <c r="D30420" t="str">
        <v>-</v>
      </c>
      <c r="E30420" t="str">
        <v/>
      </c>
      <c r="F30420" t="str">
        <v>-</v>
      </c>
      <c r="G30420" t="str">
        <v>-</v>
      </c>
    </row>
    <row r="30421">
      <c r="B30421" t="str">
        <v>UBND Ủy ban nhân dân xã Kỳ Nam tỉnh Hà Tĩnh</v>
      </c>
      <c r="C30421" t="str">
        <v>-</v>
      </c>
      <c r="D30421" t="str">
        <v>-</v>
      </c>
      <c r="E30421" t="str">
        <v>-</v>
      </c>
      <c r="F30421" t="str">
        <v>-</v>
      </c>
      <c r="G30421" t="str">
        <v>-</v>
      </c>
    </row>
    <row r="30422" xml:space="preserve">
      <c r="B30422" t="str" xml:space="preserve">
        <v xml:space="preserve">Công an xã Thành An _x000d_
 tỉnh Bến Tre</v>
      </c>
      <c r="C30422" t="str">
        <v>-</v>
      </c>
      <c r="D30422" t="str">
        <v>-</v>
      </c>
      <c r="E30422" t="str">
        <v/>
      </c>
      <c r="F30422" t="str">
        <v>-</v>
      </c>
      <c r="G30422" t="str">
        <v>-</v>
      </c>
    </row>
    <row r="30423" xml:space="preserve">
      <c r="B30423" t="str" xml:space="preserve">
        <v xml:space="preserve">UBND Ủy ban nhân dân xã Thành An _x000d_
 tỉnh Bến Tre</v>
      </c>
      <c r="C30423" t="str">
        <v>-</v>
      </c>
      <c r="D30423" t="str">
        <v>-</v>
      </c>
      <c r="E30423" t="str">
        <v>-</v>
      </c>
      <c r="F30423" t="str">
        <v>-</v>
      </c>
      <c r="G30423" t="str">
        <v>-</v>
      </c>
    </row>
    <row r="30424">
      <c r="B30424" t="str">
        <v>Công an tỉnh An Giang tỉnh An Giang</v>
      </c>
      <c r="C30424" t="str">
        <v>-</v>
      </c>
      <c r="D30424" t="str">
        <v>-</v>
      </c>
      <c r="E30424" t="str">
        <v/>
      </c>
      <c r="F30424" t="str">
        <v>-</v>
      </c>
      <c r="G30424" t="str">
        <v>-</v>
      </c>
    </row>
    <row r="30425">
      <c r="B30425" t="str">
        <v>UBND Ủy ban nhân dân tỉnh An Giang tỉnh An Giang</v>
      </c>
      <c r="C30425" t="str">
        <v>-</v>
      </c>
      <c r="D30425" t="str">
        <v>-</v>
      </c>
      <c r="E30425" t="str">
        <v>-</v>
      </c>
      <c r="F30425" t="str">
        <v>-</v>
      </c>
      <c r="G30425" t="str">
        <v>-</v>
      </c>
    </row>
    <row r="30426">
      <c r="B30426" t="str">
        <v>Công an xã Thái Hòa tỉnh Thanh Hóa</v>
      </c>
      <c r="C30426" t="str">
        <v>-</v>
      </c>
      <c r="D30426" t="str">
        <v>-</v>
      </c>
      <c r="E30426" t="str">
        <v/>
      </c>
      <c r="F30426" t="str">
        <v>-</v>
      </c>
      <c r="G30426" t="str">
        <v>-</v>
      </c>
    </row>
    <row r="30427">
      <c r="B30427" t="str">
        <v>UBND Ủy ban nhân dân xã Thái Hòa tỉnh Thanh Hóa</v>
      </c>
      <c r="C30427" t="str">
        <v>-</v>
      </c>
      <c r="D30427" t="str">
        <v>-</v>
      </c>
      <c r="E30427" t="str">
        <v>-</v>
      </c>
      <c r="F30427" t="str">
        <v>-</v>
      </c>
      <c r="G30427" t="str">
        <v>-</v>
      </c>
    </row>
    <row r="30428">
      <c r="B30428" t="str">
        <v>Công an xã Hoằng Cát tỉnh Thanh Hóa</v>
      </c>
      <c r="C30428" t="str">
        <v>-</v>
      </c>
      <c r="D30428" t="str">
        <v>-</v>
      </c>
      <c r="E30428" t="str">
        <v/>
      </c>
      <c r="F30428" t="str">
        <v>-</v>
      </c>
      <c r="G30428" t="str">
        <v>-</v>
      </c>
    </row>
    <row r="30429">
      <c r="B30429" t="str">
        <v>UBND Ủy ban nhân dân xã Hoằng Cát tỉnh Thanh Hóa</v>
      </c>
      <c r="C30429" t="str">
        <v>-</v>
      </c>
      <c r="D30429" t="str">
        <v>-</v>
      </c>
      <c r="E30429" t="str">
        <v>-</v>
      </c>
      <c r="F30429" t="str">
        <v>-</v>
      </c>
      <c r="G30429" t="str">
        <v>-</v>
      </c>
    </row>
    <row r="30430">
      <c r="B30430" t="str">
        <v>Công an huyện Sốp Cộp tỉnh Sơn La</v>
      </c>
      <c r="C30430" t="str">
        <v>-</v>
      </c>
      <c r="D30430" t="str">
        <v>-</v>
      </c>
      <c r="E30430" t="str">
        <v/>
      </c>
      <c r="F30430" t="str">
        <v>-</v>
      </c>
      <c r="G30430" t="str">
        <v>-</v>
      </c>
    </row>
    <row r="30431">
      <c r="B30431" t="str">
        <v>UBND Ủy ban nhân dân huyện Sốp Cộp tỉnh Sơn La</v>
      </c>
      <c r="C30431" t="str">
        <v>-</v>
      </c>
      <c r="D30431" t="str">
        <v>-</v>
      </c>
      <c r="E30431" t="str">
        <v>-</v>
      </c>
      <c r="F30431" t="str">
        <v>-</v>
      </c>
      <c r="G30431" t="str">
        <v>-</v>
      </c>
    </row>
    <row r="30432">
      <c r="B30432" t="str">
        <v>Công an xã Tượng Sơn tỉnh Hà Tĩnh</v>
      </c>
      <c r="C30432" t="str">
        <v>-</v>
      </c>
      <c r="D30432" t="str">
        <v>-</v>
      </c>
      <c r="E30432" t="str">
        <v/>
      </c>
      <c r="F30432" t="str">
        <v>-</v>
      </c>
      <c r="G30432" t="str">
        <v>-</v>
      </c>
    </row>
    <row r="30433">
      <c r="B30433" t="str">
        <v>UBND Ủy ban nhân dân xã Tượng Sơn tỉnh Hà Tĩnh</v>
      </c>
      <c r="C30433" t="str">
        <v>-</v>
      </c>
      <c r="D30433" t="str">
        <v>-</v>
      </c>
      <c r="E30433" t="str">
        <v>-</v>
      </c>
      <c r="F30433" t="str">
        <v>-</v>
      </c>
      <c r="G30433" t="str">
        <v>-</v>
      </c>
    </row>
    <row r="30434">
      <c r="B30434" t="str">
        <v>Công an xã Cao Ngọc tỉnh Thanh Hóa</v>
      </c>
      <c r="C30434" t="str">
        <v>-</v>
      </c>
      <c r="D30434" t="str">
        <v>-</v>
      </c>
      <c r="E30434" t="str">
        <v/>
      </c>
      <c r="F30434" t="str">
        <v>-</v>
      </c>
      <c r="G30434" t="str">
        <v>-</v>
      </c>
    </row>
    <row r="30435">
      <c r="B30435" t="str">
        <v>UBND Ủy ban nhân dân xã Cao Ngọc tỉnh Thanh Hóa</v>
      </c>
      <c r="C30435" t="str">
        <v>-</v>
      </c>
      <c r="D30435" t="str">
        <v>-</v>
      </c>
      <c r="E30435" t="str">
        <v>-</v>
      </c>
      <c r="F30435" t="str">
        <v>-</v>
      </c>
      <c r="G30435" t="str">
        <v>-</v>
      </c>
    </row>
    <row r="30436">
      <c r="B30436" t="str">
        <v>Công an phường Thành Tâm  tỉnh Bình Phước</v>
      </c>
      <c r="C30436" t="str">
        <v>-</v>
      </c>
      <c r="D30436" t="str">
        <v>-</v>
      </c>
      <c r="E30436" t="str">
        <v/>
      </c>
      <c r="F30436" t="str">
        <v>-</v>
      </c>
      <c r="G30436" t="str">
        <v>-</v>
      </c>
    </row>
    <row r="30437">
      <c r="B30437" t="str">
        <v>UBND Ủy ban nhân dân phường Thành Tâm  tỉnh Bình Phước</v>
      </c>
      <c r="C30437" t="str">
        <v>-</v>
      </c>
      <c r="D30437" t="str">
        <v>-</v>
      </c>
      <c r="E30437" t="str">
        <v>-</v>
      </c>
      <c r="F30437" t="str">
        <v>-</v>
      </c>
      <c r="G30437" t="str">
        <v>-</v>
      </c>
    </row>
    <row r="30438">
      <c r="B30438" t="str">
        <v>Công an xã Cẩm Thạch tỉnh Hà Tĩnh</v>
      </c>
      <c r="C30438" t="str">
        <v>-</v>
      </c>
      <c r="D30438" t="str">
        <v>-</v>
      </c>
      <c r="E30438" t="str">
        <v/>
      </c>
      <c r="F30438" t="str">
        <v>-</v>
      </c>
      <c r="G30438" t="str">
        <v>-</v>
      </c>
    </row>
    <row r="30439">
      <c r="B30439" t="str">
        <v>UBND Ủy ban nhân dân xã Cẩm Thạch tỉnh Hà Tĩnh</v>
      </c>
      <c r="C30439" t="str">
        <v>-</v>
      </c>
      <c r="D30439" t="str">
        <v>-</v>
      </c>
      <c r="E30439" t="str">
        <v>-</v>
      </c>
      <c r="F30439" t="str">
        <v>-</v>
      </c>
      <c r="G30439" t="str">
        <v>-</v>
      </c>
    </row>
    <row r="30440" xml:space="preserve">
      <c r="B30440" t="str" xml:space="preserve">
        <v xml:space="preserve">Công an xã Vĩnh Tú _x000d_
 tỉnh Quảng Trị</v>
      </c>
      <c r="C30440" t="str">
        <v>-</v>
      </c>
      <c r="D30440" t="str">
        <v>-</v>
      </c>
      <c r="E30440" t="str">
        <v/>
      </c>
      <c r="F30440" t="str">
        <v>-</v>
      </c>
      <c r="G30440" t="str">
        <v>-</v>
      </c>
    </row>
    <row r="30441" xml:space="preserve">
      <c r="B30441" t="str" xml:space="preserve">
        <v xml:space="preserve">UBND Ủy ban nhân dân xã Vĩnh Tú _x000d_
 tỉnh Quảng Trị</v>
      </c>
      <c r="C30441" t="str">
        <v>-</v>
      </c>
      <c r="D30441" t="str">
        <v>-</v>
      </c>
      <c r="E30441" t="str">
        <v>-</v>
      </c>
      <c r="F30441" t="str">
        <v>-</v>
      </c>
      <c r="G30441" t="str">
        <v>-</v>
      </c>
    </row>
    <row r="30442">
      <c r="B30442" t="str">
        <v>Công an xã Thạch Quảng tỉnh Thanh Hóa</v>
      </c>
      <c r="C30442" t="str">
        <v>-</v>
      </c>
      <c r="D30442" t="str">
        <v>-</v>
      </c>
      <c r="E30442" t="str">
        <v/>
      </c>
      <c r="F30442" t="str">
        <v>-</v>
      </c>
      <c r="G30442" t="str">
        <v>-</v>
      </c>
    </row>
    <row r="30443">
      <c r="B30443" t="str">
        <v>UBND Ủy ban nhân dân xã Thạch Quảng tỉnh Thanh Hóa</v>
      </c>
      <c r="C30443" t="str">
        <v>-</v>
      </c>
      <c r="D30443" t="str">
        <v>-</v>
      </c>
      <c r="E30443" t="str">
        <v>-</v>
      </c>
      <c r="F30443" t="str">
        <v>-</v>
      </c>
      <c r="G30443" t="str">
        <v>-</v>
      </c>
    </row>
    <row r="30444">
      <c r="B30444" t="str">
        <v>Công an xã Yên Tâm tỉnh Thanh Hóa</v>
      </c>
      <c r="C30444" t="str">
        <v>-</v>
      </c>
      <c r="D30444" t="str">
        <v>-</v>
      </c>
      <c r="E30444" t="str">
        <v/>
      </c>
      <c r="F30444" t="str">
        <v>-</v>
      </c>
      <c r="G30444" t="str">
        <v>-</v>
      </c>
    </row>
    <row r="30445">
      <c r="B30445" t="str">
        <v>UBND Ủy ban nhân dân xã Yên Tâm tỉnh Thanh Hóa</v>
      </c>
      <c r="C30445" t="str">
        <v>-</v>
      </c>
      <c r="D30445" t="str">
        <v>-</v>
      </c>
      <c r="E30445" t="str">
        <v>-</v>
      </c>
      <c r="F30445" t="str">
        <v>-</v>
      </c>
      <c r="G30445" t="str">
        <v>-</v>
      </c>
    </row>
    <row r="30446">
      <c r="B30446" t="str">
        <v>Công an xã Triệu Long tỉnh Quảng Trị</v>
      </c>
      <c r="C30446" t="str">
        <v>-</v>
      </c>
      <c r="D30446" t="str">
        <v>-</v>
      </c>
      <c r="E30446" t="str">
        <v/>
      </c>
      <c r="F30446" t="str">
        <v>-</v>
      </c>
      <c r="G30446" t="str">
        <v>-</v>
      </c>
    </row>
    <row r="30447">
      <c r="B30447" t="str">
        <v>UBND Ủy ban nhân dân xã Triệu Long tỉnh Quảng Trị</v>
      </c>
      <c r="C30447" t="str">
        <v>-</v>
      </c>
      <c r="D30447" t="str">
        <v>-</v>
      </c>
      <c r="E30447" t="str">
        <v>-</v>
      </c>
      <c r="F30447" t="str">
        <v>-</v>
      </c>
      <c r="G30447" t="str">
        <v>-</v>
      </c>
    </row>
    <row r="30448" xml:space="preserve">
      <c r="B30448" t="str" xml:space="preserve">
        <v xml:space="preserve"> Công an xã Hướng Hiệp_x000d_
 tỉnh Quảng Trị</v>
      </c>
    </row>
    <row r="30449" xml:space="preserve">
      <c r="B30449" t="str" xml:space="preserve">
        <v xml:space="preserve">UBND Ủy ban nhân dânn xã Hướng Hiệp_x000d_
 tỉnh Quảng Trị</v>
      </c>
      <c r="C30449" t="str">
        <v>-</v>
      </c>
      <c r="D30449" t="str">
        <v>-</v>
      </c>
      <c r="E30449" t="str">
        <v>-</v>
      </c>
      <c r="F30449" t="str">
        <v>-</v>
      </c>
      <c r="G30449" t="str">
        <v>-</v>
      </c>
    </row>
    <row r="30450">
      <c r="B30450" t="str">
        <v>Công an xã Sơn Kim 1 tỉnh Hà Tĩnh</v>
      </c>
      <c r="C30450" t="str">
        <v>-</v>
      </c>
      <c r="D30450" t="str">
        <v>-</v>
      </c>
      <c r="E30450" t="str">
        <v/>
      </c>
      <c r="F30450" t="str">
        <v>-</v>
      </c>
      <c r="G30450" t="str">
        <v>-</v>
      </c>
    </row>
    <row r="30451">
      <c r="B30451" t="str">
        <v>UBND Ủy ban nhân dân xã Sơn Kim 1 tỉnh Hà Tĩnh</v>
      </c>
      <c r="C30451" t="str">
        <v>-</v>
      </c>
      <c r="D30451" t="str">
        <v>-</v>
      </c>
      <c r="E30451" t="str">
        <v>-</v>
      </c>
      <c r="F30451" t="str">
        <v>-</v>
      </c>
      <c r="G30451" t="str">
        <v>-</v>
      </c>
    </row>
    <row r="30452">
      <c r="B30452" t="str">
        <v>Công an huyện Minh Hóa  tỉnh Quảng Bình</v>
      </c>
      <c r="C30452" t="str">
        <v>-</v>
      </c>
      <c r="D30452" t="str">
        <v>-</v>
      </c>
      <c r="E30452" t="str">
        <v/>
      </c>
      <c r="F30452" t="str">
        <v>-</v>
      </c>
      <c r="G30452" t="str">
        <v>-</v>
      </c>
    </row>
    <row r="30453">
      <c r="B30453" t="str">
        <v>UBND Ủy ban nhân dân huyện Minh Hóa  tỉnh Quảng Bình</v>
      </c>
      <c r="C30453" t="str">
        <v>-</v>
      </c>
      <c r="D30453" t="str">
        <v>-</v>
      </c>
      <c r="E30453" t="str">
        <v>-</v>
      </c>
      <c r="F30453" t="str">
        <v>-</v>
      </c>
      <c r="G30453" t="str">
        <v>-</v>
      </c>
    </row>
    <row r="30454">
      <c r="B30454" t="str">
        <v>Công an xã Tân Mỹ Hà tỉnh Hà Tĩnh</v>
      </c>
      <c r="C30454" t="str">
        <v>-</v>
      </c>
      <c r="D30454" t="str">
        <v>-</v>
      </c>
      <c r="E30454" t="str">
        <v/>
      </c>
      <c r="F30454" t="str">
        <v>-</v>
      </c>
      <c r="G30454" t="str">
        <v>-</v>
      </c>
    </row>
    <row r="30455">
      <c r="B30455" t="str">
        <v>UBND Ủy ban nhân dân xã Tân Mỹ Hà tỉnh Hà Tĩnh</v>
      </c>
      <c r="C30455" t="str">
        <v>-</v>
      </c>
      <c r="D30455" t="str">
        <v>-</v>
      </c>
      <c r="E30455" t="str">
        <v>-</v>
      </c>
      <c r="F30455" t="str">
        <v>-</v>
      </c>
      <c r="G30455" t="str">
        <v>-</v>
      </c>
    </row>
    <row r="30456">
      <c r="B30456" t="str">
        <v>Công an xã Kỳ Ninh tỉnh Hà Tĩnh</v>
      </c>
      <c r="C30456" t="str">
        <v>-</v>
      </c>
      <c r="D30456" t="str">
        <v>-</v>
      </c>
      <c r="E30456" t="str">
        <v/>
      </c>
      <c r="F30456" t="str">
        <v>-</v>
      </c>
      <c r="G30456" t="str">
        <v>-</v>
      </c>
    </row>
    <row r="30457">
      <c r="B30457" t="str">
        <v>UBND Ủy ban nhân dân xã Kỳ Ninh tỉnh Hà Tĩnh</v>
      </c>
      <c r="C30457" t="str">
        <v>-</v>
      </c>
      <c r="D30457" t="str">
        <v>-</v>
      </c>
      <c r="E30457" t="str">
        <v>-</v>
      </c>
      <c r="F30457" t="str">
        <v>-</v>
      </c>
      <c r="G30457" t="str">
        <v>-</v>
      </c>
    </row>
    <row r="30458">
      <c r="B30458" t="str">
        <v>Công an xã Quân Chu tỉnh Thái Nguyên</v>
      </c>
      <c r="C30458" t="str">
        <v>-</v>
      </c>
      <c r="D30458" t="str">
        <v>-</v>
      </c>
      <c r="E30458" t="str">
        <v/>
      </c>
      <c r="F30458" t="str">
        <v>-</v>
      </c>
      <c r="G30458" t="str">
        <v>-</v>
      </c>
    </row>
    <row r="30459">
      <c r="B30459" t="str">
        <v>UBND Ủy ban nhân dân xã Quân Chu tỉnh Thái Nguyên</v>
      </c>
      <c r="C30459" t="str">
        <v>-</v>
      </c>
      <c r="D30459" t="str">
        <v>-</v>
      </c>
      <c r="E30459" t="str">
        <v>-</v>
      </c>
      <c r="F30459" t="str">
        <v>-</v>
      </c>
      <c r="G30459" t="str">
        <v>-</v>
      </c>
    </row>
    <row r="30460">
      <c r="B30460" t="str">
        <v>Công an xã Hương Bình tỉnh Hà Tĩnh</v>
      </c>
      <c r="C30460" t="str">
        <v>-</v>
      </c>
      <c r="D30460" t="str">
        <v>-</v>
      </c>
      <c r="E30460" t="str">
        <v/>
      </c>
      <c r="F30460" t="str">
        <v>-</v>
      </c>
      <c r="G30460" t="str">
        <v>-</v>
      </c>
    </row>
    <row r="30461">
      <c r="B30461" t="str">
        <v>UBND Ủy ban nhân dân xã Hương Bình tỉnh Hà Tĩnh</v>
      </c>
      <c r="C30461" t="str">
        <v>-</v>
      </c>
      <c r="D30461" t="str">
        <v>-</v>
      </c>
      <c r="E30461" t="str">
        <v>-</v>
      </c>
      <c r="F30461" t="str">
        <v>-</v>
      </c>
      <c r="G30461" t="str">
        <v>-</v>
      </c>
    </row>
    <row r="30462" xml:space="preserve">
      <c r="B30462" t="str" xml:space="preserve">
        <v xml:space="preserve">Công an xã Ea Dăh _x000d_
 tỉnh Đắk Lắk</v>
      </c>
      <c r="C30462" t="str">
        <v>-</v>
      </c>
      <c r="D30462" t="str">
        <v>-</v>
      </c>
      <c r="E30462" t="str">
        <v/>
      </c>
      <c r="F30462" t="str">
        <v>-</v>
      </c>
      <c r="G30462" t="str">
        <v>-</v>
      </c>
    </row>
    <row r="30463" xml:space="preserve">
      <c r="B30463" t="str" xml:space="preserve">
        <v xml:space="preserve">UBND Ủy ban nhân dân xã Ea Dăh _x000d_
 tỉnh Đắk Lắk</v>
      </c>
      <c r="C30463" t="str">
        <v>-</v>
      </c>
      <c r="D30463" t="str">
        <v>-</v>
      </c>
      <c r="E30463" t="str">
        <v>-</v>
      </c>
      <c r="F30463" t="str">
        <v>-</v>
      </c>
      <c r="G30463" t="str">
        <v>-</v>
      </c>
    </row>
    <row r="30464" xml:space="preserve">
      <c r="B30464" t="str" xml:space="preserve">
        <v xml:space="preserve">Công an xã Nghi Long _x000d_
 tỉnh Nghệ An</v>
      </c>
      <c r="C30464" t="str">
        <v>-</v>
      </c>
      <c r="D30464" t="str">
        <v>-</v>
      </c>
      <c r="E30464" t="str">
        <v/>
      </c>
      <c r="F30464" t="str">
        <v>-</v>
      </c>
      <c r="G30464" t="str">
        <v>-</v>
      </c>
    </row>
    <row r="30465" xml:space="preserve">
      <c r="B30465" t="str" xml:space="preserve">
        <v xml:space="preserve">UBND Ủy ban nhân dân xã Nghi Long _x000d_
 tỉnh Nghệ An</v>
      </c>
      <c r="C30465" t="str">
        <v>-</v>
      </c>
      <c r="D30465" t="str">
        <v>-</v>
      </c>
      <c r="E30465" t="str">
        <v>-</v>
      </c>
      <c r="F30465" t="str">
        <v>-</v>
      </c>
      <c r="G30465" t="str">
        <v>-</v>
      </c>
    </row>
    <row r="30466" xml:space="preserve">
      <c r="B30466" t="str" xml:space="preserve">
        <v xml:space="preserve">Công an thị trấn Ngọc Lặc _x000d_
 tỉnh Thanh Hóa</v>
      </c>
      <c r="C30466" t="str">
        <v>-</v>
      </c>
      <c r="D30466" t="str">
        <v>-</v>
      </c>
      <c r="E30466" t="str">
        <v/>
      </c>
      <c r="F30466" t="str">
        <v>-</v>
      </c>
      <c r="G30466" t="str">
        <v>-</v>
      </c>
    </row>
    <row r="30467" xml:space="preserve">
      <c r="B30467" t="str" xml:space="preserve">
        <v xml:space="preserve">UBND Ủy ban nhân dân thị trấn Ngọc Lặc _x000d_
 tỉnh Thanh Hóa</v>
      </c>
      <c r="C30467" t="str">
        <v>-</v>
      </c>
      <c r="D30467" t="str">
        <v>-</v>
      </c>
      <c r="E30467" t="str">
        <v>-</v>
      </c>
      <c r="F30467" t="str">
        <v>-</v>
      </c>
      <c r="G30467" t="str">
        <v>-</v>
      </c>
    </row>
    <row r="30468">
      <c r="B30468" t="str">
        <v>Công an xã Tân Lập thành phố Hà Nội</v>
      </c>
      <c r="C30468" t="str">
        <v>-</v>
      </c>
      <c r="D30468" t="str">
        <v>-</v>
      </c>
      <c r="E30468" t="str">
        <v/>
      </c>
      <c r="F30468" t="str">
        <v>-</v>
      </c>
      <c r="G30468" t="str">
        <v>-</v>
      </c>
    </row>
    <row r="30469">
      <c r="B30469" t="str">
        <v>UBND Ủy ban nhân dân xã Tân Lập thành phố Hà Nội</v>
      </c>
      <c r="C30469" t="str">
        <v>-</v>
      </c>
      <c r="D30469" t="str">
        <v>-</v>
      </c>
      <c r="E30469" t="str">
        <v>-</v>
      </c>
      <c r="F30469" t="str">
        <v>-</v>
      </c>
      <c r="G30469" t="str">
        <v>-</v>
      </c>
    </row>
    <row r="30470">
      <c r="B30470" t="str">
        <v>Công an xã Nghĩa Phúc  tỉnh Nghệ An</v>
      </c>
      <c r="C30470" t="str">
        <v>-</v>
      </c>
      <c r="D30470" t="str">
        <v>-</v>
      </c>
      <c r="E30470" t="str">
        <v/>
      </c>
      <c r="F30470" t="str">
        <v>-</v>
      </c>
      <c r="G30470" t="str">
        <v>-</v>
      </c>
    </row>
    <row r="30471">
      <c r="B30471" t="str">
        <v>UBND Ủy ban nhân dân xã Nghĩa Phúc  tỉnh Nghệ An</v>
      </c>
      <c r="C30471" t="str">
        <v>-</v>
      </c>
      <c r="D30471" t="str">
        <v>-</v>
      </c>
      <c r="E30471" t="str">
        <v>-</v>
      </c>
      <c r="F30471" t="str">
        <v>-</v>
      </c>
      <c r="G30471" t="str">
        <v>-</v>
      </c>
    </row>
    <row r="30472">
      <c r="B30472" t="str">
        <v>Công an xã Hoằng Đạo tỉnh Thanh Hóa</v>
      </c>
      <c r="C30472" t="str">
        <v>-</v>
      </c>
      <c r="D30472" t="str">
        <v>-</v>
      </c>
      <c r="E30472" t="str">
        <v/>
      </c>
      <c r="F30472" t="str">
        <v>-</v>
      </c>
      <c r="G30472" t="str">
        <v>-</v>
      </c>
    </row>
    <row r="30473">
      <c r="B30473" t="str">
        <v>UBND Ủy ban nhân dân xã Hoằng Đạo tỉnh Thanh Hóa</v>
      </c>
      <c r="C30473" t="str">
        <v>-</v>
      </c>
      <c r="D30473" t="str">
        <v>-</v>
      </c>
      <c r="E30473" t="str">
        <v>-</v>
      </c>
      <c r="F30473" t="str">
        <v>-</v>
      </c>
      <c r="G30473" t="str">
        <v>-</v>
      </c>
    </row>
    <row r="30474">
      <c r="B30474" t="str">
        <v>Công an xã Tam Tiến tỉnh Bắc Giang</v>
      </c>
      <c r="C30474" t="str">
        <v>-</v>
      </c>
      <c r="D30474" t="str">
        <v>-</v>
      </c>
      <c r="E30474" t="str">
        <v/>
      </c>
      <c r="F30474" t="str">
        <v>-</v>
      </c>
      <c r="G30474" t="str">
        <v>-</v>
      </c>
    </row>
    <row r="30475">
      <c r="B30475" t="str">
        <v>UBND Ủy ban nhân dân xã Tam Tiến tỉnh Bắc Giang</v>
      </c>
      <c r="C30475" t="str">
        <v>-</v>
      </c>
      <c r="D30475" t="str">
        <v>-</v>
      </c>
      <c r="E30475" t="str">
        <v>-</v>
      </c>
      <c r="F30475" t="str">
        <v>-</v>
      </c>
      <c r="G30475" t="str">
        <v>-</v>
      </c>
    </row>
    <row r="30476" xml:space="preserve">
      <c r="B30476" t="str" xml:space="preserve">
        <v xml:space="preserve">Công an phường Ngô Mây _x000d_
 tỉnh Bình Định</v>
      </c>
      <c r="C30476" t="str">
        <v>-</v>
      </c>
      <c r="D30476" t="str">
        <v>-</v>
      </c>
      <c r="E30476" t="str">
        <v/>
      </c>
      <c r="F30476" t="str">
        <v>-</v>
      </c>
      <c r="G30476" t="str">
        <v>-</v>
      </c>
    </row>
    <row r="30477" xml:space="preserve">
      <c r="B30477" t="str" xml:space="preserve">
        <v xml:space="preserve">UBND Ủy ban nhân dân phường Ngô Mây _x000d_
 tỉnh Bình Định</v>
      </c>
      <c r="C30477" t="str">
        <v>-</v>
      </c>
      <c r="D30477" t="str">
        <v>-</v>
      </c>
      <c r="E30477" t="str">
        <v>-</v>
      </c>
      <c r="F30477" t="str">
        <v>-</v>
      </c>
      <c r="G30477" t="str">
        <v>-</v>
      </c>
    </row>
    <row r="30478" xml:space="preserve">
      <c r="B30478" t="str" xml:space="preserve">
        <v xml:space="preserve"> Công an huyện Xuân Trường _x000d_
 tỉnh Nam Định</v>
      </c>
    </row>
    <row r="30479" xml:space="preserve">
      <c r="B30479" t="str" xml:space="preserve">
        <v xml:space="preserve">UBND Ủy ban nhân dânn huyện Xuân Trường _x000d_
 tỉnh Nam Định</v>
      </c>
      <c r="C30479" t="str">
        <v>-</v>
      </c>
      <c r="D30479" t="str">
        <v>-</v>
      </c>
      <c r="E30479" t="str">
        <v>-</v>
      </c>
      <c r="F30479" t="str">
        <v>-</v>
      </c>
      <c r="G30479" t="str">
        <v>-</v>
      </c>
    </row>
    <row r="30480" xml:space="preserve">
      <c r="B30480" t="str" xml:space="preserve">
        <v xml:space="preserve"> Công an tỉnh Nam Định _x000d_
 tỉnh Nam Định</v>
      </c>
    </row>
    <row r="30481" xml:space="preserve">
      <c r="B30481" t="str" xml:space="preserve">
        <v xml:space="preserve">UBND Ủy ban nhân dânn tỉnh Nam Định _x000d_
 tỉnh Nam Định</v>
      </c>
      <c r="C30481" t="str">
        <v>-</v>
      </c>
      <c r="D30481" t="str">
        <v>-</v>
      </c>
      <c r="E30481" t="str">
        <v>-</v>
      </c>
      <c r="F30481" t="str">
        <v>-</v>
      </c>
      <c r="G30481" t="str">
        <v>-</v>
      </c>
    </row>
    <row r="30482" xml:space="preserve">
      <c r="B30482" t="str" xml:space="preserve">
        <v xml:space="preserve">Công an xã Đak Nhau _x000d_
 tỉnh Bình Phước</v>
      </c>
      <c r="C30482" t="str">
        <v>-</v>
      </c>
      <c r="D30482" t="str">
        <v>-</v>
      </c>
      <c r="E30482" t="str">
        <v/>
      </c>
      <c r="F30482" t="str">
        <v>-</v>
      </c>
      <c r="G30482" t="str">
        <v>-</v>
      </c>
    </row>
    <row r="30483" xml:space="preserve">
      <c r="B30483" t="str" xml:space="preserve">
        <v xml:space="preserve">UBND Ủy ban nhân dân xã Đak Nhau _x000d_
 tỉnh Bình Phước</v>
      </c>
      <c r="C30483" t="str">
        <v>-</v>
      </c>
      <c r="D30483" t="str">
        <v>-</v>
      </c>
      <c r="E30483" t="str">
        <v>-</v>
      </c>
      <c r="F30483" t="str">
        <v>-</v>
      </c>
      <c r="G30483" t="str">
        <v>-</v>
      </c>
    </row>
    <row r="30484" xml:space="preserve">
      <c r="B30484" t="str" xml:space="preserve">
        <v xml:space="preserve">Công an xã Tân Mộc _x000d_
 tỉnh Bắc Giang</v>
      </c>
      <c r="C30484" t="str">
        <v>-</v>
      </c>
      <c r="D30484" t="str">
        <v>-</v>
      </c>
      <c r="E30484" t="str">
        <v/>
      </c>
      <c r="F30484" t="str">
        <v>-</v>
      </c>
      <c r="G30484" t="str">
        <v>-</v>
      </c>
    </row>
    <row r="30485" xml:space="preserve">
      <c r="B30485" t="str" xml:space="preserve">
        <v xml:space="preserve">UBND Ủy ban nhân dân xã Tân Mộc _x000d_
 tỉnh Bắc Giang</v>
      </c>
      <c r="C30485" t="str">
        <v>-</v>
      </c>
      <c r="D30485" t="str">
        <v>-</v>
      </c>
      <c r="E30485" t="str">
        <v>-</v>
      </c>
      <c r="F30485" t="str">
        <v>-</v>
      </c>
      <c r="G30485" t="str">
        <v>-</v>
      </c>
    </row>
    <row r="30486">
      <c r="B30486" t="str">
        <v>Công an xã Các Sơn tỉnh Thanh Hóa</v>
      </c>
      <c r="C30486" t="str">
        <v>-</v>
      </c>
      <c r="D30486" t="str">
        <v>-</v>
      </c>
      <c r="E30486" t="str">
        <v/>
      </c>
      <c r="F30486" t="str">
        <v>-</v>
      </c>
      <c r="G30486" t="str">
        <v>-</v>
      </c>
    </row>
    <row r="30487">
      <c r="B30487" t="str">
        <v>UBND Ủy ban nhân dân xã Các Sơn tỉnh Thanh Hóa</v>
      </c>
      <c r="C30487" t="str">
        <v>-</v>
      </c>
      <c r="D30487" t="str">
        <v>-</v>
      </c>
      <c r="E30487" t="str">
        <v>-</v>
      </c>
      <c r="F30487" t="str">
        <v>-</v>
      </c>
      <c r="G30487" t="str">
        <v>-</v>
      </c>
    </row>
    <row r="30488" xml:space="preserve">
      <c r="B30488" t="str" xml:space="preserve">
        <v xml:space="preserve">Công an xã Hà Lĩnh _x000d_
 tỉnh Thanh Hóa</v>
      </c>
      <c r="C30488" t="str">
        <v>-</v>
      </c>
      <c r="D30488" t="str">
        <v>-</v>
      </c>
      <c r="E30488" t="str">
        <v/>
      </c>
      <c r="F30488" t="str">
        <v>-</v>
      </c>
      <c r="G30488" t="str">
        <v>-</v>
      </c>
    </row>
    <row r="30489" xml:space="preserve">
      <c r="B30489" t="str" xml:space="preserve">
        <v xml:space="preserve">UBND Ủy ban nhân dân xã Hà Lĩnh _x000d_
 tỉnh Thanh Hóa</v>
      </c>
      <c r="C30489" t="str">
        <v>-</v>
      </c>
      <c r="D30489" t="str">
        <v>-</v>
      </c>
      <c r="E30489" t="str">
        <v>-</v>
      </c>
      <c r="F30489" t="str">
        <v>-</v>
      </c>
      <c r="G30489" t="str">
        <v>-</v>
      </c>
    </row>
    <row r="30490">
      <c r="B30490" t="str">
        <v>Công an thị trấn Yên Cát tỉnh Thanh Hóa</v>
      </c>
      <c r="C30490" t="str">
        <v>-</v>
      </c>
      <c r="D30490" t="str">
        <v>-</v>
      </c>
      <c r="E30490" t="str">
        <v/>
      </c>
      <c r="F30490" t="str">
        <v>-</v>
      </c>
      <c r="G30490" t="str">
        <v>-</v>
      </c>
    </row>
    <row r="30491">
      <c r="B30491" t="str">
        <v>UBND Ủy ban nhân dân thị trấn Yên Cát tỉnh Thanh Hóa</v>
      </c>
      <c r="C30491" t="str">
        <v>-</v>
      </c>
      <c r="D30491" t="str">
        <v>-</v>
      </c>
      <c r="E30491" t="str">
        <v>-</v>
      </c>
      <c r="F30491" t="str">
        <v>-</v>
      </c>
      <c r="G30491" t="str">
        <v>-</v>
      </c>
    </row>
    <row r="30492" xml:space="preserve">
      <c r="B30492" t="str" xml:space="preserve">
        <v xml:space="preserve">Công an xã Quảng Trạch _x000d_
 tỉnh Thanh Hóa</v>
      </c>
      <c r="C30492" t="str">
        <v>-</v>
      </c>
      <c r="D30492" t="str">
        <v>-</v>
      </c>
      <c r="E30492" t="str">
        <v/>
      </c>
      <c r="F30492" t="str">
        <v>-</v>
      </c>
      <c r="G30492" t="str">
        <v>-</v>
      </c>
    </row>
    <row r="30493" xml:space="preserve">
      <c r="B30493" t="str" xml:space="preserve">
        <v xml:space="preserve">UBND Ủy ban nhân dân xã Quảng Trạch _x000d_
 tỉnh Thanh Hóa</v>
      </c>
      <c r="C30493" t="str">
        <v>-</v>
      </c>
      <c r="D30493" t="str">
        <v>-</v>
      </c>
      <c r="E30493" t="str">
        <v>-</v>
      </c>
      <c r="F30493" t="str">
        <v>-</v>
      </c>
      <c r="G30493" t="str">
        <v>-</v>
      </c>
    </row>
    <row r="30494">
      <c r="B30494" t="str">
        <v>Công an xã Lộc Trì  tỉnh THỪA THIÊN HUẾ</v>
      </c>
      <c r="C30494" t="str">
        <v>-</v>
      </c>
      <c r="D30494" t="str">
        <v>-</v>
      </c>
      <c r="E30494" t="str">
        <v/>
      </c>
      <c r="F30494" t="str">
        <v>-</v>
      </c>
      <c r="G30494" t="str">
        <v>-</v>
      </c>
    </row>
    <row r="30495">
      <c r="B30495" t="str">
        <v>UBND Ủy ban nhân dân xã Lộc Trì  tỉnh THỪA THIÊN HUẾ</v>
      </c>
      <c r="C30495" t="str">
        <v>-</v>
      </c>
      <c r="D30495" t="str">
        <v>-</v>
      </c>
      <c r="E30495" t="str">
        <v>-</v>
      </c>
      <c r="F30495" t="str">
        <v>-</v>
      </c>
      <c r="G30495" t="str">
        <v>-</v>
      </c>
    </row>
    <row r="30496" xml:space="preserve">
      <c r="B30496" t="str" xml:space="preserve">
        <v xml:space="preserve">Công an xã Đông _x000d_
 tỉnh Gia Lai</v>
      </c>
      <c r="C30496" t="str">
        <v>-</v>
      </c>
      <c r="D30496" t="str">
        <v>-</v>
      </c>
      <c r="E30496" t="str">
        <v/>
      </c>
      <c r="F30496" t="str">
        <v>-</v>
      </c>
      <c r="G30496" t="str">
        <v>-</v>
      </c>
    </row>
    <row r="30497" xml:space="preserve">
      <c r="B30497" t="str" xml:space="preserve">
        <v xml:space="preserve">UBND Ủy ban nhân dân xã Đông _x000d_
 tỉnh Gia Lai</v>
      </c>
      <c r="C30497" t="str">
        <v>-</v>
      </c>
      <c r="D30497" t="str">
        <v>-</v>
      </c>
      <c r="E30497" t="str">
        <v>-</v>
      </c>
      <c r="F30497" t="str">
        <v>-</v>
      </c>
      <c r="G30497" t="str">
        <v>-</v>
      </c>
    </row>
    <row r="30498">
      <c r="B30498" t="str">
        <v>Công an xã Ia Mrơn tỉnh Gia Lai</v>
      </c>
      <c r="C30498" t="str">
        <v>-</v>
      </c>
      <c r="D30498" t="str">
        <v>-</v>
      </c>
      <c r="E30498" t="str">
        <v/>
      </c>
      <c r="F30498" t="str">
        <v>-</v>
      </c>
      <c r="G30498" t="str">
        <v>-</v>
      </c>
    </row>
    <row r="30499">
      <c r="B30499" t="str">
        <v>UBND Ủy ban nhân dân xã Ia Mrơn tỉnh Gia Lai</v>
      </c>
      <c r="C30499" t="str">
        <v>-</v>
      </c>
      <c r="D30499" t="str">
        <v>-</v>
      </c>
      <c r="E30499" t="str">
        <v>-</v>
      </c>
      <c r="F30499" t="str">
        <v>-</v>
      </c>
      <c r="G30499" t="str">
        <v>-</v>
      </c>
    </row>
    <row r="30500">
      <c r="B30500" t="str">
        <v>Công an xã Xuân Hải tỉnh Phú Yên</v>
      </c>
      <c r="C30500" t="str">
        <v>-</v>
      </c>
      <c r="D30500" t="str">
        <v>-</v>
      </c>
      <c r="E30500" t="str">
        <v/>
      </c>
      <c r="F30500" t="str">
        <v>-</v>
      </c>
      <c r="G30500" t="str">
        <v>-</v>
      </c>
    </row>
    <row r="30501">
      <c r="B30501" t="str">
        <v>UBND Ủy ban nhân dân xã Xuân Hải tỉnh Phú Yên</v>
      </c>
      <c r="C30501" t="str">
        <v>-</v>
      </c>
      <c r="D30501" t="str">
        <v>-</v>
      </c>
      <c r="E30501" t="str">
        <v>-</v>
      </c>
      <c r="F30501" t="str">
        <v>-</v>
      </c>
      <c r="G30501" t="str">
        <v>-</v>
      </c>
    </row>
    <row r="30502">
      <c r="B30502" t="str">
        <v>Công an huyện Mường Khương  tỉnh Lào Cai</v>
      </c>
      <c r="C30502" t="str">
        <v>-</v>
      </c>
      <c r="D30502" t="str">
        <v>-</v>
      </c>
      <c r="E30502" t="str">
        <v/>
      </c>
      <c r="F30502" t="str">
        <v>-</v>
      </c>
      <c r="G30502" t="str">
        <v>-</v>
      </c>
    </row>
    <row r="30503">
      <c r="B30503" t="str">
        <v>UBND Ủy ban nhân dân huyện Mường Khương  tỉnh Lào Cai</v>
      </c>
      <c r="C30503" t="str">
        <v>-</v>
      </c>
      <c r="D30503" t="str">
        <v>-</v>
      </c>
      <c r="E30503" t="str">
        <v>-</v>
      </c>
      <c r="F30503" t="str">
        <v>-</v>
      </c>
      <c r="G30503" t="str">
        <v>-</v>
      </c>
    </row>
    <row r="30504">
      <c r="B30504" t="str">
        <v>Công an huyện Đức Cơ tỉnh Gia Lai</v>
      </c>
      <c r="C30504" t="str">
        <v>-</v>
      </c>
      <c r="D30504" t="str">
        <v>-</v>
      </c>
      <c r="E30504" t="str">
        <v/>
      </c>
      <c r="F30504" t="str">
        <v>-</v>
      </c>
      <c r="G30504" t="str">
        <v>-</v>
      </c>
    </row>
    <row r="30505">
      <c r="B30505" t="str">
        <v>UBND Ủy ban nhân dân huyện Đức Cơ tỉnh Gia Lai</v>
      </c>
      <c r="C30505" t="str">
        <v>-</v>
      </c>
      <c r="D30505" t="str">
        <v>-</v>
      </c>
      <c r="E30505" t="str">
        <v>-</v>
      </c>
      <c r="F30505" t="str">
        <v>-</v>
      </c>
      <c r="G30505" t="str">
        <v>-</v>
      </c>
    </row>
    <row r="30506">
      <c r="B30506" t="str">
        <v>Công an huyện Sông Hinh  tỉnh Phú Yên</v>
      </c>
      <c r="C30506" t="str">
        <v>-</v>
      </c>
      <c r="D30506" t="str">
        <v>-</v>
      </c>
      <c r="E30506" t="str">
        <v/>
      </c>
      <c r="F30506" t="str">
        <v>-</v>
      </c>
      <c r="G30506" t="str">
        <v>-</v>
      </c>
    </row>
    <row r="30507">
      <c r="B30507" t="str">
        <v>UBND Ủy ban nhân dân huyện Sông Hinh  tỉnh Phú Yên</v>
      </c>
      <c r="C30507" t="str">
        <v>-</v>
      </c>
      <c r="D30507" t="str">
        <v>-</v>
      </c>
      <c r="E30507" t="str">
        <v>-</v>
      </c>
      <c r="F30507" t="str">
        <v>-</v>
      </c>
      <c r="G30507" t="str">
        <v>-</v>
      </c>
    </row>
    <row r="30508">
      <c r="B30508" t="str">
        <v>Công an phường Quảng Thọ tỉnh Thanh Hóa</v>
      </c>
      <c r="C30508" t="str">
        <v>-</v>
      </c>
      <c r="D30508" t="str">
        <v>-</v>
      </c>
      <c r="E30508" t="str">
        <v/>
      </c>
      <c r="F30508" t="str">
        <v>-</v>
      </c>
      <c r="G30508" t="str">
        <v>-</v>
      </c>
    </row>
    <row r="30509">
      <c r="B30509" t="str">
        <v>UBND Ủy ban nhân dân phường Quảng Thọ tỉnh Thanh Hóa</v>
      </c>
      <c r="C30509" t="str">
        <v>-</v>
      </c>
      <c r="D30509" t="str">
        <v>-</v>
      </c>
      <c r="E30509" t="str">
        <v>-</v>
      </c>
      <c r="F30509" t="str">
        <v>-</v>
      </c>
      <c r="G30509" t="str">
        <v>-</v>
      </c>
    </row>
    <row r="30510">
      <c r="B30510" t="str">
        <v>Công an xã Hồng Kỳ tỉnh Bắc Giang</v>
      </c>
      <c r="C30510" t="str">
        <v>-</v>
      </c>
      <c r="D30510" t="str">
        <v>-</v>
      </c>
      <c r="E30510" t="str">
        <v/>
      </c>
      <c r="F30510" t="str">
        <v>-</v>
      </c>
      <c r="G30510" t="str">
        <v>-</v>
      </c>
    </row>
    <row r="30511">
      <c r="B30511" t="str">
        <v>UBND Ủy ban nhân dân xã Hồng Kỳ tỉnh Bắc Giang</v>
      </c>
      <c r="C30511" t="str">
        <v>-</v>
      </c>
      <c r="D30511" t="str">
        <v>-</v>
      </c>
      <c r="E30511" t="str">
        <v>-</v>
      </c>
      <c r="F30511" t="str">
        <v>-</v>
      </c>
      <c r="G30511" t="str">
        <v>-</v>
      </c>
    </row>
    <row r="30512">
      <c r="B30512" t="str">
        <v>Công an xã Sơn Phú tỉnh Hà Tĩnh</v>
      </c>
      <c r="C30512" t="str">
        <v>-</v>
      </c>
      <c r="D30512" t="str">
        <v>-</v>
      </c>
      <c r="E30512" t="str">
        <v/>
      </c>
      <c r="F30512" t="str">
        <v>-</v>
      </c>
      <c r="G30512" t="str">
        <v>-</v>
      </c>
    </row>
    <row r="30513">
      <c r="B30513" t="str">
        <v>UBND Ủy ban nhân dân xã Sơn Phú tỉnh Hà Tĩnh</v>
      </c>
      <c r="C30513" t="str">
        <v>-</v>
      </c>
      <c r="D30513" t="str">
        <v>-</v>
      </c>
      <c r="E30513" t="str">
        <v>-</v>
      </c>
      <c r="F30513" t="str">
        <v>-</v>
      </c>
      <c r="G30513" t="str">
        <v>-</v>
      </c>
    </row>
    <row r="30514">
      <c r="B30514" t="str">
        <v>Công an xã Châu Sơn tỉnh Thái Bình</v>
      </c>
      <c r="C30514" t="str">
        <v>-</v>
      </c>
      <c r="D30514" t="str">
        <v>-</v>
      </c>
      <c r="E30514" t="str">
        <v/>
      </c>
      <c r="F30514" t="str">
        <v>-</v>
      </c>
      <c r="G30514" t="str">
        <v>-</v>
      </c>
    </row>
    <row r="30515">
      <c r="B30515" t="str">
        <v>UBND Ủy ban nhân dân xã Châu Sơn tỉnh Thái Bình</v>
      </c>
      <c r="C30515" t="str">
        <v>-</v>
      </c>
      <c r="D30515" t="str">
        <v>-</v>
      </c>
      <c r="E30515" t="str">
        <v>-</v>
      </c>
      <c r="F30515" t="str">
        <v>-</v>
      </c>
      <c r="G30515" t="str">
        <v>-</v>
      </c>
    </row>
    <row r="30516">
      <c r="B30516" t="str">
        <v>Công an xã Hiệp Lực tỉnh Hải Dương</v>
      </c>
      <c r="C30516" t="str">
        <v>-</v>
      </c>
      <c r="D30516" t="str">
        <v>-</v>
      </c>
      <c r="E30516" t="str">
        <v/>
      </c>
      <c r="F30516" t="str">
        <v>-</v>
      </c>
      <c r="G30516" t="str">
        <v>-</v>
      </c>
    </row>
    <row r="30517">
      <c r="B30517" t="str">
        <v>UBND Ủy ban nhân dân xã Hiệp Lực tỉnh Hải Dương</v>
      </c>
      <c r="C30517" t="str">
        <v>-</v>
      </c>
      <c r="D30517" t="str">
        <v>-</v>
      </c>
      <c r="E30517" t="str">
        <v>-</v>
      </c>
      <c r="F30517" t="str">
        <v>-</v>
      </c>
      <c r="G30517" t="str">
        <v>-</v>
      </c>
    </row>
    <row r="30518">
      <c r="B30518" t="str">
        <v>Công an xã Thạch Hội  tỉnh Hà Tĩnh</v>
      </c>
      <c r="C30518" t="str">
        <v>-</v>
      </c>
      <c r="D30518" t="str">
        <v>-</v>
      </c>
      <c r="E30518" t="str">
        <v/>
      </c>
      <c r="F30518" t="str">
        <v>-</v>
      </c>
      <c r="G30518" t="str">
        <v>-</v>
      </c>
    </row>
    <row r="30519">
      <c r="B30519" t="str">
        <v>UBND Ủy ban nhân dân xã Thạch Hội  tỉnh Hà Tĩnh</v>
      </c>
      <c r="C30519" t="str">
        <v>-</v>
      </c>
      <c r="D30519" t="str">
        <v>-</v>
      </c>
      <c r="E30519" t="str">
        <v>-</v>
      </c>
      <c r="F30519" t="str">
        <v>-</v>
      </c>
      <c r="G30519" t="str">
        <v>-</v>
      </c>
    </row>
    <row r="30520" xml:space="preserve">
      <c r="B30520" t="str" xml:space="preserve">
        <v xml:space="preserve">Cảnh sát điều tra thành phố Hà Nội_x000d_
 thành phố Hà Nội</v>
      </c>
    </row>
    <row r="30521" xml:space="preserve">
      <c r="B30521" t="str" xml:space="preserve">
        <v xml:space="preserve">UBND Ủy ban nhân dânt điều tra thành phố Hà Nội_x000d_
 thành phố Hà Nội</v>
      </c>
      <c r="C30521" t="str">
        <v>-</v>
      </c>
      <c r="D30521" t="str">
        <v>-</v>
      </c>
      <c r="E30521" t="str">
        <v>-</v>
      </c>
      <c r="F30521" t="str">
        <v>-</v>
      </c>
      <c r="G30521" t="str">
        <v>-</v>
      </c>
    </row>
    <row r="30522">
      <c r="B30522" t="str">
        <v>Công an phường Hải Lĩnh tỉnh Thanh Hóa</v>
      </c>
      <c r="C30522" t="str">
        <v>-</v>
      </c>
      <c r="D30522" t="str">
        <v>-</v>
      </c>
      <c r="E30522" t="str">
        <v/>
      </c>
      <c r="F30522" t="str">
        <v>-</v>
      </c>
      <c r="G30522" t="str">
        <v>-</v>
      </c>
    </row>
    <row r="30523">
      <c r="B30523" t="str">
        <v>UBND Ủy ban nhân dân phường Hải Lĩnh tỉnh Thanh Hóa</v>
      </c>
      <c r="C30523" t="str">
        <v>-</v>
      </c>
      <c r="D30523" t="str">
        <v>-</v>
      </c>
      <c r="E30523" t="str">
        <v>-</v>
      </c>
      <c r="F30523" t="str">
        <v>-</v>
      </c>
      <c r="G30523" t="str">
        <v>-</v>
      </c>
    </row>
    <row r="30524">
      <c r="B30524" t="str">
        <v>Công an tỉnh Sơn La tỉnh Sơn La</v>
      </c>
      <c r="C30524" t="str">
        <v>-</v>
      </c>
      <c r="D30524" t="str">
        <v>-</v>
      </c>
      <c r="E30524" t="str">
        <v/>
      </c>
      <c r="F30524" t="str">
        <v>-</v>
      </c>
      <c r="G30524" t="str">
        <v>-</v>
      </c>
    </row>
    <row r="30525">
      <c r="B30525" t="str">
        <v>UBND Ủy ban nhân dân tỉnh Sơn La tỉnh Sơn La</v>
      </c>
      <c r="C30525" t="str">
        <v>-</v>
      </c>
      <c r="D30525" t="str">
        <v>-</v>
      </c>
      <c r="E30525" t="str">
        <v>-</v>
      </c>
      <c r="F30525" t="str">
        <v>-</v>
      </c>
      <c r="G30525" t="str">
        <v>-</v>
      </c>
    </row>
    <row r="30526">
      <c r="B30526" t="str">
        <v>Công an huyện Yên Sơn tỉnh Tuyên Quang</v>
      </c>
      <c r="C30526" t="str">
        <v>-</v>
      </c>
      <c r="D30526" t="str">
        <v>-</v>
      </c>
      <c r="E30526" t="str">
        <v/>
      </c>
      <c r="F30526" t="str">
        <v>-</v>
      </c>
      <c r="G30526" t="str">
        <v>-</v>
      </c>
    </row>
    <row r="30527">
      <c r="B30527" t="str">
        <v>UBND Ủy ban nhân dân huyện Yên Sơn tỉnh Tuyên Quang</v>
      </c>
      <c r="C30527" t="str">
        <v>-</v>
      </c>
      <c r="D30527" t="str">
        <v>-</v>
      </c>
      <c r="E30527" t="str">
        <v>-</v>
      </c>
      <c r="F30527" t="str">
        <v>-</v>
      </c>
      <c r="G30527" t="str">
        <v>-</v>
      </c>
    </row>
    <row r="30528">
      <c r="B30528" t="str">
        <v>Công an xã Vũ Chính tỉnh Thái Bình</v>
      </c>
      <c r="C30528" t="str">
        <v>-</v>
      </c>
      <c r="D30528" t="str">
        <v>-</v>
      </c>
      <c r="E30528" t="str">
        <v/>
      </c>
      <c r="F30528" t="str">
        <v>-</v>
      </c>
      <c r="G30528" t="str">
        <v>-</v>
      </c>
    </row>
    <row r="30529">
      <c r="B30529" t="str">
        <v>UBND Ủy ban nhân dân xã Vũ Chính tỉnh Thái Bình</v>
      </c>
      <c r="C30529" t="str">
        <v>-</v>
      </c>
      <c r="D30529" t="str">
        <v>-</v>
      </c>
      <c r="E30529" t="str">
        <v>-</v>
      </c>
      <c r="F30529" t="str">
        <v>-</v>
      </c>
      <c r="G30529" t="str">
        <v>-</v>
      </c>
    </row>
    <row r="30530">
      <c r="B30530" t="str">
        <v>Công an phường 7 tỉnh Trà Vinh</v>
      </c>
      <c r="C30530" t="str">
        <v>-</v>
      </c>
      <c r="D30530" t="str">
        <v>-</v>
      </c>
      <c r="E30530" t="str">
        <v/>
      </c>
      <c r="F30530" t="str">
        <v>-</v>
      </c>
      <c r="G30530" t="str">
        <v>-</v>
      </c>
    </row>
    <row r="30531">
      <c r="B30531" t="str">
        <v>UBND Ủy ban nhân dân phường 7 tỉnh Trà Vinh</v>
      </c>
      <c r="C30531" t="str">
        <v>-</v>
      </c>
      <c r="D30531" t="str">
        <v>-</v>
      </c>
      <c r="E30531" t="str">
        <v>-</v>
      </c>
      <c r="F30531" t="str">
        <v>-</v>
      </c>
      <c r="G30531" t="str">
        <v>-</v>
      </c>
    </row>
    <row r="30532" xml:space="preserve">
      <c r="B30532" t="str" xml:space="preserve">
        <v xml:space="preserve">Công an xã Khánh Hải _x000d_
 tỉnh Ninh Bình</v>
      </c>
      <c r="C30532" t="str">
        <v>-</v>
      </c>
      <c r="D30532" t="str">
        <v>-</v>
      </c>
      <c r="E30532" t="str">
        <v/>
      </c>
      <c r="F30532" t="str">
        <v>-</v>
      </c>
      <c r="G30532" t="str">
        <v>-</v>
      </c>
    </row>
    <row r="30533" xml:space="preserve">
      <c r="B30533" t="str" xml:space="preserve">
        <v xml:space="preserve">UBND Ủy ban nhân dân xã Khánh Hải _x000d_
 tỉnh Ninh Bình</v>
      </c>
      <c r="C30533" t="str">
        <v>-</v>
      </c>
      <c r="D30533" t="str">
        <v>-</v>
      </c>
      <c r="E30533" t="str">
        <v>-</v>
      </c>
      <c r="F30533" t="str">
        <v>-</v>
      </c>
      <c r="G30533" t="str">
        <v>-</v>
      </c>
    </row>
    <row r="30534">
      <c r="B30534" t="str">
        <v>Công an xã Cao An tỉnh Hải Dương</v>
      </c>
      <c r="C30534" t="str">
        <v>-</v>
      </c>
      <c r="D30534" t="str">
        <v>-</v>
      </c>
      <c r="E30534" t="str">
        <v/>
      </c>
      <c r="F30534" t="str">
        <v>-</v>
      </c>
      <c r="G30534" t="str">
        <v>-</v>
      </c>
    </row>
    <row r="30535">
      <c r="B30535" t="str">
        <v>UBND Ủy ban nhân dân xã Cao An tỉnh Hải Dương</v>
      </c>
      <c r="C30535" t="str">
        <v>-</v>
      </c>
      <c r="D30535" t="str">
        <v>-</v>
      </c>
      <c r="E30535" t="str">
        <v>-</v>
      </c>
      <c r="F30535" t="str">
        <v>-</v>
      </c>
      <c r="G30535" t="str">
        <v>-</v>
      </c>
    </row>
    <row r="30536" xml:space="preserve">
      <c r="B30536" t="str" xml:space="preserve">
        <v xml:space="preserve">Công an tỉnh Lâm Đồng _x000d_
 tỉnh Lâm Đồng</v>
      </c>
      <c r="C30536" t="str">
        <v>-</v>
      </c>
      <c r="D30536" t="str">
        <v>-</v>
      </c>
      <c r="E30536" t="str">
        <v/>
      </c>
      <c r="F30536" t="str">
        <v>-</v>
      </c>
      <c r="G30536" t="str">
        <v>-</v>
      </c>
    </row>
    <row r="30537" xml:space="preserve">
      <c r="B30537" t="str" xml:space="preserve">
        <v xml:space="preserve">UBND Ủy ban nhân dân tỉnh Lâm Đồng _x000d_
 tỉnh Lâm Đồng</v>
      </c>
      <c r="C30537" t="str">
        <v>-</v>
      </c>
      <c r="D30537" t="str">
        <v>-</v>
      </c>
      <c r="E30537" t="str">
        <v>-</v>
      </c>
      <c r="F30537" t="str">
        <v>-</v>
      </c>
      <c r="G30537" t="str">
        <v>-</v>
      </c>
    </row>
    <row r="30538" xml:space="preserve">
      <c r="B30538" t="str" xml:space="preserve">
        <v xml:space="preserve">Công an xã Trung Nam _x000d_
 tỉnh Quảng Trị</v>
      </c>
      <c r="C30538" t="str">
        <v>-</v>
      </c>
      <c r="D30538" t="str">
        <v>-</v>
      </c>
      <c r="E30538" t="str">
        <v/>
      </c>
      <c r="F30538" t="str">
        <v>-</v>
      </c>
      <c r="G30538" t="str">
        <v>-</v>
      </c>
    </row>
    <row r="30539" xml:space="preserve">
      <c r="B30539" t="str" xml:space="preserve">
        <v xml:space="preserve">UBND Ủy ban nhân dân xã Trung Nam _x000d_
 tỉnh Quảng Trị</v>
      </c>
      <c r="C30539" t="str">
        <v>-</v>
      </c>
      <c r="D30539" t="str">
        <v>-</v>
      </c>
      <c r="E30539" t="str">
        <v>-</v>
      </c>
      <c r="F30539" t="str">
        <v>-</v>
      </c>
      <c r="G30539" t="str">
        <v>-</v>
      </c>
    </row>
    <row r="30540">
      <c r="B30540" t="str">
        <v>Công an xã Đỉnh Bàn tỉnh Hà Tĩnh</v>
      </c>
      <c r="C30540" t="str">
        <v>-</v>
      </c>
      <c r="D30540" t="str">
        <v>-</v>
      </c>
      <c r="E30540" t="str">
        <v/>
      </c>
      <c r="F30540" t="str">
        <v>-</v>
      </c>
      <c r="G30540" t="str">
        <v>-</v>
      </c>
    </row>
    <row r="30541">
      <c r="B30541" t="str">
        <v>UBND Ủy ban nhân dân xã Đỉnh Bàn tỉnh Hà Tĩnh</v>
      </c>
      <c r="C30541" t="str">
        <v>-</v>
      </c>
      <c r="D30541" t="str">
        <v>-</v>
      </c>
      <c r="E30541" t="str">
        <v>-</v>
      </c>
      <c r="F30541" t="str">
        <v>-</v>
      </c>
      <c r="G30541" t="str">
        <v>-</v>
      </c>
    </row>
    <row r="30542">
      <c r="B30542" t="str">
        <v>Công an xã Xuân Phú tỉnh Nam Định</v>
      </c>
      <c r="C30542" t="str">
        <v>-</v>
      </c>
      <c r="D30542" t="str">
        <v>-</v>
      </c>
      <c r="E30542" t="str">
        <v/>
      </c>
      <c r="F30542" t="str">
        <v>-</v>
      </c>
      <c r="G30542" t="str">
        <v>-</v>
      </c>
    </row>
    <row r="30543">
      <c r="B30543" t="str">
        <v>UBND Ủy ban nhân dân xã Xuân Phú tỉnh Nam Định</v>
      </c>
      <c r="C30543" t="str">
        <v>-</v>
      </c>
      <c r="D30543" t="str">
        <v>-</v>
      </c>
      <c r="E30543" t="str">
        <v>-</v>
      </c>
      <c r="F30543" t="str">
        <v>-</v>
      </c>
      <c r="G30543" t="str">
        <v>-</v>
      </c>
    </row>
    <row r="30544">
      <c r="B30544" t="str">
        <v>Công an xã Vĩnh Lợi tỉnh An Giang</v>
      </c>
      <c r="C30544" t="str">
        <v>-</v>
      </c>
      <c r="D30544" t="str">
        <v>-</v>
      </c>
      <c r="E30544" t="str">
        <v/>
      </c>
      <c r="F30544" t="str">
        <v>-</v>
      </c>
      <c r="G30544" t="str">
        <v>-</v>
      </c>
    </row>
    <row r="30545">
      <c r="B30545" t="str">
        <v>UBND Ủy ban nhân dân xã Vĩnh Lợi tỉnh An Giang</v>
      </c>
      <c r="C30545" t="str">
        <v>-</v>
      </c>
      <c r="D30545" t="str">
        <v>-</v>
      </c>
      <c r="E30545" t="str">
        <v>-</v>
      </c>
      <c r="F30545" t="str">
        <v>-</v>
      </c>
      <c r="G30545" t="str">
        <v>-</v>
      </c>
    </row>
    <row r="30546" xml:space="preserve">
      <c r="B30546" t="str" xml:space="preserve">
        <v xml:space="preserve">Công an xã Quỳnh Tam _x000d_
 tỉnh Nghệ An</v>
      </c>
      <c r="C30546" t="str">
        <v>-</v>
      </c>
      <c r="D30546" t="str">
        <v>-</v>
      </c>
      <c r="E30546" t="str">
        <v/>
      </c>
      <c r="F30546" t="str">
        <v>-</v>
      </c>
      <c r="G30546" t="str">
        <v>-</v>
      </c>
    </row>
    <row r="30547" xml:space="preserve">
      <c r="B30547" t="str" xml:space="preserve">
        <v xml:space="preserve">UBND Ủy ban nhân dân xã Quỳnh Tam _x000d_
 tỉnh Nghệ An</v>
      </c>
      <c r="C30547" t="str">
        <v>-</v>
      </c>
      <c r="D30547" t="str">
        <v>-</v>
      </c>
      <c r="E30547" t="str">
        <v>-</v>
      </c>
      <c r="F30547" t="str">
        <v>-</v>
      </c>
      <c r="G30547" t="str">
        <v>-</v>
      </c>
    </row>
    <row r="30548">
      <c r="B30548" t="str">
        <v>Công an huyện Thanh Hà tỉnh Hải Dương</v>
      </c>
      <c r="C30548" t="str">
        <v>-</v>
      </c>
      <c r="D30548" t="str">
        <v>-</v>
      </c>
      <c r="E30548" t="str">
        <v/>
      </c>
      <c r="F30548" t="str">
        <v>-</v>
      </c>
      <c r="G30548" t="str">
        <v>-</v>
      </c>
    </row>
    <row r="30549">
      <c r="B30549" t="str">
        <v>UBND Ủy ban nhân dân huyện Thanh Hà tỉnh Hải Dương</v>
      </c>
      <c r="C30549" t="str">
        <v>-</v>
      </c>
      <c r="D30549" t="str">
        <v>-</v>
      </c>
      <c r="E30549" t="str">
        <v>-</v>
      </c>
      <c r="F30549" t="str">
        <v>-</v>
      </c>
      <c r="G30549" t="str">
        <v>-</v>
      </c>
    </row>
    <row r="30550">
      <c r="B30550" t="str">
        <v>Công an xã Đăk Yă tỉnh Gia Lai</v>
      </c>
      <c r="C30550" t="str">
        <v>-</v>
      </c>
      <c r="D30550" t="str">
        <v>-</v>
      </c>
      <c r="E30550" t="str">
        <v/>
      </c>
      <c r="F30550" t="str">
        <v>-</v>
      </c>
      <c r="G30550" t="str">
        <v>-</v>
      </c>
    </row>
    <row r="30551">
      <c r="B30551" t="str">
        <v>UBND Ủy ban nhân dân xã Đăk Yă tỉnh Gia Lai</v>
      </c>
      <c r="C30551" t="str">
        <v>-</v>
      </c>
      <c r="D30551" t="str">
        <v>-</v>
      </c>
      <c r="E30551" t="str">
        <v>-</v>
      </c>
      <c r="F30551" t="str">
        <v>-</v>
      </c>
      <c r="G30551" t="str">
        <v>-</v>
      </c>
    </row>
    <row r="30552">
      <c r="B30552" t="str">
        <v>Công an xã Thành Minh tỉnh Thanh Hóa</v>
      </c>
      <c r="C30552" t="str">
        <v>-</v>
      </c>
      <c r="D30552" t="str">
        <v>-</v>
      </c>
      <c r="E30552" t="str">
        <v/>
      </c>
      <c r="F30552" t="str">
        <v>-</v>
      </c>
      <c r="G30552" t="str">
        <v>-</v>
      </c>
    </row>
    <row r="30553">
      <c r="B30553" t="str">
        <v>UBND Ủy ban nhân dân xã Thành Minh tỉnh Thanh Hóa</v>
      </c>
      <c r="C30553" t="str">
        <v>-</v>
      </c>
      <c r="D30553" t="str">
        <v>-</v>
      </c>
      <c r="E30553" t="str">
        <v>-</v>
      </c>
      <c r="F30553" t="str">
        <v>-</v>
      </c>
      <c r="G30553" t="str">
        <v>-</v>
      </c>
    </row>
    <row r="30554">
      <c r="B30554" t="str">
        <v>Công an huyện Čư M'gar  tỉnh Đắk Lắk</v>
      </c>
      <c r="C30554" t="str">
        <v>-</v>
      </c>
      <c r="D30554" t="str">
        <v>-</v>
      </c>
      <c r="E30554" t="str">
        <v/>
      </c>
      <c r="F30554" t="str">
        <v>-</v>
      </c>
      <c r="G30554" t="str">
        <v>-</v>
      </c>
    </row>
    <row r="30555">
      <c r="B30555" t="str">
        <v>UBND Ủy ban nhân dân huyện Čư M'gar  tỉnh Đắk Lắk</v>
      </c>
      <c r="C30555" t="str">
        <v>-</v>
      </c>
      <c r="D30555" t="str">
        <v>-</v>
      </c>
      <c r="E30555" t="str">
        <v>-</v>
      </c>
      <c r="F30555" t="str">
        <v>-</v>
      </c>
      <c r="G30555" t="str">
        <v>-</v>
      </c>
    </row>
    <row r="30556">
      <c r="B30556" t="str">
        <v>Công an xã Hương Xạ tỉnh Phú Thọ</v>
      </c>
      <c r="C30556" t="str">
        <v>-</v>
      </c>
      <c r="D30556" t="str">
        <v>-</v>
      </c>
      <c r="E30556" t="str">
        <v/>
      </c>
      <c r="F30556" t="str">
        <v>-</v>
      </c>
      <c r="G30556" t="str">
        <v>-</v>
      </c>
    </row>
    <row r="30557">
      <c r="B30557" t="str">
        <v>UBND Ủy ban nhân dân xã Hương Xạ tỉnh Phú Thọ</v>
      </c>
      <c r="C30557" t="str">
        <v>-</v>
      </c>
      <c r="D30557" t="str">
        <v>-</v>
      </c>
      <c r="E30557" t="str">
        <v>-</v>
      </c>
      <c r="F30557" t="str">
        <v>-</v>
      </c>
      <c r="G30557" t="str">
        <v>-</v>
      </c>
    </row>
    <row r="30558">
      <c r="B30558" t="str">
        <v>Công an xã Xuân Lộc  tỉnh Thanh Hóa</v>
      </c>
      <c r="C30558" t="str">
        <v>-</v>
      </c>
      <c r="D30558" t="str">
        <v>-</v>
      </c>
      <c r="E30558" t="str">
        <v/>
      </c>
      <c r="F30558" t="str">
        <v>-</v>
      </c>
      <c r="G30558" t="str">
        <v>-</v>
      </c>
    </row>
    <row r="30559">
      <c r="B30559" t="str">
        <v>UBND Ủy ban nhân dân xã Xuân Lộc  tỉnh Thanh Hóa</v>
      </c>
      <c r="C30559" t="str">
        <v>-</v>
      </c>
      <c r="D30559" t="str">
        <v>-</v>
      </c>
      <c r="E30559" t="str">
        <v>-</v>
      </c>
      <c r="F30559" t="str">
        <v>-</v>
      </c>
      <c r="G30559" t="str">
        <v>-</v>
      </c>
    </row>
    <row r="30560">
      <c r="B30560" t="str">
        <v>Công an xã Cẩm Tú tỉnh Thanh Hóa</v>
      </c>
      <c r="C30560" t="str">
        <v>-</v>
      </c>
      <c r="D30560" t="str">
        <v>-</v>
      </c>
      <c r="E30560" t="str">
        <v/>
      </c>
      <c r="F30560" t="str">
        <v>-</v>
      </c>
      <c r="G30560" t="str">
        <v>-</v>
      </c>
    </row>
    <row r="30561">
      <c r="B30561" t="str">
        <v>UBND Ủy ban nhân dân xã Cẩm Tú tỉnh Thanh Hóa</v>
      </c>
      <c r="C30561" t="str">
        <v>-</v>
      </c>
      <c r="D30561" t="str">
        <v>-</v>
      </c>
      <c r="E30561" t="str">
        <v>-</v>
      </c>
      <c r="F30561" t="str">
        <v>-</v>
      </c>
      <c r="G30561" t="str">
        <v>-</v>
      </c>
    </row>
    <row r="30562">
      <c r="B30562" t="str">
        <v>Công an huyện Khánh Vĩnh  tỉnh Khánh Hòa</v>
      </c>
      <c r="C30562" t="str">
        <v>-</v>
      </c>
      <c r="D30562" t="str">
        <v>-</v>
      </c>
      <c r="E30562" t="str">
        <v/>
      </c>
      <c r="F30562" t="str">
        <v>-</v>
      </c>
      <c r="G30562" t="str">
        <v>-</v>
      </c>
    </row>
    <row r="30563">
      <c r="B30563" t="str">
        <v>UBND Ủy ban nhân dân huyện Khánh Vĩnh  tỉnh Khánh Hòa</v>
      </c>
      <c r="C30563" t="str">
        <v>-</v>
      </c>
      <c r="D30563" t="str">
        <v>-</v>
      </c>
      <c r="E30563" t="str">
        <v>-</v>
      </c>
      <c r="F30563" t="str">
        <v>-</v>
      </c>
      <c r="G30563" t="str">
        <v>-</v>
      </c>
    </row>
    <row r="30564">
      <c r="B30564" t="str">
        <v>Công an xã Yến Sơn  tỉnh Thanh Hóa</v>
      </c>
      <c r="C30564" t="str">
        <v>-</v>
      </c>
      <c r="D30564" t="str">
        <v>-</v>
      </c>
      <c r="E30564" t="str">
        <v/>
      </c>
      <c r="F30564" t="str">
        <v>-</v>
      </c>
      <c r="G30564" t="str">
        <v>-</v>
      </c>
    </row>
    <row r="30565">
      <c r="B30565" t="str">
        <v>UBND Ủy ban nhân dân xã Yến Sơn  tỉnh Thanh Hóa</v>
      </c>
      <c r="C30565" t="str">
        <v>-</v>
      </c>
      <c r="D30565" t="str">
        <v>-</v>
      </c>
      <c r="E30565" t="str">
        <v>-</v>
      </c>
      <c r="F30565" t="str">
        <v>-</v>
      </c>
      <c r="G30565" t="str">
        <v>-</v>
      </c>
    </row>
    <row r="30566" xml:space="preserve">
      <c r="B30566" t="str" xml:space="preserve">
        <v xml:space="preserve">Công an xã Cẩm Ninh _x000d_
 tỉnh Hưng Yên</v>
      </c>
      <c r="C30566" t="str">
        <v>-</v>
      </c>
      <c r="D30566" t="str">
        <v>-</v>
      </c>
      <c r="E30566" t="str">
        <v/>
      </c>
      <c r="F30566" t="str">
        <v>-</v>
      </c>
      <c r="G30566" t="str">
        <v>-</v>
      </c>
    </row>
    <row r="30567" xml:space="preserve">
      <c r="B30567" t="str" xml:space="preserve">
        <v xml:space="preserve">UBND Ủy ban nhân dân xã Cẩm Ninh _x000d_
 tỉnh Hưng Yên</v>
      </c>
      <c r="C30567" t="str">
        <v>-</v>
      </c>
      <c r="D30567" t="str">
        <v>-</v>
      </c>
      <c r="E30567" t="str">
        <v>-</v>
      </c>
      <c r="F30567" t="str">
        <v>-</v>
      </c>
      <c r="G30567" t="str">
        <v>-</v>
      </c>
    </row>
    <row r="30568">
      <c r="B30568" t="str">
        <v>Công an tỉnh Khánh Hòa  tỉnh Khánh Hòa</v>
      </c>
      <c r="C30568" t="str">
        <v>-</v>
      </c>
      <c r="D30568" t="str">
        <v>-</v>
      </c>
      <c r="E30568" t="str">
        <v/>
      </c>
      <c r="F30568" t="str">
        <v>-</v>
      </c>
      <c r="G30568" t="str">
        <v>-</v>
      </c>
    </row>
    <row r="30569">
      <c r="B30569" t="str">
        <v>UBND Ủy ban nhân dân tỉnh Khánh Hòa  tỉnh Khánh Hòa</v>
      </c>
      <c r="C30569" t="str">
        <v>-</v>
      </c>
      <c r="D30569" t="str">
        <v>-</v>
      </c>
      <c r="E30569" t="str">
        <v>-</v>
      </c>
      <c r="F30569" t="str">
        <v>-</v>
      </c>
      <c r="G30569" t="str">
        <v>-</v>
      </c>
    </row>
    <row r="30570">
      <c r="B30570" t="str">
        <v>Công an xã Đak Ta Ley tỉnh Gia Lai</v>
      </c>
      <c r="C30570" t="str">
        <v>-</v>
      </c>
      <c r="D30570" t="str">
        <v>-</v>
      </c>
      <c r="E30570" t="str">
        <v/>
      </c>
      <c r="F30570" t="str">
        <v>-</v>
      </c>
      <c r="G30570" t="str">
        <v>-</v>
      </c>
    </row>
    <row r="30571">
      <c r="B30571" t="str">
        <v>UBND Ủy ban nhân dân xã Đak Ta Ley tỉnh Gia Lai</v>
      </c>
      <c r="C30571" t="str">
        <v>-</v>
      </c>
      <c r="D30571" t="str">
        <v>-</v>
      </c>
      <c r="E30571" t="str">
        <v>-</v>
      </c>
      <c r="F30571" t="str">
        <v>-</v>
      </c>
      <c r="G30571" t="str">
        <v>-</v>
      </c>
    </row>
    <row r="30572">
      <c r="B30572" t="str">
        <v>Công an tỉnh An Giang  tỉnh An Giang</v>
      </c>
      <c r="C30572" t="str">
        <v>-</v>
      </c>
      <c r="D30572" t="str">
        <v>-</v>
      </c>
      <c r="E30572" t="str">
        <v/>
      </c>
      <c r="F30572" t="str">
        <v>-</v>
      </c>
      <c r="G30572" t="str">
        <v>-</v>
      </c>
    </row>
    <row r="30573">
      <c r="B30573" t="str">
        <v>UBND Ủy ban nhân dân tỉnh An Giang  tỉnh An Giang</v>
      </c>
      <c r="C30573" t="str">
        <v>-</v>
      </c>
      <c r="D30573" t="str">
        <v>-</v>
      </c>
      <c r="E30573" t="str">
        <v>-</v>
      </c>
      <c r="F30573" t="str">
        <v>-</v>
      </c>
      <c r="G30573" t="str">
        <v>-</v>
      </c>
    </row>
    <row r="30574">
      <c r="B30574" t="str">
        <v>Công an xã Hoàng Thanh  tỉnh Thanh Hóa</v>
      </c>
      <c r="C30574" t="str">
        <v>-</v>
      </c>
      <c r="D30574" t="str">
        <v>-</v>
      </c>
      <c r="E30574" t="str">
        <v/>
      </c>
      <c r="F30574" t="str">
        <v>-</v>
      </c>
      <c r="G30574" t="str">
        <v>-</v>
      </c>
    </row>
    <row r="30575">
      <c r="B30575" t="str">
        <v>UBND Ủy ban nhân dân xã Hoàng Thanh  tỉnh Thanh Hóa</v>
      </c>
      <c r="C30575" t="str">
        <v>-</v>
      </c>
      <c r="D30575" t="str">
        <v>-</v>
      </c>
      <c r="E30575" t="str">
        <v>-</v>
      </c>
      <c r="F30575" t="str">
        <v>-</v>
      </c>
      <c r="G30575" t="str">
        <v>-</v>
      </c>
    </row>
    <row r="30576" xml:space="preserve">
      <c r="B30576" t="str" xml:space="preserve">
        <v xml:space="preserve">Công an tỉnh Hậu Giang _x000d_
 tỉnh Hậu Giang</v>
      </c>
      <c r="C30576" t="str">
        <v>-</v>
      </c>
      <c r="D30576" t="str">
        <v>-</v>
      </c>
      <c r="E30576" t="str">
        <v/>
      </c>
      <c r="F30576" t="str">
        <v>-</v>
      </c>
      <c r="G30576" t="str">
        <v>-</v>
      </c>
    </row>
    <row r="30577" xml:space="preserve">
      <c r="B30577" t="str" xml:space="preserve">
        <v xml:space="preserve">UBND Ủy ban nhân dân tỉnh Hậu Giang _x000d_
 tỉnh Hậu Giang</v>
      </c>
      <c r="C30577" t="str">
        <v>-</v>
      </c>
      <c r="D30577" t="str">
        <v>-</v>
      </c>
      <c r="E30577" t="str">
        <v>-</v>
      </c>
      <c r="F30577" t="str">
        <v>-</v>
      </c>
      <c r="G30577" t="str">
        <v>-</v>
      </c>
    </row>
    <row r="30578">
      <c r="B30578" t="str">
        <v>Công an xã Thần Sa tỉnh Thái Nguyên</v>
      </c>
      <c r="C30578" t="str">
        <v>-</v>
      </c>
      <c r="D30578" t="str">
        <v>-</v>
      </c>
      <c r="E30578" t="str">
        <v/>
      </c>
      <c r="F30578" t="str">
        <v>-</v>
      </c>
      <c r="G30578" t="str">
        <v>-</v>
      </c>
    </row>
    <row r="30579">
      <c r="B30579" t="str">
        <v>UBND Ủy ban nhân dân xã Thần Sa tỉnh Thái Nguyên</v>
      </c>
      <c r="C30579" t="str">
        <v>-</v>
      </c>
      <c r="D30579" t="str">
        <v>-</v>
      </c>
      <c r="E30579" t="str">
        <v>-</v>
      </c>
      <c r="F30579" t="str">
        <v>-</v>
      </c>
      <c r="G30579" t="str">
        <v>-</v>
      </c>
    </row>
    <row r="30580">
      <c r="B30580" t="str">
        <v>Công an xã Thạch Văn  tỉnh Hà Tĩnh</v>
      </c>
      <c r="C30580" t="str">
        <v>-</v>
      </c>
      <c r="D30580" t="str">
        <v>-</v>
      </c>
      <c r="E30580" t="str">
        <v/>
      </c>
      <c r="F30580" t="str">
        <v>-</v>
      </c>
      <c r="G30580" t="str">
        <v>-</v>
      </c>
    </row>
    <row r="30581">
      <c r="B30581" t="str">
        <v>UBND Ủy ban nhân dân xã Thạch Văn  tỉnh Hà Tĩnh</v>
      </c>
      <c r="C30581" t="str">
        <v>-</v>
      </c>
      <c r="D30581" t="str">
        <v>-</v>
      </c>
      <c r="E30581" t="str">
        <v>-</v>
      </c>
      <c r="F30581" t="str">
        <v>-</v>
      </c>
      <c r="G30581" t="str">
        <v>-</v>
      </c>
    </row>
    <row r="30582">
      <c r="B30582" t="str">
        <v>Công an xã Nguyên Xá tỉnh Thái Bình</v>
      </c>
      <c r="C30582" t="str">
        <v>-</v>
      </c>
      <c r="D30582" t="str">
        <v>-</v>
      </c>
      <c r="E30582" t="str">
        <v/>
      </c>
      <c r="F30582" t="str">
        <v>-</v>
      </c>
      <c r="G30582" t="str">
        <v>-</v>
      </c>
    </row>
    <row r="30583">
      <c r="B30583" t="str">
        <v>UBND Ủy ban nhân dân xã Nguyên Xá tỉnh Thái Bình</v>
      </c>
      <c r="C30583" t="str">
        <v>-</v>
      </c>
      <c r="D30583" t="str">
        <v>-</v>
      </c>
      <c r="E30583" t="str">
        <v>-</v>
      </c>
      <c r="F30583" t="str">
        <v>-</v>
      </c>
      <c r="G30583" t="str">
        <v>-</v>
      </c>
    </row>
    <row r="30584">
      <c r="B30584" t="str">
        <v>Công an tỉnh Hưng Yên tỉnh Hưng Yên</v>
      </c>
      <c r="C30584" t="str">
        <v>-</v>
      </c>
      <c r="D30584" t="str">
        <v>-</v>
      </c>
      <c r="E30584" t="str">
        <v/>
      </c>
      <c r="F30584" t="str">
        <v>-</v>
      </c>
      <c r="G30584" t="str">
        <v>-</v>
      </c>
    </row>
    <row r="30585">
      <c r="B30585" t="str">
        <v>UBND Ủy ban nhân dân tỉnh Hưng Yên tỉnh Hưng Yên</v>
      </c>
      <c r="C30585" t="str">
        <v>-</v>
      </c>
      <c r="D30585" t="str">
        <v>-</v>
      </c>
      <c r="E30585" t="str">
        <v>-</v>
      </c>
      <c r="F30585" t="str">
        <v>-</v>
      </c>
      <c r="G30585" t="str">
        <v>-</v>
      </c>
    </row>
    <row r="30586">
      <c r="B30586" t="str">
        <v>Công an xã Thạch Sơn tỉnh Hà Tĩnh</v>
      </c>
      <c r="C30586" t="str">
        <v>-</v>
      </c>
      <c r="D30586" t="str">
        <v>-</v>
      </c>
      <c r="E30586" t="str">
        <v/>
      </c>
      <c r="F30586" t="str">
        <v>-</v>
      </c>
      <c r="G30586" t="str">
        <v>-</v>
      </c>
    </row>
    <row r="30587">
      <c r="B30587" t="str">
        <v>UBND Ủy ban nhân dân xã Thạch Sơn tỉnh Hà Tĩnh</v>
      </c>
      <c r="C30587" t="str">
        <v>-</v>
      </c>
      <c r="D30587" t="str">
        <v>-</v>
      </c>
      <c r="E30587" t="str">
        <v>-</v>
      </c>
      <c r="F30587" t="str">
        <v>-</v>
      </c>
      <c r="G30587" t="str">
        <v>-</v>
      </c>
    </row>
    <row r="30588">
      <c r="B30588" t="str">
        <v>Công an huyện Hữu Lũng  tỉnh Lạng Sơn</v>
      </c>
      <c r="C30588" t="str">
        <v>-</v>
      </c>
      <c r="D30588" t="str">
        <v>-</v>
      </c>
      <c r="E30588" t="str">
        <v/>
      </c>
      <c r="F30588" t="str">
        <v>-</v>
      </c>
      <c r="G30588" t="str">
        <v>-</v>
      </c>
    </row>
    <row r="30589">
      <c r="B30589" t="str">
        <v>UBND Ủy ban nhân dân huyện Hữu Lũng  tỉnh Lạng Sơn</v>
      </c>
      <c r="C30589" t="str">
        <v>-</v>
      </c>
      <c r="D30589" t="str">
        <v>-</v>
      </c>
      <c r="E30589" t="str">
        <v>-</v>
      </c>
      <c r="F30589" t="str">
        <v>-</v>
      </c>
      <c r="G30589" t="str">
        <v>-</v>
      </c>
    </row>
    <row r="30590">
      <c r="B30590" t="str">
        <v>Công an xã Dị Nậu tỉnh Phú Thọ</v>
      </c>
      <c r="C30590" t="str">
        <v>-</v>
      </c>
      <c r="D30590" t="str">
        <v>-</v>
      </c>
      <c r="E30590" t="str">
        <v/>
      </c>
      <c r="F30590" t="str">
        <v>-</v>
      </c>
      <c r="G30590" t="str">
        <v>-</v>
      </c>
    </row>
    <row r="30591">
      <c r="B30591" t="str">
        <v>UBND Ủy ban nhân dân xã Dị Nậu tỉnh Phú Thọ</v>
      </c>
      <c r="C30591" t="str">
        <v>-</v>
      </c>
      <c r="D30591" t="str">
        <v>-</v>
      </c>
      <c r="E30591" t="str">
        <v>-</v>
      </c>
      <c r="F30591" t="str">
        <v>-</v>
      </c>
      <c r="G30591" t="str">
        <v>-</v>
      </c>
    </row>
    <row r="30592">
      <c r="B30592" t="str">
        <v>Công an huyện Thuận Châu tỉnh Sơn La</v>
      </c>
      <c r="C30592" t="str">
        <v>-</v>
      </c>
      <c r="D30592" t="str">
        <v>-</v>
      </c>
      <c r="E30592" t="str">
        <v/>
      </c>
      <c r="F30592" t="str">
        <v>-</v>
      </c>
      <c r="G30592" t="str">
        <v>-</v>
      </c>
    </row>
    <row r="30593">
      <c r="B30593" t="str">
        <v>UBND Ủy ban nhân dân huyện Thuận Châu tỉnh Sơn La</v>
      </c>
      <c r="C30593" t="str">
        <v>-</v>
      </c>
      <c r="D30593" t="str">
        <v>-</v>
      </c>
      <c r="E30593" t="str">
        <v>-</v>
      </c>
      <c r="F30593" t="str">
        <v>-</v>
      </c>
      <c r="G30593" t="str">
        <v>-</v>
      </c>
    </row>
    <row r="30594">
      <c r="B30594" t="str">
        <v>Công an xã Nga Thắng tỉnh Thanh Hóa</v>
      </c>
      <c r="C30594" t="str">
        <v>-</v>
      </c>
      <c r="D30594" t="str">
        <v>-</v>
      </c>
      <c r="E30594" t="str">
        <v/>
      </c>
      <c r="F30594" t="str">
        <v>-</v>
      </c>
      <c r="G30594" t="str">
        <v>-</v>
      </c>
    </row>
    <row r="30595">
      <c r="B30595" t="str">
        <v>UBND Ủy ban nhân dân xã Nga Thắng tỉnh Thanh Hóa</v>
      </c>
      <c r="C30595" t="str">
        <v>-</v>
      </c>
      <c r="D30595" t="str">
        <v>-</v>
      </c>
      <c r="E30595" t="str">
        <v>-</v>
      </c>
      <c r="F30595" t="str">
        <v>-</v>
      </c>
      <c r="G30595" t="str">
        <v>-</v>
      </c>
    </row>
    <row r="30596">
      <c r="B30596" t="str">
        <v>Công an xã Đăk R’Tíh  tỉnh Đắk Nông</v>
      </c>
      <c r="C30596" t="str">
        <v>-</v>
      </c>
      <c r="D30596" t="str">
        <v>-</v>
      </c>
      <c r="E30596" t="str">
        <v/>
      </c>
      <c r="F30596" t="str">
        <v>-</v>
      </c>
      <c r="G30596" t="str">
        <v>-</v>
      </c>
    </row>
    <row r="30597">
      <c r="B30597" t="str">
        <v>UBND Ủy ban nhân dân xã Đăk R’Tíh  tỉnh Đắk Nông</v>
      </c>
      <c r="C30597" t="str">
        <v>-</v>
      </c>
      <c r="D30597" t="str">
        <v>-</v>
      </c>
      <c r="E30597" t="str">
        <v>-</v>
      </c>
      <c r="F30597" t="str">
        <v>-</v>
      </c>
      <c r="G30597" t="str">
        <v>-</v>
      </c>
    </row>
    <row r="30598" xml:space="preserve">
      <c r="B30598" t="str" xml:space="preserve">
        <v xml:space="preserve">Công an xã Thụy Liên _x000d_
 tỉnh Thái Bình</v>
      </c>
      <c r="C30598" t="str">
        <v>-</v>
      </c>
      <c r="D30598" t="str">
        <v>-</v>
      </c>
      <c r="E30598" t="str">
        <v/>
      </c>
      <c r="F30598" t="str">
        <v>-</v>
      </c>
      <c r="G30598" t="str">
        <v>-</v>
      </c>
    </row>
    <row r="30599" xml:space="preserve">
      <c r="B30599" t="str" xml:space="preserve">
        <v xml:space="preserve">UBND Ủy ban nhân dân xã Thụy Liên _x000d_
 tỉnh Thái Bình</v>
      </c>
      <c r="C30599" t="str">
        <v>-</v>
      </c>
      <c r="D30599" t="str">
        <v>-</v>
      </c>
      <c r="E30599" t="str">
        <v>-</v>
      </c>
      <c r="F30599" t="str">
        <v>-</v>
      </c>
      <c r="G30599" t="str">
        <v>-</v>
      </c>
    </row>
    <row r="30600">
      <c r="B30600" t="str">
        <v>Công an xã Long Sơn tỉnh Nghệ An</v>
      </c>
      <c r="C30600" t="str">
        <v>-</v>
      </c>
      <c r="D30600" t="str">
        <v>-</v>
      </c>
      <c r="E30600" t="str">
        <v/>
      </c>
      <c r="F30600" t="str">
        <v>-</v>
      </c>
      <c r="G30600" t="str">
        <v>-</v>
      </c>
    </row>
    <row r="30601">
      <c r="B30601" t="str">
        <v>UBND Ủy ban nhân dân xã Long Sơn tỉnh Nghệ An</v>
      </c>
      <c r="C30601" t="str">
        <v>-</v>
      </c>
      <c r="D30601" t="str">
        <v>-</v>
      </c>
      <c r="E30601" t="str">
        <v>-</v>
      </c>
      <c r="F30601" t="str">
        <v>-</v>
      </c>
      <c r="G30601" t="str">
        <v>-</v>
      </c>
    </row>
    <row r="30602">
      <c r="B30602" t="str">
        <v>Công an xã Kỳ Tân  tỉnh Thanh Hóa</v>
      </c>
      <c r="C30602" t="str">
        <v>-</v>
      </c>
      <c r="D30602" t="str">
        <v>-</v>
      </c>
      <c r="E30602" t="str">
        <v/>
      </c>
      <c r="F30602" t="str">
        <v>-</v>
      </c>
      <c r="G30602" t="str">
        <v>-</v>
      </c>
    </row>
    <row r="30603">
      <c r="B30603" t="str">
        <v>UBND Ủy ban nhân dân xã Kỳ Tân  tỉnh Thanh Hóa</v>
      </c>
      <c r="C30603" t="str">
        <v>-</v>
      </c>
      <c r="D30603" t="str">
        <v>-</v>
      </c>
      <c r="E30603" t="str">
        <v>-</v>
      </c>
      <c r="F30603" t="str">
        <v>-</v>
      </c>
      <c r="G30603" t="str">
        <v>-</v>
      </c>
    </row>
    <row r="30604">
      <c r="B30604" t="str">
        <v xml:space="preserve"> Công an tỉnh Nghệ An  tỉnh Nghệ An</v>
      </c>
    </row>
    <row r="30605">
      <c r="B30605" t="str">
        <v>UBND Ủy ban nhân dânn tỉnh Nghệ An  tỉnh Nghệ An</v>
      </c>
      <c r="C30605" t="str">
        <v>-</v>
      </c>
      <c r="D30605" t="str">
        <v>-</v>
      </c>
      <c r="E30605" t="str">
        <v>-</v>
      </c>
      <c r="F30605" t="str">
        <v>-</v>
      </c>
      <c r="G30605" t="str">
        <v>-</v>
      </c>
    </row>
    <row r="30606" xml:space="preserve">
      <c r="B30606" t="str" xml:space="preserve">
        <v xml:space="preserve">Công an xã Sùng Đô _x000d_
 tỉnh Yên Bái</v>
      </c>
      <c r="C30606" t="str">
        <v>-</v>
      </c>
      <c r="D30606" t="str">
        <v>-</v>
      </c>
      <c r="E30606" t="str">
        <v/>
      </c>
      <c r="F30606" t="str">
        <v>-</v>
      </c>
      <c r="G30606" t="str">
        <v>-</v>
      </c>
    </row>
    <row r="30607" xml:space="preserve">
      <c r="B30607" t="str" xml:space="preserve">
        <v xml:space="preserve">UBND Ủy ban nhân dân xã Sùng Đô _x000d_
 tỉnh Yên Bái</v>
      </c>
      <c r="C30607" t="str">
        <v>-</v>
      </c>
      <c r="D30607" t="str">
        <v>-</v>
      </c>
      <c r="E30607" t="str">
        <v>-</v>
      </c>
      <c r="F30607" t="str">
        <v>-</v>
      </c>
      <c r="G30607" t="str">
        <v>-</v>
      </c>
    </row>
    <row r="30608">
      <c r="B30608" t="str">
        <v>Công an xã Bắc Sơn tỉnh Hưng Yên</v>
      </c>
      <c r="C30608" t="str">
        <v>-</v>
      </c>
      <c r="D30608" t="str">
        <v>-</v>
      </c>
      <c r="E30608" t="str">
        <v/>
      </c>
      <c r="F30608" t="str">
        <v>-</v>
      </c>
      <c r="G30608" t="str">
        <v>-</v>
      </c>
    </row>
    <row r="30609">
      <c r="B30609" t="str">
        <v>UBND Ủy ban nhân dân xã Bắc Sơn tỉnh Hưng Yên</v>
      </c>
      <c r="C30609" t="str">
        <v>-</v>
      </c>
      <c r="D30609" t="str">
        <v>-</v>
      </c>
      <c r="E30609" t="str">
        <v>-</v>
      </c>
      <c r="F30609" t="str">
        <v>-</v>
      </c>
      <c r="G30609" t="str">
        <v>-</v>
      </c>
    </row>
    <row r="30610">
      <c r="B30610" t="str">
        <v>Công an xã Hồng Phong tỉnh Hải Dương</v>
      </c>
      <c r="C30610" t="str">
        <v>-</v>
      </c>
      <c r="D30610" t="str">
        <v>-</v>
      </c>
      <c r="E30610" t="str">
        <v/>
      </c>
      <c r="F30610" t="str">
        <v>-</v>
      </c>
      <c r="G30610" t="str">
        <v>-</v>
      </c>
    </row>
    <row r="30611">
      <c r="B30611" t="str">
        <v>UBND Ủy ban nhân dân xã Hồng Phong tỉnh Hải Dương</v>
      </c>
      <c r="C30611" t="str">
        <v>-</v>
      </c>
      <c r="D30611" t="str">
        <v>-</v>
      </c>
      <c r="E30611" t="str">
        <v>-</v>
      </c>
      <c r="F30611" t="str">
        <v>-</v>
      </c>
      <c r="G30611" t="str">
        <v>-</v>
      </c>
    </row>
    <row r="30612" xml:space="preserve">
      <c r="B30612" t="str" xml:space="preserve">
        <v xml:space="preserve">Công an huyện Si Ma Cai _x000d_
 tỉnh Lào Cai</v>
      </c>
      <c r="C30612" t="str">
        <v>-</v>
      </c>
      <c r="D30612" t="str">
        <v>-</v>
      </c>
      <c r="E30612" t="str">
        <v/>
      </c>
      <c r="F30612" t="str">
        <v>-</v>
      </c>
      <c r="G30612" t="str">
        <v>-</v>
      </c>
    </row>
    <row r="30613" xml:space="preserve">
      <c r="B30613" t="str" xml:space="preserve">
        <v xml:space="preserve">UBND Ủy ban nhân dân huyện Si Ma Cai _x000d_
 tỉnh Lào Cai</v>
      </c>
      <c r="C30613" t="str">
        <v>-</v>
      </c>
      <c r="D30613" t="str">
        <v>-</v>
      </c>
      <c r="E30613" t="str">
        <v>-</v>
      </c>
      <c r="F30613" t="str">
        <v>-</v>
      </c>
      <c r="G30613" t="str">
        <v>-</v>
      </c>
    </row>
    <row r="30614">
      <c r="B30614" t="str">
        <v>Công an xã Vạn Mai  tỉnh Hòa Bình</v>
      </c>
      <c r="C30614" t="str">
        <v>-</v>
      </c>
      <c r="D30614" t="str">
        <v>-</v>
      </c>
      <c r="E30614" t="str">
        <v/>
      </c>
      <c r="F30614" t="str">
        <v>-</v>
      </c>
      <c r="G30614" t="str">
        <v>-</v>
      </c>
    </row>
    <row r="30615">
      <c r="B30615" t="str">
        <v>UBND Ủy ban nhân dân xã Vạn Mai  tỉnh Hòa Bình</v>
      </c>
      <c r="C30615" t="str">
        <v>-</v>
      </c>
      <c r="D30615" t="str">
        <v>-</v>
      </c>
      <c r="E30615" t="str">
        <v>-</v>
      </c>
      <c r="F30615" t="str">
        <v>-</v>
      </c>
      <c r="G30615" t="str">
        <v>-</v>
      </c>
    </row>
    <row r="30616">
      <c r="B30616" t="str">
        <v>Công an xã Bình Lâm  tỉnh Quảng Nam</v>
      </c>
      <c r="C30616" t="str">
        <v>-</v>
      </c>
      <c r="D30616" t="str">
        <v>-</v>
      </c>
      <c r="E30616" t="str">
        <v/>
      </c>
      <c r="F30616" t="str">
        <v>-</v>
      </c>
      <c r="G30616" t="str">
        <v>-</v>
      </c>
    </row>
    <row r="30617">
      <c r="B30617" t="str">
        <v>UBND Ủy ban nhân dân xã Bình Lâm  tỉnh Quảng Nam</v>
      </c>
      <c r="C30617" t="str">
        <v>-</v>
      </c>
      <c r="D30617" t="str">
        <v>-</v>
      </c>
      <c r="E30617" t="str">
        <v>-</v>
      </c>
      <c r="F30617" t="str">
        <v>-</v>
      </c>
      <c r="G30617" t="str">
        <v>-</v>
      </c>
    </row>
    <row r="30618">
      <c r="B30618" t="str">
        <v>Công an xã Đa Lộc tỉnh Hưng Yên</v>
      </c>
      <c r="C30618" t="str">
        <v>-</v>
      </c>
      <c r="D30618" t="str">
        <v>-</v>
      </c>
      <c r="E30618" t="str">
        <v/>
      </c>
      <c r="F30618" t="str">
        <v>-</v>
      </c>
      <c r="G30618" t="str">
        <v>-</v>
      </c>
    </row>
    <row r="30619">
      <c r="B30619" t="str">
        <v>UBND Ủy ban nhân dân xã Đa Lộc tỉnh Hưng Yên</v>
      </c>
      <c r="C30619" t="str">
        <v>-</v>
      </c>
      <c r="D30619" t="str">
        <v>-</v>
      </c>
      <c r="E30619" t="str">
        <v>-</v>
      </c>
      <c r="F30619" t="str">
        <v>-</v>
      </c>
      <c r="G30619" t="str">
        <v>-</v>
      </c>
    </row>
    <row r="30620">
      <c r="B30620" t="str">
        <v>Công an xã Gia Sơn  tỉnh Ninh Bình</v>
      </c>
      <c r="C30620" t="str">
        <v>-</v>
      </c>
      <c r="D30620" t="str">
        <v>-</v>
      </c>
      <c r="E30620" t="str">
        <v/>
      </c>
      <c r="F30620" t="str">
        <v>-</v>
      </c>
      <c r="G30620" t="str">
        <v>-</v>
      </c>
    </row>
    <row r="30621">
      <c r="B30621" t="str">
        <v>UBND Ủy ban nhân dân xã Gia Sơn  tỉnh Ninh Bình</v>
      </c>
      <c r="C30621" t="str">
        <v>-</v>
      </c>
      <c r="D30621" t="str">
        <v>-</v>
      </c>
      <c r="E30621" t="str">
        <v>-</v>
      </c>
      <c r="F30621" t="str">
        <v>-</v>
      </c>
      <c r="G30621" t="str">
        <v>-</v>
      </c>
    </row>
    <row r="30622" xml:space="preserve">
      <c r="B30622" t="str" xml:space="preserve">
        <v xml:space="preserve">Công an thị trấn Mù Cang Chải _x000d_
 tỉnh Yên Bái</v>
      </c>
      <c r="C30622" t="str">
        <v>-</v>
      </c>
      <c r="D30622" t="str">
        <v>-</v>
      </c>
      <c r="E30622" t="str">
        <v/>
      </c>
      <c r="F30622" t="str">
        <v>-</v>
      </c>
      <c r="G30622" t="str">
        <v>-</v>
      </c>
    </row>
    <row r="30623" xml:space="preserve">
      <c r="B30623" t="str" xml:space="preserve">
        <v xml:space="preserve">UBND Ủy ban nhân dân thị trấn Mù Cang Chải _x000d_
 tỉnh Yên Bái</v>
      </c>
      <c r="C30623" t="str">
        <v>-</v>
      </c>
      <c r="D30623" t="str">
        <v>-</v>
      </c>
      <c r="E30623" t="str">
        <v>-</v>
      </c>
      <c r="F30623" t="str">
        <v>-</v>
      </c>
      <c r="G30623" t="str">
        <v>-</v>
      </c>
    </row>
    <row r="30624">
      <c r="B30624" t="str">
        <v>Công an huyện Mang Thít  tỉnh Vĩnh Long</v>
      </c>
      <c r="C30624" t="str">
        <v>-</v>
      </c>
      <c r="D30624" t="str">
        <v>-</v>
      </c>
      <c r="E30624" t="str">
        <v/>
      </c>
      <c r="F30624" t="str">
        <v>-</v>
      </c>
      <c r="G30624" t="str">
        <v>-</v>
      </c>
    </row>
    <row r="30625">
      <c r="B30625" t="str">
        <v>UBND Ủy ban nhân dân huyện Mang Thít  tỉnh Vĩnh Long</v>
      </c>
      <c r="C30625" t="str">
        <v>-</v>
      </c>
      <c r="D30625" t="str">
        <v>-</v>
      </c>
      <c r="E30625" t="str">
        <v>-</v>
      </c>
      <c r="F30625" t="str">
        <v>-</v>
      </c>
      <c r="G30625" t="str">
        <v>-</v>
      </c>
    </row>
    <row r="30626" xml:space="preserve">
      <c r="B30626" t="str" xml:space="preserve">
        <v xml:space="preserve">Công an xã Hồng Nam _x000d_
 tỉnh Cao Bằng</v>
      </c>
      <c r="C30626" t="str">
        <v>-</v>
      </c>
      <c r="D30626" t="str">
        <v>-</v>
      </c>
      <c r="E30626" t="str">
        <v/>
      </c>
      <c r="F30626" t="str">
        <v>-</v>
      </c>
      <c r="G30626" t="str">
        <v>-</v>
      </c>
    </row>
    <row r="30627" xml:space="preserve">
      <c r="B30627" t="str" xml:space="preserve">
        <v xml:space="preserve">UBND Ủy ban nhân dân xã Hồng Nam _x000d_
 tỉnh Cao Bằng</v>
      </c>
      <c r="C30627" t="str">
        <v>-</v>
      </c>
      <c r="D30627" t="str">
        <v>-</v>
      </c>
      <c r="E30627" t="str">
        <v>-</v>
      </c>
      <c r="F30627" t="str">
        <v>-</v>
      </c>
      <c r="G30627" t="str">
        <v>-</v>
      </c>
    </row>
    <row r="30628">
      <c r="B30628" t="str">
        <v>Công an xã Văn Võ  thành phố Hà Nội</v>
      </c>
      <c r="C30628" t="str">
        <v>-</v>
      </c>
      <c r="D30628" t="str">
        <v>-</v>
      </c>
      <c r="E30628" t="str">
        <v/>
      </c>
      <c r="F30628" t="str">
        <v>-</v>
      </c>
      <c r="G30628" t="str">
        <v>-</v>
      </c>
    </row>
    <row r="30629">
      <c r="B30629" t="str">
        <v>UBND Ủy ban nhân dân xã Văn Võ  thành phố Hà Nội</v>
      </c>
      <c r="C30629" t="str">
        <v>-</v>
      </c>
      <c r="D30629" t="str">
        <v>-</v>
      </c>
      <c r="E30629" t="str">
        <v>-</v>
      </c>
      <c r="F30629" t="str">
        <v>-</v>
      </c>
      <c r="G30629" t="str">
        <v>-</v>
      </c>
    </row>
    <row r="30630">
      <c r="B30630" t="str">
        <v>Công an xã Hưng Thịnh tỉnh Yên Bái</v>
      </c>
      <c r="C30630" t="str">
        <v>-</v>
      </c>
      <c r="D30630" t="str">
        <v>-</v>
      </c>
      <c r="E30630" t="str">
        <v/>
      </c>
      <c r="F30630" t="str">
        <v>-</v>
      </c>
      <c r="G30630" t="str">
        <v>-</v>
      </c>
    </row>
    <row r="30631">
      <c r="B30631" t="str">
        <v>UBND Ủy ban nhân dân xã Hưng Thịnh tỉnh Yên Bái</v>
      </c>
      <c r="C30631" t="str">
        <v>-</v>
      </c>
      <c r="D30631" t="str">
        <v>-</v>
      </c>
      <c r="E30631" t="str">
        <v>-</v>
      </c>
      <c r="F30631" t="str">
        <v>-</v>
      </c>
      <c r="G30631" t="str">
        <v>-</v>
      </c>
    </row>
    <row r="30632" xml:space="preserve">
      <c r="B30632" t="str" xml:space="preserve">
        <v xml:space="preserve">Công an xã Liên Bảo _x000d_
 tỉnh Nam Định</v>
      </c>
      <c r="C30632" t="str">
        <v>-</v>
      </c>
      <c r="D30632" t="str">
        <v>-</v>
      </c>
      <c r="E30632" t="str">
        <v/>
      </c>
      <c r="F30632" t="str">
        <v>-</v>
      </c>
      <c r="G30632" t="str">
        <v>-</v>
      </c>
    </row>
    <row r="30633" xml:space="preserve">
      <c r="B30633" t="str" xml:space="preserve">
        <v xml:space="preserve">UBND Ủy ban nhân dân xã Liên Bảo _x000d_
 tỉnh Nam Định</v>
      </c>
      <c r="C30633" t="str">
        <v>-</v>
      </c>
      <c r="D30633" t="str">
        <v>-</v>
      </c>
      <c r="E30633" t="str">
        <v>-</v>
      </c>
      <c r="F30633" t="str">
        <v>-</v>
      </c>
      <c r="G30633" t="str">
        <v>-</v>
      </c>
    </row>
    <row r="30634">
      <c r="B30634" t="str">
        <v>Công an xã Hợp Hưng tỉnh Nam Định</v>
      </c>
      <c r="C30634" t="str">
        <v>-</v>
      </c>
      <c r="D30634" t="str">
        <v>-</v>
      </c>
      <c r="E30634" t="str">
        <v/>
      </c>
      <c r="F30634" t="str">
        <v>-</v>
      </c>
      <c r="G30634" t="str">
        <v>-</v>
      </c>
    </row>
    <row r="30635">
      <c r="B30635" t="str">
        <v>UBND Ủy ban nhân dân xã Hợp Hưng tỉnh Nam Định</v>
      </c>
      <c r="C30635" t="str">
        <v>-</v>
      </c>
      <c r="D30635" t="str">
        <v>-</v>
      </c>
      <c r="E30635" t="str">
        <v>-</v>
      </c>
      <c r="F30635" t="str">
        <v>-</v>
      </c>
      <c r="G30635" t="str">
        <v>-</v>
      </c>
    </row>
    <row r="30636">
      <c r="B30636" t="str">
        <v>Công an xã Động Quan tỉnh Nam Định</v>
      </c>
      <c r="C30636" t="str">
        <v>-</v>
      </c>
      <c r="D30636" t="str">
        <v>-</v>
      </c>
      <c r="E30636" t="str">
        <v/>
      </c>
      <c r="F30636" t="str">
        <v>-</v>
      </c>
      <c r="G30636" t="str">
        <v>-</v>
      </c>
    </row>
    <row r="30637">
      <c r="B30637" t="str">
        <v>UBND Ủy ban nhân dân xã Động Quan tỉnh Nam Định</v>
      </c>
      <c r="C30637" t="str">
        <v>-</v>
      </c>
      <c r="D30637" t="str">
        <v>-</v>
      </c>
      <c r="E30637" t="str">
        <v>-</v>
      </c>
      <c r="F30637" t="str">
        <v>-</v>
      </c>
      <c r="G30637" t="str">
        <v>-</v>
      </c>
    </row>
    <row r="30638" xml:space="preserve">
      <c r="B30638" t="str" xml:space="preserve">
        <v xml:space="preserve">Công an xã Châu Hoàn _x000d_
 tỉnh Nghệ An</v>
      </c>
      <c r="C30638" t="str">
        <v>-</v>
      </c>
      <c r="D30638" t="str">
        <v>-</v>
      </c>
      <c r="E30638" t="str">
        <v/>
      </c>
      <c r="F30638" t="str">
        <v>-</v>
      </c>
      <c r="G30638" t="str">
        <v>-</v>
      </c>
    </row>
    <row r="30639" xml:space="preserve">
      <c r="B30639" t="str" xml:space="preserve">
        <v xml:space="preserve">UBND Ủy ban nhân dân xã Châu Hoàn _x000d_
 tỉnh Nghệ An</v>
      </c>
      <c r="C30639" t="str">
        <v>-</v>
      </c>
      <c r="D30639" t="str">
        <v>-</v>
      </c>
      <c r="E30639" t="str">
        <v>-</v>
      </c>
      <c r="F30639" t="str">
        <v>-</v>
      </c>
      <c r="G30639" t="str">
        <v>-</v>
      </c>
    </row>
    <row r="30640" xml:space="preserve">
      <c r="B30640" t="str" xml:space="preserve">
        <v xml:space="preserve">Công an thị trấn Gành Hào _x000d_
 tỉnh Bạc Liêu</v>
      </c>
      <c r="C30640" t="str">
        <v>-</v>
      </c>
      <c r="D30640" t="str">
        <v>-</v>
      </c>
      <c r="E30640" t="str">
        <v/>
      </c>
      <c r="F30640" t="str">
        <v>-</v>
      </c>
      <c r="G30640" t="str">
        <v>-</v>
      </c>
    </row>
    <row r="30641" xml:space="preserve">
      <c r="B30641" t="str" xml:space="preserve">
        <v xml:space="preserve">UBND Ủy ban nhân dân thị trấn Gành Hào _x000d_
 tỉnh Bạc Liêu</v>
      </c>
      <c r="C30641" t="str">
        <v>-</v>
      </c>
      <c r="D30641" t="str">
        <v>-</v>
      </c>
      <c r="E30641" t="str">
        <v>-</v>
      </c>
      <c r="F30641" t="str">
        <v>-</v>
      </c>
      <c r="G30641" t="str">
        <v>-</v>
      </c>
    </row>
    <row r="30642">
      <c r="B30642" t="str">
        <v>Công an xã Yên Lộc tỉnh Nam Định</v>
      </c>
      <c r="C30642" t="str">
        <v>-</v>
      </c>
      <c r="D30642" t="str">
        <v>-</v>
      </c>
      <c r="E30642" t="str">
        <v/>
      </c>
      <c r="F30642" t="str">
        <v>-</v>
      </c>
      <c r="G30642" t="str">
        <v>-</v>
      </c>
    </row>
    <row r="30643">
      <c r="B30643" t="str">
        <v>UBND Ủy ban nhân dân xã Yên Lộc tỉnh Nam Định</v>
      </c>
      <c r="C30643" t="str">
        <v>-</v>
      </c>
      <c r="D30643" t="str">
        <v>-</v>
      </c>
      <c r="E30643" t="str">
        <v>-</v>
      </c>
      <c r="F30643" t="str">
        <v>-</v>
      </c>
      <c r="G30643" t="str">
        <v>-</v>
      </c>
    </row>
    <row r="30644">
      <c r="B30644" t="str">
        <v>Công an thành phố Yên Bái  tỉnh Yên Bái</v>
      </c>
      <c r="C30644" t="str">
        <v>-</v>
      </c>
      <c r="D30644" t="str">
        <v>-</v>
      </c>
      <c r="E30644" t="str">
        <v/>
      </c>
      <c r="F30644" t="str">
        <v>-</v>
      </c>
      <c r="G30644" t="str">
        <v>-</v>
      </c>
    </row>
    <row r="30645">
      <c r="B30645" t="str">
        <v>UBND Ủy ban nhân dân thành phố Yên Bái  tỉnh Yên Bái</v>
      </c>
      <c r="C30645" t="str">
        <v>-</v>
      </c>
      <c r="D30645" t="str">
        <v>-</v>
      </c>
      <c r="E30645" t="str">
        <v>-</v>
      </c>
      <c r="F30645" t="str">
        <v>-</v>
      </c>
      <c r="G30645" t="str">
        <v>-</v>
      </c>
    </row>
    <row r="30646" xml:space="preserve">
      <c r="B30646" t="str" xml:space="preserve">
        <v xml:space="preserve">Công an huyện Chư Pưh _x000d_
 tỉnh Gia Lai</v>
      </c>
      <c r="C30646" t="str">
        <v>-</v>
      </c>
      <c r="D30646" t="str">
        <v>-</v>
      </c>
      <c r="E30646" t="str">
        <v/>
      </c>
      <c r="F30646" t="str">
        <v>-</v>
      </c>
      <c r="G30646" t="str">
        <v>-</v>
      </c>
    </row>
    <row r="30647" xml:space="preserve">
      <c r="B30647" t="str" xml:space="preserve">
        <v xml:space="preserve">UBND Ủy ban nhân dân huyện Chư Pưh _x000d_
 tỉnh Gia Lai</v>
      </c>
      <c r="C30647" t="str">
        <v>-</v>
      </c>
      <c r="D30647" t="str">
        <v>-</v>
      </c>
      <c r="E30647" t="str">
        <v>-</v>
      </c>
      <c r="F30647" t="str">
        <v>-</v>
      </c>
      <c r="G30647" t="str">
        <v>-</v>
      </c>
    </row>
    <row r="30648">
      <c r="B30648" t="str">
        <v>Công an xã Quang Minh  tỉnh Yên Bái</v>
      </c>
      <c r="C30648" t="str">
        <v>-</v>
      </c>
      <c r="D30648" t="str">
        <v>-</v>
      </c>
      <c r="E30648" t="str">
        <v/>
      </c>
      <c r="F30648" t="str">
        <v>-</v>
      </c>
      <c r="G30648" t="str">
        <v>-</v>
      </c>
    </row>
    <row r="30649">
      <c r="B30649" t="str">
        <v>UBND Ủy ban nhân dân xã Quang Minh  tỉnh Yên Bái</v>
      </c>
      <c r="C30649" t="str">
        <v>-</v>
      </c>
      <c r="D30649" t="str">
        <v>-</v>
      </c>
      <c r="E30649" t="str">
        <v>-</v>
      </c>
      <c r="F30649" t="str">
        <v>-</v>
      </c>
      <c r="G30649" t="str">
        <v>-</v>
      </c>
    </row>
    <row r="30650">
      <c r="B30650" t="str">
        <v>Công an thành phố Yên Bái  tỉnh Yên Bái</v>
      </c>
      <c r="C30650" t="str">
        <v>-</v>
      </c>
      <c r="D30650" t="str">
        <v>-</v>
      </c>
      <c r="E30650" t="str">
        <v/>
      </c>
      <c r="F30650" t="str">
        <v>-</v>
      </c>
      <c r="G30650" t="str">
        <v>-</v>
      </c>
    </row>
    <row r="30651">
      <c r="B30651" t="str">
        <v>UBND Ủy ban nhân dân thành phố Yên Bái  tỉnh Yên Bái</v>
      </c>
      <c r="C30651" t="str">
        <v>-</v>
      </c>
      <c r="D30651" t="str">
        <v>-</v>
      </c>
      <c r="E30651" t="str">
        <v>-</v>
      </c>
      <c r="F30651" t="str">
        <v>-</v>
      </c>
      <c r="G30651" t="str">
        <v>-</v>
      </c>
    </row>
    <row r="30652">
      <c r="B30652" t="str">
        <v>Công an xã Pá Hu tỉnh Yên Bái</v>
      </c>
      <c r="C30652" t="str">
        <v>-</v>
      </c>
      <c r="D30652" t="str">
        <v>-</v>
      </c>
      <c r="E30652" t="str">
        <v/>
      </c>
      <c r="F30652" t="str">
        <v>-</v>
      </c>
      <c r="G30652" t="str">
        <v>-</v>
      </c>
    </row>
    <row r="30653">
      <c r="B30653" t="str">
        <v>UBND Ủy ban nhân dân xã Pá Hu tỉnh Yên Bái</v>
      </c>
      <c r="C30653" t="str">
        <v>-</v>
      </c>
      <c r="D30653" t="str">
        <v>-</v>
      </c>
      <c r="E30653" t="str">
        <v>-</v>
      </c>
      <c r="F30653" t="str">
        <v>-</v>
      </c>
      <c r="G30653" t="str">
        <v>-</v>
      </c>
    </row>
    <row r="30654">
      <c r="B30654" t="str">
        <v>Công an xã Bao La tỉnh Hòa Bình</v>
      </c>
      <c r="C30654" t="str">
        <v>-</v>
      </c>
      <c r="D30654" t="str">
        <v>-</v>
      </c>
      <c r="E30654" t="str">
        <v/>
      </c>
      <c r="F30654" t="str">
        <v>-</v>
      </c>
      <c r="G30654" t="str">
        <v>-</v>
      </c>
    </row>
    <row r="30655">
      <c r="B30655" t="str">
        <v>UBND Ủy ban nhân dân xã Bao La tỉnh Hòa Bình</v>
      </c>
      <c r="C30655" t="str">
        <v>-</v>
      </c>
      <c r="D30655" t="str">
        <v>-</v>
      </c>
      <c r="E30655" t="str">
        <v>-</v>
      </c>
      <c r="F30655" t="str">
        <v>-</v>
      </c>
      <c r="G30655" t="str">
        <v>-</v>
      </c>
    </row>
    <row r="30656">
      <c r="B30656" t="str">
        <v>Công an huyện Yên Bình  tỉnh Yên Bái</v>
      </c>
      <c r="C30656" t="str">
        <v>-</v>
      </c>
      <c r="D30656" t="str">
        <v>-</v>
      </c>
      <c r="E30656" t="str">
        <v/>
      </c>
      <c r="F30656" t="str">
        <v>-</v>
      </c>
      <c r="G30656" t="str">
        <v>-</v>
      </c>
    </row>
    <row r="30657">
      <c r="B30657" t="str">
        <v>UBND Ủy ban nhân dân huyện Yên Bình  tỉnh Yên Bái</v>
      </c>
      <c r="C30657" t="str">
        <v>-</v>
      </c>
      <c r="D30657" t="str">
        <v>-</v>
      </c>
      <c r="E30657" t="str">
        <v>-</v>
      </c>
      <c r="F30657" t="str">
        <v>-</v>
      </c>
      <c r="G30657" t="str">
        <v>-</v>
      </c>
    </row>
    <row r="30658">
      <c r="B30658" t="str">
        <v>Công an xã Hoà Long  tỉnh Bà Rịa - Vũng Tàu</v>
      </c>
      <c r="C30658" t="str">
        <v>-</v>
      </c>
      <c r="D30658" t="str">
        <v>-</v>
      </c>
      <c r="E30658" t="str">
        <v/>
      </c>
      <c r="F30658" t="str">
        <v>-</v>
      </c>
      <c r="G30658" t="str">
        <v>-</v>
      </c>
    </row>
    <row r="30659">
      <c r="B30659" t="str">
        <v>UBND Ủy ban nhân dân xã Hoà Long  tỉnh Bà Rịa - Vũng Tàu</v>
      </c>
      <c r="C30659" t="str">
        <v>-</v>
      </c>
      <c r="D30659" t="str">
        <v>-</v>
      </c>
      <c r="E30659" t="str">
        <v>-</v>
      </c>
      <c r="F30659" t="str">
        <v>-</v>
      </c>
      <c r="G30659" t="str">
        <v>-</v>
      </c>
    </row>
    <row r="30660" xml:space="preserve">
      <c r="B30660" t="str" xml:space="preserve">
        <v xml:space="preserve">Công an xã Khánh Hội _x000d_
 tỉnh Ninh Bình</v>
      </c>
      <c r="C30660" t="str">
        <v>-</v>
      </c>
      <c r="D30660" t="str">
        <v>-</v>
      </c>
      <c r="E30660" t="str">
        <v/>
      </c>
      <c r="F30660" t="str">
        <v>-</v>
      </c>
      <c r="G30660" t="str">
        <v>-</v>
      </c>
    </row>
    <row r="30661" xml:space="preserve">
      <c r="B30661" t="str" xml:space="preserve">
        <v xml:space="preserve">UBND Ủy ban nhân dân xã Khánh Hội _x000d_
 tỉnh Ninh Bình</v>
      </c>
      <c r="C30661" t="str">
        <v>-</v>
      </c>
      <c r="D30661" t="str">
        <v>-</v>
      </c>
      <c r="E30661" t="str">
        <v>-</v>
      </c>
      <c r="F30661" t="str">
        <v>-</v>
      </c>
      <c r="G30661" t="str">
        <v>-</v>
      </c>
    </row>
    <row r="30662">
      <c r="B30662" t="str">
        <v>Công an xã Hải Nhân tỉnh Thanh Hóa</v>
      </c>
      <c r="C30662" t="str">
        <v>-</v>
      </c>
      <c r="D30662" t="str">
        <v>-</v>
      </c>
      <c r="E30662" t="str">
        <v/>
      </c>
      <c r="F30662" t="str">
        <v>-</v>
      </c>
      <c r="G30662" t="str">
        <v>-</v>
      </c>
    </row>
    <row r="30663">
      <c r="B30663" t="str">
        <v>UBND Ủy ban nhân dân xã Hải Nhân tỉnh Thanh Hóa</v>
      </c>
      <c r="C30663" t="str">
        <v>-</v>
      </c>
      <c r="D30663" t="str">
        <v>-</v>
      </c>
      <c r="E30663" t="str">
        <v>-</v>
      </c>
      <c r="F30663" t="str">
        <v>-</v>
      </c>
      <c r="G30663" t="str">
        <v>-</v>
      </c>
    </row>
    <row r="30664">
      <c r="B30664" t="str">
        <v>Công an thành phố Yên Bái  tỉnh Yên Bái</v>
      </c>
      <c r="C30664" t="str">
        <v>-</v>
      </c>
      <c r="D30664" t="str">
        <v>-</v>
      </c>
      <c r="E30664" t="str">
        <v/>
      </c>
      <c r="F30664" t="str">
        <v>-</v>
      </c>
      <c r="G30664" t="str">
        <v>-</v>
      </c>
    </row>
    <row r="30665">
      <c r="B30665" t="str">
        <v>UBND Ủy ban nhân dân thành phố Yên Bái  tỉnh Yên Bái</v>
      </c>
      <c r="C30665" t="str">
        <v>-</v>
      </c>
      <c r="D30665" t="str">
        <v>-</v>
      </c>
      <c r="E30665" t="str">
        <v>-</v>
      </c>
      <c r="F30665" t="str">
        <v>-</v>
      </c>
      <c r="G30665" t="str">
        <v>-</v>
      </c>
    </row>
    <row r="30666" xml:space="preserve">
      <c r="B30666" t="str" xml:space="preserve">
        <v xml:space="preserve">Công an phường Văn Yên _x000d_
 tỉnh Hà Tĩnh</v>
      </c>
      <c r="C30666" t="str">
        <v>-</v>
      </c>
      <c r="D30666" t="str">
        <v>-</v>
      </c>
      <c r="E30666" t="str">
        <v/>
      </c>
      <c r="F30666" t="str">
        <v>-</v>
      </c>
      <c r="G30666" t="str">
        <v>-</v>
      </c>
    </row>
    <row r="30667" xml:space="preserve">
      <c r="B30667" t="str" xml:space="preserve">
        <v xml:space="preserve">UBND Ủy ban nhân dân phường Văn Yên _x000d_
 tỉnh Hà Tĩnh</v>
      </c>
      <c r="C30667" t="str">
        <v>-</v>
      </c>
      <c r="D30667" t="str">
        <v>-</v>
      </c>
      <c r="E30667" t="str">
        <v>-</v>
      </c>
      <c r="F30667" t="str">
        <v>-</v>
      </c>
      <c r="G30667" t="str">
        <v>-</v>
      </c>
    </row>
    <row r="30668">
      <c r="B30668" t="str">
        <v>Công an thành phố Yên Bái  tỉnh Yên Bái</v>
      </c>
      <c r="C30668" t="str">
        <v>-</v>
      </c>
      <c r="D30668" t="str">
        <v>-</v>
      </c>
      <c r="E30668" t="str">
        <v/>
      </c>
      <c r="F30668" t="str">
        <v>-</v>
      </c>
      <c r="G30668" t="str">
        <v>-</v>
      </c>
    </row>
    <row r="30669">
      <c r="B30669" t="str">
        <v>UBND Ủy ban nhân dân thành phố Yên Bái  tỉnh Yên Bái</v>
      </c>
      <c r="C30669" t="str">
        <v>-</v>
      </c>
      <c r="D30669" t="str">
        <v>-</v>
      </c>
      <c r="E30669" t="str">
        <v>-</v>
      </c>
      <c r="F30669" t="str">
        <v>-</v>
      </c>
      <c r="G30669" t="str">
        <v>-</v>
      </c>
    </row>
    <row r="30670" xml:space="preserve">
      <c r="B30670" t="str" xml:space="preserve">
        <v xml:space="preserve">Công an xã Vĩnh Thái _x000d_
 tỉnh Quảng Trị</v>
      </c>
      <c r="C30670" t="str">
        <v>-</v>
      </c>
      <c r="D30670" t="str">
        <v>-</v>
      </c>
      <c r="E30670" t="str">
        <v/>
      </c>
      <c r="F30670" t="str">
        <v>-</v>
      </c>
      <c r="G30670" t="str">
        <v>-</v>
      </c>
    </row>
    <row r="30671" xml:space="preserve">
      <c r="B30671" t="str" xml:space="preserve">
        <v xml:space="preserve">UBND Ủy ban nhân dân xã Vĩnh Thái _x000d_
 tỉnh Quảng Trị</v>
      </c>
      <c r="C30671" t="str">
        <v>-</v>
      </c>
      <c r="D30671" t="str">
        <v>-</v>
      </c>
      <c r="E30671" t="str">
        <v>-</v>
      </c>
      <c r="F30671" t="str">
        <v>-</v>
      </c>
      <c r="G30671" t="str">
        <v>-</v>
      </c>
    </row>
    <row r="30672">
      <c r="B30672" t="str">
        <v>Công an xã Tạ Bú tỉnh Sơn La</v>
      </c>
      <c r="C30672" t="str">
        <v>-</v>
      </c>
      <c r="D30672" t="str">
        <v>-</v>
      </c>
      <c r="E30672" t="str">
        <v/>
      </c>
      <c r="F30672" t="str">
        <v>-</v>
      </c>
      <c r="G30672" t="str">
        <v>-</v>
      </c>
    </row>
    <row r="30673">
      <c r="B30673" t="str">
        <v>UBND Ủy ban nhân dân xã Tạ Bú tỉnh Sơn La</v>
      </c>
      <c r="C30673" t="str">
        <v>-</v>
      </c>
      <c r="D30673" t="str">
        <v>-</v>
      </c>
      <c r="E30673" t="str">
        <v>-</v>
      </c>
      <c r="F30673" t="str">
        <v>-</v>
      </c>
      <c r="G30673" t="str">
        <v>-</v>
      </c>
    </row>
    <row r="30674" xml:space="preserve">
      <c r="B30674" t="str" xml:space="preserve">
        <v xml:space="preserve">Công an xã Yên Thái _x000d_
 tỉnh Yên Bái</v>
      </c>
      <c r="C30674" t="str">
        <v>-</v>
      </c>
      <c r="D30674" t="str">
        <v>-</v>
      </c>
      <c r="E30674" t="str">
        <v/>
      </c>
      <c r="F30674" t="str">
        <v>-</v>
      </c>
      <c r="G30674" t="str">
        <v>-</v>
      </c>
    </row>
    <row r="30675" xml:space="preserve">
      <c r="B30675" t="str" xml:space="preserve">
        <v xml:space="preserve">UBND Ủy ban nhân dân xã Yên Thái _x000d_
 tỉnh Yên Bái</v>
      </c>
      <c r="C30675" t="str">
        <v>-</v>
      </c>
      <c r="D30675" t="str">
        <v>-</v>
      </c>
      <c r="E30675" t="str">
        <v>-</v>
      </c>
      <c r="F30675" t="str">
        <v>-</v>
      </c>
      <c r="G30675" t="str">
        <v>-</v>
      </c>
    </row>
    <row r="30676" xml:space="preserve">
      <c r="B30676" t="str" xml:space="preserve">
        <v xml:space="preserve">Công an xã Kim Thượng _x000d_
 tỉnh Phú Thọ</v>
      </c>
      <c r="C30676" t="str">
        <v>-</v>
      </c>
      <c r="D30676" t="str">
        <v>-</v>
      </c>
      <c r="E30676" t="str">
        <v/>
      </c>
      <c r="F30676" t="str">
        <v>-</v>
      </c>
      <c r="G30676" t="str">
        <v>-</v>
      </c>
    </row>
    <row r="30677" xml:space="preserve">
      <c r="B30677" t="str" xml:space="preserve">
        <v xml:space="preserve">UBND Ủy ban nhân dân xã Kim Thượng _x000d_
 tỉnh Phú Thọ</v>
      </c>
      <c r="C30677" t="str">
        <v>-</v>
      </c>
      <c r="D30677" t="str">
        <v>-</v>
      </c>
      <c r="E30677" t="str">
        <v>-</v>
      </c>
      <c r="F30677" t="str">
        <v>-</v>
      </c>
      <c r="G30677" t="str">
        <v>-</v>
      </c>
    </row>
    <row r="30678">
      <c r="B30678" t="str">
        <v>Công an xã Hneng tỉnh Gia Lai</v>
      </c>
      <c r="C30678" t="str">
        <v>-</v>
      </c>
      <c r="D30678" t="str">
        <v>-</v>
      </c>
      <c r="E30678" t="str">
        <v/>
      </c>
      <c r="F30678" t="str">
        <v>-</v>
      </c>
      <c r="G30678" t="str">
        <v>-</v>
      </c>
    </row>
    <row r="30679">
      <c r="B30679" t="str">
        <v>UBND Ủy ban nhân dân xã Hneng tỉnh Gia Lai</v>
      </c>
      <c r="C30679" t="str">
        <v>-</v>
      </c>
      <c r="D30679" t="str">
        <v>-</v>
      </c>
      <c r="E30679" t="str">
        <v>-</v>
      </c>
      <c r="F30679" t="str">
        <v>-</v>
      </c>
      <c r="G30679" t="str">
        <v>-</v>
      </c>
    </row>
    <row r="30680">
      <c r="B30680" t="str">
        <v>Công an xã Sơn Hồng tỉnh Hà Tĩnh</v>
      </c>
      <c r="C30680" t="str">
        <v>-</v>
      </c>
      <c r="D30680" t="str">
        <v>-</v>
      </c>
      <c r="E30680" t="str">
        <v/>
      </c>
      <c r="F30680" t="str">
        <v>-</v>
      </c>
      <c r="G30680" t="str">
        <v>-</v>
      </c>
    </row>
    <row r="30681">
      <c r="B30681" t="str">
        <v>UBND Ủy ban nhân dân xã Sơn Hồng tỉnh Hà Tĩnh</v>
      </c>
      <c r="C30681" t="str">
        <v>-</v>
      </c>
      <c r="D30681" t="str">
        <v>-</v>
      </c>
      <c r="E30681" t="str">
        <v>-</v>
      </c>
      <c r="F30681" t="str">
        <v>-</v>
      </c>
      <c r="G30681" t="str">
        <v>-</v>
      </c>
    </row>
    <row r="30682" xml:space="preserve">
      <c r="B30682" t="str" xml:space="preserve">
        <v xml:space="preserve">Công an xã Hua Trai _x000d_
 tỉnh Sơn La</v>
      </c>
      <c r="C30682" t="str">
        <v>-</v>
      </c>
      <c r="D30682" t="str">
        <v>-</v>
      </c>
      <c r="E30682" t="str">
        <v/>
      </c>
      <c r="F30682" t="str">
        <v>-</v>
      </c>
      <c r="G30682" t="str">
        <v>-</v>
      </c>
    </row>
    <row r="30683" xml:space="preserve">
      <c r="B30683" t="str" xml:space="preserve">
        <v xml:space="preserve">UBND Ủy ban nhân dân xã Hua Trai _x000d_
 tỉnh Sơn La</v>
      </c>
      <c r="C30683" t="str">
        <v>-</v>
      </c>
      <c r="D30683" t="str">
        <v>-</v>
      </c>
      <c r="E30683" t="str">
        <v>-</v>
      </c>
      <c r="F30683" t="str">
        <v>-</v>
      </c>
      <c r="G30683" t="str">
        <v>-</v>
      </c>
    </row>
    <row r="30684">
      <c r="B30684" t="str">
        <v>Công an xã Côn Lôn tỉnh Tuyên Quang</v>
      </c>
      <c r="C30684" t="str">
        <v>-</v>
      </c>
      <c r="D30684" t="str">
        <v>-</v>
      </c>
      <c r="E30684" t="str">
        <v/>
      </c>
      <c r="F30684" t="str">
        <v>-</v>
      </c>
      <c r="G30684" t="str">
        <v>-</v>
      </c>
    </row>
    <row r="30685">
      <c r="B30685" t="str">
        <v>UBND Ủy ban nhân dân xã Côn Lôn tỉnh Tuyên Quang</v>
      </c>
      <c r="C30685" t="str">
        <v>-</v>
      </c>
      <c r="D30685" t="str">
        <v>-</v>
      </c>
      <c r="E30685" t="str">
        <v>-</v>
      </c>
      <c r="F30685" t="str">
        <v>-</v>
      </c>
      <c r="G30685" t="str">
        <v>-</v>
      </c>
    </row>
    <row r="30686" xml:space="preserve">
      <c r="B30686" t="str" xml:space="preserve">
        <v xml:space="preserve">Công an xã Thạch Xuân _x000d_
 tỉnh Hà Tĩnh</v>
      </c>
      <c r="C30686" t="str">
        <v>-</v>
      </c>
      <c r="D30686" t="str">
        <v>-</v>
      </c>
      <c r="E30686" t="str">
        <v/>
      </c>
      <c r="F30686" t="str">
        <v>-</v>
      </c>
      <c r="G30686" t="str">
        <v>-</v>
      </c>
    </row>
    <row r="30687" xml:space="preserve">
      <c r="B30687" t="str" xml:space="preserve">
        <v xml:space="preserve">UBND Ủy ban nhân dân xã Thạch Xuân _x000d_
 tỉnh Hà Tĩnh</v>
      </c>
      <c r="C30687" t="str">
        <v>-</v>
      </c>
      <c r="D30687" t="str">
        <v>-</v>
      </c>
      <c r="E30687" t="str">
        <v>-</v>
      </c>
      <c r="F30687" t="str">
        <v>-</v>
      </c>
      <c r="G30687" t="str">
        <v>-</v>
      </c>
    </row>
    <row r="30688">
      <c r="B30688" t="str">
        <v>Công an xã Tân Thịnh tỉnh Yên Bái</v>
      </c>
      <c r="C30688" t="str">
        <v>-</v>
      </c>
      <c r="D30688" t="str">
        <v>-</v>
      </c>
      <c r="E30688" t="str">
        <v/>
      </c>
      <c r="F30688" t="str">
        <v>-</v>
      </c>
      <c r="G30688" t="str">
        <v>-</v>
      </c>
    </row>
    <row r="30689">
      <c r="B30689" t="str">
        <v>UBND Ủy ban nhân dân xã Tân Thịnh tỉnh Yên Bái</v>
      </c>
      <c r="C30689" t="str">
        <v>-</v>
      </c>
      <c r="D30689" t="str">
        <v>-</v>
      </c>
      <c r="E30689" t="str">
        <v>-</v>
      </c>
      <c r="F30689" t="str">
        <v>-</v>
      </c>
      <c r="G30689" t="str">
        <v>-</v>
      </c>
    </row>
    <row r="30690" xml:space="preserve">
      <c r="B30690" t="str" xml:space="preserve">
        <v xml:space="preserve">Công an xã Hoà Cuông _x000d_
 tỉnh Yên Bái</v>
      </c>
      <c r="C30690" t="str">
        <v>-</v>
      </c>
      <c r="D30690" t="str">
        <v>-</v>
      </c>
      <c r="E30690" t="str">
        <v/>
      </c>
      <c r="F30690" t="str">
        <v>-</v>
      </c>
      <c r="G30690" t="str">
        <v>-</v>
      </c>
    </row>
    <row r="30691" xml:space="preserve">
      <c r="B30691" t="str" xml:space="preserve">
        <v xml:space="preserve">UBND Ủy ban nhân dân xã Hoà Cuông _x000d_
 tỉnh Yên Bái</v>
      </c>
      <c r="C30691" t="str">
        <v>-</v>
      </c>
      <c r="D30691" t="str">
        <v>-</v>
      </c>
      <c r="E30691" t="str">
        <v>-</v>
      </c>
      <c r="F30691" t="str">
        <v>-</v>
      </c>
      <c r="G30691" t="str">
        <v>-</v>
      </c>
    </row>
    <row r="30692">
      <c r="B30692" t="str">
        <v>Công an xã Phong Dụ Thượng tỉnh Yên Bái</v>
      </c>
      <c r="C30692" t="str">
        <v>-</v>
      </c>
      <c r="D30692" t="str">
        <v>-</v>
      </c>
      <c r="E30692" t="str">
        <v/>
      </c>
      <c r="F30692" t="str">
        <v>-</v>
      </c>
      <c r="G30692" t="str">
        <v>-</v>
      </c>
    </row>
    <row r="30693">
      <c r="B30693" t="str">
        <v>UBND Ủy ban nhân dân xã Phong Dụ Thượng tỉnh Yên Bái</v>
      </c>
      <c r="C30693" t="str">
        <v>-</v>
      </c>
      <c r="D30693" t="str">
        <v>-</v>
      </c>
      <c r="E30693" t="str">
        <v>-</v>
      </c>
      <c r="F30693" t="str">
        <v>-</v>
      </c>
      <c r="G30693" t="str">
        <v>-</v>
      </c>
    </row>
    <row r="30694" xml:space="preserve">
      <c r="B30694" t="str" xml:space="preserve">
        <v xml:space="preserve">Công an xã Giao Lạc  _x000d_
 tỉnh Nam Định</v>
      </c>
      <c r="C30694" t="str">
        <v>-</v>
      </c>
      <c r="D30694" t="str">
        <v>-</v>
      </c>
      <c r="E30694" t="str">
        <v/>
      </c>
      <c r="F30694" t="str">
        <v>-</v>
      </c>
      <c r="G30694" t="str">
        <v>-</v>
      </c>
    </row>
    <row r="30695" xml:space="preserve">
      <c r="B30695" t="str" xml:space="preserve">
        <v xml:space="preserve">UBND Ủy ban nhân dân xã Giao Lạc  _x000d_
 tỉnh Nam Định</v>
      </c>
      <c r="C30695" t="str">
        <v>-</v>
      </c>
      <c r="D30695" t="str">
        <v>-</v>
      </c>
      <c r="E30695" t="str">
        <v>-</v>
      </c>
      <c r="F30695" t="str">
        <v>-</v>
      </c>
      <c r="G30695" t="str">
        <v>-</v>
      </c>
    </row>
    <row r="30696" xml:space="preserve">
      <c r="B30696" t="str" xml:space="preserve">
        <v xml:space="preserve">Công an xã Tây Sơn _x000d_
 tỉnh Nghệ An</v>
      </c>
      <c r="C30696" t="str">
        <v>-</v>
      </c>
      <c r="D30696" t="str">
        <v>-</v>
      </c>
      <c r="E30696" t="str">
        <v/>
      </c>
      <c r="F30696" t="str">
        <v>-</v>
      </c>
      <c r="G30696" t="str">
        <v>-</v>
      </c>
    </row>
    <row r="30697" xml:space="preserve">
      <c r="B30697" t="str" xml:space="preserve">
        <v xml:space="preserve">UBND Ủy ban nhân dân xã Tây Sơn _x000d_
 tỉnh Nghệ An</v>
      </c>
      <c r="C30697" t="str">
        <v>-</v>
      </c>
      <c r="D30697" t="str">
        <v>-</v>
      </c>
      <c r="E30697" t="str">
        <v>-</v>
      </c>
      <c r="F30697" t="str">
        <v>-</v>
      </c>
      <c r="G30697" t="str">
        <v>-</v>
      </c>
    </row>
    <row r="30698">
      <c r="B30698" t="str">
        <v>Công an xã Thịnh Lộc tỉnh Hà Tĩnh</v>
      </c>
      <c r="C30698" t="str">
        <v>-</v>
      </c>
      <c r="D30698" t="str">
        <v>-</v>
      </c>
      <c r="E30698" t="str">
        <v/>
      </c>
      <c r="F30698" t="str">
        <v>-</v>
      </c>
      <c r="G30698" t="str">
        <v>-</v>
      </c>
    </row>
    <row r="30699">
      <c r="B30699" t="str">
        <v>UBND Ủy ban nhân dân xã Thịnh Lộc tỉnh Hà Tĩnh</v>
      </c>
      <c r="C30699" t="str">
        <v>-</v>
      </c>
      <c r="D30699" t="str">
        <v>-</v>
      </c>
      <c r="E30699" t="str">
        <v>-</v>
      </c>
      <c r="F30699" t="str">
        <v>-</v>
      </c>
      <c r="G30699" t="str">
        <v>-</v>
      </c>
    </row>
    <row r="30700">
      <c r="B30700" t="str">
        <v>Công an xã Kỳ Châu tỉnh Hà Tĩnh</v>
      </c>
      <c r="C30700" t="str">
        <v>-</v>
      </c>
      <c r="D30700" t="str">
        <v>-</v>
      </c>
      <c r="E30700" t="str">
        <v/>
      </c>
      <c r="F30700" t="str">
        <v>-</v>
      </c>
      <c r="G30700" t="str">
        <v>-</v>
      </c>
    </row>
    <row r="30701">
      <c r="B30701" t="str">
        <v>UBND Ủy ban nhân dân xã Kỳ Châu tỉnh Hà Tĩnh</v>
      </c>
      <c r="C30701" t="str">
        <v>-</v>
      </c>
      <c r="D30701" t="str">
        <v>-</v>
      </c>
      <c r="E30701" t="str">
        <v>-</v>
      </c>
      <c r="F30701" t="str">
        <v>-</v>
      </c>
      <c r="G30701" t="str">
        <v>-</v>
      </c>
    </row>
    <row r="30702" xml:space="preserve">
      <c r="B30702" t="str" xml:space="preserve">
        <v xml:space="preserve">Công an xã Hoà Minh _x000d_
 thành phố Hà Nội</v>
      </c>
      <c r="C30702" t="str">
        <v>-</v>
      </c>
      <c r="D30702" t="str">
        <v>-</v>
      </c>
      <c r="E30702" t="str">
        <v/>
      </c>
      <c r="F30702" t="str">
        <v>-</v>
      </c>
      <c r="G30702" t="str">
        <v>-</v>
      </c>
    </row>
    <row r="30703" xml:space="preserve">
      <c r="B30703" t="str" xml:space="preserve">
        <v xml:space="preserve">UBND Ủy ban nhân dân xã Hoà Minh _x000d_
 thành phố Hà Nội</v>
      </c>
      <c r="C30703" t="str">
        <v>-</v>
      </c>
      <c r="D30703" t="str">
        <v>-</v>
      </c>
      <c r="E30703" t="str">
        <v>-</v>
      </c>
      <c r="F30703" t="str">
        <v>-</v>
      </c>
      <c r="G30703" t="str">
        <v>-</v>
      </c>
    </row>
    <row r="30704">
      <c r="B30704" t="str">
        <v>Công an xã Vĩnh Yên tỉnh Thanh Hóa</v>
      </c>
      <c r="C30704" t="str">
        <v>-</v>
      </c>
      <c r="D30704" t="str">
        <v>-</v>
      </c>
      <c r="E30704" t="str">
        <v/>
      </c>
      <c r="F30704" t="str">
        <v>-</v>
      </c>
      <c r="G30704" t="str">
        <v>-</v>
      </c>
    </row>
    <row r="30705">
      <c r="B30705" t="str">
        <v>UBND Ủy ban nhân dân xã Vĩnh Yên tỉnh Thanh Hóa</v>
      </c>
      <c r="C30705" t="str">
        <v>-</v>
      </c>
      <c r="D30705" t="str">
        <v>-</v>
      </c>
      <c r="E30705" t="str">
        <v>-</v>
      </c>
      <c r="F30705" t="str">
        <v>-</v>
      </c>
      <c r="G30705" t="str">
        <v>-</v>
      </c>
    </row>
    <row r="30706">
      <c r="B30706" t="str">
        <v>Công an xã Trí Yên tỉnh Bắc Giang</v>
      </c>
      <c r="C30706" t="str">
        <v>-</v>
      </c>
      <c r="D30706" t="str">
        <v>-</v>
      </c>
      <c r="E30706" t="str">
        <v/>
      </c>
      <c r="F30706" t="str">
        <v>-</v>
      </c>
      <c r="G30706" t="str">
        <v>-</v>
      </c>
    </row>
    <row r="30707">
      <c r="B30707" t="str">
        <v>UBND Ủy ban nhân dân xã Trí Yên tỉnh Bắc Giang</v>
      </c>
      <c r="C30707" t="str">
        <v>-</v>
      </c>
      <c r="D30707" t="str">
        <v>-</v>
      </c>
      <c r="E30707" t="str">
        <v>-</v>
      </c>
      <c r="F30707" t="str">
        <v>-</v>
      </c>
      <c r="G30707" t="str">
        <v>-</v>
      </c>
    </row>
    <row r="30708">
      <c r="B30708" t="str">
        <v>Công an huyện Phong Thổ tỉnh Lai Châu</v>
      </c>
      <c r="C30708" t="str">
        <v>-</v>
      </c>
      <c r="D30708" t="str">
        <v>-</v>
      </c>
      <c r="E30708" t="str">
        <v/>
      </c>
      <c r="F30708" t="str">
        <v>-</v>
      </c>
      <c r="G30708" t="str">
        <v>-</v>
      </c>
    </row>
    <row r="30709">
      <c r="B30709" t="str">
        <v>UBND Ủy ban nhân dân huyện Phong Thổ tỉnh Lai Châu</v>
      </c>
      <c r="C30709" t="str">
        <v>-</v>
      </c>
      <c r="D30709" t="str">
        <v>-</v>
      </c>
      <c r="E30709" t="str">
        <v>-</v>
      </c>
      <c r="F30709" t="str">
        <v>-</v>
      </c>
      <c r="G30709" t="str">
        <v>-</v>
      </c>
    </row>
    <row r="30710" xml:space="preserve">
      <c r="B30710" t="str" xml:space="preserve">
        <v xml:space="preserve">Công an xã Tiến Thủy _x000d_
 tỉnh Nghệ An</v>
      </c>
      <c r="C30710" t="str">
        <v>-</v>
      </c>
      <c r="D30710" t="str">
        <v>-</v>
      </c>
      <c r="E30710" t="str">
        <v/>
      </c>
      <c r="F30710" t="str">
        <v>-</v>
      </c>
      <c r="G30710" t="str">
        <v>-</v>
      </c>
    </row>
    <row r="30711" xml:space="preserve">
      <c r="B30711" t="str" xml:space="preserve">
        <v xml:space="preserve">UBND Ủy ban nhân dân xã Tiến Thủy _x000d_
 tỉnh Nghệ An</v>
      </c>
      <c r="C30711" t="str">
        <v>-</v>
      </c>
      <c r="D30711" t="str">
        <v>-</v>
      </c>
      <c r="E30711" t="str">
        <v>-</v>
      </c>
      <c r="F30711" t="str">
        <v>-</v>
      </c>
      <c r="G30711" t="str">
        <v>-</v>
      </c>
    </row>
    <row r="30712">
      <c r="B30712" t="str">
        <v>Công an xã Vạn Mai tỉnh Hòa Bình</v>
      </c>
      <c r="C30712" t="str">
        <v>-</v>
      </c>
      <c r="D30712" t="str">
        <v>-</v>
      </c>
      <c r="E30712" t="str">
        <v/>
      </c>
      <c r="F30712" t="str">
        <v>-</v>
      </c>
      <c r="G30712" t="str">
        <v>-</v>
      </c>
    </row>
    <row r="30713">
      <c r="B30713" t="str">
        <v>UBND Ủy ban nhân dân xã Vạn Mai tỉnh Hòa Bình</v>
      </c>
      <c r="C30713" t="str">
        <v>-</v>
      </c>
      <c r="D30713" t="str">
        <v>-</v>
      </c>
      <c r="E30713" t="str">
        <v>-</v>
      </c>
      <c r="F30713" t="str">
        <v>-</v>
      </c>
      <c r="G30713" t="str">
        <v>-</v>
      </c>
    </row>
    <row r="30714" xml:space="preserve">
      <c r="B30714" t="str" xml:space="preserve">
        <v xml:space="preserve">Công an tỉnh Nghệ An _x000d_
 tỉnh Nghệ An</v>
      </c>
      <c r="C30714" t="str">
        <v>-</v>
      </c>
      <c r="D30714" t="str">
        <v>-</v>
      </c>
      <c r="E30714" t="str">
        <v/>
      </c>
      <c r="F30714" t="str">
        <v>-</v>
      </c>
      <c r="G30714" t="str">
        <v>-</v>
      </c>
    </row>
    <row r="30715" xml:space="preserve">
      <c r="B30715" t="str" xml:space="preserve">
        <v xml:space="preserve">UBND Ủy ban nhân dân tỉnh Nghệ An _x000d_
 tỉnh Nghệ An</v>
      </c>
      <c r="C30715" t="str">
        <v>-</v>
      </c>
      <c r="D30715" t="str">
        <v>-</v>
      </c>
      <c r="E30715" t="str">
        <v>-</v>
      </c>
      <c r="F30715" t="str">
        <v>-</v>
      </c>
      <c r="G30715" t="str">
        <v>-</v>
      </c>
    </row>
    <row r="30716">
      <c r="B30716" t="str">
        <v>Công an phường Đồng Tâm tỉnh Yên Bái</v>
      </c>
      <c r="C30716" t="str">
        <v>-</v>
      </c>
      <c r="D30716" t="str">
        <v>-</v>
      </c>
      <c r="E30716" t="str">
        <v/>
      </c>
      <c r="F30716" t="str">
        <v>-</v>
      </c>
      <c r="G30716" t="str">
        <v>-</v>
      </c>
    </row>
    <row r="30717">
      <c r="B30717" t="str">
        <v>UBND Ủy ban nhân dân phường Đồng Tâm tỉnh Yên Bái</v>
      </c>
      <c r="C30717" t="str">
        <v>-</v>
      </c>
      <c r="D30717" t="str">
        <v>-</v>
      </c>
      <c r="E30717" t="str">
        <v>-</v>
      </c>
      <c r="F30717" t="str">
        <v>-</v>
      </c>
      <c r="G30717" t="str">
        <v>-</v>
      </c>
    </row>
    <row r="30718" xml:space="preserve">
      <c r="B30718" t="str" xml:space="preserve">
        <v xml:space="preserve">Công an thị trấn Hợp Hòa _x000d_
 tỉnh Vĩnh Phúc</v>
      </c>
      <c r="C30718" t="str">
        <v>-</v>
      </c>
      <c r="D30718" t="str">
        <v>-</v>
      </c>
      <c r="E30718" t="str">
        <v/>
      </c>
      <c r="F30718" t="str">
        <v>-</v>
      </c>
      <c r="G30718" t="str">
        <v>-</v>
      </c>
    </row>
    <row r="30719" xml:space="preserve">
      <c r="B30719" t="str" xml:space="preserve">
        <v xml:space="preserve">UBND Ủy ban nhân dân thị trấn Hợp Hòa _x000d_
 tỉnh Vĩnh Phúc</v>
      </c>
      <c r="C30719" t="str">
        <v>-</v>
      </c>
      <c r="D30719" t="str">
        <v>-</v>
      </c>
      <c r="E30719" t="str">
        <v>-</v>
      </c>
      <c r="F30719" t="str">
        <v>-</v>
      </c>
      <c r="G30719" t="str">
        <v>-</v>
      </c>
    </row>
    <row r="30720" xml:space="preserve">
      <c r="B30720" t="str" xml:space="preserve">
        <v xml:space="preserve">Công an tỉnh Lạng Sơn _x000d_
 tỉnh Lạng Sơn</v>
      </c>
      <c r="C30720" t="str">
        <v>-</v>
      </c>
      <c r="D30720" t="str">
        <v>-</v>
      </c>
      <c r="E30720" t="str">
        <v/>
      </c>
      <c r="F30720" t="str">
        <v>-</v>
      </c>
      <c r="G30720" t="str">
        <v>-</v>
      </c>
    </row>
    <row r="30721" xml:space="preserve">
      <c r="B30721" t="str" xml:space="preserve">
        <v xml:space="preserve">UBND Ủy ban nhân dân tỉnh Lạng Sơn _x000d_
 tỉnh Lạng Sơn</v>
      </c>
      <c r="C30721" t="str">
        <v>-</v>
      </c>
      <c r="D30721" t="str">
        <v>-</v>
      </c>
      <c r="E30721" t="str">
        <v>-</v>
      </c>
      <c r="F30721" t="str">
        <v>-</v>
      </c>
      <c r="G30721" t="str">
        <v>-</v>
      </c>
    </row>
    <row r="30722">
      <c r="B30722" t="str">
        <v>Công an huyện Yên Châu tỉnh Sơn La</v>
      </c>
      <c r="C30722" t="str">
        <v>-</v>
      </c>
      <c r="D30722" t="str">
        <v>-</v>
      </c>
      <c r="E30722" t="str">
        <v/>
      </c>
      <c r="F30722" t="str">
        <v>-</v>
      </c>
      <c r="G30722" t="str">
        <v>-</v>
      </c>
    </row>
    <row r="30723">
      <c r="B30723" t="str">
        <v>UBND Ủy ban nhân dân huyện Yên Châu tỉnh Sơn La</v>
      </c>
      <c r="C30723" t="str">
        <v>-</v>
      </c>
      <c r="D30723" t="str">
        <v>-</v>
      </c>
      <c r="E30723" t="str">
        <v>-</v>
      </c>
      <c r="F30723" t="str">
        <v>-</v>
      </c>
      <c r="G30723" t="str">
        <v>-</v>
      </c>
    </row>
    <row r="30724" xml:space="preserve">
      <c r="B30724" t="str" xml:space="preserve">
        <v xml:space="preserve">Công an xã Chà Vàl _x000d_
 tỉnh Quảng Nam</v>
      </c>
      <c r="C30724" t="str">
        <v>-</v>
      </c>
      <c r="D30724" t="str">
        <v>-</v>
      </c>
      <c r="E30724" t="str">
        <v/>
      </c>
      <c r="F30724" t="str">
        <v>-</v>
      </c>
      <c r="G30724" t="str">
        <v>-</v>
      </c>
    </row>
    <row r="30725" xml:space="preserve">
      <c r="B30725" t="str" xml:space="preserve">
        <v xml:space="preserve">UBND Ủy ban nhân dân xã Chà Vàl _x000d_
 tỉnh Quảng Nam</v>
      </c>
      <c r="C30725" t="str">
        <v>-</v>
      </c>
      <c r="D30725" t="str">
        <v>-</v>
      </c>
      <c r="E30725" t="str">
        <v>-</v>
      </c>
      <c r="F30725" t="str">
        <v>-</v>
      </c>
      <c r="G30725" t="str">
        <v>-</v>
      </c>
    </row>
    <row r="30726">
      <c r="B30726" t="str">
        <v>Công an Tỉnh Đak lak  tỉnh Đắk Lắk</v>
      </c>
      <c r="C30726" t="str">
        <v>-</v>
      </c>
      <c r="D30726" t="str">
        <v>-</v>
      </c>
      <c r="E30726" t="str">
        <v/>
      </c>
      <c r="F30726" t="str">
        <v>-</v>
      </c>
      <c r="G30726" t="str">
        <v>-</v>
      </c>
    </row>
    <row r="30727">
      <c r="B30727" t="str">
        <v>UBND Ủy ban nhân dân Tỉnh Đak lak  tỉnh Đắk Lắk</v>
      </c>
      <c r="C30727" t="str">
        <v>-</v>
      </c>
      <c r="D30727" t="str">
        <v>-</v>
      </c>
      <c r="E30727" t="str">
        <v>-</v>
      </c>
      <c r="F30727" t="str">
        <v>-</v>
      </c>
      <c r="G30727" t="str">
        <v>-</v>
      </c>
    </row>
    <row r="30728" xml:space="preserve">
      <c r="B30728" t="str" xml:space="preserve">
        <v xml:space="preserve">Công an xã Hưng Long _x000d_
 tỉnh Hải Dương</v>
      </c>
      <c r="C30728" t="str">
        <v>-</v>
      </c>
      <c r="D30728" t="str">
        <v>-</v>
      </c>
      <c r="E30728" t="str">
        <v/>
      </c>
      <c r="F30728" t="str">
        <v>-</v>
      </c>
      <c r="G30728" t="str">
        <v>-</v>
      </c>
    </row>
    <row r="30729" xml:space="preserve">
      <c r="B30729" t="str" xml:space="preserve">
        <v xml:space="preserve">UBND Ủy ban nhân dân xã Hưng Long _x000d_
 tỉnh Hải Dương</v>
      </c>
      <c r="C30729" t="str">
        <v>-</v>
      </c>
      <c r="D30729" t="str">
        <v>-</v>
      </c>
      <c r="E30729" t="str">
        <v>-</v>
      </c>
      <c r="F30729" t="str">
        <v>-</v>
      </c>
      <c r="G30729" t="str">
        <v>-</v>
      </c>
    </row>
    <row r="30730" xml:space="preserve">
      <c r="B30730" t="str" xml:space="preserve">
        <v xml:space="preserve">Công an xã Trung Sơn _x000d_
 tỉnh Nghệ An</v>
      </c>
      <c r="C30730" t="str">
        <v>-</v>
      </c>
      <c r="D30730" t="str">
        <v>-</v>
      </c>
      <c r="E30730" t="str">
        <v/>
      </c>
      <c r="F30730" t="str">
        <v>-</v>
      </c>
      <c r="G30730" t="str">
        <v>-</v>
      </c>
    </row>
    <row r="30731" xml:space="preserve">
      <c r="B30731" t="str" xml:space="preserve">
        <v xml:space="preserve">UBND Ủy ban nhân dân xã Trung Sơn _x000d_
 tỉnh Nghệ An</v>
      </c>
      <c r="C30731" t="str">
        <v>-</v>
      </c>
      <c r="D30731" t="str">
        <v>-</v>
      </c>
      <c r="E30731" t="str">
        <v>-</v>
      </c>
      <c r="F30731" t="str">
        <v>-</v>
      </c>
      <c r="G30731" t="str">
        <v>-</v>
      </c>
    </row>
    <row r="30732">
      <c r="B30732" t="str">
        <v>Công an huyện Tuy An  tỉnh Phú Yên</v>
      </c>
      <c r="C30732" t="str">
        <v>-</v>
      </c>
      <c r="D30732" t="str">
        <v>-</v>
      </c>
      <c r="E30732" t="str">
        <v/>
      </c>
      <c r="F30732" t="str">
        <v>-</v>
      </c>
      <c r="G30732" t="str">
        <v>-</v>
      </c>
    </row>
    <row r="30733">
      <c r="B30733" t="str">
        <v>UBND Ủy ban nhân dân huyện Tuy An  tỉnh Phú Yên</v>
      </c>
      <c r="C30733" t="str">
        <v>-</v>
      </c>
      <c r="D30733" t="str">
        <v>-</v>
      </c>
      <c r="E30733" t="str">
        <v>-</v>
      </c>
      <c r="F30733" t="str">
        <v>-</v>
      </c>
      <c r="G30733" t="str">
        <v>-</v>
      </c>
    </row>
    <row r="30734">
      <c r="B30734" t="str">
        <v>Công an xã Nặm Păm tỉnh Sơn La</v>
      </c>
      <c r="C30734" t="str">
        <v>-</v>
      </c>
      <c r="D30734" t="str">
        <v>-</v>
      </c>
      <c r="E30734" t="str">
        <v/>
      </c>
      <c r="F30734" t="str">
        <v>-</v>
      </c>
      <c r="G30734" t="str">
        <v>-</v>
      </c>
    </row>
    <row r="30735">
      <c r="B30735" t="str">
        <v>UBND Ủy ban nhân dân xã Nặm Păm tỉnh Sơn La</v>
      </c>
      <c r="C30735" t="str">
        <v>-</v>
      </c>
      <c r="D30735" t="str">
        <v>-</v>
      </c>
      <c r="E30735" t="str">
        <v>-</v>
      </c>
      <c r="F30735" t="str">
        <v>-</v>
      </c>
      <c r="G30735" t="str">
        <v>-</v>
      </c>
    </row>
    <row r="30736">
      <c r="B30736" t="str">
        <v>Công an xã Thạch Mỹ tỉnh Hà Tĩnh</v>
      </c>
      <c r="C30736" t="str">
        <v>-</v>
      </c>
      <c r="D30736" t="str">
        <v>-</v>
      </c>
      <c r="E30736" t="str">
        <v/>
      </c>
      <c r="F30736" t="str">
        <v>-</v>
      </c>
      <c r="G30736" t="str">
        <v>-</v>
      </c>
    </row>
    <row r="30737">
      <c r="B30737" t="str">
        <v>UBND Ủy ban nhân dân xã Thạch Mỹ tỉnh Hà Tĩnh</v>
      </c>
      <c r="C30737" t="str">
        <v>-</v>
      </c>
      <c r="D30737" t="str">
        <v>-</v>
      </c>
      <c r="E30737" t="str">
        <v>-</v>
      </c>
      <c r="F30737" t="str">
        <v>-</v>
      </c>
      <c r="G30737" t="str">
        <v>-</v>
      </c>
    </row>
    <row r="30738">
      <c r="B30738" t="str">
        <v>Công an tỉnh Thái Bình  tỉnh Thái Bình</v>
      </c>
      <c r="C30738" t="str">
        <v>-</v>
      </c>
      <c r="D30738" t="str">
        <v>-</v>
      </c>
      <c r="E30738" t="str">
        <v/>
      </c>
      <c r="F30738" t="str">
        <v>-</v>
      </c>
      <c r="G30738" t="str">
        <v>-</v>
      </c>
    </row>
    <row r="30739">
      <c r="B30739" t="str">
        <v>UBND Ủy ban nhân dân tỉnh Thái Bình  tỉnh Thái Bình</v>
      </c>
      <c r="C30739" t="str">
        <v>-</v>
      </c>
      <c r="D30739" t="str">
        <v>-</v>
      </c>
      <c r="E30739" t="str">
        <v>-</v>
      </c>
      <c r="F30739" t="str">
        <v>-</v>
      </c>
      <c r="G30739" t="str">
        <v>-</v>
      </c>
    </row>
    <row r="30740">
      <c r="B30740" t="str">
        <v>Công an xã Thái Bình tỉnh Tuyên Quang</v>
      </c>
      <c r="C30740" t="str">
        <v>-</v>
      </c>
      <c r="D30740" t="str">
        <v>-</v>
      </c>
      <c r="E30740" t="str">
        <v/>
      </c>
      <c r="F30740" t="str">
        <v>-</v>
      </c>
      <c r="G30740" t="str">
        <v>-</v>
      </c>
    </row>
    <row r="30741">
      <c r="B30741" t="str">
        <v>UBND Ủy ban nhân dân xã Thái Bình tỉnh Tuyên Quang</v>
      </c>
      <c r="C30741" t="str">
        <v>-</v>
      </c>
      <c r="D30741" t="str">
        <v>-</v>
      </c>
      <c r="E30741" t="str">
        <v>-</v>
      </c>
      <c r="F30741" t="str">
        <v>-</v>
      </c>
      <c r="G30741" t="str">
        <v>-</v>
      </c>
    </row>
    <row r="30742">
      <c r="B30742" t="str">
        <v>Công an huyện Ninh Phước  tỉnh Ninh Thuận</v>
      </c>
      <c r="C30742" t="str">
        <v>-</v>
      </c>
      <c r="D30742" t="str">
        <v>-</v>
      </c>
      <c r="E30742" t="str">
        <v/>
      </c>
      <c r="F30742" t="str">
        <v>-</v>
      </c>
      <c r="G30742" t="str">
        <v>-</v>
      </c>
    </row>
    <row r="30743">
      <c r="B30743" t="str">
        <v>UBND Ủy ban nhân dân huyện Ninh Phước  tỉnh Ninh Thuận</v>
      </c>
      <c r="C30743" t="str">
        <v>-</v>
      </c>
      <c r="D30743" t="str">
        <v>-</v>
      </c>
      <c r="E30743" t="str">
        <v>-</v>
      </c>
      <c r="F30743" t="str">
        <v>-</v>
      </c>
      <c r="G30743" t="str">
        <v>-</v>
      </c>
    </row>
    <row r="30744">
      <c r="B30744" t="str">
        <v>Công an xã Thạch Bình tỉnh Thanh Hóa</v>
      </c>
      <c r="C30744" t="str">
        <v>-</v>
      </c>
      <c r="D30744" t="str">
        <v>-</v>
      </c>
      <c r="E30744" t="str">
        <v/>
      </c>
      <c r="F30744" t="str">
        <v>-</v>
      </c>
      <c r="G30744" t="str">
        <v>-</v>
      </c>
    </row>
    <row r="30745">
      <c r="B30745" t="str">
        <v>UBND Ủy ban nhân dân xã Thạch Bình tỉnh Thanh Hóa</v>
      </c>
      <c r="C30745" t="str">
        <v>-</v>
      </c>
      <c r="D30745" t="str">
        <v>-</v>
      </c>
      <c r="E30745" t="str">
        <v>-</v>
      </c>
      <c r="F30745" t="str">
        <v>-</v>
      </c>
      <c r="G30745" t="str">
        <v>-</v>
      </c>
    </row>
    <row r="30746">
      <c r="B30746" t="str">
        <v>Công an xã Tân An tỉnh Gia Lai</v>
      </c>
      <c r="C30746" t="str">
        <v>-</v>
      </c>
      <c r="D30746" t="str">
        <v>-</v>
      </c>
      <c r="E30746" t="str">
        <v/>
      </c>
      <c r="F30746" t="str">
        <v>-</v>
      </c>
      <c r="G30746" t="str">
        <v>-</v>
      </c>
    </row>
    <row r="30747">
      <c r="B30747" t="str">
        <v>UBND Ủy ban nhân dân xã Tân An tỉnh Gia Lai</v>
      </c>
      <c r="C30747" t="str">
        <v>-</v>
      </c>
      <c r="D30747" t="str">
        <v>-</v>
      </c>
      <c r="E30747" t="str">
        <v>-</v>
      </c>
      <c r="F30747" t="str">
        <v>-</v>
      </c>
      <c r="G30747" t="str">
        <v>-</v>
      </c>
    </row>
    <row r="30748">
      <c r="B30748" t="str">
        <v>Công an xã Vĩnh Hảo tỉnh Bình Thuận</v>
      </c>
      <c r="C30748" t="str">
        <v>-</v>
      </c>
      <c r="D30748" t="str">
        <v>-</v>
      </c>
      <c r="E30748" t="str">
        <v/>
      </c>
      <c r="F30748" t="str">
        <v>-</v>
      </c>
      <c r="G30748" t="str">
        <v>-</v>
      </c>
    </row>
    <row r="30749">
      <c r="B30749" t="str">
        <v>UBND Ủy ban nhân dân xã Vĩnh Hảo tỉnh Bình Thuận</v>
      </c>
      <c r="C30749" t="str">
        <v>-</v>
      </c>
      <c r="D30749" t="str">
        <v>-</v>
      </c>
      <c r="E30749" t="str">
        <v>-</v>
      </c>
      <c r="F30749" t="str">
        <v>-</v>
      </c>
      <c r="G30749" t="str">
        <v>-</v>
      </c>
    </row>
    <row r="30750">
      <c r="B30750" t="str">
        <v>Công an xã An Khánh tỉnh Thái Nguyên</v>
      </c>
      <c r="C30750" t="str">
        <v>-</v>
      </c>
      <c r="D30750" t="str">
        <v>-</v>
      </c>
      <c r="E30750" t="str">
        <v/>
      </c>
      <c r="F30750" t="str">
        <v>-</v>
      </c>
      <c r="G30750" t="str">
        <v>-</v>
      </c>
    </row>
    <row r="30751">
      <c r="B30751" t="str">
        <v>UBND Ủy ban nhân dân xã An Khánh tỉnh Thái Nguyên</v>
      </c>
      <c r="C30751" t="str">
        <v>-</v>
      </c>
      <c r="D30751" t="str">
        <v>-</v>
      </c>
      <c r="E30751" t="str">
        <v>-</v>
      </c>
      <c r="F30751" t="str">
        <v>-</v>
      </c>
      <c r="G30751" t="str">
        <v>-</v>
      </c>
    </row>
    <row r="30752" xml:space="preserve">
      <c r="B30752" t="str" xml:space="preserve">
        <v xml:space="preserve">Công an xã Gia Trung _x000d_
 tỉnh Ninh Bình</v>
      </c>
      <c r="C30752" t="str">
        <v>-</v>
      </c>
      <c r="D30752" t="str">
        <v>-</v>
      </c>
      <c r="E30752" t="str">
        <v/>
      </c>
      <c r="F30752" t="str">
        <v>-</v>
      </c>
      <c r="G30752" t="str">
        <v>-</v>
      </c>
    </row>
    <row r="30753" xml:space="preserve">
      <c r="B30753" t="str" xml:space="preserve">
        <v xml:space="preserve">UBND Ủy ban nhân dân xã Gia Trung _x000d_
 tỉnh Ninh Bình</v>
      </c>
      <c r="C30753" t="str">
        <v>-</v>
      </c>
      <c r="D30753" t="str">
        <v>-</v>
      </c>
      <c r="E30753" t="str">
        <v>-</v>
      </c>
      <c r="F30753" t="str">
        <v>-</v>
      </c>
      <c r="G30753" t="str">
        <v>-</v>
      </c>
    </row>
    <row r="30754">
      <c r="B30754" t="str">
        <v>Công an xã Mường Bú tỉnh Sơn La</v>
      </c>
      <c r="C30754" t="str">
        <v>-</v>
      </c>
      <c r="D30754" t="str">
        <v>-</v>
      </c>
      <c r="E30754" t="str">
        <v/>
      </c>
      <c r="F30754" t="str">
        <v>-</v>
      </c>
      <c r="G30754" t="str">
        <v>-</v>
      </c>
    </row>
    <row r="30755">
      <c r="B30755" t="str">
        <v>UBND Ủy ban nhân dân xã Mường Bú tỉnh Sơn La</v>
      </c>
      <c r="C30755" t="str">
        <v>-</v>
      </c>
      <c r="D30755" t="str">
        <v>-</v>
      </c>
      <c r="E30755" t="str">
        <v>-</v>
      </c>
      <c r="F30755" t="str">
        <v>-</v>
      </c>
      <c r="G30755" t="str">
        <v>-</v>
      </c>
    </row>
    <row r="30756" xml:space="preserve">
      <c r="B30756" t="str" xml:space="preserve">
        <v xml:space="preserve">Công an xã Quế Mỹ _x000d_
 tỉnh Quảng Nam</v>
      </c>
      <c r="C30756" t="str">
        <v>-</v>
      </c>
      <c r="D30756" t="str">
        <v>-</v>
      </c>
      <c r="E30756" t="str">
        <v/>
      </c>
      <c r="F30756" t="str">
        <v>-</v>
      </c>
      <c r="G30756" t="str">
        <v>-</v>
      </c>
    </row>
    <row r="30757" xml:space="preserve">
      <c r="B30757" t="str" xml:space="preserve">
        <v xml:space="preserve">UBND Ủy ban nhân dân xã Quế Mỹ _x000d_
 tỉnh Quảng Nam</v>
      </c>
      <c r="C30757" t="str">
        <v>-</v>
      </c>
      <c r="D30757" t="str">
        <v>-</v>
      </c>
      <c r="E30757" t="str">
        <v>-</v>
      </c>
      <c r="F30757" t="str">
        <v>-</v>
      </c>
      <c r="G30757" t="str">
        <v>-</v>
      </c>
    </row>
    <row r="30758" xml:space="preserve">
      <c r="B30758" t="str" xml:space="preserve">
        <v xml:space="preserve">Cảnh sát cơ động thành phố Hà Nội_x000d_
 thành phố Hà Nội</v>
      </c>
    </row>
    <row r="30759" xml:space="preserve">
      <c r="B30759" t="str" xml:space="preserve">
        <v xml:space="preserve">UBND Ủy ban nhân dânt cơ động thành phố Hà Nội_x000d_
 thành phố Hà Nội</v>
      </c>
      <c r="C30759" t="str">
        <v>-</v>
      </c>
      <c r="D30759" t="str">
        <v>-</v>
      </c>
      <c r="E30759" t="str">
        <v>-</v>
      </c>
      <c r="F30759" t="str">
        <v>-</v>
      </c>
      <c r="G30759" t="str">
        <v>-</v>
      </c>
    </row>
    <row r="30760" xml:space="preserve">
      <c r="B30760" t="str" xml:space="preserve">
        <v xml:space="preserve">Công an xã Phan Thanh _x000d_
 tỉnh Bình Thuận</v>
      </c>
      <c r="C30760" t="str">
        <v>-</v>
      </c>
      <c r="D30760" t="str">
        <v>-</v>
      </c>
      <c r="E30760" t="str">
        <v/>
      </c>
      <c r="F30760" t="str">
        <v>-</v>
      </c>
      <c r="G30760" t="str">
        <v>-</v>
      </c>
    </row>
    <row r="30761" xml:space="preserve">
      <c r="B30761" t="str" xml:space="preserve">
        <v xml:space="preserve">UBND Ủy ban nhân dân xã Phan Thanh _x000d_
 tỉnh Bình Thuận</v>
      </c>
      <c r="C30761" t="str">
        <v>-</v>
      </c>
      <c r="D30761" t="str">
        <v>-</v>
      </c>
      <c r="E30761" t="str">
        <v>-</v>
      </c>
      <c r="F30761" t="str">
        <v>-</v>
      </c>
      <c r="G30761" t="str">
        <v>-</v>
      </c>
    </row>
    <row r="30762">
      <c r="B30762" t="str">
        <v xml:space="preserve"> Công an huyện Phong Điền  thành phố Cần Thơ</v>
      </c>
    </row>
    <row r="30763">
      <c r="B30763" t="str">
        <v>UBND Ủy ban nhân dânn huyện Phong Điền  thành phố Cần Thơ</v>
      </c>
      <c r="C30763" t="str">
        <v>-</v>
      </c>
      <c r="D30763" t="str">
        <v>-</v>
      </c>
      <c r="E30763" t="str">
        <v>-</v>
      </c>
      <c r="F30763" t="str">
        <v>-</v>
      </c>
      <c r="G30763" t="str">
        <v>-</v>
      </c>
    </row>
    <row r="30764">
      <c r="B30764" t="str">
        <v>Công an xã Huổi Só tỉnh Điện Biên</v>
      </c>
      <c r="C30764" t="str">
        <v>-</v>
      </c>
      <c r="D30764" t="str">
        <v>-</v>
      </c>
      <c r="E30764" t="str">
        <v/>
      </c>
      <c r="F30764" t="str">
        <v>-</v>
      </c>
      <c r="G30764" t="str">
        <v>-</v>
      </c>
    </row>
    <row r="30765">
      <c r="B30765" t="str">
        <v>UBND Ủy ban nhân dân xã Huổi Só tỉnh Điện Biên</v>
      </c>
      <c r="C30765" t="str">
        <v>-</v>
      </c>
      <c r="D30765" t="str">
        <v>-</v>
      </c>
      <c r="E30765" t="str">
        <v>-</v>
      </c>
      <c r="F30765" t="str">
        <v>-</v>
      </c>
      <c r="G30765" t="str">
        <v>-</v>
      </c>
    </row>
    <row r="30766" xml:space="preserve">
      <c r="B30766" t="str" xml:space="preserve">
        <v xml:space="preserve">Công an xã Vụ Quang _x000d_
 tỉnh Phú Thọ</v>
      </c>
      <c r="C30766" t="str">
        <v>-</v>
      </c>
      <c r="D30766" t="str">
        <v>-</v>
      </c>
      <c r="E30766" t="str">
        <v/>
      </c>
      <c r="F30766" t="str">
        <v>-</v>
      </c>
      <c r="G30766" t="str">
        <v>-</v>
      </c>
    </row>
    <row r="30767" xml:space="preserve">
      <c r="B30767" t="str" xml:space="preserve">
        <v xml:space="preserve">UBND Ủy ban nhân dân xã Vụ Quang _x000d_
 tỉnh Phú Thọ</v>
      </c>
      <c r="C30767" t="str">
        <v>-</v>
      </c>
      <c r="D30767" t="str">
        <v>-</v>
      </c>
      <c r="E30767" t="str">
        <v>-</v>
      </c>
      <c r="F30767" t="str">
        <v>-</v>
      </c>
      <c r="G30767" t="str">
        <v>-</v>
      </c>
    </row>
    <row r="30768">
      <c r="B30768" t="str">
        <v>Công an xã Kim Nọi tỉnh Yên Bái</v>
      </c>
      <c r="C30768" t="str">
        <v>-</v>
      </c>
      <c r="D30768" t="str">
        <v>-</v>
      </c>
      <c r="E30768" t="str">
        <v/>
      </c>
      <c r="F30768" t="str">
        <v>-</v>
      </c>
      <c r="G30768" t="str">
        <v>-</v>
      </c>
    </row>
    <row r="30769">
      <c r="B30769" t="str">
        <v>UBND Ủy ban nhân dân xã Kim Nọi tỉnh Yên Bái</v>
      </c>
      <c r="C30769" t="str">
        <v>-</v>
      </c>
      <c r="D30769" t="str">
        <v>-</v>
      </c>
      <c r="E30769" t="str">
        <v>-</v>
      </c>
      <c r="F30769" t="str">
        <v>-</v>
      </c>
      <c r="G30769" t="str">
        <v>-</v>
      </c>
    </row>
    <row r="30770">
      <c r="B30770" t="str">
        <v>Công an tỉnh Gia Lai  tỉnh Gia Lai</v>
      </c>
      <c r="C30770" t="str">
        <v>-</v>
      </c>
      <c r="D30770" t="str">
        <v>-</v>
      </c>
      <c r="E30770" t="str">
        <v/>
      </c>
      <c r="F30770" t="str">
        <v>-</v>
      </c>
      <c r="G30770" t="str">
        <v>-</v>
      </c>
    </row>
    <row r="30771">
      <c r="B30771" t="str">
        <v>UBND Ủy ban nhân dân tỉnh Gia Lai  tỉnh Gia Lai</v>
      </c>
      <c r="C30771" t="str">
        <v>-</v>
      </c>
      <c r="D30771" t="str">
        <v>-</v>
      </c>
      <c r="E30771" t="str">
        <v>-</v>
      </c>
      <c r="F30771" t="str">
        <v>-</v>
      </c>
      <c r="G30771" t="str">
        <v>-</v>
      </c>
    </row>
    <row r="30772">
      <c r="B30772" t="str">
        <v>Công an xã Nguyệt Hoá tỉnh Trà Vinh</v>
      </c>
      <c r="C30772" t="str">
        <v>-</v>
      </c>
      <c r="D30772" t="str">
        <v>-</v>
      </c>
      <c r="E30772" t="str">
        <v/>
      </c>
      <c r="F30772" t="str">
        <v>-</v>
      </c>
      <c r="G30772" t="str">
        <v>-</v>
      </c>
    </row>
    <row r="30773">
      <c r="B30773" t="str">
        <v>UBND Ủy ban nhân dân xã Nguyệt Hoá tỉnh Trà Vinh</v>
      </c>
      <c r="C30773" t="str">
        <v>-</v>
      </c>
      <c r="D30773" t="str">
        <v>-</v>
      </c>
      <c r="E30773" t="str">
        <v>-</v>
      </c>
      <c r="F30773" t="str">
        <v>-</v>
      </c>
      <c r="G30773" t="str">
        <v>-</v>
      </c>
    </row>
    <row r="30774">
      <c r="B30774" t="str">
        <v>Công an xã Quảng Sơn  tỉnh Ninh Thuận</v>
      </c>
      <c r="C30774" t="str">
        <v>-</v>
      </c>
      <c r="D30774" t="str">
        <v>-</v>
      </c>
      <c r="E30774" t="str">
        <v/>
      </c>
      <c r="F30774" t="str">
        <v>-</v>
      </c>
      <c r="G30774" t="str">
        <v>-</v>
      </c>
    </row>
    <row r="30775">
      <c r="B30775" t="str">
        <v>UBND Ủy ban nhân dân xã Quảng Sơn  tỉnh Ninh Thuận</v>
      </c>
      <c r="C30775" t="str">
        <v>-</v>
      </c>
      <c r="D30775" t="str">
        <v>-</v>
      </c>
      <c r="E30775" t="str">
        <v>-</v>
      </c>
      <c r="F30775" t="str">
        <v>-</v>
      </c>
      <c r="G30775" t="str">
        <v>-</v>
      </c>
    </row>
    <row r="30776">
      <c r="B30776" t="str">
        <v>Công an tỉnh Phú Yên  tỉnh Phú Yên</v>
      </c>
      <c r="C30776" t="str">
        <v>-</v>
      </c>
      <c r="D30776" t="str">
        <v>-</v>
      </c>
      <c r="E30776" t="str">
        <v/>
      </c>
      <c r="F30776" t="str">
        <v>-</v>
      </c>
      <c r="G30776" t="str">
        <v>-</v>
      </c>
    </row>
    <row r="30777">
      <c r="B30777" t="str">
        <v>UBND Ủy ban nhân dân tỉnh Phú Yên  tỉnh Phú Yên</v>
      </c>
      <c r="C30777" t="str">
        <v>-</v>
      </c>
      <c r="D30777" t="str">
        <v>-</v>
      </c>
      <c r="E30777" t="str">
        <v>-</v>
      </c>
      <c r="F30777" t="str">
        <v>-</v>
      </c>
      <c r="G30777" t="str">
        <v>-</v>
      </c>
    </row>
    <row r="30778">
      <c r="B30778" t="str">
        <v>Công an xã Hải Yến tỉnh Thanh Hóa</v>
      </c>
      <c r="C30778" t="str">
        <v>-</v>
      </c>
      <c r="D30778" t="str">
        <v>-</v>
      </c>
      <c r="E30778" t="str">
        <v/>
      </c>
      <c r="F30778" t="str">
        <v>-</v>
      </c>
      <c r="G30778" t="str">
        <v>-</v>
      </c>
    </row>
    <row r="30779">
      <c r="B30779" t="str">
        <v>UBND Ủy ban nhân dân xã Hải Yến tỉnh Thanh Hóa</v>
      </c>
      <c r="C30779" t="str">
        <v>-</v>
      </c>
      <c r="D30779" t="str">
        <v>-</v>
      </c>
      <c r="E30779" t="str">
        <v>-</v>
      </c>
      <c r="F30779" t="str">
        <v>-</v>
      </c>
      <c r="G30779" t="str">
        <v>-</v>
      </c>
    </row>
    <row r="30780">
      <c r="B30780" t="str">
        <v>Công an huyện Thuận Châu  tỉnh Sơn La</v>
      </c>
      <c r="C30780" t="str">
        <v>-</v>
      </c>
      <c r="D30780" t="str">
        <v>-</v>
      </c>
      <c r="E30780" t="str">
        <v/>
      </c>
      <c r="F30780" t="str">
        <v>-</v>
      </c>
      <c r="G30780" t="str">
        <v>-</v>
      </c>
    </row>
    <row r="30781">
      <c r="B30781" t="str">
        <v>UBND Ủy ban nhân dân huyện Thuận Châu  tỉnh Sơn La</v>
      </c>
      <c r="C30781" t="str">
        <v>-</v>
      </c>
      <c r="D30781" t="str">
        <v>-</v>
      </c>
      <c r="E30781" t="str">
        <v>-</v>
      </c>
      <c r="F30781" t="str">
        <v>-</v>
      </c>
      <c r="G30781" t="str">
        <v>-</v>
      </c>
    </row>
    <row r="30782" xml:space="preserve">
      <c r="B30782" t="str" xml:space="preserve">
        <v xml:space="preserve">Công an xã Ia Tôr _x000d_
 tỉnh Gia Lai</v>
      </c>
      <c r="C30782" t="str">
        <v>-</v>
      </c>
      <c r="D30782" t="str">
        <v>-</v>
      </c>
      <c r="E30782" t="str">
        <v/>
      </c>
      <c r="F30782" t="str">
        <v>-</v>
      </c>
      <c r="G30782" t="str">
        <v>-</v>
      </c>
    </row>
    <row r="30783" xml:space="preserve">
      <c r="B30783" t="str" xml:space="preserve">
        <v xml:space="preserve">UBND Ủy ban nhân dân xã Ia Tôr _x000d_
 tỉnh Gia Lai</v>
      </c>
      <c r="C30783" t="str">
        <v>-</v>
      </c>
      <c r="D30783" t="str">
        <v>-</v>
      </c>
      <c r="E30783" t="str">
        <v>-</v>
      </c>
      <c r="F30783" t="str">
        <v>-</v>
      </c>
      <c r="G30783" t="str">
        <v>-</v>
      </c>
    </row>
    <row r="30784">
      <c r="B30784" t="str">
        <v>Công an tỉnh Bắc Kạn  tỉnh Bắc Kạn</v>
      </c>
      <c r="C30784" t="str">
        <v>-</v>
      </c>
      <c r="D30784" t="str">
        <v>-</v>
      </c>
      <c r="E30784" t="str">
        <v/>
      </c>
      <c r="F30784" t="str">
        <v>-</v>
      </c>
      <c r="G30784" t="str">
        <v>-</v>
      </c>
    </row>
    <row r="30785">
      <c r="B30785" t="str">
        <v>UBND Ủy ban nhân dân tỉnh Bắc Kạn  tỉnh Bắc Kạn</v>
      </c>
      <c r="C30785" t="str">
        <v>-</v>
      </c>
      <c r="D30785" t="str">
        <v>-</v>
      </c>
      <c r="E30785" t="str">
        <v>-</v>
      </c>
      <c r="F30785" t="str">
        <v>-</v>
      </c>
      <c r="G30785" t="str">
        <v>-</v>
      </c>
    </row>
    <row r="30786">
      <c r="B30786" t="str">
        <v>Công an thành phố Hồ Chí Minh thành phố Hồ Chí Minh</v>
      </c>
      <c r="C30786" t="str">
        <v>-</v>
      </c>
      <c r="D30786" t="str">
        <v>-</v>
      </c>
      <c r="E30786" t="str">
        <v/>
      </c>
      <c r="F30786" t="str">
        <v>-</v>
      </c>
      <c r="G30786" t="str">
        <v>-</v>
      </c>
    </row>
    <row r="30787">
      <c r="B30787" t="str">
        <v>UBND Ủy ban nhân dân thành phố Hồ Chí Minh thành phố Hồ Chí Minh</v>
      </c>
      <c r="C30787" t="str">
        <v>-</v>
      </c>
      <c r="D30787" t="str">
        <v>-</v>
      </c>
      <c r="E30787" t="str">
        <v>-</v>
      </c>
      <c r="F30787" t="str">
        <v>-</v>
      </c>
      <c r="G30787" t="str">
        <v>-</v>
      </c>
    </row>
    <row r="30788">
      <c r="B30788" t="str">
        <v>Công an xã Đỉnh Sơn  tỉnh Nghệ An</v>
      </c>
      <c r="C30788" t="str">
        <v>-</v>
      </c>
      <c r="D30788" t="str">
        <v>-</v>
      </c>
      <c r="E30788" t="str">
        <v/>
      </c>
      <c r="F30788" t="str">
        <v>-</v>
      </c>
      <c r="G30788" t="str">
        <v>-</v>
      </c>
    </row>
    <row r="30789">
      <c r="B30789" t="str">
        <v>UBND Ủy ban nhân dân xã Đỉnh Sơn  tỉnh Nghệ An</v>
      </c>
      <c r="C30789" t="str">
        <v>-</v>
      </c>
      <c r="D30789" t="str">
        <v>-</v>
      </c>
      <c r="E30789" t="str">
        <v>-</v>
      </c>
      <c r="F30789" t="str">
        <v>-</v>
      </c>
      <c r="G30789" t="str">
        <v>-</v>
      </c>
    </row>
    <row r="30790">
      <c r="B30790" t="str">
        <v>Công an xã Diễn Thịnh  tỉnh Nghệ An</v>
      </c>
      <c r="C30790" t="str">
        <v>-</v>
      </c>
      <c r="D30790" t="str">
        <v>-</v>
      </c>
      <c r="E30790" t="str">
        <v/>
      </c>
      <c r="F30790" t="str">
        <v>-</v>
      </c>
      <c r="G30790" t="str">
        <v>-</v>
      </c>
    </row>
    <row r="30791">
      <c r="B30791" t="str">
        <v>UBND Ủy ban nhân dân xã Diễn Thịnh  tỉnh Nghệ An</v>
      </c>
      <c r="C30791" t="str">
        <v>-</v>
      </c>
      <c r="D30791" t="str">
        <v>-</v>
      </c>
      <c r="E30791" t="str">
        <v>-</v>
      </c>
      <c r="F30791" t="str">
        <v>-</v>
      </c>
      <c r="G30791" t="str">
        <v>-</v>
      </c>
    </row>
    <row r="30792" xml:space="preserve">
      <c r="B30792" t="str" xml:space="preserve">
        <v xml:space="preserve">Công an xã Yang Trung _x000d_
 tỉnh Gia Lai</v>
      </c>
      <c r="C30792" t="str">
        <v>-</v>
      </c>
      <c r="D30792" t="str">
        <v>-</v>
      </c>
      <c r="E30792" t="str">
        <v/>
      </c>
      <c r="F30792" t="str">
        <v>-</v>
      </c>
      <c r="G30792" t="str">
        <v>-</v>
      </c>
    </row>
    <row r="30793" xml:space="preserve">
      <c r="B30793" t="str" xml:space="preserve">
        <v xml:space="preserve">UBND Ủy ban nhân dân xã Yang Trung _x000d_
 tỉnh Gia Lai</v>
      </c>
      <c r="C30793" t="str">
        <v>-</v>
      </c>
      <c r="D30793" t="str">
        <v>-</v>
      </c>
      <c r="E30793" t="str">
        <v>-</v>
      </c>
      <c r="F30793" t="str">
        <v>-</v>
      </c>
      <c r="G30793" t="str">
        <v>-</v>
      </c>
    </row>
    <row r="30794" xml:space="preserve">
      <c r="B30794" t="str" xml:space="preserve">
        <v xml:space="preserve">Công an xã Vĩnh Thủy _x000d_
 tỉnh Quảng Trị</v>
      </c>
      <c r="C30794" t="str">
        <v>-</v>
      </c>
      <c r="D30794" t="str">
        <v>-</v>
      </c>
      <c r="E30794" t="str">
        <v/>
      </c>
      <c r="F30794" t="str">
        <v>-</v>
      </c>
      <c r="G30794" t="str">
        <v>-</v>
      </c>
    </row>
    <row r="30795" xml:space="preserve">
      <c r="B30795" t="str" xml:space="preserve">
        <v xml:space="preserve">UBND Ủy ban nhân dân xã Vĩnh Thủy _x000d_
 tỉnh Quảng Trị</v>
      </c>
      <c r="C30795" t="str">
        <v>-</v>
      </c>
      <c r="D30795" t="str">
        <v>-</v>
      </c>
      <c r="E30795" t="str">
        <v>-</v>
      </c>
      <c r="F30795" t="str">
        <v>-</v>
      </c>
      <c r="G30795" t="str">
        <v>-</v>
      </c>
    </row>
    <row r="30796" xml:space="preserve">
      <c r="B30796" t="str" xml:space="preserve">
        <v xml:space="preserve">Công an xã An Khê _x000d_
 tỉnh Thái Bình</v>
      </c>
      <c r="C30796" t="str">
        <v>-</v>
      </c>
      <c r="D30796" t="str">
        <v>-</v>
      </c>
      <c r="E30796" t="str">
        <v/>
      </c>
      <c r="F30796" t="str">
        <v>-</v>
      </c>
      <c r="G30796" t="str">
        <v>-</v>
      </c>
    </row>
    <row r="30797" xml:space="preserve">
      <c r="B30797" t="str" xml:space="preserve">
        <v xml:space="preserve">UBND Ủy ban nhân dân xã An Khê _x000d_
 tỉnh Thái Bình</v>
      </c>
      <c r="C30797" t="str">
        <v>-</v>
      </c>
      <c r="D30797" t="str">
        <v>-</v>
      </c>
      <c r="E30797" t="str">
        <v>-</v>
      </c>
      <c r="F30797" t="str">
        <v>-</v>
      </c>
      <c r="G30797" t="str">
        <v>-</v>
      </c>
    </row>
    <row r="30798">
      <c r="B30798" t="str">
        <v>Công an xã Quảng Văn tỉnh Quảng Bình</v>
      </c>
      <c r="C30798" t="str">
        <v>-</v>
      </c>
      <c r="D30798" t="str">
        <v>-</v>
      </c>
      <c r="E30798" t="str">
        <v/>
      </c>
      <c r="F30798" t="str">
        <v>-</v>
      </c>
      <c r="G30798" t="str">
        <v>-</v>
      </c>
    </row>
    <row r="30799">
      <c r="B30799" t="str">
        <v>UBND Ủy ban nhân dân xã Quảng Văn tỉnh Quảng Bình</v>
      </c>
      <c r="C30799" t="str">
        <v>-</v>
      </c>
      <c r="D30799" t="str">
        <v>-</v>
      </c>
      <c r="E30799" t="str">
        <v>-</v>
      </c>
      <c r="F30799" t="str">
        <v>-</v>
      </c>
      <c r="G30799" t="str">
        <v>-</v>
      </c>
    </row>
    <row r="30800">
      <c r="B30800" t="str">
        <v>Công an huyện Thanh Oai  thành phố Hà Nội</v>
      </c>
      <c r="C30800" t="str">
        <v>-</v>
      </c>
      <c r="D30800" t="str">
        <v>-</v>
      </c>
      <c r="E30800" t="str">
        <v/>
      </c>
      <c r="F30800" t="str">
        <v>-</v>
      </c>
      <c r="G30800" t="str">
        <v>-</v>
      </c>
    </row>
    <row r="30801">
      <c r="B30801" t="str">
        <v>UBND Ủy ban nhân dân huyện Thanh Oai  thành phố Hà Nội</v>
      </c>
      <c r="C30801" t="str">
        <v>-</v>
      </c>
      <c r="D30801" t="str">
        <v>-</v>
      </c>
      <c r="E30801" t="str">
        <v>-</v>
      </c>
      <c r="F30801" t="str">
        <v>-</v>
      </c>
      <c r="G30801" t="str">
        <v>-</v>
      </c>
    </row>
    <row r="30802" xml:space="preserve">
      <c r="B30802" t="str" xml:space="preserve">
        <v xml:space="preserve">Công an xã Nam Thịnh _x000d_
 tỉnh Thái Bình</v>
      </c>
      <c r="C30802" t="str">
        <v>-</v>
      </c>
      <c r="D30802" t="str">
        <v>-</v>
      </c>
      <c r="E30802" t="str">
        <v/>
      </c>
      <c r="F30802" t="str">
        <v>-</v>
      </c>
      <c r="G30802" t="str">
        <v>-</v>
      </c>
    </row>
    <row r="30803" xml:space="preserve">
      <c r="B30803" t="str" xml:space="preserve">
        <v xml:space="preserve">UBND Ủy ban nhân dân xã Nam Thịnh _x000d_
 tỉnh Thái Bình</v>
      </c>
      <c r="C30803" t="str">
        <v>-</v>
      </c>
      <c r="D30803" t="str">
        <v>-</v>
      </c>
      <c r="E30803" t="str">
        <v>-</v>
      </c>
      <c r="F30803" t="str">
        <v>-</v>
      </c>
      <c r="G30803" t="str">
        <v>-</v>
      </c>
    </row>
    <row r="30804">
      <c r="B30804" t="str">
        <v>Công an xã Thạnh Thới Thuận  tỉnh Sóc Trăng</v>
      </c>
      <c r="C30804" t="str">
        <v>-</v>
      </c>
      <c r="D30804" t="str">
        <v>-</v>
      </c>
      <c r="E30804" t="str">
        <v/>
      </c>
      <c r="F30804" t="str">
        <v>-</v>
      </c>
      <c r="G30804" t="str">
        <v>-</v>
      </c>
    </row>
    <row r="30805">
      <c r="B30805" t="str">
        <v>UBND Ủy ban nhân dân xã Thạnh Thới Thuận  tỉnh Sóc Trăng</v>
      </c>
      <c r="C30805" t="str">
        <v>-</v>
      </c>
      <c r="D30805" t="str">
        <v>-</v>
      </c>
      <c r="E30805" t="str">
        <v>-</v>
      </c>
      <c r="F30805" t="str">
        <v>-</v>
      </c>
      <c r="G30805" t="str">
        <v>-</v>
      </c>
    </row>
    <row r="30806" xml:space="preserve">
      <c r="B30806" t="str" xml:space="preserve">
        <v xml:space="preserve">Công an xã Thanh Ngọc _x000d_
 tỉnh Nghệ An</v>
      </c>
      <c r="C30806" t="str">
        <v>-</v>
      </c>
      <c r="D30806" t="str">
        <v>-</v>
      </c>
      <c r="E30806" t="str">
        <v/>
      </c>
      <c r="F30806" t="str">
        <v>-</v>
      </c>
      <c r="G30806" t="str">
        <v>-</v>
      </c>
    </row>
    <row r="30807" xml:space="preserve">
      <c r="B30807" t="str" xml:space="preserve">
        <v xml:space="preserve">UBND Ủy ban nhân dân xã Thanh Ngọc _x000d_
 tỉnh Nghệ An</v>
      </c>
      <c r="C30807" t="str">
        <v>-</v>
      </c>
      <c r="D30807" t="str">
        <v>-</v>
      </c>
      <c r="E30807" t="str">
        <v>-</v>
      </c>
      <c r="F30807" t="str">
        <v>-</v>
      </c>
      <c r="G30807" t="str">
        <v>-</v>
      </c>
    </row>
    <row r="30808">
      <c r="B30808" t="str">
        <v>Công an phường Quang Vinh tỉnh Thái Nguyên</v>
      </c>
      <c r="C30808" t="str">
        <v>-</v>
      </c>
      <c r="D30808" t="str">
        <v>-</v>
      </c>
      <c r="E30808" t="str">
        <v/>
      </c>
      <c r="F30808" t="str">
        <v>-</v>
      </c>
      <c r="G30808" t="str">
        <v>-</v>
      </c>
    </row>
    <row r="30809">
      <c r="B30809" t="str">
        <v>UBND Ủy ban nhân dân phường Quang Vinh tỉnh Thái Nguyên</v>
      </c>
      <c r="C30809" t="str">
        <v>-</v>
      </c>
      <c r="D30809" t="str">
        <v>-</v>
      </c>
      <c r="E30809" t="str">
        <v>-</v>
      </c>
      <c r="F30809" t="str">
        <v>-</v>
      </c>
      <c r="G30809" t="str">
        <v>-</v>
      </c>
    </row>
    <row r="30810" xml:space="preserve">
      <c r="B30810" t="str" xml:space="preserve">
        <v xml:space="preserve">Công an phường Bảo An _x000d_
 tỉnh Ninh Thuận</v>
      </c>
      <c r="C30810" t="str">
        <v>-</v>
      </c>
      <c r="D30810" t="str">
        <v>-</v>
      </c>
      <c r="E30810" t="str">
        <v/>
      </c>
      <c r="F30810" t="str">
        <v>-</v>
      </c>
      <c r="G30810" t="str">
        <v>-</v>
      </c>
    </row>
    <row r="30811" xml:space="preserve">
      <c r="B30811" t="str" xml:space="preserve">
        <v xml:space="preserve">UBND Ủy ban nhân dân phường Bảo An _x000d_
 tỉnh Ninh Thuận</v>
      </c>
      <c r="C30811" t="str">
        <v>-</v>
      </c>
      <c r="D30811" t="str">
        <v>-</v>
      </c>
      <c r="E30811" t="str">
        <v>-</v>
      </c>
      <c r="F30811" t="str">
        <v>-</v>
      </c>
      <c r="G30811" t="str">
        <v>-</v>
      </c>
    </row>
    <row r="30812">
      <c r="B30812" t="str">
        <v>Công an xã Phú Xuân tỉnh Thái Bình</v>
      </c>
      <c r="C30812" t="str">
        <v>-</v>
      </c>
      <c r="D30812" t="str">
        <v>-</v>
      </c>
      <c r="E30812" t="str">
        <v/>
      </c>
      <c r="F30812" t="str">
        <v>-</v>
      </c>
      <c r="G30812" t="str">
        <v>-</v>
      </c>
    </row>
    <row r="30813">
      <c r="B30813" t="str">
        <v>UBND Ủy ban nhân dân xã Phú Xuân tỉnh Thái Bình</v>
      </c>
      <c r="C30813" t="str">
        <v>-</v>
      </c>
      <c r="D30813" t="str">
        <v>-</v>
      </c>
      <c r="E30813" t="str">
        <v>-</v>
      </c>
      <c r="F30813" t="str">
        <v>-</v>
      </c>
      <c r="G30813" t="str">
        <v>-</v>
      </c>
    </row>
    <row r="30814" xml:space="preserve">
      <c r="B30814" t="str" xml:space="preserve">
        <v xml:space="preserve">Công an xã Lam Sơn _x000d_
 tỉnh Phú Thọ</v>
      </c>
      <c r="C30814" t="str">
        <v>-</v>
      </c>
      <c r="D30814" t="str">
        <v>-</v>
      </c>
      <c r="E30814" t="str">
        <v/>
      </c>
      <c r="F30814" t="str">
        <v>-</v>
      </c>
      <c r="G30814" t="str">
        <v>-</v>
      </c>
    </row>
    <row r="30815" xml:space="preserve">
      <c r="B30815" t="str" xml:space="preserve">
        <v xml:space="preserve">UBND Ủy ban nhân dân xã Lam Sơn _x000d_
 tỉnh Phú Thọ</v>
      </c>
      <c r="C30815" t="str">
        <v>-</v>
      </c>
      <c r="D30815" t="str">
        <v>-</v>
      </c>
      <c r="E30815" t="str">
        <v>-</v>
      </c>
      <c r="F30815" t="str">
        <v>-</v>
      </c>
      <c r="G30815" t="str">
        <v>-</v>
      </c>
    </row>
    <row r="30816" xml:space="preserve">
      <c r="B30816" t="str" xml:space="preserve">
        <v xml:space="preserve">Công an xã Mỹ An _x000d_
 tỉnh Vĩnh Long</v>
      </c>
      <c r="C30816" t="str">
        <v>-</v>
      </c>
      <c r="D30816" t="str">
        <v>-</v>
      </c>
      <c r="E30816" t="str">
        <v/>
      </c>
      <c r="F30816" t="str">
        <v>-</v>
      </c>
      <c r="G30816" t="str">
        <v>-</v>
      </c>
    </row>
    <row r="30817" xml:space="preserve">
      <c r="B30817" t="str" xml:space="preserve">
        <v xml:space="preserve">UBND Ủy ban nhân dân xã Mỹ An _x000d_
 tỉnh Vĩnh Long</v>
      </c>
      <c r="C30817" t="str">
        <v>-</v>
      </c>
      <c r="D30817" t="str">
        <v>-</v>
      </c>
      <c r="E30817" t="str">
        <v>-</v>
      </c>
      <c r="F30817" t="str">
        <v>-</v>
      </c>
      <c r="G30817" t="str">
        <v>-</v>
      </c>
    </row>
    <row r="30818">
      <c r="B30818" t="str">
        <v>Công an huyện Bắc Yên tỉnh Sơn La</v>
      </c>
      <c r="C30818" t="str">
        <v>-</v>
      </c>
      <c r="D30818" t="str">
        <v>-</v>
      </c>
      <c r="E30818" t="str">
        <v/>
      </c>
      <c r="F30818" t="str">
        <v>-</v>
      </c>
      <c r="G30818" t="str">
        <v>-</v>
      </c>
    </row>
    <row r="30819">
      <c r="B30819" t="str">
        <v>UBND Ủy ban nhân dân huyện Bắc Yên tỉnh Sơn La</v>
      </c>
      <c r="C30819" t="str">
        <v>-</v>
      </c>
      <c r="D30819" t="str">
        <v>-</v>
      </c>
      <c r="E30819" t="str">
        <v>-</v>
      </c>
      <c r="F30819" t="str">
        <v>-</v>
      </c>
      <c r="G30819" t="str">
        <v>-</v>
      </c>
    </row>
    <row r="30820" xml:space="preserve">
      <c r="B30820" t="str" xml:space="preserve">
        <v xml:space="preserve">Công an xã Nam Xuân _x000d_
 tỉnh Nghệ An</v>
      </c>
      <c r="C30820" t="str">
        <v>-</v>
      </c>
      <c r="D30820" t="str">
        <v>-</v>
      </c>
      <c r="E30820" t="str">
        <v/>
      </c>
      <c r="F30820" t="str">
        <v>-</v>
      </c>
      <c r="G30820" t="str">
        <v>-</v>
      </c>
    </row>
    <row r="30821" xml:space="preserve">
      <c r="B30821" t="str" xml:space="preserve">
        <v xml:space="preserve">UBND Ủy ban nhân dân xã Nam Xuân _x000d_
 tỉnh Nghệ An</v>
      </c>
      <c r="C30821" t="str">
        <v>-</v>
      </c>
      <c r="D30821" t="str">
        <v>-</v>
      </c>
      <c r="E30821" t="str">
        <v>-</v>
      </c>
      <c r="F30821" t="str">
        <v>-</v>
      </c>
      <c r="G30821" t="str">
        <v>-</v>
      </c>
    </row>
    <row r="30822">
      <c r="B30822" t="str">
        <v>Công an xã Khánh An  tỉnh Ninh Bình</v>
      </c>
      <c r="C30822" t="str">
        <v>-</v>
      </c>
      <c r="D30822" t="str">
        <v>-</v>
      </c>
      <c r="E30822" t="str">
        <v/>
      </c>
      <c r="F30822" t="str">
        <v>-</v>
      </c>
      <c r="G30822" t="str">
        <v>-</v>
      </c>
    </row>
    <row r="30823">
      <c r="B30823" t="str">
        <v>UBND Ủy ban nhân dân xã Khánh An  tỉnh Ninh Bình</v>
      </c>
      <c r="C30823" t="str">
        <v>-</v>
      </c>
      <c r="D30823" t="str">
        <v>-</v>
      </c>
      <c r="E30823" t="str">
        <v>-</v>
      </c>
      <c r="F30823" t="str">
        <v>-</v>
      </c>
      <c r="G30823" t="str">
        <v>-</v>
      </c>
    </row>
    <row r="30824">
      <c r="B30824" t="str">
        <v>Công an xã Diễn Ngọc tỉnh Nghệ An</v>
      </c>
      <c r="C30824" t="str">
        <v>-</v>
      </c>
      <c r="D30824" t="str">
        <v>-</v>
      </c>
      <c r="E30824" t="str">
        <v/>
      </c>
      <c r="F30824" t="str">
        <v>-</v>
      </c>
      <c r="G30824" t="str">
        <v>-</v>
      </c>
    </row>
    <row r="30825">
      <c r="B30825" t="str">
        <v>UBND Ủy ban nhân dân xã Diễn Ngọc tỉnh Nghệ An</v>
      </c>
      <c r="C30825" t="str">
        <v>-</v>
      </c>
      <c r="D30825" t="str">
        <v>-</v>
      </c>
      <c r="E30825" t="str">
        <v>-</v>
      </c>
      <c r="F30825" t="str">
        <v>-</v>
      </c>
      <c r="G30825" t="str">
        <v>-</v>
      </c>
    </row>
    <row r="30826">
      <c r="B30826" t="str">
        <v>Công an xã Xuân Phúc tỉnh Thanh Hóa</v>
      </c>
      <c r="C30826" t="str">
        <v>-</v>
      </c>
      <c r="D30826" t="str">
        <v>-</v>
      </c>
      <c r="E30826" t="str">
        <v/>
      </c>
      <c r="F30826" t="str">
        <v>-</v>
      </c>
      <c r="G30826" t="str">
        <v>-</v>
      </c>
    </row>
    <row r="30827">
      <c r="B30827" t="str">
        <v>UBND Ủy ban nhân dân xã Xuân Phúc tỉnh Thanh Hóa</v>
      </c>
      <c r="C30827" t="str">
        <v>-</v>
      </c>
      <c r="D30827" t="str">
        <v>-</v>
      </c>
      <c r="E30827" t="str">
        <v>-</v>
      </c>
      <c r="F30827" t="str">
        <v>-</v>
      </c>
      <c r="G30827" t="str">
        <v>-</v>
      </c>
    </row>
    <row r="30828">
      <c r="B30828" t="str">
        <v>Công an xã Vũ Vinh tỉnh Thái Bình</v>
      </c>
      <c r="C30828" t="str">
        <v>-</v>
      </c>
      <c r="D30828" t="str">
        <v>-</v>
      </c>
      <c r="E30828" t="str">
        <v/>
      </c>
      <c r="F30828" t="str">
        <v>-</v>
      </c>
      <c r="G30828" t="str">
        <v>-</v>
      </c>
    </row>
    <row r="30829">
      <c r="B30829" t="str">
        <v>UBND Ủy ban nhân dân xã Vũ Vinh tỉnh Thái Bình</v>
      </c>
      <c r="C30829" t="str">
        <v>-</v>
      </c>
      <c r="D30829" t="str">
        <v>-</v>
      </c>
      <c r="E30829" t="str">
        <v>-</v>
      </c>
      <c r="F30829" t="str">
        <v>-</v>
      </c>
      <c r="G30829" t="str">
        <v>-</v>
      </c>
    </row>
    <row r="30830" xml:space="preserve">
      <c r="B30830" t="str" xml:space="preserve">
        <v xml:space="preserve">Công an xã Vũ Di _x000d_
 tỉnh Vĩnh Phúc</v>
      </c>
      <c r="C30830" t="str">
        <v>-</v>
      </c>
      <c r="D30830" t="str">
        <v>-</v>
      </c>
      <c r="E30830" t="str">
        <v/>
      </c>
      <c r="F30830" t="str">
        <v>-</v>
      </c>
      <c r="G30830" t="str">
        <v>-</v>
      </c>
    </row>
    <row r="30831" xml:space="preserve">
      <c r="B30831" t="str" xml:space="preserve">
        <v xml:space="preserve">UBND Ủy ban nhân dân xã Vũ Di _x000d_
 tỉnh Vĩnh Phúc</v>
      </c>
      <c r="C30831" t="str">
        <v>-</v>
      </c>
      <c r="D30831" t="str">
        <v>-</v>
      </c>
      <c r="E30831" t="str">
        <v>-</v>
      </c>
      <c r="F30831" t="str">
        <v>-</v>
      </c>
      <c r="G30831" t="str">
        <v>-</v>
      </c>
    </row>
    <row r="30832" xml:space="preserve">
      <c r="B30832" t="str" xml:space="preserve">
        <v xml:space="preserve">Công an xã Yang Nam _x000d_
 tỉnh Gia Lai</v>
      </c>
      <c r="C30832" t="str">
        <v>-</v>
      </c>
      <c r="D30832" t="str">
        <v>-</v>
      </c>
      <c r="E30832" t="str">
        <v/>
      </c>
      <c r="F30832" t="str">
        <v>-</v>
      </c>
      <c r="G30832" t="str">
        <v>-</v>
      </c>
    </row>
    <row r="30833" xml:space="preserve">
      <c r="B30833" t="str" xml:space="preserve">
        <v xml:space="preserve">UBND Ủy ban nhân dân xã Yang Nam _x000d_
 tỉnh Gia Lai</v>
      </c>
      <c r="C30833" t="str">
        <v>-</v>
      </c>
      <c r="D30833" t="str">
        <v>-</v>
      </c>
      <c r="E30833" t="str">
        <v>-</v>
      </c>
      <c r="F30833" t="str">
        <v>-</v>
      </c>
      <c r="G30833" t="str">
        <v>-</v>
      </c>
    </row>
    <row r="30834">
      <c r="B30834" t="str">
        <v>Công an xã Quất Lưu  tỉnh Vĩnh Phúc</v>
      </c>
      <c r="C30834" t="str">
        <v>-</v>
      </c>
      <c r="D30834" t="str">
        <v>-</v>
      </c>
      <c r="E30834" t="str">
        <v/>
      </c>
      <c r="F30834" t="str">
        <v>-</v>
      </c>
      <c r="G30834" t="str">
        <v>-</v>
      </c>
    </row>
    <row r="30835">
      <c r="B30835" t="str">
        <v>UBND Ủy ban nhân dân xã Quất Lưu  tỉnh Vĩnh Phúc</v>
      </c>
      <c r="C30835" t="str">
        <v>-</v>
      </c>
      <c r="D30835" t="str">
        <v>-</v>
      </c>
      <c r="E30835" t="str">
        <v>-</v>
      </c>
      <c r="F30835" t="str">
        <v>-</v>
      </c>
      <c r="G30835" t="str">
        <v>-</v>
      </c>
    </row>
    <row r="30836">
      <c r="B30836" t="str">
        <v>Công an huyện Thạch Hà tỉnh Hà Tĩnh</v>
      </c>
      <c r="C30836" t="str">
        <v>-</v>
      </c>
      <c r="D30836" t="str">
        <v>-</v>
      </c>
      <c r="E30836" t="str">
        <v/>
      </c>
      <c r="F30836" t="str">
        <v>-</v>
      </c>
      <c r="G30836" t="str">
        <v>-</v>
      </c>
    </row>
    <row r="30837">
      <c r="B30837" t="str">
        <v>UBND Ủy ban nhân dân huyện Thạch Hà tỉnh Hà Tĩnh</v>
      </c>
      <c r="C30837" t="str">
        <v>-</v>
      </c>
      <c r="D30837" t="str">
        <v>-</v>
      </c>
      <c r="E30837" t="str">
        <v>-</v>
      </c>
      <c r="F30837" t="str">
        <v>-</v>
      </c>
      <c r="G30837" t="str">
        <v>-</v>
      </c>
    </row>
    <row r="30838">
      <c r="B30838" t="str">
        <v>Công an huyện Mỹ Tú tỉnh Sóc Trăng</v>
      </c>
      <c r="C30838" t="str">
        <v>-</v>
      </c>
      <c r="D30838" t="str">
        <v>-</v>
      </c>
      <c r="E30838" t="str">
        <v/>
      </c>
      <c r="F30838" t="str">
        <v>-</v>
      </c>
      <c r="G30838" t="str">
        <v>-</v>
      </c>
    </row>
    <row r="30839">
      <c r="B30839" t="str">
        <v>UBND Ủy ban nhân dân huyện Mỹ Tú tỉnh Sóc Trăng</v>
      </c>
      <c r="C30839" t="str">
        <v>-</v>
      </c>
      <c r="D30839" t="str">
        <v>-</v>
      </c>
      <c r="E30839" t="str">
        <v>-</v>
      </c>
      <c r="F30839" t="str">
        <v>-</v>
      </c>
      <c r="G30839" t="str">
        <v>-</v>
      </c>
    </row>
    <row r="30840">
      <c r="B30840" t="str">
        <v>Công an xã Bình Sơn tỉnh Nghệ An</v>
      </c>
      <c r="C30840" t="str">
        <v>-</v>
      </c>
      <c r="D30840" t="str">
        <v>-</v>
      </c>
      <c r="E30840" t="str">
        <v/>
      </c>
      <c r="F30840" t="str">
        <v>-</v>
      </c>
      <c r="G30840" t="str">
        <v>-</v>
      </c>
    </row>
    <row r="30841">
      <c r="B30841" t="str">
        <v>UBND Ủy ban nhân dân xã Bình Sơn tỉnh Nghệ An</v>
      </c>
      <c r="C30841" t="str">
        <v>-</v>
      </c>
      <c r="D30841" t="str">
        <v>-</v>
      </c>
      <c r="E30841" t="str">
        <v>-</v>
      </c>
      <c r="F30841" t="str">
        <v>-</v>
      </c>
      <c r="G30841" t="str">
        <v>-</v>
      </c>
    </row>
    <row r="30842">
      <c r="B30842" t="str">
        <v>Công an xã Đông Phú tỉnh Bắc Giang</v>
      </c>
      <c r="C30842" t="str">
        <v>-</v>
      </c>
      <c r="D30842" t="str">
        <v>-</v>
      </c>
      <c r="E30842" t="str">
        <v/>
      </c>
      <c r="F30842" t="str">
        <v>-</v>
      </c>
      <c r="G30842" t="str">
        <v>-</v>
      </c>
    </row>
    <row r="30843">
      <c r="B30843" t="str">
        <v>UBND Ủy ban nhân dân xã Đông Phú tỉnh Bắc Giang</v>
      </c>
      <c r="C30843" t="str">
        <v>-</v>
      </c>
      <c r="D30843" t="str">
        <v>-</v>
      </c>
      <c r="E30843" t="str">
        <v>-</v>
      </c>
      <c r="F30843" t="str">
        <v>-</v>
      </c>
      <c r="G30843" t="str">
        <v>-</v>
      </c>
    </row>
    <row r="30844" xml:space="preserve">
      <c r="B30844" t="str" xml:space="preserve">
        <v xml:space="preserve">Công an xã Yên Thọ _x000d_
 tỉnh Thanh Hóa</v>
      </c>
      <c r="C30844" t="str">
        <v>-</v>
      </c>
      <c r="D30844" t="str">
        <v>-</v>
      </c>
      <c r="E30844" t="str">
        <v/>
      </c>
      <c r="F30844" t="str">
        <v>-</v>
      </c>
      <c r="G30844" t="str">
        <v>-</v>
      </c>
    </row>
    <row r="30845" xml:space="preserve">
      <c r="B30845" t="str" xml:space="preserve">
        <v xml:space="preserve">UBND Ủy ban nhân dân xã Yên Thọ _x000d_
 tỉnh Thanh Hóa</v>
      </c>
      <c r="C30845" t="str">
        <v>-</v>
      </c>
      <c r="D30845" t="str">
        <v>-</v>
      </c>
      <c r="E30845" t="str">
        <v>-</v>
      </c>
      <c r="F30845" t="str">
        <v>-</v>
      </c>
      <c r="G30845" t="str">
        <v>-</v>
      </c>
    </row>
    <row r="30846">
      <c r="B30846" t="str">
        <v>Công an xã Cẩm Ngọc tỉnh Thanh Hóa</v>
      </c>
      <c r="C30846" t="str">
        <v>-</v>
      </c>
      <c r="D30846" t="str">
        <v>-</v>
      </c>
      <c r="E30846" t="str">
        <v/>
      </c>
      <c r="F30846" t="str">
        <v>-</v>
      </c>
      <c r="G30846" t="str">
        <v>-</v>
      </c>
    </row>
    <row r="30847">
      <c r="B30847" t="str">
        <v>UBND Ủy ban nhân dân xã Cẩm Ngọc tỉnh Thanh Hóa</v>
      </c>
      <c r="C30847" t="str">
        <v>-</v>
      </c>
      <c r="D30847" t="str">
        <v>-</v>
      </c>
      <c r="E30847" t="str">
        <v>-</v>
      </c>
      <c r="F30847" t="str">
        <v>-</v>
      </c>
      <c r="G30847" t="str">
        <v>-</v>
      </c>
    </row>
    <row r="30848" xml:space="preserve">
      <c r="B30848" t="str" xml:space="preserve">
        <v xml:space="preserve">Công an xã Hoàng Đan _x000d_
 tỉnh Vĩnh Phúc</v>
      </c>
      <c r="C30848" t="str">
        <v>-</v>
      </c>
      <c r="D30848" t="str">
        <v>-</v>
      </c>
      <c r="E30848" t="str">
        <v/>
      </c>
      <c r="F30848" t="str">
        <v>-</v>
      </c>
      <c r="G30848" t="str">
        <v>-</v>
      </c>
    </row>
    <row r="30849" xml:space="preserve">
      <c r="B30849" t="str" xml:space="preserve">
        <v xml:space="preserve">UBND Ủy ban nhân dân xã Hoàng Đan _x000d_
 tỉnh Vĩnh Phúc</v>
      </c>
      <c r="C30849" t="str">
        <v>-</v>
      </c>
      <c r="D30849" t="str">
        <v>-</v>
      </c>
      <c r="E30849" t="str">
        <v>-</v>
      </c>
      <c r="F30849" t="str">
        <v>-</v>
      </c>
      <c r="G30849" t="str">
        <v>-</v>
      </c>
    </row>
    <row r="30850">
      <c r="B30850" t="str">
        <v>Công an xã Thành Tâm tỉnh Thanh Hóa</v>
      </c>
      <c r="C30850" t="str">
        <v>-</v>
      </c>
      <c r="D30850" t="str">
        <v>-</v>
      </c>
      <c r="E30850" t="str">
        <v/>
      </c>
      <c r="F30850" t="str">
        <v>-</v>
      </c>
      <c r="G30850" t="str">
        <v>-</v>
      </c>
    </row>
    <row r="30851">
      <c r="B30851" t="str">
        <v>UBND Ủy ban nhân dân xã Thành Tâm tỉnh Thanh Hóa</v>
      </c>
      <c r="C30851" t="str">
        <v>-</v>
      </c>
      <c r="D30851" t="str">
        <v>-</v>
      </c>
      <c r="E30851" t="str">
        <v>-</v>
      </c>
      <c r="F30851" t="str">
        <v>-</v>
      </c>
      <c r="G30851" t="str">
        <v>-</v>
      </c>
    </row>
    <row r="30852" xml:space="preserve">
      <c r="B30852" t="str" xml:space="preserve">
        <v xml:space="preserve">Công an xã Kim Định _x000d_
 tỉnh Hải Dương</v>
      </c>
      <c r="C30852" t="str">
        <v>-</v>
      </c>
      <c r="D30852" t="str">
        <v>-</v>
      </c>
      <c r="E30852" t="str">
        <v/>
      </c>
      <c r="F30852" t="str">
        <v>-</v>
      </c>
      <c r="G30852" t="str">
        <v>-</v>
      </c>
    </row>
    <row r="30853" xml:space="preserve">
      <c r="B30853" t="str" xml:space="preserve">
        <v xml:space="preserve">UBND Ủy ban nhân dân xã Kim Định _x000d_
 tỉnh Hải Dương</v>
      </c>
      <c r="C30853" t="str">
        <v>-</v>
      </c>
      <c r="D30853" t="str">
        <v>-</v>
      </c>
      <c r="E30853" t="str">
        <v>-</v>
      </c>
      <c r="F30853" t="str">
        <v>-</v>
      </c>
      <c r="G30853" t="str">
        <v>-</v>
      </c>
    </row>
    <row r="30854">
      <c r="B30854" t="str">
        <v>Công an phường Phú Sơn tỉnh Thanh Hóa</v>
      </c>
      <c r="C30854" t="str">
        <v>-</v>
      </c>
      <c r="D30854" t="str">
        <v>-</v>
      </c>
      <c r="E30854" t="str">
        <v/>
      </c>
      <c r="F30854" t="str">
        <v>-</v>
      </c>
      <c r="G30854" t="str">
        <v>-</v>
      </c>
    </row>
    <row r="30855">
      <c r="B30855" t="str">
        <v>UBND Ủy ban nhân dân phường Phú Sơn tỉnh Thanh Hóa</v>
      </c>
      <c r="C30855" t="str">
        <v>-</v>
      </c>
      <c r="D30855" t="str">
        <v>-</v>
      </c>
      <c r="E30855" t="str">
        <v>-</v>
      </c>
      <c r="F30855" t="str">
        <v>-</v>
      </c>
      <c r="G30855" t="str">
        <v>-</v>
      </c>
    </row>
    <row r="30856">
      <c r="B30856" t="str">
        <v>Công an xã Nam Phúc Thăng  tỉnh Hà Tĩnh</v>
      </c>
      <c r="C30856" t="str">
        <v>-</v>
      </c>
      <c r="D30856" t="str">
        <v>-</v>
      </c>
      <c r="E30856" t="str">
        <v/>
      </c>
      <c r="F30856" t="str">
        <v>-</v>
      </c>
      <c r="G30856" t="str">
        <v>-</v>
      </c>
    </row>
    <row r="30857">
      <c r="B30857" t="str">
        <v>UBND Ủy ban nhân dân xã Nam Phúc Thăng  tỉnh Hà Tĩnh</v>
      </c>
      <c r="C30857" t="str">
        <v>-</v>
      </c>
      <c r="D30857" t="str">
        <v>-</v>
      </c>
      <c r="E30857" t="str">
        <v>-</v>
      </c>
      <c r="F30857" t="str">
        <v>-</v>
      </c>
      <c r="G30857" t="str">
        <v>-</v>
      </c>
    </row>
    <row r="30858" xml:space="preserve">
      <c r="B30858" t="str" xml:space="preserve">
        <v xml:space="preserve">Công an xã Sơn Trà _x000d_
 tỉnh Hà Tĩnh</v>
      </c>
      <c r="C30858" t="str">
        <v>-</v>
      </c>
      <c r="D30858" t="str">
        <v>-</v>
      </c>
      <c r="E30858" t="str">
        <v/>
      </c>
      <c r="F30858" t="str">
        <v>-</v>
      </c>
      <c r="G30858" t="str">
        <v>-</v>
      </c>
    </row>
    <row r="30859" xml:space="preserve">
      <c r="B30859" t="str" xml:space="preserve">
        <v xml:space="preserve">UBND Ủy ban nhân dân xã Sơn Trà _x000d_
 tỉnh Hà Tĩnh</v>
      </c>
      <c r="C30859" t="str">
        <v>-</v>
      </c>
      <c r="D30859" t="str">
        <v>-</v>
      </c>
      <c r="E30859" t="str">
        <v>-</v>
      </c>
      <c r="F30859" t="str">
        <v>-</v>
      </c>
      <c r="G30859" t="str">
        <v>-</v>
      </c>
    </row>
    <row r="30860">
      <c r="B30860" t="str">
        <v>Công an xã Tùng Châu tỉnh Hà Tĩnh</v>
      </c>
      <c r="C30860" t="str">
        <v>-</v>
      </c>
      <c r="D30860" t="str">
        <v>-</v>
      </c>
      <c r="E30860" t="str">
        <v/>
      </c>
      <c r="F30860" t="str">
        <v>-</v>
      </c>
      <c r="G30860" t="str">
        <v>-</v>
      </c>
    </row>
    <row r="30861">
      <c r="B30861" t="str">
        <v>UBND Ủy ban nhân dân xã Tùng Châu tỉnh Hà Tĩnh</v>
      </c>
      <c r="C30861" t="str">
        <v>-</v>
      </c>
      <c r="D30861" t="str">
        <v>-</v>
      </c>
      <c r="E30861" t="str">
        <v>-</v>
      </c>
      <c r="F30861" t="str">
        <v>-</v>
      </c>
      <c r="G30861" t="str">
        <v>-</v>
      </c>
    </row>
    <row r="30862">
      <c r="B30862" t="str">
        <v>Công an xã Khổng Lào tỉnh Lai Châu</v>
      </c>
      <c r="C30862" t="str">
        <v>-</v>
      </c>
      <c r="D30862" t="str">
        <v>-</v>
      </c>
      <c r="E30862" t="str">
        <v/>
      </c>
      <c r="F30862" t="str">
        <v>-</v>
      </c>
      <c r="G30862" t="str">
        <v>-</v>
      </c>
    </row>
    <row r="30863">
      <c r="B30863" t="str">
        <v>UBND Ủy ban nhân dân xã Khổng Lào tỉnh Lai Châu</v>
      </c>
      <c r="C30863" t="str">
        <v>-</v>
      </c>
      <c r="D30863" t="str">
        <v>-</v>
      </c>
      <c r="E30863" t="str">
        <v>-</v>
      </c>
      <c r="F30863" t="str">
        <v>-</v>
      </c>
      <c r="G30863" t="str">
        <v>-</v>
      </c>
    </row>
    <row r="30864">
      <c r="B30864" t="str">
        <v>Công an xã Lạc Sơn  tỉnh Nghệ An</v>
      </c>
      <c r="C30864" t="str">
        <v>-</v>
      </c>
      <c r="D30864" t="str">
        <v>-</v>
      </c>
      <c r="E30864" t="str">
        <v/>
      </c>
      <c r="F30864" t="str">
        <v>-</v>
      </c>
      <c r="G30864" t="str">
        <v>-</v>
      </c>
    </row>
    <row r="30865">
      <c r="B30865" t="str">
        <v>UBND Ủy ban nhân dân xã Lạc Sơn  tỉnh Nghệ An</v>
      </c>
      <c r="C30865" t="str">
        <v>-</v>
      </c>
      <c r="D30865" t="str">
        <v>-</v>
      </c>
      <c r="E30865" t="str">
        <v>-</v>
      </c>
      <c r="F30865" t="str">
        <v>-</v>
      </c>
      <c r="G30865" t="str">
        <v>-</v>
      </c>
    </row>
    <row r="30866">
      <c r="B30866" t="str">
        <v>Công an huyện Lộc Bình  tỉnh Lạng Sơn</v>
      </c>
      <c r="C30866" t="str">
        <v>-</v>
      </c>
      <c r="D30866" t="str">
        <v>-</v>
      </c>
      <c r="E30866" t="str">
        <v/>
      </c>
      <c r="F30866" t="str">
        <v>-</v>
      </c>
      <c r="G30866" t="str">
        <v>-</v>
      </c>
    </row>
    <row r="30867">
      <c r="B30867" t="str">
        <v>UBND Ủy ban nhân dân huyện Lộc Bình  tỉnh Lạng Sơn</v>
      </c>
      <c r="C30867" t="str">
        <v>-</v>
      </c>
      <c r="D30867" t="str">
        <v>-</v>
      </c>
      <c r="E30867" t="str">
        <v>-</v>
      </c>
      <c r="F30867" t="str">
        <v>-</v>
      </c>
      <c r="G30867" t="str">
        <v>-</v>
      </c>
    </row>
    <row r="30868" xml:space="preserve">
      <c r="B30868" t="str" xml:space="preserve">
        <v xml:space="preserve">Công an xã Tân Lập _x000d_
 thành phố Hà Nội</v>
      </c>
      <c r="C30868" t="str">
        <v>-</v>
      </c>
      <c r="D30868" t="str">
        <v>-</v>
      </c>
      <c r="E30868" t="str">
        <v/>
      </c>
      <c r="F30868" t="str">
        <v>-</v>
      </c>
      <c r="G30868" t="str">
        <v>-</v>
      </c>
    </row>
    <row r="30869" xml:space="preserve">
      <c r="B30869" t="str" xml:space="preserve">
        <v xml:space="preserve">UBND Ủy ban nhân dân xã Tân Lập _x000d_
 thành phố Hà Nội</v>
      </c>
      <c r="C30869" t="str">
        <v>-</v>
      </c>
      <c r="D30869" t="str">
        <v>-</v>
      </c>
      <c r="E30869" t="str">
        <v>-</v>
      </c>
      <c r="F30869" t="str">
        <v>-</v>
      </c>
      <c r="G30869" t="str">
        <v>-</v>
      </c>
    </row>
    <row r="30870">
      <c r="B30870" t="str">
        <v>Công an xã Xuân Thắng tỉnh Thanh Hóa</v>
      </c>
      <c r="C30870" t="str">
        <v>-</v>
      </c>
      <c r="D30870" t="str">
        <v>-</v>
      </c>
      <c r="E30870" t="str">
        <v/>
      </c>
      <c r="F30870" t="str">
        <v>-</v>
      </c>
      <c r="G30870" t="str">
        <v>-</v>
      </c>
    </row>
    <row r="30871">
      <c r="B30871" t="str">
        <v>UBND Ủy ban nhân dân xã Xuân Thắng tỉnh Thanh Hóa</v>
      </c>
      <c r="C30871" t="str">
        <v>-</v>
      </c>
      <c r="D30871" t="str">
        <v>-</v>
      </c>
      <c r="E30871" t="str">
        <v>-</v>
      </c>
      <c r="F30871" t="str">
        <v>-</v>
      </c>
      <c r="G30871" t="str">
        <v>-</v>
      </c>
    </row>
    <row r="30872">
      <c r="B30872" t="str">
        <v>Công an xã Đông Sơn  tỉnh Nghệ An</v>
      </c>
      <c r="C30872" t="str">
        <v>-</v>
      </c>
      <c r="D30872" t="str">
        <v>-</v>
      </c>
      <c r="E30872" t="str">
        <v/>
      </c>
      <c r="F30872" t="str">
        <v>-</v>
      </c>
      <c r="G30872" t="str">
        <v>-</v>
      </c>
    </row>
    <row r="30873">
      <c r="B30873" t="str">
        <v>UBND Ủy ban nhân dân xã Đông Sơn  tỉnh Nghệ An</v>
      </c>
      <c r="C30873" t="str">
        <v>-</v>
      </c>
      <c r="D30873" t="str">
        <v>-</v>
      </c>
      <c r="E30873" t="str">
        <v>-</v>
      </c>
      <c r="F30873" t="str">
        <v>-</v>
      </c>
      <c r="G30873" t="str">
        <v>-</v>
      </c>
    </row>
    <row r="30874">
      <c r="B30874" t="str">
        <v>Công an xã Kim Tân tỉnh Ninh Bình</v>
      </c>
      <c r="C30874" t="str">
        <v>-</v>
      </c>
      <c r="D30874" t="str">
        <v>-</v>
      </c>
      <c r="E30874" t="str">
        <v/>
      </c>
      <c r="F30874" t="str">
        <v>-</v>
      </c>
      <c r="G30874" t="str">
        <v>-</v>
      </c>
    </row>
    <row r="30875">
      <c r="B30875" t="str">
        <v>UBND Ủy ban nhân dân xã Kim Tân tỉnh Ninh Bình</v>
      </c>
      <c r="C30875" t="str">
        <v>-</v>
      </c>
      <c r="D30875" t="str">
        <v>-</v>
      </c>
      <c r="E30875" t="str">
        <v>-</v>
      </c>
      <c r="F30875" t="str">
        <v>-</v>
      </c>
      <c r="G30875" t="str">
        <v>-</v>
      </c>
    </row>
    <row r="30876">
      <c r="B30876" t="str">
        <v>Công an xã Nghĩa Khánh  tỉnh Nghệ An</v>
      </c>
      <c r="C30876" t="str">
        <v>-</v>
      </c>
      <c r="D30876" t="str">
        <v>-</v>
      </c>
      <c r="E30876" t="str">
        <v/>
      </c>
      <c r="F30876" t="str">
        <v>-</v>
      </c>
      <c r="G30876" t="str">
        <v>-</v>
      </c>
    </row>
    <row r="30877">
      <c r="B30877" t="str">
        <v>UBND Ủy ban nhân dân xã Nghĩa Khánh  tỉnh Nghệ An</v>
      </c>
      <c r="C30877" t="str">
        <v>-</v>
      </c>
      <c r="D30877" t="str">
        <v>-</v>
      </c>
      <c r="E30877" t="str">
        <v>-</v>
      </c>
      <c r="F30877" t="str">
        <v>-</v>
      </c>
      <c r="G30877" t="str">
        <v>-</v>
      </c>
    </row>
    <row r="30878">
      <c r="B30878" t="str">
        <v>Công an xã Kỳ Giang tỉnh Hà Tĩnh</v>
      </c>
      <c r="C30878" t="str">
        <v>-</v>
      </c>
      <c r="D30878" t="str">
        <v>-</v>
      </c>
      <c r="E30878" t="str">
        <v/>
      </c>
      <c r="F30878" t="str">
        <v>-</v>
      </c>
      <c r="G30878" t="str">
        <v>-</v>
      </c>
    </row>
    <row r="30879">
      <c r="B30879" t="str">
        <v>UBND Ủy ban nhân dân xã Kỳ Giang tỉnh Hà Tĩnh</v>
      </c>
      <c r="C30879" t="str">
        <v>-</v>
      </c>
      <c r="D30879" t="str">
        <v>-</v>
      </c>
      <c r="E30879" t="str">
        <v>-</v>
      </c>
      <c r="F30879" t="str">
        <v>-</v>
      </c>
      <c r="G30879" t="str">
        <v>-</v>
      </c>
    </row>
    <row r="30880">
      <c r="B30880" t="str">
        <v>Công an xã Long Xá tỉnh Nghệ An</v>
      </c>
      <c r="C30880" t="str">
        <v>-</v>
      </c>
      <c r="D30880" t="str">
        <v>-</v>
      </c>
      <c r="E30880" t="str">
        <v/>
      </c>
      <c r="F30880" t="str">
        <v>-</v>
      </c>
      <c r="G30880" t="str">
        <v>-</v>
      </c>
    </row>
    <row r="30881">
      <c r="B30881" t="str">
        <v>UBND Ủy ban nhân dân xã Long Xá tỉnh Nghệ An</v>
      </c>
      <c r="C30881" t="str">
        <v>-</v>
      </c>
      <c r="D30881" t="str">
        <v>-</v>
      </c>
      <c r="E30881" t="str">
        <v>-</v>
      </c>
      <c r="F30881" t="str">
        <v>-</v>
      </c>
      <c r="G30881" t="str">
        <v>-</v>
      </c>
    </row>
    <row r="30882">
      <c r="B30882" t="str">
        <v>Công an xã Ia Phang  tỉnh Gia Lai</v>
      </c>
      <c r="C30882" t="str">
        <v>-</v>
      </c>
      <c r="D30882" t="str">
        <v>-</v>
      </c>
      <c r="E30882" t="str">
        <v/>
      </c>
      <c r="F30882" t="str">
        <v>-</v>
      </c>
      <c r="G30882" t="str">
        <v>-</v>
      </c>
    </row>
    <row r="30883">
      <c r="B30883" t="str">
        <v>UBND Ủy ban nhân dân xã Ia Phang  tỉnh Gia Lai</v>
      </c>
      <c r="C30883" t="str">
        <v>-</v>
      </c>
      <c r="D30883" t="str">
        <v>-</v>
      </c>
      <c r="E30883" t="str">
        <v>-</v>
      </c>
      <c r="F30883" t="str">
        <v>-</v>
      </c>
      <c r="G30883" t="str">
        <v>-</v>
      </c>
    </row>
    <row r="30884">
      <c r="B30884" t="str">
        <v>Công an xã Kỳ Nam tỉnh Hà Tĩnh</v>
      </c>
      <c r="C30884" t="str">
        <v>-</v>
      </c>
      <c r="D30884" t="str">
        <v>-</v>
      </c>
      <c r="E30884" t="str">
        <v/>
      </c>
      <c r="F30884" t="str">
        <v>-</v>
      </c>
      <c r="G30884" t="str">
        <v>-</v>
      </c>
    </row>
    <row r="30885">
      <c r="B30885" t="str">
        <v>UBND Ủy ban nhân dân xã Kỳ Nam tỉnh Hà Tĩnh</v>
      </c>
      <c r="C30885" t="str">
        <v>-</v>
      </c>
      <c r="D30885" t="str">
        <v>-</v>
      </c>
      <c r="E30885" t="str">
        <v>-</v>
      </c>
      <c r="F30885" t="str">
        <v>-</v>
      </c>
      <c r="G30885" t="str">
        <v>-</v>
      </c>
    </row>
    <row r="30886" xml:space="preserve">
      <c r="B30886" t="str" xml:space="preserve">
        <v xml:space="preserve">Công an xã Thành An _x000d_
 tỉnh Bến Tre</v>
      </c>
      <c r="C30886" t="str">
        <v>-</v>
      </c>
      <c r="D30886" t="str">
        <v>-</v>
      </c>
      <c r="E30886" t="str">
        <v/>
      </c>
      <c r="F30886" t="str">
        <v>-</v>
      </c>
      <c r="G30886" t="str">
        <v>-</v>
      </c>
    </row>
    <row r="30887" xml:space="preserve">
      <c r="B30887" t="str" xml:space="preserve">
        <v xml:space="preserve">UBND Ủy ban nhân dân xã Thành An _x000d_
 tỉnh Bến Tre</v>
      </c>
      <c r="C30887" t="str">
        <v>-</v>
      </c>
      <c r="D30887" t="str">
        <v>-</v>
      </c>
      <c r="E30887" t="str">
        <v>-</v>
      </c>
      <c r="F30887" t="str">
        <v>-</v>
      </c>
      <c r="G30887" t="str">
        <v>-</v>
      </c>
    </row>
    <row r="30888">
      <c r="B30888" t="str">
        <v>Công an tỉnh An Giang tỉnh An Giang</v>
      </c>
      <c r="C30888" t="str">
        <v>-</v>
      </c>
      <c r="D30888" t="str">
        <v>-</v>
      </c>
      <c r="E30888" t="str">
        <v/>
      </c>
      <c r="F30888" t="str">
        <v>-</v>
      </c>
      <c r="G30888" t="str">
        <v>-</v>
      </c>
    </row>
    <row r="30889">
      <c r="B30889" t="str">
        <v>UBND Ủy ban nhân dân tỉnh An Giang tỉnh An Giang</v>
      </c>
      <c r="C30889" t="str">
        <v>-</v>
      </c>
      <c r="D30889" t="str">
        <v>-</v>
      </c>
      <c r="E30889" t="str">
        <v>-</v>
      </c>
      <c r="F30889" t="str">
        <v>-</v>
      </c>
      <c r="G30889" t="str">
        <v>-</v>
      </c>
    </row>
    <row r="30890">
      <c r="B30890" t="str">
        <v>Công an xã Thái Hòa tỉnh Thanh Hóa</v>
      </c>
      <c r="C30890" t="str">
        <v>-</v>
      </c>
      <c r="D30890" t="str">
        <v>-</v>
      </c>
      <c r="E30890" t="str">
        <v/>
      </c>
      <c r="F30890" t="str">
        <v>-</v>
      </c>
      <c r="G30890" t="str">
        <v>-</v>
      </c>
    </row>
    <row r="30891">
      <c r="B30891" t="str">
        <v>UBND Ủy ban nhân dân xã Thái Hòa tỉnh Thanh Hóa</v>
      </c>
      <c r="C30891" t="str">
        <v>-</v>
      </c>
      <c r="D30891" t="str">
        <v>-</v>
      </c>
      <c r="E30891" t="str">
        <v>-</v>
      </c>
      <c r="F30891" t="str">
        <v>-</v>
      </c>
      <c r="G30891" t="str">
        <v>-</v>
      </c>
    </row>
    <row r="30892">
      <c r="B30892" t="str">
        <v>Công an xã Hoằng Cát tỉnh Thanh Hóa</v>
      </c>
      <c r="C30892" t="str">
        <v>-</v>
      </c>
      <c r="D30892" t="str">
        <v>-</v>
      </c>
      <c r="E30892" t="str">
        <v/>
      </c>
      <c r="F30892" t="str">
        <v>-</v>
      </c>
      <c r="G30892" t="str">
        <v>-</v>
      </c>
    </row>
    <row r="30893">
      <c r="B30893" t="str">
        <v>UBND Ủy ban nhân dân xã Hoằng Cát tỉnh Thanh Hóa</v>
      </c>
      <c r="C30893" t="str">
        <v>-</v>
      </c>
      <c r="D30893" t="str">
        <v>-</v>
      </c>
      <c r="E30893" t="str">
        <v>-</v>
      </c>
      <c r="F30893" t="str">
        <v>-</v>
      </c>
      <c r="G30893" t="str">
        <v>-</v>
      </c>
    </row>
    <row r="30894">
      <c r="B30894" t="str">
        <v>Công an huyện Sốp Cộp tỉnh Sơn La</v>
      </c>
      <c r="C30894" t="str">
        <v>-</v>
      </c>
      <c r="D30894" t="str">
        <v>-</v>
      </c>
      <c r="E30894" t="str">
        <v/>
      </c>
      <c r="F30894" t="str">
        <v>-</v>
      </c>
      <c r="G30894" t="str">
        <v>-</v>
      </c>
    </row>
    <row r="30895">
      <c r="B30895" t="str">
        <v>UBND Ủy ban nhân dân huyện Sốp Cộp tỉnh Sơn La</v>
      </c>
      <c r="C30895" t="str">
        <v>-</v>
      </c>
      <c r="D30895" t="str">
        <v>-</v>
      </c>
      <c r="E30895" t="str">
        <v>-</v>
      </c>
      <c r="F30895" t="str">
        <v>-</v>
      </c>
      <c r="G30895" t="str">
        <v>-</v>
      </c>
    </row>
    <row r="30896">
      <c r="B30896" t="str">
        <v>Công an xã Tượng Sơn tỉnh Hà Tĩnh</v>
      </c>
      <c r="C30896" t="str">
        <v>-</v>
      </c>
      <c r="D30896" t="str">
        <v>-</v>
      </c>
      <c r="E30896" t="str">
        <v/>
      </c>
      <c r="F30896" t="str">
        <v>-</v>
      </c>
      <c r="G30896" t="str">
        <v>-</v>
      </c>
    </row>
    <row r="30897">
      <c r="B30897" t="str">
        <v>UBND Ủy ban nhân dân xã Tượng Sơn tỉnh Hà Tĩnh</v>
      </c>
      <c r="C30897" t="str">
        <v>-</v>
      </c>
      <c r="D30897" t="str">
        <v>-</v>
      </c>
      <c r="E30897" t="str">
        <v>-</v>
      </c>
      <c r="F30897" t="str">
        <v>-</v>
      </c>
      <c r="G30897" t="str">
        <v>-</v>
      </c>
    </row>
    <row r="30898">
      <c r="B30898" t="str">
        <v>Công an xã Cao Ngọc tỉnh Thanh Hóa</v>
      </c>
      <c r="C30898" t="str">
        <v>-</v>
      </c>
      <c r="D30898" t="str">
        <v>-</v>
      </c>
      <c r="E30898" t="str">
        <v/>
      </c>
      <c r="F30898" t="str">
        <v>-</v>
      </c>
      <c r="G30898" t="str">
        <v>-</v>
      </c>
    </row>
    <row r="30899">
      <c r="B30899" t="str">
        <v>UBND Ủy ban nhân dân xã Cao Ngọc tỉnh Thanh Hóa</v>
      </c>
      <c r="C30899" t="str">
        <v>-</v>
      </c>
      <c r="D30899" t="str">
        <v>-</v>
      </c>
      <c r="E30899" t="str">
        <v>-</v>
      </c>
      <c r="F30899" t="str">
        <v>-</v>
      </c>
      <c r="G30899" t="str">
        <v>-</v>
      </c>
    </row>
    <row r="30900">
      <c r="B30900" t="str">
        <v>Công an phường Thành Tâm  tỉnh Bình Phước</v>
      </c>
      <c r="C30900" t="str">
        <v>-</v>
      </c>
      <c r="D30900" t="str">
        <v>-</v>
      </c>
      <c r="E30900" t="str">
        <v/>
      </c>
      <c r="F30900" t="str">
        <v>-</v>
      </c>
      <c r="G30900" t="str">
        <v>-</v>
      </c>
    </row>
    <row r="30901">
      <c r="B30901" t="str">
        <v>UBND Ủy ban nhân dân phường Thành Tâm  tỉnh Bình Phước</v>
      </c>
      <c r="C30901" t="str">
        <v>-</v>
      </c>
      <c r="D30901" t="str">
        <v>-</v>
      </c>
      <c r="E30901" t="str">
        <v>-</v>
      </c>
      <c r="F30901" t="str">
        <v>-</v>
      </c>
      <c r="G30901" t="str">
        <v>-</v>
      </c>
    </row>
    <row r="30902">
      <c r="B30902" t="str">
        <v>Công an xã Cẩm Thạch tỉnh Hà Tĩnh</v>
      </c>
      <c r="C30902" t="str">
        <v>-</v>
      </c>
      <c r="D30902" t="str">
        <v>-</v>
      </c>
      <c r="E30902" t="str">
        <v/>
      </c>
      <c r="F30902" t="str">
        <v>-</v>
      </c>
      <c r="G30902" t="str">
        <v>-</v>
      </c>
    </row>
    <row r="30903">
      <c r="B30903" t="str">
        <v>UBND Ủy ban nhân dân xã Cẩm Thạch tỉnh Hà Tĩnh</v>
      </c>
      <c r="C30903" t="str">
        <v>-</v>
      </c>
      <c r="D30903" t="str">
        <v>-</v>
      </c>
      <c r="E30903" t="str">
        <v>-</v>
      </c>
      <c r="F30903" t="str">
        <v>-</v>
      </c>
      <c r="G30903" t="str">
        <v>-</v>
      </c>
    </row>
    <row r="30904" xml:space="preserve">
      <c r="B30904" t="str" xml:space="preserve">
        <v xml:space="preserve">Công an xã Vĩnh Tú _x000d_
 tỉnh Quảng Trị</v>
      </c>
      <c r="C30904" t="str">
        <v>-</v>
      </c>
      <c r="D30904" t="str">
        <v>-</v>
      </c>
      <c r="E30904" t="str">
        <v/>
      </c>
      <c r="F30904" t="str">
        <v>-</v>
      </c>
      <c r="G30904" t="str">
        <v>-</v>
      </c>
    </row>
    <row r="30905" xml:space="preserve">
      <c r="B30905" t="str" xml:space="preserve">
        <v xml:space="preserve">UBND Ủy ban nhân dân xã Vĩnh Tú _x000d_
 tỉnh Quảng Trị</v>
      </c>
      <c r="C30905" t="str">
        <v>-</v>
      </c>
      <c r="D30905" t="str">
        <v>-</v>
      </c>
      <c r="E30905" t="str">
        <v>-</v>
      </c>
      <c r="F30905" t="str">
        <v>-</v>
      </c>
      <c r="G30905" t="str">
        <v>-</v>
      </c>
    </row>
    <row r="30906">
      <c r="B30906" t="str">
        <v>Công an xã Thạch Quảng tỉnh Thanh Hóa</v>
      </c>
      <c r="C30906" t="str">
        <v>-</v>
      </c>
      <c r="D30906" t="str">
        <v>-</v>
      </c>
      <c r="E30906" t="str">
        <v/>
      </c>
      <c r="F30906" t="str">
        <v>-</v>
      </c>
      <c r="G30906" t="str">
        <v>-</v>
      </c>
    </row>
    <row r="30907">
      <c r="B30907" t="str">
        <v>UBND Ủy ban nhân dân xã Thạch Quảng tỉnh Thanh Hóa</v>
      </c>
      <c r="C30907" t="str">
        <v>-</v>
      </c>
      <c r="D30907" t="str">
        <v>-</v>
      </c>
      <c r="E30907" t="str">
        <v>-</v>
      </c>
      <c r="F30907" t="str">
        <v>-</v>
      </c>
      <c r="G30907" t="str">
        <v>-</v>
      </c>
    </row>
    <row r="30908">
      <c r="B30908" t="str">
        <v>Công an xã Yên Tâm tỉnh Thanh Hóa</v>
      </c>
      <c r="C30908" t="str">
        <v>-</v>
      </c>
      <c r="D30908" t="str">
        <v>-</v>
      </c>
      <c r="E30908" t="str">
        <v/>
      </c>
      <c r="F30908" t="str">
        <v>-</v>
      </c>
      <c r="G30908" t="str">
        <v>-</v>
      </c>
    </row>
    <row r="30909">
      <c r="B30909" t="str">
        <v>UBND Ủy ban nhân dân xã Yên Tâm tỉnh Thanh Hóa</v>
      </c>
      <c r="C30909" t="str">
        <v>-</v>
      </c>
      <c r="D30909" t="str">
        <v>-</v>
      </c>
      <c r="E30909" t="str">
        <v>-</v>
      </c>
      <c r="F30909" t="str">
        <v>-</v>
      </c>
      <c r="G30909" t="str">
        <v>-</v>
      </c>
    </row>
    <row r="30910">
      <c r="B30910" t="str">
        <v>Công an xã Triệu Long tỉnh Quảng Trị</v>
      </c>
      <c r="C30910" t="str">
        <v>-</v>
      </c>
      <c r="D30910" t="str">
        <v>-</v>
      </c>
      <c r="E30910" t="str">
        <v/>
      </c>
      <c r="F30910" t="str">
        <v>-</v>
      </c>
      <c r="G30910" t="str">
        <v>-</v>
      </c>
    </row>
    <row r="30911">
      <c r="B30911" t="str">
        <v>UBND Ủy ban nhân dân xã Triệu Long tỉnh Quảng Trị</v>
      </c>
      <c r="C30911" t="str">
        <v>-</v>
      </c>
      <c r="D30911" t="str">
        <v>-</v>
      </c>
      <c r="E30911" t="str">
        <v>-</v>
      </c>
      <c r="F30911" t="str">
        <v>-</v>
      </c>
      <c r="G30911" t="str">
        <v>-</v>
      </c>
    </row>
    <row r="30912" xml:space="preserve">
      <c r="B30912" t="str" xml:space="preserve">
        <v xml:space="preserve"> Công an xã Hướng Hiệp_x000d_
 tỉnh Quảng Trị</v>
      </c>
    </row>
    <row r="30913" xml:space="preserve">
      <c r="B30913" t="str" xml:space="preserve">
        <v xml:space="preserve">UBND Ủy ban nhân dânn xã Hướng Hiệp_x000d_
 tỉnh Quảng Trị</v>
      </c>
      <c r="C30913" t="str">
        <v>-</v>
      </c>
      <c r="D30913" t="str">
        <v>-</v>
      </c>
      <c r="E30913" t="str">
        <v>-</v>
      </c>
      <c r="F30913" t="str">
        <v>-</v>
      </c>
      <c r="G30913" t="str">
        <v>-</v>
      </c>
    </row>
    <row r="30914">
      <c r="B30914" t="str">
        <v>Công an xã Sơn Kim 1 tỉnh Hà Tĩnh</v>
      </c>
      <c r="C30914" t="str">
        <v>-</v>
      </c>
      <c r="D30914" t="str">
        <v>-</v>
      </c>
      <c r="E30914" t="str">
        <v/>
      </c>
      <c r="F30914" t="str">
        <v>-</v>
      </c>
      <c r="G30914" t="str">
        <v>-</v>
      </c>
    </row>
    <row r="30915">
      <c r="B30915" t="str">
        <v>UBND Ủy ban nhân dân xã Sơn Kim 1 tỉnh Hà Tĩnh</v>
      </c>
      <c r="C30915" t="str">
        <v>-</v>
      </c>
      <c r="D30915" t="str">
        <v>-</v>
      </c>
      <c r="E30915" t="str">
        <v>-</v>
      </c>
      <c r="F30915" t="str">
        <v>-</v>
      </c>
      <c r="G30915" t="str">
        <v>-</v>
      </c>
    </row>
    <row r="30916">
      <c r="B30916" t="str">
        <v>Công an huyện Minh Hóa  tỉnh Quảng Bình</v>
      </c>
      <c r="C30916" t="str">
        <v>-</v>
      </c>
      <c r="D30916" t="str">
        <v>-</v>
      </c>
      <c r="E30916" t="str">
        <v/>
      </c>
      <c r="F30916" t="str">
        <v>-</v>
      </c>
      <c r="G30916" t="str">
        <v>-</v>
      </c>
    </row>
    <row r="30917">
      <c r="B30917" t="str">
        <v>UBND Ủy ban nhân dân huyện Minh Hóa  tỉnh Quảng Bình</v>
      </c>
      <c r="C30917" t="str">
        <v>-</v>
      </c>
      <c r="D30917" t="str">
        <v>-</v>
      </c>
      <c r="E30917" t="str">
        <v>-</v>
      </c>
      <c r="F30917" t="str">
        <v>-</v>
      </c>
      <c r="G30917" t="str">
        <v>-</v>
      </c>
    </row>
    <row r="30918">
      <c r="B30918" t="str">
        <v>Công an xã Tân Mỹ Hà tỉnh Hà Tĩnh</v>
      </c>
      <c r="C30918" t="str">
        <v>-</v>
      </c>
      <c r="D30918" t="str">
        <v>-</v>
      </c>
      <c r="E30918" t="str">
        <v/>
      </c>
      <c r="F30918" t="str">
        <v>-</v>
      </c>
      <c r="G30918" t="str">
        <v>-</v>
      </c>
    </row>
    <row r="30919">
      <c r="B30919" t="str">
        <v>UBND Ủy ban nhân dân xã Tân Mỹ Hà tỉnh Hà Tĩnh</v>
      </c>
      <c r="C30919" t="str">
        <v>-</v>
      </c>
      <c r="D30919" t="str">
        <v>-</v>
      </c>
      <c r="E30919" t="str">
        <v>-</v>
      </c>
      <c r="F30919" t="str">
        <v>-</v>
      </c>
      <c r="G30919" t="str">
        <v>-</v>
      </c>
    </row>
    <row r="30920">
      <c r="B30920" t="str">
        <v>Công an xã Kỳ Ninh tỉnh Hà Tĩnh</v>
      </c>
      <c r="C30920" t="str">
        <v>-</v>
      </c>
      <c r="D30920" t="str">
        <v>-</v>
      </c>
      <c r="E30920" t="str">
        <v/>
      </c>
      <c r="F30920" t="str">
        <v>-</v>
      </c>
      <c r="G30920" t="str">
        <v>-</v>
      </c>
    </row>
    <row r="30921">
      <c r="B30921" t="str">
        <v>UBND Ủy ban nhân dân xã Kỳ Ninh tỉnh Hà Tĩnh</v>
      </c>
      <c r="C30921" t="str">
        <v>-</v>
      </c>
      <c r="D30921" t="str">
        <v>-</v>
      </c>
      <c r="E30921" t="str">
        <v>-</v>
      </c>
      <c r="F30921" t="str">
        <v>-</v>
      </c>
      <c r="G30921" t="str">
        <v>-</v>
      </c>
    </row>
    <row r="30922">
      <c r="B30922" t="str">
        <v>Công an xã Quang Trung tỉnh Đồng Nai</v>
      </c>
      <c r="C30922" t="str">
        <v>-</v>
      </c>
      <c r="D30922" t="str">
        <v>-</v>
      </c>
      <c r="E30922" t="str">
        <v/>
      </c>
      <c r="F30922" t="str">
        <v>-</v>
      </c>
      <c r="G30922" t="str">
        <v>-</v>
      </c>
    </row>
    <row r="30923">
      <c r="B30923" t="str">
        <v>UBND Ủy ban nhân dân xã Quang Trung tỉnh Đồng Nai</v>
      </c>
      <c r="C30923" t="str">
        <v>-</v>
      </c>
      <c r="D30923" t="str">
        <v>-</v>
      </c>
      <c r="E30923" t="str">
        <v>-</v>
      </c>
      <c r="F30923" t="str">
        <v>-</v>
      </c>
      <c r="G30923" t="str">
        <v>-</v>
      </c>
    </row>
    <row r="30924" xml:space="preserve">
      <c r="B30924" t="str" xml:space="preserve">
        <v xml:space="preserve">Công an tỉnh Lào Cai _x000d_
 tỉnh Lào Cai</v>
      </c>
      <c r="C30924" t="str">
        <v>-</v>
      </c>
      <c r="D30924" t="str">
        <v>-</v>
      </c>
      <c r="E30924" t="str">
        <v/>
      </c>
      <c r="F30924" t="str">
        <v>-</v>
      </c>
      <c r="G30924" t="str">
        <v>-</v>
      </c>
    </row>
    <row r="30925" xml:space="preserve">
      <c r="B30925" t="str" xml:space="preserve">
        <v xml:space="preserve">UBND Ủy ban nhân dân tỉnh Lào Cai _x000d_
 tỉnh Lào Cai</v>
      </c>
      <c r="C30925" t="str">
        <v>-</v>
      </c>
      <c r="D30925" t="str">
        <v>-</v>
      </c>
      <c r="E30925" t="str">
        <v>-</v>
      </c>
      <c r="F30925" t="str">
        <v>-</v>
      </c>
      <c r="G30925" t="str">
        <v>-</v>
      </c>
    </row>
    <row r="30926" xml:space="preserve">
      <c r="B30926" t="str" xml:space="preserve">
        <v xml:space="preserve">Công an xã Cư Prông _x000d_
 tỉnh Đắk Lắk</v>
      </c>
      <c r="C30926" t="str">
        <v>-</v>
      </c>
      <c r="D30926" t="str">
        <v>-</v>
      </c>
      <c r="E30926" t="str">
        <v/>
      </c>
      <c r="F30926" t="str">
        <v>-</v>
      </c>
      <c r="G30926" t="str">
        <v>-</v>
      </c>
    </row>
    <row r="30927" xml:space="preserve">
      <c r="B30927" t="str" xml:space="preserve">
        <v xml:space="preserve">UBND Ủy ban nhân dân xã Cư Prông _x000d_
 tỉnh Đắk Lắk</v>
      </c>
      <c r="C30927" t="str">
        <v>-</v>
      </c>
      <c r="D30927" t="str">
        <v>-</v>
      </c>
      <c r="E30927" t="str">
        <v>-</v>
      </c>
      <c r="F30927" t="str">
        <v>-</v>
      </c>
      <c r="G30927" t="str">
        <v>-</v>
      </c>
    </row>
    <row r="30928">
      <c r="B30928" t="str">
        <v>Công an xã Tân Phong tỉnh Bến Tre</v>
      </c>
      <c r="C30928" t="str">
        <v>-</v>
      </c>
      <c r="D30928" t="str">
        <v>-</v>
      </c>
      <c r="E30928" t="str">
        <v/>
      </c>
      <c r="F30928" t="str">
        <v>-</v>
      </c>
      <c r="G30928" t="str">
        <v>-</v>
      </c>
    </row>
    <row r="30929">
      <c r="B30929" t="str">
        <v>UBND Ủy ban nhân dân xã Tân Phong tỉnh Bến Tre</v>
      </c>
      <c r="C30929" t="str">
        <v>-</v>
      </c>
      <c r="D30929" t="str">
        <v>-</v>
      </c>
      <c r="E30929" t="str">
        <v>-</v>
      </c>
      <c r="F30929" t="str">
        <v>-</v>
      </c>
      <c r="G30929" t="str">
        <v>-</v>
      </c>
    </row>
    <row r="30930">
      <c r="B30930" t="str">
        <v>Công an xã Long Hòa tỉnh Bến Tre</v>
      </c>
      <c r="C30930" t="str">
        <v>-</v>
      </c>
      <c r="D30930" t="str">
        <v>-</v>
      </c>
      <c r="E30930" t="str">
        <v/>
      </c>
      <c r="F30930" t="str">
        <v>-</v>
      </c>
      <c r="G30930" t="str">
        <v>-</v>
      </c>
    </row>
    <row r="30931">
      <c r="B30931" t="str">
        <v>UBND Ủy ban nhân dân xã Long Hòa tỉnh Bến Tre</v>
      </c>
      <c r="C30931" t="str">
        <v>-</v>
      </c>
      <c r="D30931" t="str">
        <v>-</v>
      </c>
      <c r="E30931" t="str">
        <v>-</v>
      </c>
      <c r="F30931" t="str">
        <v>-</v>
      </c>
      <c r="G30931" t="str">
        <v>-</v>
      </c>
    </row>
    <row r="30932">
      <c r="B30932" t="str">
        <v>Công an xã Chiềng Xôm tỉnh Sơn La</v>
      </c>
      <c r="C30932" t="str">
        <v>-</v>
      </c>
      <c r="D30932" t="str">
        <v>-</v>
      </c>
      <c r="E30932" t="str">
        <v/>
      </c>
      <c r="F30932" t="str">
        <v>-</v>
      </c>
      <c r="G30932" t="str">
        <v>-</v>
      </c>
    </row>
    <row r="30933">
      <c r="B30933" t="str">
        <v>UBND Ủy ban nhân dân xã Chiềng Xôm tỉnh Sơn La</v>
      </c>
      <c r="C30933" t="str">
        <v>-</v>
      </c>
      <c r="D30933" t="str">
        <v>-</v>
      </c>
      <c r="E30933" t="str">
        <v>-</v>
      </c>
      <c r="F30933" t="str">
        <v>-</v>
      </c>
      <c r="G30933" t="str">
        <v>-</v>
      </c>
    </row>
    <row r="30934" xml:space="preserve">
      <c r="B30934" t="str" xml:space="preserve">
        <v xml:space="preserve">Công an xã Thuận Hoà _x000d_
 tỉnh Sóc Trăng</v>
      </c>
      <c r="C30934" t="str">
        <v>-</v>
      </c>
      <c r="D30934" t="str">
        <v>-</v>
      </c>
      <c r="E30934" t="str">
        <v/>
      </c>
      <c r="F30934" t="str">
        <v>-</v>
      </c>
      <c r="G30934" t="str">
        <v>-</v>
      </c>
    </row>
    <row r="30935" xml:space="preserve">
      <c r="B30935" t="str" xml:space="preserve">
        <v xml:space="preserve">UBND Ủy ban nhân dân xã Thuận Hoà _x000d_
 tỉnh Sóc Trăng</v>
      </c>
      <c r="C30935" t="str">
        <v>-</v>
      </c>
      <c r="D30935" t="str">
        <v>-</v>
      </c>
      <c r="E30935" t="str">
        <v>-</v>
      </c>
      <c r="F30935" t="str">
        <v>-</v>
      </c>
      <c r="G30935" t="str">
        <v>-</v>
      </c>
    </row>
    <row r="30936">
      <c r="B30936" t="str">
        <v>Công an xã Mỹ Chánh  tỉnh Bến Tre</v>
      </c>
      <c r="C30936" t="str">
        <v>-</v>
      </c>
      <c r="D30936" t="str">
        <v>-</v>
      </c>
      <c r="E30936" t="str">
        <v/>
      </c>
      <c r="F30936" t="str">
        <v>-</v>
      </c>
      <c r="G30936" t="str">
        <v>-</v>
      </c>
    </row>
    <row r="30937">
      <c r="B30937" t="str">
        <v>UBND Ủy ban nhân dân xã Mỹ Chánh  tỉnh Bến Tre</v>
      </c>
      <c r="C30937" t="str">
        <v>-</v>
      </c>
      <c r="D30937" t="str">
        <v>-</v>
      </c>
      <c r="E30937" t="str">
        <v>-</v>
      </c>
      <c r="F30937" t="str">
        <v>-</v>
      </c>
      <c r="G30937" t="str">
        <v>-</v>
      </c>
    </row>
    <row r="30938" xml:space="preserve">
      <c r="B30938" t="str" xml:space="preserve">
        <v xml:space="preserve">Công an xã Tà Lài _x000d_
 tỉnh Đồng Nai</v>
      </c>
      <c r="C30938" t="str">
        <v>-</v>
      </c>
      <c r="D30938" t="str">
        <v>-</v>
      </c>
      <c r="E30938" t="str">
        <v/>
      </c>
      <c r="F30938" t="str">
        <v>-</v>
      </c>
      <c r="G30938" t="str">
        <v>-</v>
      </c>
    </row>
    <row r="30939" xml:space="preserve">
      <c r="B30939" t="str" xml:space="preserve">
        <v xml:space="preserve">UBND Ủy ban nhân dân xã Tà Lài _x000d_
 tỉnh Đồng Nai</v>
      </c>
      <c r="C30939" t="str">
        <v>-</v>
      </c>
      <c r="D30939" t="str">
        <v>-</v>
      </c>
      <c r="E30939" t="str">
        <v>-</v>
      </c>
      <c r="F30939" t="str">
        <v>-</v>
      </c>
      <c r="G30939" t="str">
        <v>-</v>
      </c>
    </row>
    <row r="30940">
      <c r="B30940" t="str">
        <v>Công an xã Sập Xa tỉnh Sơn La</v>
      </c>
      <c r="C30940" t="str">
        <v>-</v>
      </c>
      <c r="D30940" t="str">
        <v>-</v>
      </c>
      <c r="E30940" t="str">
        <v/>
      </c>
      <c r="F30940" t="str">
        <v>-</v>
      </c>
      <c r="G30940" t="str">
        <v>-</v>
      </c>
    </row>
    <row r="30941">
      <c r="B30941" t="str">
        <v>UBND Ủy ban nhân dân xã Sập Xa tỉnh Sơn La</v>
      </c>
      <c r="C30941" t="str">
        <v>-</v>
      </c>
      <c r="D30941" t="str">
        <v>-</v>
      </c>
      <c r="E30941" t="str">
        <v>-</v>
      </c>
      <c r="F30941" t="str">
        <v>-</v>
      </c>
      <c r="G30941" t="str">
        <v>-</v>
      </c>
    </row>
    <row r="30942" xml:space="preserve">
      <c r="B30942" t="str" xml:space="preserve">
        <v xml:space="preserve">Công an xã Sơn Phú _x000d_
 tỉnh Thái Nguyên</v>
      </c>
      <c r="C30942" t="str">
        <v>-</v>
      </c>
      <c r="D30942" t="str">
        <v>-</v>
      </c>
      <c r="E30942" t="str">
        <v/>
      </c>
      <c r="F30942" t="str">
        <v>-</v>
      </c>
      <c r="G30942" t="str">
        <v>-</v>
      </c>
    </row>
    <row r="30943" xml:space="preserve">
      <c r="B30943" t="str" xml:space="preserve">
        <v xml:space="preserve">UBND Ủy ban nhân dân xã Sơn Phú _x000d_
 tỉnh Thái Nguyên</v>
      </c>
      <c r="C30943" t="str">
        <v>-</v>
      </c>
      <c r="D30943" t="str">
        <v>-</v>
      </c>
      <c r="E30943" t="str">
        <v>-</v>
      </c>
      <c r="F30943" t="str">
        <v>-</v>
      </c>
      <c r="G30943" t="str">
        <v>-</v>
      </c>
    </row>
    <row r="30944" xml:space="preserve">
      <c r="B30944" t="str" xml:space="preserve">
        <v xml:space="preserve">Công an xã Châu Bình _x000d_
 tỉnh Bến Tre</v>
      </c>
      <c r="C30944" t="str">
        <v>-</v>
      </c>
      <c r="D30944" t="str">
        <v>-</v>
      </c>
      <c r="E30944" t="str">
        <v/>
      </c>
      <c r="F30944" t="str">
        <v>-</v>
      </c>
      <c r="G30944" t="str">
        <v>-</v>
      </c>
    </row>
    <row r="30945" xml:space="preserve">
      <c r="B30945" t="str" xml:space="preserve">
        <v xml:space="preserve">UBND Ủy ban nhân dân xã Châu Bình _x000d_
 tỉnh Bến Tre</v>
      </c>
      <c r="C30945" t="str">
        <v>-</v>
      </c>
      <c r="D30945" t="str">
        <v>-</v>
      </c>
      <c r="E30945" t="str">
        <v>-</v>
      </c>
      <c r="F30945" t="str">
        <v>-</v>
      </c>
      <c r="G30945" t="str">
        <v>-</v>
      </c>
    </row>
    <row r="30946" xml:space="preserve">
      <c r="B30946" t="str" xml:space="preserve">
        <v xml:space="preserve">Công an xã Mường So _x000d_
 tỉnh Lai Châu</v>
      </c>
      <c r="C30946" t="str">
        <v>-</v>
      </c>
      <c r="D30946" t="str">
        <v>-</v>
      </c>
      <c r="E30946" t="str">
        <v/>
      </c>
      <c r="F30946" t="str">
        <v>-</v>
      </c>
      <c r="G30946" t="str">
        <v>-</v>
      </c>
    </row>
    <row r="30947" xml:space="preserve">
      <c r="B30947" t="str" xml:space="preserve">
        <v xml:space="preserve">UBND Ủy ban nhân dân xã Mường So _x000d_
 tỉnh Lai Châu</v>
      </c>
      <c r="C30947" t="str">
        <v>-</v>
      </c>
      <c r="D30947" t="str">
        <v>-</v>
      </c>
      <c r="E30947" t="str">
        <v>-</v>
      </c>
      <c r="F30947" t="str">
        <v>-</v>
      </c>
      <c r="G30947" t="str">
        <v>-</v>
      </c>
    </row>
    <row r="30948">
      <c r="B30948" t="str">
        <v>Công an huyện Giồng Trôm  tỉnh Bến Tre</v>
      </c>
      <c r="C30948" t="str">
        <v>-</v>
      </c>
      <c r="D30948" t="str">
        <v>-</v>
      </c>
      <c r="E30948" t="str">
        <v/>
      </c>
      <c r="F30948" t="str">
        <v>-</v>
      </c>
      <c r="G30948" t="str">
        <v>-</v>
      </c>
    </row>
    <row r="30949">
      <c r="B30949" t="str">
        <v>UBND Ủy ban nhân dân huyện Giồng Trôm  tỉnh Bến Tre</v>
      </c>
      <c r="C30949" t="str">
        <v>-</v>
      </c>
      <c r="D30949" t="str">
        <v>-</v>
      </c>
      <c r="E30949" t="str">
        <v>-</v>
      </c>
      <c r="F30949" t="str">
        <v>-</v>
      </c>
      <c r="G30949" t="str">
        <v>-</v>
      </c>
    </row>
    <row r="30950">
      <c r="B30950" t="str">
        <v>Công an xã Chiềng Sàng  tỉnh Sơn La</v>
      </c>
      <c r="C30950" t="str">
        <v>-</v>
      </c>
      <c r="D30950" t="str">
        <v>-</v>
      </c>
      <c r="E30950" t="str">
        <v/>
      </c>
      <c r="F30950" t="str">
        <v>-</v>
      </c>
      <c r="G30950" t="str">
        <v>-</v>
      </c>
    </row>
    <row r="30951">
      <c r="B30951" t="str">
        <v>UBND Ủy ban nhân dân xã Chiềng Sàng  tỉnh Sơn La</v>
      </c>
      <c r="C30951" t="str">
        <v>-</v>
      </c>
      <c r="D30951" t="str">
        <v>-</v>
      </c>
      <c r="E30951" t="str">
        <v>-</v>
      </c>
      <c r="F30951" t="str">
        <v>-</v>
      </c>
      <c r="G30951" t="str">
        <v>-</v>
      </c>
    </row>
    <row r="30952">
      <c r="B30952" t="str">
        <v>Công an huyện Cam Lộ  tỉnh Quảng Trị</v>
      </c>
      <c r="C30952" t="str">
        <v>-</v>
      </c>
      <c r="D30952" t="str">
        <v>-</v>
      </c>
      <c r="E30952" t="str">
        <v/>
      </c>
      <c r="F30952" t="str">
        <v>-</v>
      </c>
      <c r="G30952" t="str">
        <v>-</v>
      </c>
    </row>
    <row r="30953">
      <c r="B30953" t="str">
        <v>UBND Ủy ban nhân dân huyện Cam Lộ  tỉnh Quảng Trị</v>
      </c>
      <c r="C30953" t="str">
        <v>-</v>
      </c>
      <c r="D30953" t="str">
        <v>-</v>
      </c>
      <c r="E30953" t="str">
        <v>-</v>
      </c>
      <c r="F30953" t="str">
        <v>-</v>
      </c>
      <c r="G30953" t="str">
        <v>-</v>
      </c>
    </row>
    <row r="30954">
      <c r="B30954" t="str">
        <v>Công an xã Thạnh Lộc thành phố Cần Thơ</v>
      </c>
      <c r="C30954" t="str">
        <v>-</v>
      </c>
      <c r="D30954" t="str">
        <v>-</v>
      </c>
      <c r="E30954" t="str">
        <v/>
      </c>
      <c r="F30954" t="str">
        <v>-</v>
      </c>
      <c r="G30954" t="str">
        <v>-</v>
      </c>
    </row>
    <row r="30955">
      <c r="B30955" t="str">
        <v>UBND Ủy ban nhân dân xã Thạnh Lộc thành phố Cần Thơ</v>
      </c>
      <c r="C30955" t="str">
        <v>-</v>
      </c>
      <c r="D30955" t="str">
        <v>-</v>
      </c>
      <c r="E30955" t="str">
        <v>-</v>
      </c>
      <c r="F30955" t="str">
        <v>-</v>
      </c>
      <c r="G30955" t="str">
        <v>-</v>
      </c>
    </row>
    <row r="30956" xml:space="preserve">
      <c r="B30956" t="str" xml:space="preserve">
        <v xml:space="preserve">Công an xã Long Tân _x000d_
 tỉnh Đồng Nai</v>
      </c>
      <c r="C30956" t="str">
        <v>-</v>
      </c>
      <c r="D30956" t="str">
        <v>-</v>
      </c>
      <c r="E30956" t="str">
        <v/>
      </c>
      <c r="F30956" t="str">
        <v>-</v>
      </c>
      <c r="G30956" t="str">
        <v>-</v>
      </c>
    </row>
    <row r="30957" xml:space="preserve">
      <c r="B30957" t="str" xml:space="preserve">
        <v xml:space="preserve">UBND Ủy ban nhân dân xã Long Tân _x000d_
 tỉnh Đồng Nai</v>
      </c>
      <c r="C30957" t="str">
        <v>-</v>
      </c>
      <c r="D30957" t="str">
        <v>-</v>
      </c>
      <c r="E30957" t="str">
        <v>-</v>
      </c>
      <c r="F30957" t="str">
        <v>-</v>
      </c>
      <c r="G30957" t="str">
        <v>-</v>
      </c>
    </row>
    <row r="30958">
      <c r="B30958" t="str">
        <v>Công an phường Bắc Sơn tỉnh Ninh Bình</v>
      </c>
      <c r="C30958" t="str">
        <v>-</v>
      </c>
      <c r="D30958" t="str">
        <v>-</v>
      </c>
      <c r="E30958" t="str">
        <v/>
      </c>
      <c r="F30958" t="str">
        <v>-</v>
      </c>
      <c r="G30958" t="str">
        <v>-</v>
      </c>
    </row>
    <row r="30959">
      <c r="B30959" t="str">
        <v>UBND Ủy ban nhân dân phường Bắc Sơn tỉnh Ninh Bình</v>
      </c>
      <c r="C30959" t="str">
        <v>-</v>
      </c>
      <c r="D30959" t="str">
        <v>-</v>
      </c>
      <c r="E30959" t="str">
        <v>-</v>
      </c>
      <c r="F30959" t="str">
        <v>-</v>
      </c>
      <c r="G30959" t="str">
        <v>-</v>
      </c>
    </row>
    <row r="30960">
      <c r="B30960" t="str">
        <v>Công an xã Đức Bình Đông tỉnh Phú Yên</v>
      </c>
      <c r="C30960" t="str">
        <v>-</v>
      </c>
      <c r="D30960" t="str">
        <v>-</v>
      </c>
      <c r="E30960" t="str">
        <v/>
      </c>
      <c r="F30960" t="str">
        <v>-</v>
      </c>
      <c r="G30960" t="str">
        <v>-</v>
      </c>
    </row>
    <row r="30961">
      <c r="B30961" t="str">
        <v>UBND Ủy ban nhân dân xã Đức Bình Đông tỉnh Phú Yên</v>
      </c>
      <c r="C30961" t="str">
        <v>-</v>
      </c>
      <c r="D30961" t="str">
        <v>-</v>
      </c>
      <c r="E30961" t="str">
        <v>-</v>
      </c>
      <c r="F30961" t="str">
        <v>-</v>
      </c>
      <c r="G30961" t="str">
        <v>-</v>
      </c>
    </row>
    <row r="30962">
      <c r="B30962" t="str">
        <v>Công an huyện Bình Giang tỉnh Hải Dương</v>
      </c>
      <c r="C30962" t="str">
        <v>-</v>
      </c>
      <c r="D30962" t="str">
        <v>-</v>
      </c>
      <c r="E30962" t="str">
        <v/>
      </c>
      <c r="F30962" t="str">
        <v>-</v>
      </c>
      <c r="G30962" t="str">
        <v>-</v>
      </c>
    </row>
    <row r="30963">
      <c r="B30963" t="str">
        <v>UBND Ủy ban nhân dân huyện Bình Giang tỉnh Hải Dương</v>
      </c>
      <c r="C30963" t="str">
        <v>-</v>
      </c>
      <c r="D30963" t="str">
        <v>-</v>
      </c>
      <c r="E30963" t="str">
        <v>-</v>
      </c>
      <c r="F30963" t="str">
        <v>-</v>
      </c>
      <c r="G30963" t="str">
        <v>-</v>
      </c>
    </row>
    <row r="30964">
      <c r="B30964" t="str">
        <v>Công an xã Trường Xuân thành phố Cần Thơ</v>
      </c>
      <c r="C30964" t="str">
        <v>-</v>
      </c>
      <c r="D30964" t="str">
        <v>-</v>
      </c>
      <c r="E30964" t="str">
        <v/>
      </c>
      <c r="F30964" t="str">
        <v>-</v>
      </c>
      <c r="G30964" t="str">
        <v>-</v>
      </c>
    </row>
    <row r="30965">
      <c r="B30965" t="str">
        <v>UBND Ủy ban nhân dân xã Trường Xuân thành phố Cần Thơ</v>
      </c>
      <c r="C30965" t="str">
        <v>-</v>
      </c>
      <c r="D30965" t="str">
        <v>-</v>
      </c>
      <c r="E30965" t="str">
        <v>-</v>
      </c>
      <c r="F30965" t="str">
        <v>-</v>
      </c>
      <c r="G30965" t="str">
        <v>-</v>
      </c>
    </row>
    <row r="30966">
      <c r="B30966" t="str">
        <v>Công an xã Bắc Lương tỉnh Thanh Hóa</v>
      </c>
      <c r="C30966" t="str">
        <v>-</v>
      </c>
      <c r="D30966" t="str">
        <v>-</v>
      </c>
      <c r="E30966" t="str">
        <v/>
      </c>
      <c r="F30966" t="str">
        <v>-</v>
      </c>
      <c r="G30966" t="str">
        <v>-</v>
      </c>
    </row>
    <row r="30967">
      <c r="B30967" t="str">
        <v>UBND Ủy ban nhân dân xã Bắc Lương tỉnh Thanh Hóa</v>
      </c>
      <c r="C30967" t="str">
        <v>-</v>
      </c>
      <c r="D30967" t="str">
        <v>-</v>
      </c>
      <c r="E30967" t="str">
        <v>-</v>
      </c>
      <c r="F30967" t="str">
        <v>-</v>
      </c>
      <c r="G30967" t="str">
        <v>-</v>
      </c>
    </row>
    <row r="30968">
      <c r="B30968" t="str">
        <v>Công an xã Hưng Khánh Trung A  tỉnh Bến Tre</v>
      </c>
      <c r="C30968" t="str">
        <v>-</v>
      </c>
      <c r="D30968" t="str">
        <v>-</v>
      </c>
      <c r="E30968" t="str">
        <v/>
      </c>
      <c r="F30968" t="str">
        <v>-</v>
      </c>
      <c r="G30968" t="str">
        <v>-</v>
      </c>
    </row>
    <row r="30969">
      <c r="B30969" t="str">
        <v>UBND Ủy ban nhân dân xã Hưng Khánh Trung A  tỉnh Bến Tre</v>
      </c>
      <c r="C30969" t="str">
        <v>-</v>
      </c>
      <c r="D30969" t="str">
        <v>-</v>
      </c>
      <c r="E30969" t="str">
        <v>-</v>
      </c>
      <c r="F30969" t="str">
        <v>-</v>
      </c>
      <c r="G30969" t="str">
        <v>-</v>
      </c>
    </row>
    <row r="30970">
      <c r="B30970" t="str">
        <v>Công an xã Phổng Lăng  tỉnh Sơn La</v>
      </c>
      <c r="C30970" t="str">
        <v>-</v>
      </c>
      <c r="D30970" t="str">
        <v>-</v>
      </c>
      <c r="E30970" t="str">
        <v/>
      </c>
      <c r="F30970" t="str">
        <v>-</v>
      </c>
      <c r="G30970" t="str">
        <v>-</v>
      </c>
    </row>
    <row r="30971">
      <c r="B30971" t="str">
        <v>UBND Ủy ban nhân dân xã Phổng Lăng  tỉnh Sơn La</v>
      </c>
      <c r="C30971" t="str">
        <v>-</v>
      </c>
      <c r="D30971" t="str">
        <v>-</v>
      </c>
      <c r="E30971" t="str">
        <v>-</v>
      </c>
      <c r="F30971" t="str">
        <v>-</v>
      </c>
      <c r="G30971" t="str">
        <v>-</v>
      </c>
    </row>
    <row r="30972">
      <c r="B30972" t="str">
        <v>Công an xã Văn Phú tỉnh Yên Bái</v>
      </c>
      <c r="C30972" t="str">
        <v>-</v>
      </c>
      <c r="D30972" t="str">
        <v>-</v>
      </c>
      <c r="E30972" t="str">
        <v/>
      </c>
      <c r="F30972" t="str">
        <v>-</v>
      </c>
      <c r="G30972" t="str">
        <v>-</v>
      </c>
    </row>
    <row r="30973">
      <c r="B30973" t="str">
        <v>UBND Ủy ban nhân dân xã Văn Phú tỉnh Yên Bái</v>
      </c>
      <c r="C30973" t="str">
        <v>-</v>
      </c>
      <c r="D30973" t="str">
        <v>-</v>
      </c>
      <c r="E30973" t="str">
        <v>-</v>
      </c>
      <c r="F30973" t="str">
        <v>-</v>
      </c>
      <c r="G30973" t="str">
        <v>-</v>
      </c>
    </row>
    <row r="30974">
      <c r="B30974" t="str">
        <v>Công an xã Đại Hợp tỉnh Hải Dương</v>
      </c>
      <c r="C30974" t="str">
        <v>-</v>
      </c>
      <c r="D30974" t="str">
        <v>-</v>
      </c>
      <c r="E30974" t="str">
        <v/>
      </c>
      <c r="F30974" t="str">
        <v>-</v>
      </c>
      <c r="G30974" t="str">
        <v>-</v>
      </c>
    </row>
    <row r="30975">
      <c r="B30975" t="str">
        <v>UBND Ủy ban nhân dân xã Đại Hợp tỉnh Hải Dương</v>
      </c>
      <c r="C30975" t="str">
        <v>-</v>
      </c>
      <c r="D30975" t="str">
        <v>-</v>
      </c>
      <c r="E30975" t="str">
        <v>-</v>
      </c>
      <c r="F30975" t="str">
        <v>-</v>
      </c>
      <c r="G30975" t="str">
        <v>-</v>
      </c>
    </row>
    <row r="30976">
      <c r="B30976" t="str">
        <v>Công an tỉnh Đắk Lắk tỉnh Đắk Lắk</v>
      </c>
      <c r="C30976" t="str">
        <v>-</v>
      </c>
      <c r="D30976" t="str">
        <v>-</v>
      </c>
      <c r="E30976" t="str">
        <v/>
      </c>
      <c r="F30976" t="str">
        <v>-</v>
      </c>
      <c r="G30976" t="str">
        <v>-</v>
      </c>
    </row>
    <row r="30977">
      <c r="B30977" t="str">
        <v>UBND Ủy ban nhân dân tỉnh Đắk Lắk tỉnh Đắk Lắk</v>
      </c>
      <c r="C30977" t="str">
        <v>-</v>
      </c>
      <c r="D30977" t="str">
        <v>-</v>
      </c>
      <c r="E30977" t="str">
        <v>-</v>
      </c>
      <c r="F30977" t="str">
        <v>-</v>
      </c>
      <c r="G30977" t="str">
        <v>-</v>
      </c>
    </row>
    <row r="30978">
      <c r="B30978" t="str">
        <v>Công an xã Mường Giàng tỉnh Sơn La</v>
      </c>
      <c r="C30978" t="str">
        <v>-</v>
      </c>
      <c r="D30978" t="str">
        <v>-</v>
      </c>
      <c r="E30978" t="str">
        <v/>
      </c>
      <c r="F30978" t="str">
        <v>-</v>
      </c>
      <c r="G30978" t="str">
        <v>-</v>
      </c>
    </row>
    <row r="30979">
      <c r="B30979" t="str">
        <v>UBND Ủy ban nhân dân xã Mường Giàng tỉnh Sơn La</v>
      </c>
      <c r="C30979" t="str">
        <v>-</v>
      </c>
      <c r="D30979" t="str">
        <v>-</v>
      </c>
      <c r="E30979" t="str">
        <v>-</v>
      </c>
      <c r="F30979" t="str">
        <v>-</v>
      </c>
      <c r="G30979" t="str">
        <v>-</v>
      </c>
    </row>
    <row r="30980">
      <c r="B30980" t="str">
        <v>Công an xã Long An tỉnh Đồng Nai</v>
      </c>
      <c r="C30980" t="str">
        <v>-</v>
      </c>
      <c r="D30980" t="str">
        <v>-</v>
      </c>
      <c r="E30980" t="str">
        <v/>
      </c>
      <c r="F30980" t="str">
        <v>-</v>
      </c>
      <c r="G30980" t="str">
        <v>-</v>
      </c>
    </row>
    <row r="30981">
      <c r="B30981" t="str">
        <v>UBND Ủy ban nhân dân xã Long An tỉnh Đồng Nai</v>
      </c>
      <c r="C30981" t="str">
        <v>-</v>
      </c>
      <c r="D30981" t="str">
        <v>-</v>
      </c>
      <c r="E30981" t="str">
        <v>-</v>
      </c>
      <c r="F30981" t="str">
        <v>-</v>
      </c>
      <c r="G30981" t="str">
        <v>-</v>
      </c>
    </row>
    <row r="30982">
      <c r="B30982" t="str">
        <v>Công an xã Nhị Trường tỉnh Trà Vinh</v>
      </c>
      <c r="C30982" t="str">
        <v>-</v>
      </c>
      <c r="D30982" t="str">
        <v>-</v>
      </c>
      <c r="E30982" t="str">
        <v/>
      </c>
      <c r="F30982" t="str">
        <v>-</v>
      </c>
      <c r="G30982" t="str">
        <v>-</v>
      </c>
    </row>
    <row r="30983">
      <c r="B30983" t="str">
        <v>UBND Ủy ban nhân dân xã Nhị Trường tỉnh Trà Vinh</v>
      </c>
      <c r="C30983" t="str">
        <v>-</v>
      </c>
      <c r="D30983" t="str">
        <v>-</v>
      </c>
      <c r="E30983" t="str">
        <v>-</v>
      </c>
      <c r="F30983" t="str">
        <v>-</v>
      </c>
      <c r="G30983" t="str">
        <v>-</v>
      </c>
    </row>
    <row r="30984">
      <c r="B30984" t="str">
        <v>Công an xã Tân Thanh  tỉnh Bắc Giang</v>
      </c>
      <c r="C30984" t="str">
        <v>-</v>
      </c>
      <c r="D30984" t="str">
        <v>-</v>
      </c>
      <c r="E30984" t="str">
        <v/>
      </c>
      <c r="F30984" t="str">
        <v>-</v>
      </c>
      <c r="G30984" t="str">
        <v>-</v>
      </c>
    </row>
    <row r="30985">
      <c r="B30985" t="str">
        <v>UBND Ủy ban nhân dân xã Tân Thanh  tỉnh Bắc Giang</v>
      </c>
      <c r="C30985" t="str">
        <v>-</v>
      </c>
      <c r="D30985" t="str">
        <v>-</v>
      </c>
      <c r="E30985" t="str">
        <v>-</v>
      </c>
      <c r="F30985" t="str">
        <v>-</v>
      </c>
      <c r="G30985" t="str">
        <v>-</v>
      </c>
    </row>
    <row r="30986">
      <c r="B30986" t="str">
        <v>Công an xã Đại Phước  tỉnh Vĩnh Long</v>
      </c>
      <c r="C30986" t="str">
        <v>-</v>
      </c>
      <c r="D30986" t="str">
        <v>-</v>
      </c>
      <c r="E30986" t="str">
        <v/>
      </c>
      <c r="F30986" t="str">
        <v>-</v>
      </c>
      <c r="G30986" t="str">
        <v>-</v>
      </c>
    </row>
    <row r="30987">
      <c r="B30987" t="str">
        <v>UBND Ủy ban nhân dân xã Đại Phước  tỉnh Vĩnh Long</v>
      </c>
      <c r="C30987" t="str">
        <v>-</v>
      </c>
      <c r="D30987" t="str">
        <v>-</v>
      </c>
      <c r="E30987" t="str">
        <v>-</v>
      </c>
      <c r="F30987" t="str">
        <v>-</v>
      </c>
      <c r="G30987" t="str">
        <v>-</v>
      </c>
    </row>
    <row r="30988">
      <c r="B30988" t="str">
        <v>Công an thị trấn Chợ Lách tỉnh Bến Tre</v>
      </c>
      <c r="C30988" t="str">
        <v>-</v>
      </c>
      <c r="D30988" t="str">
        <v>-</v>
      </c>
      <c r="E30988" t="str">
        <v/>
      </c>
      <c r="F30988" t="str">
        <v>-</v>
      </c>
      <c r="G30988" t="str">
        <v>-</v>
      </c>
    </row>
    <row r="30989">
      <c r="B30989" t="str">
        <v>UBND Ủy ban nhân dân thị trấn Chợ Lách tỉnh Bến Tre</v>
      </c>
      <c r="C30989" t="str">
        <v>-</v>
      </c>
      <c r="D30989" t="str">
        <v>-</v>
      </c>
      <c r="E30989" t="str">
        <v>-</v>
      </c>
      <c r="F30989" t="str">
        <v>-</v>
      </c>
      <c r="G30989" t="str">
        <v>-</v>
      </c>
    </row>
    <row r="30990">
      <c r="B30990" t="str">
        <v>Công an xã Dưỡng Điềm tỉnh TIỀN GIANG</v>
      </c>
      <c r="C30990" t="str">
        <v>-</v>
      </c>
      <c r="D30990" t="str">
        <v>-</v>
      </c>
      <c r="E30990" t="str">
        <v/>
      </c>
      <c r="F30990" t="str">
        <v>-</v>
      </c>
      <c r="G30990" t="str">
        <v>-</v>
      </c>
    </row>
    <row r="30991">
      <c r="B30991" t="str">
        <v>UBND Ủy ban nhân dân xã Dưỡng Điềm tỉnh TIỀN GIANG</v>
      </c>
      <c r="C30991" t="str">
        <v>-</v>
      </c>
      <c r="D30991" t="str">
        <v>-</v>
      </c>
      <c r="E30991" t="str">
        <v>-</v>
      </c>
      <c r="F30991" t="str">
        <v>-</v>
      </c>
      <c r="G30991" t="str">
        <v>-</v>
      </c>
    </row>
    <row r="30992">
      <c r="B30992" t="str">
        <v>Công an xã An Trường tỉnh Trà Vinh</v>
      </c>
      <c r="C30992" t="str">
        <v>-</v>
      </c>
      <c r="D30992" t="str">
        <v>-</v>
      </c>
      <c r="E30992" t="str">
        <v/>
      </c>
      <c r="F30992" t="str">
        <v>-</v>
      </c>
      <c r="G30992" t="str">
        <v>-</v>
      </c>
    </row>
    <row r="30993">
      <c r="B30993" t="str">
        <v>UBND Ủy ban nhân dân xã An Trường tỉnh Trà Vinh</v>
      </c>
      <c r="C30993" t="str">
        <v>-</v>
      </c>
      <c r="D30993" t="str">
        <v>-</v>
      </c>
      <c r="E30993" t="str">
        <v>-</v>
      </c>
      <c r="F30993" t="str">
        <v>-</v>
      </c>
      <c r="G30993" t="str">
        <v>-</v>
      </c>
    </row>
    <row r="30994">
      <c r="B30994" t="str">
        <v>Công an xã Kon Đào  tỉnh Đắk Nông</v>
      </c>
      <c r="C30994" t="str">
        <v>-</v>
      </c>
      <c r="D30994" t="str">
        <v>-</v>
      </c>
      <c r="E30994" t="str">
        <v/>
      </c>
      <c r="F30994" t="str">
        <v>-</v>
      </c>
      <c r="G30994" t="str">
        <v>-</v>
      </c>
    </row>
    <row r="30995">
      <c r="B30995" t="str">
        <v>UBND Ủy ban nhân dân xã Kon Đào  tỉnh Đắk Nông</v>
      </c>
      <c r="C30995" t="str">
        <v>-</v>
      </c>
      <c r="D30995" t="str">
        <v>-</v>
      </c>
      <c r="E30995" t="str">
        <v>-</v>
      </c>
      <c r="F30995" t="str">
        <v>-</v>
      </c>
      <c r="G30995" t="str">
        <v>-</v>
      </c>
    </row>
    <row r="30996">
      <c r="B30996" t="str">
        <v>Công an xã Phú Nghĩa thành phố Hà Nội</v>
      </c>
      <c r="C30996" t="str">
        <v>-</v>
      </c>
      <c r="D30996" t="str">
        <v>-</v>
      </c>
      <c r="E30996" t="str">
        <v/>
      </c>
      <c r="F30996" t="str">
        <v>-</v>
      </c>
      <c r="G30996" t="str">
        <v>-</v>
      </c>
    </row>
    <row r="30997">
      <c r="B30997" t="str">
        <v>UBND Ủy ban nhân dân xã Phú Nghĩa thành phố Hà Nội</v>
      </c>
      <c r="C30997" t="str">
        <v>-</v>
      </c>
      <c r="D30997" t="str">
        <v>-</v>
      </c>
      <c r="E30997" t="str">
        <v>-</v>
      </c>
      <c r="F30997" t="str">
        <v>-</v>
      </c>
      <c r="G30997" t="str">
        <v>-</v>
      </c>
    </row>
    <row r="30998">
      <c r="B30998" t="str">
        <v>Công an xã Kim Sơn tỉnh TIỀN GIANG</v>
      </c>
      <c r="C30998" t="str">
        <v>-</v>
      </c>
      <c r="D30998" t="str">
        <v>-</v>
      </c>
      <c r="E30998" t="str">
        <v/>
      </c>
      <c r="F30998" t="str">
        <v>-</v>
      </c>
      <c r="G30998" t="str">
        <v>-</v>
      </c>
    </row>
    <row r="30999">
      <c r="B30999" t="str">
        <v>UBND Ủy ban nhân dân xã Kim Sơn tỉnh TIỀN GIANG</v>
      </c>
      <c r="C30999" t="str">
        <v>-</v>
      </c>
      <c r="D30999" t="str">
        <v>-</v>
      </c>
      <c r="E30999" t="str">
        <v>-</v>
      </c>
      <c r="F30999" t="str">
        <v>-</v>
      </c>
      <c r="G30999" t="str">
        <v>-</v>
      </c>
    </row>
    <row r="31000">
      <c r="B31000" t="str">
        <v>Công an xã Huyền Hội tỉnh Trà Vinh</v>
      </c>
      <c r="C31000" t="str">
        <v>-</v>
      </c>
      <c r="D31000" t="str">
        <v>-</v>
      </c>
      <c r="E31000" t="str">
        <v/>
      </c>
      <c r="F31000" t="str">
        <v>-</v>
      </c>
      <c r="G31000" t="str">
        <v>-</v>
      </c>
    </row>
    <row r="31001">
      <c r="B31001" t="str">
        <v>UBND Ủy ban nhân dân xã Huyền Hội tỉnh Trà Vinh</v>
      </c>
      <c r="C31001" t="str">
        <v>-</v>
      </c>
      <c r="D31001" t="str">
        <v>-</v>
      </c>
      <c r="E31001" t="str">
        <v>-</v>
      </c>
      <c r="F31001" t="str">
        <v>-</v>
      </c>
      <c r="G31001" t="str">
        <v>-</v>
      </c>
    </row>
    <row r="31002">
      <c r="B31002" t="str">
        <v>Công an tỉnh Quảng Ngãi tỉnh Quảng Ngãi</v>
      </c>
      <c r="C31002" t="str">
        <v>-</v>
      </c>
      <c r="D31002" t="str">
        <v>-</v>
      </c>
      <c r="E31002" t="str">
        <v/>
      </c>
      <c r="F31002" t="str">
        <v>-</v>
      </c>
      <c r="G31002" t="str">
        <v>-</v>
      </c>
    </row>
    <row r="31003">
      <c r="B31003" t="str">
        <v>UBND Ủy ban nhân dân tỉnh Quảng Ngãi tỉnh Quảng Ngãi</v>
      </c>
      <c r="C31003" t="str">
        <v>-</v>
      </c>
      <c r="D31003" t="str">
        <v>-</v>
      </c>
      <c r="E31003" t="str">
        <v>-</v>
      </c>
      <c r="F31003" t="str">
        <v>-</v>
      </c>
      <c r="G31003" t="str">
        <v>-</v>
      </c>
    </row>
    <row r="31004">
      <c r="B31004" t="str">
        <v>Công an xã Chiềng Bôm tỉnh Sơn La</v>
      </c>
      <c r="C31004" t="str">
        <v>-</v>
      </c>
      <c r="D31004" t="str">
        <v>-</v>
      </c>
      <c r="E31004" t="str">
        <v/>
      </c>
      <c r="F31004" t="str">
        <v>-</v>
      </c>
      <c r="G31004" t="str">
        <v>-</v>
      </c>
    </row>
    <row r="31005">
      <c r="B31005" t="str">
        <v>UBND Ủy ban nhân dân xã Chiềng Bôm tỉnh Sơn La</v>
      </c>
      <c r="C31005" t="str">
        <v>-</v>
      </c>
      <c r="D31005" t="str">
        <v>-</v>
      </c>
      <c r="E31005" t="str">
        <v>-</v>
      </c>
      <c r="F31005" t="str">
        <v>-</v>
      </c>
      <c r="G31005" t="str">
        <v>-</v>
      </c>
    </row>
    <row r="31006">
      <c r="B31006" t="str">
        <v>Công an thị trấn Trà My tỉnh Quảng Nam</v>
      </c>
      <c r="C31006" t="str">
        <v>-</v>
      </c>
      <c r="D31006" t="str">
        <v>-</v>
      </c>
      <c r="E31006" t="str">
        <v/>
      </c>
      <c r="F31006" t="str">
        <v>-</v>
      </c>
      <c r="G31006" t="str">
        <v>-</v>
      </c>
    </row>
    <row r="31007">
      <c r="B31007" t="str">
        <v>UBND Ủy ban nhân dân thị trấn Trà My tỉnh Quảng Nam</v>
      </c>
      <c r="C31007" t="str">
        <v>-</v>
      </c>
      <c r="D31007" t="str">
        <v>-</v>
      </c>
      <c r="E31007" t="str">
        <v>-</v>
      </c>
      <c r="F31007" t="str">
        <v>-</v>
      </c>
      <c r="G31007" t="str">
        <v>-</v>
      </c>
    </row>
    <row r="31008">
      <c r="B31008" t="str">
        <v>Công an xã Đồng Lạc tỉnh Phú Thọ</v>
      </c>
      <c r="C31008" t="str">
        <v>-</v>
      </c>
      <c r="D31008" t="str">
        <v>-</v>
      </c>
      <c r="E31008" t="str">
        <v/>
      </c>
      <c r="F31008" t="str">
        <v>-</v>
      </c>
      <c r="G31008" t="str">
        <v>-</v>
      </c>
    </row>
    <row r="31009">
      <c r="B31009" t="str">
        <v>UBND Ủy ban nhân dân xã Đồng Lạc tỉnh Phú Thọ</v>
      </c>
      <c r="C31009" t="str">
        <v>-</v>
      </c>
      <c r="D31009" t="str">
        <v>-</v>
      </c>
      <c r="E31009" t="str">
        <v>-</v>
      </c>
      <c r="F31009" t="str">
        <v>-</v>
      </c>
      <c r="G31009" t="str">
        <v>-</v>
      </c>
    </row>
    <row r="31010">
      <c r="B31010" t="str">
        <v>Công an xã Đồng Lạc tỉnh Hải Dương</v>
      </c>
      <c r="C31010" t="str">
        <v>-</v>
      </c>
      <c r="D31010" t="str">
        <v>-</v>
      </c>
      <c r="E31010" t="str">
        <v/>
      </c>
      <c r="F31010" t="str">
        <v>-</v>
      </c>
      <c r="G31010" t="str">
        <v>-</v>
      </c>
    </row>
    <row r="31011">
      <c r="B31011" t="str">
        <v>UBND Ủy ban nhân dân xã Đồng Lạc tỉnh Hải Dương</v>
      </c>
      <c r="C31011" t="str">
        <v>-</v>
      </c>
      <c r="D31011" t="str">
        <v>-</v>
      </c>
      <c r="E31011" t="str">
        <v>-</v>
      </c>
      <c r="F31011" t="str">
        <v>-</v>
      </c>
      <c r="G31011" t="str">
        <v>-</v>
      </c>
    </row>
    <row r="31012">
      <c r="B31012" t="str">
        <v>Công an xã Ta Ma tỉnh Điện Biên</v>
      </c>
      <c r="C31012" t="str">
        <v>-</v>
      </c>
      <c r="D31012" t="str">
        <v>-</v>
      </c>
      <c r="E31012" t="str">
        <v/>
      </c>
      <c r="F31012" t="str">
        <v>-</v>
      </c>
      <c r="G31012" t="str">
        <v>-</v>
      </c>
    </row>
    <row r="31013">
      <c r="B31013" t="str">
        <v>UBND Ủy ban nhân dân xã Ta Ma tỉnh Điện Biên</v>
      </c>
      <c r="C31013" t="str">
        <v>-</v>
      </c>
      <c r="D31013" t="str">
        <v>-</v>
      </c>
      <c r="E31013" t="str">
        <v>-</v>
      </c>
      <c r="F31013" t="str">
        <v>-</v>
      </c>
      <c r="G31013" t="str">
        <v>-</v>
      </c>
    </row>
    <row r="31014">
      <c r="B31014" t="str">
        <v>Công an xã Hồ Thầu tỉnh Lai Châu</v>
      </c>
      <c r="C31014" t="str">
        <v>-</v>
      </c>
      <c r="D31014" t="str">
        <v>-</v>
      </c>
      <c r="E31014" t="str">
        <v/>
      </c>
      <c r="F31014" t="str">
        <v>-</v>
      </c>
      <c r="G31014" t="str">
        <v>-</v>
      </c>
    </row>
    <row r="31015">
      <c r="B31015" t="str">
        <v>UBND Ủy ban nhân dân xã Hồ Thầu tỉnh Lai Châu</v>
      </c>
      <c r="C31015" t="str">
        <v>-</v>
      </c>
      <c r="D31015" t="str">
        <v>-</v>
      </c>
      <c r="E31015" t="str">
        <v>-</v>
      </c>
      <c r="F31015" t="str">
        <v>-</v>
      </c>
      <c r="G31015" t="str">
        <v>-</v>
      </c>
    </row>
    <row r="31016">
      <c r="B31016" t="str">
        <v>Công an xã Bản Bo tỉnh Lai Châu</v>
      </c>
      <c r="C31016" t="str">
        <v>-</v>
      </c>
      <c r="D31016" t="str">
        <v>-</v>
      </c>
      <c r="E31016" t="str">
        <v/>
      </c>
      <c r="F31016" t="str">
        <v>-</v>
      </c>
      <c r="G31016" t="str">
        <v>-</v>
      </c>
    </row>
    <row r="31017">
      <c r="B31017" t="str">
        <v>UBND Ủy ban nhân dân xã Bản Bo tỉnh Lai Châu</v>
      </c>
      <c r="C31017" t="str">
        <v>-</v>
      </c>
      <c r="D31017" t="str">
        <v>-</v>
      </c>
      <c r="E31017" t="str">
        <v>-</v>
      </c>
      <c r="F31017" t="str">
        <v>-</v>
      </c>
      <c r="G31017" t="str">
        <v>-</v>
      </c>
    </row>
    <row r="31018">
      <c r="B31018" t="str">
        <v>Công an xã Gia Lạc tỉnh Ninh Bình</v>
      </c>
      <c r="C31018" t="str">
        <v>-</v>
      </c>
      <c r="D31018" t="str">
        <v>-</v>
      </c>
      <c r="E31018" t="str">
        <v/>
      </c>
      <c r="F31018" t="str">
        <v>-</v>
      </c>
      <c r="G31018" t="str">
        <v>-</v>
      </c>
    </row>
    <row r="31019">
      <c r="B31019" t="str">
        <v>UBND Ủy ban nhân dân xã Gia Lạc tỉnh Ninh Bình</v>
      </c>
      <c r="C31019" t="str">
        <v>-</v>
      </c>
      <c r="D31019" t="str">
        <v>-</v>
      </c>
      <c r="E31019" t="str">
        <v>-</v>
      </c>
      <c r="F31019" t="str">
        <v>-</v>
      </c>
      <c r="G31019" t="str">
        <v>-</v>
      </c>
    </row>
    <row r="31020">
      <c r="B31020" t="str">
        <v>Công an xã Quỳnh Bảo tỉnh Thái Bình</v>
      </c>
      <c r="C31020" t="str">
        <v>-</v>
      </c>
      <c r="D31020" t="str">
        <v>-</v>
      </c>
      <c r="E31020" t="str">
        <v/>
      </c>
      <c r="F31020" t="str">
        <v>-</v>
      </c>
      <c r="G31020" t="str">
        <v>-</v>
      </c>
    </row>
    <row r="31021">
      <c r="B31021" t="str">
        <v>UBND Ủy ban nhân dân xã Quỳnh Bảo tỉnh Thái Bình</v>
      </c>
      <c r="C31021" t="str">
        <v>-</v>
      </c>
      <c r="D31021" t="str">
        <v>-</v>
      </c>
      <c r="E31021" t="str">
        <v>-</v>
      </c>
      <c r="F31021" t="str">
        <v>-</v>
      </c>
      <c r="G31021" t="str">
        <v>-</v>
      </c>
    </row>
    <row r="31022">
      <c r="B31022" t="str">
        <v>Công an xã Đặng Sơn tỉnh Nghệ An</v>
      </c>
      <c r="C31022" t="str">
        <v>-</v>
      </c>
      <c r="D31022" t="str">
        <v>-</v>
      </c>
      <c r="E31022" t="str">
        <v/>
      </c>
      <c r="F31022" t="str">
        <v>-</v>
      </c>
      <c r="G31022" t="str">
        <v>-</v>
      </c>
    </row>
    <row r="31023">
      <c r="B31023" t="str">
        <v>UBND Ủy ban nhân dân xã Đặng Sơn tỉnh Nghệ An</v>
      </c>
      <c r="C31023" t="str">
        <v>-</v>
      </c>
      <c r="D31023" t="str">
        <v>-</v>
      </c>
      <c r="E31023" t="str">
        <v>-</v>
      </c>
      <c r="F31023" t="str">
        <v>-</v>
      </c>
      <c r="G31023" t="str">
        <v>-</v>
      </c>
    </row>
    <row r="31024">
      <c r="B31024" t="str">
        <v>Công an xã Chiềng Tương tỉnh Sơn La</v>
      </c>
      <c r="C31024" t="str">
        <v>-</v>
      </c>
      <c r="D31024" t="str">
        <v>-</v>
      </c>
      <c r="E31024" t="str">
        <v/>
      </c>
      <c r="F31024" t="str">
        <v>-</v>
      </c>
      <c r="G31024" t="str">
        <v>-</v>
      </c>
    </row>
    <row r="31025">
      <c r="B31025" t="str">
        <v>UBND Ủy ban nhân dân xã Chiềng Tương tỉnh Sơn La</v>
      </c>
      <c r="C31025" t="str">
        <v>-</v>
      </c>
      <c r="D31025" t="str">
        <v>-</v>
      </c>
      <c r="E31025" t="str">
        <v>-</v>
      </c>
      <c r="F31025" t="str">
        <v>-</v>
      </c>
      <c r="G31025" t="str">
        <v>-</v>
      </c>
    </row>
    <row r="31026">
      <c r="B31026" t="str">
        <v>Công an xã Đồng Xuân tỉnh Phú Thọ</v>
      </c>
      <c r="C31026" t="str">
        <v>-</v>
      </c>
      <c r="D31026" t="str">
        <v>-</v>
      </c>
      <c r="E31026" t="str">
        <v/>
      </c>
      <c r="F31026" t="str">
        <v>-</v>
      </c>
      <c r="G31026" t="str">
        <v>-</v>
      </c>
    </row>
    <row r="31027">
      <c r="B31027" t="str">
        <v>UBND Ủy ban nhân dân xã Đồng Xuân tỉnh Phú Thọ</v>
      </c>
      <c r="C31027" t="str">
        <v>-</v>
      </c>
      <c r="D31027" t="str">
        <v>-</v>
      </c>
      <c r="E31027" t="str">
        <v>-</v>
      </c>
      <c r="F31027" t="str">
        <v>-</v>
      </c>
      <c r="G31027" t="str">
        <v>-</v>
      </c>
    </row>
    <row r="31028">
      <c r="B31028" t="str">
        <v>Công an xã Gia Tiến tỉnh Ninh Bình</v>
      </c>
      <c r="C31028" t="str">
        <v>-</v>
      </c>
      <c r="D31028" t="str">
        <v>-</v>
      </c>
      <c r="E31028" t="str">
        <v/>
      </c>
      <c r="F31028" t="str">
        <v>-</v>
      </c>
      <c r="G31028" t="str">
        <v>-</v>
      </c>
    </row>
    <row r="31029">
      <c r="B31029" t="str">
        <v>UBND Ủy ban nhân dân xã Gia Tiến tỉnh Ninh Bình</v>
      </c>
      <c r="C31029" t="str">
        <v>-</v>
      </c>
      <c r="D31029" t="str">
        <v>-</v>
      </c>
      <c r="E31029" t="str">
        <v>-</v>
      </c>
      <c r="F31029" t="str">
        <v>-</v>
      </c>
      <c r="G31029" t="str">
        <v>-</v>
      </c>
    </row>
    <row r="31030">
      <c r="B31030" t="str">
        <v>Công an tỉnh Quảng Bình tỉnh Quảng Bình</v>
      </c>
      <c r="C31030" t="str">
        <v>-</v>
      </c>
      <c r="D31030" t="str">
        <v>-</v>
      </c>
      <c r="E31030" t="str">
        <v/>
      </c>
      <c r="F31030" t="str">
        <v>-</v>
      </c>
      <c r="G31030" t="str">
        <v>-</v>
      </c>
    </row>
    <row r="31031">
      <c r="B31031" t="str">
        <v>UBND Ủy ban nhân dân tỉnh Quảng Bình tỉnh Quảng Bình</v>
      </c>
      <c r="C31031" t="str">
        <v>-</v>
      </c>
      <c r="D31031" t="str">
        <v>-</v>
      </c>
      <c r="E31031" t="str">
        <v>-</v>
      </c>
      <c r="F31031" t="str">
        <v>-</v>
      </c>
      <c r="G31031" t="str">
        <v>-</v>
      </c>
    </row>
    <row r="31032">
      <c r="B31032" t="str">
        <v>Công an xã Mai Hoá tỉnh Quảng Bình</v>
      </c>
      <c r="C31032" t="str">
        <v>-</v>
      </c>
      <c r="D31032" t="str">
        <v>-</v>
      </c>
      <c r="E31032" t="str">
        <v/>
      </c>
      <c r="F31032" t="str">
        <v>-</v>
      </c>
      <c r="G31032" t="str">
        <v>-</v>
      </c>
    </row>
    <row r="31033">
      <c r="B31033" t="str">
        <v>UBND Ủy ban nhân dân xã Mai Hoá tỉnh Quảng Bình</v>
      </c>
      <c r="C31033" t="str">
        <v>-</v>
      </c>
      <c r="D31033" t="str">
        <v>-</v>
      </c>
      <c r="E31033" t="str">
        <v>-</v>
      </c>
      <c r="F31033" t="str">
        <v>-</v>
      </c>
      <c r="G31033" t="str">
        <v>-</v>
      </c>
    </row>
    <row r="31034">
      <c r="B31034" t="str">
        <v>Công an xã Trà Đông tỉnh Quảng Nam</v>
      </c>
      <c r="C31034" t="str">
        <v>-</v>
      </c>
      <c r="D31034" t="str">
        <v>-</v>
      </c>
      <c r="E31034" t="str">
        <v/>
      </c>
      <c r="F31034" t="str">
        <v>-</v>
      </c>
      <c r="G31034" t="str">
        <v>-</v>
      </c>
    </row>
    <row r="31035">
      <c r="B31035" t="str">
        <v>UBND Ủy ban nhân dân xã Trà Đông tỉnh Quảng Nam</v>
      </c>
      <c r="C31035" t="str">
        <v>-</v>
      </c>
      <c r="D31035" t="str">
        <v>-</v>
      </c>
      <c r="E31035" t="str">
        <v>-</v>
      </c>
      <c r="F31035" t="str">
        <v>-</v>
      </c>
      <c r="G31035" t="str">
        <v>-</v>
      </c>
    </row>
    <row r="31036">
      <c r="B31036" t="str">
        <v>Công an xã Tây Ninh tỉnh Thái Bình</v>
      </c>
      <c r="C31036" t="str">
        <v>-</v>
      </c>
      <c r="D31036" t="str">
        <v>-</v>
      </c>
      <c r="E31036" t="str">
        <v/>
      </c>
      <c r="F31036" t="str">
        <v>-</v>
      </c>
      <c r="G31036" t="str">
        <v>-</v>
      </c>
    </row>
    <row r="31037">
      <c r="B31037" t="str">
        <v>UBND Ủy ban nhân dân xã Tây Ninh tỉnh Thái Bình</v>
      </c>
      <c r="C31037" t="str">
        <v>-</v>
      </c>
      <c r="D31037" t="str">
        <v>-</v>
      </c>
      <c r="E31037" t="str">
        <v>-</v>
      </c>
      <c r="F31037" t="str">
        <v>-</v>
      </c>
      <c r="G31037" t="str">
        <v>-</v>
      </c>
    </row>
    <row r="31038">
      <c r="B31038" t="str">
        <v>Công an xã Bồ Lý tỉnh Vĩnh Phúc</v>
      </c>
      <c r="C31038" t="str">
        <v>-</v>
      </c>
      <c r="D31038" t="str">
        <v>-</v>
      </c>
      <c r="E31038" t="str">
        <v/>
      </c>
      <c r="F31038" t="str">
        <v>-</v>
      </c>
      <c r="G31038" t="str">
        <v>-</v>
      </c>
    </row>
    <row r="31039">
      <c r="B31039" t="str">
        <v>UBND Ủy ban nhân dân xã Bồ Lý tỉnh Vĩnh Phúc</v>
      </c>
      <c r="C31039" t="str">
        <v>-</v>
      </c>
      <c r="D31039" t="str">
        <v>-</v>
      </c>
      <c r="E31039" t="str">
        <v>-</v>
      </c>
      <c r="F31039" t="str">
        <v>-</v>
      </c>
      <c r="G31039" t="str">
        <v>-</v>
      </c>
    </row>
    <row r="31040">
      <c r="B31040" t="str">
        <v>Công an xã Tân Dương tỉnh Thái Nguyên</v>
      </c>
      <c r="C31040" t="str">
        <v>-</v>
      </c>
      <c r="D31040" t="str">
        <v>-</v>
      </c>
      <c r="E31040" t="str">
        <v/>
      </c>
      <c r="F31040" t="str">
        <v>-</v>
      </c>
      <c r="G31040" t="str">
        <v>-</v>
      </c>
    </row>
    <row r="31041">
      <c r="B31041" t="str">
        <v>UBND Ủy ban nhân dân xã Tân Dương tỉnh Thái Nguyên</v>
      </c>
      <c r="C31041" t="str">
        <v>-</v>
      </c>
      <c r="D31041" t="str">
        <v>-</v>
      </c>
      <c r="E31041" t="str">
        <v>-</v>
      </c>
      <c r="F31041" t="str">
        <v>-</v>
      </c>
      <c r="G31041" t="str">
        <v>-</v>
      </c>
    </row>
    <row r="31042">
      <c r="B31042" t="str">
        <v>Công an xã Chiềng Khoi tỉnh Sơn La</v>
      </c>
      <c r="C31042" t="str">
        <v>-</v>
      </c>
      <c r="D31042" t="str">
        <v>-</v>
      </c>
      <c r="E31042" t="str">
        <v/>
      </c>
      <c r="F31042" t="str">
        <v>-</v>
      </c>
      <c r="G31042" t="str">
        <v>-</v>
      </c>
    </row>
    <row r="31043">
      <c r="B31043" t="str">
        <v>UBND Ủy ban nhân dân xã Chiềng Khoi tỉnh Sơn La</v>
      </c>
      <c r="C31043" t="str">
        <v>-</v>
      </c>
      <c r="D31043" t="str">
        <v>-</v>
      </c>
      <c r="E31043" t="str">
        <v>-</v>
      </c>
      <c r="F31043" t="str">
        <v>-</v>
      </c>
      <c r="G31043" t="str">
        <v>-</v>
      </c>
    </row>
    <row r="31044">
      <c r="B31044" t="str">
        <v>Công an xã Hướng Đạo tỉnh Vĩnh Phúc</v>
      </c>
      <c r="C31044" t="str">
        <v>-</v>
      </c>
      <c r="D31044" t="str">
        <v>-</v>
      </c>
      <c r="E31044" t="str">
        <v/>
      </c>
      <c r="F31044" t="str">
        <v>-</v>
      </c>
      <c r="G31044" t="str">
        <v>-</v>
      </c>
    </row>
    <row r="31045">
      <c r="B31045" t="str">
        <v>UBND Ủy ban nhân dân xã Hướng Đạo tỉnh Vĩnh Phúc</v>
      </c>
      <c r="C31045" t="str">
        <v>-</v>
      </c>
      <c r="D31045" t="str">
        <v>-</v>
      </c>
      <c r="E31045" t="str">
        <v>-</v>
      </c>
      <c r="F31045" t="str">
        <v>-</v>
      </c>
      <c r="G31045" t="str">
        <v>-</v>
      </c>
    </row>
    <row r="31046">
      <c r="B31046" t="str">
        <v>Công an xã Song An  tỉnh Thái Bình</v>
      </c>
      <c r="C31046" t="str">
        <v>-</v>
      </c>
      <c r="D31046" t="str">
        <v>-</v>
      </c>
      <c r="E31046" t="str">
        <v/>
      </c>
      <c r="F31046" t="str">
        <v>-</v>
      </c>
      <c r="G31046" t="str">
        <v>-</v>
      </c>
    </row>
    <row r="31047">
      <c r="B31047" t="str">
        <v>UBND Ủy ban nhân dân xã Song An  tỉnh Thái Bình</v>
      </c>
      <c r="C31047" t="str">
        <v>-</v>
      </c>
      <c r="D31047" t="str">
        <v>-</v>
      </c>
      <c r="E31047" t="str">
        <v>-</v>
      </c>
      <c r="F31047" t="str">
        <v>-</v>
      </c>
      <c r="G31047" t="str">
        <v>-</v>
      </c>
    </row>
    <row r="31048">
      <c r="B31048" t="str">
        <v>Công an huyện Nam Sách tỉnh Hải Dương</v>
      </c>
      <c r="C31048" t="str">
        <v>-</v>
      </c>
      <c r="D31048" t="str">
        <v>-</v>
      </c>
      <c r="E31048" t="str">
        <v/>
      </c>
      <c r="F31048" t="str">
        <v>-</v>
      </c>
      <c r="G31048" t="str">
        <v>-</v>
      </c>
    </row>
    <row r="31049">
      <c r="B31049" t="str">
        <v>UBND Ủy ban nhân dân huyện Nam Sách tỉnh Hải Dương</v>
      </c>
      <c r="C31049" t="str">
        <v>-</v>
      </c>
      <c r="D31049" t="str">
        <v>-</v>
      </c>
      <c r="E31049" t="str">
        <v>-</v>
      </c>
      <c r="F31049" t="str">
        <v>-</v>
      </c>
      <c r="G31049" t="str">
        <v>-</v>
      </c>
    </row>
    <row r="31050">
      <c r="B31050" t="str">
        <v>Công an xã Định Hóa tỉnh Ninh Bình</v>
      </c>
      <c r="C31050" t="str">
        <v>-</v>
      </c>
      <c r="D31050" t="str">
        <v>-</v>
      </c>
      <c r="E31050" t="str">
        <v/>
      </c>
      <c r="F31050" t="str">
        <v>-</v>
      </c>
      <c r="G31050" t="str">
        <v>-</v>
      </c>
    </row>
    <row r="31051">
      <c r="B31051" t="str">
        <v>UBND Ủy ban nhân dân xã Định Hóa tỉnh Ninh Bình</v>
      </c>
      <c r="C31051" t="str">
        <v>-</v>
      </c>
      <c r="D31051" t="str">
        <v>-</v>
      </c>
      <c r="E31051" t="str">
        <v>-</v>
      </c>
      <c r="F31051" t="str">
        <v>-</v>
      </c>
      <c r="G31051" t="str">
        <v>-</v>
      </c>
    </row>
    <row r="31052" xml:space="preserve">
      <c r="B31052" t="str" xml:space="preserve">
        <v xml:space="preserve">Công an xã Châu Bình _x000d_
 tỉnh Bến Tre</v>
      </c>
      <c r="C31052" t="str">
        <v>-</v>
      </c>
      <c r="D31052" t="str">
        <v>-</v>
      </c>
      <c r="E31052" t="str">
        <v/>
      </c>
      <c r="F31052" t="str">
        <v>-</v>
      </c>
      <c r="G31052" t="str">
        <v>-</v>
      </c>
    </row>
    <row r="31053" xml:space="preserve">
      <c r="B31053" t="str" xml:space="preserve">
        <v xml:space="preserve">UBND Ủy ban nhân dân xã Châu Bình _x000d_
 tỉnh Bến Tre</v>
      </c>
      <c r="C31053" t="str">
        <v>-</v>
      </c>
      <c r="D31053" t="str">
        <v>-</v>
      </c>
      <c r="E31053" t="str">
        <v>-</v>
      </c>
      <c r="F31053" t="str">
        <v>-</v>
      </c>
      <c r="G31053" t="str">
        <v>-</v>
      </c>
    </row>
    <row r="31054" xml:space="preserve">
      <c r="B31054" t="str" xml:space="preserve">
        <v xml:space="preserve">Công an xã Mường So _x000d_
 tỉnh Lai Châu</v>
      </c>
      <c r="C31054" t="str">
        <v>-</v>
      </c>
      <c r="D31054" t="str">
        <v>-</v>
      </c>
      <c r="E31054" t="str">
        <v/>
      </c>
      <c r="F31054" t="str">
        <v>-</v>
      </c>
      <c r="G31054" t="str">
        <v>-</v>
      </c>
    </row>
    <row r="31055" xml:space="preserve">
      <c r="B31055" t="str" xml:space="preserve">
        <v xml:space="preserve">UBND Ủy ban nhân dân xã Mường So _x000d_
 tỉnh Lai Châu</v>
      </c>
      <c r="C31055" t="str">
        <v>-</v>
      </c>
      <c r="D31055" t="str">
        <v>-</v>
      </c>
      <c r="E31055" t="str">
        <v>-</v>
      </c>
      <c r="F31055" t="str">
        <v>-</v>
      </c>
      <c r="G31055" t="str">
        <v>-</v>
      </c>
    </row>
    <row r="31056">
      <c r="B31056" t="str">
        <v>Công an huyện Giồng Trôm  tỉnh Bến Tre</v>
      </c>
      <c r="C31056" t="str">
        <v>-</v>
      </c>
      <c r="D31056" t="str">
        <v>-</v>
      </c>
      <c r="E31056" t="str">
        <v/>
      </c>
      <c r="F31056" t="str">
        <v>-</v>
      </c>
      <c r="G31056" t="str">
        <v>-</v>
      </c>
    </row>
    <row r="31057">
      <c r="B31057" t="str">
        <v>UBND Ủy ban nhân dân huyện Giồng Trôm  tỉnh Bến Tre</v>
      </c>
      <c r="C31057" t="str">
        <v>-</v>
      </c>
      <c r="D31057" t="str">
        <v>-</v>
      </c>
      <c r="E31057" t="str">
        <v>-</v>
      </c>
      <c r="F31057" t="str">
        <v>-</v>
      </c>
      <c r="G31057" t="str">
        <v>-</v>
      </c>
    </row>
    <row r="31058">
      <c r="B31058" t="str">
        <v>Công an xã Chiềng Sàng  tỉnh Sơn La</v>
      </c>
      <c r="C31058" t="str">
        <v>-</v>
      </c>
      <c r="D31058" t="str">
        <v>-</v>
      </c>
      <c r="E31058" t="str">
        <v/>
      </c>
      <c r="F31058" t="str">
        <v>-</v>
      </c>
      <c r="G31058" t="str">
        <v>-</v>
      </c>
    </row>
    <row r="31059">
      <c r="B31059" t="str">
        <v>UBND Ủy ban nhân dân xã Chiềng Sàng  tỉnh Sơn La</v>
      </c>
      <c r="C31059" t="str">
        <v>-</v>
      </c>
      <c r="D31059" t="str">
        <v>-</v>
      </c>
      <c r="E31059" t="str">
        <v>-</v>
      </c>
      <c r="F31059" t="str">
        <v>-</v>
      </c>
      <c r="G31059" t="str">
        <v>-</v>
      </c>
    </row>
    <row r="31060">
      <c r="B31060" t="str">
        <v>Công an xã Quang Trung tỉnh Đồng Nai</v>
      </c>
      <c r="C31060" t="str">
        <v>-</v>
      </c>
      <c r="D31060" t="str">
        <v>-</v>
      </c>
      <c r="E31060" t="str">
        <v/>
      </c>
      <c r="F31060" t="str">
        <v>-</v>
      </c>
      <c r="G31060" t="str">
        <v>-</v>
      </c>
    </row>
    <row r="31061">
      <c r="B31061" t="str">
        <v>UBND Ủy ban nhân dân xã Quang Trung tỉnh Đồng Nai</v>
      </c>
      <c r="C31061" t="str">
        <v>-</v>
      </c>
      <c r="D31061" t="str">
        <v>-</v>
      </c>
      <c r="E31061" t="str">
        <v>-</v>
      </c>
      <c r="F31061" t="str">
        <v>-</v>
      </c>
      <c r="G31061" t="str">
        <v>-</v>
      </c>
    </row>
    <row r="31062">
      <c r="B31062" t="str">
        <v>Công an tỉnh Lào Cai tỉnh Lào Cai</v>
      </c>
      <c r="C31062" t="str">
        <v>-</v>
      </c>
      <c r="D31062" t="str">
        <v>-</v>
      </c>
      <c r="E31062" t="str">
        <v/>
      </c>
      <c r="F31062" t="str">
        <v>-</v>
      </c>
      <c r="G31062" t="str">
        <v>-</v>
      </c>
    </row>
    <row r="31063">
      <c r="B31063" t="str">
        <v>UBND Ủy ban nhân dân tỉnh Lào Cai tỉnh Lào Cai</v>
      </c>
      <c r="C31063" t="str">
        <v>-</v>
      </c>
      <c r="D31063" t="str">
        <v>-</v>
      </c>
      <c r="E31063" t="str">
        <v>-</v>
      </c>
      <c r="F31063" t="str">
        <v>-</v>
      </c>
      <c r="G31063" t="str">
        <v>-</v>
      </c>
    </row>
    <row r="31064">
      <c r="B31064" t="str">
        <v>Công an xã Cư Prông tỉnh Đắk Lắk</v>
      </c>
      <c r="C31064" t="str">
        <v>-</v>
      </c>
      <c r="D31064" t="str">
        <v>-</v>
      </c>
      <c r="E31064" t="str">
        <v/>
      </c>
      <c r="F31064" t="str">
        <v>-</v>
      </c>
      <c r="G31064" t="str">
        <v>-</v>
      </c>
    </row>
    <row r="31065">
      <c r="B31065" t="str">
        <v>UBND Ủy ban nhân dân xã Cư Prông tỉnh Đắk Lắk</v>
      </c>
      <c r="C31065" t="str">
        <v>-</v>
      </c>
      <c r="D31065" t="str">
        <v>-</v>
      </c>
      <c r="E31065" t="str">
        <v>-</v>
      </c>
      <c r="F31065" t="str">
        <v>-</v>
      </c>
      <c r="G31065" t="str">
        <v>-</v>
      </c>
    </row>
    <row r="31066">
      <c r="B31066" t="str">
        <v>Công an xã Tân Phong tỉnh Bến Tre</v>
      </c>
      <c r="C31066" t="str">
        <v>-</v>
      </c>
      <c r="D31066" t="str">
        <v>-</v>
      </c>
      <c r="E31066" t="str">
        <v/>
      </c>
      <c r="F31066" t="str">
        <v>-</v>
      </c>
      <c r="G31066" t="str">
        <v>-</v>
      </c>
    </row>
    <row r="31067">
      <c r="B31067" t="str">
        <v>UBND Ủy ban nhân dân xã Tân Phong tỉnh Bến Tre</v>
      </c>
      <c r="C31067" t="str">
        <v>-</v>
      </c>
      <c r="D31067" t="str">
        <v>-</v>
      </c>
      <c r="E31067" t="str">
        <v>-</v>
      </c>
      <c r="F31067" t="str">
        <v>-</v>
      </c>
      <c r="G31067" t="str">
        <v>-</v>
      </c>
    </row>
    <row r="31068">
      <c r="B31068" t="str">
        <v>Công an xã Long Hòa tỉnh Bến Tre</v>
      </c>
      <c r="C31068" t="str">
        <v>-</v>
      </c>
      <c r="D31068" t="str">
        <v>-</v>
      </c>
      <c r="E31068" t="str">
        <v/>
      </c>
      <c r="F31068" t="str">
        <v>-</v>
      </c>
      <c r="G31068" t="str">
        <v>-</v>
      </c>
    </row>
    <row r="31069">
      <c r="B31069" t="str">
        <v>UBND Ủy ban nhân dân xã Long Hòa tỉnh Bến Tre</v>
      </c>
      <c r="C31069" t="str">
        <v>-</v>
      </c>
      <c r="D31069" t="str">
        <v>-</v>
      </c>
      <c r="E31069" t="str">
        <v>-</v>
      </c>
      <c r="F31069" t="str">
        <v>-</v>
      </c>
      <c r="G31069" t="str">
        <v>-</v>
      </c>
    </row>
    <row r="31070">
      <c r="B31070" t="str">
        <v>Công an xã Long An tỉnh Đồng Nai</v>
      </c>
      <c r="C31070" t="str">
        <v>-</v>
      </c>
      <c r="D31070" t="str">
        <v>-</v>
      </c>
      <c r="E31070" t="str">
        <v/>
      </c>
      <c r="F31070" t="str">
        <v>-</v>
      </c>
      <c r="G31070" t="str">
        <v>-</v>
      </c>
    </row>
    <row r="31071">
      <c r="B31071" t="str">
        <v>UBND Ủy ban nhân dân xã Long An tỉnh Đồng Nai</v>
      </c>
      <c r="C31071" t="str">
        <v>-</v>
      </c>
      <c r="D31071" t="str">
        <v>-</v>
      </c>
      <c r="E31071" t="str">
        <v>-</v>
      </c>
      <c r="F31071" t="str">
        <v>-</v>
      </c>
      <c r="G31071" t="str">
        <v>-</v>
      </c>
    </row>
    <row r="31072">
      <c r="B31072" t="str">
        <v>Công an xã Nhị Trường tỉnh Trà Vinh</v>
      </c>
      <c r="C31072" t="str">
        <v>-</v>
      </c>
      <c r="D31072" t="str">
        <v>-</v>
      </c>
      <c r="E31072" t="str">
        <v/>
      </c>
      <c r="F31072" t="str">
        <v>-</v>
      </c>
      <c r="G31072" t="str">
        <v>-</v>
      </c>
    </row>
    <row r="31073">
      <c r="B31073" t="str">
        <v>UBND Ủy ban nhân dân xã Nhị Trường tỉnh Trà Vinh</v>
      </c>
      <c r="C31073" t="str">
        <v>-</v>
      </c>
      <c r="D31073" t="str">
        <v>-</v>
      </c>
      <c r="E31073" t="str">
        <v>-</v>
      </c>
      <c r="F31073" t="str">
        <v>-</v>
      </c>
      <c r="G31073" t="str">
        <v>-</v>
      </c>
    </row>
    <row r="31074">
      <c r="B31074" t="str">
        <v>Công an thị trấn Trà My tỉnh Quảng Nam</v>
      </c>
      <c r="C31074" t="str">
        <v>-</v>
      </c>
      <c r="D31074" t="str">
        <v>-</v>
      </c>
      <c r="E31074" t="str">
        <v/>
      </c>
      <c r="F31074" t="str">
        <v>-</v>
      </c>
      <c r="G31074" t="str">
        <v>-</v>
      </c>
    </row>
    <row r="31075">
      <c r="B31075" t="str">
        <v>UBND Ủy ban nhân dân thị trấn Trà My tỉnh Quảng Nam</v>
      </c>
      <c r="C31075" t="str">
        <v>-</v>
      </c>
      <c r="D31075" t="str">
        <v>-</v>
      </c>
      <c r="E31075" t="str">
        <v>-</v>
      </c>
      <c r="F31075" t="str">
        <v>-</v>
      </c>
      <c r="G31075" t="str">
        <v>-</v>
      </c>
    </row>
    <row r="31076">
      <c r="B31076" t="str">
        <v>Công an xã Tân Vinh tỉnh Trà Vinh</v>
      </c>
      <c r="C31076" t="str">
        <v>-</v>
      </c>
      <c r="D31076" t="str">
        <v>-</v>
      </c>
      <c r="E31076" t="str">
        <v/>
      </c>
      <c r="F31076" t="str">
        <v>-</v>
      </c>
      <c r="G31076" t="str">
        <v>-</v>
      </c>
    </row>
    <row r="31077">
      <c r="B31077" t="str">
        <v>UBND Ủy ban nhân dân xã Tân Vinh tỉnh Trà Vinh</v>
      </c>
      <c r="C31077" t="str">
        <v>-</v>
      </c>
      <c r="D31077" t="str">
        <v>-</v>
      </c>
      <c r="E31077" t="str">
        <v>-</v>
      </c>
      <c r="F31077" t="str">
        <v>-</v>
      </c>
      <c r="G31077" t="str">
        <v>-</v>
      </c>
    </row>
    <row r="31078">
      <c r="B31078" t="str">
        <v>Công an xã Vũ Lạc tỉnh Thái Bình</v>
      </c>
      <c r="C31078" t="str">
        <v>-</v>
      </c>
      <c r="D31078" t="str">
        <v>-</v>
      </c>
      <c r="E31078" t="str">
        <v/>
      </c>
      <c r="F31078" t="str">
        <v>-</v>
      </c>
      <c r="G31078" t="str">
        <v>-</v>
      </c>
    </row>
    <row r="31079">
      <c r="B31079" t="str">
        <v>UBND Ủy ban nhân dân xã Vũ Lạc tỉnh Thái Bình</v>
      </c>
      <c r="C31079" t="str">
        <v>-</v>
      </c>
      <c r="D31079" t="str">
        <v>-</v>
      </c>
      <c r="E31079" t="str">
        <v>-</v>
      </c>
      <c r="F31079" t="str">
        <v>-</v>
      </c>
      <c r="G31079" t="str">
        <v>-</v>
      </c>
    </row>
    <row r="31080">
      <c r="B31080" t="str">
        <v>Công an xã An Vĩ  tỉnh Hưng Yên</v>
      </c>
      <c r="C31080" t="str">
        <v>-</v>
      </c>
      <c r="D31080" t="str">
        <v>-</v>
      </c>
      <c r="E31080" t="str">
        <v/>
      </c>
      <c r="F31080" t="str">
        <v>-</v>
      </c>
      <c r="G31080" t="str">
        <v>-</v>
      </c>
    </row>
    <row r="31081">
      <c r="B31081" t="str">
        <v>UBND Ủy ban nhân dân xã An Vĩ  tỉnh Hưng Yên</v>
      </c>
      <c r="C31081" t="str">
        <v>-</v>
      </c>
      <c r="D31081" t="str">
        <v>-</v>
      </c>
      <c r="E31081" t="str">
        <v>-</v>
      </c>
      <c r="F31081" t="str">
        <v>-</v>
      </c>
      <c r="G31081" t="str">
        <v>-</v>
      </c>
    </row>
    <row r="31082">
      <c r="B31082" t="str">
        <v>Công an xã Việt Hùng tỉnh Thái Bình</v>
      </c>
      <c r="C31082" t="str">
        <v>-</v>
      </c>
      <c r="D31082" t="str">
        <v>-</v>
      </c>
      <c r="E31082" t="str">
        <v/>
      </c>
      <c r="F31082" t="str">
        <v>-</v>
      </c>
      <c r="G31082" t="str">
        <v>-</v>
      </c>
    </row>
    <row r="31083">
      <c r="B31083" t="str">
        <v>UBND Ủy ban nhân dân xã Việt Hùng tỉnh Thái Bình</v>
      </c>
      <c r="C31083" t="str">
        <v>-</v>
      </c>
      <c r="D31083" t="str">
        <v>-</v>
      </c>
      <c r="E31083" t="str">
        <v>-</v>
      </c>
      <c r="F31083" t="str">
        <v>-</v>
      </c>
      <c r="G31083" t="str">
        <v>-</v>
      </c>
    </row>
    <row r="31084">
      <c r="B31084" t="str">
        <v>Công an xã Đức Long tỉnh Ninh Bình</v>
      </c>
      <c r="C31084" t="str">
        <v>-</v>
      </c>
      <c r="D31084" t="str">
        <v>-</v>
      </c>
      <c r="E31084" t="str">
        <v/>
      </c>
      <c r="F31084" t="str">
        <v>-</v>
      </c>
      <c r="G31084" t="str">
        <v>-</v>
      </c>
    </row>
    <row r="31085">
      <c r="B31085" t="str">
        <v>UBND Ủy ban nhân dân xã Đức Long tỉnh Ninh Bình</v>
      </c>
      <c r="C31085" t="str">
        <v>-</v>
      </c>
      <c r="D31085" t="str">
        <v>-</v>
      </c>
      <c r="E31085" t="str">
        <v>-</v>
      </c>
      <c r="F31085" t="str">
        <v>-</v>
      </c>
      <c r="G31085" t="str">
        <v>-</v>
      </c>
    </row>
    <row r="31086">
      <c r="B31086" t="str">
        <v>Công an xã Trung Hóa  tỉnh Quảng Bình</v>
      </c>
      <c r="C31086" t="str">
        <v>-</v>
      </c>
      <c r="D31086" t="str">
        <v>-</v>
      </c>
      <c r="E31086" t="str">
        <v/>
      </c>
      <c r="F31086" t="str">
        <v>-</v>
      </c>
      <c r="G31086" t="str">
        <v>-</v>
      </c>
    </row>
    <row r="31087">
      <c r="B31087" t="str">
        <v>UBND Ủy ban nhân dân xã Trung Hóa  tỉnh Quảng Bình</v>
      </c>
      <c r="C31087" t="str">
        <v>-</v>
      </c>
      <c r="D31087" t="str">
        <v>-</v>
      </c>
      <c r="E31087" t="str">
        <v>-</v>
      </c>
      <c r="F31087" t="str">
        <v>-</v>
      </c>
      <c r="G31087" t="str">
        <v>-</v>
      </c>
    </row>
    <row r="31088">
      <c r="B31088" t="str">
        <v xml:space="preserve"> Công an xã Yên Lập  tỉnh Phú Thọ</v>
      </c>
    </row>
    <row r="31089">
      <c r="B31089" t="str">
        <v>UBND Ủy ban nhân dânn xã Yên Lập  tỉnh Phú Thọ</v>
      </c>
      <c r="C31089" t="str">
        <v>-</v>
      </c>
      <c r="D31089" t="str">
        <v>-</v>
      </c>
      <c r="E31089" t="str">
        <v>-</v>
      </c>
      <c r="F31089" t="str">
        <v>-</v>
      </c>
      <c r="G31089" t="str">
        <v>-</v>
      </c>
    </row>
    <row r="31090">
      <c r="B31090" t="str">
        <v>Công an xã Xuân Phong  tỉnh Nam Định</v>
      </c>
      <c r="C31090" t="str">
        <v>-</v>
      </c>
      <c r="D31090" t="str">
        <v>-</v>
      </c>
      <c r="E31090" t="str">
        <v/>
      </c>
      <c r="F31090" t="str">
        <v>-</v>
      </c>
      <c r="G31090" t="str">
        <v>-</v>
      </c>
    </row>
    <row r="31091">
      <c r="B31091" t="str">
        <v>UBND Ủy ban nhân dân xã Xuân Phong  tỉnh Nam Định</v>
      </c>
      <c r="C31091" t="str">
        <v>-</v>
      </c>
      <c r="D31091" t="str">
        <v>-</v>
      </c>
      <c r="E31091" t="str">
        <v>-</v>
      </c>
      <c r="F31091" t="str">
        <v>-</v>
      </c>
      <c r="G31091" t="str">
        <v>-</v>
      </c>
    </row>
    <row r="31092">
      <c r="B31092" t="str">
        <v>Công an xã Liêm Hải  tỉnh Nam Định</v>
      </c>
      <c r="C31092" t="str">
        <v>-</v>
      </c>
      <c r="D31092" t="str">
        <v>-</v>
      </c>
      <c r="E31092" t="str">
        <v/>
      </c>
      <c r="F31092" t="str">
        <v>-</v>
      </c>
      <c r="G31092" t="str">
        <v>-</v>
      </c>
    </row>
    <row r="31093">
      <c r="B31093" t="str">
        <v>UBND Ủy ban nhân dân xã Liêm Hải  tỉnh Nam Định</v>
      </c>
      <c r="C31093" t="str">
        <v>-</v>
      </c>
      <c r="D31093" t="str">
        <v>-</v>
      </c>
      <c r="E31093" t="str">
        <v>-</v>
      </c>
      <c r="F31093" t="str">
        <v>-</v>
      </c>
      <c r="G31093" t="str">
        <v>-</v>
      </c>
    </row>
    <row r="31094">
      <c r="B31094" t="str">
        <v>Công an xã Hải Lâm  tỉnh Quảng Trị</v>
      </c>
      <c r="C31094" t="str">
        <v>-</v>
      </c>
      <c r="D31094" t="str">
        <v>-</v>
      </c>
      <c r="E31094" t="str">
        <v/>
      </c>
      <c r="F31094" t="str">
        <v>-</v>
      </c>
      <c r="G31094" t="str">
        <v>-</v>
      </c>
    </row>
    <row r="31095">
      <c r="B31095" t="str">
        <v>UBND Ủy ban nhân dân xã Hải Lâm  tỉnh Quảng Trị</v>
      </c>
      <c r="C31095" t="str">
        <v>-</v>
      </c>
      <c r="D31095" t="str">
        <v>-</v>
      </c>
      <c r="E31095" t="str">
        <v>-</v>
      </c>
      <c r="F31095" t="str">
        <v>-</v>
      </c>
      <c r="G31095" t="str">
        <v>-</v>
      </c>
    </row>
    <row r="31096">
      <c r="B31096" t="str">
        <v>Công an xã Hải Xuân tỉnh Nam Định</v>
      </c>
      <c r="C31096" t="str">
        <v>-</v>
      </c>
      <c r="D31096" t="str">
        <v>-</v>
      </c>
      <c r="E31096" t="str">
        <v/>
      </c>
      <c r="F31096" t="str">
        <v>-</v>
      </c>
      <c r="G31096" t="str">
        <v>-</v>
      </c>
    </row>
    <row r="31097">
      <c r="B31097" t="str">
        <v>UBND Ủy ban nhân dân xã Hải Xuân tỉnh Nam Định</v>
      </c>
      <c r="C31097" t="str">
        <v>-</v>
      </c>
      <c r="D31097" t="str">
        <v>-</v>
      </c>
      <c r="E31097" t="str">
        <v>-</v>
      </c>
      <c r="F31097" t="str">
        <v>-</v>
      </c>
      <c r="G31097" t="str">
        <v>-</v>
      </c>
    </row>
    <row r="31098">
      <c r="B31098" t="str">
        <v>Công an xã Hà Sơn  tỉnh Thanh Hóa</v>
      </c>
      <c r="C31098" t="str">
        <v>-</v>
      </c>
      <c r="D31098" t="str">
        <v>-</v>
      </c>
      <c r="E31098" t="str">
        <v/>
      </c>
      <c r="F31098" t="str">
        <v>-</v>
      </c>
      <c r="G31098" t="str">
        <v>-</v>
      </c>
    </row>
    <row r="31099">
      <c r="B31099" t="str">
        <v>UBND Ủy ban nhân dân xã Hà Sơn  tỉnh Thanh Hóa</v>
      </c>
      <c r="C31099" t="str">
        <v>-</v>
      </c>
      <c r="D31099" t="str">
        <v>-</v>
      </c>
      <c r="E31099" t="str">
        <v>-</v>
      </c>
      <c r="F31099" t="str">
        <v>-</v>
      </c>
      <c r="G31099" t="str">
        <v>-</v>
      </c>
    </row>
    <row r="31100">
      <c r="B31100" t="str">
        <v>Công an xã Hậu Mỹ Trinh  tỉnh TIỀN GIANG</v>
      </c>
      <c r="C31100" t="str">
        <v>-</v>
      </c>
      <c r="D31100" t="str">
        <v>-</v>
      </c>
      <c r="E31100" t="str">
        <v/>
      </c>
      <c r="F31100" t="str">
        <v>-</v>
      </c>
      <c r="G31100" t="str">
        <v>-</v>
      </c>
    </row>
    <row r="31101">
      <c r="B31101" t="str">
        <v>UBND Ủy ban nhân dân xã Hậu Mỹ Trinh  tỉnh TIỀN GIANG</v>
      </c>
      <c r="C31101" t="str">
        <v>-</v>
      </c>
      <c r="D31101" t="str">
        <v>-</v>
      </c>
      <c r="E31101" t="str">
        <v>-</v>
      </c>
      <c r="F31101" t="str">
        <v>-</v>
      </c>
      <c r="G31101" t="str">
        <v>-</v>
      </c>
    </row>
    <row r="31102">
      <c r="B31102" t="str">
        <v>Công an xã Hưng Đạo tỉnh Cao Bằng</v>
      </c>
      <c r="C31102" t="str">
        <v>-</v>
      </c>
      <c r="D31102" t="str">
        <v>-</v>
      </c>
      <c r="E31102" t="str">
        <v/>
      </c>
      <c r="F31102" t="str">
        <v>-</v>
      </c>
      <c r="G31102" t="str">
        <v>-</v>
      </c>
    </row>
    <row r="31103">
      <c r="B31103" t="str">
        <v>UBND Ủy ban nhân dân xã Hưng Đạo tỉnh Cao Bằng</v>
      </c>
      <c r="C31103" t="str">
        <v>-</v>
      </c>
      <c r="D31103" t="str">
        <v>-</v>
      </c>
      <c r="E31103" t="str">
        <v>-</v>
      </c>
      <c r="F31103" t="str">
        <v>-</v>
      </c>
      <c r="G31103" t="str">
        <v>-</v>
      </c>
    </row>
    <row r="31104">
      <c r="B31104" t="str">
        <v>Công an xã Vũ Hội  tỉnh Thái Bình</v>
      </c>
      <c r="C31104" t="str">
        <v>-</v>
      </c>
      <c r="D31104" t="str">
        <v>-</v>
      </c>
      <c r="E31104" t="str">
        <v/>
      </c>
      <c r="F31104" t="str">
        <v>-</v>
      </c>
      <c r="G31104" t="str">
        <v>-</v>
      </c>
    </row>
    <row r="31105">
      <c r="B31105" t="str">
        <v>UBND Ủy ban nhân dân xã Vũ Hội  tỉnh Thái Bình</v>
      </c>
      <c r="C31105" t="str">
        <v>-</v>
      </c>
      <c r="D31105" t="str">
        <v>-</v>
      </c>
      <c r="E31105" t="str">
        <v>-</v>
      </c>
      <c r="F31105" t="str">
        <v>-</v>
      </c>
      <c r="G31105" t="str">
        <v>-</v>
      </c>
    </row>
    <row r="31106">
      <c r="B31106" t="str">
        <v>Công an xã Trực Thái tỉnh Nam Định</v>
      </c>
      <c r="C31106" t="str">
        <v>-</v>
      </c>
      <c r="D31106" t="str">
        <v>-</v>
      </c>
      <c r="E31106" t="str">
        <v/>
      </c>
      <c r="F31106" t="str">
        <v>-</v>
      </c>
      <c r="G31106" t="str">
        <v>-</v>
      </c>
    </row>
    <row r="31107">
      <c r="B31107" t="str">
        <v>UBND Ủy ban nhân dân xã Trực Thái tỉnh Nam Định</v>
      </c>
      <c r="C31107" t="str">
        <v>-</v>
      </c>
      <c r="D31107" t="str">
        <v>-</v>
      </c>
      <c r="E31107" t="str">
        <v>-</v>
      </c>
      <c r="F31107" t="str">
        <v>-</v>
      </c>
      <c r="G31107" t="str">
        <v>-</v>
      </c>
    </row>
    <row r="31108">
      <c r="B31108" t="str">
        <v>Công an xã Phước Bình  tỉnh Ninh Thuận</v>
      </c>
      <c r="C31108" t="str">
        <v>-</v>
      </c>
      <c r="D31108" t="str">
        <v>-</v>
      </c>
      <c r="E31108" t="str">
        <v/>
      </c>
      <c r="F31108" t="str">
        <v>-</v>
      </c>
      <c r="G31108" t="str">
        <v>-</v>
      </c>
    </row>
    <row r="31109">
      <c r="B31109" t="str">
        <v>UBND Ủy ban nhân dân xã Phước Bình  tỉnh Ninh Thuận</v>
      </c>
      <c r="C31109" t="str">
        <v>-</v>
      </c>
      <c r="D31109" t="str">
        <v>-</v>
      </c>
      <c r="E31109" t="str">
        <v>-</v>
      </c>
      <c r="F31109" t="str">
        <v>-</v>
      </c>
      <c r="G31109" t="str">
        <v>-</v>
      </c>
    </row>
    <row r="31110">
      <c r="B31110" t="str">
        <v>Công an xã Đắc Pre  tỉnh Quảng Nam</v>
      </c>
      <c r="C31110" t="str">
        <v>-</v>
      </c>
      <c r="D31110" t="str">
        <v>-</v>
      </c>
      <c r="E31110" t="str">
        <v/>
      </c>
      <c r="F31110" t="str">
        <v>-</v>
      </c>
      <c r="G31110" t="str">
        <v>-</v>
      </c>
    </row>
    <row r="31111">
      <c r="B31111" t="str">
        <v>UBND Ủy ban nhân dân xã Đắc Pre  tỉnh Quảng Nam</v>
      </c>
      <c r="C31111" t="str">
        <v>-</v>
      </c>
      <c r="D31111" t="str">
        <v>-</v>
      </c>
      <c r="E31111" t="str">
        <v>-</v>
      </c>
      <c r="F31111" t="str">
        <v>-</v>
      </c>
      <c r="G31111" t="str">
        <v>-</v>
      </c>
    </row>
    <row r="31112">
      <c r="B31112" t="str">
        <v>Công an xã Hương Nộn  tỉnh Phú Thọ</v>
      </c>
      <c r="C31112" t="str">
        <v>-</v>
      </c>
      <c r="D31112" t="str">
        <v>-</v>
      </c>
      <c r="E31112" t="str">
        <v/>
      </c>
      <c r="F31112" t="str">
        <v>-</v>
      </c>
      <c r="G31112" t="str">
        <v>-</v>
      </c>
    </row>
    <row r="31113">
      <c r="B31113" t="str">
        <v>UBND Ủy ban nhân dân xã Hương Nộn  tỉnh Phú Thọ</v>
      </c>
      <c r="C31113" t="str">
        <v>-</v>
      </c>
      <c r="D31113" t="str">
        <v>-</v>
      </c>
      <c r="E31113" t="str">
        <v>-</v>
      </c>
      <c r="F31113" t="str">
        <v>-</v>
      </c>
      <c r="G31113" t="str">
        <v>-</v>
      </c>
    </row>
    <row r="31114">
      <c r="B31114" t="str">
        <v>Công an huyện Đức Hòa tỉnh Long An</v>
      </c>
      <c r="C31114" t="str">
        <v>-</v>
      </c>
      <c r="D31114" t="str">
        <v>-</v>
      </c>
      <c r="E31114" t="str">
        <v/>
      </c>
      <c r="F31114" t="str">
        <v>-</v>
      </c>
      <c r="G31114" t="str">
        <v>-</v>
      </c>
    </row>
    <row r="31115">
      <c r="B31115" t="str">
        <v>UBND Ủy ban nhân dân huyện Đức Hòa tỉnh Long An</v>
      </c>
      <c r="C31115" t="str">
        <v>-</v>
      </c>
      <c r="D31115" t="str">
        <v>-</v>
      </c>
      <c r="E31115" t="str">
        <v>-</v>
      </c>
      <c r="F31115" t="str">
        <v>-</v>
      </c>
      <c r="G31115" t="str">
        <v>-</v>
      </c>
    </row>
    <row r="31116">
      <c r="B31116" t="str">
        <v>Công an tỉnh Lai Châu  tỉnh Lai Châu</v>
      </c>
      <c r="C31116" t="str">
        <v>-</v>
      </c>
      <c r="D31116" t="str">
        <v>-</v>
      </c>
      <c r="E31116" t="str">
        <v/>
      </c>
      <c r="F31116" t="str">
        <v>-</v>
      </c>
      <c r="G31116" t="str">
        <v>-</v>
      </c>
    </row>
    <row r="31117">
      <c r="B31117" t="str">
        <v>UBND Ủy ban nhân dân tỉnh Lai Châu  tỉnh Lai Châu</v>
      </c>
      <c r="C31117" t="str">
        <v>-</v>
      </c>
      <c r="D31117" t="str">
        <v>-</v>
      </c>
      <c r="E31117" t="str">
        <v>-</v>
      </c>
      <c r="F31117" t="str">
        <v>-</v>
      </c>
      <c r="G31117" t="str">
        <v>-</v>
      </c>
    </row>
    <row r="31118">
      <c r="B31118" t="str">
        <v xml:space="preserve"> Công an tỉnh Bạc Liêu  tỉnh Bạc Liêu</v>
      </c>
    </row>
    <row r="31119">
      <c r="B31119" t="str">
        <v>UBND Ủy ban nhân dânn tỉnh Bạc Liêu  tỉnh Bạc Liêu</v>
      </c>
      <c r="C31119" t="str">
        <v>-</v>
      </c>
      <c r="D31119" t="str">
        <v>-</v>
      </c>
      <c r="E31119" t="str">
        <v>-</v>
      </c>
      <c r="F31119" t="str">
        <v>-</v>
      </c>
      <c r="G31119" t="str">
        <v>-</v>
      </c>
    </row>
    <row r="31120">
      <c r="B31120" t="str">
        <v>Công an xã Song Lãng tỉnh Thái Bình</v>
      </c>
      <c r="C31120" t="str">
        <v>-</v>
      </c>
      <c r="D31120" t="str">
        <v>-</v>
      </c>
      <c r="E31120" t="str">
        <v/>
      </c>
      <c r="F31120" t="str">
        <v>-</v>
      </c>
      <c r="G31120" t="str">
        <v>-</v>
      </c>
    </row>
    <row r="31121">
      <c r="B31121" t="str">
        <v>UBND Ủy ban nhân dân xã Song Lãng tỉnh Thái Bình</v>
      </c>
      <c r="C31121" t="str">
        <v>-</v>
      </c>
      <c r="D31121" t="str">
        <v>-</v>
      </c>
      <c r="E31121" t="str">
        <v>-</v>
      </c>
      <c r="F31121" t="str">
        <v>-</v>
      </c>
      <c r="G31121" t="str">
        <v>-</v>
      </c>
    </row>
    <row r="31122">
      <c r="B31122" t="str">
        <v>Công an xã Hồng Dụ tỉnh Hải Dương</v>
      </c>
      <c r="C31122" t="str">
        <v>-</v>
      </c>
      <c r="D31122" t="str">
        <v>-</v>
      </c>
      <c r="E31122" t="str">
        <v/>
      </c>
      <c r="F31122" t="str">
        <v>-</v>
      </c>
      <c r="G31122" t="str">
        <v>-</v>
      </c>
    </row>
    <row r="31123">
      <c r="B31123" t="str">
        <v>UBND Ủy ban nhân dân xã Hồng Dụ tỉnh Hải Dương</v>
      </c>
      <c r="C31123" t="str">
        <v>-</v>
      </c>
      <c r="D31123" t="str">
        <v>-</v>
      </c>
      <c r="E31123" t="str">
        <v>-</v>
      </c>
      <c r="F31123" t="str">
        <v>-</v>
      </c>
      <c r="G31123" t="str">
        <v>-</v>
      </c>
    </row>
    <row r="31124">
      <c r="B31124" t="str">
        <v>Công an xã Thụy Sơn tỉnh Thái Bình</v>
      </c>
      <c r="C31124" t="str">
        <v>-</v>
      </c>
      <c r="D31124" t="str">
        <v>-</v>
      </c>
      <c r="E31124" t="str">
        <v/>
      </c>
      <c r="F31124" t="str">
        <v>-</v>
      </c>
      <c r="G31124" t="str">
        <v>-</v>
      </c>
    </row>
    <row r="31125">
      <c r="B31125" t="str">
        <v>UBND Ủy ban nhân dân xã Thụy Sơn tỉnh Thái Bình</v>
      </c>
      <c r="C31125" t="str">
        <v>-</v>
      </c>
      <c r="D31125" t="str">
        <v>-</v>
      </c>
      <c r="E31125" t="str">
        <v>-</v>
      </c>
      <c r="F31125" t="str">
        <v>-</v>
      </c>
      <c r="G31125" t="str">
        <v>-</v>
      </c>
    </row>
    <row r="31126">
      <c r="B31126" t="str">
        <v>Công an huyện Đông Hải  tỉnh Bạc Liêu</v>
      </c>
      <c r="C31126" t="str">
        <v>-</v>
      </c>
      <c r="D31126" t="str">
        <v>-</v>
      </c>
      <c r="E31126" t="str">
        <v/>
      </c>
      <c r="F31126" t="str">
        <v>-</v>
      </c>
      <c r="G31126" t="str">
        <v>-</v>
      </c>
    </row>
    <row r="31127">
      <c r="B31127" t="str">
        <v>UBND Ủy ban nhân dân huyện Đông Hải  tỉnh Bạc Liêu</v>
      </c>
      <c r="C31127" t="str">
        <v>-</v>
      </c>
      <c r="D31127" t="str">
        <v>-</v>
      </c>
      <c r="E31127" t="str">
        <v>-</v>
      </c>
      <c r="F31127" t="str">
        <v>-</v>
      </c>
      <c r="G31127" t="str">
        <v>-</v>
      </c>
    </row>
    <row r="31128">
      <c r="B31128" t="str">
        <v>Công an huyện Hoài Đức  thành phố Hà Nội</v>
      </c>
      <c r="C31128" t="str">
        <v>-</v>
      </c>
      <c r="D31128" t="str">
        <v>-</v>
      </c>
      <c r="E31128" t="str">
        <v/>
      </c>
      <c r="F31128" t="str">
        <v>-</v>
      </c>
      <c r="G31128" t="str">
        <v>-</v>
      </c>
    </row>
    <row r="31129">
      <c r="B31129" t="str">
        <v>UBND Ủy ban nhân dân huyện Hoài Đức  thành phố Hà Nội</v>
      </c>
      <c r="C31129" t="str">
        <v>-</v>
      </c>
      <c r="D31129" t="str">
        <v>-</v>
      </c>
      <c r="E31129" t="str">
        <v>-</v>
      </c>
      <c r="F31129" t="str">
        <v>-</v>
      </c>
      <c r="G31129" t="str">
        <v>-</v>
      </c>
    </row>
    <row r="31130">
      <c r="B31130" t="str">
        <v>Công an xã Đức Lân  tỉnh Quảng Ngãi</v>
      </c>
      <c r="C31130" t="str">
        <v>-</v>
      </c>
      <c r="D31130" t="str">
        <v>-</v>
      </c>
      <c r="E31130" t="str">
        <v/>
      </c>
      <c r="F31130" t="str">
        <v>-</v>
      </c>
      <c r="G31130" t="str">
        <v>-</v>
      </c>
    </row>
    <row r="31131">
      <c r="B31131" t="str">
        <v>UBND Ủy ban nhân dân xã Đức Lân  tỉnh Quảng Ngãi</v>
      </c>
      <c r="C31131" t="str">
        <v>-</v>
      </c>
      <c r="D31131" t="str">
        <v>-</v>
      </c>
      <c r="E31131" t="str">
        <v>-</v>
      </c>
      <c r="F31131" t="str">
        <v>-</v>
      </c>
      <c r="G31131" t="str">
        <v>-</v>
      </c>
    </row>
    <row r="31132">
      <c r="B31132" t="str">
        <v>Công an xã Tân Dân tỉnh Hà Tĩnh</v>
      </c>
      <c r="C31132" t="str">
        <v>-</v>
      </c>
      <c r="D31132" t="str">
        <v>-</v>
      </c>
      <c r="E31132" t="str">
        <v/>
      </c>
      <c r="F31132" t="str">
        <v>-</v>
      </c>
      <c r="G31132" t="str">
        <v>-</v>
      </c>
    </row>
    <row r="31133">
      <c r="B31133" t="str">
        <v>UBND Ủy ban nhân dân xã Tân Dân tỉnh Hà Tĩnh</v>
      </c>
      <c r="C31133" t="str">
        <v>-</v>
      </c>
      <c r="D31133" t="str">
        <v>-</v>
      </c>
      <c r="E31133" t="str">
        <v>-</v>
      </c>
      <c r="F31133" t="str">
        <v>-</v>
      </c>
      <c r="G31133" t="str">
        <v>-</v>
      </c>
    </row>
    <row r="31134">
      <c r="B31134" t="str">
        <v>Công an xã Tam Tiến  tỉnh Quảng Nam</v>
      </c>
      <c r="C31134" t="str">
        <v>-</v>
      </c>
      <c r="D31134" t="str">
        <v>-</v>
      </c>
      <c r="E31134" t="str">
        <v/>
      </c>
      <c r="F31134" t="str">
        <v>-</v>
      </c>
      <c r="G31134" t="str">
        <v>-</v>
      </c>
    </row>
    <row r="31135">
      <c r="B31135" t="str">
        <v>UBND Ủy ban nhân dân xã Tam Tiến  tỉnh Quảng Nam</v>
      </c>
      <c r="C31135" t="str">
        <v>-</v>
      </c>
      <c r="D31135" t="str">
        <v>-</v>
      </c>
      <c r="E31135" t="str">
        <v>-</v>
      </c>
      <c r="F31135" t="str">
        <v>-</v>
      </c>
      <c r="G31135" t="str">
        <v>-</v>
      </c>
    </row>
    <row r="31136">
      <c r="B31136" t="str">
        <v>Công an xã Thuỵ Thanh  tỉnh Thái Bình</v>
      </c>
      <c r="C31136" t="str">
        <v>-</v>
      </c>
      <c r="D31136" t="str">
        <v>-</v>
      </c>
      <c r="E31136" t="str">
        <v/>
      </c>
      <c r="F31136" t="str">
        <v>-</v>
      </c>
      <c r="G31136" t="str">
        <v>-</v>
      </c>
    </row>
    <row r="31137">
      <c r="B31137" t="str">
        <v>UBND Ủy ban nhân dân xã Thuỵ Thanh  tỉnh Thái Bình</v>
      </c>
      <c r="C31137" t="str">
        <v>-</v>
      </c>
      <c r="D31137" t="str">
        <v>-</v>
      </c>
      <c r="E31137" t="str">
        <v>-</v>
      </c>
      <c r="F31137" t="str">
        <v>-</v>
      </c>
      <c r="G31137" t="str">
        <v>-</v>
      </c>
    </row>
    <row r="31138">
      <c r="B31138" t="str">
        <v>Công an xã Nà Tấu tỉnh Điện Biên</v>
      </c>
      <c r="C31138" t="str">
        <v>-</v>
      </c>
      <c r="D31138" t="str">
        <v>-</v>
      </c>
      <c r="E31138" t="str">
        <v/>
      </c>
      <c r="F31138" t="str">
        <v>-</v>
      </c>
      <c r="G31138" t="str">
        <v>-</v>
      </c>
    </row>
    <row r="31139">
      <c r="B31139" t="str">
        <v>UBND Ủy ban nhân dân xã Nà Tấu tỉnh Điện Biên</v>
      </c>
      <c r="C31139" t="str">
        <v>-</v>
      </c>
      <c r="D31139" t="str">
        <v>-</v>
      </c>
      <c r="E31139" t="str">
        <v>-</v>
      </c>
      <c r="F31139" t="str">
        <v>-</v>
      </c>
      <c r="G31139" t="str">
        <v>-</v>
      </c>
    </row>
    <row r="31140">
      <c r="B31140" t="str">
        <v>Công an huyện Mê Linh  thành phố Hà Nội</v>
      </c>
      <c r="C31140" t="str">
        <v>-</v>
      </c>
      <c r="D31140" t="str">
        <v>-</v>
      </c>
      <c r="E31140" t="str">
        <v/>
      </c>
      <c r="F31140" t="str">
        <v>-</v>
      </c>
      <c r="G31140" t="str">
        <v>-</v>
      </c>
    </row>
    <row r="31141">
      <c r="B31141" t="str">
        <v>UBND Ủy ban nhân dân huyện Mê Linh  thành phố Hà Nội</v>
      </c>
      <c r="C31141" t="str">
        <v>-</v>
      </c>
      <c r="D31141" t="str">
        <v>-</v>
      </c>
      <c r="E31141" t="str">
        <v>-</v>
      </c>
      <c r="F31141" t="str">
        <v>-</v>
      </c>
      <c r="G31141" t="str">
        <v>-</v>
      </c>
    </row>
    <row r="31142">
      <c r="B31142" t="str">
        <v>Công an xã Thượng Vực thành phố Hà Nội</v>
      </c>
      <c r="C31142" t="str">
        <v>-</v>
      </c>
      <c r="D31142" t="str">
        <v>-</v>
      </c>
      <c r="E31142" t="str">
        <v/>
      </c>
      <c r="F31142" t="str">
        <v>-</v>
      </c>
      <c r="G31142" t="str">
        <v>-</v>
      </c>
    </row>
    <row r="31143">
      <c r="B31143" t="str">
        <v>UBND Ủy ban nhân dân xã Thượng Vực thành phố Hà Nội</v>
      </c>
      <c r="C31143" t="str">
        <v>-</v>
      </c>
      <c r="D31143" t="str">
        <v>-</v>
      </c>
      <c r="E31143" t="str">
        <v>-</v>
      </c>
      <c r="F31143" t="str">
        <v>-</v>
      </c>
      <c r="G31143" t="str">
        <v>-</v>
      </c>
    </row>
    <row r="31144">
      <c r="B31144" t="str">
        <v>Công an xã Chiềng Pằn  tỉnh Sơn La</v>
      </c>
      <c r="C31144" t="str">
        <v>-</v>
      </c>
      <c r="D31144" t="str">
        <v>-</v>
      </c>
      <c r="E31144" t="str">
        <v/>
      </c>
      <c r="F31144" t="str">
        <v>-</v>
      </c>
      <c r="G31144" t="str">
        <v>-</v>
      </c>
    </row>
    <row r="31145">
      <c r="B31145" t="str">
        <v>UBND Ủy ban nhân dân xã Chiềng Pằn  tỉnh Sơn La</v>
      </c>
      <c r="C31145" t="str">
        <v>-</v>
      </c>
      <c r="D31145" t="str">
        <v>-</v>
      </c>
      <c r="E31145" t="str">
        <v>-</v>
      </c>
      <c r="F31145" t="str">
        <v>-</v>
      </c>
      <c r="G31145" t="str">
        <v>-</v>
      </c>
    </row>
    <row r="31146">
      <c r="B31146" t="str">
        <v>Công an xã Ngọc Hoà  thành phố Hà Nội</v>
      </c>
      <c r="C31146" t="str">
        <v>-</v>
      </c>
      <c r="D31146" t="str">
        <v>-</v>
      </c>
      <c r="E31146" t="str">
        <v/>
      </c>
      <c r="F31146" t="str">
        <v>-</v>
      </c>
      <c r="G31146" t="str">
        <v>-</v>
      </c>
    </row>
    <row r="31147">
      <c r="B31147" t="str">
        <v>UBND Ủy ban nhân dân xã Ngọc Hoà  thành phố Hà Nội</v>
      </c>
      <c r="C31147" t="str">
        <v>-</v>
      </c>
      <c r="D31147" t="str">
        <v>-</v>
      </c>
      <c r="E31147" t="str">
        <v>-</v>
      </c>
      <c r="F31147" t="str">
        <v>-</v>
      </c>
      <c r="G31147" t="str">
        <v>-</v>
      </c>
    </row>
    <row r="31148">
      <c r="B31148" t="str">
        <v>Công an xã Thủy Xuân Tiên thành phố Hà Nội</v>
      </c>
      <c r="C31148" t="str">
        <v>-</v>
      </c>
      <c r="D31148" t="str">
        <v>-</v>
      </c>
      <c r="E31148" t="str">
        <v/>
      </c>
      <c r="F31148" t="str">
        <v>-</v>
      </c>
      <c r="G31148" t="str">
        <v>-</v>
      </c>
    </row>
    <row r="31149">
      <c r="B31149" t="str">
        <v>UBND Ủy ban nhân dân xã Thủy Xuân Tiên thành phố Hà Nội</v>
      </c>
      <c r="C31149" t="str">
        <v>-</v>
      </c>
      <c r="D31149" t="str">
        <v>-</v>
      </c>
      <c r="E31149" t="str">
        <v>-</v>
      </c>
      <c r="F31149" t="str">
        <v>-</v>
      </c>
      <c r="G31149" t="str">
        <v>-</v>
      </c>
    </row>
    <row r="31150">
      <c r="B31150" t="str">
        <v>Công an xã Quảng Tiên tỉnh Quảng Bình</v>
      </c>
      <c r="C31150" t="str">
        <v>-</v>
      </c>
      <c r="D31150" t="str">
        <v>-</v>
      </c>
      <c r="E31150" t="str">
        <v/>
      </c>
      <c r="F31150" t="str">
        <v>-</v>
      </c>
      <c r="G31150" t="str">
        <v>-</v>
      </c>
    </row>
    <row r="31151">
      <c r="B31151" t="str">
        <v>UBND Ủy ban nhân dân xã Quảng Tiên tỉnh Quảng Bình</v>
      </c>
      <c r="C31151" t="str">
        <v>-</v>
      </c>
      <c r="D31151" t="str">
        <v>-</v>
      </c>
      <c r="E31151" t="str">
        <v>-</v>
      </c>
      <c r="F31151" t="str">
        <v>-</v>
      </c>
      <c r="G31151" t="str">
        <v>-</v>
      </c>
    </row>
    <row r="31152">
      <c r="B31152" t="str">
        <v>Công an xã Thuỵ Hương  thành phố Hải Phòng</v>
      </c>
      <c r="C31152" t="str">
        <v>-</v>
      </c>
      <c r="D31152" t="str">
        <v>-</v>
      </c>
      <c r="E31152" t="str">
        <v/>
      </c>
      <c r="F31152" t="str">
        <v>-</v>
      </c>
      <c r="G31152" t="str">
        <v>-</v>
      </c>
    </row>
    <row r="31153">
      <c r="B31153" t="str">
        <v>UBND Ủy ban nhân dân xã Thuỵ Hương  thành phố Hải Phòng</v>
      </c>
      <c r="C31153" t="str">
        <v>-</v>
      </c>
      <c r="D31153" t="str">
        <v>-</v>
      </c>
      <c r="E31153" t="str">
        <v>-</v>
      </c>
      <c r="F31153" t="str">
        <v>-</v>
      </c>
      <c r="G31153" t="str">
        <v>-</v>
      </c>
    </row>
    <row r="31154">
      <c r="B31154" t="str">
        <v>Công an xã Hiền Quan tỉnh Phú Thọ</v>
      </c>
      <c r="C31154" t="str">
        <v>-</v>
      </c>
      <c r="D31154" t="str">
        <v>-</v>
      </c>
      <c r="E31154" t="str">
        <v/>
      </c>
      <c r="F31154" t="str">
        <v>-</v>
      </c>
      <c r="G31154" t="str">
        <v>-</v>
      </c>
    </row>
    <row r="31155">
      <c r="B31155" t="str">
        <v>UBND Ủy ban nhân dân xã Hiền Quan tỉnh Phú Thọ</v>
      </c>
      <c r="C31155" t="str">
        <v>-</v>
      </c>
      <c r="D31155" t="str">
        <v>-</v>
      </c>
      <c r="E31155" t="str">
        <v>-</v>
      </c>
      <c r="F31155" t="str">
        <v>-</v>
      </c>
      <c r="G31155" t="str">
        <v>-</v>
      </c>
    </row>
    <row r="31156">
      <c r="B31156" t="str">
        <v>Công an xã Lưỡng Vượng tỉnh Tuyên Quang</v>
      </c>
      <c r="C31156" t="str">
        <v>-</v>
      </c>
      <c r="D31156" t="str">
        <v>-</v>
      </c>
      <c r="E31156" t="str">
        <v/>
      </c>
      <c r="F31156" t="str">
        <v>-</v>
      </c>
      <c r="G31156" t="str">
        <v>-</v>
      </c>
    </row>
    <row r="31157">
      <c r="B31157" t="str">
        <v>UBND Ủy ban nhân dân xã Lưỡng Vượng tỉnh Tuyên Quang</v>
      </c>
      <c r="C31157" t="str">
        <v>-</v>
      </c>
      <c r="D31157" t="str">
        <v>-</v>
      </c>
      <c r="E31157" t="str">
        <v>-</v>
      </c>
      <c r="F31157" t="str">
        <v>-</v>
      </c>
      <c r="G31157" t="str">
        <v>-</v>
      </c>
    </row>
    <row r="31158" xml:space="preserve">
      <c r="B31158" t="str" xml:space="preserve">
        <v xml:space="preserve">Công an xã Gia Ninh _x000d_
 tỉnh Quảng Bình</v>
      </c>
      <c r="C31158" t="str">
        <v>-</v>
      </c>
      <c r="D31158" t="str">
        <v>-</v>
      </c>
      <c r="E31158" t="str">
        <v/>
      </c>
      <c r="F31158" t="str">
        <v>-</v>
      </c>
      <c r="G31158" t="str">
        <v>-</v>
      </c>
    </row>
    <row r="31159" xml:space="preserve">
      <c r="B31159" t="str" xml:space="preserve">
        <v xml:space="preserve">UBND Ủy ban nhân dân xã Gia Ninh _x000d_
 tỉnh Quảng Bình</v>
      </c>
      <c r="C31159" t="str">
        <v>-</v>
      </c>
      <c r="D31159" t="str">
        <v>-</v>
      </c>
      <c r="E31159" t="str">
        <v>-</v>
      </c>
      <c r="F31159" t="str">
        <v>-</v>
      </c>
      <c r="G31159" t="str">
        <v>-</v>
      </c>
    </row>
    <row r="31160">
      <c r="B31160" t="str">
        <v>Công an xã Tân Phú thành phố Hà Nội</v>
      </c>
      <c r="C31160" t="str">
        <v>-</v>
      </c>
      <c r="D31160" t="str">
        <v>-</v>
      </c>
      <c r="E31160" t="str">
        <v/>
      </c>
      <c r="F31160" t="str">
        <v>-</v>
      </c>
      <c r="G31160" t="str">
        <v>-</v>
      </c>
    </row>
    <row r="31161">
      <c r="B31161" t="str">
        <v>UBND Ủy ban nhân dân xã Tân Phú thành phố Hà Nội</v>
      </c>
      <c r="C31161" t="str">
        <v>-</v>
      </c>
      <c r="D31161" t="str">
        <v>-</v>
      </c>
      <c r="E31161" t="str">
        <v>-</v>
      </c>
      <c r="F31161" t="str">
        <v>-</v>
      </c>
      <c r="G31161" t="str">
        <v>-</v>
      </c>
    </row>
    <row r="31162">
      <c r="B31162" t="str">
        <v>Công an tỉnh Bắc Kạn  tỉnh Bắc Kạn</v>
      </c>
      <c r="C31162" t="str">
        <v>-</v>
      </c>
      <c r="D31162" t="str">
        <v>-</v>
      </c>
      <c r="E31162" t="str">
        <v/>
      </c>
      <c r="F31162" t="str">
        <v>-</v>
      </c>
      <c r="G31162" t="str">
        <v>-</v>
      </c>
    </row>
    <row r="31163">
      <c r="B31163" t="str">
        <v>UBND Ủy ban nhân dân tỉnh Bắc Kạn  tỉnh Bắc Kạn</v>
      </c>
      <c r="C31163" t="str">
        <v>-</v>
      </c>
      <c r="D31163" t="str">
        <v>-</v>
      </c>
      <c r="E31163" t="str">
        <v>-</v>
      </c>
      <c r="F31163" t="str">
        <v>-</v>
      </c>
      <c r="G31163" t="str">
        <v>-</v>
      </c>
    </row>
    <row r="31164">
      <c r="B31164" t="str">
        <v>Công an tỉnh Điện Biên  tỉnh Điện Biên</v>
      </c>
      <c r="C31164" t="str">
        <v>-</v>
      </c>
      <c r="D31164" t="str">
        <v>-</v>
      </c>
      <c r="E31164" t="str">
        <v/>
      </c>
      <c r="F31164" t="str">
        <v>-</v>
      </c>
      <c r="G31164" t="str">
        <v>-</v>
      </c>
    </row>
    <row r="31165">
      <c r="B31165" t="str">
        <v>UBND Ủy ban nhân dân tỉnh Điện Biên  tỉnh Điện Biên</v>
      </c>
      <c r="C31165" t="str">
        <v>-</v>
      </c>
      <c r="D31165" t="str">
        <v>-</v>
      </c>
      <c r="E31165" t="str">
        <v>-</v>
      </c>
      <c r="F31165" t="str">
        <v>-</v>
      </c>
      <c r="G31165" t="str">
        <v>-</v>
      </c>
    </row>
    <row r="31166">
      <c r="B31166" t="str">
        <v>Công an tỉnh Đồng Nai  tỉnh Đồng Nai</v>
      </c>
      <c r="C31166" t="str">
        <v>-</v>
      </c>
      <c r="D31166" t="str">
        <v>-</v>
      </c>
      <c r="E31166" t="str">
        <v/>
      </c>
      <c r="F31166" t="str">
        <v>-</v>
      </c>
      <c r="G31166" t="str">
        <v>-</v>
      </c>
    </row>
    <row r="31167">
      <c r="B31167" t="str">
        <v>UBND Ủy ban nhân dân tỉnh Đồng Nai  tỉnh Đồng Nai</v>
      </c>
      <c r="C31167" t="str">
        <v>-</v>
      </c>
      <c r="D31167" t="str">
        <v>-</v>
      </c>
      <c r="E31167" t="str">
        <v>-</v>
      </c>
      <c r="F31167" t="str">
        <v>-</v>
      </c>
      <c r="G31167" t="str">
        <v>-</v>
      </c>
    </row>
    <row r="31168">
      <c r="B31168" t="str">
        <v>Công an tỉnh Hà Nam  tỉnh Hà Nam</v>
      </c>
      <c r="C31168" t="str">
        <v>-</v>
      </c>
      <c r="D31168" t="str">
        <v>-</v>
      </c>
      <c r="E31168" t="str">
        <v/>
      </c>
      <c r="F31168" t="str">
        <v>-</v>
      </c>
      <c r="G31168" t="str">
        <v>-</v>
      </c>
    </row>
    <row r="31169">
      <c r="B31169" t="str">
        <v>UBND Ủy ban nhân dân tỉnh Hà Nam  tỉnh Hà Nam</v>
      </c>
      <c r="C31169" t="str">
        <v>-</v>
      </c>
      <c r="D31169" t="str">
        <v>-</v>
      </c>
      <c r="E31169" t="str">
        <v>-</v>
      </c>
      <c r="F31169" t="str">
        <v>-</v>
      </c>
      <c r="G31169" t="str">
        <v>-</v>
      </c>
    </row>
    <row r="31170">
      <c r="B31170" t="str">
        <v>Công an huyện Hòa An  tỉnh Cao Bằng</v>
      </c>
      <c r="C31170" t="str">
        <v>-</v>
      </c>
      <c r="D31170" t="str">
        <v>-</v>
      </c>
      <c r="E31170" t="str">
        <v/>
      </c>
      <c r="F31170" t="str">
        <v>-</v>
      </c>
      <c r="G31170" t="str">
        <v>-</v>
      </c>
    </row>
    <row r="31171">
      <c r="B31171" t="str">
        <v>UBND Ủy ban nhân dân huyện Hòa An  tỉnh Cao Bằng</v>
      </c>
      <c r="C31171" t="str">
        <v>-</v>
      </c>
      <c r="D31171" t="str">
        <v>-</v>
      </c>
      <c r="E31171" t="str">
        <v>-</v>
      </c>
      <c r="F31171" t="str">
        <v>-</v>
      </c>
      <c r="G31171" t="str">
        <v>-</v>
      </c>
    </row>
    <row r="31172">
      <c r="B31172" t="str">
        <v>Công an xã Loan Mỹ  tỉnh Vĩnh Long</v>
      </c>
      <c r="C31172" t="str">
        <v>-</v>
      </c>
      <c r="D31172" t="str">
        <v>-</v>
      </c>
      <c r="E31172" t="str">
        <v/>
      </c>
      <c r="F31172" t="str">
        <v>-</v>
      </c>
      <c r="G31172" t="str">
        <v>-</v>
      </c>
    </row>
    <row r="31173">
      <c r="B31173" t="str">
        <v>UBND Ủy ban nhân dân xã Loan Mỹ  tỉnh Vĩnh Long</v>
      </c>
      <c r="C31173" t="str">
        <v>-</v>
      </c>
      <c r="D31173" t="str">
        <v>-</v>
      </c>
      <c r="E31173" t="str">
        <v>-</v>
      </c>
      <c r="F31173" t="str">
        <v>-</v>
      </c>
      <c r="G31173" t="str">
        <v>-</v>
      </c>
    </row>
    <row r="31174">
      <c r="B31174" t="str">
        <v>Công an xã Vân Xuân  tỉnh Vĩnh Phúc</v>
      </c>
      <c r="C31174" t="str">
        <v>-</v>
      </c>
      <c r="D31174" t="str">
        <v>-</v>
      </c>
      <c r="E31174" t="str">
        <v/>
      </c>
      <c r="F31174" t="str">
        <v>-</v>
      </c>
      <c r="G31174" t="str">
        <v>-</v>
      </c>
    </row>
    <row r="31175">
      <c r="B31175" t="str">
        <v>UBND Ủy ban nhân dân xã Vân Xuân  tỉnh Vĩnh Phúc</v>
      </c>
      <c r="C31175" t="str">
        <v>-</v>
      </c>
      <c r="D31175" t="str">
        <v>-</v>
      </c>
      <c r="E31175" t="str">
        <v>-</v>
      </c>
      <c r="F31175" t="str">
        <v>-</v>
      </c>
      <c r="G31175" t="str">
        <v>-</v>
      </c>
    </row>
    <row r="31176">
      <c r="B31176" t="str">
        <v>Công an xã Tân An tỉnh Hải Dương</v>
      </c>
      <c r="C31176" t="str">
        <v>-</v>
      </c>
      <c r="D31176" t="str">
        <v>-</v>
      </c>
      <c r="E31176" t="str">
        <v/>
      </c>
      <c r="F31176" t="str">
        <v>-</v>
      </c>
      <c r="G31176" t="str">
        <v>-</v>
      </c>
    </row>
    <row r="31177">
      <c r="B31177" t="str">
        <v>UBND Ủy ban nhân dân xã Tân An tỉnh Hải Dương</v>
      </c>
      <c r="C31177" t="str">
        <v>-</v>
      </c>
      <c r="D31177" t="str">
        <v>-</v>
      </c>
      <c r="E31177" t="str">
        <v>-</v>
      </c>
      <c r="F31177" t="str">
        <v>-</v>
      </c>
      <c r="G31177" t="str">
        <v>-</v>
      </c>
    </row>
    <row r="31178">
      <c r="B31178" t="str">
        <v>Công an thị trấn Thuận Châu  tỉnh Sơn La</v>
      </c>
      <c r="C31178" t="str">
        <v>-</v>
      </c>
      <c r="D31178" t="str">
        <v>-</v>
      </c>
      <c r="E31178" t="str">
        <v/>
      </c>
      <c r="F31178" t="str">
        <v>-</v>
      </c>
      <c r="G31178" t="str">
        <v>-</v>
      </c>
    </row>
    <row r="31179">
      <c r="B31179" t="str">
        <v>UBND Ủy ban nhân dân thị trấn Thuận Châu  tỉnh Sơn La</v>
      </c>
      <c r="C31179" t="str">
        <v>-</v>
      </c>
      <c r="D31179" t="str">
        <v>-</v>
      </c>
      <c r="E31179" t="str">
        <v>-</v>
      </c>
      <c r="F31179" t="str">
        <v>-</v>
      </c>
      <c r="G31179" t="str">
        <v>-</v>
      </c>
    </row>
    <row r="31180" xml:space="preserve">
      <c r="B31180" t="str" xml:space="preserve">
        <v xml:space="preserve">Công an phường Cửa Đại _x000d_
 tỉnh Quảng Nam</v>
      </c>
      <c r="C31180" t="str">
        <v>-</v>
      </c>
      <c r="D31180" t="str">
        <v>-</v>
      </c>
      <c r="E31180" t="str">
        <v/>
      </c>
      <c r="F31180" t="str">
        <v>-</v>
      </c>
      <c r="G31180" t="str">
        <v>-</v>
      </c>
    </row>
    <row r="31181" xml:space="preserve">
      <c r="B31181" t="str" xml:space="preserve">
        <v xml:space="preserve">UBND Ủy ban nhân dân phường Cửa Đại _x000d_
 tỉnh Quảng Nam</v>
      </c>
      <c r="C31181" t="str">
        <v>-</v>
      </c>
      <c r="D31181" t="str">
        <v>-</v>
      </c>
      <c r="E31181" t="str">
        <v>-</v>
      </c>
      <c r="F31181" t="str">
        <v>-</v>
      </c>
      <c r="G31181" t="str">
        <v>-</v>
      </c>
    </row>
    <row r="31182">
      <c r="B31182" t="str">
        <v>Cảnh sát cơ động tỉnh Nam Định  tỉnh Nam Định</v>
      </c>
    </row>
    <row r="31183">
      <c r="B31183" t="str">
        <v>UBND Ủy ban nhân dânt cơ động tỉnh Nam Định  tỉnh Nam Định</v>
      </c>
      <c r="C31183" t="str">
        <v>-</v>
      </c>
      <c r="D31183" t="str">
        <v>-</v>
      </c>
      <c r="E31183" t="str">
        <v>-</v>
      </c>
      <c r="F31183" t="str">
        <v>-</v>
      </c>
      <c r="G31183" t="str">
        <v>-</v>
      </c>
    </row>
    <row r="31184">
      <c r="B31184" t="str">
        <v xml:space="preserve"> Công an tỉnh Quảng Nam  tỉnh Quảng Nam</v>
      </c>
    </row>
    <row r="31185">
      <c r="B31185" t="str">
        <v>UBND Ủy ban nhân dânn tỉnh Quảng Nam  tỉnh Quảng Nam</v>
      </c>
      <c r="C31185" t="str">
        <v>-</v>
      </c>
      <c r="D31185" t="str">
        <v>-</v>
      </c>
      <c r="E31185" t="str">
        <v>-</v>
      </c>
      <c r="F31185" t="str">
        <v>-</v>
      </c>
      <c r="G31185" t="str">
        <v>-</v>
      </c>
    </row>
    <row r="31186">
      <c r="B31186" t="str">
        <v>Công an xã Vân Hội tỉnh Yên Bái</v>
      </c>
      <c r="C31186" t="str">
        <v>-</v>
      </c>
      <c r="D31186" t="str">
        <v>-</v>
      </c>
      <c r="E31186" t="str">
        <v/>
      </c>
      <c r="F31186" t="str">
        <v>-</v>
      </c>
      <c r="G31186" t="str">
        <v>-</v>
      </c>
    </row>
    <row r="31187">
      <c r="B31187" t="str">
        <v>UBND Ủy ban nhân dân xã Vân Hội tỉnh Yên Bái</v>
      </c>
      <c r="C31187" t="str">
        <v>-</v>
      </c>
      <c r="D31187" t="str">
        <v>-</v>
      </c>
      <c r="E31187" t="str">
        <v>-</v>
      </c>
      <c r="F31187" t="str">
        <v>-</v>
      </c>
      <c r="G31187" t="str">
        <v>-</v>
      </c>
    </row>
    <row r="31188">
      <c r="B31188" t="str">
        <v>Công an xã An Ấp tỉnh Thái Bình</v>
      </c>
      <c r="C31188" t="str">
        <v>-</v>
      </c>
      <c r="D31188" t="str">
        <v>-</v>
      </c>
      <c r="E31188" t="str">
        <v/>
      </c>
      <c r="F31188" t="str">
        <v>-</v>
      </c>
      <c r="G31188" t="str">
        <v>-</v>
      </c>
    </row>
    <row r="31189">
      <c r="B31189" t="str">
        <v>UBND Ủy ban nhân dân xã An Ấp tỉnh Thái Bình</v>
      </c>
      <c r="C31189" t="str">
        <v>-</v>
      </c>
      <c r="D31189" t="str">
        <v>-</v>
      </c>
      <c r="E31189" t="str">
        <v>-</v>
      </c>
      <c r="F31189" t="str">
        <v>-</v>
      </c>
      <c r="G31189" t="str">
        <v>-</v>
      </c>
    </row>
    <row r="31190">
      <c r="B31190" t="str">
        <v>Công an thị trấn Trà Ôn  tỉnh Vĩnh Long</v>
      </c>
      <c r="C31190" t="str">
        <v>-</v>
      </c>
      <c r="D31190" t="str">
        <v>-</v>
      </c>
      <c r="E31190" t="str">
        <v/>
      </c>
      <c r="F31190" t="str">
        <v>-</v>
      </c>
      <c r="G31190" t="str">
        <v>-</v>
      </c>
    </row>
    <row r="31191">
      <c r="B31191" t="str">
        <v>UBND Ủy ban nhân dân thị trấn Trà Ôn  tỉnh Vĩnh Long</v>
      </c>
      <c r="C31191" t="str">
        <v>-</v>
      </c>
      <c r="D31191" t="str">
        <v>-</v>
      </c>
      <c r="E31191" t="str">
        <v>-</v>
      </c>
      <c r="F31191" t="str">
        <v>-</v>
      </c>
      <c r="G31191" t="str">
        <v>-</v>
      </c>
    </row>
    <row r="31192">
      <c r="B31192" t="str">
        <v>Công an tỉnh Thái Bình  tỉnh Thái Bình</v>
      </c>
      <c r="C31192" t="str">
        <v>-</v>
      </c>
      <c r="D31192" t="str">
        <v>-</v>
      </c>
      <c r="E31192" t="str">
        <v/>
      </c>
      <c r="F31192" t="str">
        <v>-</v>
      </c>
      <c r="G31192" t="str">
        <v>-</v>
      </c>
    </row>
    <row r="31193">
      <c r="B31193" t="str">
        <v>UBND Ủy ban nhân dân tỉnh Thái Bình  tỉnh Thái Bình</v>
      </c>
      <c r="C31193" t="str">
        <v>-</v>
      </c>
      <c r="D31193" t="str">
        <v>-</v>
      </c>
      <c r="E31193" t="str">
        <v>-</v>
      </c>
      <c r="F31193" t="str">
        <v>-</v>
      </c>
      <c r="G31193" t="str">
        <v>-</v>
      </c>
    </row>
    <row r="31194">
      <c r="B31194" t="str">
        <v>Công an xã Đông Cứu  tỉnh Bắc Ninh</v>
      </c>
      <c r="C31194" t="str">
        <v>-</v>
      </c>
      <c r="D31194" t="str">
        <v>-</v>
      </c>
      <c r="E31194" t="str">
        <v/>
      </c>
      <c r="F31194" t="str">
        <v>-</v>
      </c>
      <c r="G31194" t="str">
        <v>-</v>
      </c>
    </row>
    <row r="31195">
      <c r="B31195" t="str">
        <v>UBND Ủy ban nhân dân xã Đông Cứu  tỉnh Bắc Ninh</v>
      </c>
      <c r="C31195" t="str">
        <v>-</v>
      </c>
      <c r="D31195" t="str">
        <v>-</v>
      </c>
      <c r="E31195" t="str">
        <v>-</v>
      </c>
      <c r="F31195" t="str">
        <v>-</v>
      </c>
      <c r="G31195" t="str">
        <v>-</v>
      </c>
    </row>
    <row r="31196">
      <c r="B31196" t="str">
        <v>Công an xã An Phú  tỉnh Bình Phước</v>
      </c>
      <c r="C31196" t="str">
        <v>-</v>
      </c>
      <c r="D31196" t="str">
        <v>-</v>
      </c>
      <c r="E31196" t="str">
        <v/>
      </c>
      <c r="F31196" t="str">
        <v>-</v>
      </c>
      <c r="G31196" t="str">
        <v>-</v>
      </c>
    </row>
    <row r="31197">
      <c r="B31197" t="str">
        <v>UBND Ủy ban nhân dân xã An Phú  tỉnh Bình Phước</v>
      </c>
      <c r="C31197" t="str">
        <v>-</v>
      </c>
      <c r="D31197" t="str">
        <v>-</v>
      </c>
      <c r="E31197" t="str">
        <v>-</v>
      </c>
      <c r="F31197" t="str">
        <v>-</v>
      </c>
      <c r="G31197" t="str">
        <v>-</v>
      </c>
    </row>
    <row r="31198">
      <c r="B31198" t="str">
        <v>Công an xã Đăk Tơ Pang  tỉnh Gia Lai</v>
      </c>
      <c r="C31198" t="str">
        <v>-</v>
      </c>
      <c r="D31198" t="str">
        <v>-</v>
      </c>
      <c r="E31198" t="str">
        <v/>
      </c>
      <c r="F31198" t="str">
        <v>-</v>
      </c>
      <c r="G31198" t="str">
        <v>-</v>
      </c>
    </row>
    <row r="31199">
      <c r="B31199" t="str">
        <v>UBND Ủy ban nhân dân xã Đăk Tơ Pang  tỉnh Gia Lai</v>
      </c>
      <c r="C31199" t="str">
        <v>-</v>
      </c>
      <c r="D31199" t="str">
        <v>-</v>
      </c>
      <c r="E31199" t="str">
        <v>-</v>
      </c>
      <c r="F31199" t="str">
        <v>-</v>
      </c>
      <c r="G31199" t="str">
        <v>-</v>
      </c>
    </row>
    <row r="31200">
      <c r="B31200" t="str">
        <v>Công an xã Đại Thắng tỉnh Nam Định</v>
      </c>
      <c r="C31200" t="str">
        <v>-</v>
      </c>
      <c r="D31200" t="str">
        <v>-</v>
      </c>
      <c r="E31200" t="str">
        <v/>
      </c>
      <c r="F31200" t="str">
        <v>-</v>
      </c>
      <c r="G31200" t="str">
        <v>-</v>
      </c>
    </row>
    <row r="31201">
      <c r="B31201" t="str">
        <v>UBND Ủy ban nhân dân xã Đại Thắng tỉnh Nam Định</v>
      </c>
      <c r="C31201" t="str">
        <v>-</v>
      </c>
      <c r="D31201" t="str">
        <v>-</v>
      </c>
      <c r="E31201" t="str">
        <v>-</v>
      </c>
      <c r="F31201" t="str">
        <v>-</v>
      </c>
      <c r="G31201" t="str">
        <v>-</v>
      </c>
    </row>
    <row r="31202">
      <c r="B31202" t="str">
        <v>Công an xã Long Tân  tỉnh Bình Phước</v>
      </c>
      <c r="C31202" t="str">
        <v>-</v>
      </c>
      <c r="D31202" t="str">
        <v>-</v>
      </c>
      <c r="E31202" t="str">
        <v/>
      </c>
      <c r="F31202" t="str">
        <v>-</v>
      </c>
      <c r="G31202" t="str">
        <v>-</v>
      </c>
    </row>
    <row r="31203">
      <c r="B31203" t="str">
        <v>UBND Ủy ban nhân dân xã Long Tân  tỉnh Bình Phước</v>
      </c>
      <c r="C31203" t="str">
        <v>-</v>
      </c>
      <c r="D31203" t="str">
        <v>-</v>
      </c>
      <c r="E31203" t="str">
        <v>-</v>
      </c>
      <c r="F31203" t="str">
        <v>-</v>
      </c>
      <c r="G31203" t="str">
        <v>-</v>
      </c>
    </row>
    <row r="31204">
      <c r="B31204" t="str">
        <v>Công an xã Mỹ Thạnh  tỉnh Bến Tre</v>
      </c>
      <c r="C31204" t="str">
        <v>-</v>
      </c>
      <c r="D31204" t="str">
        <v>-</v>
      </c>
      <c r="E31204" t="str">
        <v/>
      </c>
      <c r="F31204" t="str">
        <v>-</v>
      </c>
      <c r="G31204" t="str">
        <v>-</v>
      </c>
    </row>
    <row r="31205">
      <c r="B31205" t="str">
        <v>UBND Ủy ban nhân dân xã Mỹ Thạnh  tỉnh Bến Tre</v>
      </c>
      <c r="C31205" t="str">
        <v>-</v>
      </c>
      <c r="D31205" t="str">
        <v>-</v>
      </c>
      <c r="E31205" t="str">
        <v>-</v>
      </c>
      <c r="F31205" t="str">
        <v>-</v>
      </c>
      <c r="G31205" t="str">
        <v>-</v>
      </c>
    </row>
    <row r="31206">
      <c r="B31206" t="str">
        <v>Công an xã Hiệp Cát tỉnh Hải Dương</v>
      </c>
      <c r="C31206" t="str">
        <v>-</v>
      </c>
      <c r="D31206" t="str">
        <v>-</v>
      </c>
      <c r="E31206" t="str">
        <v/>
      </c>
      <c r="F31206" t="str">
        <v>-</v>
      </c>
      <c r="G31206" t="str">
        <v>-</v>
      </c>
    </row>
    <row r="31207">
      <c r="B31207" t="str">
        <v>UBND Ủy ban nhân dân xã Hiệp Cát tỉnh Hải Dương</v>
      </c>
      <c r="C31207" t="str">
        <v>-</v>
      </c>
      <c r="D31207" t="str">
        <v>-</v>
      </c>
      <c r="E31207" t="str">
        <v>-</v>
      </c>
      <c r="F31207" t="str">
        <v>-</v>
      </c>
      <c r="G31207" t="str">
        <v>-</v>
      </c>
    </row>
    <row r="31208">
      <c r="B31208" t="str">
        <v>Công an tỉnh Nam Định  tỉnh Nam Định</v>
      </c>
      <c r="C31208" t="str">
        <v>-</v>
      </c>
      <c r="D31208" t="str">
        <v>-</v>
      </c>
      <c r="E31208" t="str">
        <v/>
      </c>
      <c r="F31208" t="str">
        <v>-</v>
      </c>
      <c r="G31208" t="str">
        <v>-</v>
      </c>
    </row>
    <row r="31209">
      <c r="B31209" t="str">
        <v>UBND Ủy ban nhân dân tỉnh Nam Định  tỉnh Nam Định</v>
      </c>
      <c r="C31209" t="str">
        <v>-</v>
      </c>
      <c r="D31209" t="str">
        <v>-</v>
      </c>
      <c r="E31209" t="str">
        <v>-</v>
      </c>
      <c r="F31209" t="str">
        <v>-</v>
      </c>
      <c r="G31209" t="str">
        <v>-</v>
      </c>
    </row>
    <row r="31210">
      <c r="B31210" t="str">
        <v>Công an xã Hồ Bốn  tỉnh Yên Bái</v>
      </c>
      <c r="C31210" t="str">
        <v>-</v>
      </c>
      <c r="D31210" t="str">
        <v>-</v>
      </c>
      <c r="E31210" t="str">
        <v/>
      </c>
      <c r="F31210" t="str">
        <v>-</v>
      </c>
      <c r="G31210" t="str">
        <v>-</v>
      </c>
    </row>
    <row r="31211">
      <c r="B31211" t="str">
        <v>UBND Ủy ban nhân dân xã Hồ Bốn  tỉnh Yên Bái</v>
      </c>
      <c r="C31211" t="str">
        <v>-</v>
      </c>
      <c r="D31211" t="str">
        <v>-</v>
      </c>
      <c r="E31211" t="str">
        <v>-</v>
      </c>
      <c r="F31211" t="str">
        <v>-</v>
      </c>
      <c r="G31211" t="str">
        <v>-</v>
      </c>
    </row>
    <row r="31212">
      <c r="B31212" t="str">
        <v>Công an xã Quảng Nghĩa tỉnh Quảng Ninh</v>
      </c>
      <c r="C31212" t="str">
        <v>-</v>
      </c>
      <c r="D31212" t="str">
        <v>-</v>
      </c>
      <c r="E31212" t="str">
        <v/>
      </c>
      <c r="F31212" t="str">
        <v>-</v>
      </c>
      <c r="G31212" t="str">
        <v>-</v>
      </c>
    </row>
    <row r="31213">
      <c r="B31213" t="str">
        <v>UBND Ủy ban nhân dân xã Quảng Nghĩa tỉnh Quảng Ninh</v>
      </c>
      <c r="C31213" t="str">
        <v>-</v>
      </c>
      <c r="D31213" t="str">
        <v>-</v>
      </c>
      <c r="E31213" t="str">
        <v>-</v>
      </c>
      <c r="F31213" t="str">
        <v>-</v>
      </c>
      <c r="G31213" t="str">
        <v>-</v>
      </c>
    </row>
    <row r="31214">
      <c r="B31214" t="str">
        <v>Công an xã Trị Quận tỉnh Phú Thọ</v>
      </c>
      <c r="C31214" t="str">
        <v>-</v>
      </c>
      <c r="D31214" t="str">
        <v>-</v>
      </c>
      <c r="E31214" t="str">
        <v/>
      </c>
      <c r="F31214" t="str">
        <v>-</v>
      </c>
      <c r="G31214" t="str">
        <v>-</v>
      </c>
    </row>
    <row r="31215">
      <c r="B31215" t="str">
        <v>UBND Ủy ban nhân dân xã Trị Quận tỉnh Phú Thọ</v>
      </c>
      <c r="C31215" t="str">
        <v>-</v>
      </c>
      <c r="D31215" t="str">
        <v>-</v>
      </c>
      <c r="E31215" t="str">
        <v>-</v>
      </c>
      <c r="F31215" t="str">
        <v>-</v>
      </c>
      <c r="G31215" t="str">
        <v>-</v>
      </c>
    </row>
    <row r="31216">
      <c r="B31216" t="str">
        <v>Công an xã Tân Dân tỉnh Hà Tĩnh</v>
      </c>
      <c r="C31216" t="str">
        <v>-</v>
      </c>
      <c r="D31216" t="str">
        <v>-</v>
      </c>
      <c r="E31216" t="str">
        <v/>
      </c>
      <c r="F31216" t="str">
        <v>-</v>
      </c>
      <c r="G31216" t="str">
        <v>-</v>
      </c>
    </row>
    <row r="31217">
      <c r="B31217" t="str">
        <v>UBND Ủy ban nhân dân xã Tân Dân tỉnh Hà Tĩnh</v>
      </c>
      <c r="C31217" t="str">
        <v>-</v>
      </c>
      <c r="D31217" t="str">
        <v>-</v>
      </c>
      <c r="E31217" t="str">
        <v>-</v>
      </c>
      <c r="F31217" t="str">
        <v>-</v>
      </c>
      <c r="G31217" t="str">
        <v>-</v>
      </c>
    </row>
    <row r="31218">
      <c r="B31218" t="str">
        <v>Công an xã Tam Tiến  tỉnh Quảng Nam</v>
      </c>
      <c r="C31218" t="str">
        <v>-</v>
      </c>
      <c r="D31218" t="str">
        <v>-</v>
      </c>
      <c r="E31218" t="str">
        <v/>
      </c>
      <c r="F31218" t="str">
        <v>-</v>
      </c>
      <c r="G31218" t="str">
        <v>-</v>
      </c>
    </row>
    <row r="31219">
      <c r="B31219" t="str">
        <v>UBND Ủy ban nhân dân xã Tam Tiến  tỉnh Quảng Nam</v>
      </c>
      <c r="C31219" t="str">
        <v>-</v>
      </c>
      <c r="D31219" t="str">
        <v>-</v>
      </c>
      <c r="E31219" t="str">
        <v>-</v>
      </c>
      <c r="F31219" t="str">
        <v>-</v>
      </c>
      <c r="G31219" t="str">
        <v>-</v>
      </c>
    </row>
    <row r="31220">
      <c r="B31220" t="str">
        <v>Công an xã Thuỵ Thanh  tỉnh Thái Bình</v>
      </c>
      <c r="C31220" t="str">
        <v>-</v>
      </c>
      <c r="D31220" t="str">
        <v>-</v>
      </c>
      <c r="E31220" t="str">
        <v/>
      </c>
      <c r="F31220" t="str">
        <v>-</v>
      </c>
      <c r="G31220" t="str">
        <v>-</v>
      </c>
    </row>
    <row r="31221">
      <c r="B31221" t="str">
        <v>UBND Ủy ban nhân dân xã Thuỵ Thanh  tỉnh Thái Bình</v>
      </c>
      <c r="C31221" t="str">
        <v>-</v>
      </c>
      <c r="D31221" t="str">
        <v>-</v>
      </c>
      <c r="E31221" t="str">
        <v>-</v>
      </c>
      <c r="F31221" t="str">
        <v>-</v>
      </c>
      <c r="G31221" t="str">
        <v>-</v>
      </c>
    </row>
    <row r="31222">
      <c r="B31222" t="str">
        <v>Công an xã Nà Tấu tỉnh Điện Biên</v>
      </c>
      <c r="C31222" t="str">
        <v>-</v>
      </c>
      <c r="D31222" t="str">
        <v>-</v>
      </c>
      <c r="E31222" t="str">
        <v/>
      </c>
      <c r="F31222" t="str">
        <v>-</v>
      </c>
      <c r="G31222" t="str">
        <v>-</v>
      </c>
    </row>
    <row r="31223">
      <c r="B31223" t="str">
        <v>UBND Ủy ban nhân dân xã Nà Tấu tỉnh Điện Biên</v>
      </c>
      <c r="C31223" t="str">
        <v>-</v>
      </c>
      <c r="D31223" t="str">
        <v>-</v>
      </c>
      <c r="E31223" t="str">
        <v>-</v>
      </c>
      <c r="F31223" t="str">
        <v>-</v>
      </c>
      <c r="G31223" t="str">
        <v>-</v>
      </c>
    </row>
    <row r="31224">
      <c r="B31224" t="str">
        <v>Công an phường Kỳ Trinh tỉnh Hà Tĩnh</v>
      </c>
      <c r="C31224" t="str">
        <v>-</v>
      </c>
      <c r="D31224" t="str">
        <v>-</v>
      </c>
      <c r="E31224" t="str">
        <v/>
      </c>
      <c r="F31224" t="str">
        <v>-</v>
      </c>
      <c r="G31224" t="str">
        <v>-</v>
      </c>
    </row>
    <row r="31225">
      <c r="B31225" t="str">
        <v>UBND Ủy ban nhân dân phường Kỳ Trinh tỉnh Hà Tĩnh</v>
      </c>
      <c r="C31225" t="str">
        <v>-</v>
      </c>
      <c r="D31225" t="str">
        <v>-</v>
      </c>
      <c r="E31225" t="str">
        <v>-</v>
      </c>
      <c r="F31225" t="str">
        <v>-</v>
      </c>
      <c r="G31225" t="str">
        <v>-</v>
      </c>
    </row>
    <row r="31226">
      <c r="B31226" t="str">
        <v>Công an xã Vạn Phước  tỉnh Khánh Hòa</v>
      </c>
      <c r="C31226" t="str">
        <v>-</v>
      </c>
      <c r="D31226" t="str">
        <v>-</v>
      </c>
      <c r="E31226" t="str">
        <v/>
      </c>
      <c r="F31226" t="str">
        <v>-</v>
      </c>
      <c r="G31226" t="str">
        <v>-</v>
      </c>
    </row>
    <row r="31227">
      <c r="B31227" t="str">
        <v>UBND Ủy ban nhân dân xã Vạn Phước  tỉnh Khánh Hòa</v>
      </c>
      <c r="C31227" t="str">
        <v>-</v>
      </c>
      <c r="D31227" t="str">
        <v>-</v>
      </c>
      <c r="E31227" t="str">
        <v>-</v>
      </c>
      <c r="F31227" t="str">
        <v>-</v>
      </c>
      <c r="G31227" t="str">
        <v>-</v>
      </c>
    </row>
    <row r="31228">
      <c r="B31228" t="str">
        <v>Công an xã Bằng Thành tỉnh Bắc Kạn</v>
      </c>
      <c r="C31228" t="str">
        <v>-</v>
      </c>
      <c r="D31228" t="str">
        <v>-</v>
      </c>
      <c r="E31228" t="str">
        <v/>
      </c>
      <c r="F31228" t="str">
        <v>-</v>
      </c>
      <c r="G31228" t="str">
        <v>-</v>
      </c>
    </row>
    <row r="31229">
      <c r="B31229" t="str">
        <v>UBND Ủy ban nhân dân xã Bằng Thành tỉnh Bắc Kạn</v>
      </c>
      <c r="C31229" t="str">
        <v>-</v>
      </c>
      <c r="D31229" t="str">
        <v>-</v>
      </c>
      <c r="E31229" t="str">
        <v>-</v>
      </c>
      <c r="F31229" t="str">
        <v>-</v>
      </c>
      <c r="G31229" t="str">
        <v>-</v>
      </c>
    </row>
    <row r="31230">
      <c r="B31230" t="str">
        <v>Công an xã Yên Lâm tỉnh Tuyên Quang</v>
      </c>
      <c r="C31230" t="str">
        <v>-</v>
      </c>
      <c r="D31230" t="str">
        <v>-</v>
      </c>
      <c r="E31230" t="str">
        <v/>
      </c>
      <c r="F31230" t="str">
        <v>-</v>
      </c>
      <c r="G31230" t="str">
        <v>-</v>
      </c>
    </row>
    <row r="31231">
      <c r="B31231" t="str">
        <v>UBND Ủy ban nhân dân xã Yên Lâm tỉnh Tuyên Quang</v>
      </c>
      <c r="C31231" t="str">
        <v>-</v>
      </c>
      <c r="D31231" t="str">
        <v>-</v>
      </c>
      <c r="E31231" t="str">
        <v>-</v>
      </c>
      <c r="F31231" t="str">
        <v>-</v>
      </c>
      <c r="G31231" t="str">
        <v>-</v>
      </c>
    </row>
    <row r="31232">
      <c r="B31232" t="str">
        <v>Công an xã Mường Bo  tỉnh Lào Cai</v>
      </c>
      <c r="C31232" t="str">
        <v>-</v>
      </c>
      <c r="D31232" t="str">
        <v>-</v>
      </c>
      <c r="E31232" t="str">
        <v/>
      </c>
      <c r="F31232" t="str">
        <v>-</v>
      </c>
      <c r="G31232" t="str">
        <v>-</v>
      </c>
    </row>
    <row r="31233">
      <c r="B31233" t="str">
        <v>UBND Ủy ban nhân dân xã Mường Bo  tỉnh Lào Cai</v>
      </c>
      <c r="C31233" t="str">
        <v>-</v>
      </c>
      <c r="D31233" t="str">
        <v>-</v>
      </c>
      <c r="E31233" t="str">
        <v>-</v>
      </c>
      <c r="F31233" t="str">
        <v>-</v>
      </c>
      <c r="G31233" t="str">
        <v>-</v>
      </c>
    </row>
    <row r="31234">
      <c r="B31234" t="str">
        <v>Công an xã Tam Hiệp  tỉnh Quảng Nam</v>
      </c>
      <c r="C31234" t="str">
        <v>-</v>
      </c>
      <c r="D31234" t="str">
        <v>-</v>
      </c>
      <c r="E31234" t="str">
        <v/>
      </c>
      <c r="F31234" t="str">
        <v>-</v>
      </c>
      <c r="G31234" t="str">
        <v>-</v>
      </c>
    </row>
    <row r="31235">
      <c r="B31235" t="str">
        <v>UBND Ủy ban nhân dân xã Tam Hiệp  tỉnh Quảng Nam</v>
      </c>
      <c r="C31235" t="str">
        <v>-</v>
      </c>
      <c r="D31235" t="str">
        <v>-</v>
      </c>
      <c r="E31235" t="str">
        <v>-</v>
      </c>
      <c r="F31235" t="str">
        <v>-</v>
      </c>
      <c r="G31235" t="str">
        <v>-</v>
      </c>
    </row>
    <row r="31236">
      <c r="B31236" t="str">
        <v>Công an xã Nguyễn Trãi tỉnh Hưng Yên</v>
      </c>
      <c r="C31236" t="str">
        <v>-</v>
      </c>
      <c r="D31236" t="str">
        <v>-</v>
      </c>
      <c r="E31236" t="str">
        <v/>
      </c>
      <c r="F31236" t="str">
        <v>-</v>
      </c>
      <c r="G31236" t="str">
        <v>-</v>
      </c>
    </row>
    <row r="31237">
      <c r="B31237" t="str">
        <v>UBND Ủy ban nhân dân xã Nguyễn Trãi tỉnh Hưng Yên</v>
      </c>
      <c r="C31237" t="str">
        <v>-</v>
      </c>
      <c r="D31237" t="str">
        <v>-</v>
      </c>
      <c r="E31237" t="str">
        <v>-</v>
      </c>
      <c r="F31237" t="str">
        <v>-</v>
      </c>
      <c r="G31237" t="str">
        <v>-</v>
      </c>
    </row>
    <row r="31238">
      <c r="B31238" t="str">
        <v>Công an xã Tam Đàn  tỉnh Nghệ An</v>
      </c>
      <c r="C31238" t="str">
        <v>-</v>
      </c>
      <c r="D31238" t="str">
        <v>-</v>
      </c>
      <c r="E31238" t="str">
        <v/>
      </c>
      <c r="F31238" t="str">
        <v>-</v>
      </c>
      <c r="G31238" t="str">
        <v>-</v>
      </c>
    </row>
    <row r="31239">
      <c r="B31239" t="str">
        <v>UBND Ủy ban nhân dân xã Tam Đàn  tỉnh Nghệ An</v>
      </c>
      <c r="C31239" t="str">
        <v>-</v>
      </c>
      <c r="D31239" t="str">
        <v>-</v>
      </c>
      <c r="E31239" t="str">
        <v>-</v>
      </c>
      <c r="F31239" t="str">
        <v>-</v>
      </c>
      <c r="G31239" t="str">
        <v>-</v>
      </c>
    </row>
    <row r="31240">
      <c r="B31240" t="str">
        <v>Công an xã Ngọc Sơn  tỉnh Hà Nam</v>
      </c>
      <c r="C31240" t="str">
        <v>-</v>
      </c>
      <c r="D31240" t="str">
        <v>-</v>
      </c>
      <c r="E31240" t="str">
        <v/>
      </c>
      <c r="F31240" t="str">
        <v>-</v>
      </c>
      <c r="G31240" t="str">
        <v>-</v>
      </c>
    </row>
    <row r="31241">
      <c r="B31241" t="str">
        <v>UBND Ủy ban nhân dân xã Ngọc Sơn  tỉnh Hà Nam</v>
      </c>
      <c r="C31241" t="str">
        <v>-</v>
      </c>
      <c r="D31241" t="str">
        <v>-</v>
      </c>
      <c r="E31241" t="str">
        <v>-</v>
      </c>
      <c r="F31241" t="str">
        <v>-</v>
      </c>
      <c r="G31241" t="str">
        <v>-</v>
      </c>
    </row>
    <row r="31242">
      <c r="B31242" t="str">
        <v>Công an xã Yên Lập  tỉnh Tuyên Quang</v>
      </c>
      <c r="C31242" t="str">
        <v>-</v>
      </c>
      <c r="D31242" t="str">
        <v>-</v>
      </c>
      <c r="E31242" t="str">
        <v/>
      </c>
      <c r="F31242" t="str">
        <v>-</v>
      </c>
      <c r="G31242" t="str">
        <v>-</v>
      </c>
    </row>
    <row r="31243">
      <c r="B31243" t="str">
        <v>UBND Ủy ban nhân dân xã Yên Lập  tỉnh Tuyên Quang</v>
      </c>
      <c r="C31243" t="str">
        <v>-</v>
      </c>
      <c r="D31243" t="str">
        <v>-</v>
      </c>
      <c r="E31243" t="str">
        <v>-</v>
      </c>
      <c r="F31243" t="str">
        <v>-</v>
      </c>
      <c r="G31243" t="str">
        <v>-</v>
      </c>
    </row>
    <row r="31244">
      <c r="B31244" t="str">
        <v>Công an huyện Yên Thuỷ tỉnh Hòa Bình</v>
      </c>
      <c r="C31244" t="str">
        <v>-</v>
      </c>
      <c r="D31244" t="str">
        <v>-</v>
      </c>
      <c r="E31244" t="str">
        <v/>
      </c>
      <c r="F31244" t="str">
        <v>-</v>
      </c>
      <c r="G31244" t="str">
        <v>-</v>
      </c>
    </row>
    <row r="31245">
      <c r="B31245" t="str">
        <v>UBND Ủy ban nhân dân huyện Yên Thuỷ tỉnh Hòa Bình</v>
      </c>
      <c r="C31245" t="str">
        <v>-</v>
      </c>
      <c r="D31245" t="str">
        <v>-</v>
      </c>
      <c r="E31245" t="str">
        <v>-</v>
      </c>
      <c r="F31245" t="str">
        <v>-</v>
      </c>
      <c r="G31245" t="str">
        <v>-</v>
      </c>
    </row>
    <row r="31246">
      <c r="B31246" t="str">
        <v>Công an thị trấn Phương Sơn  tỉnh Bắc Giang</v>
      </c>
      <c r="C31246" t="str">
        <v>-</v>
      </c>
      <c r="D31246" t="str">
        <v>-</v>
      </c>
      <c r="E31246" t="str">
        <v/>
      </c>
      <c r="F31246" t="str">
        <v>-</v>
      </c>
      <c r="G31246" t="str">
        <v>-</v>
      </c>
    </row>
    <row r="31247">
      <c r="B31247" t="str">
        <v>UBND Ủy ban nhân dân thị trấn Phương Sơn  tỉnh Bắc Giang</v>
      </c>
      <c r="C31247" t="str">
        <v>-</v>
      </c>
      <c r="D31247" t="str">
        <v>-</v>
      </c>
      <c r="E31247" t="str">
        <v>-</v>
      </c>
      <c r="F31247" t="str">
        <v>-</v>
      </c>
      <c r="G31247" t="str">
        <v>-</v>
      </c>
    </row>
    <row r="31248">
      <c r="B31248" t="str">
        <v>Công an xã Phong Hiền tỉnh THỪA THIÊN HUẾ</v>
      </c>
      <c r="C31248" t="str">
        <v>-</v>
      </c>
      <c r="D31248" t="str">
        <v>-</v>
      </c>
      <c r="E31248" t="str">
        <v/>
      </c>
      <c r="F31248" t="str">
        <v>-</v>
      </c>
      <c r="G31248" t="str">
        <v>-</v>
      </c>
    </row>
    <row r="31249">
      <c r="B31249" t="str">
        <v>UBND Ủy ban nhân dân xã Phong Hiền tỉnh THỪA THIÊN HUẾ</v>
      </c>
      <c r="C31249" t="str">
        <v>-</v>
      </c>
      <c r="D31249" t="str">
        <v>-</v>
      </c>
      <c r="E31249" t="str">
        <v>-</v>
      </c>
      <c r="F31249" t="str">
        <v>-</v>
      </c>
      <c r="G31249" t="str">
        <v>-</v>
      </c>
    </row>
    <row r="31250">
      <c r="B31250" t="str">
        <v>Công an xã Kha Sơn tỉnh Thái Nguyên</v>
      </c>
      <c r="C31250" t="str">
        <v>-</v>
      </c>
      <c r="D31250" t="str">
        <v>-</v>
      </c>
      <c r="E31250" t="str">
        <v/>
      </c>
      <c r="F31250" t="str">
        <v>-</v>
      </c>
      <c r="G31250" t="str">
        <v>-</v>
      </c>
    </row>
    <row r="31251">
      <c r="B31251" t="str">
        <v>UBND Ủy ban nhân dân xã Kha Sơn tỉnh Thái Nguyên</v>
      </c>
      <c r="C31251" t="str">
        <v>-</v>
      </c>
      <c r="D31251" t="str">
        <v>-</v>
      </c>
      <c r="E31251" t="str">
        <v>-</v>
      </c>
      <c r="F31251" t="str">
        <v>-</v>
      </c>
      <c r="G31251" t="str">
        <v>-</v>
      </c>
    </row>
    <row r="31252">
      <c r="B31252" t="str">
        <v>Công an huyện Mê Linh  thành phố Hà Nội</v>
      </c>
      <c r="C31252" t="str">
        <v>-</v>
      </c>
      <c r="D31252" t="str">
        <v>-</v>
      </c>
      <c r="E31252" t="str">
        <v/>
      </c>
      <c r="F31252" t="str">
        <v>-</v>
      </c>
      <c r="G31252" t="str">
        <v>-</v>
      </c>
    </row>
    <row r="31253">
      <c r="B31253" t="str">
        <v>UBND Ủy ban nhân dân huyện Mê Linh  thành phố Hà Nội</v>
      </c>
      <c r="C31253" t="str">
        <v>-</v>
      </c>
      <c r="D31253" t="str">
        <v>-</v>
      </c>
      <c r="E31253" t="str">
        <v>-</v>
      </c>
      <c r="F31253" t="str">
        <v>-</v>
      </c>
      <c r="G31253" t="str">
        <v>-</v>
      </c>
    </row>
    <row r="31254">
      <c r="B31254" t="str">
        <v>Công an xã Thượng Vực thành phố Hà Nội</v>
      </c>
      <c r="C31254" t="str">
        <v>-</v>
      </c>
      <c r="D31254" t="str">
        <v>-</v>
      </c>
      <c r="E31254" t="str">
        <v/>
      </c>
      <c r="F31254" t="str">
        <v>-</v>
      </c>
      <c r="G31254" t="str">
        <v>-</v>
      </c>
    </row>
    <row r="31255">
      <c r="B31255" t="str">
        <v>UBND Ủy ban nhân dân xã Thượng Vực thành phố Hà Nội</v>
      </c>
      <c r="C31255" t="str">
        <v>-</v>
      </c>
      <c r="D31255" t="str">
        <v>-</v>
      </c>
      <c r="E31255" t="str">
        <v>-</v>
      </c>
      <c r="F31255" t="str">
        <v>-</v>
      </c>
      <c r="G31255" t="str">
        <v>-</v>
      </c>
    </row>
    <row r="31256">
      <c r="B31256" t="str">
        <v>Công an xã Chiềng Pằn  tỉnh Sơn La</v>
      </c>
      <c r="C31256" t="str">
        <v>-</v>
      </c>
      <c r="D31256" t="str">
        <v>-</v>
      </c>
      <c r="E31256" t="str">
        <v/>
      </c>
      <c r="F31256" t="str">
        <v>-</v>
      </c>
      <c r="G31256" t="str">
        <v>-</v>
      </c>
    </row>
    <row r="31257">
      <c r="B31257" t="str">
        <v>UBND Ủy ban nhân dân xã Chiềng Pằn  tỉnh Sơn La</v>
      </c>
      <c r="C31257" t="str">
        <v>-</v>
      </c>
      <c r="D31257" t="str">
        <v>-</v>
      </c>
      <c r="E31257" t="str">
        <v>-</v>
      </c>
      <c r="F31257" t="str">
        <v>-</v>
      </c>
      <c r="G31257" t="str">
        <v>-</v>
      </c>
    </row>
    <row r="31258">
      <c r="B31258" t="str">
        <v>Công an xã Ngọc Hoà  thành phố Hà Nội</v>
      </c>
      <c r="C31258" t="str">
        <v>-</v>
      </c>
      <c r="D31258" t="str">
        <v>-</v>
      </c>
      <c r="E31258" t="str">
        <v/>
      </c>
      <c r="F31258" t="str">
        <v>-</v>
      </c>
      <c r="G31258" t="str">
        <v>-</v>
      </c>
    </row>
    <row r="31259">
      <c r="B31259" t="str">
        <v>UBND Ủy ban nhân dân xã Ngọc Hoà  thành phố Hà Nội</v>
      </c>
      <c r="C31259" t="str">
        <v>-</v>
      </c>
      <c r="D31259" t="str">
        <v>-</v>
      </c>
      <c r="E31259" t="str">
        <v>-</v>
      </c>
      <c r="F31259" t="str">
        <v>-</v>
      </c>
      <c r="G31259" t="str">
        <v>-</v>
      </c>
    </row>
    <row r="31260">
      <c r="B31260" t="str">
        <v>Công an xã Lãng Ngâm  tỉnh Bắc Ninh</v>
      </c>
      <c r="C31260" t="str">
        <v>-</v>
      </c>
      <c r="D31260" t="str">
        <v>-</v>
      </c>
      <c r="E31260" t="str">
        <v/>
      </c>
      <c r="F31260" t="str">
        <v>-</v>
      </c>
      <c r="G31260" t="str">
        <v>-</v>
      </c>
    </row>
    <row r="31261">
      <c r="B31261" t="str">
        <v>UBND Ủy ban nhân dân xã Lãng Ngâm  tỉnh Bắc Ninh</v>
      </c>
      <c r="C31261" t="str">
        <v>-</v>
      </c>
      <c r="D31261" t="str">
        <v>-</v>
      </c>
      <c r="E31261" t="str">
        <v>-</v>
      </c>
      <c r="F31261" t="str">
        <v>-</v>
      </c>
      <c r="G31261" t="str">
        <v>-</v>
      </c>
    </row>
    <row r="31262">
      <c r="B31262" t="str">
        <v>Công an thành phố Hưng Yên  tỉnh Hưng Yên</v>
      </c>
      <c r="C31262" t="str">
        <v>-</v>
      </c>
      <c r="D31262" t="str">
        <v>-</v>
      </c>
      <c r="E31262" t="str">
        <v/>
      </c>
      <c r="F31262" t="str">
        <v>-</v>
      </c>
      <c r="G31262" t="str">
        <v>-</v>
      </c>
    </row>
    <row r="31263">
      <c r="B31263" t="str">
        <v>UBND Ủy ban nhân dân thành phố Hưng Yên  tỉnh Hưng Yên</v>
      </c>
      <c r="C31263" t="str">
        <v>-</v>
      </c>
      <c r="D31263" t="str">
        <v>-</v>
      </c>
      <c r="E31263" t="str">
        <v>-</v>
      </c>
      <c r="F31263" t="str">
        <v>-</v>
      </c>
      <c r="G31263" t="str">
        <v>-</v>
      </c>
    </row>
    <row r="31264">
      <c r="B31264" t="str">
        <v>Công an thành phố Hồ Chí Minh thành phố Hồ Chí Minh</v>
      </c>
      <c r="C31264" t="str">
        <v>-</v>
      </c>
      <c r="D31264" t="str">
        <v>-</v>
      </c>
      <c r="E31264" t="str">
        <v/>
      </c>
      <c r="F31264" t="str">
        <v>-</v>
      </c>
      <c r="G31264" t="str">
        <v>-</v>
      </c>
    </row>
    <row r="31265">
      <c r="B31265" t="str">
        <v>UBND Ủy ban nhân dân thành phố Hồ Chí Minh thành phố Hồ Chí Minh</v>
      </c>
      <c r="C31265" t="str">
        <v>-</v>
      </c>
      <c r="D31265" t="str">
        <v>-</v>
      </c>
      <c r="E31265" t="str">
        <v>-</v>
      </c>
      <c r="F31265" t="str">
        <v>-</v>
      </c>
      <c r="G31265" t="str">
        <v>-</v>
      </c>
    </row>
    <row r="31266">
      <c r="B31266" t="str">
        <v>Công an xã Đại Phú  tỉnh Tuyên Quang</v>
      </c>
      <c r="C31266" t="str">
        <v>-</v>
      </c>
      <c r="D31266" t="str">
        <v>-</v>
      </c>
      <c r="E31266" t="str">
        <v/>
      </c>
      <c r="F31266" t="str">
        <v>-</v>
      </c>
      <c r="G31266" t="str">
        <v>-</v>
      </c>
    </row>
    <row r="31267">
      <c r="B31267" t="str">
        <v>UBND Ủy ban nhân dân xã Đại Phú  tỉnh Tuyên Quang</v>
      </c>
      <c r="C31267" t="str">
        <v>-</v>
      </c>
      <c r="D31267" t="str">
        <v>-</v>
      </c>
      <c r="E31267" t="str">
        <v>-</v>
      </c>
      <c r="F31267" t="str">
        <v>-</v>
      </c>
      <c r="G31267" t="str">
        <v>-</v>
      </c>
    </row>
    <row r="31268">
      <c r="B31268" t="str">
        <v>Công an xã Minh Lộc tỉnh Thanh Hóa</v>
      </c>
      <c r="C31268" t="str">
        <v>-</v>
      </c>
      <c r="D31268" t="str">
        <v>-</v>
      </c>
      <c r="E31268" t="str">
        <v/>
      </c>
      <c r="F31268" t="str">
        <v>-</v>
      </c>
      <c r="G31268" t="str">
        <v>-</v>
      </c>
    </row>
    <row r="31269">
      <c r="B31269" t="str">
        <v>UBND Ủy ban nhân dân xã Minh Lộc tỉnh Thanh Hóa</v>
      </c>
      <c r="C31269" t="str">
        <v>-</v>
      </c>
      <c r="D31269" t="str">
        <v>-</v>
      </c>
      <c r="E31269" t="str">
        <v>-</v>
      </c>
      <c r="F31269" t="str">
        <v>-</v>
      </c>
      <c r="G31269" t="str">
        <v>-</v>
      </c>
    </row>
    <row r="31270">
      <c r="B31270" t="str">
        <v>Công an xã Bảo Thanh tỉnh Phú Thọ</v>
      </c>
      <c r="C31270" t="str">
        <v>-</v>
      </c>
      <c r="D31270" t="str">
        <v>-</v>
      </c>
      <c r="E31270" t="str">
        <v/>
      </c>
      <c r="F31270" t="str">
        <v>-</v>
      </c>
      <c r="G31270" t="str">
        <v>-</v>
      </c>
    </row>
    <row r="31271">
      <c r="B31271" t="str">
        <v>UBND Ủy ban nhân dân xã Bảo Thanh tỉnh Phú Thọ</v>
      </c>
      <c r="C31271" t="str">
        <v>-</v>
      </c>
      <c r="D31271" t="str">
        <v>-</v>
      </c>
      <c r="E31271" t="str">
        <v>-</v>
      </c>
      <c r="F31271" t="str">
        <v>-</v>
      </c>
      <c r="G31271" t="str">
        <v>-</v>
      </c>
    </row>
    <row r="31272">
      <c r="B31272" t="str">
        <v>Công an xã Yên Phụ tỉnh Bắc Ninh</v>
      </c>
      <c r="C31272" t="str">
        <v>-</v>
      </c>
      <c r="D31272" t="str">
        <v>-</v>
      </c>
      <c r="E31272" t="str">
        <v/>
      </c>
      <c r="F31272" t="str">
        <v>-</v>
      </c>
      <c r="G31272" t="str">
        <v>-</v>
      </c>
    </row>
    <row r="31273">
      <c r="B31273" t="str">
        <v>UBND Ủy ban nhân dân xã Yên Phụ tỉnh Bắc Ninh</v>
      </c>
      <c r="C31273" t="str">
        <v>-</v>
      </c>
      <c r="D31273" t="str">
        <v>-</v>
      </c>
      <c r="E31273" t="str">
        <v>-</v>
      </c>
      <c r="F31273" t="str">
        <v>-</v>
      </c>
      <c r="G31273" t="str">
        <v>-</v>
      </c>
    </row>
    <row r="31274">
      <c r="B31274" t="str">
        <v>Công an tỉnh Bắc Giang tỉnh Bắc Giang</v>
      </c>
      <c r="C31274" t="str">
        <v>-</v>
      </c>
      <c r="D31274" t="str">
        <v>-</v>
      </c>
      <c r="E31274" t="str">
        <v/>
      </c>
      <c r="F31274" t="str">
        <v>-</v>
      </c>
      <c r="G31274" t="str">
        <v>-</v>
      </c>
    </row>
    <row r="31275">
      <c r="B31275" t="str">
        <v>UBND Ủy ban nhân dân tỉnh Bắc Giang tỉnh Bắc Giang</v>
      </c>
      <c r="C31275" t="str">
        <v>-</v>
      </c>
      <c r="D31275" t="str">
        <v>-</v>
      </c>
      <c r="E31275" t="str">
        <v>-</v>
      </c>
      <c r="F31275" t="str">
        <v>-</v>
      </c>
      <c r="G31275" t="str">
        <v>-</v>
      </c>
    </row>
    <row r="31276">
      <c r="B31276" t="str">
        <v>Công an tỉnh Vĩnh Phúc  tỉnh Vĩnh Phúc</v>
      </c>
      <c r="C31276" t="str">
        <v>-</v>
      </c>
      <c r="D31276" t="str">
        <v>-</v>
      </c>
      <c r="E31276" t="str">
        <v/>
      </c>
      <c r="F31276" t="str">
        <v>-</v>
      </c>
      <c r="G31276" t="str">
        <v>-</v>
      </c>
    </row>
    <row r="31277">
      <c r="B31277" t="str">
        <v>UBND Ủy ban nhân dân tỉnh Vĩnh Phúc  tỉnh Vĩnh Phúc</v>
      </c>
      <c r="C31277" t="str">
        <v>-</v>
      </c>
      <c r="D31277" t="str">
        <v>-</v>
      </c>
      <c r="E31277" t="str">
        <v>-</v>
      </c>
      <c r="F31277" t="str">
        <v>-</v>
      </c>
      <c r="G31277" t="str">
        <v>-</v>
      </c>
    </row>
    <row r="31278">
      <c r="B31278" t="str">
        <v>Công an xã Lương Hòa  tỉnh Long An</v>
      </c>
      <c r="C31278" t="str">
        <v>-</v>
      </c>
      <c r="D31278" t="str">
        <v>-</v>
      </c>
      <c r="E31278" t="str">
        <v/>
      </c>
      <c r="F31278" t="str">
        <v>-</v>
      </c>
      <c r="G31278" t="str">
        <v>-</v>
      </c>
    </row>
    <row r="31279">
      <c r="B31279" t="str">
        <v>UBND Ủy ban nhân dân xã Lương Hòa  tỉnh Long An</v>
      </c>
      <c r="C31279" t="str">
        <v>-</v>
      </c>
      <c r="D31279" t="str">
        <v>-</v>
      </c>
      <c r="E31279" t="str">
        <v>-</v>
      </c>
      <c r="F31279" t="str">
        <v>-</v>
      </c>
      <c r="G31279" t="str">
        <v>-</v>
      </c>
    </row>
    <row r="31280">
      <c r="B31280" t="str">
        <v>Công an xã Thủy Xuân Tiên thành phố Hà Nội</v>
      </c>
      <c r="C31280" t="str">
        <v>-</v>
      </c>
      <c r="D31280" t="str">
        <v>-</v>
      </c>
      <c r="E31280" t="str">
        <v/>
      </c>
      <c r="F31280" t="str">
        <v>-</v>
      </c>
      <c r="G31280" t="str">
        <v>-</v>
      </c>
    </row>
    <row r="31281">
      <c r="B31281" t="str">
        <v>UBND Ủy ban nhân dân xã Thủy Xuân Tiên thành phố Hà Nội</v>
      </c>
      <c r="C31281" t="str">
        <v>-</v>
      </c>
      <c r="D31281" t="str">
        <v>-</v>
      </c>
      <c r="E31281" t="str">
        <v>-</v>
      </c>
      <c r="F31281" t="str">
        <v>-</v>
      </c>
      <c r="G31281" t="str">
        <v>-</v>
      </c>
    </row>
    <row r="31282">
      <c r="B31282" t="str">
        <v>Công an xã Quảng Tiên tỉnh Quảng Bình</v>
      </c>
      <c r="C31282" t="str">
        <v>-</v>
      </c>
      <c r="D31282" t="str">
        <v>-</v>
      </c>
      <c r="E31282" t="str">
        <v/>
      </c>
      <c r="F31282" t="str">
        <v>-</v>
      </c>
      <c r="G31282" t="str">
        <v>-</v>
      </c>
    </row>
    <row r="31283">
      <c r="B31283" t="str">
        <v>UBND Ủy ban nhân dân xã Quảng Tiên tỉnh Quảng Bình</v>
      </c>
      <c r="C31283" t="str">
        <v>-</v>
      </c>
      <c r="D31283" t="str">
        <v>-</v>
      </c>
      <c r="E31283" t="str">
        <v>-</v>
      </c>
      <c r="F31283" t="str">
        <v>-</v>
      </c>
      <c r="G31283" t="str">
        <v>-</v>
      </c>
    </row>
    <row r="31284">
      <c r="B31284" t="str">
        <v>Công an xã Thuỵ Hương  thành phố Hải Phòng</v>
      </c>
      <c r="C31284" t="str">
        <v>-</v>
      </c>
      <c r="D31284" t="str">
        <v>-</v>
      </c>
      <c r="E31284" t="str">
        <v/>
      </c>
      <c r="F31284" t="str">
        <v>-</v>
      </c>
      <c r="G31284" t="str">
        <v>-</v>
      </c>
    </row>
    <row r="31285">
      <c r="B31285" t="str">
        <v>UBND Ủy ban nhân dân xã Thuỵ Hương  thành phố Hải Phòng</v>
      </c>
      <c r="C31285" t="str">
        <v>-</v>
      </c>
      <c r="D31285" t="str">
        <v>-</v>
      </c>
      <c r="E31285" t="str">
        <v>-</v>
      </c>
      <c r="F31285" t="str">
        <v>-</v>
      </c>
      <c r="G31285" t="str">
        <v>-</v>
      </c>
    </row>
    <row r="31286">
      <c r="B31286" t="str">
        <v>Công an thị trấn Trà Ôn  tỉnh Vĩnh Long</v>
      </c>
      <c r="C31286" t="str">
        <v>-</v>
      </c>
      <c r="D31286" t="str">
        <v>-</v>
      </c>
      <c r="E31286" t="str">
        <v/>
      </c>
      <c r="F31286" t="str">
        <v>-</v>
      </c>
      <c r="G31286" t="str">
        <v>-</v>
      </c>
    </row>
    <row r="31287">
      <c r="B31287" t="str">
        <v>UBND Ủy ban nhân dân thị trấn Trà Ôn  tỉnh Vĩnh Long</v>
      </c>
      <c r="C31287" t="str">
        <v>-</v>
      </c>
      <c r="D31287" t="str">
        <v>-</v>
      </c>
      <c r="E31287" t="str">
        <v>-</v>
      </c>
      <c r="F31287" t="str">
        <v>-</v>
      </c>
      <c r="G31287" t="str">
        <v>-</v>
      </c>
    </row>
    <row r="31288">
      <c r="B31288" t="str">
        <v>Công an tỉnh Thái Bình  tỉnh Thái Bình</v>
      </c>
      <c r="C31288" t="str">
        <v>-</v>
      </c>
      <c r="D31288" t="str">
        <v>-</v>
      </c>
      <c r="E31288" t="str">
        <v/>
      </c>
      <c r="F31288" t="str">
        <v>-</v>
      </c>
      <c r="G31288" t="str">
        <v>-</v>
      </c>
    </row>
    <row r="31289">
      <c r="B31289" t="str">
        <v>UBND Ủy ban nhân dân tỉnh Thái Bình  tỉnh Thái Bình</v>
      </c>
      <c r="C31289" t="str">
        <v>-</v>
      </c>
      <c r="D31289" t="str">
        <v>-</v>
      </c>
      <c r="E31289" t="str">
        <v>-</v>
      </c>
      <c r="F31289" t="str">
        <v>-</v>
      </c>
      <c r="G31289" t="str">
        <v>-</v>
      </c>
    </row>
    <row r="31290">
      <c r="B31290" t="str">
        <v>Công an xã Đông Cứu  tỉnh Bắc Ninh</v>
      </c>
      <c r="C31290" t="str">
        <v>-</v>
      </c>
      <c r="D31290" t="str">
        <v>-</v>
      </c>
      <c r="E31290" t="str">
        <v/>
      </c>
      <c r="F31290" t="str">
        <v>-</v>
      </c>
      <c r="G31290" t="str">
        <v>-</v>
      </c>
    </row>
    <row r="31291">
      <c r="B31291" t="str">
        <v>UBND Ủy ban nhân dân xã Đông Cứu  tỉnh Bắc Ninh</v>
      </c>
      <c r="C31291" t="str">
        <v>-</v>
      </c>
      <c r="D31291" t="str">
        <v>-</v>
      </c>
      <c r="E31291" t="str">
        <v>-</v>
      </c>
      <c r="F31291" t="str">
        <v>-</v>
      </c>
      <c r="G31291" t="str">
        <v>-</v>
      </c>
    </row>
    <row r="31292">
      <c r="B31292" t="str">
        <v>Công an xã An Phú  tỉnh Bình Phước</v>
      </c>
      <c r="C31292" t="str">
        <v>-</v>
      </c>
      <c r="D31292" t="str">
        <v>-</v>
      </c>
      <c r="E31292" t="str">
        <v/>
      </c>
      <c r="F31292" t="str">
        <v>-</v>
      </c>
      <c r="G31292" t="str">
        <v>-</v>
      </c>
    </row>
    <row r="31293">
      <c r="B31293" t="str">
        <v>UBND Ủy ban nhân dân xã An Phú  tỉnh Bình Phước</v>
      </c>
      <c r="C31293" t="str">
        <v>-</v>
      </c>
      <c r="D31293" t="str">
        <v>-</v>
      </c>
      <c r="E31293" t="str">
        <v>-</v>
      </c>
      <c r="F31293" t="str">
        <v>-</v>
      </c>
      <c r="G31293" t="str">
        <v>-</v>
      </c>
    </row>
    <row r="31294">
      <c r="B31294" t="str">
        <v>Công an xã Đăk Tơ Pang  tỉnh Gia Lai</v>
      </c>
      <c r="C31294" t="str">
        <v>-</v>
      </c>
      <c r="D31294" t="str">
        <v>-</v>
      </c>
      <c r="E31294" t="str">
        <v/>
      </c>
      <c r="F31294" t="str">
        <v>-</v>
      </c>
      <c r="G31294" t="str">
        <v>-</v>
      </c>
    </row>
    <row r="31295">
      <c r="B31295" t="str">
        <v>UBND Ủy ban nhân dân xã Đăk Tơ Pang  tỉnh Gia Lai</v>
      </c>
      <c r="C31295" t="str">
        <v>-</v>
      </c>
      <c r="D31295" t="str">
        <v>-</v>
      </c>
      <c r="E31295" t="str">
        <v>-</v>
      </c>
      <c r="F31295" t="str">
        <v>-</v>
      </c>
      <c r="G31295" t="str">
        <v>-</v>
      </c>
    </row>
    <row r="31296">
      <c r="B31296" t="str">
        <v>Công an huyện Tiền Hải tỉnh Thái Bình</v>
      </c>
      <c r="C31296" t="str">
        <v>-</v>
      </c>
      <c r="D31296" t="str">
        <v>-</v>
      </c>
      <c r="E31296" t="str">
        <v/>
      </c>
      <c r="F31296" t="str">
        <v>-</v>
      </c>
      <c r="G31296" t="str">
        <v>-</v>
      </c>
    </row>
    <row r="31297">
      <c r="B31297" t="str">
        <v>UBND Ủy ban nhân dân huyện Tiền Hải tỉnh Thái Bình</v>
      </c>
      <c r="C31297" t="str">
        <v>-</v>
      </c>
      <c r="D31297" t="str">
        <v>-</v>
      </c>
      <c r="E31297" t="str">
        <v>-</v>
      </c>
      <c r="F31297" t="str">
        <v>-</v>
      </c>
      <c r="G31297" t="str">
        <v>-</v>
      </c>
    </row>
    <row r="31298">
      <c r="B31298" t="str">
        <v>Công an xã Mường Bo  tỉnh Lào Cai</v>
      </c>
      <c r="C31298" t="str">
        <v>-</v>
      </c>
      <c r="D31298" t="str">
        <v>-</v>
      </c>
      <c r="E31298" t="str">
        <v/>
      </c>
      <c r="F31298" t="str">
        <v>-</v>
      </c>
      <c r="G31298" t="str">
        <v>-</v>
      </c>
    </row>
    <row r="31299">
      <c r="B31299" t="str">
        <v>UBND Ủy ban nhân dân xã Mường Bo  tỉnh Lào Cai</v>
      </c>
      <c r="C31299" t="str">
        <v>-</v>
      </c>
      <c r="D31299" t="str">
        <v>-</v>
      </c>
      <c r="E31299" t="str">
        <v>-</v>
      </c>
      <c r="F31299" t="str">
        <v>-</v>
      </c>
      <c r="G31299" t="str">
        <v>-</v>
      </c>
    </row>
    <row r="31300">
      <c r="B31300" t="str">
        <v>Công an xã Tam Hiệp  tỉnh Quảng Nam</v>
      </c>
      <c r="C31300" t="str">
        <v>-</v>
      </c>
      <c r="D31300" t="str">
        <v>-</v>
      </c>
      <c r="E31300" t="str">
        <v/>
      </c>
      <c r="F31300" t="str">
        <v>-</v>
      </c>
      <c r="G31300" t="str">
        <v>-</v>
      </c>
    </row>
    <row r="31301">
      <c r="B31301" t="str">
        <v>UBND Ủy ban nhân dân xã Tam Hiệp  tỉnh Quảng Nam</v>
      </c>
      <c r="C31301" t="str">
        <v>-</v>
      </c>
      <c r="D31301" t="str">
        <v>-</v>
      </c>
      <c r="E31301" t="str">
        <v>-</v>
      </c>
      <c r="F31301" t="str">
        <v>-</v>
      </c>
      <c r="G31301" t="str">
        <v>-</v>
      </c>
    </row>
    <row r="31302">
      <c r="B31302" t="str">
        <v>Công an xã châu lý  tỉnh Nghệ An</v>
      </c>
      <c r="C31302" t="str">
        <v>-</v>
      </c>
      <c r="D31302" t="str">
        <v>-</v>
      </c>
      <c r="E31302" t="str">
        <v/>
      </c>
      <c r="F31302" t="str">
        <v>-</v>
      </c>
      <c r="G31302" t="str">
        <v>-</v>
      </c>
    </row>
    <row r="31303">
      <c r="B31303" t="str">
        <v>UBND Ủy ban nhân dân xã châu lý  tỉnh Nghệ An</v>
      </c>
      <c r="C31303" t="str">
        <v>-</v>
      </c>
      <c r="D31303" t="str">
        <v>-</v>
      </c>
      <c r="E31303" t="str">
        <v>-</v>
      </c>
      <c r="F31303" t="str">
        <v>-</v>
      </c>
      <c r="G31303" t="str">
        <v>-</v>
      </c>
    </row>
    <row r="31304">
      <c r="B31304" t="str">
        <v>Công an xã Kim Lư  tỉnh Bắc Kạn</v>
      </c>
      <c r="C31304" t="str">
        <v>-</v>
      </c>
      <c r="D31304" t="str">
        <v>-</v>
      </c>
      <c r="E31304" t="str">
        <v/>
      </c>
      <c r="F31304" t="str">
        <v>-</v>
      </c>
      <c r="G31304" t="str">
        <v>-</v>
      </c>
    </row>
    <row r="31305">
      <c r="B31305" t="str">
        <v>UBND Ủy ban nhân dân xã Kim Lư  tỉnh Bắc Kạn</v>
      </c>
      <c r="C31305" t="str">
        <v>-</v>
      </c>
      <c r="D31305" t="str">
        <v>-</v>
      </c>
      <c r="E31305" t="str">
        <v>-</v>
      </c>
      <c r="F31305" t="str">
        <v>-</v>
      </c>
      <c r="G31305" t="str">
        <v>-</v>
      </c>
    </row>
    <row r="31306">
      <c r="B31306" t="str">
        <v>Công an xã An Phước tỉnh Bến Tre</v>
      </c>
      <c r="C31306" t="str">
        <v>-</v>
      </c>
      <c r="D31306" t="str">
        <v>-</v>
      </c>
      <c r="E31306" t="str">
        <v/>
      </c>
      <c r="F31306" t="str">
        <v>-</v>
      </c>
      <c r="G31306" t="str">
        <v>-</v>
      </c>
    </row>
    <row r="31307">
      <c r="B31307" t="str">
        <v>UBND Ủy ban nhân dân xã An Phước tỉnh Bến Tre</v>
      </c>
      <c r="C31307" t="str">
        <v>-</v>
      </c>
      <c r="D31307" t="str">
        <v>-</v>
      </c>
      <c r="E31307" t="str">
        <v>-</v>
      </c>
      <c r="F31307" t="str">
        <v>-</v>
      </c>
      <c r="G31307" t="str">
        <v>-</v>
      </c>
    </row>
    <row r="31308">
      <c r="B31308" t="str">
        <v>Công an huyện Châu Thành tỉnh Hậu Giang</v>
      </c>
      <c r="C31308" t="str">
        <v>-</v>
      </c>
      <c r="D31308" t="str">
        <v>-</v>
      </c>
      <c r="E31308" t="str">
        <v/>
      </c>
      <c r="F31308" t="str">
        <v>-</v>
      </c>
      <c r="G31308" t="str">
        <v>-</v>
      </c>
    </row>
    <row r="31309">
      <c r="B31309" t="str">
        <v>UBND Ủy ban nhân dân huyện Châu Thành tỉnh Hậu Giang</v>
      </c>
      <c r="C31309" t="str">
        <v>-</v>
      </c>
      <c r="D31309" t="str">
        <v>-</v>
      </c>
      <c r="E31309" t="str">
        <v>-</v>
      </c>
      <c r="F31309" t="str">
        <v>-</v>
      </c>
      <c r="G31309" t="str">
        <v>-</v>
      </c>
    </row>
    <row r="31310">
      <c r="B31310" t="str">
        <v>Công an phường Tân Thịnh  tỉnh Thái Nguyên</v>
      </c>
      <c r="C31310" t="str">
        <v>-</v>
      </c>
      <c r="D31310" t="str">
        <v>-</v>
      </c>
      <c r="E31310" t="str">
        <v/>
      </c>
      <c r="F31310" t="str">
        <v>-</v>
      </c>
      <c r="G31310" t="str">
        <v>-</v>
      </c>
    </row>
    <row r="31311">
      <c r="B31311" t="str">
        <v>UBND Ủy ban nhân dân phường Tân Thịnh  tỉnh Thái Nguyên</v>
      </c>
      <c r="C31311" t="str">
        <v>-</v>
      </c>
      <c r="D31311" t="str">
        <v>-</v>
      </c>
      <c r="E31311" t="str">
        <v>-</v>
      </c>
      <c r="F31311" t="str">
        <v>-</v>
      </c>
      <c r="G31311" t="str">
        <v>-</v>
      </c>
    </row>
    <row r="31312">
      <c r="B31312" t="str">
        <v>Công an huyện Kim Bôi  tỉnh Hòa Bình</v>
      </c>
      <c r="C31312" t="str">
        <v>-</v>
      </c>
      <c r="D31312" t="str">
        <v>-</v>
      </c>
      <c r="E31312" t="str">
        <v/>
      </c>
      <c r="F31312" t="str">
        <v>-</v>
      </c>
      <c r="G31312" t="str">
        <v>-</v>
      </c>
    </row>
    <row r="31313">
      <c r="B31313" t="str">
        <v>UBND Ủy ban nhân dân huyện Kim Bôi  tỉnh Hòa Bình</v>
      </c>
      <c r="C31313" t="str">
        <v>-</v>
      </c>
      <c r="D31313" t="str">
        <v>-</v>
      </c>
      <c r="E31313" t="str">
        <v>-</v>
      </c>
      <c r="F31313" t="str">
        <v>-</v>
      </c>
      <c r="G31313" t="str">
        <v>-</v>
      </c>
    </row>
    <row r="31314">
      <c r="B31314" t="str">
        <v xml:space="preserve"> Công an huyện Giao Thuỷ tỉnh Nam Định</v>
      </c>
    </row>
    <row r="31315">
      <c r="B31315" t="str">
        <v>UBND Ủy ban nhân dânn huyện Giao Thuỷ tỉnh Nam Định</v>
      </c>
      <c r="C31315" t="str">
        <v>-</v>
      </c>
      <c r="D31315" t="str">
        <v>-</v>
      </c>
      <c r="E31315" t="str">
        <v>-</v>
      </c>
      <c r="F31315" t="str">
        <v>-</v>
      </c>
      <c r="G31315" t="str">
        <v>-</v>
      </c>
    </row>
    <row r="31316">
      <c r="B31316" t="str">
        <v xml:space="preserve"> Công an tỉnh Vĩnh Long  tỉnh Vĩnh Long</v>
      </c>
    </row>
    <row r="31317">
      <c r="B31317" t="str">
        <v>UBND Ủy ban nhân dânn tỉnh Vĩnh Long  tỉnh Vĩnh Long</v>
      </c>
      <c r="C31317" t="str">
        <v>-</v>
      </c>
      <c r="D31317" t="str">
        <v>-</v>
      </c>
      <c r="E31317" t="str">
        <v>-</v>
      </c>
      <c r="F31317" t="str">
        <v>-</v>
      </c>
      <c r="G31317" t="str">
        <v>-</v>
      </c>
    </row>
    <row r="31318">
      <c r="B31318" t="str">
        <v>Công an xã Thủy Xuân Tiên thành phố Hà Nội</v>
      </c>
      <c r="C31318" t="str">
        <v>-</v>
      </c>
      <c r="D31318" t="str">
        <v>-</v>
      </c>
      <c r="E31318" t="str">
        <v/>
      </c>
      <c r="F31318" t="str">
        <v>-</v>
      </c>
      <c r="G31318" t="str">
        <v>-</v>
      </c>
    </row>
    <row r="31319">
      <c r="B31319" t="str">
        <v>UBND Ủy ban nhân dân xã Thủy Xuân Tiên thành phố Hà Nội</v>
      </c>
      <c r="C31319" t="str">
        <v>-</v>
      </c>
      <c r="D31319" t="str">
        <v>-</v>
      </c>
      <c r="E31319" t="str">
        <v>-</v>
      </c>
      <c r="F31319" t="str">
        <v>-</v>
      </c>
      <c r="G31319" t="str">
        <v>-</v>
      </c>
    </row>
    <row r="31320">
      <c r="B31320" t="str">
        <v>Công an xã Quảng Tiên tỉnh Quảng Bình</v>
      </c>
      <c r="C31320" t="str">
        <v>-</v>
      </c>
      <c r="D31320" t="str">
        <v>-</v>
      </c>
      <c r="E31320" t="str">
        <v/>
      </c>
      <c r="F31320" t="str">
        <v>-</v>
      </c>
      <c r="G31320" t="str">
        <v>-</v>
      </c>
    </row>
    <row r="31321">
      <c r="B31321" t="str">
        <v>UBND Ủy ban nhân dân xã Quảng Tiên tỉnh Quảng Bình</v>
      </c>
      <c r="C31321" t="str">
        <v>-</v>
      </c>
      <c r="D31321" t="str">
        <v>-</v>
      </c>
      <c r="E31321" t="str">
        <v>-</v>
      </c>
      <c r="F31321" t="str">
        <v>-</v>
      </c>
      <c r="G31321" t="str">
        <v>-</v>
      </c>
    </row>
    <row r="31322">
      <c r="B31322" t="str">
        <v>Công an xã Thuỵ Hương  thành phố Hải Phòng</v>
      </c>
      <c r="C31322" t="str">
        <v>-</v>
      </c>
      <c r="D31322" t="str">
        <v>-</v>
      </c>
      <c r="E31322" t="str">
        <v/>
      </c>
      <c r="F31322" t="str">
        <v>-</v>
      </c>
      <c r="G31322" t="str">
        <v>-</v>
      </c>
    </row>
    <row r="31323">
      <c r="B31323" t="str">
        <v>UBND Ủy ban nhân dân xã Thuỵ Hương  thành phố Hải Phòng</v>
      </c>
      <c r="C31323" t="str">
        <v>-</v>
      </c>
      <c r="D31323" t="str">
        <v>-</v>
      </c>
      <c r="E31323" t="str">
        <v>-</v>
      </c>
      <c r="F31323" t="str">
        <v>-</v>
      </c>
      <c r="G31323" t="str">
        <v>-</v>
      </c>
    </row>
    <row r="31324">
      <c r="B31324" t="str">
        <v>Công an xã Bộc Nhiêu tỉnh Thái Nguyên</v>
      </c>
      <c r="C31324" t="str">
        <v>-</v>
      </c>
      <c r="D31324" t="str">
        <v>-</v>
      </c>
      <c r="E31324" t="str">
        <v/>
      </c>
      <c r="F31324" t="str">
        <v>-</v>
      </c>
      <c r="G31324" t="str">
        <v>-</v>
      </c>
    </row>
    <row r="31325">
      <c r="B31325" t="str">
        <v>UBND Ủy ban nhân dân xã Bộc Nhiêu tỉnh Thái Nguyên</v>
      </c>
      <c r="C31325" t="str">
        <v>-</v>
      </c>
      <c r="D31325" t="str">
        <v>-</v>
      </c>
      <c r="E31325" t="str">
        <v>-</v>
      </c>
      <c r="F31325" t="str">
        <v>-</v>
      </c>
      <c r="G31325" t="str">
        <v>-</v>
      </c>
    </row>
    <row r="31326">
      <c r="B31326" t="str">
        <v>Công an huyện Cẩm Thuỷ  tỉnh Thanh Hóa</v>
      </c>
      <c r="C31326" t="str">
        <v>-</v>
      </c>
      <c r="D31326" t="str">
        <v>-</v>
      </c>
      <c r="E31326" t="str">
        <v/>
      </c>
      <c r="F31326" t="str">
        <v>-</v>
      </c>
      <c r="G31326" t="str">
        <v>-</v>
      </c>
    </row>
    <row r="31327">
      <c r="B31327" t="str">
        <v>UBND Ủy ban nhân dân huyện Cẩm Thuỷ  tỉnh Thanh Hóa</v>
      </c>
      <c r="C31327" t="str">
        <v>-</v>
      </c>
      <c r="D31327" t="str">
        <v>-</v>
      </c>
      <c r="E31327" t="str">
        <v>-</v>
      </c>
      <c r="F31327" t="str">
        <v>-</v>
      </c>
      <c r="G31327" t="str">
        <v>-</v>
      </c>
    </row>
    <row r="31328">
      <c r="B31328" t="str">
        <v>Công an tỉnh Bình Thuận  tỉnh Bình Thuận</v>
      </c>
      <c r="C31328" t="str">
        <v>-</v>
      </c>
      <c r="D31328" t="str">
        <v>-</v>
      </c>
      <c r="E31328" t="str">
        <v/>
      </c>
      <c r="F31328" t="str">
        <v>-</v>
      </c>
      <c r="G31328" t="str">
        <v>-</v>
      </c>
    </row>
    <row r="31329">
      <c r="B31329" t="str">
        <v>UBND Ủy ban nhân dân tỉnh Bình Thuận  tỉnh Bình Thuận</v>
      </c>
      <c r="C31329" t="str">
        <v>-</v>
      </c>
      <c r="D31329" t="str">
        <v>-</v>
      </c>
      <c r="E31329" t="str">
        <v>-</v>
      </c>
      <c r="F31329" t="str">
        <v>-</v>
      </c>
      <c r="G31329" t="str">
        <v>-</v>
      </c>
    </row>
    <row r="31330">
      <c r="B31330" t="str">
        <v>Công an phường Kỳ Trinh tỉnh Hà Tĩnh</v>
      </c>
      <c r="C31330" t="str">
        <v>-</v>
      </c>
      <c r="D31330" t="str">
        <v>-</v>
      </c>
      <c r="E31330" t="str">
        <v/>
      </c>
      <c r="F31330" t="str">
        <v>-</v>
      </c>
      <c r="G31330" t="str">
        <v>-</v>
      </c>
    </row>
    <row r="31331">
      <c r="B31331" t="str">
        <v>UBND Ủy ban nhân dân phường Kỳ Trinh tỉnh Hà Tĩnh</v>
      </c>
      <c r="C31331" t="str">
        <v>-</v>
      </c>
      <c r="D31331" t="str">
        <v>-</v>
      </c>
      <c r="E31331" t="str">
        <v>-</v>
      </c>
      <c r="F31331" t="str">
        <v>-</v>
      </c>
      <c r="G31331" t="str">
        <v>-</v>
      </c>
    </row>
    <row r="31332">
      <c r="B31332" t="str">
        <v>Công an xã Vạn Phước  tỉnh Khánh Hòa</v>
      </c>
      <c r="C31332" t="str">
        <v>-</v>
      </c>
      <c r="D31332" t="str">
        <v>-</v>
      </c>
      <c r="E31332" t="str">
        <v/>
      </c>
      <c r="F31332" t="str">
        <v>-</v>
      </c>
      <c r="G31332" t="str">
        <v>-</v>
      </c>
    </row>
    <row r="31333">
      <c r="B31333" t="str">
        <v>UBND Ủy ban nhân dân xã Vạn Phước  tỉnh Khánh Hòa</v>
      </c>
      <c r="C31333" t="str">
        <v>-</v>
      </c>
      <c r="D31333" t="str">
        <v>-</v>
      </c>
      <c r="E31333" t="str">
        <v>-</v>
      </c>
      <c r="F31333" t="str">
        <v>-</v>
      </c>
      <c r="G31333" t="str">
        <v>-</v>
      </c>
    </row>
    <row r="31334">
      <c r="B31334" t="str">
        <v>Công an xã Bằng Thành tỉnh Bắc Kạn</v>
      </c>
      <c r="C31334" t="str">
        <v>-</v>
      </c>
      <c r="D31334" t="str">
        <v>-</v>
      </c>
      <c r="E31334" t="str">
        <v/>
      </c>
      <c r="F31334" t="str">
        <v>-</v>
      </c>
      <c r="G31334" t="str">
        <v>-</v>
      </c>
    </row>
    <row r="31335">
      <c r="B31335" t="str">
        <v>UBND Ủy ban nhân dân xã Bằng Thành tỉnh Bắc Kạn</v>
      </c>
      <c r="C31335" t="str">
        <v>-</v>
      </c>
      <c r="D31335" t="str">
        <v>-</v>
      </c>
      <c r="E31335" t="str">
        <v>-</v>
      </c>
      <c r="F31335" t="str">
        <v>-</v>
      </c>
      <c r="G31335" t="str">
        <v>-</v>
      </c>
    </row>
    <row r="31336">
      <c r="B31336" t="str">
        <v>Công an xã Yên Lâm tỉnh Tuyên Quang</v>
      </c>
      <c r="C31336" t="str">
        <v>-</v>
      </c>
      <c r="D31336" t="str">
        <v>-</v>
      </c>
      <c r="E31336" t="str">
        <v/>
      </c>
      <c r="F31336" t="str">
        <v>-</v>
      </c>
      <c r="G31336" t="str">
        <v>-</v>
      </c>
    </row>
    <row r="31337">
      <c r="B31337" t="str">
        <v>UBND Ủy ban nhân dân xã Yên Lâm tỉnh Tuyên Quang</v>
      </c>
      <c r="C31337" t="str">
        <v>-</v>
      </c>
      <c r="D31337" t="str">
        <v>-</v>
      </c>
      <c r="E31337" t="str">
        <v>-</v>
      </c>
      <c r="F31337" t="str">
        <v>-</v>
      </c>
      <c r="G31337" t="str">
        <v>-</v>
      </c>
    </row>
    <row r="31338">
      <c r="B31338" t="str">
        <v>Công an xã Phước Tân  tỉnh Bình Phước</v>
      </c>
      <c r="C31338" t="str">
        <v>-</v>
      </c>
      <c r="D31338" t="str">
        <v>-</v>
      </c>
      <c r="E31338" t="str">
        <v/>
      </c>
      <c r="F31338" t="str">
        <v>-</v>
      </c>
      <c r="G31338" t="str">
        <v>-</v>
      </c>
    </row>
    <row r="31339">
      <c r="B31339" t="str">
        <v>UBND Ủy ban nhân dân xã Phước Tân  tỉnh Bình Phước</v>
      </c>
      <c r="C31339" t="str">
        <v>-</v>
      </c>
      <c r="D31339" t="str">
        <v>-</v>
      </c>
      <c r="E31339" t="str">
        <v>-</v>
      </c>
      <c r="F31339" t="str">
        <v>-</v>
      </c>
      <c r="G31339" t="str">
        <v>-</v>
      </c>
    </row>
    <row r="31340">
      <c r="B31340" t="str">
        <v>Công an xã Vũ Lễ tỉnh Lạng Sơn</v>
      </c>
      <c r="C31340" t="str">
        <v>-</v>
      </c>
      <c r="D31340" t="str">
        <v>-</v>
      </c>
      <c r="E31340" t="str">
        <v/>
      </c>
      <c r="F31340" t="str">
        <v>-</v>
      </c>
      <c r="G31340" t="str">
        <v>-</v>
      </c>
    </row>
    <row r="31341">
      <c r="B31341" t="str">
        <v>UBND Ủy ban nhân dân xã Vũ Lễ tỉnh Lạng Sơn</v>
      </c>
      <c r="C31341" t="str">
        <v>-</v>
      </c>
      <c r="D31341" t="str">
        <v>-</v>
      </c>
      <c r="E31341" t="str">
        <v>-</v>
      </c>
      <c r="F31341" t="str">
        <v>-</v>
      </c>
      <c r="G31341" t="str">
        <v>-</v>
      </c>
    </row>
    <row r="31342">
      <c r="B31342" t="str">
        <v>Công an xã Sơn Trung tỉnh Hà Tĩnh</v>
      </c>
      <c r="C31342" t="str">
        <v>-</v>
      </c>
      <c r="D31342" t="str">
        <v>-</v>
      </c>
      <c r="E31342" t="str">
        <v/>
      </c>
      <c r="F31342" t="str">
        <v>-</v>
      </c>
      <c r="G31342" t="str">
        <v>-</v>
      </c>
    </row>
    <row r="31343">
      <c r="B31343" t="str">
        <v>UBND Ủy ban nhân dân xã Sơn Trung tỉnh Hà Tĩnh</v>
      </c>
      <c r="C31343" t="str">
        <v>-</v>
      </c>
      <c r="D31343" t="str">
        <v>-</v>
      </c>
      <c r="E31343" t="str">
        <v>-</v>
      </c>
      <c r="F31343" t="str">
        <v>-</v>
      </c>
      <c r="G31343" t="str">
        <v>-</v>
      </c>
    </row>
    <row r="31344">
      <c r="B31344" t="str">
        <v>Công an huyện Tri Tôn tỉnh An Giang</v>
      </c>
      <c r="C31344" t="str">
        <v>-</v>
      </c>
      <c r="D31344" t="str">
        <v>-</v>
      </c>
      <c r="E31344" t="str">
        <v/>
      </c>
      <c r="F31344" t="str">
        <v>-</v>
      </c>
      <c r="G31344" t="str">
        <v>-</v>
      </c>
    </row>
    <row r="31345">
      <c r="B31345" t="str">
        <v>UBND Ủy ban nhân dân huyện Tri Tôn tỉnh An Giang</v>
      </c>
      <c r="C31345" t="str">
        <v>-</v>
      </c>
      <c r="D31345" t="str">
        <v>-</v>
      </c>
      <c r="E31345" t="str">
        <v>-</v>
      </c>
      <c r="F31345" t="str">
        <v>-</v>
      </c>
      <c r="G31345" t="str">
        <v>-</v>
      </c>
    </row>
    <row r="31346">
      <c r="B31346" t="str">
        <v>Công an xã Đại An  tỉnh Phú Thọ</v>
      </c>
      <c r="C31346" t="str">
        <v>-</v>
      </c>
      <c r="D31346" t="str">
        <v>-</v>
      </c>
      <c r="E31346" t="str">
        <v/>
      </c>
      <c r="F31346" t="str">
        <v>-</v>
      </c>
      <c r="G31346" t="str">
        <v>-</v>
      </c>
    </row>
    <row r="31347">
      <c r="B31347" t="str">
        <v>UBND Ủy ban nhân dân xã Đại An  tỉnh Phú Thọ</v>
      </c>
      <c r="C31347" t="str">
        <v>-</v>
      </c>
      <c r="D31347" t="str">
        <v>-</v>
      </c>
      <c r="E31347" t="str">
        <v>-</v>
      </c>
      <c r="F31347" t="str">
        <v>-</v>
      </c>
      <c r="G31347" t="str">
        <v>-</v>
      </c>
    </row>
    <row r="31348">
      <c r="B31348" t="str">
        <v>Công an tỉnh Bến Tre  tỉnh Bến Tre</v>
      </c>
      <c r="C31348" t="str">
        <v>-</v>
      </c>
      <c r="D31348" t="str">
        <v>-</v>
      </c>
      <c r="E31348" t="str">
        <v/>
      </c>
      <c r="F31348" t="str">
        <v>-</v>
      </c>
      <c r="G31348" t="str">
        <v>-</v>
      </c>
    </row>
    <row r="31349">
      <c r="B31349" t="str">
        <v>UBND Ủy ban nhân dân tỉnh Bến Tre  tỉnh Bến Tre</v>
      </c>
      <c r="C31349" t="str">
        <v>-</v>
      </c>
      <c r="D31349" t="str">
        <v>-</v>
      </c>
      <c r="E31349" t="str">
        <v>-</v>
      </c>
      <c r="F31349" t="str">
        <v>-</v>
      </c>
      <c r="G31349" t="str">
        <v>-</v>
      </c>
    </row>
    <row r="31350">
      <c r="B31350" t="str">
        <v>Công an xã Đồng Ý tỉnh Lạng Sơn</v>
      </c>
      <c r="C31350" t="str">
        <v>-</v>
      </c>
      <c r="D31350" t="str">
        <v>-</v>
      </c>
      <c r="E31350" t="str">
        <v/>
      </c>
      <c r="F31350" t="str">
        <v>-</v>
      </c>
      <c r="G31350" t="str">
        <v>-</v>
      </c>
    </row>
    <row r="31351">
      <c r="B31351" t="str">
        <v>UBND Ủy ban nhân dân xã Đồng Ý tỉnh Lạng Sơn</v>
      </c>
      <c r="C31351" t="str">
        <v>-</v>
      </c>
      <c r="D31351" t="str">
        <v>-</v>
      </c>
      <c r="E31351" t="str">
        <v>-</v>
      </c>
      <c r="F31351" t="str">
        <v>-</v>
      </c>
      <c r="G31351" t="str">
        <v>-</v>
      </c>
    </row>
    <row r="31352">
      <c r="B31352" t="str">
        <v>Công an xã Chân Lý tỉnh Hà Nam</v>
      </c>
      <c r="C31352" t="str">
        <v>-</v>
      </c>
      <c r="D31352" t="str">
        <v>-</v>
      </c>
      <c r="E31352" t="str">
        <v/>
      </c>
      <c r="F31352" t="str">
        <v>-</v>
      </c>
      <c r="G31352" t="str">
        <v>-</v>
      </c>
    </row>
    <row r="31353">
      <c r="B31353" t="str">
        <v>UBND Ủy ban nhân dân xã Chân Lý tỉnh Hà Nam</v>
      </c>
      <c r="C31353" t="str">
        <v>-</v>
      </c>
      <c r="D31353" t="str">
        <v>-</v>
      </c>
      <c r="E31353" t="str">
        <v>-</v>
      </c>
      <c r="F31353" t="str">
        <v>-</v>
      </c>
      <c r="G31353" t="str">
        <v>-</v>
      </c>
    </row>
    <row r="31354">
      <c r="B31354" t="str">
        <v>Công an xã Đức Lân  tỉnh Quảng Ngãi</v>
      </c>
      <c r="C31354" t="str">
        <v>-</v>
      </c>
      <c r="D31354" t="str">
        <v>-</v>
      </c>
      <c r="E31354" t="str">
        <v/>
      </c>
      <c r="F31354" t="str">
        <v>-</v>
      </c>
      <c r="G31354" t="str">
        <v>-</v>
      </c>
    </row>
    <row r="31355">
      <c r="B31355" t="str">
        <v>UBND Ủy ban nhân dân xã Đức Lân  tỉnh Quảng Ngãi</v>
      </c>
      <c r="C31355" t="str">
        <v>-</v>
      </c>
      <c r="D31355" t="str">
        <v>-</v>
      </c>
      <c r="E31355" t="str">
        <v>-</v>
      </c>
      <c r="F31355" t="str">
        <v>-</v>
      </c>
      <c r="G31355" t="str">
        <v>-</v>
      </c>
    </row>
    <row r="31356">
      <c r="B31356" t="str">
        <v>Công an xã Tân Dân tỉnh Hà Tĩnh</v>
      </c>
      <c r="C31356" t="str">
        <v>-</v>
      </c>
      <c r="D31356" t="str">
        <v>-</v>
      </c>
      <c r="E31356" t="str">
        <v/>
      </c>
      <c r="F31356" t="str">
        <v>-</v>
      </c>
      <c r="G31356" t="str">
        <v>-</v>
      </c>
    </row>
    <row r="31357">
      <c r="B31357" t="str">
        <v>UBND Ủy ban nhân dân xã Tân Dân tỉnh Hà Tĩnh</v>
      </c>
      <c r="C31357" t="str">
        <v>-</v>
      </c>
      <c r="D31357" t="str">
        <v>-</v>
      </c>
      <c r="E31357" t="str">
        <v>-</v>
      </c>
      <c r="F31357" t="str">
        <v>-</v>
      </c>
      <c r="G31357" t="str">
        <v>-</v>
      </c>
    </row>
    <row r="31358">
      <c r="B31358" t="str">
        <v>Công an xã Tam Tiến  tỉnh Quảng Nam</v>
      </c>
      <c r="C31358" t="str">
        <v>-</v>
      </c>
      <c r="D31358" t="str">
        <v>-</v>
      </c>
      <c r="E31358" t="str">
        <v/>
      </c>
      <c r="F31358" t="str">
        <v>-</v>
      </c>
      <c r="G31358" t="str">
        <v>-</v>
      </c>
    </row>
    <row r="31359">
      <c r="B31359" t="str">
        <v>UBND Ủy ban nhân dân xã Tam Tiến  tỉnh Quảng Nam</v>
      </c>
      <c r="C31359" t="str">
        <v>-</v>
      </c>
      <c r="D31359" t="str">
        <v>-</v>
      </c>
      <c r="E31359" t="str">
        <v>-</v>
      </c>
      <c r="F31359" t="str">
        <v>-</v>
      </c>
      <c r="G31359" t="str">
        <v>-</v>
      </c>
    </row>
    <row r="31360">
      <c r="B31360" t="str">
        <v>Công an xã Thuỵ Thanh  tỉnh Thái Bình</v>
      </c>
      <c r="C31360" t="str">
        <v>-</v>
      </c>
      <c r="D31360" t="str">
        <v>-</v>
      </c>
      <c r="E31360" t="str">
        <v/>
      </c>
      <c r="F31360" t="str">
        <v>-</v>
      </c>
      <c r="G31360" t="str">
        <v>-</v>
      </c>
    </row>
    <row r="31361">
      <c r="B31361" t="str">
        <v>UBND Ủy ban nhân dân xã Thuỵ Thanh  tỉnh Thái Bình</v>
      </c>
      <c r="C31361" t="str">
        <v>-</v>
      </c>
      <c r="D31361" t="str">
        <v>-</v>
      </c>
      <c r="E31361" t="str">
        <v>-</v>
      </c>
      <c r="F31361" t="str">
        <v>-</v>
      </c>
      <c r="G31361" t="str">
        <v>-</v>
      </c>
    </row>
    <row r="31362">
      <c r="B31362" t="str">
        <v>Công an xã Nà Tấu tỉnh Điện Biên</v>
      </c>
      <c r="C31362" t="str">
        <v>-</v>
      </c>
      <c r="D31362" t="str">
        <v>-</v>
      </c>
      <c r="E31362" t="str">
        <v/>
      </c>
      <c r="F31362" t="str">
        <v>-</v>
      </c>
      <c r="G31362" t="str">
        <v>-</v>
      </c>
    </row>
    <row r="31363">
      <c r="B31363" t="str">
        <v>UBND Ủy ban nhân dân xã Nà Tấu tỉnh Điện Biên</v>
      </c>
      <c r="C31363" t="str">
        <v>-</v>
      </c>
      <c r="D31363" t="str">
        <v>-</v>
      </c>
      <c r="E31363" t="str">
        <v>-</v>
      </c>
      <c r="F31363" t="str">
        <v>-</v>
      </c>
      <c r="G31363" t="str">
        <v>-</v>
      </c>
    </row>
    <row r="31364">
      <c r="B31364" t="str">
        <v>Công an huyện Mê Linh  thành phố Hà Nội</v>
      </c>
      <c r="C31364" t="str">
        <v>-</v>
      </c>
      <c r="D31364" t="str">
        <v>-</v>
      </c>
      <c r="E31364" t="str">
        <v/>
      </c>
      <c r="F31364" t="str">
        <v>-</v>
      </c>
      <c r="G31364" t="str">
        <v>-</v>
      </c>
    </row>
    <row r="31365">
      <c r="B31365" t="str">
        <v>UBND Ủy ban nhân dân huyện Mê Linh  thành phố Hà Nội</v>
      </c>
      <c r="C31365" t="str">
        <v>-</v>
      </c>
      <c r="D31365" t="str">
        <v>-</v>
      </c>
      <c r="E31365" t="str">
        <v>-</v>
      </c>
      <c r="F31365" t="str">
        <v>-</v>
      </c>
      <c r="G31365" t="str">
        <v>-</v>
      </c>
    </row>
    <row r="31366">
      <c r="B31366" t="str">
        <v>Công an xã Thượng Vực thành phố Hà Nội</v>
      </c>
      <c r="C31366" t="str">
        <v>-</v>
      </c>
      <c r="D31366" t="str">
        <v>-</v>
      </c>
      <c r="E31366" t="str">
        <v/>
      </c>
      <c r="F31366" t="str">
        <v>-</v>
      </c>
      <c r="G31366" t="str">
        <v>-</v>
      </c>
    </row>
    <row r="31367">
      <c r="B31367" t="str">
        <v>UBND Ủy ban nhân dân xã Thượng Vực thành phố Hà Nội</v>
      </c>
      <c r="C31367" t="str">
        <v>-</v>
      </c>
      <c r="D31367" t="str">
        <v>-</v>
      </c>
      <c r="E31367" t="str">
        <v>-</v>
      </c>
      <c r="F31367" t="str">
        <v>-</v>
      </c>
      <c r="G31367" t="str">
        <v>-</v>
      </c>
    </row>
    <row r="31368">
      <c r="B31368" t="str">
        <v>Công an xã Chiềng Pằn  tỉnh Sơn La</v>
      </c>
      <c r="C31368" t="str">
        <v>-</v>
      </c>
      <c r="D31368" t="str">
        <v>-</v>
      </c>
      <c r="E31368" t="str">
        <v/>
      </c>
      <c r="F31368" t="str">
        <v>-</v>
      </c>
      <c r="G31368" t="str">
        <v>-</v>
      </c>
    </row>
    <row r="31369">
      <c r="B31369" t="str">
        <v>UBND Ủy ban nhân dân xã Chiềng Pằn  tỉnh Sơn La</v>
      </c>
      <c r="C31369" t="str">
        <v>-</v>
      </c>
      <c r="D31369" t="str">
        <v>-</v>
      </c>
      <c r="E31369" t="str">
        <v>-</v>
      </c>
      <c r="F31369" t="str">
        <v>-</v>
      </c>
      <c r="G31369" t="str">
        <v>-</v>
      </c>
    </row>
    <row r="31370">
      <c r="B31370" t="str">
        <v>Công an xã Ngọc Hoà  thành phố Hà Nội</v>
      </c>
      <c r="C31370" t="str">
        <v>-</v>
      </c>
      <c r="D31370" t="str">
        <v>-</v>
      </c>
      <c r="E31370" t="str">
        <v/>
      </c>
      <c r="F31370" t="str">
        <v>-</v>
      </c>
      <c r="G31370" t="str">
        <v>-</v>
      </c>
    </row>
    <row r="31371">
      <c r="B31371" t="str">
        <v>UBND Ủy ban nhân dân xã Ngọc Hoà  thành phố Hà Nội</v>
      </c>
      <c r="C31371" t="str">
        <v>-</v>
      </c>
      <c r="D31371" t="str">
        <v>-</v>
      </c>
      <c r="E31371" t="str">
        <v>-</v>
      </c>
      <c r="F31371" t="str">
        <v>-</v>
      </c>
      <c r="G31371" t="str">
        <v>-</v>
      </c>
    </row>
    <row r="31372">
      <c r="B31372" t="str">
        <v>Công an xã Thạnh Đông tỉnh Kiên Giang</v>
      </c>
      <c r="C31372" t="str">
        <v>-</v>
      </c>
      <c r="D31372" t="str">
        <v>-</v>
      </c>
      <c r="E31372" t="str">
        <v/>
      </c>
      <c r="F31372" t="str">
        <v>-</v>
      </c>
      <c r="G31372" t="str">
        <v>-</v>
      </c>
    </row>
    <row r="31373">
      <c r="B31373" t="str">
        <v>UBND Ủy ban nhân dân xã Thạnh Đông tỉnh Kiên Giang</v>
      </c>
      <c r="C31373" t="str">
        <v>-</v>
      </c>
      <c r="D31373" t="str">
        <v>-</v>
      </c>
      <c r="E31373" t="str">
        <v>-</v>
      </c>
      <c r="F31373" t="str">
        <v>-</v>
      </c>
      <c r="G31373" t="str">
        <v>-</v>
      </c>
    </row>
    <row r="31374">
      <c r="B31374" t="str">
        <v>Công an xã Liên Hoa tỉnh Phú Thọ</v>
      </c>
      <c r="C31374" t="str">
        <v>-</v>
      </c>
      <c r="D31374" t="str">
        <v>-</v>
      </c>
      <c r="E31374" t="str">
        <v/>
      </c>
      <c r="F31374" t="str">
        <v>-</v>
      </c>
      <c r="G31374" t="str">
        <v>-</v>
      </c>
    </row>
    <row r="31375">
      <c r="B31375" t="str">
        <v>UBND Ủy ban nhân dân xã Liên Hoa tỉnh Phú Thọ</v>
      </c>
      <c r="C31375" t="str">
        <v>-</v>
      </c>
      <c r="D31375" t="str">
        <v>-</v>
      </c>
      <c r="E31375" t="str">
        <v>-</v>
      </c>
      <c r="F31375" t="str">
        <v>-</v>
      </c>
      <c r="G31375" t="str">
        <v>-</v>
      </c>
    </row>
    <row r="31376">
      <c r="B31376" t="str">
        <v>ông an tỉnh Quảng Trị  tỉnh Quảng Trị</v>
      </c>
    </row>
    <row r="31377">
      <c r="B31377" t="str">
        <v>UBND Ủy ban nhân dântỉnh Quảng Trị  tỉnh Quảng Trị</v>
      </c>
      <c r="C31377" t="str">
        <v>-</v>
      </c>
      <c r="D31377" t="str">
        <v>-</v>
      </c>
      <c r="E31377" t="str">
        <v>-</v>
      </c>
      <c r="F31377" t="str">
        <v>-</v>
      </c>
      <c r="G31377" t="str">
        <v>-</v>
      </c>
    </row>
    <row r="31378">
      <c r="B31378" t="str">
        <v>Công an xã Cù Vân tỉnh Thái Nguyên</v>
      </c>
      <c r="C31378" t="str">
        <v>-</v>
      </c>
      <c r="D31378" t="str">
        <v>-</v>
      </c>
      <c r="E31378" t="str">
        <v/>
      </c>
      <c r="F31378" t="str">
        <v>-</v>
      </c>
      <c r="G31378" t="str">
        <v>-</v>
      </c>
    </row>
    <row r="31379">
      <c r="B31379" t="str">
        <v>UBND Ủy ban nhân dân xã Cù Vân tỉnh Thái Nguyên</v>
      </c>
      <c r="C31379" t="str">
        <v>-</v>
      </c>
      <c r="D31379" t="str">
        <v>-</v>
      </c>
      <c r="E31379" t="str">
        <v>-</v>
      </c>
      <c r="F31379" t="str">
        <v>-</v>
      </c>
      <c r="G31379" t="str">
        <v>-</v>
      </c>
    </row>
    <row r="31380">
      <c r="B31380" t="str">
        <v>Công an xã Kim Đức  tỉnh Phú Thọ</v>
      </c>
      <c r="C31380" t="str">
        <v>-</v>
      </c>
      <c r="D31380" t="str">
        <v>-</v>
      </c>
      <c r="E31380" t="str">
        <v/>
      </c>
      <c r="F31380" t="str">
        <v>-</v>
      </c>
      <c r="G31380" t="str">
        <v>-</v>
      </c>
    </row>
    <row r="31381">
      <c r="B31381" t="str">
        <v>UBND Ủy ban nhân dân xã Kim Đức  tỉnh Phú Thọ</v>
      </c>
      <c r="C31381" t="str">
        <v>-</v>
      </c>
      <c r="D31381" t="str">
        <v>-</v>
      </c>
      <c r="E31381" t="str">
        <v>-</v>
      </c>
      <c r="F31381" t="str">
        <v>-</v>
      </c>
      <c r="G31381" t="str">
        <v>-</v>
      </c>
    </row>
    <row r="31382">
      <c r="B31382" t="str">
        <v>Công an xã Liên Minh  tỉnh Nam Định</v>
      </c>
      <c r="C31382" t="str">
        <v>-</v>
      </c>
      <c r="D31382" t="str">
        <v>-</v>
      </c>
      <c r="E31382" t="str">
        <v/>
      </c>
      <c r="F31382" t="str">
        <v>-</v>
      </c>
      <c r="G31382" t="str">
        <v>-</v>
      </c>
    </row>
    <row r="31383">
      <c r="B31383" t="str">
        <v>UBND Ủy ban nhân dân xã Liên Minh  tỉnh Nam Định</v>
      </c>
      <c r="C31383" t="str">
        <v>-</v>
      </c>
      <c r="D31383" t="str">
        <v>-</v>
      </c>
      <c r="E31383" t="str">
        <v>-</v>
      </c>
      <c r="F31383" t="str">
        <v>-</v>
      </c>
      <c r="G31383" t="str">
        <v>-</v>
      </c>
    </row>
    <row r="31384">
      <c r="B31384" t="str">
        <v>Công an xã Vĩnh Bình  thành phố Cần Thơ</v>
      </c>
      <c r="C31384" t="str">
        <v>-</v>
      </c>
      <c r="D31384" t="str">
        <v>-</v>
      </c>
      <c r="E31384" t="str">
        <v/>
      </c>
      <c r="F31384" t="str">
        <v>-</v>
      </c>
      <c r="G31384" t="str">
        <v>-</v>
      </c>
    </row>
    <row r="31385">
      <c r="B31385" t="str">
        <v>UBND Ủy ban nhân dân xã Vĩnh Bình  thành phố Cần Thơ</v>
      </c>
      <c r="C31385" t="str">
        <v>-</v>
      </c>
      <c r="D31385" t="str">
        <v>-</v>
      </c>
      <c r="E31385" t="str">
        <v>-</v>
      </c>
      <c r="F31385" t="str">
        <v>-</v>
      </c>
      <c r="G31385" t="str">
        <v>-</v>
      </c>
    </row>
    <row r="31386">
      <c r="B31386" t="str">
        <v>Công an huyện Gia Lâm thành phố Hà Nội</v>
      </c>
      <c r="C31386" t="str">
        <v>-</v>
      </c>
      <c r="D31386" t="str">
        <v>-</v>
      </c>
      <c r="E31386" t="str">
        <v/>
      </c>
      <c r="F31386" t="str">
        <v>-</v>
      </c>
      <c r="G31386" t="str">
        <v>-</v>
      </c>
    </row>
    <row r="31387">
      <c r="B31387" t="str">
        <v>UBND Ủy ban nhân dân huyện Gia Lâm thành phố Hà Nội</v>
      </c>
      <c r="C31387" t="str">
        <v>-</v>
      </c>
      <c r="D31387" t="str">
        <v>-</v>
      </c>
      <c r="E31387" t="str">
        <v>-</v>
      </c>
      <c r="F31387" t="str">
        <v>-</v>
      </c>
      <c r="G31387" t="str">
        <v>-</v>
      </c>
    </row>
    <row r="31388">
      <c r="B31388" t="str">
        <v>Công an xã Việt Thuận  tỉnh Thái Bình</v>
      </c>
      <c r="C31388" t="str">
        <v>-</v>
      </c>
      <c r="D31388" t="str">
        <v>-</v>
      </c>
      <c r="E31388" t="str">
        <v/>
      </c>
      <c r="F31388" t="str">
        <v>-</v>
      </c>
      <c r="G31388" t="str">
        <v>-</v>
      </c>
    </row>
    <row r="31389">
      <c r="B31389" t="str">
        <v>UBND Ủy ban nhân dân xã Việt Thuận  tỉnh Thái Bình</v>
      </c>
      <c r="C31389" t="str">
        <v>-</v>
      </c>
      <c r="D31389" t="str">
        <v>-</v>
      </c>
      <c r="E31389" t="str">
        <v>-</v>
      </c>
      <c r="F31389" t="str">
        <v>-</v>
      </c>
      <c r="G31389" t="str">
        <v>-</v>
      </c>
    </row>
    <row r="31390">
      <c r="B31390" t="str">
        <v>Công an xã Quang Kim tỉnh Lào Cai</v>
      </c>
      <c r="C31390" t="str">
        <v>-</v>
      </c>
      <c r="D31390" t="str">
        <v>-</v>
      </c>
      <c r="E31390" t="str">
        <v/>
      </c>
      <c r="F31390" t="str">
        <v>-</v>
      </c>
      <c r="G31390" t="str">
        <v>-</v>
      </c>
    </row>
    <row r="31391">
      <c r="B31391" t="str">
        <v>UBND Ủy ban nhân dân xã Quang Kim tỉnh Lào Cai</v>
      </c>
      <c r="C31391" t="str">
        <v>-</v>
      </c>
      <c r="D31391" t="str">
        <v>-</v>
      </c>
      <c r="E31391" t="str">
        <v>-</v>
      </c>
      <c r="F31391" t="str">
        <v>-</v>
      </c>
      <c r="G31391" t="str">
        <v>-</v>
      </c>
    </row>
    <row r="31392">
      <c r="B31392" t="str">
        <v>Công an xã Chí Tân tỉnh Hưng Yên</v>
      </c>
      <c r="C31392" t="str">
        <v>-</v>
      </c>
      <c r="D31392" t="str">
        <v>-</v>
      </c>
      <c r="E31392" t="str">
        <v/>
      </c>
      <c r="F31392" t="str">
        <v>-</v>
      </c>
      <c r="G31392" t="str">
        <v>-</v>
      </c>
    </row>
    <row r="31393">
      <c r="B31393" t="str">
        <v>UBND Ủy ban nhân dân xã Chí Tân tỉnh Hưng Yên</v>
      </c>
      <c r="C31393" t="str">
        <v>-</v>
      </c>
      <c r="D31393" t="str">
        <v>-</v>
      </c>
      <c r="E31393" t="str">
        <v>-</v>
      </c>
      <c r="F31393" t="str">
        <v>-</v>
      </c>
      <c r="G31393" t="str">
        <v>-</v>
      </c>
    </row>
    <row r="31394">
      <c r="B31394" t="str">
        <v>Công an xã Ngọc Quan  tỉnh Phú Thọ</v>
      </c>
      <c r="C31394" t="str">
        <v>-</v>
      </c>
      <c r="D31394" t="str">
        <v>-</v>
      </c>
      <c r="E31394" t="str">
        <v/>
      </c>
      <c r="F31394" t="str">
        <v>-</v>
      </c>
      <c r="G31394" t="str">
        <v>-</v>
      </c>
    </row>
    <row r="31395">
      <c r="B31395" t="str">
        <v>UBND Ủy ban nhân dân xã Ngọc Quan  tỉnh Phú Thọ</v>
      </c>
      <c r="C31395" t="str">
        <v>-</v>
      </c>
      <c r="D31395" t="str">
        <v>-</v>
      </c>
      <c r="E31395" t="str">
        <v>-</v>
      </c>
      <c r="F31395" t="str">
        <v>-</v>
      </c>
      <c r="G31395" t="str">
        <v>-</v>
      </c>
    </row>
    <row r="31396">
      <c r="B31396" t="str">
        <v>Công an huyện Đại Từ tỉnh Thái Nguyên</v>
      </c>
      <c r="C31396" t="str">
        <v>-</v>
      </c>
      <c r="D31396" t="str">
        <v>-</v>
      </c>
      <c r="E31396" t="str">
        <v/>
      </c>
      <c r="F31396" t="str">
        <v>-</v>
      </c>
      <c r="G31396" t="str">
        <v>-</v>
      </c>
    </row>
    <row r="31397">
      <c r="B31397" t="str">
        <v>UBND Ủy ban nhân dân huyện Đại Từ tỉnh Thái Nguyên</v>
      </c>
      <c r="C31397" t="str">
        <v>-</v>
      </c>
      <c r="D31397" t="str">
        <v>-</v>
      </c>
      <c r="E31397" t="str">
        <v>-</v>
      </c>
      <c r="F31397" t="str">
        <v>-</v>
      </c>
      <c r="G31397" t="str">
        <v>-</v>
      </c>
    </row>
    <row r="31398">
      <c r="B31398" t="str">
        <v>Công an xã An Hòa Tây  tỉnh Bến Tre</v>
      </c>
      <c r="C31398" t="str">
        <v>-</v>
      </c>
      <c r="D31398" t="str">
        <v>-</v>
      </c>
      <c r="E31398" t="str">
        <v/>
      </c>
      <c r="F31398" t="str">
        <v>-</v>
      </c>
      <c r="G31398" t="str">
        <v>-</v>
      </c>
    </row>
    <row r="31399">
      <c r="B31399" t="str">
        <v>UBND Ủy ban nhân dân xã An Hòa Tây  tỉnh Bến Tre</v>
      </c>
      <c r="C31399" t="str">
        <v>-</v>
      </c>
      <c r="D31399" t="str">
        <v>-</v>
      </c>
      <c r="E31399" t="str">
        <v>-</v>
      </c>
      <c r="F31399" t="str">
        <v>-</v>
      </c>
      <c r="G31399" t="str">
        <v>-</v>
      </c>
    </row>
    <row r="31400">
      <c r="B31400" t="str">
        <v>Công an phường Đại Xuân  thành phố Hà Nội</v>
      </c>
      <c r="C31400" t="str">
        <v>-</v>
      </c>
      <c r="D31400" t="str">
        <v>-</v>
      </c>
      <c r="E31400" t="str">
        <v/>
      </c>
      <c r="F31400" t="str">
        <v>-</v>
      </c>
      <c r="G31400" t="str">
        <v>-</v>
      </c>
    </row>
    <row r="31401">
      <c r="B31401" t="str">
        <v>UBND Ủy ban nhân dân phường Đại Xuân  thành phố Hà Nội</v>
      </c>
      <c r="C31401" t="str">
        <v>-</v>
      </c>
      <c r="D31401" t="str">
        <v>-</v>
      </c>
      <c r="E31401" t="str">
        <v>-</v>
      </c>
      <c r="F31401" t="str">
        <v>-</v>
      </c>
      <c r="G31401" t="str">
        <v>-</v>
      </c>
    </row>
    <row r="31402">
      <c r="B31402" t="str">
        <v>Công an xã Đạ K'Nàng tỉnh Lâm Đồng</v>
      </c>
      <c r="C31402" t="str">
        <v>-</v>
      </c>
      <c r="D31402" t="str">
        <v>-</v>
      </c>
      <c r="E31402" t="str">
        <v/>
      </c>
      <c r="F31402" t="str">
        <v>-</v>
      </c>
      <c r="G31402" t="str">
        <v>-</v>
      </c>
    </row>
    <row r="31403">
      <c r="B31403" t="str">
        <v>UBND Ủy ban nhân dân xã Đạ K'Nàng tỉnh Lâm Đồng</v>
      </c>
      <c r="C31403" t="str">
        <v>-</v>
      </c>
      <c r="D31403" t="str">
        <v>-</v>
      </c>
      <c r="E31403" t="str">
        <v>-</v>
      </c>
      <c r="F31403" t="str">
        <v>-</v>
      </c>
      <c r="G31403" t="str">
        <v>-</v>
      </c>
    </row>
    <row r="31404">
      <c r="B31404" t="str">
        <v>Công an xã Đạo Viện tỉnh Tuyên Quang</v>
      </c>
      <c r="C31404" t="str">
        <v>-</v>
      </c>
      <c r="D31404" t="str">
        <v>-</v>
      </c>
      <c r="E31404" t="str">
        <v/>
      </c>
      <c r="F31404" t="str">
        <v>-</v>
      </c>
      <c r="G31404" t="str">
        <v>-</v>
      </c>
    </row>
    <row r="31405">
      <c r="B31405" t="str">
        <v>UBND Ủy ban nhân dân xã Đạo Viện tỉnh Tuyên Quang</v>
      </c>
      <c r="C31405" t="str">
        <v>-</v>
      </c>
      <c r="D31405" t="str">
        <v>-</v>
      </c>
      <c r="E31405" t="str">
        <v>-</v>
      </c>
      <c r="F31405" t="str">
        <v>-</v>
      </c>
      <c r="G31405" t="str">
        <v>-</v>
      </c>
    </row>
    <row r="31406">
      <c r="B31406" t="str">
        <v>Công an xã Đặng Lễ tỉnh Hưng Yên</v>
      </c>
      <c r="C31406" t="str">
        <v>-</v>
      </c>
      <c r="D31406" t="str">
        <v>-</v>
      </c>
      <c r="E31406" t="str">
        <v/>
      </c>
      <c r="F31406" t="str">
        <v>-</v>
      </c>
      <c r="G31406" t="str">
        <v>-</v>
      </c>
    </row>
    <row r="31407">
      <c r="B31407" t="str">
        <v>UBND Ủy ban nhân dân xã Đặng Lễ tỉnh Hưng Yên</v>
      </c>
      <c r="C31407" t="str">
        <v>-</v>
      </c>
      <c r="D31407" t="str">
        <v>-</v>
      </c>
      <c r="E31407" t="str">
        <v>-</v>
      </c>
      <c r="F31407" t="str">
        <v>-</v>
      </c>
      <c r="G31407" t="str">
        <v>-</v>
      </c>
    </row>
    <row r="31408">
      <c r="B31408" t="str">
        <v>Công an xã Định Bình tỉnh Thanh Hóa</v>
      </c>
      <c r="C31408" t="str">
        <v>-</v>
      </c>
      <c r="D31408" t="str">
        <v>-</v>
      </c>
      <c r="E31408" t="str">
        <v/>
      </c>
      <c r="F31408" t="str">
        <v>-</v>
      </c>
      <c r="G31408" t="str">
        <v>-</v>
      </c>
    </row>
    <row r="31409">
      <c r="B31409" t="str">
        <v>UBND Ủy ban nhân dân xã Định Bình tỉnh Thanh Hóa</v>
      </c>
      <c r="C31409" t="str">
        <v>-</v>
      </c>
      <c r="D31409" t="str">
        <v>-</v>
      </c>
      <c r="E31409" t="str">
        <v>-</v>
      </c>
      <c r="F31409" t="str">
        <v>-</v>
      </c>
      <c r="G31409" t="str">
        <v>-</v>
      </c>
    </row>
    <row r="31410">
      <c r="B31410" t="str">
        <v>Công an huyện Mê Linh  thành phố Hà Nội</v>
      </c>
      <c r="C31410" t="str">
        <v>-</v>
      </c>
      <c r="D31410" t="str">
        <v>-</v>
      </c>
      <c r="E31410" t="str">
        <v/>
      </c>
      <c r="F31410" t="str">
        <v>-</v>
      </c>
      <c r="G31410" t="str">
        <v>-</v>
      </c>
    </row>
    <row r="31411">
      <c r="B31411" t="str">
        <v>UBND Ủy ban nhân dân huyện Mê Linh  thành phố Hà Nội</v>
      </c>
      <c r="C31411" t="str">
        <v>-</v>
      </c>
      <c r="D31411" t="str">
        <v>-</v>
      </c>
      <c r="E31411" t="str">
        <v>-</v>
      </c>
      <c r="F31411" t="str">
        <v>-</v>
      </c>
      <c r="G31411" t="str">
        <v>-</v>
      </c>
    </row>
    <row r="31412">
      <c r="B31412" t="str">
        <v>Công an xã Thượng Vực thành phố Hà Nội</v>
      </c>
      <c r="C31412" t="str">
        <v>-</v>
      </c>
      <c r="D31412" t="str">
        <v>-</v>
      </c>
      <c r="E31412" t="str">
        <v/>
      </c>
      <c r="F31412" t="str">
        <v>-</v>
      </c>
      <c r="G31412" t="str">
        <v>-</v>
      </c>
    </row>
    <row r="31413">
      <c r="B31413" t="str">
        <v>UBND Ủy ban nhân dân xã Thượng Vực thành phố Hà Nội</v>
      </c>
      <c r="C31413" t="str">
        <v>-</v>
      </c>
      <c r="D31413" t="str">
        <v>-</v>
      </c>
      <c r="E31413" t="str">
        <v>-</v>
      </c>
      <c r="F31413" t="str">
        <v>-</v>
      </c>
      <c r="G31413" t="str">
        <v>-</v>
      </c>
    </row>
    <row r="31414">
      <c r="B31414" t="str">
        <v>Công an xã Chiềng Pằn  tỉnh Sơn La</v>
      </c>
      <c r="C31414" t="str">
        <v>-</v>
      </c>
      <c r="D31414" t="str">
        <v>-</v>
      </c>
      <c r="E31414" t="str">
        <v/>
      </c>
      <c r="F31414" t="str">
        <v>-</v>
      </c>
      <c r="G31414" t="str">
        <v>-</v>
      </c>
    </row>
    <row r="31415">
      <c r="B31415" t="str">
        <v>UBND Ủy ban nhân dân xã Chiềng Pằn  tỉnh Sơn La</v>
      </c>
      <c r="C31415" t="str">
        <v>-</v>
      </c>
      <c r="D31415" t="str">
        <v>-</v>
      </c>
      <c r="E31415" t="str">
        <v>-</v>
      </c>
      <c r="F31415" t="str">
        <v>-</v>
      </c>
      <c r="G31415" t="str">
        <v>-</v>
      </c>
    </row>
    <row r="31416">
      <c r="B31416" t="str">
        <v>Công an xã Ngọc Hoà  thành phố Hà Nội</v>
      </c>
      <c r="C31416" t="str">
        <v>-</v>
      </c>
      <c r="D31416" t="str">
        <v>-</v>
      </c>
      <c r="E31416" t="str">
        <v/>
      </c>
      <c r="F31416" t="str">
        <v>-</v>
      </c>
      <c r="G31416" t="str">
        <v>-</v>
      </c>
    </row>
    <row r="31417">
      <c r="B31417" t="str">
        <v>UBND Ủy ban nhân dân xã Ngọc Hoà  thành phố Hà Nội</v>
      </c>
      <c r="C31417" t="str">
        <v>-</v>
      </c>
      <c r="D31417" t="str">
        <v>-</v>
      </c>
      <c r="E31417" t="str">
        <v>-</v>
      </c>
      <c r="F31417" t="str">
        <v>-</v>
      </c>
      <c r="G31417" t="str">
        <v>-</v>
      </c>
    </row>
    <row r="31418">
      <c r="B31418" t="str">
        <v>Công an xã Úc Kỳ tỉnh Thái Nguyên</v>
      </c>
      <c r="C31418" t="str">
        <v>-</v>
      </c>
      <c r="D31418" t="str">
        <v>-</v>
      </c>
      <c r="E31418" t="str">
        <v/>
      </c>
      <c r="F31418" t="str">
        <v>-</v>
      </c>
      <c r="G31418" t="str">
        <v>-</v>
      </c>
    </row>
    <row r="31419">
      <c r="B31419" t="str">
        <v>UBND Ủy ban nhân dân xã Úc Kỳ tỉnh Thái Nguyên</v>
      </c>
      <c r="C31419" t="str">
        <v>-</v>
      </c>
      <c r="D31419" t="str">
        <v>-</v>
      </c>
      <c r="E31419" t="str">
        <v>-</v>
      </c>
      <c r="F31419" t="str">
        <v>-</v>
      </c>
      <c r="G31419" t="str">
        <v>-</v>
      </c>
    </row>
    <row r="31420">
      <c r="B31420" t="str">
        <v>Công an xã Đào Viên tỉnh Bắc Ninh</v>
      </c>
      <c r="C31420" t="str">
        <v>-</v>
      </c>
      <c r="D31420" t="str">
        <v>-</v>
      </c>
      <c r="E31420" t="str">
        <v/>
      </c>
      <c r="F31420" t="str">
        <v>-</v>
      </c>
      <c r="G31420" t="str">
        <v>-</v>
      </c>
    </row>
    <row r="31421">
      <c r="B31421" t="str">
        <v>UBND Ủy ban nhân dân xã Đào Viên tỉnh Bắc Ninh</v>
      </c>
      <c r="C31421" t="str">
        <v>-</v>
      </c>
      <c r="D31421" t="str">
        <v>-</v>
      </c>
      <c r="E31421" t="str">
        <v>-</v>
      </c>
      <c r="F31421" t="str">
        <v>-</v>
      </c>
      <c r="G31421" t="str">
        <v>-</v>
      </c>
    </row>
    <row r="31422">
      <c r="B31422" t="str">
        <v>Công an xã Đào Xá tỉnh Thái Nguyên</v>
      </c>
      <c r="C31422" t="str">
        <v>-</v>
      </c>
      <c r="D31422" t="str">
        <v>-</v>
      </c>
      <c r="E31422" t="str">
        <v/>
      </c>
      <c r="F31422" t="str">
        <v>-</v>
      </c>
      <c r="G31422" t="str">
        <v>-</v>
      </c>
    </row>
    <row r="31423">
      <c r="B31423" t="str">
        <v>UBND Ủy ban nhân dân xã Đào Xá tỉnh Thái Nguyên</v>
      </c>
      <c r="C31423" t="str">
        <v>-</v>
      </c>
      <c r="D31423" t="str">
        <v>-</v>
      </c>
      <c r="E31423" t="str">
        <v>-</v>
      </c>
      <c r="F31423" t="str">
        <v>-</v>
      </c>
      <c r="G31423" t="str">
        <v>-</v>
      </c>
    </row>
    <row r="31424" xml:space="preserve">
      <c r="B31424" t="str" xml:space="preserve">
        <v xml:space="preserve">Công an xã Đà Sơn _x000d_
 tỉnh Nghệ An</v>
      </c>
      <c r="C31424" t="str">
        <v>-</v>
      </c>
      <c r="D31424" t="str">
        <v>-</v>
      </c>
      <c r="E31424" t="str">
        <v/>
      </c>
      <c r="F31424" t="str">
        <v>-</v>
      </c>
      <c r="G31424" t="str">
        <v>-</v>
      </c>
    </row>
    <row r="31425" xml:space="preserve">
      <c r="B31425" t="str" xml:space="preserve">
        <v xml:space="preserve">UBND Ủy ban nhân dân xã Đà Sơn _x000d_
 tỉnh Nghệ An</v>
      </c>
      <c r="C31425" t="str">
        <v>-</v>
      </c>
      <c r="D31425" t="str">
        <v>-</v>
      </c>
      <c r="E31425" t="str">
        <v>-</v>
      </c>
      <c r="F31425" t="str">
        <v>-</v>
      </c>
      <c r="G31425" t="str">
        <v>-</v>
      </c>
    </row>
    <row r="31426">
      <c r="B31426" t="str">
        <v>Công an xã Đá Đỏ tỉnh Sơn La</v>
      </c>
      <c r="C31426" t="str">
        <v>-</v>
      </c>
      <c r="D31426" t="str">
        <v>-</v>
      </c>
      <c r="E31426" t="str">
        <v/>
      </c>
      <c r="F31426" t="str">
        <v>-</v>
      </c>
      <c r="G31426" t="str">
        <v>-</v>
      </c>
    </row>
    <row r="31427">
      <c r="B31427" t="str">
        <v>UBND Ủy ban nhân dân xã Đá Đỏ tỉnh Sơn La</v>
      </c>
      <c r="C31427" t="str">
        <v>-</v>
      </c>
      <c r="D31427" t="str">
        <v>-</v>
      </c>
      <c r="E31427" t="str">
        <v>-</v>
      </c>
      <c r="F31427" t="str">
        <v>-</v>
      </c>
      <c r="G31427" t="str">
        <v>-</v>
      </c>
    </row>
    <row r="31428">
      <c r="B31428" t="str">
        <v>Công an xã Thủy Xuân Tiên thành phố Hà Nội</v>
      </c>
      <c r="C31428" t="str">
        <v>-</v>
      </c>
      <c r="D31428" t="str">
        <v>-</v>
      </c>
      <c r="E31428" t="str">
        <v/>
      </c>
      <c r="F31428" t="str">
        <v>-</v>
      </c>
      <c r="G31428" t="str">
        <v>-</v>
      </c>
    </row>
    <row r="31429">
      <c r="B31429" t="str">
        <v>UBND Ủy ban nhân dân xã Thủy Xuân Tiên thành phố Hà Nội</v>
      </c>
      <c r="C31429" t="str">
        <v>-</v>
      </c>
      <c r="D31429" t="str">
        <v>-</v>
      </c>
      <c r="E31429" t="str">
        <v>-</v>
      </c>
      <c r="F31429" t="str">
        <v>-</v>
      </c>
      <c r="G31429" t="str">
        <v>-</v>
      </c>
    </row>
    <row r="31430">
      <c r="B31430" t="str">
        <v>Công an xã Quảng Tiên tỉnh Quảng Bình</v>
      </c>
      <c r="C31430" t="str">
        <v>-</v>
      </c>
      <c r="D31430" t="str">
        <v>-</v>
      </c>
      <c r="E31430" t="str">
        <v/>
      </c>
      <c r="F31430" t="str">
        <v>-</v>
      </c>
      <c r="G31430" t="str">
        <v>-</v>
      </c>
    </row>
    <row r="31431">
      <c r="B31431" t="str">
        <v>UBND Ủy ban nhân dân xã Quảng Tiên tỉnh Quảng Bình</v>
      </c>
      <c r="C31431" t="str">
        <v>-</v>
      </c>
      <c r="D31431" t="str">
        <v>-</v>
      </c>
      <c r="E31431" t="str">
        <v>-</v>
      </c>
      <c r="F31431" t="str">
        <v>-</v>
      </c>
      <c r="G31431" t="str">
        <v>-</v>
      </c>
    </row>
    <row r="31432">
      <c r="B31432" t="str">
        <v>Công an xã Thuỵ Hương  thành phố Hải Phòng</v>
      </c>
      <c r="C31432" t="str">
        <v>-</v>
      </c>
      <c r="D31432" t="str">
        <v>-</v>
      </c>
      <c r="E31432" t="str">
        <v/>
      </c>
      <c r="F31432" t="str">
        <v>-</v>
      </c>
      <c r="G31432" t="str">
        <v>-</v>
      </c>
    </row>
    <row r="31433">
      <c r="B31433" t="str">
        <v>UBND Ủy ban nhân dân xã Thuỵ Hương  thành phố Hải Phòng</v>
      </c>
      <c r="C31433" t="str">
        <v>-</v>
      </c>
      <c r="D31433" t="str">
        <v>-</v>
      </c>
      <c r="E31433" t="str">
        <v>-</v>
      </c>
      <c r="F31433" t="str">
        <v>-</v>
      </c>
      <c r="G31433" t="str">
        <v>-</v>
      </c>
    </row>
    <row r="31434">
      <c r="B31434" t="str">
        <v>Công an xã Long An tỉnh Đồng Nai</v>
      </c>
      <c r="C31434" t="str">
        <v>-</v>
      </c>
      <c r="D31434" t="str">
        <v>-</v>
      </c>
      <c r="E31434" t="str">
        <v/>
      </c>
      <c r="F31434" t="str">
        <v>-</v>
      </c>
      <c r="G31434" t="str">
        <v>-</v>
      </c>
    </row>
    <row r="31435">
      <c r="B31435" t="str">
        <v>UBND Ủy ban nhân dân xã Long An tỉnh Đồng Nai</v>
      </c>
      <c r="C31435" t="str">
        <v>-</v>
      </c>
      <c r="D31435" t="str">
        <v>-</v>
      </c>
      <c r="E31435" t="str">
        <v>-</v>
      </c>
      <c r="F31435" t="str">
        <v>-</v>
      </c>
      <c r="G31435" t="str">
        <v>-</v>
      </c>
    </row>
    <row r="31436">
      <c r="B31436" t="str">
        <v>Công an xã Nhị Trường tỉnh Trà Vinh</v>
      </c>
      <c r="C31436" t="str">
        <v>-</v>
      </c>
      <c r="D31436" t="str">
        <v>-</v>
      </c>
      <c r="E31436" t="str">
        <v/>
      </c>
      <c r="F31436" t="str">
        <v>-</v>
      </c>
      <c r="G31436" t="str">
        <v>-</v>
      </c>
    </row>
    <row r="31437">
      <c r="B31437" t="str">
        <v>UBND Ủy ban nhân dân xã Nhị Trường tỉnh Trà Vinh</v>
      </c>
      <c r="C31437" t="str">
        <v>-</v>
      </c>
      <c r="D31437" t="str">
        <v>-</v>
      </c>
      <c r="E31437" t="str">
        <v>-</v>
      </c>
      <c r="F31437" t="str">
        <v>-</v>
      </c>
      <c r="G31437" t="str">
        <v>-</v>
      </c>
    </row>
    <row r="31438">
      <c r="B31438" t="str">
        <v>Công an tỉnh Long An  tỉnh Long An</v>
      </c>
      <c r="C31438" t="str">
        <v>-</v>
      </c>
      <c r="D31438" t="str">
        <v>-</v>
      </c>
      <c r="E31438" t="str">
        <v/>
      </c>
      <c r="F31438" t="str">
        <v>-</v>
      </c>
      <c r="G31438" t="str">
        <v>-</v>
      </c>
    </row>
    <row r="31439">
      <c r="B31439" t="str">
        <v>UBND Ủy ban nhân dân tỉnh Long An  tỉnh Long An</v>
      </c>
      <c r="C31439" t="str">
        <v>-</v>
      </c>
      <c r="D31439" t="str">
        <v>-</v>
      </c>
      <c r="E31439" t="str">
        <v>-</v>
      </c>
      <c r="F31439" t="str">
        <v>-</v>
      </c>
      <c r="G31439" t="str">
        <v>-</v>
      </c>
    </row>
    <row r="31440">
      <c r="B31440" t="str">
        <v>Công an xã Tam Bình  tỉnh TIỀN GIANG</v>
      </c>
      <c r="C31440" t="str">
        <v>-</v>
      </c>
      <c r="D31440" t="str">
        <v>-</v>
      </c>
      <c r="E31440" t="str">
        <v/>
      </c>
      <c r="F31440" t="str">
        <v>-</v>
      </c>
      <c r="G31440" t="str">
        <v>-</v>
      </c>
    </row>
    <row r="31441">
      <c r="B31441" t="str">
        <v>UBND Ủy ban nhân dân xã Tam Bình  tỉnh TIỀN GIANG</v>
      </c>
      <c r="C31441" t="str">
        <v>-</v>
      </c>
      <c r="D31441" t="str">
        <v>-</v>
      </c>
      <c r="E31441" t="str">
        <v>-</v>
      </c>
      <c r="F31441" t="str">
        <v>-</v>
      </c>
      <c r="G31441" t="str">
        <v>-</v>
      </c>
    </row>
    <row r="31442">
      <c r="B31442" t="str">
        <v>Công an xã Thạch Hội  tỉnh Hà Tĩnh</v>
      </c>
      <c r="C31442" t="str">
        <v>-</v>
      </c>
      <c r="D31442" t="str">
        <v>-</v>
      </c>
      <c r="E31442" t="str">
        <v/>
      </c>
      <c r="F31442" t="str">
        <v>-</v>
      </c>
      <c r="G31442" t="str">
        <v>-</v>
      </c>
    </row>
    <row r="31443">
      <c r="B31443" t="str">
        <v>UBND Ủy ban nhân dân xã Thạch Hội  tỉnh Hà Tĩnh</v>
      </c>
      <c r="C31443" t="str">
        <v>-</v>
      </c>
      <c r="D31443" t="str">
        <v>-</v>
      </c>
      <c r="E31443" t="str">
        <v>-</v>
      </c>
      <c r="F31443" t="str">
        <v>-</v>
      </c>
      <c r="G31443" t="str">
        <v>-</v>
      </c>
    </row>
    <row r="31444">
      <c r="B31444" t="str">
        <v>Cảnh sát Thi hành án hình sự và Hỗ trợ tư pháp Phú Thiện  tỉnh Gia Lai</v>
      </c>
    </row>
    <row r="31445">
      <c r="B31445" t="str">
        <v>UBND Ủy ban nhân dânt Thi hành án hình sự và Hỗ trợ tư pháp Phú Thiện  tỉnh Gia Lai</v>
      </c>
      <c r="C31445" t="str">
        <v>-</v>
      </c>
      <c r="D31445" t="str">
        <v>-</v>
      </c>
      <c r="E31445" t="str">
        <v>-</v>
      </c>
      <c r="F31445" t="str">
        <v>-</v>
      </c>
      <c r="G31445" t="str">
        <v>-</v>
      </c>
    </row>
    <row r="31446">
      <c r="B31446" t="str">
        <v>Công an tỉnh Phú Thọ tỉnh Phú Thọ</v>
      </c>
      <c r="C31446" t="str">
        <v>-</v>
      </c>
      <c r="D31446" t="str">
        <v>-</v>
      </c>
      <c r="E31446" t="str">
        <v/>
      </c>
      <c r="F31446" t="str">
        <v>-</v>
      </c>
      <c r="G31446" t="str">
        <v>-</v>
      </c>
    </row>
    <row r="31447">
      <c r="B31447" t="str">
        <v>UBND Ủy ban nhân dân tỉnh Phú Thọ tỉnh Phú Thọ</v>
      </c>
      <c r="C31447" t="str">
        <v>-</v>
      </c>
      <c r="D31447" t="str">
        <v>-</v>
      </c>
      <c r="E31447" t="str">
        <v>-</v>
      </c>
      <c r="F31447" t="str">
        <v>-</v>
      </c>
      <c r="G31447" t="str">
        <v>-</v>
      </c>
    </row>
    <row r="31448">
      <c r="B31448" t="str">
        <v>Công an thành phố Hà Nội  thành phố Hà Nội</v>
      </c>
      <c r="C31448" t="str">
        <v>-</v>
      </c>
      <c r="D31448" t="str">
        <v>-</v>
      </c>
      <c r="E31448" t="str">
        <v/>
      </c>
      <c r="F31448" t="str">
        <v>-</v>
      </c>
      <c r="G31448" t="str">
        <v>-</v>
      </c>
    </row>
    <row r="31449">
      <c r="B31449" t="str">
        <v>UBND Ủy ban nhân dân thành phố Hà Nội  thành phố Hà Nội</v>
      </c>
      <c r="C31449" t="str">
        <v>-</v>
      </c>
      <c r="D31449" t="str">
        <v>-</v>
      </c>
      <c r="E31449" t="str">
        <v>-</v>
      </c>
      <c r="F31449" t="str">
        <v>-</v>
      </c>
      <c r="G31449" t="str">
        <v>-</v>
      </c>
    </row>
    <row r="31450">
      <c r="B31450" t="str">
        <v>Công an huyện Lục Ngạn  tỉnh Bắc Giang</v>
      </c>
      <c r="C31450" t="str">
        <v>-</v>
      </c>
      <c r="D31450" t="str">
        <v>-</v>
      </c>
      <c r="E31450" t="str">
        <v/>
      </c>
      <c r="F31450" t="str">
        <v>-</v>
      </c>
      <c r="G31450" t="str">
        <v>-</v>
      </c>
    </row>
    <row r="31451">
      <c r="B31451" t="str">
        <v>UBND Ủy ban nhân dân huyện Lục Ngạn  tỉnh Bắc Giang</v>
      </c>
      <c r="C31451" t="str">
        <v>-</v>
      </c>
      <c r="D31451" t="str">
        <v>-</v>
      </c>
      <c r="E31451" t="str">
        <v>-</v>
      </c>
      <c r="F31451" t="str">
        <v>-</v>
      </c>
      <c r="G31451" t="str">
        <v>-</v>
      </c>
    </row>
    <row r="31452">
      <c r="B31452" t="str">
        <v>Công an xã Cát Thịnh  tỉnh Yên Bái</v>
      </c>
      <c r="C31452" t="str">
        <v>-</v>
      </c>
      <c r="D31452" t="str">
        <v>-</v>
      </c>
      <c r="E31452" t="str">
        <v/>
      </c>
      <c r="F31452" t="str">
        <v>-</v>
      </c>
      <c r="G31452" t="str">
        <v>-</v>
      </c>
    </row>
    <row r="31453">
      <c r="B31453" t="str">
        <v>UBND Ủy ban nhân dân xã Cát Thịnh  tỉnh Yên Bái</v>
      </c>
      <c r="C31453" t="str">
        <v>-</v>
      </c>
      <c r="D31453" t="str">
        <v>-</v>
      </c>
      <c r="E31453" t="str">
        <v>-</v>
      </c>
      <c r="F31453" t="str">
        <v>-</v>
      </c>
      <c r="G31453" t="str">
        <v>-</v>
      </c>
    </row>
    <row r="31454">
      <c r="B31454" t="str">
        <v>Công an xã Xuân Hóa tỉnh Thanh Hóa</v>
      </c>
      <c r="C31454" t="str">
        <v>-</v>
      </c>
      <c r="D31454" t="str">
        <v>-</v>
      </c>
      <c r="E31454" t="str">
        <v/>
      </c>
      <c r="F31454" t="str">
        <v>-</v>
      </c>
      <c r="G31454" t="str">
        <v>-</v>
      </c>
    </row>
    <row r="31455">
      <c r="B31455" t="str">
        <v>UBND Ủy ban nhân dân xã Xuân Hóa tỉnh Thanh Hóa</v>
      </c>
      <c r="C31455" t="str">
        <v>-</v>
      </c>
      <c r="D31455" t="str">
        <v>-</v>
      </c>
      <c r="E31455" t="str">
        <v>-</v>
      </c>
      <c r="F31455" t="str">
        <v>-</v>
      </c>
      <c r="G31455" t="str">
        <v>-</v>
      </c>
    </row>
    <row r="31456">
      <c r="B31456" t="str">
        <v>Công an xã Cò Nòi tỉnh Sơn La</v>
      </c>
      <c r="C31456" t="str">
        <v>-</v>
      </c>
      <c r="D31456" t="str">
        <v>-</v>
      </c>
      <c r="E31456" t="str">
        <v/>
      </c>
      <c r="F31456" t="str">
        <v>-</v>
      </c>
      <c r="G31456" t="str">
        <v>-</v>
      </c>
    </row>
    <row r="31457">
      <c r="B31457" t="str">
        <v>UBND Ủy ban nhân dân xã Cò Nòi tỉnh Sơn La</v>
      </c>
      <c r="C31457" t="str">
        <v>-</v>
      </c>
      <c r="D31457" t="str">
        <v>-</v>
      </c>
      <c r="E31457" t="str">
        <v>-</v>
      </c>
      <c r="F31457" t="str">
        <v>-</v>
      </c>
      <c r="G31457" t="str">
        <v>-</v>
      </c>
    </row>
    <row r="31458">
      <c r="B31458" t="str">
        <v>Công an xã Cô Ba tỉnh Cao Bằng</v>
      </c>
      <c r="C31458" t="str">
        <v>-</v>
      </c>
      <c r="D31458" t="str">
        <v>-</v>
      </c>
      <c r="E31458" t="str">
        <v/>
      </c>
      <c r="F31458" t="str">
        <v>-</v>
      </c>
      <c r="G31458" t="str">
        <v>-</v>
      </c>
    </row>
    <row r="31459">
      <c r="B31459" t="str">
        <v>UBND Ủy ban nhân dân xã Cô Ba tỉnh Cao Bằng</v>
      </c>
      <c r="C31459" t="str">
        <v>-</v>
      </c>
      <c r="D31459" t="str">
        <v>-</v>
      </c>
      <c r="E31459" t="str">
        <v>-</v>
      </c>
      <c r="F31459" t="str">
        <v>-</v>
      </c>
      <c r="G31459" t="str">
        <v>-</v>
      </c>
    </row>
    <row r="31460">
      <c r="B31460" t="str">
        <v>Công an xã Công Bằng tỉnh Bắc Kạn</v>
      </c>
      <c r="C31460" t="str">
        <v>-</v>
      </c>
      <c r="D31460" t="str">
        <v>-</v>
      </c>
      <c r="E31460" t="str">
        <v/>
      </c>
      <c r="F31460" t="str">
        <v>-</v>
      </c>
      <c r="G31460" t="str">
        <v>-</v>
      </c>
    </row>
    <row r="31461">
      <c r="B31461" t="str">
        <v>UBND Ủy ban nhân dân xã Công Bằng tỉnh Bắc Kạn</v>
      </c>
      <c r="C31461" t="str">
        <v>-</v>
      </c>
      <c r="D31461" t="str">
        <v>-</v>
      </c>
      <c r="E31461" t="str">
        <v>-</v>
      </c>
      <c r="F31461" t="str">
        <v>-</v>
      </c>
      <c r="G31461" t="str">
        <v>-</v>
      </c>
    </row>
    <row r="31462">
      <c r="B31462" t="str">
        <v>Công an xã Công Liêm tỉnh Thanh Hóa</v>
      </c>
      <c r="C31462" t="str">
        <v>-</v>
      </c>
      <c r="D31462" t="str">
        <v>-</v>
      </c>
      <c r="E31462" t="str">
        <v/>
      </c>
      <c r="F31462" t="str">
        <v>-</v>
      </c>
      <c r="G31462" t="str">
        <v>-</v>
      </c>
    </row>
    <row r="31463">
      <c r="B31463" t="str">
        <v>UBND Ủy ban nhân dân xã Công Liêm tỉnh Thanh Hóa</v>
      </c>
      <c r="C31463" t="str">
        <v>-</v>
      </c>
      <c r="D31463" t="str">
        <v>-</v>
      </c>
      <c r="E31463" t="str">
        <v>-</v>
      </c>
      <c r="F31463" t="str">
        <v>-</v>
      </c>
      <c r="G31463" t="str">
        <v>-</v>
      </c>
    </row>
    <row r="31464">
      <c r="B31464" t="str">
        <v>Công an xã Đại Thắng tỉnh Nam Định</v>
      </c>
      <c r="C31464" t="str">
        <v>-</v>
      </c>
      <c r="D31464" t="str">
        <v>-</v>
      </c>
      <c r="E31464" t="str">
        <v/>
      </c>
      <c r="F31464" t="str">
        <v>-</v>
      </c>
      <c r="G31464" t="str">
        <v>-</v>
      </c>
    </row>
    <row r="31465">
      <c r="B31465" t="str">
        <v>UBND Ủy ban nhân dân xã Đại Thắng tỉnh Nam Định</v>
      </c>
      <c r="C31465" t="str">
        <v>-</v>
      </c>
      <c r="D31465" t="str">
        <v>-</v>
      </c>
      <c r="E31465" t="str">
        <v>-</v>
      </c>
      <c r="F31465" t="str">
        <v>-</v>
      </c>
      <c r="G31465" t="str">
        <v>-</v>
      </c>
    </row>
    <row r="31466">
      <c r="B31466" t="str">
        <v>Công an xã Long Tân  tỉnh Bình Phước</v>
      </c>
      <c r="C31466" t="str">
        <v>-</v>
      </c>
      <c r="D31466" t="str">
        <v>-</v>
      </c>
      <c r="E31466" t="str">
        <v/>
      </c>
      <c r="F31466" t="str">
        <v>-</v>
      </c>
      <c r="G31466" t="str">
        <v>-</v>
      </c>
    </row>
    <row r="31467">
      <c r="B31467" t="str">
        <v>UBND Ủy ban nhân dân xã Long Tân  tỉnh Bình Phước</v>
      </c>
      <c r="C31467" t="str">
        <v>-</v>
      </c>
      <c r="D31467" t="str">
        <v>-</v>
      </c>
      <c r="E31467" t="str">
        <v>-</v>
      </c>
      <c r="F31467" t="str">
        <v>-</v>
      </c>
      <c r="G31467" t="str">
        <v>-</v>
      </c>
    </row>
    <row r="31468">
      <c r="B31468" t="str">
        <v>Công an xã Mỹ Thạnh  tỉnh Bến Tre</v>
      </c>
      <c r="C31468" t="str">
        <v>-</v>
      </c>
      <c r="D31468" t="str">
        <v>-</v>
      </c>
      <c r="E31468" t="str">
        <v/>
      </c>
      <c r="F31468" t="str">
        <v>-</v>
      </c>
      <c r="G31468" t="str">
        <v>-</v>
      </c>
    </row>
    <row r="31469">
      <c r="B31469" t="str">
        <v>UBND Ủy ban nhân dân xã Mỹ Thạnh  tỉnh Bến Tre</v>
      </c>
      <c r="C31469" t="str">
        <v>-</v>
      </c>
      <c r="D31469" t="str">
        <v>-</v>
      </c>
      <c r="E31469" t="str">
        <v>-</v>
      </c>
      <c r="F31469" t="str">
        <v>-</v>
      </c>
      <c r="G31469" t="str">
        <v>-</v>
      </c>
    </row>
    <row r="31470">
      <c r="B31470" t="str">
        <v>Công an xã Hiệp Cát tỉnh Hải Dương</v>
      </c>
      <c r="C31470" t="str">
        <v>-</v>
      </c>
      <c r="D31470" t="str">
        <v>-</v>
      </c>
      <c r="E31470" t="str">
        <v/>
      </c>
      <c r="F31470" t="str">
        <v>-</v>
      </c>
      <c r="G31470" t="str">
        <v>-</v>
      </c>
    </row>
    <row r="31471">
      <c r="B31471" t="str">
        <v>UBND Ủy ban nhân dân xã Hiệp Cát tỉnh Hải Dương</v>
      </c>
      <c r="C31471" t="str">
        <v>-</v>
      </c>
      <c r="D31471" t="str">
        <v>-</v>
      </c>
      <c r="E31471" t="str">
        <v>-</v>
      </c>
      <c r="F31471" t="str">
        <v>-</v>
      </c>
      <c r="G31471" t="str">
        <v>-</v>
      </c>
    </row>
    <row r="31472">
      <c r="B31472" t="str">
        <v>Công an tỉnh Nam Định  tỉnh Nam Định</v>
      </c>
      <c r="C31472" t="str">
        <v>-</v>
      </c>
      <c r="D31472" t="str">
        <v>-</v>
      </c>
      <c r="E31472" t="str">
        <v/>
      </c>
      <c r="F31472" t="str">
        <v>-</v>
      </c>
      <c r="G31472" t="str">
        <v>-</v>
      </c>
    </row>
    <row r="31473">
      <c r="B31473" t="str">
        <v>UBND Ủy ban nhân dân tỉnh Nam Định  tỉnh Nam Định</v>
      </c>
      <c r="C31473" t="str">
        <v>-</v>
      </c>
      <c r="D31473" t="str">
        <v>-</v>
      </c>
      <c r="E31473" t="str">
        <v>-</v>
      </c>
      <c r="F31473" t="str">
        <v>-</v>
      </c>
      <c r="G31473" t="str">
        <v>-</v>
      </c>
    </row>
    <row r="31474">
      <c r="B31474" t="str">
        <v>Công an xã Quang Kim  tỉnh Lào Cai</v>
      </c>
      <c r="C31474" t="str">
        <v>-</v>
      </c>
      <c r="D31474" t="str">
        <v>-</v>
      </c>
      <c r="E31474" t="str">
        <v/>
      </c>
      <c r="F31474" t="str">
        <v>-</v>
      </c>
      <c r="G31474" t="str">
        <v>-</v>
      </c>
    </row>
    <row r="31475">
      <c r="B31475" t="str">
        <v>UBND Ủy ban nhân dân xã Quang Kim  tỉnh Lào Cai</v>
      </c>
      <c r="C31475" t="str">
        <v>-</v>
      </c>
      <c r="D31475" t="str">
        <v>-</v>
      </c>
      <c r="E31475" t="str">
        <v>-</v>
      </c>
      <c r="F31475" t="str">
        <v>-</v>
      </c>
      <c r="G31475" t="str">
        <v>-</v>
      </c>
    </row>
    <row r="31476">
      <c r="B31476" t="str">
        <v>Công an xã Chí Tân tỉnh Hưng Yên</v>
      </c>
      <c r="C31476" t="str">
        <v>-</v>
      </c>
      <c r="D31476" t="str">
        <v>-</v>
      </c>
      <c r="E31476" t="str">
        <v/>
      </c>
      <c r="F31476" t="str">
        <v>-</v>
      </c>
      <c r="G31476" t="str">
        <v>-</v>
      </c>
    </row>
    <row r="31477">
      <c r="B31477" t="str">
        <v>UBND Ủy ban nhân dân xã Chí Tân tỉnh Hưng Yên</v>
      </c>
      <c r="C31477" t="str">
        <v>-</v>
      </c>
      <c r="D31477" t="str">
        <v>-</v>
      </c>
      <c r="E31477" t="str">
        <v>-</v>
      </c>
      <c r="F31477" t="str">
        <v>-</v>
      </c>
      <c r="G31477" t="str">
        <v>-</v>
      </c>
    </row>
    <row r="31478">
      <c r="B31478" t="str">
        <v>Công an xã Ngọc Quan  tỉnh Phú Thọ</v>
      </c>
      <c r="C31478" t="str">
        <v>-</v>
      </c>
      <c r="D31478" t="str">
        <v>-</v>
      </c>
      <c r="E31478" t="str">
        <v/>
      </c>
      <c r="F31478" t="str">
        <v>-</v>
      </c>
      <c r="G31478" t="str">
        <v>-</v>
      </c>
    </row>
    <row r="31479">
      <c r="B31479" t="str">
        <v>UBND Ủy ban nhân dân xã Ngọc Quan  tỉnh Phú Thọ</v>
      </c>
      <c r="C31479" t="str">
        <v>-</v>
      </c>
      <c r="D31479" t="str">
        <v>-</v>
      </c>
      <c r="E31479" t="str">
        <v>-</v>
      </c>
      <c r="F31479" t="str">
        <v>-</v>
      </c>
      <c r="G31479" t="str">
        <v>-</v>
      </c>
    </row>
    <row r="31480">
      <c r="B31480" t="str">
        <v>Công an huyện Đại Từ tỉnh Thái Nguyên</v>
      </c>
      <c r="C31480" t="str">
        <v>-</v>
      </c>
      <c r="D31480" t="str">
        <v>-</v>
      </c>
      <c r="E31480" t="str">
        <v/>
      </c>
      <c r="F31480" t="str">
        <v>-</v>
      </c>
      <c r="G31480" t="str">
        <v>-</v>
      </c>
    </row>
    <row r="31481">
      <c r="B31481" t="str">
        <v>UBND Ủy ban nhân dân huyện Đại Từ tỉnh Thái Nguyên</v>
      </c>
      <c r="C31481" t="str">
        <v>-</v>
      </c>
      <c r="D31481" t="str">
        <v>-</v>
      </c>
      <c r="E31481" t="str">
        <v>-</v>
      </c>
      <c r="F31481" t="str">
        <v>-</v>
      </c>
      <c r="G31481" t="str">
        <v>-</v>
      </c>
    </row>
    <row r="31482">
      <c r="B31482" t="str">
        <v>Công an xã An Hoà Tây tỉnh Bến Tre</v>
      </c>
      <c r="C31482" t="str">
        <v>-</v>
      </c>
      <c r="D31482" t="str">
        <v>-</v>
      </c>
      <c r="E31482" t="str">
        <v/>
      </c>
      <c r="F31482" t="str">
        <v>-</v>
      </c>
      <c r="G31482" t="str">
        <v>-</v>
      </c>
    </row>
    <row r="31483">
      <c r="B31483" t="str">
        <v>UBND Ủy ban nhân dân xã An Hoà Tây tỉnh Bến Tre</v>
      </c>
      <c r="C31483" t="str">
        <v>-</v>
      </c>
      <c r="D31483" t="str">
        <v>-</v>
      </c>
      <c r="E31483" t="str">
        <v>-</v>
      </c>
      <c r="F31483" t="str">
        <v>-</v>
      </c>
      <c r="G31483" t="str">
        <v>-</v>
      </c>
    </row>
    <row r="31484">
      <c r="B31484" t="str">
        <v>Công an xã Thủy Xuân Tiên thành phố Hà Nội</v>
      </c>
      <c r="C31484" t="str">
        <v>-</v>
      </c>
      <c r="D31484" t="str">
        <v>-</v>
      </c>
      <c r="E31484" t="str">
        <v/>
      </c>
      <c r="F31484" t="str">
        <v>-</v>
      </c>
      <c r="G31484" t="str">
        <v>-</v>
      </c>
    </row>
    <row r="31485">
      <c r="B31485" t="str">
        <v>UBND Ủy ban nhân dân xã Thủy Xuân Tiên thành phố Hà Nội</v>
      </c>
      <c r="C31485" t="str">
        <v>-</v>
      </c>
      <c r="D31485" t="str">
        <v>-</v>
      </c>
      <c r="E31485" t="str">
        <v>-</v>
      </c>
      <c r="F31485" t="str">
        <v>-</v>
      </c>
      <c r="G31485" t="str">
        <v>-</v>
      </c>
    </row>
    <row r="31486">
      <c r="B31486" t="str">
        <v>Công an xã Quảng Tiên tỉnh Quảng Bình</v>
      </c>
      <c r="C31486" t="str">
        <v>-</v>
      </c>
      <c r="D31486" t="str">
        <v>-</v>
      </c>
      <c r="E31486" t="str">
        <v/>
      </c>
      <c r="F31486" t="str">
        <v>-</v>
      </c>
      <c r="G31486" t="str">
        <v>-</v>
      </c>
    </row>
    <row r="31487">
      <c r="B31487" t="str">
        <v>UBND Ủy ban nhân dân xã Quảng Tiên tỉnh Quảng Bình</v>
      </c>
      <c r="C31487" t="str">
        <v>-</v>
      </c>
      <c r="D31487" t="str">
        <v>-</v>
      </c>
      <c r="E31487" t="str">
        <v>-</v>
      </c>
      <c r="F31487" t="str">
        <v>-</v>
      </c>
      <c r="G31487" t="str">
        <v>-</v>
      </c>
    </row>
    <row r="31488">
      <c r="B31488" t="str">
        <v>Công an xã Thuỵ Hương  thành phố Hải Phòng</v>
      </c>
      <c r="C31488" t="str">
        <v>-</v>
      </c>
      <c r="D31488" t="str">
        <v>-</v>
      </c>
      <c r="E31488" t="str">
        <v/>
      </c>
      <c r="F31488" t="str">
        <v>-</v>
      </c>
      <c r="G31488" t="str">
        <v>-</v>
      </c>
    </row>
    <row r="31489">
      <c r="B31489" t="str">
        <v>UBND Ủy ban nhân dân xã Thuỵ Hương  thành phố Hải Phòng</v>
      </c>
      <c r="C31489" t="str">
        <v>-</v>
      </c>
      <c r="D31489" t="str">
        <v>-</v>
      </c>
      <c r="E31489" t="str">
        <v>-</v>
      </c>
      <c r="F31489" t="str">
        <v>-</v>
      </c>
      <c r="G31489" t="str">
        <v>-</v>
      </c>
    </row>
    <row r="31490">
      <c r="B31490" t="str">
        <v>Công an xã Phước Tân  tỉnh Bình Phước</v>
      </c>
      <c r="C31490" t="str">
        <v>-</v>
      </c>
      <c r="D31490" t="str">
        <v>-</v>
      </c>
      <c r="E31490" t="str">
        <v/>
      </c>
      <c r="F31490" t="str">
        <v>-</v>
      </c>
      <c r="G31490" t="str">
        <v>-</v>
      </c>
    </row>
    <row r="31491">
      <c r="B31491" t="str">
        <v>UBND Ủy ban nhân dân xã Phước Tân  tỉnh Bình Phước</v>
      </c>
      <c r="C31491" t="str">
        <v>-</v>
      </c>
      <c r="D31491" t="str">
        <v>-</v>
      </c>
      <c r="E31491" t="str">
        <v>-</v>
      </c>
      <c r="F31491" t="str">
        <v>-</v>
      </c>
      <c r="G31491" t="str">
        <v>-</v>
      </c>
    </row>
    <row r="31492">
      <c r="B31492" t="str">
        <v>Công an xã Vũ Lễ tỉnh Lạng Sơn</v>
      </c>
      <c r="C31492" t="str">
        <v>-</v>
      </c>
      <c r="D31492" t="str">
        <v>-</v>
      </c>
      <c r="E31492" t="str">
        <v/>
      </c>
      <c r="F31492" t="str">
        <v>-</v>
      </c>
      <c r="G31492" t="str">
        <v>-</v>
      </c>
    </row>
    <row r="31493">
      <c r="B31493" t="str">
        <v>UBND Ủy ban nhân dân xã Vũ Lễ tỉnh Lạng Sơn</v>
      </c>
      <c r="C31493" t="str">
        <v>-</v>
      </c>
      <c r="D31493" t="str">
        <v>-</v>
      </c>
      <c r="E31493" t="str">
        <v>-</v>
      </c>
      <c r="F31493" t="str">
        <v>-</v>
      </c>
      <c r="G31493" t="str">
        <v>-</v>
      </c>
    </row>
    <row r="31494">
      <c r="B31494" t="str">
        <v>Công an xã Sơn Trung tỉnh Hà Tĩnh</v>
      </c>
      <c r="C31494" t="str">
        <v>-</v>
      </c>
      <c r="D31494" t="str">
        <v>-</v>
      </c>
      <c r="E31494" t="str">
        <v/>
      </c>
      <c r="F31494" t="str">
        <v>-</v>
      </c>
      <c r="G31494" t="str">
        <v>-</v>
      </c>
    </row>
    <row r="31495">
      <c r="B31495" t="str">
        <v>UBND Ủy ban nhân dân xã Sơn Trung tỉnh Hà Tĩnh</v>
      </c>
      <c r="C31495" t="str">
        <v>-</v>
      </c>
      <c r="D31495" t="str">
        <v>-</v>
      </c>
      <c r="E31495" t="str">
        <v>-</v>
      </c>
      <c r="F31495" t="str">
        <v>-</v>
      </c>
      <c r="G31495" t="str">
        <v>-</v>
      </c>
    </row>
    <row r="31496">
      <c r="B31496" t="str">
        <v>Công an huyện Tri Tôn tỉnh An Giang</v>
      </c>
      <c r="C31496" t="str">
        <v>-</v>
      </c>
      <c r="D31496" t="str">
        <v>-</v>
      </c>
      <c r="E31496" t="str">
        <v/>
      </c>
      <c r="F31496" t="str">
        <v>-</v>
      </c>
      <c r="G31496" t="str">
        <v>-</v>
      </c>
    </row>
    <row r="31497">
      <c r="B31497" t="str">
        <v>UBND Ủy ban nhân dân huyện Tri Tôn tỉnh An Giang</v>
      </c>
      <c r="C31497" t="str">
        <v>-</v>
      </c>
      <c r="D31497" t="str">
        <v>-</v>
      </c>
      <c r="E31497" t="str">
        <v>-</v>
      </c>
      <c r="F31497" t="str">
        <v>-</v>
      </c>
      <c r="G31497" t="str">
        <v>-</v>
      </c>
    </row>
    <row r="31498">
      <c r="B31498" t="str">
        <v>Công an tỉnh Nghệ An tỉnh Nghệ An</v>
      </c>
      <c r="C31498" t="str">
        <v>-</v>
      </c>
      <c r="D31498" t="str">
        <v>-</v>
      </c>
      <c r="E31498" t="str">
        <v/>
      </c>
      <c r="F31498" t="str">
        <v>-</v>
      </c>
      <c r="G31498" t="str">
        <v>-</v>
      </c>
    </row>
    <row r="31499">
      <c r="B31499" t="str">
        <v>UBND Ủy ban nhân dân tỉnh Nghệ An tỉnh Nghệ An</v>
      </c>
      <c r="C31499" t="str">
        <v>-</v>
      </c>
      <c r="D31499" t="str">
        <v>-</v>
      </c>
      <c r="E31499" t="str">
        <v>-</v>
      </c>
      <c r="F31499" t="str">
        <v>-</v>
      </c>
      <c r="G31499" t="str">
        <v>-</v>
      </c>
    </row>
    <row r="31500">
      <c r="B31500" t="str">
        <v>Công an tỉnh Bình Thuận tỉnh Bình Thuận</v>
      </c>
      <c r="C31500" t="str">
        <v>-</v>
      </c>
      <c r="D31500" t="str">
        <v>-</v>
      </c>
      <c r="E31500" t="str">
        <v/>
      </c>
      <c r="F31500" t="str">
        <v>-</v>
      </c>
      <c r="G31500" t="str">
        <v>-</v>
      </c>
    </row>
    <row r="31501">
      <c r="B31501" t="str">
        <v>UBND Ủy ban nhân dân tỉnh Bình Thuận tỉnh Bình Thuận</v>
      </c>
      <c r="C31501" t="str">
        <v>-</v>
      </c>
      <c r="D31501" t="str">
        <v>-</v>
      </c>
      <c r="E31501" t="str">
        <v>-</v>
      </c>
      <c r="F31501" t="str">
        <v>-</v>
      </c>
      <c r="G31501" t="str">
        <v>-</v>
      </c>
    </row>
    <row r="31502">
      <c r="B31502" t="str">
        <v>Công an tỉnh Hà Tĩnh  tỉnh Hà Tĩnh</v>
      </c>
      <c r="C31502" t="str">
        <v>-</v>
      </c>
      <c r="D31502" t="str">
        <v>-</v>
      </c>
      <c r="E31502" t="str">
        <v/>
      </c>
      <c r="F31502" t="str">
        <v>-</v>
      </c>
      <c r="G31502" t="str">
        <v>-</v>
      </c>
    </row>
    <row r="31503">
      <c r="B31503" t="str">
        <v>UBND Ủy ban nhân dân tỉnh Hà Tĩnh  tỉnh Hà Tĩnh</v>
      </c>
      <c r="C31503" t="str">
        <v>-</v>
      </c>
      <c r="D31503" t="str">
        <v>-</v>
      </c>
      <c r="E31503" t="str">
        <v>-</v>
      </c>
      <c r="F31503" t="str">
        <v>-</v>
      </c>
      <c r="G31503" t="str">
        <v>-</v>
      </c>
    </row>
    <row r="31504">
      <c r="B31504" t="str">
        <v>Trại tạm giam Tây Ninh  tỉnh TÂY NINH</v>
      </c>
    </row>
    <row r="31505">
      <c r="B31505" t="str">
        <v>UBND Ủy ban nhân dânm giam Tây Ninh  tỉnh TÂY NINH</v>
      </c>
      <c r="C31505" t="str">
        <v>-</v>
      </c>
      <c r="D31505" t="str">
        <v>-</v>
      </c>
      <c r="E31505" t="str">
        <v>-</v>
      </c>
      <c r="F31505" t="str">
        <v>-</v>
      </c>
      <c r="G31505" t="str">
        <v>-</v>
      </c>
    </row>
    <row r="31506">
      <c r="B31506" t="str">
        <v>Công an xã Châu Bình  tỉnh Bến Tre</v>
      </c>
      <c r="C31506" t="str">
        <v>-</v>
      </c>
      <c r="D31506" t="str">
        <v>-</v>
      </c>
      <c r="E31506" t="str">
        <v/>
      </c>
      <c r="F31506" t="str">
        <v>-</v>
      </c>
      <c r="G31506" t="str">
        <v>-</v>
      </c>
    </row>
    <row r="31507">
      <c r="B31507" t="str">
        <v>UBND Ủy ban nhân dân xã Châu Bình  tỉnh Bến Tre</v>
      </c>
      <c r="C31507" t="str">
        <v>-</v>
      </c>
      <c r="D31507" t="str">
        <v>-</v>
      </c>
      <c r="E31507" t="str">
        <v>-</v>
      </c>
      <c r="F31507" t="str">
        <v>-</v>
      </c>
      <c r="G31507" t="str">
        <v>-</v>
      </c>
    </row>
    <row r="31508">
      <c r="B31508" t="str">
        <v>Công an xã Mường So  tỉnh Lai Châu</v>
      </c>
      <c r="C31508" t="str">
        <v>-</v>
      </c>
      <c r="D31508" t="str">
        <v>-</v>
      </c>
      <c r="E31508" t="str">
        <v/>
      </c>
      <c r="F31508" t="str">
        <v>-</v>
      </c>
      <c r="G31508" t="str">
        <v>-</v>
      </c>
    </row>
    <row r="31509">
      <c r="B31509" t="str">
        <v>UBND Ủy ban nhân dân xã Mường So  tỉnh Lai Châu</v>
      </c>
      <c r="C31509" t="str">
        <v>-</v>
      </c>
      <c r="D31509" t="str">
        <v>-</v>
      </c>
      <c r="E31509" t="str">
        <v>-</v>
      </c>
      <c r="F31509" t="str">
        <v>-</v>
      </c>
      <c r="G31509" t="str">
        <v>-</v>
      </c>
    </row>
    <row r="31510">
      <c r="B31510" t="str">
        <v xml:space="preserve"> Công an huyện Giồng Trôm  tỉnh Bến Tre</v>
      </c>
    </row>
    <row r="31511">
      <c r="B31511" t="str">
        <v>UBND Ủy ban nhân dânn huyện Giồng Trôm  tỉnh Bến Tre</v>
      </c>
      <c r="C31511" t="str">
        <v>-</v>
      </c>
      <c r="D31511" t="str">
        <v>-</v>
      </c>
      <c r="E31511" t="str">
        <v>-</v>
      </c>
      <c r="F31511" t="str">
        <v>-</v>
      </c>
      <c r="G31511" t="str">
        <v>-</v>
      </c>
    </row>
    <row r="31512">
      <c r="B31512" t="str">
        <v>Công an xã Chiềng Sàng  tỉnh Sơn La</v>
      </c>
      <c r="C31512" t="str">
        <v>-</v>
      </c>
      <c r="D31512" t="str">
        <v>-</v>
      </c>
      <c r="E31512" t="str">
        <v/>
      </c>
      <c r="F31512" t="str">
        <v>-</v>
      </c>
      <c r="G31512" t="str">
        <v>-</v>
      </c>
    </row>
    <row r="31513">
      <c r="B31513" t="str">
        <v>UBND Ủy ban nhân dân xã Chiềng Sàng  tỉnh Sơn La</v>
      </c>
      <c r="C31513" t="str">
        <v>-</v>
      </c>
      <c r="D31513" t="str">
        <v>-</v>
      </c>
      <c r="E31513" t="str">
        <v>-</v>
      </c>
      <c r="F31513" t="str">
        <v>-</v>
      </c>
      <c r="G31513" t="str">
        <v>-</v>
      </c>
    </row>
    <row r="31514">
      <c r="B31514" t="str">
        <v>Công an xã Phước Tân  tỉnh Phú Yên</v>
      </c>
      <c r="C31514" t="str">
        <v>-</v>
      </c>
      <c r="D31514" t="str">
        <v>-</v>
      </c>
      <c r="E31514" t="str">
        <v/>
      </c>
      <c r="F31514" t="str">
        <v>-</v>
      </c>
      <c r="G31514" t="str">
        <v>-</v>
      </c>
    </row>
    <row r="31515">
      <c r="B31515" t="str">
        <v>UBND Ủy ban nhân dân xã Phước Tân  tỉnh Phú Yên</v>
      </c>
      <c r="C31515" t="str">
        <v>-</v>
      </c>
      <c r="D31515" t="str">
        <v>-</v>
      </c>
      <c r="E31515" t="str">
        <v>-</v>
      </c>
      <c r="F31515" t="str">
        <v>-</v>
      </c>
      <c r="G31515" t="str">
        <v>-</v>
      </c>
    </row>
    <row r="31516">
      <c r="B31516" t="str">
        <v>Công an xã Vũ Lễ tỉnh Lạng Sơn</v>
      </c>
      <c r="C31516" t="str">
        <v>-</v>
      </c>
      <c r="D31516" t="str">
        <v>-</v>
      </c>
      <c r="E31516" t="str">
        <v/>
      </c>
      <c r="F31516" t="str">
        <v>-</v>
      </c>
      <c r="G31516" t="str">
        <v>-</v>
      </c>
    </row>
    <row r="31517">
      <c r="B31517" t="str">
        <v>UBND Ủy ban nhân dân xã Vũ Lễ tỉnh Lạng Sơn</v>
      </c>
      <c r="C31517" t="str">
        <v>-</v>
      </c>
      <c r="D31517" t="str">
        <v>-</v>
      </c>
      <c r="E31517" t="str">
        <v>-</v>
      </c>
      <c r="F31517" t="str">
        <v>-</v>
      </c>
      <c r="G31517" t="str">
        <v>-</v>
      </c>
    </row>
    <row r="31518" xml:space="preserve">
      <c r="B31518" t="str" xml:space="preserve">
        <v xml:space="preserve">Công an xã Sơn Trung _x000d_
 tỉnh Hà Tĩnh</v>
      </c>
      <c r="C31518" t="str">
        <v>-</v>
      </c>
      <c r="D31518" t="str">
        <v>-</v>
      </c>
      <c r="E31518" t="str">
        <v/>
      </c>
      <c r="F31518" t="str">
        <v>-</v>
      </c>
      <c r="G31518" t="str">
        <v>-</v>
      </c>
    </row>
    <row r="31519" xml:space="preserve">
      <c r="B31519" t="str" xml:space="preserve">
        <v xml:space="preserve">UBND Ủy ban nhân dân xã Sơn Trung _x000d_
 tỉnh Hà Tĩnh</v>
      </c>
      <c r="C31519" t="str">
        <v>-</v>
      </c>
      <c r="D31519" t="str">
        <v>-</v>
      </c>
      <c r="E31519" t="str">
        <v>-</v>
      </c>
      <c r="F31519" t="str">
        <v>-</v>
      </c>
      <c r="G31519" t="str">
        <v>-</v>
      </c>
    </row>
    <row r="31520">
      <c r="B31520" t="str">
        <v>Công an huyện Tri Tôn tỉnh An Giang</v>
      </c>
      <c r="C31520" t="str">
        <v>-</v>
      </c>
      <c r="D31520" t="str">
        <v>-</v>
      </c>
      <c r="E31520" t="str">
        <v/>
      </c>
      <c r="F31520" t="str">
        <v>-</v>
      </c>
      <c r="G31520" t="str">
        <v>-</v>
      </c>
    </row>
    <row r="31521">
      <c r="B31521" t="str">
        <v>UBND Ủy ban nhân dân huyện Tri Tôn tỉnh An Giang</v>
      </c>
      <c r="C31521" t="str">
        <v>-</v>
      </c>
      <c r="D31521" t="str">
        <v>-</v>
      </c>
      <c r="E31521" t="str">
        <v>-</v>
      </c>
      <c r="F31521" t="str">
        <v>-</v>
      </c>
      <c r="G31521" t="str">
        <v>-</v>
      </c>
    </row>
    <row r="31522">
      <c r="B31522" t="str">
        <v>Công an xã Đại An  tỉnh Phú Thọ</v>
      </c>
      <c r="C31522" t="str">
        <v>-</v>
      </c>
      <c r="D31522" t="str">
        <v>-</v>
      </c>
      <c r="E31522" t="str">
        <v/>
      </c>
      <c r="F31522" t="str">
        <v>-</v>
      </c>
      <c r="G31522" t="str">
        <v>-</v>
      </c>
    </row>
    <row r="31523">
      <c r="B31523" t="str">
        <v>UBND Ủy ban nhân dân xã Đại An  tỉnh Phú Thọ</v>
      </c>
      <c r="C31523" t="str">
        <v>-</v>
      </c>
      <c r="D31523" t="str">
        <v>-</v>
      </c>
      <c r="E31523" t="str">
        <v>-</v>
      </c>
      <c r="F31523" t="str">
        <v>-</v>
      </c>
      <c r="G31523" t="str">
        <v>-</v>
      </c>
    </row>
    <row r="31524">
      <c r="B31524" t="str">
        <v>Công an tỉnh Cao Bằng tỉnh Cao Bằng</v>
      </c>
      <c r="C31524" t="str">
        <v>-</v>
      </c>
      <c r="D31524" t="str">
        <v>-</v>
      </c>
      <c r="E31524" t="str">
        <v/>
      </c>
      <c r="F31524" t="str">
        <v>-</v>
      </c>
      <c r="G31524" t="str">
        <v>-</v>
      </c>
    </row>
    <row r="31525">
      <c r="B31525" t="str">
        <v>UBND Ủy ban nhân dân tỉnh Cao Bằng tỉnh Cao Bằng</v>
      </c>
      <c r="C31525" t="str">
        <v>-</v>
      </c>
      <c r="D31525" t="str">
        <v>-</v>
      </c>
      <c r="E31525" t="str">
        <v>-</v>
      </c>
      <c r="F31525" t="str">
        <v>-</v>
      </c>
      <c r="G31525" t="str">
        <v>-</v>
      </c>
    </row>
    <row r="31526">
      <c r="B31526" t="str">
        <v>Công an tỉnh Nghệ An tỉnh Nghệ An</v>
      </c>
      <c r="C31526" t="str">
        <v>-</v>
      </c>
      <c r="D31526" t="str">
        <v>-</v>
      </c>
      <c r="E31526" t="str">
        <v/>
      </c>
      <c r="F31526" t="str">
        <v>-</v>
      </c>
      <c r="G31526" t="str">
        <v>-</v>
      </c>
    </row>
    <row r="31527">
      <c r="B31527" t="str">
        <v>UBND Ủy ban nhân dân tỉnh Nghệ An tỉnh Nghệ An</v>
      </c>
      <c r="C31527" t="str">
        <v>-</v>
      </c>
      <c r="D31527" t="str">
        <v>-</v>
      </c>
      <c r="E31527" t="str">
        <v>-</v>
      </c>
      <c r="F31527" t="str">
        <v>-</v>
      </c>
      <c r="G31527" t="str">
        <v>-</v>
      </c>
    </row>
    <row r="31528">
      <c r="B31528" t="str">
        <v>Công an thành phố Hà Nội thành phố Hà Nội</v>
      </c>
      <c r="C31528" t="str">
        <v>-</v>
      </c>
      <c r="D31528" t="str">
        <v>-</v>
      </c>
      <c r="E31528" t="str">
        <v/>
      </c>
      <c r="F31528" t="str">
        <v>-</v>
      </c>
      <c r="G31528" t="str">
        <v>-</v>
      </c>
    </row>
    <row r="31529">
      <c r="B31529" t="str">
        <v>UBND Ủy ban nhân dân thành phố Hà Nội thành phố Hà Nội</v>
      </c>
      <c r="C31529" t="str">
        <v>-</v>
      </c>
      <c r="D31529" t="str">
        <v>-</v>
      </c>
      <c r="E31529" t="str">
        <v>-</v>
      </c>
      <c r="F31529" t="str">
        <v>-</v>
      </c>
      <c r="G31529" t="str">
        <v>-</v>
      </c>
    </row>
    <row r="31530">
      <c r="B31530" t="str">
        <v>Công an thành phố Tuyên Quang tỉnh Tuyên Quang</v>
      </c>
      <c r="C31530" t="str">
        <v>-</v>
      </c>
      <c r="D31530" t="str">
        <v>-</v>
      </c>
      <c r="E31530" t="str">
        <v/>
      </c>
      <c r="F31530" t="str">
        <v>-</v>
      </c>
      <c r="G31530" t="str">
        <v>-</v>
      </c>
    </row>
    <row r="31531">
      <c r="B31531" t="str">
        <v>UBND Ủy ban nhân dân thành phố Tuyên Quang tỉnh Tuyên Quang</v>
      </c>
      <c r="C31531" t="str">
        <v>-</v>
      </c>
      <c r="D31531" t="str">
        <v>-</v>
      </c>
      <c r="E31531" t="str">
        <v>-</v>
      </c>
      <c r="F31531" t="str">
        <v>-</v>
      </c>
      <c r="G31531" t="str">
        <v>-</v>
      </c>
    </row>
    <row r="31532">
      <c r="B31532" t="str">
        <v>Công an xã Đức Bình Đông tỉnh Phú Yên</v>
      </c>
      <c r="C31532" t="str">
        <v>-</v>
      </c>
      <c r="D31532" t="str">
        <v>-</v>
      </c>
      <c r="E31532" t="str">
        <v/>
      </c>
      <c r="F31532" t="str">
        <v>-</v>
      </c>
      <c r="G31532" t="str">
        <v>-</v>
      </c>
    </row>
    <row r="31533">
      <c r="B31533" t="str">
        <v>UBND Ủy ban nhân dân xã Đức Bình Đông tỉnh Phú Yên</v>
      </c>
      <c r="C31533" t="str">
        <v>-</v>
      </c>
      <c r="D31533" t="str">
        <v>-</v>
      </c>
      <c r="E31533" t="str">
        <v>-</v>
      </c>
      <c r="F31533" t="str">
        <v>-</v>
      </c>
      <c r="G31533" t="str">
        <v>-</v>
      </c>
    </row>
    <row r="31534">
      <c r="B31534" t="str">
        <v>Công an huyện Bình Giang tỉnh Hải Dương</v>
      </c>
      <c r="C31534" t="str">
        <v>-</v>
      </c>
      <c r="D31534" t="str">
        <v>-</v>
      </c>
      <c r="E31534" t="str">
        <v/>
      </c>
      <c r="F31534" t="str">
        <v>-</v>
      </c>
      <c r="G31534" t="str">
        <v>-</v>
      </c>
    </row>
    <row r="31535">
      <c r="B31535" t="str">
        <v>UBND Ủy ban nhân dân huyện Bình Giang tỉnh Hải Dương</v>
      </c>
      <c r="C31535" t="str">
        <v>-</v>
      </c>
      <c r="D31535" t="str">
        <v>-</v>
      </c>
      <c r="E31535" t="str">
        <v>-</v>
      </c>
      <c r="F31535" t="str">
        <v>-</v>
      </c>
      <c r="G31535" t="str">
        <v>-</v>
      </c>
    </row>
    <row r="31536">
      <c r="B31536" t="str">
        <v>Công an xã Trường Xuân thành phố Cần Thơ</v>
      </c>
      <c r="C31536" t="str">
        <v>-</v>
      </c>
      <c r="D31536" t="str">
        <v>-</v>
      </c>
      <c r="E31536" t="str">
        <v/>
      </c>
      <c r="F31536" t="str">
        <v>-</v>
      </c>
      <c r="G31536" t="str">
        <v>-</v>
      </c>
    </row>
    <row r="31537">
      <c r="B31537" t="str">
        <v>UBND Ủy ban nhân dân xã Trường Xuân thành phố Cần Thơ</v>
      </c>
      <c r="C31537" t="str">
        <v>-</v>
      </c>
      <c r="D31537" t="str">
        <v>-</v>
      </c>
      <c r="E31537" t="str">
        <v>-</v>
      </c>
      <c r="F31537" t="str">
        <v>-</v>
      </c>
      <c r="G31537" t="str">
        <v>-</v>
      </c>
    </row>
    <row r="31538">
      <c r="B31538" t="str">
        <v>Công an xã Bắc Lương tỉnh Thanh Hóa</v>
      </c>
      <c r="C31538" t="str">
        <v>-</v>
      </c>
      <c r="D31538" t="str">
        <v>-</v>
      </c>
      <c r="E31538" t="str">
        <v/>
      </c>
      <c r="F31538" t="str">
        <v>-</v>
      </c>
      <c r="G31538" t="str">
        <v>-</v>
      </c>
    </row>
    <row r="31539">
      <c r="B31539" t="str">
        <v>UBND Ủy ban nhân dân xã Bắc Lương tỉnh Thanh Hóa</v>
      </c>
      <c r="C31539" t="str">
        <v>-</v>
      </c>
      <c r="D31539" t="str">
        <v>-</v>
      </c>
      <c r="E31539" t="str">
        <v>-</v>
      </c>
      <c r="F31539" t="str">
        <v>-</v>
      </c>
      <c r="G31539" t="str">
        <v>-</v>
      </c>
    </row>
    <row r="31540">
      <c r="B31540" t="str">
        <v>Công an xã Hưng Khánh Trung A  tỉnh Bến Tre</v>
      </c>
      <c r="C31540" t="str">
        <v>-</v>
      </c>
      <c r="D31540" t="str">
        <v>-</v>
      </c>
      <c r="E31540" t="str">
        <v/>
      </c>
      <c r="F31540" t="str">
        <v>-</v>
      </c>
      <c r="G31540" t="str">
        <v>-</v>
      </c>
    </row>
    <row r="31541">
      <c r="B31541" t="str">
        <v>UBND Ủy ban nhân dân xã Hưng Khánh Trung A  tỉnh Bến Tre</v>
      </c>
      <c r="C31541" t="str">
        <v>-</v>
      </c>
      <c r="D31541" t="str">
        <v>-</v>
      </c>
      <c r="E31541" t="str">
        <v>-</v>
      </c>
      <c r="F31541" t="str">
        <v>-</v>
      </c>
      <c r="G31541" t="str">
        <v>-</v>
      </c>
    </row>
    <row r="31542">
      <c r="B31542" t="str">
        <v>Công an phường Quảng Hưng tỉnh Thanh Hóa</v>
      </c>
      <c r="C31542" t="str">
        <v>-</v>
      </c>
      <c r="D31542" t="str">
        <v>-</v>
      </c>
      <c r="E31542" t="str">
        <v/>
      </c>
      <c r="F31542" t="str">
        <v>-</v>
      </c>
      <c r="G31542" t="str">
        <v>-</v>
      </c>
    </row>
    <row r="31543">
      <c r="B31543" t="str">
        <v>UBND Ủy ban nhân dân phường Quảng Hưng tỉnh Thanh Hóa</v>
      </c>
      <c r="C31543" t="str">
        <v>-</v>
      </c>
      <c r="D31543" t="str">
        <v>-</v>
      </c>
      <c r="E31543" t="str">
        <v>-</v>
      </c>
      <c r="F31543" t="str">
        <v>-</v>
      </c>
      <c r="G31543" t="str">
        <v>-</v>
      </c>
    </row>
    <row r="31544">
      <c r="B31544" t="str">
        <v>Công an phường Quảng Thành tỉnh Thanh Hóa</v>
      </c>
      <c r="C31544" t="str">
        <v>-</v>
      </c>
      <c r="D31544" t="str">
        <v>-</v>
      </c>
      <c r="E31544" t="str">
        <v/>
      </c>
      <c r="F31544" t="str">
        <v>-</v>
      </c>
      <c r="G31544" t="str">
        <v>-</v>
      </c>
    </row>
    <row r="31545">
      <c r="B31545" t="str">
        <v>UBND Ủy ban nhân dân phường Quảng Thành tỉnh Thanh Hóa</v>
      </c>
      <c r="C31545" t="str">
        <v>-</v>
      </c>
      <c r="D31545" t="str">
        <v>-</v>
      </c>
      <c r="E31545" t="str">
        <v>-</v>
      </c>
      <c r="F31545" t="str">
        <v>-</v>
      </c>
      <c r="G31545" t="str">
        <v>-</v>
      </c>
    </row>
    <row r="31546">
      <c r="B31546" t="str">
        <v>Công an phường Quảng Thịnh tỉnh Thanh Hóa</v>
      </c>
      <c r="C31546" t="str">
        <v>-</v>
      </c>
      <c r="D31546" t="str">
        <v>-</v>
      </c>
      <c r="E31546" t="str">
        <v/>
      </c>
      <c r="F31546" t="str">
        <v>-</v>
      </c>
      <c r="G31546" t="str">
        <v>-</v>
      </c>
    </row>
    <row r="31547">
      <c r="B31547" t="str">
        <v>UBND Ủy ban nhân dân phường Quảng Thịnh tỉnh Thanh Hóa</v>
      </c>
      <c r="C31547" t="str">
        <v>-</v>
      </c>
      <c r="D31547" t="str">
        <v>-</v>
      </c>
      <c r="E31547" t="str">
        <v>-</v>
      </c>
      <c r="F31547" t="str">
        <v>-</v>
      </c>
      <c r="G31547" t="str">
        <v>-</v>
      </c>
    </row>
    <row r="31548">
      <c r="B31548" t="str">
        <v>Công an phường Quảng Vinh tỉnh Thanh Hóa</v>
      </c>
      <c r="C31548" t="str">
        <v>-</v>
      </c>
      <c r="D31548" t="str">
        <v>-</v>
      </c>
      <c r="E31548" t="str">
        <v/>
      </c>
      <c r="F31548" t="str">
        <v>-</v>
      </c>
      <c r="G31548" t="str">
        <v>-</v>
      </c>
    </row>
    <row r="31549">
      <c r="B31549" t="str">
        <v>UBND Ủy ban nhân dân phường Quảng Vinh tỉnh Thanh Hóa</v>
      </c>
      <c r="C31549" t="str">
        <v>-</v>
      </c>
      <c r="D31549" t="str">
        <v>-</v>
      </c>
      <c r="E31549" t="str">
        <v>-</v>
      </c>
      <c r="F31549" t="str">
        <v>-</v>
      </c>
      <c r="G31549" t="str">
        <v>-</v>
      </c>
    </row>
    <row r="31550">
      <c r="B31550" t="str">
        <v>Công an xã Việt Thuận  tỉnh Thái Bình</v>
      </c>
      <c r="C31550" t="str">
        <v>-</v>
      </c>
      <c r="D31550" t="str">
        <v>-</v>
      </c>
      <c r="E31550" t="str">
        <v/>
      </c>
      <c r="F31550" t="str">
        <v>-</v>
      </c>
      <c r="G31550" t="str">
        <v>-</v>
      </c>
    </row>
    <row r="31551">
      <c r="B31551" t="str">
        <v>UBND Ủy ban nhân dân xã Việt Thuận  tỉnh Thái Bình</v>
      </c>
      <c r="C31551" t="str">
        <v>-</v>
      </c>
      <c r="D31551" t="str">
        <v>-</v>
      </c>
      <c r="E31551" t="str">
        <v>-</v>
      </c>
      <c r="F31551" t="str">
        <v>-</v>
      </c>
      <c r="G31551" t="str">
        <v>-</v>
      </c>
    </row>
    <row r="31552">
      <c r="B31552" t="str">
        <v>Công an xã Sơn Hóa tỉnh Quảng Bình</v>
      </c>
      <c r="C31552" t="str">
        <v>-</v>
      </c>
      <c r="D31552" t="str">
        <v>-</v>
      </c>
      <c r="E31552" t="str">
        <v/>
      </c>
      <c r="F31552" t="str">
        <v>-</v>
      </c>
      <c r="G31552" t="str">
        <v>-</v>
      </c>
    </row>
    <row r="31553">
      <c r="B31553" t="str">
        <v>UBND Ủy ban nhân dân xã Sơn Hóa tỉnh Quảng Bình</v>
      </c>
      <c r="C31553" t="str">
        <v>-</v>
      </c>
      <c r="D31553" t="str">
        <v>-</v>
      </c>
      <c r="E31553" t="str">
        <v>-</v>
      </c>
      <c r="F31553" t="str">
        <v>-</v>
      </c>
      <c r="G31553" t="str">
        <v>-</v>
      </c>
    </row>
    <row r="31554">
      <c r="B31554" t="str">
        <v>Công an xã Sơn Hải tỉnh Nghệ An</v>
      </c>
      <c r="C31554" t="str">
        <v>-</v>
      </c>
      <c r="D31554" t="str">
        <v>-</v>
      </c>
      <c r="E31554" t="str">
        <v/>
      </c>
      <c r="F31554" t="str">
        <v>-</v>
      </c>
      <c r="G31554" t="str">
        <v>-</v>
      </c>
    </row>
    <row r="31555">
      <c r="B31555" t="str">
        <v>UBND Ủy ban nhân dân xã Sơn Hải tỉnh Nghệ An</v>
      </c>
      <c r="C31555" t="str">
        <v>-</v>
      </c>
      <c r="D31555" t="str">
        <v>-</v>
      </c>
      <c r="E31555" t="str">
        <v>-</v>
      </c>
      <c r="F31555" t="str">
        <v>-</v>
      </c>
      <c r="G31555" t="str">
        <v>-</v>
      </c>
    </row>
    <row r="31556">
      <c r="B31556" t="str">
        <v>Công an xã Sơn Lập tỉnh Cao Bằng</v>
      </c>
      <c r="C31556" t="str">
        <v>-</v>
      </c>
      <c r="D31556" t="str">
        <v>-</v>
      </c>
      <c r="E31556" t="str">
        <v/>
      </c>
      <c r="F31556" t="str">
        <v>-</v>
      </c>
      <c r="G31556" t="str">
        <v>-</v>
      </c>
    </row>
    <row r="31557">
      <c r="B31557" t="str">
        <v>UBND Ủy ban nhân dân xã Sơn Lập tỉnh Cao Bằng</v>
      </c>
      <c r="C31557" t="str">
        <v>-</v>
      </c>
      <c r="D31557" t="str">
        <v>-</v>
      </c>
      <c r="E31557" t="str">
        <v>-</v>
      </c>
      <c r="F31557" t="str">
        <v>-</v>
      </c>
      <c r="G31557" t="str">
        <v>-</v>
      </c>
    </row>
    <row r="31558" xml:space="preserve">
      <c r="B31558" t="str" xml:space="preserve">
        <v xml:space="preserve">Công an xã Sơn Lễ _x000d_
 tỉnh Hà Tĩnh</v>
      </c>
      <c r="C31558" t="str">
        <v>-</v>
      </c>
      <c r="D31558" t="str">
        <v>-</v>
      </c>
      <c r="E31558" t="str">
        <v/>
      </c>
      <c r="F31558" t="str">
        <v>-</v>
      </c>
      <c r="G31558" t="str">
        <v>-</v>
      </c>
    </row>
    <row r="31559" xml:space="preserve">
      <c r="B31559" t="str" xml:space="preserve">
        <v xml:space="preserve">UBND Ủy ban nhân dân xã Sơn Lễ _x000d_
 tỉnh Hà Tĩnh</v>
      </c>
      <c r="C31559" t="str">
        <v>-</v>
      </c>
      <c r="D31559" t="str">
        <v>-</v>
      </c>
      <c r="E31559" t="str">
        <v>-</v>
      </c>
      <c r="F31559" t="str">
        <v>-</v>
      </c>
      <c r="G31559" t="str">
        <v>-</v>
      </c>
    </row>
    <row r="31560">
      <c r="B31560" t="str">
        <v>Công an xã Sơn Lộ tỉnh Cao Bằng</v>
      </c>
      <c r="C31560" t="str">
        <v>-</v>
      </c>
      <c r="D31560" t="str">
        <v>-</v>
      </c>
      <c r="E31560" t="str">
        <v/>
      </c>
      <c r="F31560" t="str">
        <v>-</v>
      </c>
      <c r="G31560" t="str">
        <v>-</v>
      </c>
    </row>
    <row r="31561">
      <c r="B31561" t="str">
        <v>UBND Ủy ban nhân dân xã Sơn Lộ tỉnh Cao Bằng</v>
      </c>
      <c r="C31561" t="str">
        <v>-</v>
      </c>
      <c r="D31561" t="str">
        <v>-</v>
      </c>
      <c r="E31561" t="str">
        <v>-</v>
      </c>
      <c r="F31561" t="str">
        <v>-</v>
      </c>
      <c r="G31561" t="str">
        <v>-</v>
      </c>
    </row>
    <row r="31562">
      <c r="B31562" t="str">
        <v>Công an huyện Đà Bắc  tỉnh Hòa Bình</v>
      </c>
      <c r="C31562" t="str">
        <v>-</v>
      </c>
      <c r="D31562" t="str">
        <v>-</v>
      </c>
      <c r="E31562" t="str">
        <v/>
      </c>
      <c r="F31562" t="str">
        <v>-</v>
      </c>
      <c r="G31562" t="str">
        <v>-</v>
      </c>
    </row>
    <row r="31563">
      <c r="B31563" t="str">
        <v>UBND Ủy ban nhân dân huyện Đà Bắc  tỉnh Hòa Bình</v>
      </c>
      <c r="C31563" t="str">
        <v>-</v>
      </c>
      <c r="D31563" t="str">
        <v>-</v>
      </c>
      <c r="E31563" t="str">
        <v>-</v>
      </c>
      <c r="F31563" t="str">
        <v>-</v>
      </c>
      <c r="G31563" t="str">
        <v>-</v>
      </c>
    </row>
    <row r="31564">
      <c r="B31564" t="str">
        <v>Công an huyện Bát Xát  tỉnh Lào Cai</v>
      </c>
      <c r="C31564" t="str">
        <v>-</v>
      </c>
      <c r="D31564" t="str">
        <v>-</v>
      </c>
      <c r="E31564" t="str">
        <v/>
      </c>
      <c r="F31564" t="str">
        <v>-</v>
      </c>
      <c r="G31564" t="str">
        <v>-</v>
      </c>
    </row>
    <row r="31565">
      <c r="B31565" t="str">
        <v>UBND Ủy ban nhân dân huyện Bát Xát  tỉnh Lào Cai</v>
      </c>
      <c r="C31565" t="str">
        <v>-</v>
      </c>
      <c r="D31565" t="str">
        <v>-</v>
      </c>
      <c r="E31565" t="str">
        <v>-</v>
      </c>
      <c r="F31565" t="str">
        <v>-</v>
      </c>
      <c r="G31565" t="str">
        <v>-</v>
      </c>
    </row>
    <row r="31566">
      <c r="B31566" t="str">
        <v>Công an huyện Cát Tiên  tỉnh Lâm Đồng</v>
      </c>
      <c r="C31566" t="str">
        <v>-</v>
      </c>
      <c r="D31566" t="str">
        <v>-</v>
      </c>
      <c r="E31566" t="str">
        <v/>
      </c>
      <c r="F31566" t="str">
        <v>-</v>
      </c>
      <c r="G31566" t="str">
        <v>-</v>
      </c>
    </row>
    <row r="31567">
      <c r="B31567" t="str">
        <v>UBND Ủy ban nhân dân huyện Cát Tiên  tỉnh Lâm Đồng</v>
      </c>
      <c r="C31567" t="str">
        <v>-</v>
      </c>
      <c r="D31567" t="str">
        <v>-</v>
      </c>
      <c r="E31567" t="str">
        <v>-</v>
      </c>
      <c r="F31567" t="str">
        <v>-</v>
      </c>
      <c r="G31567" t="str">
        <v>-</v>
      </c>
    </row>
    <row r="31568">
      <c r="B31568" t="str">
        <v>Công an huyện Cù Lao Dung  tỉnh Sóc Trăng</v>
      </c>
      <c r="C31568" t="str">
        <v>-</v>
      </c>
      <c r="D31568" t="str">
        <v>-</v>
      </c>
      <c r="E31568" t="str">
        <v/>
      </c>
      <c r="F31568" t="str">
        <v>-</v>
      </c>
      <c r="G31568" t="str">
        <v>-</v>
      </c>
    </row>
    <row r="31569">
      <c r="B31569" t="str">
        <v>UBND Ủy ban nhân dân huyện Cù Lao Dung  tỉnh Sóc Trăng</v>
      </c>
      <c r="C31569" t="str">
        <v>-</v>
      </c>
      <c r="D31569" t="str">
        <v>-</v>
      </c>
      <c r="E31569" t="str">
        <v>-</v>
      </c>
      <c r="F31569" t="str">
        <v>-</v>
      </c>
      <c r="G31569" t="str">
        <v>-</v>
      </c>
    </row>
    <row r="31570">
      <c r="B31570" t="str">
        <v>Công an huyện Duyên Hải tỉnh Trà Vinh</v>
      </c>
      <c r="C31570" t="str">
        <v>-</v>
      </c>
      <c r="D31570" t="str">
        <v>-</v>
      </c>
      <c r="E31570" t="str">
        <v/>
      </c>
      <c r="F31570" t="str">
        <v>-</v>
      </c>
      <c r="G31570" t="str">
        <v>-</v>
      </c>
    </row>
    <row r="31571">
      <c r="B31571" t="str">
        <v>UBND Ủy ban nhân dân huyện Duyên Hải tỉnh Trà Vinh</v>
      </c>
      <c r="C31571" t="str">
        <v>-</v>
      </c>
      <c r="D31571" t="str">
        <v>-</v>
      </c>
      <c r="E31571" t="str">
        <v>-</v>
      </c>
      <c r="F31571" t="str">
        <v>-</v>
      </c>
      <c r="G31571" t="str">
        <v>-</v>
      </c>
    </row>
    <row r="31572">
      <c r="B31572" t="str">
        <v>Công an huyện Kim Bôi  tỉnh Hòa Bình</v>
      </c>
      <c r="C31572" t="str">
        <v>-</v>
      </c>
      <c r="D31572" t="str">
        <v>-</v>
      </c>
      <c r="E31572" t="str">
        <v/>
      </c>
      <c r="F31572" t="str">
        <v>-</v>
      </c>
      <c r="G31572" t="str">
        <v>-</v>
      </c>
    </row>
    <row r="31573">
      <c r="B31573" t="str">
        <v>UBND Ủy ban nhân dân huyện Kim Bôi  tỉnh Hòa Bình</v>
      </c>
      <c r="C31573" t="str">
        <v>-</v>
      </c>
      <c r="D31573" t="str">
        <v>-</v>
      </c>
      <c r="E31573" t="str">
        <v>-</v>
      </c>
      <c r="F31573" t="str">
        <v>-</v>
      </c>
      <c r="G31573" t="str">
        <v>-</v>
      </c>
    </row>
    <row r="31574">
      <c r="B31574" t="str">
        <v>Công an huyện Lạc Thủy  tỉnh Hòa Bình</v>
      </c>
      <c r="C31574" t="str">
        <v>-</v>
      </c>
      <c r="D31574" t="str">
        <v>-</v>
      </c>
      <c r="E31574" t="str">
        <v/>
      </c>
      <c r="F31574" t="str">
        <v>-</v>
      </c>
      <c r="G31574" t="str">
        <v>-</v>
      </c>
    </row>
    <row r="31575">
      <c r="B31575" t="str">
        <v>UBND Ủy ban nhân dân huyện Lạc Thủy  tỉnh Hòa Bình</v>
      </c>
      <c r="C31575" t="str">
        <v>-</v>
      </c>
      <c r="D31575" t="str">
        <v>-</v>
      </c>
      <c r="E31575" t="str">
        <v>-</v>
      </c>
      <c r="F31575" t="str">
        <v>-</v>
      </c>
      <c r="G31575" t="str">
        <v>-</v>
      </c>
    </row>
    <row r="31576">
      <c r="B31576" t="str">
        <v>Công an huyện Mỹ Đức  thành phố Hà Nội</v>
      </c>
      <c r="C31576" t="str">
        <v>-</v>
      </c>
      <c r="D31576" t="str">
        <v>-</v>
      </c>
      <c r="E31576" t="str">
        <v/>
      </c>
      <c r="F31576" t="str">
        <v>-</v>
      </c>
      <c r="G31576" t="str">
        <v>-</v>
      </c>
    </row>
    <row r="31577">
      <c r="B31577" t="str">
        <v>UBND Ủy ban nhân dân huyện Mỹ Đức  thành phố Hà Nội</v>
      </c>
      <c r="C31577" t="str">
        <v>-</v>
      </c>
      <c r="D31577" t="str">
        <v>-</v>
      </c>
      <c r="E31577" t="str">
        <v>-</v>
      </c>
      <c r="F31577" t="str">
        <v>-</v>
      </c>
      <c r="G31577" t="str">
        <v>-</v>
      </c>
    </row>
    <row r="31578">
      <c r="B31578" t="str">
        <v>Công an xã Nguyên Phúc  tỉnh Bắc Kạn</v>
      </c>
      <c r="C31578" t="str">
        <v>-</v>
      </c>
      <c r="D31578" t="str">
        <v>-</v>
      </c>
      <c r="E31578" t="str">
        <v/>
      </c>
      <c r="F31578" t="str">
        <v>-</v>
      </c>
      <c r="G31578" t="str">
        <v>-</v>
      </c>
    </row>
    <row r="31579">
      <c r="B31579" t="str">
        <v>UBND Ủy ban nhân dân xã Nguyên Phúc  tỉnh Bắc Kạn</v>
      </c>
      <c r="C31579" t="str">
        <v>-</v>
      </c>
      <c r="D31579" t="str">
        <v>-</v>
      </c>
      <c r="E31579" t="str">
        <v>-</v>
      </c>
      <c r="F31579" t="str">
        <v>-</v>
      </c>
      <c r="G31579" t="str">
        <v>-</v>
      </c>
    </row>
    <row r="31580">
      <c r="B31580" t="str">
        <v>Công an xã Nguyên Xá tỉnh Thái Bình</v>
      </c>
      <c r="C31580" t="str">
        <v>-</v>
      </c>
      <c r="D31580" t="str">
        <v>-</v>
      </c>
      <c r="E31580" t="str">
        <v/>
      </c>
      <c r="F31580" t="str">
        <v>-</v>
      </c>
      <c r="G31580" t="str">
        <v>-</v>
      </c>
    </row>
    <row r="31581">
      <c r="B31581" t="str">
        <v>UBND Ủy ban nhân dân xã Nguyên Xá tỉnh Thái Bình</v>
      </c>
      <c r="C31581" t="str">
        <v>-</v>
      </c>
      <c r="D31581" t="str">
        <v>-</v>
      </c>
      <c r="E31581" t="str">
        <v>-</v>
      </c>
      <c r="F31581" t="str">
        <v>-</v>
      </c>
      <c r="G31581" t="str">
        <v>-</v>
      </c>
    </row>
    <row r="31582" xml:space="preserve">
      <c r="B31582" t="str" xml:space="preserve">
        <v xml:space="preserve">Công an xã Nguyệt Đức _x000d_
 tỉnh Bắc Ninh</v>
      </c>
      <c r="C31582" t="str">
        <v>-</v>
      </c>
      <c r="D31582" t="str">
        <v>-</v>
      </c>
      <c r="E31582" t="str">
        <v/>
      </c>
      <c r="F31582" t="str">
        <v>-</v>
      </c>
      <c r="G31582" t="str">
        <v>-</v>
      </c>
    </row>
    <row r="31583" xml:space="preserve">
      <c r="B31583" t="str" xml:space="preserve">
        <v xml:space="preserve">UBND Ủy ban nhân dân xã Nguyệt Đức _x000d_
 tỉnh Bắc Ninh</v>
      </c>
      <c r="C31583" t="str">
        <v>-</v>
      </c>
      <c r="D31583" t="str">
        <v>-</v>
      </c>
      <c r="E31583" t="str">
        <v>-</v>
      </c>
      <c r="F31583" t="str">
        <v>-</v>
      </c>
      <c r="G31583" t="str">
        <v>-</v>
      </c>
    </row>
    <row r="31584" xml:space="preserve">
      <c r="B31584" t="str" xml:space="preserve">
        <v xml:space="preserve">Công an xã Nhân Chính _x000d_
 tỉnh Hà Nam</v>
      </c>
      <c r="C31584" t="str">
        <v>-</v>
      </c>
      <c r="D31584" t="str">
        <v>-</v>
      </c>
      <c r="E31584" t="str">
        <v/>
      </c>
      <c r="F31584" t="str">
        <v>-</v>
      </c>
      <c r="G31584" t="str">
        <v>-</v>
      </c>
    </row>
    <row r="31585" xml:space="preserve">
      <c r="B31585" t="str" xml:space="preserve">
        <v xml:space="preserve">UBND Ủy ban nhân dân xã Nhân Chính _x000d_
 tỉnh Hà Nam</v>
      </c>
      <c r="C31585" t="str">
        <v>-</v>
      </c>
      <c r="D31585" t="str">
        <v>-</v>
      </c>
      <c r="E31585" t="str">
        <v>-</v>
      </c>
      <c r="F31585" t="str">
        <v>-</v>
      </c>
      <c r="G31585" t="str">
        <v>-</v>
      </c>
    </row>
    <row r="31586">
      <c r="B31586" t="str">
        <v>Công an xã Nhân Khang tỉnh Hà Nam</v>
      </c>
      <c r="C31586" t="str">
        <v>-</v>
      </c>
      <c r="D31586" t="str">
        <v>-</v>
      </c>
      <c r="E31586" t="str">
        <v/>
      </c>
      <c r="F31586" t="str">
        <v>-</v>
      </c>
      <c r="G31586" t="str">
        <v>-</v>
      </c>
    </row>
    <row r="31587">
      <c r="B31587" t="str">
        <v>UBND Ủy ban nhân dân xã Nhân Khang tỉnh Hà Nam</v>
      </c>
      <c r="C31587" t="str">
        <v>-</v>
      </c>
      <c r="D31587" t="str">
        <v>-</v>
      </c>
      <c r="E31587" t="str">
        <v>-</v>
      </c>
      <c r="F31587" t="str">
        <v>-</v>
      </c>
      <c r="G31587" t="str">
        <v>-</v>
      </c>
    </row>
    <row r="31588">
      <c r="B31588" t="str">
        <v>Công an xã Hải Hưng  tỉnh Quảng Trị</v>
      </c>
      <c r="C31588" t="str">
        <v>-</v>
      </c>
      <c r="D31588" t="str">
        <v>-</v>
      </c>
      <c r="E31588" t="str">
        <v/>
      </c>
      <c r="F31588" t="str">
        <v>-</v>
      </c>
      <c r="G31588" t="str">
        <v>-</v>
      </c>
    </row>
    <row r="31589">
      <c r="B31589" t="str">
        <v>UBND Ủy ban nhân dân xã Hải Hưng  tỉnh Quảng Trị</v>
      </c>
      <c r="C31589" t="str">
        <v>-</v>
      </c>
      <c r="D31589" t="str">
        <v>-</v>
      </c>
      <c r="E31589" t="str">
        <v>-</v>
      </c>
      <c r="F31589" t="str">
        <v>-</v>
      </c>
      <c r="G31589" t="str">
        <v>-</v>
      </c>
    </row>
    <row r="31590">
      <c r="B31590" t="str">
        <v>Công an xã Hải Phong  tỉnh Quảng Trị</v>
      </c>
      <c r="C31590" t="str">
        <v>-</v>
      </c>
      <c r="D31590" t="str">
        <v>-</v>
      </c>
      <c r="E31590" t="str">
        <v/>
      </c>
      <c r="F31590" t="str">
        <v>-</v>
      </c>
      <c r="G31590" t="str">
        <v>-</v>
      </c>
    </row>
    <row r="31591">
      <c r="B31591" t="str">
        <v>UBND Ủy ban nhân dân xã Hải Phong  tỉnh Quảng Trị</v>
      </c>
      <c r="C31591" t="str">
        <v>-</v>
      </c>
      <c r="D31591" t="str">
        <v>-</v>
      </c>
      <c r="E31591" t="str">
        <v>-</v>
      </c>
      <c r="F31591" t="str">
        <v>-</v>
      </c>
      <c r="G31591" t="str">
        <v>-</v>
      </c>
    </row>
    <row r="31592">
      <c r="B31592" t="str">
        <v>Công an xã Hải Quy  tỉnh Quảng Trị</v>
      </c>
      <c r="C31592" t="str">
        <v>-</v>
      </c>
      <c r="D31592" t="str">
        <v>-</v>
      </c>
      <c r="E31592" t="str">
        <v/>
      </c>
      <c r="F31592" t="str">
        <v>-</v>
      </c>
      <c r="G31592" t="str">
        <v>-</v>
      </c>
    </row>
    <row r="31593">
      <c r="B31593" t="str">
        <v>UBND Ủy ban nhân dân xã Hải Quy  tỉnh Quảng Trị</v>
      </c>
      <c r="C31593" t="str">
        <v>-</v>
      </c>
      <c r="D31593" t="str">
        <v>-</v>
      </c>
      <c r="E31593" t="str">
        <v>-</v>
      </c>
      <c r="F31593" t="str">
        <v>-</v>
      </c>
      <c r="G31593" t="str">
        <v>-</v>
      </c>
    </row>
    <row r="31594" xml:space="preserve">
      <c r="B31594" t="str" xml:space="preserve">
        <v xml:space="preserve">Công an xã Hải Thượng _x000d_
 tỉnh Quảng Trị</v>
      </c>
      <c r="C31594" t="str">
        <v>-</v>
      </c>
      <c r="D31594" t="str">
        <v>-</v>
      </c>
      <c r="E31594" t="str">
        <v/>
      </c>
      <c r="F31594" t="str">
        <v>-</v>
      </c>
      <c r="G31594" t="str">
        <v>-</v>
      </c>
    </row>
    <row r="31595" xml:space="preserve">
      <c r="B31595" t="str" xml:space="preserve">
        <v xml:space="preserve">UBND Ủy ban nhân dân xã Hải Thượng _x000d_
 tỉnh Quảng Trị</v>
      </c>
      <c r="C31595" t="str">
        <v>-</v>
      </c>
      <c r="D31595" t="str">
        <v>-</v>
      </c>
      <c r="E31595" t="str">
        <v>-</v>
      </c>
      <c r="F31595" t="str">
        <v>-</v>
      </c>
      <c r="G31595" t="str">
        <v>-</v>
      </c>
    </row>
    <row r="31596">
      <c r="B31596" t="str">
        <v>Công an xã Hồ Đắc Kiện  tỉnh Sóc Trăng</v>
      </c>
      <c r="C31596" t="str">
        <v>-</v>
      </c>
      <c r="D31596" t="str">
        <v>-</v>
      </c>
      <c r="E31596" t="str">
        <v/>
      </c>
      <c r="F31596" t="str">
        <v>-</v>
      </c>
      <c r="G31596" t="str">
        <v>-</v>
      </c>
    </row>
    <row r="31597">
      <c r="B31597" t="str">
        <v>UBND Ủy ban nhân dân xã Hồ Đắc Kiện  tỉnh Sóc Trăng</v>
      </c>
      <c r="C31597" t="str">
        <v>-</v>
      </c>
      <c r="D31597" t="str">
        <v>-</v>
      </c>
      <c r="E31597" t="str">
        <v>-</v>
      </c>
      <c r="F31597" t="str">
        <v>-</v>
      </c>
      <c r="G31597" t="str">
        <v>-</v>
      </c>
    </row>
    <row r="31598">
      <c r="B31598" t="str">
        <v>Công an xã Thủy Xuân Tiên thành phố Hà Nội</v>
      </c>
      <c r="C31598" t="str">
        <v>-</v>
      </c>
      <c r="D31598" t="str">
        <v>-</v>
      </c>
      <c r="E31598" t="str">
        <v/>
      </c>
      <c r="F31598" t="str">
        <v>-</v>
      </c>
      <c r="G31598" t="str">
        <v>-</v>
      </c>
    </row>
    <row r="31599">
      <c r="B31599" t="str">
        <v>UBND Ủy ban nhân dân xã Thủy Xuân Tiên thành phố Hà Nội</v>
      </c>
      <c r="C31599" t="str">
        <v>-</v>
      </c>
      <c r="D31599" t="str">
        <v>-</v>
      </c>
      <c r="E31599" t="str">
        <v>-</v>
      </c>
      <c r="F31599" t="str">
        <v>-</v>
      </c>
      <c r="G31599" t="str">
        <v>-</v>
      </c>
    </row>
    <row r="31600">
      <c r="B31600" t="str">
        <v>Công an xã Quảng Tiên tỉnh Quảng Bình</v>
      </c>
      <c r="C31600" t="str">
        <v>-</v>
      </c>
      <c r="D31600" t="str">
        <v>-</v>
      </c>
      <c r="E31600" t="str">
        <v/>
      </c>
      <c r="F31600" t="str">
        <v>-</v>
      </c>
      <c r="G31600" t="str">
        <v>-</v>
      </c>
    </row>
    <row r="31601">
      <c r="B31601" t="str">
        <v>UBND Ủy ban nhân dân xã Quảng Tiên tỉnh Quảng Bình</v>
      </c>
      <c r="C31601" t="str">
        <v>-</v>
      </c>
      <c r="D31601" t="str">
        <v>-</v>
      </c>
      <c r="E31601" t="str">
        <v>-</v>
      </c>
      <c r="F31601" t="str">
        <v>-</v>
      </c>
      <c r="G31601" t="str">
        <v>-</v>
      </c>
    </row>
    <row r="31602">
      <c r="B31602" t="str">
        <v>Công an xã Thuỵ Hương  thành phố Hải Phòng</v>
      </c>
      <c r="C31602" t="str">
        <v>-</v>
      </c>
      <c r="D31602" t="str">
        <v>-</v>
      </c>
      <c r="E31602" t="str">
        <v/>
      </c>
      <c r="F31602" t="str">
        <v>-</v>
      </c>
      <c r="G31602" t="str">
        <v>-</v>
      </c>
    </row>
    <row r="31603">
      <c r="B31603" t="str">
        <v>UBND Ủy ban nhân dân xã Thuỵ Hương  thành phố Hải Phòng</v>
      </c>
      <c r="C31603" t="str">
        <v>-</v>
      </c>
      <c r="D31603" t="str">
        <v>-</v>
      </c>
      <c r="E31603" t="str">
        <v>-</v>
      </c>
      <c r="F31603" t="str">
        <v>-</v>
      </c>
      <c r="G31603" t="str">
        <v>-</v>
      </c>
    </row>
    <row r="31604">
      <c r="B31604" t="str">
        <v>Công an xã Quang Kim tỉnh Lào Cai</v>
      </c>
      <c r="C31604" t="str">
        <v>-</v>
      </c>
      <c r="D31604" t="str">
        <v>-</v>
      </c>
      <c r="E31604" t="str">
        <v/>
      </c>
      <c r="F31604" t="str">
        <v>-</v>
      </c>
      <c r="G31604" t="str">
        <v>-</v>
      </c>
    </row>
    <row r="31605">
      <c r="B31605" t="str">
        <v>UBND Ủy ban nhân dân xã Quang Kim tỉnh Lào Cai</v>
      </c>
      <c r="C31605" t="str">
        <v>-</v>
      </c>
      <c r="D31605" t="str">
        <v>-</v>
      </c>
      <c r="E31605" t="str">
        <v>-</v>
      </c>
      <c r="F31605" t="str">
        <v>-</v>
      </c>
      <c r="G31605" t="str">
        <v>-</v>
      </c>
    </row>
    <row r="31606">
      <c r="B31606" t="str">
        <v>Công an xã Chí Tân tỉnh Hưng Yên</v>
      </c>
      <c r="C31606" t="str">
        <v>-</v>
      </c>
      <c r="D31606" t="str">
        <v>-</v>
      </c>
      <c r="E31606" t="str">
        <v/>
      </c>
      <c r="F31606" t="str">
        <v>-</v>
      </c>
      <c r="G31606" t="str">
        <v>-</v>
      </c>
    </row>
    <row r="31607">
      <c r="B31607" t="str">
        <v>UBND Ủy ban nhân dân xã Chí Tân tỉnh Hưng Yên</v>
      </c>
      <c r="C31607" t="str">
        <v>-</v>
      </c>
      <c r="D31607" t="str">
        <v>-</v>
      </c>
      <c r="E31607" t="str">
        <v>-</v>
      </c>
      <c r="F31607" t="str">
        <v>-</v>
      </c>
      <c r="G31607" t="str">
        <v>-</v>
      </c>
    </row>
    <row r="31608">
      <c r="B31608" t="str">
        <v>Công an xã Ngọc Quan  tỉnh Phú Thọ</v>
      </c>
      <c r="C31608" t="str">
        <v>-</v>
      </c>
      <c r="D31608" t="str">
        <v>-</v>
      </c>
      <c r="E31608" t="str">
        <v/>
      </c>
      <c r="F31608" t="str">
        <v>-</v>
      </c>
      <c r="G31608" t="str">
        <v>-</v>
      </c>
    </row>
    <row r="31609">
      <c r="B31609" t="str">
        <v>UBND Ủy ban nhân dân xã Ngọc Quan  tỉnh Phú Thọ</v>
      </c>
      <c r="C31609" t="str">
        <v>-</v>
      </c>
      <c r="D31609" t="str">
        <v>-</v>
      </c>
      <c r="E31609" t="str">
        <v>-</v>
      </c>
      <c r="F31609" t="str">
        <v>-</v>
      </c>
      <c r="G31609" t="str">
        <v>-</v>
      </c>
    </row>
    <row r="31610">
      <c r="B31610" t="str">
        <v>Công an huyện Đại Từ tỉnh Thái Nguyên</v>
      </c>
      <c r="C31610" t="str">
        <v>-</v>
      </c>
      <c r="D31610" t="str">
        <v>-</v>
      </c>
      <c r="E31610" t="str">
        <v/>
      </c>
      <c r="F31610" t="str">
        <v>-</v>
      </c>
      <c r="G31610" t="str">
        <v>-</v>
      </c>
    </row>
    <row r="31611">
      <c r="B31611" t="str">
        <v>UBND Ủy ban nhân dân huyện Đại Từ tỉnh Thái Nguyên</v>
      </c>
      <c r="C31611" t="str">
        <v>-</v>
      </c>
      <c r="D31611" t="str">
        <v>-</v>
      </c>
      <c r="E31611" t="str">
        <v>-</v>
      </c>
      <c r="F31611" t="str">
        <v>-</v>
      </c>
      <c r="G31611" t="str">
        <v>-</v>
      </c>
    </row>
    <row r="31612">
      <c r="B31612" t="str">
        <v>Công an xã An Hoà Tây tỉnh Bến Tre</v>
      </c>
      <c r="C31612" t="str">
        <v>-</v>
      </c>
      <c r="D31612" t="str">
        <v>-</v>
      </c>
      <c r="E31612" t="str">
        <v/>
      </c>
      <c r="F31612" t="str">
        <v>-</v>
      </c>
      <c r="G31612" t="str">
        <v>-</v>
      </c>
    </row>
    <row r="31613">
      <c r="B31613" t="str">
        <v>UBND Ủy ban nhân dân xã An Hoà Tây tỉnh Bến Tre</v>
      </c>
      <c r="C31613" t="str">
        <v>-</v>
      </c>
      <c r="D31613" t="str">
        <v>-</v>
      </c>
      <c r="E31613" t="str">
        <v>-</v>
      </c>
      <c r="F31613" t="str">
        <v>-</v>
      </c>
      <c r="G31613" t="str">
        <v>-</v>
      </c>
    </row>
    <row r="31614">
      <c r="B31614" t="str">
        <v>Công an huyện Mê Linh  thành phố Hà Nội</v>
      </c>
      <c r="C31614" t="str">
        <v>-</v>
      </c>
      <c r="D31614" t="str">
        <v>-</v>
      </c>
      <c r="E31614" t="str">
        <v/>
      </c>
      <c r="F31614" t="str">
        <v>-</v>
      </c>
      <c r="G31614" t="str">
        <v>-</v>
      </c>
    </row>
    <row r="31615">
      <c r="B31615" t="str">
        <v>UBND Ủy ban nhân dân huyện Mê Linh  thành phố Hà Nội</v>
      </c>
      <c r="C31615" t="str">
        <v>-</v>
      </c>
      <c r="D31615" t="str">
        <v>-</v>
      </c>
      <c r="E31615" t="str">
        <v>-</v>
      </c>
      <c r="F31615" t="str">
        <v>-</v>
      </c>
      <c r="G31615" t="str">
        <v>-</v>
      </c>
    </row>
    <row r="31616">
      <c r="B31616" t="str">
        <v>Công an xã Thượng Vực thành phố Hà Nội</v>
      </c>
      <c r="C31616" t="str">
        <v>-</v>
      </c>
      <c r="D31616" t="str">
        <v>-</v>
      </c>
      <c r="E31616" t="str">
        <v/>
      </c>
      <c r="F31616" t="str">
        <v>-</v>
      </c>
      <c r="G31616" t="str">
        <v>-</v>
      </c>
    </row>
    <row r="31617">
      <c r="B31617" t="str">
        <v>UBND Ủy ban nhân dân xã Thượng Vực thành phố Hà Nội</v>
      </c>
      <c r="C31617" t="str">
        <v>-</v>
      </c>
      <c r="D31617" t="str">
        <v>-</v>
      </c>
      <c r="E31617" t="str">
        <v>-</v>
      </c>
      <c r="F31617" t="str">
        <v>-</v>
      </c>
      <c r="G31617" t="str">
        <v>-</v>
      </c>
    </row>
    <row r="31618">
      <c r="B31618" t="str">
        <v>Công an xã Chiềng Pằn  tỉnh Sơn La</v>
      </c>
      <c r="C31618" t="str">
        <v>-</v>
      </c>
      <c r="D31618" t="str">
        <v>-</v>
      </c>
      <c r="E31618" t="str">
        <v/>
      </c>
      <c r="F31618" t="str">
        <v>-</v>
      </c>
      <c r="G31618" t="str">
        <v>-</v>
      </c>
    </row>
    <row r="31619">
      <c r="B31619" t="str">
        <v>UBND Ủy ban nhân dân xã Chiềng Pằn  tỉnh Sơn La</v>
      </c>
      <c r="C31619" t="str">
        <v>-</v>
      </c>
      <c r="D31619" t="str">
        <v>-</v>
      </c>
      <c r="E31619" t="str">
        <v>-</v>
      </c>
      <c r="F31619" t="str">
        <v>-</v>
      </c>
      <c r="G31619" t="str">
        <v>-</v>
      </c>
    </row>
    <row r="31620">
      <c r="B31620" t="str">
        <v>Công an xã Ngọc Hoà  thành phố Hà Nội</v>
      </c>
      <c r="C31620" t="str">
        <v>-</v>
      </c>
      <c r="D31620" t="str">
        <v>-</v>
      </c>
      <c r="E31620" t="str">
        <v/>
      </c>
      <c r="F31620" t="str">
        <v>-</v>
      </c>
      <c r="G31620" t="str">
        <v>-</v>
      </c>
    </row>
    <row r="31621">
      <c r="B31621" t="str">
        <v>UBND Ủy ban nhân dân xã Ngọc Hoà  thành phố Hà Nội</v>
      </c>
      <c r="C31621" t="str">
        <v>-</v>
      </c>
      <c r="D31621" t="str">
        <v>-</v>
      </c>
      <c r="E31621" t="str">
        <v>-</v>
      </c>
      <c r="F31621" t="str">
        <v>-</v>
      </c>
      <c r="G31621" t="str">
        <v>-</v>
      </c>
    </row>
    <row r="31622">
      <c r="B31622" t="str">
        <v>Công an xã Phước Tân  tỉnh Phú Yên</v>
      </c>
      <c r="C31622" t="str">
        <v>-</v>
      </c>
      <c r="D31622" t="str">
        <v>-</v>
      </c>
      <c r="E31622" t="str">
        <v/>
      </c>
      <c r="F31622" t="str">
        <v>-</v>
      </c>
      <c r="G31622" t="str">
        <v>-</v>
      </c>
    </row>
    <row r="31623">
      <c r="B31623" t="str">
        <v>UBND Ủy ban nhân dân xã Phước Tân  tỉnh Phú Yên</v>
      </c>
      <c r="C31623" t="str">
        <v>-</v>
      </c>
      <c r="D31623" t="str">
        <v>-</v>
      </c>
      <c r="E31623" t="str">
        <v>-</v>
      </c>
      <c r="F31623" t="str">
        <v>-</v>
      </c>
      <c r="G31623" t="str">
        <v>-</v>
      </c>
    </row>
    <row r="31624">
      <c r="B31624" t="str">
        <v>Công an xã Vũ Lễ tỉnh Lạng Sơn</v>
      </c>
      <c r="C31624" t="str">
        <v>-</v>
      </c>
      <c r="D31624" t="str">
        <v>-</v>
      </c>
      <c r="E31624" t="str">
        <v/>
      </c>
      <c r="F31624" t="str">
        <v>-</v>
      </c>
      <c r="G31624" t="str">
        <v>-</v>
      </c>
    </row>
    <row r="31625">
      <c r="B31625" t="str">
        <v>UBND Ủy ban nhân dân xã Vũ Lễ tỉnh Lạng Sơn</v>
      </c>
      <c r="C31625" t="str">
        <v>-</v>
      </c>
      <c r="D31625" t="str">
        <v>-</v>
      </c>
      <c r="E31625" t="str">
        <v>-</v>
      </c>
      <c r="F31625" t="str">
        <v>-</v>
      </c>
      <c r="G31625" t="str">
        <v>-</v>
      </c>
    </row>
    <row r="31626" xml:space="preserve">
      <c r="B31626" t="str" xml:space="preserve">
        <v xml:space="preserve">Công an xã Sơn Trung _x000d_
 tỉnh Hà Tĩnh</v>
      </c>
      <c r="C31626" t="str">
        <v>-</v>
      </c>
      <c r="D31626" t="str">
        <v>-</v>
      </c>
      <c r="E31626" t="str">
        <v/>
      </c>
      <c r="F31626" t="str">
        <v>-</v>
      </c>
      <c r="G31626" t="str">
        <v>-</v>
      </c>
    </row>
    <row r="31627" xml:space="preserve">
      <c r="B31627" t="str" xml:space="preserve">
        <v xml:space="preserve">UBND Ủy ban nhân dân xã Sơn Trung _x000d_
 tỉnh Hà Tĩnh</v>
      </c>
      <c r="C31627" t="str">
        <v>-</v>
      </c>
      <c r="D31627" t="str">
        <v>-</v>
      </c>
      <c r="E31627" t="str">
        <v>-</v>
      </c>
      <c r="F31627" t="str">
        <v>-</v>
      </c>
      <c r="G31627" t="str">
        <v>-</v>
      </c>
    </row>
    <row r="31628">
      <c r="B31628" t="str">
        <v>Công an huyện Tri Tôn tỉnh An Giang</v>
      </c>
      <c r="C31628" t="str">
        <v>-</v>
      </c>
      <c r="D31628" t="str">
        <v>-</v>
      </c>
      <c r="E31628" t="str">
        <v/>
      </c>
      <c r="F31628" t="str">
        <v>-</v>
      </c>
      <c r="G31628" t="str">
        <v>-</v>
      </c>
    </row>
    <row r="31629">
      <c r="B31629" t="str">
        <v>UBND Ủy ban nhân dân huyện Tri Tôn tỉnh An Giang</v>
      </c>
      <c r="C31629" t="str">
        <v>-</v>
      </c>
      <c r="D31629" t="str">
        <v>-</v>
      </c>
      <c r="E31629" t="str">
        <v>-</v>
      </c>
      <c r="F31629" t="str">
        <v>-</v>
      </c>
      <c r="G31629" t="str">
        <v>-</v>
      </c>
    </row>
    <row r="31630">
      <c r="B31630" t="str">
        <v>Công an xã Đại An  tỉnh Phú Thọ</v>
      </c>
      <c r="C31630" t="str">
        <v>-</v>
      </c>
      <c r="D31630" t="str">
        <v>-</v>
      </c>
      <c r="E31630" t="str">
        <v/>
      </c>
      <c r="F31630" t="str">
        <v>-</v>
      </c>
      <c r="G31630" t="str">
        <v>-</v>
      </c>
    </row>
    <row r="31631">
      <c r="B31631" t="str">
        <v>UBND Ủy ban nhân dân xã Đại An  tỉnh Phú Thọ</v>
      </c>
      <c r="C31631" t="str">
        <v>-</v>
      </c>
      <c r="D31631" t="str">
        <v>-</v>
      </c>
      <c r="E31631" t="str">
        <v>-</v>
      </c>
      <c r="F31631" t="str">
        <v>-</v>
      </c>
      <c r="G31631" t="str">
        <v>-</v>
      </c>
    </row>
    <row r="31632">
      <c r="B31632" t="str">
        <v>Công an xã Kim Đức  tỉnh Phú Thọ</v>
      </c>
      <c r="C31632" t="str">
        <v>-</v>
      </c>
      <c r="D31632" t="str">
        <v>-</v>
      </c>
      <c r="E31632" t="str">
        <v/>
      </c>
      <c r="F31632" t="str">
        <v>-</v>
      </c>
      <c r="G31632" t="str">
        <v>-</v>
      </c>
    </row>
    <row r="31633">
      <c r="B31633" t="str">
        <v>UBND Ủy ban nhân dân xã Kim Đức  tỉnh Phú Thọ</v>
      </c>
      <c r="C31633" t="str">
        <v>-</v>
      </c>
      <c r="D31633" t="str">
        <v>-</v>
      </c>
      <c r="E31633" t="str">
        <v>-</v>
      </c>
      <c r="F31633" t="str">
        <v>-</v>
      </c>
      <c r="G31633" t="str">
        <v>-</v>
      </c>
    </row>
    <row r="31634">
      <c r="B31634" t="str">
        <v>Công an xã Liên Minh  tỉnh Nam Định</v>
      </c>
      <c r="C31634" t="str">
        <v>-</v>
      </c>
      <c r="D31634" t="str">
        <v>-</v>
      </c>
      <c r="E31634" t="str">
        <v/>
      </c>
      <c r="F31634" t="str">
        <v>-</v>
      </c>
      <c r="G31634" t="str">
        <v>-</v>
      </c>
    </row>
    <row r="31635">
      <c r="B31635" t="str">
        <v>UBND Ủy ban nhân dân xã Liên Minh  tỉnh Nam Định</v>
      </c>
      <c r="C31635" t="str">
        <v>-</v>
      </c>
      <c r="D31635" t="str">
        <v>-</v>
      </c>
      <c r="E31635" t="str">
        <v>-</v>
      </c>
      <c r="F31635" t="str">
        <v>-</v>
      </c>
      <c r="G31635" t="str">
        <v>-</v>
      </c>
    </row>
    <row r="31636">
      <c r="B31636" t="str">
        <v>Công an xã Vĩnh Bình  thành phố Cần Thơ</v>
      </c>
      <c r="C31636" t="str">
        <v>-</v>
      </c>
      <c r="D31636" t="str">
        <v>-</v>
      </c>
      <c r="E31636" t="str">
        <v/>
      </c>
      <c r="F31636" t="str">
        <v>-</v>
      </c>
      <c r="G31636" t="str">
        <v>-</v>
      </c>
    </row>
    <row r="31637">
      <c r="B31637" t="str">
        <v>UBND Ủy ban nhân dân xã Vĩnh Bình  thành phố Cần Thơ</v>
      </c>
      <c r="C31637" t="str">
        <v>-</v>
      </c>
      <c r="D31637" t="str">
        <v>-</v>
      </c>
      <c r="E31637" t="str">
        <v>-</v>
      </c>
      <c r="F31637" t="str">
        <v>-</v>
      </c>
      <c r="G31637" t="str">
        <v>-</v>
      </c>
    </row>
    <row r="31638">
      <c r="B31638" t="str">
        <v>Công an huyện Gia Lâm thành phố Hà Nội</v>
      </c>
      <c r="C31638" t="str">
        <v>-</v>
      </c>
      <c r="D31638" t="str">
        <v>-</v>
      </c>
      <c r="E31638" t="str">
        <v/>
      </c>
      <c r="F31638" t="str">
        <v>-</v>
      </c>
      <c r="G31638" t="str">
        <v>-</v>
      </c>
    </row>
    <row r="31639">
      <c r="B31639" t="str">
        <v>UBND Ủy ban nhân dân huyện Gia Lâm thành phố Hà Nội</v>
      </c>
      <c r="C31639" t="str">
        <v>-</v>
      </c>
      <c r="D31639" t="str">
        <v>-</v>
      </c>
      <c r="E31639" t="str">
        <v>-</v>
      </c>
      <c r="F31639" t="str">
        <v>-</v>
      </c>
      <c r="G31639" t="str">
        <v>-</v>
      </c>
    </row>
    <row r="31640">
      <c r="B31640" t="str">
        <v>Công an xã Việt Thuận  tỉnh Thái Bình</v>
      </c>
      <c r="C31640" t="str">
        <v>-</v>
      </c>
      <c r="D31640" t="str">
        <v>-</v>
      </c>
      <c r="E31640" t="str">
        <v/>
      </c>
      <c r="F31640" t="str">
        <v>-</v>
      </c>
      <c r="G31640" t="str">
        <v>-</v>
      </c>
    </row>
    <row r="31641">
      <c r="B31641" t="str">
        <v>UBND Ủy ban nhân dân xã Việt Thuận  tỉnh Thái Bình</v>
      </c>
      <c r="C31641" t="str">
        <v>-</v>
      </c>
      <c r="D31641" t="str">
        <v>-</v>
      </c>
      <c r="E31641" t="str">
        <v>-</v>
      </c>
      <c r="F31641" t="str">
        <v>-</v>
      </c>
      <c r="G31641" t="str">
        <v>-</v>
      </c>
    </row>
    <row r="31642">
      <c r="B31642" t="str">
        <v>Công an xã Nguyễn Trãi tỉnh Hưng Yên</v>
      </c>
      <c r="C31642" t="str">
        <v>-</v>
      </c>
      <c r="D31642" t="str">
        <v>-</v>
      </c>
      <c r="E31642" t="str">
        <v/>
      </c>
      <c r="F31642" t="str">
        <v>-</v>
      </c>
      <c r="G31642" t="str">
        <v>-</v>
      </c>
    </row>
    <row r="31643">
      <c r="B31643" t="str">
        <v>UBND Ủy ban nhân dân xã Nguyễn Trãi tỉnh Hưng Yên</v>
      </c>
      <c r="C31643" t="str">
        <v>-</v>
      </c>
      <c r="D31643" t="str">
        <v>-</v>
      </c>
      <c r="E31643" t="str">
        <v>-</v>
      </c>
      <c r="F31643" t="str">
        <v>-</v>
      </c>
      <c r="G31643" t="str">
        <v>-</v>
      </c>
    </row>
    <row r="31644">
      <c r="B31644" t="str">
        <v>Công an xã Tam Đàn  tỉnh Nghệ An</v>
      </c>
      <c r="C31644" t="str">
        <v>-</v>
      </c>
      <c r="D31644" t="str">
        <v>-</v>
      </c>
      <c r="E31644" t="str">
        <v/>
      </c>
      <c r="F31644" t="str">
        <v>-</v>
      </c>
      <c r="G31644" t="str">
        <v>-</v>
      </c>
    </row>
    <row r="31645">
      <c r="B31645" t="str">
        <v>UBND Ủy ban nhân dân xã Tam Đàn  tỉnh Nghệ An</v>
      </c>
      <c r="C31645" t="str">
        <v>-</v>
      </c>
      <c r="D31645" t="str">
        <v>-</v>
      </c>
      <c r="E31645" t="str">
        <v>-</v>
      </c>
      <c r="F31645" t="str">
        <v>-</v>
      </c>
      <c r="G31645" t="str">
        <v>-</v>
      </c>
    </row>
    <row r="31646">
      <c r="B31646" t="str">
        <v>Công an xã Ngọc Sơn  tỉnh Hà Nam</v>
      </c>
      <c r="C31646" t="str">
        <v>-</v>
      </c>
      <c r="D31646" t="str">
        <v>-</v>
      </c>
      <c r="E31646" t="str">
        <v/>
      </c>
      <c r="F31646" t="str">
        <v>-</v>
      </c>
      <c r="G31646" t="str">
        <v>-</v>
      </c>
    </row>
    <row r="31647">
      <c r="B31647" t="str">
        <v>UBND Ủy ban nhân dân xã Ngọc Sơn  tỉnh Hà Nam</v>
      </c>
      <c r="C31647" t="str">
        <v>-</v>
      </c>
      <c r="D31647" t="str">
        <v>-</v>
      </c>
      <c r="E31647" t="str">
        <v>-</v>
      </c>
      <c r="F31647" t="str">
        <v>-</v>
      </c>
      <c r="G31647" t="str">
        <v>-</v>
      </c>
    </row>
    <row r="31648">
      <c r="B31648" t="str">
        <v>Công an xã Yên Lập  tỉnh Tuyên Quang</v>
      </c>
      <c r="C31648" t="str">
        <v>-</v>
      </c>
      <c r="D31648" t="str">
        <v>-</v>
      </c>
      <c r="E31648" t="str">
        <v/>
      </c>
      <c r="F31648" t="str">
        <v>-</v>
      </c>
      <c r="G31648" t="str">
        <v>-</v>
      </c>
    </row>
    <row r="31649">
      <c r="B31649" t="str">
        <v>UBND Ủy ban nhân dân xã Yên Lập  tỉnh Tuyên Quang</v>
      </c>
      <c r="C31649" t="str">
        <v>-</v>
      </c>
      <c r="D31649" t="str">
        <v>-</v>
      </c>
      <c r="E31649" t="str">
        <v>-</v>
      </c>
      <c r="F31649" t="str">
        <v>-</v>
      </c>
      <c r="G31649" t="str">
        <v>-</v>
      </c>
    </row>
    <row r="31650">
      <c r="B31650" t="str">
        <v>Công an xã Yên Phụ tỉnh Bắc Ninh</v>
      </c>
      <c r="C31650" t="str">
        <v>-</v>
      </c>
      <c r="D31650" t="str">
        <v>-</v>
      </c>
      <c r="E31650" t="str">
        <v/>
      </c>
      <c r="F31650" t="str">
        <v>-</v>
      </c>
      <c r="G31650" t="str">
        <v>-</v>
      </c>
    </row>
    <row r="31651">
      <c r="B31651" t="str">
        <v>UBND Ủy ban nhân dân xã Yên Phụ tỉnh Bắc Ninh</v>
      </c>
      <c r="C31651" t="str">
        <v>-</v>
      </c>
      <c r="D31651" t="str">
        <v>-</v>
      </c>
      <c r="E31651" t="str">
        <v>-</v>
      </c>
      <c r="F31651" t="str">
        <v>-</v>
      </c>
      <c r="G31651" t="str">
        <v>-</v>
      </c>
    </row>
    <row r="31652">
      <c r="B31652" t="str">
        <v>Công an tỉnh Vĩnh Phúc  tỉnh Vĩnh Phúc</v>
      </c>
      <c r="C31652" t="str">
        <v>-</v>
      </c>
      <c r="D31652" t="str">
        <v>-</v>
      </c>
      <c r="E31652" t="str">
        <v/>
      </c>
      <c r="F31652" t="str">
        <v>-</v>
      </c>
      <c r="G31652" t="str">
        <v>-</v>
      </c>
    </row>
    <row r="31653">
      <c r="B31653" t="str">
        <v>UBND Ủy ban nhân dân tỉnh Vĩnh Phúc  tỉnh Vĩnh Phúc</v>
      </c>
      <c r="C31653" t="str">
        <v>-</v>
      </c>
      <c r="D31653" t="str">
        <v>-</v>
      </c>
      <c r="E31653" t="str">
        <v>-</v>
      </c>
      <c r="F31653" t="str">
        <v>-</v>
      </c>
      <c r="G31653" t="str">
        <v>-</v>
      </c>
    </row>
    <row r="31654">
      <c r="B31654" t="str">
        <v>Công an xã Lương Hòa  tỉnh Long An</v>
      </c>
      <c r="C31654" t="str">
        <v>-</v>
      </c>
      <c r="D31654" t="str">
        <v>-</v>
      </c>
      <c r="E31654" t="str">
        <v/>
      </c>
      <c r="F31654" t="str">
        <v>-</v>
      </c>
      <c r="G31654" t="str">
        <v>-</v>
      </c>
    </row>
    <row r="31655">
      <c r="B31655" t="str">
        <v>UBND Ủy ban nhân dân xã Lương Hòa  tỉnh Long An</v>
      </c>
      <c r="C31655" t="str">
        <v>-</v>
      </c>
      <c r="D31655" t="str">
        <v>-</v>
      </c>
      <c r="E31655" t="str">
        <v>-</v>
      </c>
      <c r="F31655" t="str">
        <v>-</v>
      </c>
      <c r="G31655" t="str">
        <v>-</v>
      </c>
    </row>
    <row r="31656">
      <c r="B31656" t="str">
        <v>Công an phường Đông Hải tỉnh Thanh Hóa</v>
      </c>
      <c r="C31656" t="str">
        <v>-</v>
      </c>
      <c r="D31656" t="str">
        <v>-</v>
      </c>
      <c r="E31656" t="str">
        <v/>
      </c>
      <c r="F31656" t="str">
        <v>-</v>
      </c>
      <c r="G31656" t="str">
        <v>-</v>
      </c>
    </row>
    <row r="31657">
      <c r="B31657" t="str">
        <v>UBND Ủy ban nhân dân phường Đông Hải tỉnh Thanh Hóa</v>
      </c>
      <c r="C31657" t="str">
        <v>-</v>
      </c>
      <c r="D31657" t="str">
        <v>-</v>
      </c>
      <c r="E31657" t="str">
        <v>-</v>
      </c>
      <c r="F31657" t="str">
        <v>-</v>
      </c>
      <c r="G31657" t="str">
        <v>-</v>
      </c>
    </row>
    <row r="31658">
      <c r="B31658" t="str">
        <v>Công an phường Đông Mai  thành phố Hà Nội</v>
      </c>
      <c r="C31658" t="str">
        <v>-</v>
      </c>
      <c r="D31658" t="str">
        <v>-</v>
      </c>
      <c r="E31658" t="str">
        <v/>
      </c>
      <c r="F31658" t="str">
        <v>-</v>
      </c>
      <c r="G31658" t="str">
        <v>-</v>
      </c>
    </row>
    <row r="31659">
      <c r="B31659" t="str">
        <v>UBND Ủy ban nhân dân phường Đông Mai  thành phố Hà Nội</v>
      </c>
      <c r="C31659" t="str">
        <v>-</v>
      </c>
      <c r="D31659" t="str">
        <v>-</v>
      </c>
      <c r="E31659" t="str">
        <v>-</v>
      </c>
      <c r="F31659" t="str">
        <v>-</v>
      </c>
      <c r="G31659" t="str">
        <v>-</v>
      </c>
    </row>
    <row r="31660">
      <c r="B31660" t="str">
        <v>Công an phường Đông Thọ tỉnh Thanh Hóa</v>
      </c>
      <c r="C31660" t="str">
        <v>-</v>
      </c>
      <c r="D31660" t="str">
        <v>-</v>
      </c>
      <c r="E31660" t="str">
        <v/>
      </c>
      <c r="F31660" t="str">
        <v>-</v>
      </c>
      <c r="G31660" t="str">
        <v>-</v>
      </c>
    </row>
    <row r="31661">
      <c r="B31661" t="str">
        <v>UBND Ủy ban nhân dân phường Đông Thọ tỉnh Thanh Hóa</v>
      </c>
      <c r="C31661" t="str">
        <v>-</v>
      </c>
      <c r="D31661" t="str">
        <v>-</v>
      </c>
      <c r="E31661" t="str">
        <v>-</v>
      </c>
      <c r="F31661" t="str">
        <v>-</v>
      </c>
      <c r="G31661" t="str">
        <v>-</v>
      </c>
    </row>
    <row r="31662">
      <c r="B31662" t="str">
        <v>Công an phường Đông Vệ tỉnh Thanh Hóa</v>
      </c>
      <c r="C31662" t="str">
        <v>-</v>
      </c>
      <c r="D31662" t="str">
        <v>-</v>
      </c>
      <c r="E31662" t="str">
        <v/>
      </c>
      <c r="F31662" t="str">
        <v>-</v>
      </c>
      <c r="G31662" t="str">
        <v>-</v>
      </c>
    </row>
    <row r="31663">
      <c r="B31663" t="str">
        <v>UBND Ủy ban nhân dân phường Đông Vệ tỉnh Thanh Hóa</v>
      </c>
      <c r="C31663" t="str">
        <v>-</v>
      </c>
      <c r="D31663" t="str">
        <v>-</v>
      </c>
      <c r="E31663" t="str">
        <v>-</v>
      </c>
      <c r="F31663" t="str">
        <v>-</v>
      </c>
      <c r="G31663" t="str">
        <v>-</v>
      </c>
    </row>
    <row r="31664">
      <c r="B31664" t="str">
        <v xml:space="preserve">Công an phường Đậu Liêu </v>
      </c>
      <c r="C31664" t="str">
        <v>-</v>
      </c>
      <c r="D31664" t="str">
        <v>-</v>
      </c>
      <c r="E31664" t="str">
        <v/>
      </c>
      <c r="F31664" t="str">
        <v>-</v>
      </c>
      <c r="G31664" t="str">
        <v>-</v>
      </c>
    </row>
    <row r="31665">
      <c r="B31665" t="str">
        <v xml:space="preserve">UBND Ủy ban nhân dân phường Đậu Liêu </v>
      </c>
      <c r="C31665" t="str">
        <v>-</v>
      </c>
      <c r="D31665" t="str">
        <v>-</v>
      </c>
      <c r="E31665" t="str">
        <v>-</v>
      </c>
      <c r="F31665" t="str">
        <v>-</v>
      </c>
      <c r="G31665" t="str">
        <v>-</v>
      </c>
    </row>
    <row r="31666">
      <c r="B31666" t="str">
        <v>Công an tỉnh Cà Mau  tỉnh Cà Mau</v>
      </c>
      <c r="C31666" t="str">
        <v>-</v>
      </c>
      <c r="D31666" t="str">
        <v>-</v>
      </c>
      <c r="E31666" t="str">
        <v/>
      </c>
      <c r="F31666" t="str">
        <v>-</v>
      </c>
      <c r="G31666" t="str">
        <v>-</v>
      </c>
    </row>
    <row r="31667">
      <c r="B31667" t="str">
        <v>UBND Ủy ban nhân dân tỉnh Cà Mau  tỉnh Cà Mau</v>
      </c>
      <c r="C31667" t="str">
        <v>-</v>
      </c>
      <c r="D31667" t="str">
        <v>-</v>
      </c>
      <c r="E31667" t="str">
        <v>-</v>
      </c>
      <c r="F31667" t="str">
        <v>-</v>
      </c>
      <c r="G31667" t="str">
        <v>-</v>
      </c>
    </row>
    <row r="31668">
      <c r="B31668" t="str">
        <v>Công an tỉnhCao Bằng  tỉnh Cao Bằng</v>
      </c>
      <c r="C31668" t="str">
        <v>-</v>
      </c>
      <c r="D31668" t="str">
        <v>-</v>
      </c>
      <c r="E31668" t="str">
        <v/>
      </c>
      <c r="F31668" t="str">
        <v>-</v>
      </c>
      <c r="G31668" t="str">
        <v>-</v>
      </c>
    </row>
    <row r="31669">
      <c r="B31669" t="str">
        <v>UBND Ủy ban nhân dân tỉnhCao Bằng  tỉnh Cao Bằng</v>
      </c>
      <c r="C31669" t="str">
        <v>-</v>
      </c>
      <c r="D31669" t="str">
        <v>-</v>
      </c>
      <c r="E31669" t="str">
        <v>-</v>
      </c>
      <c r="F31669" t="str">
        <v>-</v>
      </c>
      <c r="G31669" t="str">
        <v>-</v>
      </c>
    </row>
    <row r="31670">
      <c r="B31670" t="str">
        <v>Công an huyện Quốc Oai  thành phố Hà Nội</v>
      </c>
      <c r="C31670" t="str">
        <v>-</v>
      </c>
      <c r="D31670" t="str">
        <v>-</v>
      </c>
      <c r="E31670" t="str">
        <v/>
      </c>
      <c r="F31670" t="str">
        <v>-</v>
      </c>
      <c r="G31670" t="str">
        <v>-</v>
      </c>
    </row>
    <row r="31671">
      <c r="B31671" t="str">
        <v>UBND Ủy ban nhân dân huyện Quốc Oai  thành phố Hà Nội</v>
      </c>
      <c r="C31671" t="str">
        <v>-</v>
      </c>
      <c r="D31671" t="str">
        <v>-</v>
      </c>
      <c r="E31671" t="str">
        <v>-</v>
      </c>
      <c r="F31671" t="str">
        <v>-</v>
      </c>
      <c r="G31671" t="str">
        <v>-</v>
      </c>
    </row>
    <row r="31672">
      <c r="B31672" t="str">
        <v>Công an huyện Mê Linh  thành phố Hà Nội</v>
      </c>
      <c r="C31672" t="str">
        <v>-</v>
      </c>
      <c r="D31672" t="str">
        <v>-</v>
      </c>
      <c r="E31672" t="str">
        <v/>
      </c>
      <c r="F31672" t="str">
        <v>-</v>
      </c>
      <c r="G31672" t="str">
        <v>-</v>
      </c>
    </row>
    <row r="31673">
      <c r="B31673" t="str">
        <v>UBND Ủy ban nhân dân huyện Mê Linh  thành phố Hà Nội</v>
      </c>
      <c r="C31673" t="str">
        <v>-</v>
      </c>
      <c r="D31673" t="str">
        <v>-</v>
      </c>
      <c r="E31673" t="str">
        <v>-</v>
      </c>
      <c r="F31673" t="str">
        <v>-</v>
      </c>
      <c r="G31673" t="str">
        <v>-</v>
      </c>
    </row>
    <row r="31674">
      <c r="B31674" t="str">
        <v>Công an xã Thượng Vực thành phố Hà Nội</v>
      </c>
      <c r="C31674" t="str">
        <v>-</v>
      </c>
      <c r="D31674" t="str">
        <v>-</v>
      </c>
      <c r="E31674" t="str">
        <v/>
      </c>
      <c r="F31674" t="str">
        <v>-</v>
      </c>
      <c r="G31674" t="str">
        <v>-</v>
      </c>
    </row>
    <row r="31675">
      <c r="B31675" t="str">
        <v>UBND Ủy ban nhân dân xã Thượng Vực thành phố Hà Nội</v>
      </c>
      <c r="C31675" t="str">
        <v>-</v>
      </c>
      <c r="D31675" t="str">
        <v>-</v>
      </c>
      <c r="E31675" t="str">
        <v>-</v>
      </c>
      <c r="F31675" t="str">
        <v>-</v>
      </c>
      <c r="G31675" t="str">
        <v>-</v>
      </c>
    </row>
    <row r="31676">
      <c r="B31676" t="str">
        <v>Công an xã Chiềng Pằn  tỉnh Sơn La</v>
      </c>
      <c r="C31676" t="str">
        <v>-</v>
      </c>
      <c r="D31676" t="str">
        <v>-</v>
      </c>
      <c r="E31676" t="str">
        <v/>
      </c>
      <c r="F31676" t="str">
        <v>-</v>
      </c>
      <c r="G31676" t="str">
        <v>-</v>
      </c>
    </row>
    <row r="31677">
      <c r="B31677" t="str">
        <v>UBND Ủy ban nhân dân xã Chiềng Pằn  tỉnh Sơn La</v>
      </c>
      <c r="C31677" t="str">
        <v>-</v>
      </c>
      <c r="D31677" t="str">
        <v>-</v>
      </c>
      <c r="E31677" t="str">
        <v>-</v>
      </c>
      <c r="F31677" t="str">
        <v>-</v>
      </c>
      <c r="G31677" t="str">
        <v>-</v>
      </c>
    </row>
    <row r="31678">
      <c r="B31678" t="str">
        <v>Công an xã Ngọc Hoà  thành phố Hà Nội</v>
      </c>
      <c r="C31678" t="str">
        <v>-</v>
      </c>
      <c r="D31678" t="str">
        <v>-</v>
      </c>
      <c r="E31678" t="str">
        <v/>
      </c>
      <c r="F31678" t="str">
        <v>-</v>
      </c>
      <c r="G31678" t="str">
        <v>-</v>
      </c>
    </row>
    <row r="31679">
      <c r="B31679" t="str">
        <v>UBND Ủy ban nhân dân xã Ngọc Hoà  thành phố Hà Nội</v>
      </c>
      <c r="C31679" t="str">
        <v>-</v>
      </c>
      <c r="D31679" t="str">
        <v>-</v>
      </c>
      <c r="E31679" t="str">
        <v>-</v>
      </c>
      <c r="F31679" t="str">
        <v>-</v>
      </c>
      <c r="G31679" t="str">
        <v>-</v>
      </c>
    </row>
    <row r="31680">
      <c r="B31680" t="str">
        <v>Công an xã Quang Kim tỉnh Lào Cai</v>
      </c>
      <c r="C31680" t="str">
        <v>-</v>
      </c>
      <c r="D31680" t="str">
        <v>-</v>
      </c>
      <c r="E31680" t="str">
        <v/>
      </c>
      <c r="F31680" t="str">
        <v>-</v>
      </c>
      <c r="G31680" t="str">
        <v>-</v>
      </c>
    </row>
    <row r="31681">
      <c r="B31681" t="str">
        <v>UBND Ủy ban nhân dân xã Quang Kim tỉnh Lào Cai</v>
      </c>
      <c r="C31681" t="str">
        <v>-</v>
      </c>
      <c r="D31681" t="str">
        <v>-</v>
      </c>
      <c r="E31681" t="str">
        <v>-</v>
      </c>
      <c r="F31681" t="str">
        <v>-</v>
      </c>
      <c r="G31681" t="str">
        <v>-</v>
      </c>
    </row>
    <row r="31682">
      <c r="B31682" t="str">
        <v>Công an xã Chí Tân tỉnh Hưng Yên</v>
      </c>
      <c r="C31682" t="str">
        <v>-</v>
      </c>
      <c r="D31682" t="str">
        <v>-</v>
      </c>
      <c r="E31682" t="str">
        <v/>
      </c>
      <c r="F31682" t="str">
        <v>-</v>
      </c>
      <c r="G31682" t="str">
        <v>-</v>
      </c>
    </row>
    <row r="31683">
      <c r="B31683" t="str">
        <v>UBND Ủy ban nhân dân xã Chí Tân tỉnh Hưng Yên</v>
      </c>
      <c r="C31683" t="str">
        <v>-</v>
      </c>
      <c r="D31683" t="str">
        <v>-</v>
      </c>
      <c r="E31683" t="str">
        <v>-</v>
      </c>
      <c r="F31683" t="str">
        <v>-</v>
      </c>
      <c r="G31683" t="str">
        <v>-</v>
      </c>
    </row>
    <row r="31684">
      <c r="B31684" t="str">
        <v>Công an xã Ngọc Quan  tỉnh Phú Thọ</v>
      </c>
      <c r="C31684" t="str">
        <v>-</v>
      </c>
      <c r="D31684" t="str">
        <v>-</v>
      </c>
      <c r="E31684" t="str">
        <v/>
      </c>
      <c r="F31684" t="str">
        <v>-</v>
      </c>
      <c r="G31684" t="str">
        <v>-</v>
      </c>
    </row>
    <row r="31685">
      <c r="B31685" t="str">
        <v>UBND Ủy ban nhân dân xã Ngọc Quan  tỉnh Phú Thọ</v>
      </c>
      <c r="C31685" t="str">
        <v>-</v>
      </c>
      <c r="D31685" t="str">
        <v>-</v>
      </c>
      <c r="E31685" t="str">
        <v>-</v>
      </c>
      <c r="F31685" t="str">
        <v>-</v>
      </c>
      <c r="G31685" t="str">
        <v>-</v>
      </c>
    </row>
    <row r="31686">
      <c r="B31686" t="str">
        <v>Công an huyện Đại Từ tỉnh Thái Nguyên</v>
      </c>
      <c r="C31686" t="str">
        <v>-</v>
      </c>
      <c r="D31686" t="str">
        <v>-</v>
      </c>
      <c r="E31686" t="str">
        <v/>
      </c>
      <c r="F31686" t="str">
        <v>-</v>
      </c>
      <c r="G31686" t="str">
        <v>-</v>
      </c>
    </row>
    <row r="31687">
      <c r="B31687" t="str">
        <v>UBND Ủy ban nhân dân huyện Đại Từ tỉnh Thái Nguyên</v>
      </c>
      <c r="C31687" t="str">
        <v>-</v>
      </c>
      <c r="D31687" t="str">
        <v>-</v>
      </c>
      <c r="E31687" t="str">
        <v>-</v>
      </c>
      <c r="F31687" t="str">
        <v>-</v>
      </c>
      <c r="G31687" t="str">
        <v>-</v>
      </c>
    </row>
    <row r="31688">
      <c r="B31688" t="str">
        <v>Công an xã An Hoà Tây tỉnh Bến Tre</v>
      </c>
      <c r="C31688" t="str">
        <v>-</v>
      </c>
      <c r="D31688" t="str">
        <v>-</v>
      </c>
      <c r="E31688" t="str">
        <v/>
      </c>
      <c r="F31688" t="str">
        <v>-</v>
      </c>
      <c r="G31688" t="str">
        <v>-</v>
      </c>
    </row>
    <row r="31689">
      <c r="B31689" t="str">
        <v>UBND Ủy ban nhân dân xã An Hoà Tây tỉnh Bến Tre</v>
      </c>
      <c r="C31689" t="str">
        <v>-</v>
      </c>
      <c r="D31689" t="str">
        <v>-</v>
      </c>
      <c r="E31689" t="str">
        <v>-</v>
      </c>
      <c r="F31689" t="str">
        <v>-</v>
      </c>
      <c r="G31689" t="str">
        <v>-</v>
      </c>
    </row>
    <row r="31690">
      <c r="B31690" t="str">
        <v>Công an thành phố Tam Điệp  tỉnh Ninh Bình</v>
      </c>
      <c r="C31690" t="str">
        <v>-</v>
      </c>
      <c r="D31690" t="str">
        <v>-</v>
      </c>
      <c r="E31690" t="str">
        <v/>
      </c>
      <c r="F31690" t="str">
        <v>-</v>
      </c>
      <c r="G31690" t="str">
        <v>-</v>
      </c>
    </row>
    <row r="31691">
      <c r="B31691" t="str">
        <v>UBND Ủy ban nhân dân thành phố Tam Điệp  tỉnh Ninh Bình</v>
      </c>
      <c r="C31691" t="str">
        <v>-</v>
      </c>
      <c r="D31691" t="str">
        <v>-</v>
      </c>
      <c r="E31691" t="str">
        <v>-</v>
      </c>
      <c r="F31691" t="str">
        <v>-</v>
      </c>
      <c r="G31691" t="str">
        <v>-</v>
      </c>
    </row>
    <row r="31692">
      <c r="B31692" t="str">
        <v>Công an thành phố Tây Ninh  tỉnh TÂY NINH</v>
      </c>
      <c r="C31692" t="str">
        <v>-</v>
      </c>
      <c r="D31692" t="str">
        <v>-</v>
      </c>
      <c r="E31692" t="str">
        <v/>
      </c>
      <c r="F31692" t="str">
        <v>-</v>
      </c>
      <c r="G31692" t="str">
        <v>-</v>
      </c>
    </row>
    <row r="31693">
      <c r="B31693" t="str">
        <v>UBND Ủy ban nhân dân thành phố Tây Ninh  tỉnh TÂY NINH</v>
      </c>
      <c r="C31693" t="str">
        <v>-</v>
      </c>
      <c r="D31693" t="str">
        <v>-</v>
      </c>
      <c r="E31693" t="str">
        <v>-</v>
      </c>
      <c r="F31693" t="str">
        <v>-</v>
      </c>
      <c r="G31693" t="str">
        <v>-</v>
      </c>
    </row>
    <row r="31694">
      <c r="B31694" t="str">
        <v>Công an thị xã Ba Đồn tỉnh Quảng Bình</v>
      </c>
      <c r="C31694" t="str">
        <v>-</v>
      </c>
      <c r="D31694" t="str">
        <v>-</v>
      </c>
      <c r="E31694" t="str">
        <v/>
      </c>
      <c r="F31694" t="str">
        <v>-</v>
      </c>
      <c r="G31694" t="str">
        <v>-</v>
      </c>
    </row>
    <row r="31695">
      <c r="B31695" t="str">
        <v>UBND Ủy ban nhân dân thị xã Ba Đồn tỉnh Quảng Bình</v>
      </c>
      <c r="C31695" t="str">
        <v>-</v>
      </c>
      <c r="D31695" t="str">
        <v>-</v>
      </c>
      <c r="E31695" t="str">
        <v>-</v>
      </c>
      <c r="F31695" t="str">
        <v>-</v>
      </c>
      <c r="G31695" t="str">
        <v>-</v>
      </c>
    </row>
    <row r="31696">
      <c r="B31696" t="str">
        <v>Công an tỉnh Thừa Thiên Huế tỉnh THỪA THIÊN HUẾ</v>
      </c>
      <c r="C31696" t="str">
        <v>-</v>
      </c>
      <c r="D31696" t="str">
        <v>-</v>
      </c>
      <c r="E31696" t="str">
        <v/>
      </c>
      <c r="F31696" t="str">
        <v>-</v>
      </c>
      <c r="G31696" t="str">
        <v>-</v>
      </c>
    </row>
    <row r="31697">
      <c r="B31697" t="str">
        <v>UBND Ủy ban nhân dân tỉnh Thừa Thiên Huế tỉnh THỪA THIÊN HUẾ</v>
      </c>
      <c r="C31697" t="str">
        <v>-</v>
      </c>
      <c r="D31697" t="str">
        <v>-</v>
      </c>
      <c r="E31697" t="str">
        <v>-</v>
      </c>
      <c r="F31697" t="str">
        <v>-</v>
      </c>
      <c r="G31697" t="str">
        <v>-</v>
      </c>
    </row>
    <row r="31698">
      <c r="B31698" t="str">
        <v>Công an tỉnh Bình Định  tỉnh Bình Định</v>
      </c>
      <c r="C31698" t="str">
        <v>-</v>
      </c>
      <c r="D31698" t="str">
        <v>-</v>
      </c>
      <c r="E31698" t="str">
        <v/>
      </c>
      <c r="F31698" t="str">
        <v>-</v>
      </c>
      <c r="G31698" t="str">
        <v>-</v>
      </c>
    </row>
    <row r="31699">
      <c r="B31699" t="str">
        <v>UBND Ủy ban nhân dân tỉnh Bình Định  tỉnh Bình Định</v>
      </c>
      <c r="C31699" t="str">
        <v>-</v>
      </c>
      <c r="D31699" t="str">
        <v>-</v>
      </c>
      <c r="E31699" t="str">
        <v>-</v>
      </c>
      <c r="F31699" t="str">
        <v>-</v>
      </c>
      <c r="G31699" t="str">
        <v>-</v>
      </c>
    </row>
    <row r="31700">
      <c r="B31700" t="str">
        <v>Công an tỉnh Vĩnh Long  tỉnh Vĩnh Long</v>
      </c>
      <c r="C31700" t="str">
        <v>-</v>
      </c>
      <c r="D31700" t="str">
        <v>-</v>
      </c>
      <c r="E31700" t="str">
        <v/>
      </c>
      <c r="F31700" t="str">
        <v>-</v>
      </c>
      <c r="G31700" t="str">
        <v>-</v>
      </c>
    </row>
    <row r="31701">
      <c r="B31701" t="str">
        <v>UBND Ủy ban nhân dân tỉnh Vĩnh Long  tỉnh Vĩnh Long</v>
      </c>
      <c r="C31701" t="str">
        <v>-</v>
      </c>
      <c r="D31701" t="str">
        <v>-</v>
      </c>
      <c r="E31701" t="str">
        <v>-</v>
      </c>
      <c r="F31701" t="str">
        <v>-</v>
      </c>
      <c r="G31701" t="str">
        <v>-</v>
      </c>
    </row>
    <row r="31702">
      <c r="B31702" t="str">
        <v>Công an tỉnh Vĩnh Phúc  tỉnh Vĩnh Phúc</v>
      </c>
      <c r="C31702" t="str">
        <v>-</v>
      </c>
      <c r="D31702" t="str">
        <v>-</v>
      </c>
      <c r="E31702" t="str">
        <v/>
      </c>
      <c r="F31702" t="str">
        <v>-</v>
      </c>
      <c r="G31702" t="str">
        <v>-</v>
      </c>
    </row>
    <row r="31703">
      <c r="B31703" t="str">
        <v>UBND Ủy ban nhân dân tỉnh Vĩnh Phúc  tỉnh Vĩnh Phúc</v>
      </c>
      <c r="C31703" t="str">
        <v>-</v>
      </c>
      <c r="D31703" t="str">
        <v>-</v>
      </c>
      <c r="E31703" t="str">
        <v>-</v>
      </c>
      <c r="F31703" t="str">
        <v>-</v>
      </c>
      <c r="G31703" t="str">
        <v>-</v>
      </c>
    </row>
    <row r="31704">
      <c r="B31704" t="str">
        <v>Công an xã Thanh Trạch  tỉnh Quảng Bình</v>
      </c>
      <c r="C31704" t="str">
        <v>-</v>
      </c>
      <c r="D31704" t="str">
        <v>-</v>
      </c>
      <c r="E31704" t="str">
        <v/>
      </c>
      <c r="F31704" t="str">
        <v>-</v>
      </c>
      <c r="G31704" t="str">
        <v>-</v>
      </c>
    </row>
    <row r="31705">
      <c r="B31705" t="str">
        <v>UBND Ủy ban nhân dân xã Thanh Trạch  tỉnh Quảng Bình</v>
      </c>
      <c r="C31705" t="str">
        <v>-</v>
      </c>
      <c r="D31705" t="str">
        <v>-</v>
      </c>
      <c r="E31705" t="str">
        <v>-</v>
      </c>
      <c r="F31705" t="str">
        <v>-</v>
      </c>
      <c r="G31705" t="str">
        <v>-</v>
      </c>
    </row>
    <row r="31706">
      <c r="B31706" t="str">
        <v>Công an huyện Đăk Tô  tỉnh Kon Tum</v>
      </c>
      <c r="C31706" t="str">
        <v>-</v>
      </c>
      <c r="D31706" t="str">
        <v>-</v>
      </c>
      <c r="E31706" t="str">
        <v/>
      </c>
      <c r="F31706" t="str">
        <v>-</v>
      </c>
      <c r="G31706" t="str">
        <v>-</v>
      </c>
    </row>
    <row r="31707">
      <c r="B31707" t="str">
        <v>UBND Ủy ban nhân dân huyện Đăk Tô  tỉnh Kon Tum</v>
      </c>
      <c r="C31707" t="str">
        <v>-</v>
      </c>
      <c r="D31707" t="str">
        <v>-</v>
      </c>
      <c r="E31707" t="str">
        <v>-</v>
      </c>
      <c r="F31707" t="str">
        <v>-</v>
      </c>
      <c r="G31707" t="str">
        <v>-</v>
      </c>
    </row>
    <row r="31708" xml:space="preserve">
      <c r="B31708" t="str" xml:space="preserve">
        <v xml:space="preserve">Công an phường Ea Tam _x000d_
 tỉnh Đắk Lắk</v>
      </c>
      <c r="C31708" t="str">
        <v>-</v>
      </c>
      <c r="D31708" t="str">
        <v>-</v>
      </c>
      <c r="E31708" t="str">
        <v/>
      </c>
      <c r="F31708" t="str">
        <v>-</v>
      </c>
      <c r="G31708" t="str">
        <v>-</v>
      </c>
    </row>
    <row r="31709" xml:space="preserve">
      <c r="B31709" t="str" xml:space="preserve">
        <v xml:space="preserve">UBND Ủy ban nhân dân phường Ea Tam _x000d_
 tỉnh Đắk Lắk</v>
      </c>
      <c r="C31709" t="str">
        <v>-</v>
      </c>
      <c r="D31709" t="str">
        <v>-</v>
      </c>
      <c r="E31709" t="str">
        <v>-</v>
      </c>
      <c r="F31709" t="str">
        <v>-</v>
      </c>
      <c r="G31709" t="str">
        <v>-</v>
      </c>
    </row>
    <row r="31710">
      <c r="B31710" t="str">
        <v>Công an tỉnh Gia Lai  tỉnh Gia Lai</v>
      </c>
      <c r="C31710" t="str">
        <v>-</v>
      </c>
      <c r="D31710" t="str">
        <v>-</v>
      </c>
      <c r="E31710" t="str">
        <v/>
      </c>
      <c r="F31710" t="str">
        <v>-</v>
      </c>
      <c r="G31710" t="str">
        <v>-</v>
      </c>
    </row>
    <row r="31711">
      <c r="B31711" t="str">
        <v>UBND Ủy ban nhân dân tỉnh Gia Lai  tỉnh Gia Lai</v>
      </c>
      <c r="C31711" t="str">
        <v>-</v>
      </c>
      <c r="D31711" t="str">
        <v>-</v>
      </c>
      <c r="E31711" t="str">
        <v>-</v>
      </c>
      <c r="F31711" t="str">
        <v>-</v>
      </c>
      <c r="G31711" t="str">
        <v>-</v>
      </c>
    </row>
    <row r="31712">
      <c r="B31712" t="str">
        <v>Công an tỉnh Thanh Hóa  tỉnh Thanh Hóa</v>
      </c>
      <c r="C31712" t="str">
        <v>-</v>
      </c>
      <c r="D31712" t="str">
        <v>-</v>
      </c>
      <c r="E31712" t="str">
        <v/>
      </c>
      <c r="F31712" t="str">
        <v>-</v>
      </c>
      <c r="G31712" t="str">
        <v>-</v>
      </c>
    </row>
    <row r="31713">
      <c r="B31713" t="str">
        <v>UBND Ủy ban nhân dân tỉnh Thanh Hóa  tỉnh Thanh Hóa</v>
      </c>
      <c r="C31713" t="str">
        <v>-</v>
      </c>
      <c r="D31713" t="str">
        <v>-</v>
      </c>
      <c r="E31713" t="str">
        <v>-</v>
      </c>
      <c r="F31713" t="str">
        <v>-</v>
      </c>
      <c r="G31713" t="str">
        <v>-</v>
      </c>
    </row>
    <row r="31714">
      <c r="B31714" t="str">
        <v xml:space="preserve"> Công an tỉnh Bắc Ninh  tỉnh Bắc Ninh</v>
      </c>
    </row>
    <row r="31715">
      <c r="B31715" t="str">
        <v>UBND Ủy ban nhân dânn tỉnh Bắc Ninh  tỉnh Bắc Ninh</v>
      </c>
      <c r="C31715" t="str">
        <v>-</v>
      </c>
      <c r="D31715" t="str">
        <v>-</v>
      </c>
      <c r="E31715" t="str">
        <v>-</v>
      </c>
      <c r="F31715" t="str">
        <v>-</v>
      </c>
      <c r="G31715" t="str">
        <v>-</v>
      </c>
    </row>
    <row r="31716">
      <c r="B31716" t="str">
        <v xml:space="preserve"> Công an tỉnh Bắc Ninh  tỉnh Bắc Ninh</v>
      </c>
    </row>
    <row r="31717">
      <c r="B31717" t="str">
        <v>UBND Ủy ban nhân dânn tỉnh Bắc Ninh  tỉnh Bắc Ninh</v>
      </c>
      <c r="C31717" t="str">
        <v>-</v>
      </c>
      <c r="D31717" t="str">
        <v>-</v>
      </c>
      <c r="E31717" t="str">
        <v>-</v>
      </c>
      <c r="F31717" t="str">
        <v>-</v>
      </c>
      <c r="G31717" t="str">
        <v>-</v>
      </c>
    </row>
    <row r="31718">
      <c r="B31718" t="str">
        <v>Công an xã Vĩnh Trung tỉnh Quảng Ninh</v>
      </c>
      <c r="C31718" t="str">
        <v>-</v>
      </c>
      <c r="D31718" t="str">
        <v>-</v>
      </c>
      <c r="E31718" t="str">
        <v/>
      </c>
      <c r="F31718" t="str">
        <v>-</v>
      </c>
      <c r="G31718" t="str">
        <v>-</v>
      </c>
    </row>
    <row r="31719">
      <c r="B31719" t="str">
        <v>UBND Ủy ban nhân dân xã Vĩnh Trung tỉnh Quảng Ninh</v>
      </c>
      <c r="C31719" t="str">
        <v>-</v>
      </c>
      <c r="D31719" t="str">
        <v>-</v>
      </c>
      <c r="E31719" t="str">
        <v>-</v>
      </c>
      <c r="F31719" t="str">
        <v>-</v>
      </c>
      <c r="G31719" t="str">
        <v>-</v>
      </c>
    </row>
    <row r="31720">
      <c r="B31720" t="str">
        <v>Công an xã Thượng Cốc tỉnh Hòa Bình</v>
      </c>
      <c r="C31720" t="str">
        <v>-</v>
      </c>
      <c r="D31720" t="str">
        <v>-</v>
      </c>
      <c r="E31720" t="str">
        <v/>
      </c>
      <c r="F31720" t="str">
        <v>-</v>
      </c>
      <c r="G31720" t="str">
        <v>-</v>
      </c>
    </row>
    <row r="31721">
      <c r="B31721" t="str">
        <v>UBND Ủy ban nhân dân xã Thượng Cốc tỉnh Hòa Bình</v>
      </c>
      <c r="C31721" t="str">
        <v>-</v>
      </c>
      <c r="D31721" t="str">
        <v>-</v>
      </c>
      <c r="E31721" t="str">
        <v>-</v>
      </c>
      <c r="F31721" t="str">
        <v>-</v>
      </c>
      <c r="G31721" t="str">
        <v>-</v>
      </c>
    </row>
    <row r="31722">
      <c r="B31722" t="str">
        <v>Công an thị xã Hồng Lĩnh  tỉnh Hà Tĩnh</v>
      </c>
      <c r="C31722" t="str">
        <v>-</v>
      </c>
      <c r="D31722" t="str">
        <v>-</v>
      </c>
      <c r="E31722" t="str">
        <v/>
      </c>
      <c r="F31722" t="str">
        <v>-</v>
      </c>
      <c r="G31722" t="str">
        <v>-</v>
      </c>
    </row>
    <row r="31723">
      <c r="B31723" t="str">
        <v>UBND Ủy ban nhân dân thị xã Hồng Lĩnh  tỉnh Hà Tĩnh</v>
      </c>
      <c r="C31723" t="str">
        <v>-</v>
      </c>
      <c r="D31723" t="str">
        <v>-</v>
      </c>
      <c r="E31723" t="str">
        <v>-</v>
      </c>
      <c r="F31723" t="str">
        <v>-</v>
      </c>
      <c r="G31723" t="str">
        <v>-</v>
      </c>
    </row>
    <row r="31724">
      <c r="B31724" t="str">
        <v>Công an tỉnh Vĩnh Long tỉnh Vĩnh Long</v>
      </c>
      <c r="C31724" t="str">
        <v>-</v>
      </c>
      <c r="D31724" t="str">
        <v>-</v>
      </c>
      <c r="E31724" t="str">
        <v/>
      </c>
      <c r="F31724" t="str">
        <v>-</v>
      </c>
      <c r="G31724" t="str">
        <v>-</v>
      </c>
    </row>
    <row r="31725">
      <c r="B31725" t="str">
        <v>UBND Ủy ban nhân dân tỉnh Vĩnh Long tỉnh Vĩnh Long</v>
      </c>
      <c r="C31725" t="str">
        <v>-</v>
      </c>
      <c r="D31725" t="str">
        <v>-</v>
      </c>
      <c r="E31725" t="str">
        <v>-</v>
      </c>
      <c r="F31725" t="str">
        <v>-</v>
      </c>
      <c r="G31725" t="str">
        <v>-</v>
      </c>
    </row>
    <row r="31726">
      <c r="B31726" t="str">
        <v>Công an thành phố Hà Tĩnh  tỉnh Hà Tĩnh</v>
      </c>
      <c r="C31726" t="str">
        <v>-</v>
      </c>
      <c r="D31726" t="str">
        <v>-</v>
      </c>
      <c r="E31726" t="str">
        <v/>
      </c>
      <c r="F31726" t="str">
        <v>-</v>
      </c>
      <c r="G31726" t="str">
        <v>-</v>
      </c>
    </row>
    <row r="31727">
      <c r="B31727" t="str">
        <v>UBND Ủy ban nhân dân thành phố Hà Tĩnh  tỉnh Hà Tĩnh</v>
      </c>
      <c r="C31727" t="str">
        <v>-</v>
      </c>
      <c r="D31727" t="str">
        <v>-</v>
      </c>
      <c r="E31727" t="str">
        <v>-</v>
      </c>
      <c r="F31727" t="str">
        <v>-</v>
      </c>
      <c r="G31727" t="str">
        <v>-</v>
      </c>
    </row>
    <row r="31728">
      <c r="B31728" t="str">
        <v>Công an thành phố Đà Nẵng  thành phố Đà Nẵng</v>
      </c>
      <c r="C31728" t="str">
        <v>-</v>
      </c>
      <c r="D31728" t="str">
        <v>-</v>
      </c>
      <c r="E31728" t="str">
        <v/>
      </c>
      <c r="F31728" t="str">
        <v>-</v>
      </c>
      <c r="G31728" t="str">
        <v>-</v>
      </c>
    </row>
    <row r="31729">
      <c r="B31729" t="str">
        <v>UBND Ủy ban nhân dân thành phố Đà Nẵng  thành phố Đà Nẵng</v>
      </c>
      <c r="C31729" t="str">
        <v>-</v>
      </c>
      <c r="D31729" t="str">
        <v>-</v>
      </c>
      <c r="E31729" t="str">
        <v>-</v>
      </c>
      <c r="F31729" t="str">
        <v>-</v>
      </c>
      <c r="G31729" t="str">
        <v>-</v>
      </c>
    </row>
    <row r="31730">
      <c r="B31730" t="str">
        <v>Công an huyện Lệ Thủy  tỉnh Quảng Bình</v>
      </c>
      <c r="C31730" t="str">
        <v>-</v>
      </c>
      <c r="D31730" t="str">
        <v>-</v>
      </c>
      <c r="E31730" t="str">
        <v/>
      </c>
      <c r="F31730" t="str">
        <v>-</v>
      </c>
      <c r="G31730" t="str">
        <v>-</v>
      </c>
    </row>
    <row r="31731">
      <c r="B31731" t="str">
        <v>UBND Ủy ban nhân dân huyện Lệ Thủy  tỉnh Quảng Bình</v>
      </c>
      <c r="C31731" t="str">
        <v>-</v>
      </c>
      <c r="D31731" t="str">
        <v>-</v>
      </c>
      <c r="E31731" t="str">
        <v>-</v>
      </c>
      <c r="F31731" t="str">
        <v>-</v>
      </c>
      <c r="G31731" t="str">
        <v>-</v>
      </c>
    </row>
    <row r="31732">
      <c r="B31732" t="str">
        <v>Công an huyện Lệ Thủy  tỉnh Quảng Bình</v>
      </c>
      <c r="C31732" t="str">
        <v>-</v>
      </c>
      <c r="D31732" t="str">
        <v>-</v>
      </c>
      <c r="E31732" t="str">
        <v/>
      </c>
      <c r="F31732" t="str">
        <v>-</v>
      </c>
      <c r="G31732" t="str">
        <v>-</v>
      </c>
    </row>
    <row r="31733">
      <c r="B31733" t="str">
        <v>UBND Ủy ban nhân dân huyện Lệ Thủy  tỉnh Quảng Bình</v>
      </c>
      <c r="C31733" t="str">
        <v>-</v>
      </c>
      <c r="D31733" t="str">
        <v>-</v>
      </c>
      <c r="E31733" t="str">
        <v>-</v>
      </c>
      <c r="F31733" t="str">
        <v>-</v>
      </c>
      <c r="G31733" t="str">
        <v>-</v>
      </c>
    </row>
    <row r="31734">
      <c r="B31734" t="str">
        <v>Công an huyện Đức Cơ  tỉnh Gia Lai</v>
      </c>
      <c r="C31734" t="str">
        <v>-</v>
      </c>
      <c r="D31734" t="str">
        <v>-</v>
      </c>
      <c r="E31734" t="str">
        <v/>
      </c>
      <c r="F31734" t="str">
        <v>-</v>
      </c>
      <c r="G31734" t="str">
        <v>-</v>
      </c>
    </row>
    <row r="31735">
      <c r="B31735" t="str">
        <v>UBND Ủy ban nhân dân huyện Đức Cơ  tỉnh Gia Lai</v>
      </c>
      <c r="C31735" t="str">
        <v>-</v>
      </c>
      <c r="D31735" t="str">
        <v>-</v>
      </c>
      <c r="E31735" t="str">
        <v>-</v>
      </c>
      <c r="F31735" t="str">
        <v>-</v>
      </c>
      <c r="G31735" t="str">
        <v>-</v>
      </c>
    </row>
    <row r="31736">
      <c r="B31736" t="str">
        <v>Công an huyện Tam Bình tỉnh Vĩnh Long</v>
      </c>
      <c r="C31736" t="str">
        <v>-</v>
      </c>
      <c r="D31736" t="str">
        <v>-</v>
      </c>
      <c r="E31736" t="str">
        <v/>
      </c>
      <c r="F31736" t="str">
        <v>-</v>
      </c>
      <c r="G31736" t="str">
        <v>-</v>
      </c>
    </row>
    <row r="31737">
      <c r="B31737" t="str">
        <v>UBND Ủy ban nhân dân huyện Tam Bình tỉnh Vĩnh Long</v>
      </c>
      <c r="C31737" t="str">
        <v>-</v>
      </c>
      <c r="D31737" t="str">
        <v>-</v>
      </c>
      <c r="E31737" t="str">
        <v>-</v>
      </c>
      <c r="F31737" t="str">
        <v>-</v>
      </c>
      <c r="G31737" t="str">
        <v>-</v>
      </c>
    </row>
    <row r="31738">
      <c r="B31738" t="str">
        <v>Công an huyện Tam Bình tỉnh Vĩnh Long</v>
      </c>
      <c r="C31738" t="str">
        <v>-</v>
      </c>
      <c r="D31738" t="str">
        <v>-</v>
      </c>
      <c r="E31738" t="str">
        <v/>
      </c>
      <c r="F31738" t="str">
        <v>-</v>
      </c>
      <c r="G31738" t="str">
        <v>-</v>
      </c>
    </row>
    <row r="31739">
      <c r="B31739" t="str">
        <v>UBND Ủy ban nhân dân huyện Tam Bình tỉnh Vĩnh Long</v>
      </c>
      <c r="C31739" t="str">
        <v>-</v>
      </c>
      <c r="D31739" t="str">
        <v>-</v>
      </c>
      <c r="E31739" t="str">
        <v>-</v>
      </c>
      <c r="F31739" t="str">
        <v>-</v>
      </c>
      <c r="G31739" t="str">
        <v>-</v>
      </c>
    </row>
    <row r="31740">
      <c r="B31740" t="str">
        <v>Công an tỉnh Bạc Liêu  tỉnh Bạc Liêu</v>
      </c>
      <c r="C31740" t="str">
        <v>-</v>
      </c>
      <c r="D31740" t="str">
        <v>-</v>
      </c>
      <c r="E31740" t="str">
        <v/>
      </c>
      <c r="F31740" t="str">
        <v>-</v>
      </c>
      <c r="G31740" t="str">
        <v>-</v>
      </c>
    </row>
    <row r="31741">
      <c r="B31741" t="str">
        <v>UBND Ủy ban nhân dân tỉnh Bạc Liêu  tỉnh Bạc Liêu</v>
      </c>
      <c r="C31741" t="str">
        <v>-</v>
      </c>
      <c r="D31741" t="str">
        <v>-</v>
      </c>
      <c r="E31741" t="str">
        <v>-</v>
      </c>
      <c r="F31741" t="str">
        <v>-</v>
      </c>
      <c r="G31741" t="str">
        <v>-</v>
      </c>
    </row>
    <row r="31742">
      <c r="B31742" t="str">
        <v>Công an xã Vĩnh Châu  tỉnh Sóc Trăng</v>
      </c>
      <c r="C31742" t="str">
        <v>-</v>
      </c>
      <c r="D31742" t="str">
        <v>-</v>
      </c>
      <c r="E31742" t="str">
        <v/>
      </c>
      <c r="F31742" t="str">
        <v>-</v>
      </c>
      <c r="G31742" t="str">
        <v>-</v>
      </c>
    </row>
    <row r="31743">
      <c r="B31743" t="str">
        <v>UBND Ủy ban nhân dân xã Vĩnh Châu  tỉnh Sóc Trăng</v>
      </c>
      <c r="C31743" t="str">
        <v>-</v>
      </c>
      <c r="D31743" t="str">
        <v>-</v>
      </c>
      <c r="E31743" t="str">
        <v>-</v>
      </c>
      <c r="F31743" t="str">
        <v>-</v>
      </c>
      <c r="G31743" t="str">
        <v>-</v>
      </c>
    </row>
    <row r="31744">
      <c r="B31744" t="str">
        <v>Công an xã Toàn Sơn tỉnh Hòa Bình</v>
      </c>
      <c r="C31744" t="str">
        <v>-</v>
      </c>
      <c r="D31744" t="str">
        <v>-</v>
      </c>
      <c r="E31744" t="str">
        <v/>
      </c>
      <c r="F31744" t="str">
        <v>-</v>
      </c>
      <c r="G31744" t="str">
        <v>-</v>
      </c>
    </row>
    <row r="31745">
      <c r="B31745" t="str">
        <v>UBND Ủy ban nhân dân xã Toàn Sơn tỉnh Hòa Bình</v>
      </c>
      <c r="C31745" t="str">
        <v>-</v>
      </c>
      <c r="D31745" t="str">
        <v>-</v>
      </c>
      <c r="E31745" t="str">
        <v>-</v>
      </c>
      <c r="F31745" t="str">
        <v>-</v>
      </c>
      <c r="G31745" t="str">
        <v>-</v>
      </c>
    </row>
    <row r="31746">
      <c r="B31746" t="str">
        <v>Công an xã Thượng Quảng  tỉnh THỪA THIÊN HUẾ</v>
      </c>
      <c r="C31746" t="str">
        <v>-</v>
      </c>
      <c r="D31746" t="str">
        <v>-</v>
      </c>
      <c r="E31746" t="str">
        <v/>
      </c>
      <c r="F31746" t="str">
        <v>-</v>
      </c>
      <c r="G31746" t="str">
        <v>-</v>
      </c>
    </row>
    <row r="31747">
      <c r="B31747" t="str">
        <v>UBND Ủy ban nhân dân xã Thượng Quảng  tỉnh THỪA THIÊN HUẾ</v>
      </c>
      <c r="C31747" t="str">
        <v>-</v>
      </c>
      <c r="D31747" t="str">
        <v>-</v>
      </c>
      <c r="E31747" t="str">
        <v>-</v>
      </c>
      <c r="F31747" t="str">
        <v>-</v>
      </c>
      <c r="G31747" t="str">
        <v>-</v>
      </c>
    </row>
    <row r="31748">
      <c r="B31748" t="str">
        <v>Công an tỉnh Quảng Trị  tỉnh Quảng Trị</v>
      </c>
      <c r="C31748" t="str">
        <v>-</v>
      </c>
      <c r="D31748" t="str">
        <v>-</v>
      </c>
      <c r="E31748" t="str">
        <v/>
      </c>
      <c r="F31748" t="str">
        <v>-</v>
      </c>
      <c r="G31748" t="str">
        <v>-</v>
      </c>
    </row>
    <row r="31749">
      <c r="B31749" t="str">
        <v>UBND Ủy ban nhân dân tỉnh Quảng Trị  tỉnh Quảng Trị</v>
      </c>
      <c r="C31749" t="str">
        <v>-</v>
      </c>
      <c r="D31749" t="str">
        <v>-</v>
      </c>
      <c r="E31749" t="str">
        <v>-</v>
      </c>
      <c r="F31749" t="str">
        <v>-</v>
      </c>
      <c r="G31749" t="str">
        <v>-</v>
      </c>
    </row>
    <row r="31750">
      <c r="B31750" t="str">
        <v>Công an huyện Đak Đoa  tỉnh Gia Lai</v>
      </c>
      <c r="C31750" t="str">
        <v>-</v>
      </c>
      <c r="D31750" t="str">
        <v>-</v>
      </c>
      <c r="E31750" t="str">
        <v/>
      </c>
      <c r="F31750" t="str">
        <v>-</v>
      </c>
      <c r="G31750" t="str">
        <v>-</v>
      </c>
    </row>
    <row r="31751">
      <c r="B31751" t="str">
        <v>UBND Ủy ban nhân dân huyện Đak Đoa  tỉnh Gia Lai</v>
      </c>
      <c r="C31751" t="str">
        <v>-</v>
      </c>
      <c r="D31751" t="str">
        <v>-</v>
      </c>
      <c r="E31751" t="str">
        <v>-</v>
      </c>
      <c r="F31751" t="str">
        <v>-</v>
      </c>
      <c r="G31751" t="str">
        <v>-</v>
      </c>
    </row>
    <row r="31752">
      <c r="B31752" t="str">
        <v>Công an tỉnh Hà Tĩnh  tỉnh Hà Tĩnh</v>
      </c>
      <c r="C31752" t="str">
        <v>-</v>
      </c>
      <c r="D31752" t="str">
        <v>-</v>
      </c>
      <c r="E31752" t="str">
        <v/>
      </c>
      <c r="F31752" t="str">
        <v>-</v>
      </c>
      <c r="G31752" t="str">
        <v>-</v>
      </c>
    </row>
    <row r="31753">
      <c r="B31753" t="str">
        <v>UBND Ủy ban nhân dân tỉnh Hà Tĩnh  tỉnh Hà Tĩnh</v>
      </c>
      <c r="C31753" t="str">
        <v>-</v>
      </c>
      <c r="D31753" t="str">
        <v>-</v>
      </c>
      <c r="E31753" t="str">
        <v>-</v>
      </c>
      <c r="F31753" t="str">
        <v>-</v>
      </c>
      <c r="G31753" t="str">
        <v>-</v>
      </c>
    </row>
    <row r="31754">
      <c r="B31754" t="str">
        <v>Công an tỉnh Hà Tĩnh  tỉnh Hà Tĩnh</v>
      </c>
      <c r="C31754" t="str">
        <v>-</v>
      </c>
      <c r="D31754" t="str">
        <v>-</v>
      </c>
      <c r="E31754" t="str">
        <v/>
      </c>
      <c r="F31754" t="str">
        <v>-</v>
      </c>
      <c r="G31754" t="str">
        <v>-</v>
      </c>
    </row>
    <row r="31755">
      <c r="B31755" t="str">
        <v>UBND Ủy ban nhân dân tỉnh Hà Tĩnh  tỉnh Hà Tĩnh</v>
      </c>
      <c r="C31755" t="str">
        <v>-</v>
      </c>
      <c r="D31755" t="str">
        <v>-</v>
      </c>
      <c r="E31755" t="str">
        <v>-</v>
      </c>
      <c r="F31755" t="str">
        <v>-</v>
      </c>
      <c r="G31755" t="str">
        <v>-</v>
      </c>
    </row>
    <row r="31756">
      <c r="B31756" t="str">
        <v>Công an tỉnh Ninh Bình tỉnh Ninh Bình</v>
      </c>
      <c r="C31756" t="str">
        <v>-</v>
      </c>
      <c r="D31756" t="str">
        <v>-</v>
      </c>
      <c r="E31756" t="str">
        <v/>
      </c>
      <c r="F31756" t="str">
        <v>-</v>
      </c>
      <c r="G31756" t="str">
        <v>-</v>
      </c>
    </row>
    <row r="31757">
      <c r="B31757" t="str">
        <v>UBND Ủy ban nhân dân tỉnh Ninh Bình tỉnh Ninh Bình</v>
      </c>
      <c r="C31757" t="str">
        <v>-</v>
      </c>
      <c r="D31757" t="str">
        <v>-</v>
      </c>
      <c r="E31757" t="str">
        <v>-</v>
      </c>
      <c r="F31757" t="str">
        <v>-</v>
      </c>
      <c r="G31757" t="str">
        <v>-</v>
      </c>
    </row>
    <row r="31758">
      <c r="B31758" t="str">
        <v>Công an tỉnh Tây Ninh tỉnh TÂY NINH</v>
      </c>
      <c r="C31758" t="str">
        <v>-</v>
      </c>
      <c r="D31758" t="str">
        <v>-</v>
      </c>
      <c r="E31758" t="str">
        <v/>
      </c>
      <c r="F31758" t="str">
        <v>-</v>
      </c>
      <c r="G31758" t="str">
        <v>-</v>
      </c>
    </row>
    <row r="31759">
      <c r="B31759" t="str">
        <v>UBND Ủy ban nhân dân tỉnh Tây Ninh tỉnh TÂY NINH</v>
      </c>
      <c r="C31759" t="str">
        <v>-</v>
      </c>
      <c r="D31759" t="str">
        <v>-</v>
      </c>
      <c r="E31759" t="str">
        <v>-</v>
      </c>
      <c r="F31759" t="str">
        <v>-</v>
      </c>
      <c r="G31759" t="str">
        <v>-</v>
      </c>
    </row>
    <row r="31760">
      <c r="B31760" t="str">
        <v>Công an tỉnh Vĩnh Long tỉnh Vĩnh Long</v>
      </c>
      <c r="C31760" t="str">
        <v>-</v>
      </c>
      <c r="D31760" t="str">
        <v>-</v>
      </c>
      <c r="E31760" t="str">
        <v/>
      </c>
      <c r="F31760" t="str">
        <v>-</v>
      </c>
      <c r="G31760" t="str">
        <v>-</v>
      </c>
    </row>
    <row r="31761">
      <c r="B31761" t="str">
        <v>UBND Ủy ban nhân dân tỉnh Vĩnh Long tỉnh Vĩnh Long</v>
      </c>
      <c r="C31761" t="str">
        <v>-</v>
      </c>
      <c r="D31761" t="str">
        <v>-</v>
      </c>
      <c r="E31761" t="str">
        <v>-</v>
      </c>
      <c r="F31761" t="str">
        <v>-</v>
      </c>
      <c r="G31761" t="str">
        <v>-</v>
      </c>
    </row>
    <row r="31762">
      <c r="B31762" t="str">
        <v xml:space="preserve"> Công an tỉnh Điện Biên  tỉnh Điện Biên</v>
      </c>
    </row>
    <row r="31763">
      <c r="B31763" t="str">
        <v>UBND Ủy ban nhân dânn tỉnh Điện Biên  tỉnh Điện Biên</v>
      </c>
      <c r="C31763" t="str">
        <v>-</v>
      </c>
      <c r="D31763" t="str">
        <v>-</v>
      </c>
      <c r="E31763" t="str">
        <v>-</v>
      </c>
      <c r="F31763" t="str">
        <v>-</v>
      </c>
      <c r="G31763" t="str">
        <v>-</v>
      </c>
    </row>
    <row r="31764">
      <c r="B31764" t="str">
        <v>Công an tỉnh Thừa Thiên Huế  tỉnh THỪA THIÊN HUẾ</v>
      </c>
      <c r="C31764" t="str">
        <v>-</v>
      </c>
      <c r="D31764" t="str">
        <v>-</v>
      </c>
      <c r="E31764" t="str">
        <v/>
      </c>
      <c r="F31764" t="str">
        <v>-</v>
      </c>
      <c r="G31764" t="str">
        <v>-</v>
      </c>
    </row>
    <row r="31765">
      <c r="B31765" t="str">
        <v>UBND Ủy ban nhân dân tỉnh Thừa Thiên Huế  tỉnh THỪA THIÊN HUẾ</v>
      </c>
      <c r="C31765" t="str">
        <v>-</v>
      </c>
      <c r="D31765" t="str">
        <v>-</v>
      </c>
      <c r="E31765" t="str">
        <v>-</v>
      </c>
      <c r="F31765" t="str">
        <v>-</v>
      </c>
      <c r="G31765" t="str">
        <v>-</v>
      </c>
    </row>
    <row r="31766">
      <c r="B31766" t="str">
        <v>Công an xã Xuân Thuỷ tỉnh Hòa Bình</v>
      </c>
      <c r="C31766" t="str">
        <v>-</v>
      </c>
      <c r="D31766" t="str">
        <v>-</v>
      </c>
      <c r="E31766" t="str">
        <v/>
      </c>
      <c r="F31766" t="str">
        <v>-</v>
      </c>
      <c r="G31766" t="str">
        <v>-</v>
      </c>
    </row>
    <row r="31767">
      <c r="B31767" t="str">
        <v>UBND Ủy ban nhân dân xã Xuân Thuỷ tỉnh Hòa Bình</v>
      </c>
      <c r="C31767" t="str">
        <v>-</v>
      </c>
      <c r="D31767" t="str">
        <v>-</v>
      </c>
      <c r="E31767" t="str">
        <v>-</v>
      </c>
      <c r="F31767" t="str">
        <v>-</v>
      </c>
      <c r="G31767" t="str">
        <v>-</v>
      </c>
    </row>
    <row r="31768">
      <c r="B31768" t="str">
        <v>Công an tỉnh Quảng Trị  tỉnh Quảng Trị</v>
      </c>
      <c r="C31768" t="str">
        <v>-</v>
      </c>
      <c r="D31768" t="str">
        <v>-</v>
      </c>
      <c r="E31768" t="str">
        <v/>
      </c>
      <c r="F31768" t="str">
        <v>-</v>
      </c>
      <c r="G31768" t="str">
        <v>-</v>
      </c>
    </row>
    <row r="31769">
      <c r="B31769" t="str">
        <v>UBND Ủy ban nhân dân tỉnh Quảng Trị  tỉnh Quảng Trị</v>
      </c>
      <c r="C31769" t="str">
        <v>-</v>
      </c>
      <c r="D31769" t="str">
        <v>-</v>
      </c>
      <c r="E31769" t="str">
        <v>-</v>
      </c>
      <c r="F31769" t="str">
        <v>-</v>
      </c>
      <c r="G31769" t="str">
        <v>-</v>
      </c>
    </row>
    <row r="31770">
      <c r="B31770" t="str">
        <v>Công an xã Yên Bằng  tỉnh Nam Định</v>
      </c>
      <c r="C31770" t="str">
        <v>-</v>
      </c>
      <c r="D31770" t="str">
        <v>-</v>
      </c>
      <c r="E31770" t="str">
        <v/>
      </c>
      <c r="F31770" t="str">
        <v>-</v>
      </c>
      <c r="G31770" t="str">
        <v>-</v>
      </c>
    </row>
    <row r="31771">
      <c r="B31771" t="str">
        <v>UBND Ủy ban nhân dân xã Yên Bằng  tỉnh Nam Định</v>
      </c>
      <c r="C31771" t="str">
        <v>-</v>
      </c>
      <c r="D31771" t="str">
        <v>-</v>
      </c>
      <c r="E31771" t="str">
        <v>-</v>
      </c>
      <c r="F31771" t="str">
        <v>-</v>
      </c>
      <c r="G31771" t="str">
        <v>-</v>
      </c>
    </row>
    <row r="31772">
      <c r="B31772" t="str">
        <v>Công an xã Yên Đồng tỉnh Ninh Bình</v>
      </c>
      <c r="C31772" t="str">
        <v>-</v>
      </c>
      <c r="D31772" t="str">
        <v>-</v>
      </c>
      <c r="E31772" t="str">
        <v/>
      </c>
      <c r="F31772" t="str">
        <v>-</v>
      </c>
      <c r="G31772" t="str">
        <v>-</v>
      </c>
    </row>
    <row r="31773">
      <c r="B31773" t="str">
        <v>UBND Ủy ban nhân dân xã Yên Đồng tỉnh Ninh Bình</v>
      </c>
      <c r="C31773" t="str">
        <v>-</v>
      </c>
      <c r="D31773" t="str">
        <v>-</v>
      </c>
      <c r="E31773" t="str">
        <v>-</v>
      </c>
      <c r="F31773" t="str">
        <v>-</v>
      </c>
      <c r="G31773" t="str">
        <v>-</v>
      </c>
    </row>
    <row r="31774">
      <c r="B31774" t="str">
        <v>Công an xã Long Hẹ  tỉnh Sơn La</v>
      </c>
      <c r="C31774" t="str">
        <v>-</v>
      </c>
      <c r="D31774" t="str">
        <v>-</v>
      </c>
      <c r="E31774" t="str">
        <v/>
      </c>
      <c r="F31774" t="str">
        <v>-</v>
      </c>
      <c r="G31774" t="str">
        <v>-</v>
      </c>
    </row>
    <row r="31775">
      <c r="B31775" t="str">
        <v>UBND Ủy ban nhân dân xã Long Hẹ  tỉnh Sơn La</v>
      </c>
      <c r="C31775" t="str">
        <v>-</v>
      </c>
      <c r="D31775" t="str">
        <v>-</v>
      </c>
      <c r="E31775" t="str">
        <v>-</v>
      </c>
      <c r="F31775" t="str">
        <v>-</v>
      </c>
      <c r="G31775" t="str">
        <v>-</v>
      </c>
    </row>
    <row r="31776">
      <c r="B31776" t="str">
        <v>Công an xã Chi Lăng Bắc tỉnh Hải Dương</v>
      </c>
      <c r="C31776" t="str">
        <v>-</v>
      </c>
      <c r="D31776" t="str">
        <v>-</v>
      </c>
      <c r="E31776" t="str">
        <v/>
      </c>
      <c r="F31776" t="str">
        <v>-</v>
      </c>
      <c r="G31776" t="str">
        <v>-</v>
      </c>
    </row>
    <row r="31777">
      <c r="B31777" t="str">
        <v>UBND Ủy ban nhân dân xã Chi Lăng Bắc tỉnh Hải Dương</v>
      </c>
      <c r="C31777" t="str">
        <v>-</v>
      </c>
      <c r="D31777" t="str">
        <v>-</v>
      </c>
      <c r="E31777" t="str">
        <v>-</v>
      </c>
      <c r="F31777" t="str">
        <v>-</v>
      </c>
      <c r="G31777" t="str">
        <v>-</v>
      </c>
    </row>
    <row r="31778">
      <c r="B31778" t="str">
        <v>Công an xã Giới Phiên  tỉnh Yên Bái</v>
      </c>
      <c r="C31778" t="str">
        <v>-</v>
      </c>
      <c r="D31778" t="str">
        <v>-</v>
      </c>
      <c r="E31778" t="str">
        <v/>
      </c>
      <c r="F31778" t="str">
        <v>-</v>
      </c>
      <c r="G31778" t="str">
        <v>-</v>
      </c>
    </row>
    <row r="31779">
      <c r="B31779" t="str">
        <v>UBND Ủy ban nhân dân xã Giới Phiên  tỉnh Yên Bái</v>
      </c>
      <c r="C31779" t="str">
        <v>-</v>
      </c>
      <c r="D31779" t="str">
        <v>-</v>
      </c>
      <c r="E31779" t="str">
        <v>-</v>
      </c>
      <c r="F31779" t="str">
        <v>-</v>
      </c>
      <c r="G31779" t="str">
        <v>-</v>
      </c>
    </row>
    <row r="31780">
      <c r="B31780" t="str">
        <v>Công an xã Lê Hồ  thành phố Hà Nội</v>
      </c>
      <c r="C31780" t="str">
        <v>-</v>
      </c>
      <c r="D31780" t="str">
        <v>-</v>
      </c>
      <c r="E31780" t="str">
        <v/>
      </c>
      <c r="F31780" t="str">
        <v>-</v>
      </c>
      <c r="G31780" t="str">
        <v>-</v>
      </c>
    </row>
    <row r="31781">
      <c r="B31781" t="str">
        <v>UBND Ủy ban nhân dân xã Lê Hồ  thành phố Hà Nội</v>
      </c>
      <c r="C31781" t="str">
        <v>-</v>
      </c>
      <c r="D31781" t="str">
        <v>-</v>
      </c>
      <c r="E31781" t="str">
        <v>-</v>
      </c>
      <c r="F31781" t="str">
        <v>-</v>
      </c>
      <c r="G31781" t="str">
        <v>-</v>
      </c>
    </row>
    <row r="31782">
      <c r="B31782" t="str">
        <v>Công an xã Ia Yok tỉnh Gia Lai</v>
      </c>
      <c r="C31782" t="str">
        <v>-</v>
      </c>
      <c r="D31782" t="str">
        <v>-</v>
      </c>
      <c r="E31782" t="str">
        <v/>
      </c>
      <c r="F31782" t="str">
        <v>-</v>
      </c>
      <c r="G31782" t="str">
        <v>-</v>
      </c>
    </row>
    <row r="31783">
      <c r="B31783" t="str">
        <v>UBND Ủy ban nhân dân xã Ia Yok tỉnh Gia Lai</v>
      </c>
      <c r="C31783" t="str">
        <v>-</v>
      </c>
      <c r="D31783" t="str">
        <v>-</v>
      </c>
      <c r="E31783" t="str">
        <v>-</v>
      </c>
      <c r="F31783" t="str">
        <v>-</v>
      </c>
      <c r="G31783" t="str">
        <v>-</v>
      </c>
    </row>
    <row r="31784">
      <c r="B31784" t="str">
        <v>Công an xã Hạnh Phúc tỉnh Cao Bằng</v>
      </c>
      <c r="C31784" t="str">
        <v>-</v>
      </c>
      <c r="D31784" t="str">
        <v>-</v>
      </c>
      <c r="E31784" t="str">
        <v/>
      </c>
      <c r="F31784" t="str">
        <v>-</v>
      </c>
      <c r="G31784" t="str">
        <v>-</v>
      </c>
    </row>
    <row r="31785">
      <c r="B31785" t="str">
        <v>UBND Ủy ban nhân dân xã Hạnh Phúc tỉnh Cao Bằng</v>
      </c>
      <c r="C31785" t="str">
        <v>-</v>
      </c>
      <c r="D31785" t="str">
        <v>-</v>
      </c>
      <c r="E31785" t="str">
        <v>-</v>
      </c>
      <c r="F31785" t="str">
        <v>-</v>
      </c>
      <c r="G31785" t="str">
        <v>-</v>
      </c>
    </row>
    <row r="31786">
      <c r="B31786" t="str">
        <v>Công an xã Song An  tỉnh Gia Lai</v>
      </c>
      <c r="C31786" t="str">
        <v>-</v>
      </c>
      <c r="D31786" t="str">
        <v>-</v>
      </c>
      <c r="E31786" t="str">
        <v/>
      </c>
      <c r="F31786" t="str">
        <v>-</v>
      </c>
      <c r="G31786" t="str">
        <v>-</v>
      </c>
    </row>
    <row r="31787">
      <c r="B31787" t="str">
        <v>UBND Ủy ban nhân dân xã Song An  tỉnh Gia Lai</v>
      </c>
      <c r="C31787" t="str">
        <v>-</v>
      </c>
      <c r="D31787" t="str">
        <v>-</v>
      </c>
      <c r="E31787" t="str">
        <v>-</v>
      </c>
      <c r="F31787" t="str">
        <v>-</v>
      </c>
      <c r="G31787" t="str">
        <v>-</v>
      </c>
    </row>
    <row r="31788">
      <c r="B31788" t="str">
        <v>Công an xã Sơn Hà tỉnh Thanh Hóa</v>
      </c>
      <c r="C31788" t="str">
        <v>-</v>
      </c>
      <c r="D31788" t="str">
        <v>-</v>
      </c>
      <c r="E31788" t="str">
        <v/>
      </c>
      <c r="F31788" t="str">
        <v>-</v>
      </c>
      <c r="G31788" t="str">
        <v>-</v>
      </c>
    </row>
    <row r="31789">
      <c r="B31789" t="str">
        <v>UBND Ủy ban nhân dân xã Sơn Hà tỉnh Thanh Hóa</v>
      </c>
      <c r="C31789" t="str">
        <v>-</v>
      </c>
      <c r="D31789" t="str">
        <v>-</v>
      </c>
      <c r="E31789" t="str">
        <v>-</v>
      </c>
      <c r="F31789" t="str">
        <v>-</v>
      </c>
      <c r="G31789" t="str">
        <v>-</v>
      </c>
    </row>
    <row r="31790">
      <c r="B31790" t="str">
        <v>Công an xã Sơn Thủy  tỉnh Thanh Hóa</v>
      </c>
      <c r="C31790" t="str">
        <v>-</v>
      </c>
      <c r="D31790" t="str">
        <v>-</v>
      </c>
      <c r="E31790" t="str">
        <v/>
      </c>
      <c r="F31790" t="str">
        <v>-</v>
      </c>
      <c r="G31790" t="str">
        <v>-</v>
      </c>
    </row>
    <row r="31791">
      <c r="B31791" t="str">
        <v>UBND Ủy ban nhân dân xã Sơn Thủy  tỉnh Thanh Hóa</v>
      </c>
      <c r="C31791" t="str">
        <v>-</v>
      </c>
      <c r="D31791" t="str">
        <v>-</v>
      </c>
      <c r="E31791" t="str">
        <v>-</v>
      </c>
      <c r="F31791" t="str">
        <v>-</v>
      </c>
      <c r="G31791" t="str">
        <v>-</v>
      </c>
    </row>
    <row r="31792">
      <c r="B31792" t="str">
        <v>Công an phường Phạm Thái  tỉnh Hải Dương</v>
      </c>
      <c r="C31792" t="str">
        <v>-</v>
      </c>
      <c r="D31792" t="str">
        <v>-</v>
      </c>
      <c r="E31792" t="str">
        <v/>
      </c>
      <c r="F31792" t="str">
        <v>-</v>
      </c>
      <c r="G31792" t="str">
        <v>-</v>
      </c>
    </row>
    <row r="31793">
      <c r="B31793" t="str">
        <v>UBND Ủy ban nhân dân phường Phạm Thái  tỉnh Hải Dương</v>
      </c>
      <c r="C31793" t="str">
        <v>-</v>
      </c>
      <c r="D31793" t="str">
        <v>-</v>
      </c>
      <c r="E31793" t="str">
        <v>-</v>
      </c>
      <c r="F31793" t="str">
        <v>-</v>
      </c>
      <c r="G31793" t="str">
        <v>-</v>
      </c>
    </row>
    <row r="31794">
      <c r="B31794" t="str">
        <v>Công an thị trấn Lang Chánh  tỉnh Thanh Hóa</v>
      </c>
      <c r="C31794" t="str">
        <v>-</v>
      </c>
      <c r="D31794" t="str">
        <v>-</v>
      </c>
      <c r="E31794" t="str">
        <v/>
      </c>
      <c r="F31794" t="str">
        <v>-</v>
      </c>
      <c r="G31794" t="str">
        <v>-</v>
      </c>
    </row>
    <row r="31795">
      <c r="B31795" t="str">
        <v>UBND Ủy ban nhân dân thị trấn Lang Chánh  tỉnh Thanh Hóa</v>
      </c>
      <c r="C31795" t="str">
        <v>-</v>
      </c>
      <c r="D31795" t="str">
        <v>-</v>
      </c>
      <c r="E31795" t="str">
        <v>-</v>
      </c>
      <c r="F31795" t="str">
        <v>-</v>
      </c>
      <c r="G31795" t="str">
        <v>-</v>
      </c>
    </row>
    <row r="31796">
      <c r="B31796" t="str">
        <v>Công an xã Yên Thắng tỉnh Ninh Bình</v>
      </c>
      <c r="C31796" t="str">
        <v>-</v>
      </c>
      <c r="D31796" t="str">
        <v>-</v>
      </c>
      <c r="E31796" t="str">
        <v/>
      </c>
      <c r="F31796" t="str">
        <v>-</v>
      </c>
      <c r="G31796" t="str">
        <v>-</v>
      </c>
    </row>
    <row r="31797">
      <c r="B31797" t="str">
        <v>UBND Ủy ban nhân dân xã Yên Thắng tỉnh Ninh Bình</v>
      </c>
      <c r="C31797" t="str">
        <v>-</v>
      </c>
      <c r="D31797" t="str">
        <v>-</v>
      </c>
      <c r="E31797" t="str">
        <v>-</v>
      </c>
      <c r="F31797" t="str">
        <v>-</v>
      </c>
      <c r="G31797" t="str">
        <v>-</v>
      </c>
    </row>
    <row r="31798">
      <c r="B31798" t="str">
        <v>Công an xã Trí Nang  tỉnh Thanh Hóa</v>
      </c>
      <c r="C31798" t="str">
        <v>-</v>
      </c>
      <c r="D31798" t="str">
        <v>-</v>
      </c>
      <c r="E31798" t="str">
        <v/>
      </c>
      <c r="F31798" t="str">
        <v>-</v>
      </c>
      <c r="G31798" t="str">
        <v>-</v>
      </c>
    </row>
    <row r="31799">
      <c r="B31799" t="str">
        <v>UBND Ủy ban nhân dân xã Trí Nang  tỉnh Thanh Hóa</v>
      </c>
      <c r="C31799" t="str">
        <v>-</v>
      </c>
      <c r="D31799" t="str">
        <v>-</v>
      </c>
      <c r="E31799" t="str">
        <v>-</v>
      </c>
      <c r="F31799" t="str">
        <v>-</v>
      </c>
      <c r="G31799" t="str">
        <v>-</v>
      </c>
    </row>
    <row r="31800">
      <c r="B31800" t="str">
        <v>Công an xã Giao An tỉnh Nam Định</v>
      </c>
      <c r="C31800" t="str">
        <v>-</v>
      </c>
      <c r="D31800" t="str">
        <v>-</v>
      </c>
      <c r="E31800" t="str">
        <v/>
      </c>
      <c r="F31800" t="str">
        <v>-</v>
      </c>
      <c r="G31800" t="str">
        <v>-</v>
      </c>
    </row>
    <row r="31801">
      <c r="B31801" t="str">
        <v>UBND Ủy ban nhân dân xã Giao An tỉnh Nam Định</v>
      </c>
      <c r="C31801" t="str">
        <v>-</v>
      </c>
      <c r="D31801" t="str">
        <v>-</v>
      </c>
      <c r="E31801" t="str">
        <v>-</v>
      </c>
      <c r="F31801" t="str">
        <v>-</v>
      </c>
      <c r="G31801" t="str">
        <v>-</v>
      </c>
    </row>
    <row r="31802">
      <c r="B31802" t="str">
        <v>Công an xã Tân Phúc  tỉnh Thanh Hóa</v>
      </c>
      <c r="C31802" t="str">
        <v>-</v>
      </c>
      <c r="D31802" t="str">
        <v>-</v>
      </c>
      <c r="E31802" t="str">
        <v/>
      </c>
      <c r="F31802" t="str">
        <v>-</v>
      </c>
      <c r="G31802" t="str">
        <v>-</v>
      </c>
    </row>
    <row r="31803">
      <c r="B31803" t="str">
        <v>UBND Ủy ban nhân dân xã Tân Phúc  tỉnh Thanh Hóa</v>
      </c>
      <c r="C31803" t="str">
        <v>-</v>
      </c>
      <c r="D31803" t="str">
        <v>-</v>
      </c>
      <c r="E31803" t="str">
        <v>-</v>
      </c>
      <c r="F31803" t="str">
        <v>-</v>
      </c>
      <c r="G31803" t="str">
        <v>-</v>
      </c>
    </row>
    <row r="31804">
      <c r="B31804" t="str">
        <v>Công an xã Tam Văn  tỉnh Thanh Hóa</v>
      </c>
      <c r="C31804" t="str">
        <v>-</v>
      </c>
      <c r="D31804" t="str">
        <v>-</v>
      </c>
      <c r="E31804" t="str">
        <v/>
      </c>
      <c r="F31804" t="str">
        <v>-</v>
      </c>
      <c r="G31804" t="str">
        <v>-</v>
      </c>
    </row>
    <row r="31805">
      <c r="B31805" t="str">
        <v>UBND Ủy ban nhân dân xã Tam Văn  tỉnh Thanh Hóa</v>
      </c>
      <c r="C31805" t="str">
        <v>-</v>
      </c>
      <c r="D31805" t="str">
        <v>-</v>
      </c>
      <c r="E31805" t="str">
        <v>-</v>
      </c>
      <c r="F31805" t="str">
        <v>-</v>
      </c>
      <c r="G31805" t="str">
        <v>-</v>
      </c>
    </row>
    <row r="31806">
      <c r="B31806" t="str">
        <v>Công an xã Đồng Lương tỉnh Thanh Hóa</v>
      </c>
      <c r="C31806" t="str">
        <v>-</v>
      </c>
      <c r="D31806" t="str">
        <v>-</v>
      </c>
      <c r="E31806" t="str">
        <v/>
      </c>
      <c r="F31806" t="str">
        <v>-</v>
      </c>
      <c r="G31806" t="str">
        <v>-</v>
      </c>
    </row>
    <row r="31807">
      <c r="B31807" t="str">
        <v>UBND Ủy ban nhân dân xã Đồng Lương tỉnh Thanh Hóa</v>
      </c>
      <c r="C31807" t="str">
        <v>-</v>
      </c>
      <c r="D31807" t="str">
        <v>-</v>
      </c>
      <c r="E31807" t="str">
        <v>-</v>
      </c>
      <c r="F31807" t="str">
        <v>-</v>
      </c>
      <c r="G31807" t="str">
        <v>-</v>
      </c>
    </row>
    <row r="31808">
      <c r="B31808" t="str">
        <v>Công an xã Lam Sơn tỉnh Thanh Hóa</v>
      </c>
      <c r="C31808" t="str">
        <v>-</v>
      </c>
      <c r="D31808" t="str">
        <v>-</v>
      </c>
      <c r="E31808" t="str">
        <v/>
      </c>
      <c r="F31808" t="str">
        <v>-</v>
      </c>
      <c r="G31808" t="str">
        <v>-</v>
      </c>
    </row>
    <row r="31809">
      <c r="B31809" t="str">
        <v>UBND Ủy ban nhân dân xã Lam Sơn tỉnh Thanh Hóa</v>
      </c>
      <c r="C31809" t="str">
        <v>-</v>
      </c>
      <c r="D31809" t="str">
        <v>-</v>
      </c>
      <c r="E31809" t="str">
        <v>-</v>
      </c>
      <c r="F31809" t="str">
        <v>-</v>
      </c>
      <c r="G31809" t="str">
        <v>-</v>
      </c>
    </row>
    <row r="31810">
      <c r="B31810" t="str">
        <v>Công an thị trấn Mỹ Lộc  tỉnh Nam Định</v>
      </c>
      <c r="C31810" t="str">
        <v>-</v>
      </c>
      <c r="D31810" t="str">
        <v>-</v>
      </c>
      <c r="E31810" t="str">
        <v/>
      </c>
      <c r="F31810" t="str">
        <v>-</v>
      </c>
      <c r="G31810" t="str">
        <v>-</v>
      </c>
    </row>
    <row r="31811">
      <c r="B31811" t="str">
        <v>UBND Ủy ban nhân dân thị trấn Mỹ Lộc  tỉnh Nam Định</v>
      </c>
      <c r="C31811" t="str">
        <v>-</v>
      </c>
      <c r="D31811" t="str">
        <v>-</v>
      </c>
      <c r="E31811" t="str">
        <v>-</v>
      </c>
      <c r="F31811" t="str">
        <v>-</v>
      </c>
      <c r="G31811" t="str">
        <v>-</v>
      </c>
    </row>
    <row r="31812">
      <c r="B31812" t="str">
        <v>Công an xã Thúy Sơn  tỉnh Thanh Hóa</v>
      </c>
      <c r="C31812" t="str">
        <v>-</v>
      </c>
      <c r="D31812" t="str">
        <v>-</v>
      </c>
      <c r="E31812" t="str">
        <v/>
      </c>
      <c r="F31812" t="str">
        <v>-</v>
      </c>
      <c r="G31812" t="str">
        <v>-</v>
      </c>
    </row>
    <row r="31813">
      <c r="B31813" t="str">
        <v>UBND Ủy ban nhân dân xã Thúy Sơn  tỉnh Thanh Hóa</v>
      </c>
      <c r="C31813" t="str">
        <v>-</v>
      </c>
      <c r="D31813" t="str">
        <v>-</v>
      </c>
      <c r="E31813" t="str">
        <v>-</v>
      </c>
      <c r="F31813" t="str">
        <v>-</v>
      </c>
      <c r="G31813" t="str">
        <v>-</v>
      </c>
    </row>
    <row r="31814">
      <c r="B31814" t="str">
        <v>Công an xã Ngọc Khê tỉnh Cao Bằng</v>
      </c>
      <c r="C31814" t="str">
        <v>-</v>
      </c>
      <c r="D31814" t="str">
        <v>-</v>
      </c>
      <c r="E31814" t="str">
        <v/>
      </c>
      <c r="F31814" t="str">
        <v>-</v>
      </c>
      <c r="G31814" t="str">
        <v>-</v>
      </c>
    </row>
    <row r="31815">
      <c r="B31815" t="str">
        <v>UBND Ủy ban nhân dân xã Ngọc Khê tỉnh Cao Bằng</v>
      </c>
      <c r="C31815" t="str">
        <v>-</v>
      </c>
      <c r="D31815" t="str">
        <v>-</v>
      </c>
      <c r="E31815" t="str">
        <v>-</v>
      </c>
      <c r="F31815" t="str">
        <v>-</v>
      </c>
      <c r="G31815" t="str">
        <v>-</v>
      </c>
    </row>
    <row r="31816">
      <c r="B31816" t="str">
        <v>Công an xã Ngọc Trung tỉnh Thanh Hóa</v>
      </c>
      <c r="C31816" t="str">
        <v>-</v>
      </c>
      <c r="D31816" t="str">
        <v>-</v>
      </c>
      <c r="E31816" t="str">
        <v/>
      </c>
      <c r="F31816" t="str">
        <v>-</v>
      </c>
      <c r="G31816" t="str">
        <v>-</v>
      </c>
    </row>
    <row r="31817">
      <c r="B31817" t="str">
        <v>UBND Ủy ban nhân dân xã Ngọc Trung tỉnh Thanh Hóa</v>
      </c>
      <c r="C31817" t="str">
        <v>-</v>
      </c>
      <c r="D31817" t="str">
        <v>-</v>
      </c>
      <c r="E31817" t="str">
        <v>-</v>
      </c>
      <c r="F31817" t="str">
        <v>-</v>
      </c>
      <c r="G31817" t="str">
        <v>-</v>
      </c>
    </row>
    <row r="31818">
      <c r="B31818" t="str">
        <v>Công an huyện Ngọc Lặc tỉnh Thanh Hóa</v>
      </c>
      <c r="C31818" t="str">
        <v>-</v>
      </c>
      <c r="D31818" t="str">
        <v>-</v>
      </c>
      <c r="E31818" t="str">
        <v/>
      </c>
      <c r="F31818" t="str">
        <v>-</v>
      </c>
      <c r="G31818" t="str">
        <v>-</v>
      </c>
    </row>
    <row r="31819">
      <c r="B31819" t="str">
        <v>UBND Ủy ban nhân dân huyện Ngọc Lặc tỉnh Thanh Hóa</v>
      </c>
      <c r="C31819" t="str">
        <v>-</v>
      </c>
      <c r="D31819" t="str">
        <v>-</v>
      </c>
      <c r="E31819" t="str">
        <v>-</v>
      </c>
      <c r="F31819" t="str">
        <v>-</v>
      </c>
      <c r="G31819" t="str">
        <v>-</v>
      </c>
    </row>
    <row r="31820">
      <c r="B31820" t="str">
        <v>Công an xã Phúc Thịnh tỉnh Thanh Hóa</v>
      </c>
      <c r="C31820" t="str">
        <v>-</v>
      </c>
      <c r="D31820" t="str">
        <v>-</v>
      </c>
      <c r="E31820" t="str">
        <v/>
      </c>
      <c r="F31820" t="str">
        <v>-</v>
      </c>
      <c r="G31820" t="str">
        <v>-</v>
      </c>
    </row>
    <row r="31821">
      <c r="B31821" t="str">
        <v>UBND Ủy ban nhân dân xã Phúc Thịnh tỉnh Thanh Hóa</v>
      </c>
      <c r="C31821" t="str">
        <v>-</v>
      </c>
      <c r="D31821" t="str">
        <v>-</v>
      </c>
      <c r="E31821" t="str">
        <v>-</v>
      </c>
      <c r="F31821" t="str">
        <v>-</v>
      </c>
      <c r="G31821" t="str">
        <v>-</v>
      </c>
    </row>
    <row r="31822">
      <c r="B31822" t="str">
        <v>Công an xã Ngọc Trung tỉnh Thanh Hóa</v>
      </c>
      <c r="C31822" t="str">
        <v>-</v>
      </c>
      <c r="D31822" t="str">
        <v>-</v>
      </c>
      <c r="E31822" t="str">
        <v/>
      </c>
      <c r="F31822" t="str">
        <v>-</v>
      </c>
      <c r="G31822" t="str">
        <v>-</v>
      </c>
    </row>
    <row r="31823">
      <c r="B31823" t="str">
        <v>UBND Ủy ban nhân dân xã Ngọc Trung tỉnh Thanh Hóa</v>
      </c>
      <c r="C31823" t="str">
        <v>-</v>
      </c>
      <c r="D31823" t="str">
        <v>-</v>
      </c>
      <c r="E31823" t="str">
        <v>-</v>
      </c>
      <c r="F31823" t="str">
        <v>-</v>
      </c>
      <c r="G31823" t="str">
        <v>-</v>
      </c>
    </row>
    <row r="31824">
      <c r="B31824" t="str">
        <v>Công an xã Quang Trung tỉnh Đồng Nai</v>
      </c>
      <c r="C31824" t="str">
        <v>-</v>
      </c>
      <c r="D31824" t="str">
        <v>-</v>
      </c>
      <c r="E31824" t="str">
        <v/>
      </c>
      <c r="F31824" t="str">
        <v>-</v>
      </c>
      <c r="G31824" t="str">
        <v>-</v>
      </c>
    </row>
    <row r="31825">
      <c r="B31825" t="str">
        <v>UBND Ủy ban nhân dân xã Quang Trung tỉnh Đồng Nai</v>
      </c>
      <c r="C31825" t="str">
        <v>-</v>
      </c>
      <c r="D31825" t="str">
        <v>-</v>
      </c>
      <c r="E31825" t="str">
        <v>-</v>
      </c>
      <c r="F31825" t="str">
        <v>-</v>
      </c>
      <c r="G31825" t="str">
        <v>-</v>
      </c>
    </row>
    <row r="31826">
      <c r="B31826" t="str">
        <v>Công an xã Quang Trung  tỉnh Thanh Hóa</v>
      </c>
      <c r="C31826" t="str">
        <v>-</v>
      </c>
      <c r="D31826" t="str">
        <v>-</v>
      </c>
      <c r="E31826" t="str">
        <v/>
      </c>
      <c r="F31826" t="str">
        <v>-</v>
      </c>
      <c r="G31826" t="str">
        <v>-</v>
      </c>
    </row>
    <row r="31827">
      <c r="B31827" t="str">
        <v>UBND Ủy ban nhân dân xã Quang Trung  tỉnh Thanh Hóa</v>
      </c>
      <c r="C31827" t="str">
        <v>-</v>
      </c>
      <c r="D31827" t="str">
        <v>-</v>
      </c>
      <c r="E31827" t="str">
        <v>-</v>
      </c>
      <c r="F31827" t="str">
        <v>-</v>
      </c>
      <c r="G31827" t="str">
        <v>-</v>
      </c>
    </row>
    <row r="31828">
      <c r="B31828" t="str">
        <v>Công an xã Đồng Thịnh tỉnh Thanh Hóa</v>
      </c>
      <c r="C31828" t="str">
        <v>-</v>
      </c>
      <c r="D31828" t="str">
        <v>-</v>
      </c>
      <c r="E31828" t="str">
        <v/>
      </c>
      <c r="F31828" t="str">
        <v>-</v>
      </c>
      <c r="G31828" t="str">
        <v>-</v>
      </c>
    </row>
    <row r="31829">
      <c r="B31829" t="str">
        <v>UBND Ủy ban nhân dân xã Đồng Thịnh tỉnh Thanh Hóa</v>
      </c>
      <c r="C31829" t="str">
        <v>-</v>
      </c>
      <c r="D31829" t="str">
        <v>-</v>
      </c>
      <c r="E31829" t="str">
        <v>-</v>
      </c>
      <c r="F31829" t="str">
        <v>-</v>
      </c>
      <c r="G31829" t="str">
        <v>-</v>
      </c>
    </row>
    <row r="31830">
      <c r="B31830" t="str">
        <v>Công an xã Phùng Minh tỉnh Thanh Hóa</v>
      </c>
      <c r="C31830" t="str">
        <v>-</v>
      </c>
      <c r="D31830" t="str">
        <v>-</v>
      </c>
      <c r="E31830" t="str">
        <v/>
      </c>
      <c r="F31830" t="str">
        <v>-</v>
      </c>
      <c r="G31830" t="str">
        <v>-</v>
      </c>
    </row>
    <row r="31831">
      <c r="B31831" t="str">
        <v>UBND Ủy ban nhân dân xã Phùng Minh tỉnh Thanh Hóa</v>
      </c>
      <c r="C31831" t="str">
        <v>-</v>
      </c>
      <c r="D31831" t="str">
        <v>-</v>
      </c>
      <c r="E31831" t="str">
        <v>-</v>
      </c>
      <c r="F31831" t="str">
        <v>-</v>
      </c>
      <c r="G31831" t="str">
        <v>-</v>
      </c>
    </row>
    <row r="31832">
      <c r="B31832" t="str">
        <v>Công an xã Phúc Thịnh tỉnh Thanh Hóa</v>
      </c>
      <c r="C31832" t="str">
        <v>-</v>
      </c>
      <c r="D31832" t="str">
        <v>-</v>
      </c>
      <c r="E31832" t="str">
        <v/>
      </c>
      <c r="F31832" t="str">
        <v>-</v>
      </c>
      <c r="G31832" t="str">
        <v>-</v>
      </c>
    </row>
    <row r="31833">
      <c r="B31833" t="str">
        <v>UBND Ủy ban nhân dân xã Phúc Thịnh tỉnh Thanh Hóa</v>
      </c>
      <c r="C31833" t="str">
        <v>-</v>
      </c>
      <c r="D31833" t="str">
        <v>-</v>
      </c>
      <c r="E31833" t="str">
        <v>-</v>
      </c>
      <c r="F31833" t="str">
        <v>-</v>
      </c>
      <c r="G31833" t="str">
        <v>-</v>
      </c>
    </row>
    <row r="31834">
      <c r="B31834" t="str">
        <v>Công an huyện Ngọc Lặc tỉnh Thanh Hóa</v>
      </c>
      <c r="C31834" t="str">
        <v>-</v>
      </c>
      <c r="D31834" t="str">
        <v>-</v>
      </c>
      <c r="E31834" t="str">
        <v/>
      </c>
      <c r="F31834" t="str">
        <v>-</v>
      </c>
      <c r="G31834" t="str">
        <v>-</v>
      </c>
    </row>
    <row r="31835">
      <c r="B31835" t="str">
        <v>UBND Ủy ban nhân dân huyện Ngọc Lặc tỉnh Thanh Hóa</v>
      </c>
      <c r="C31835" t="str">
        <v>-</v>
      </c>
      <c r="D31835" t="str">
        <v>-</v>
      </c>
      <c r="E31835" t="str">
        <v>-</v>
      </c>
      <c r="F31835" t="str">
        <v>-</v>
      </c>
      <c r="G31835" t="str">
        <v>-</v>
      </c>
    </row>
    <row r="31836">
      <c r="B31836" t="str">
        <v>Công an xã Kiên Thọ tỉnh Thanh Hóa</v>
      </c>
      <c r="C31836" t="str">
        <v>-</v>
      </c>
      <c r="D31836" t="str">
        <v>-</v>
      </c>
      <c r="E31836" t="str">
        <v/>
      </c>
      <c r="F31836" t="str">
        <v>-</v>
      </c>
      <c r="G31836" t="str">
        <v>-</v>
      </c>
    </row>
    <row r="31837">
      <c r="B31837" t="str">
        <v>UBND Ủy ban nhân dân xã Kiên Thọ tỉnh Thanh Hóa</v>
      </c>
      <c r="C31837" t="str">
        <v>-</v>
      </c>
      <c r="D31837" t="str">
        <v>-</v>
      </c>
      <c r="E31837" t="str">
        <v>-</v>
      </c>
      <c r="F31837" t="str">
        <v>-</v>
      </c>
      <c r="G31837" t="str">
        <v>-</v>
      </c>
    </row>
    <row r="31838">
      <c r="B31838" t="str">
        <v>Công an xã Kiên Thọ  tỉnh Thanh Hóa</v>
      </c>
      <c r="C31838" t="str">
        <v>-</v>
      </c>
      <c r="D31838" t="str">
        <v>-</v>
      </c>
      <c r="E31838" t="str">
        <v/>
      </c>
      <c r="F31838" t="str">
        <v>-</v>
      </c>
      <c r="G31838" t="str">
        <v>-</v>
      </c>
    </row>
    <row r="31839">
      <c r="B31839" t="str">
        <v>UBND Ủy ban nhân dân xã Kiên Thọ  tỉnh Thanh Hóa</v>
      </c>
      <c r="C31839" t="str">
        <v>-</v>
      </c>
      <c r="D31839" t="str">
        <v>-</v>
      </c>
      <c r="E31839" t="str">
        <v>-</v>
      </c>
      <c r="F31839" t="str">
        <v>-</v>
      </c>
      <c r="G31839" t="str">
        <v>-</v>
      </c>
    </row>
    <row r="31840">
      <c r="B31840" t="str">
        <v>Công an xã Cẩm Vân tỉnh Thanh Hóa</v>
      </c>
      <c r="C31840" t="str">
        <v>-</v>
      </c>
      <c r="D31840" t="str">
        <v>-</v>
      </c>
      <c r="E31840" t="str">
        <v/>
      </c>
      <c r="F31840" t="str">
        <v>-</v>
      </c>
      <c r="G31840" t="str">
        <v>-</v>
      </c>
    </row>
    <row r="31841">
      <c r="B31841" t="str">
        <v>UBND Ủy ban nhân dân xã Cẩm Vân tỉnh Thanh Hóa</v>
      </c>
      <c r="C31841" t="str">
        <v>-</v>
      </c>
      <c r="D31841" t="str">
        <v>-</v>
      </c>
      <c r="E31841" t="str">
        <v>-</v>
      </c>
      <c r="F31841" t="str">
        <v>-</v>
      </c>
      <c r="G31841" t="str">
        <v>-</v>
      </c>
    </row>
    <row r="31842">
      <c r="B31842" t="str">
        <v>Công an xã Cẩm Phú tỉnh Thanh Hóa</v>
      </c>
      <c r="C31842" t="str">
        <v>-</v>
      </c>
      <c r="D31842" t="str">
        <v>-</v>
      </c>
      <c r="E31842" t="str">
        <v/>
      </c>
      <c r="F31842" t="str">
        <v>-</v>
      </c>
      <c r="G31842" t="str">
        <v>-</v>
      </c>
    </row>
    <row r="31843">
      <c r="B31843" t="str">
        <v>UBND Ủy ban nhân dân xã Cẩm Phú tỉnh Thanh Hóa</v>
      </c>
      <c r="C31843" t="str">
        <v>-</v>
      </c>
      <c r="D31843" t="str">
        <v>-</v>
      </c>
      <c r="E31843" t="str">
        <v>-</v>
      </c>
      <c r="F31843" t="str">
        <v>-</v>
      </c>
      <c r="G31843" t="str">
        <v>-</v>
      </c>
    </row>
    <row r="31844">
      <c r="B31844" t="str">
        <v>Công an xã Cẩm Phú tỉnh Thanh Hóa</v>
      </c>
      <c r="C31844" t="str">
        <v>-</v>
      </c>
      <c r="D31844" t="str">
        <v>-</v>
      </c>
      <c r="E31844" t="str">
        <v/>
      </c>
      <c r="F31844" t="str">
        <v>-</v>
      </c>
      <c r="G31844" t="str">
        <v>-</v>
      </c>
    </row>
    <row r="31845">
      <c r="B31845" t="str">
        <v>UBND Ủy ban nhân dân xã Cẩm Phú tỉnh Thanh Hóa</v>
      </c>
      <c r="C31845" t="str">
        <v>-</v>
      </c>
      <c r="D31845" t="str">
        <v>-</v>
      </c>
      <c r="E31845" t="str">
        <v>-</v>
      </c>
      <c r="F31845" t="str">
        <v>-</v>
      </c>
      <c r="G31845" t="str">
        <v>-</v>
      </c>
    </row>
    <row r="31846">
      <c r="B31846" t="str">
        <v>Công an thành phố Tuyên Quang tỉnh Tuyên Quang</v>
      </c>
      <c r="C31846" t="str">
        <v>-</v>
      </c>
      <c r="D31846" t="str">
        <v>-</v>
      </c>
      <c r="E31846" t="str">
        <v/>
      </c>
      <c r="F31846" t="str">
        <v>-</v>
      </c>
      <c r="G31846" t="str">
        <v>-</v>
      </c>
    </row>
    <row r="31847">
      <c r="B31847" t="str">
        <v>UBND Ủy ban nhân dân thành phố Tuyên Quang tỉnh Tuyên Quang</v>
      </c>
      <c r="C31847" t="str">
        <v>-</v>
      </c>
      <c r="D31847" t="str">
        <v>-</v>
      </c>
      <c r="E31847" t="str">
        <v>-</v>
      </c>
      <c r="F31847" t="str">
        <v>-</v>
      </c>
      <c r="G31847" t="str">
        <v>-</v>
      </c>
    </row>
    <row r="31848">
      <c r="B31848" t="str">
        <v>Công an xã Cẩm Tâm tỉnh Thanh Hóa</v>
      </c>
      <c r="C31848" t="str">
        <v>-</v>
      </c>
      <c r="D31848" t="str">
        <v>-</v>
      </c>
      <c r="E31848" t="str">
        <v/>
      </c>
      <c r="F31848" t="str">
        <v>-</v>
      </c>
      <c r="G31848" t="str">
        <v>-</v>
      </c>
    </row>
    <row r="31849">
      <c r="B31849" t="str">
        <v>UBND Ủy ban nhân dân xã Cẩm Tâm tỉnh Thanh Hóa</v>
      </c>
      <c r="C31849" t="str">
        <v>-</v>
      </c>
      <c r="D31849" t="str">
        <v>-</v>
      </c>
      <c r="E31849" t="str">
        <v>-</v>
      </c>
      <c r="F31849" t="str">
        <v>-</v>
      </c>
      <c r="G31849" t="str">
        <v>-</v>
      </c>
    </row>
    <row r="31850">
      <c r="B31850" t="str">
        <v>Công an xã Cẩm Duệ tỉnh Hà Tĩnh</v>
      </c>
      <c r="C31850" t="str">
        <v>-</v>
      </c>
      <c r="D31850" t="str">
        <v>-</v>
      </c>
      <c r="E31850" t="str">
        <v/>
      </c>
      <c r="F31850" t="str">
        <v>-</v>
      </c>
      <c r="G31850" t="str">
        <v>-</v>
      </c>
    </row>
    <row r="31851">
      <c r="B31851" t="str">
        <v>UBND Ủy ban nhân dân xã Cẩm Duệ tỉnh Hà Tĩnh</v>
      </c>
      <c r="C31851" t="str">
        <v>-</v>
      </c>
      <c r="D31851" t="str">
        <v>-</v>
      </c>
      <c r="E31851" t="str">
        <v>-</v>
      </c>
      <c r="F31851" t="str">
        <v>-</v>
      </c>
      <c r="G31851" t="str">
        <v>-</v>
      </c>
    </row>
    <row r="31852">
      <c r="B31852" t="str">
        <v>Công an xã Cam Thủy tỉnh Quảng Bình</v>
      </c>
      <c r="C31852" t="str">
        <v>-</v>
      </c>
      <c r="D31852" t="str">
        <v>-</v>
      </c>
      <c r="E31852" t="str">
        <v/>
      </c>
      <c r="F31852" t="str">
        <v>-</v>
      </c>
      <c r="G31852" t="str">
        <v>-</v>
      </c>
    </row>
    <row r="31853">
      <c r="B31853" t="str">
        <v>UBND Ủy ban nhân dân xã Cam Thủy tỉnh Quảng Bình</v>
      </c>
      <c r="C31853" t="str">
        <v>-</v>
      </c>
      <c r="D31853" t="str">
        <v>-</v>
      </c>
      <c r="E31853" t="str">
        <v>-</v>
      </c>
      <c r="F31853" t="str">
        <v>-</v>
      </c>
      <c r="G31853" t="str">
        <v>-</v>
      </c>
    </row>
    <row r="31854">
      <c r="B31854" t="str">
        <v>Công an xã Cẩm Long  tỉnh Thanh Hóa</v>
      </c>
      <c r="C31854" t="str">
        <v>-</v>
      </c>
      <c r="D31854" t="str">
        <v>-</v>
      </c>
      <c r="E31854" t="str">
        <v/>
      </c>
      <c r="F31854" t="str">
        <v>-</v>
      </c>
      <c r="G31854" t="str">
        <v>-</v>
      </c>
    </row>
    <row r="31855">
      <c r="B31855" t="str">
        <v>UBND Ủy ban nhân dân xã Cẩm Long  tỉnh Thanh Hóa</v>
      </c>
      <c r="C31855" t="str">
        <v>-</v>
      </c>
      <c r="D31855" t="str">
        <v>-</v>
      </c>
      <c r="E31855" t="str">
        <v>-</v>
      </c>
      <c r="F31855" t="str">
        <v>-</v>
      </c>
      <c r="G31855" t="str">
        <v>-</v>
      </c>
    </row>
    <row r="31856">
      <c r="B31856" t="str">
        <v>Công an xã Điêu Lương tỉnh Phú Thọ</v>
      </c>
      <c r="C31856" t="str">
        <v>-</v>
      </c>
      <c r="D31856" t="str">
        <v>-</v>
      </c>
      <c r="E31856" t="str">
        <v/>
      </c>
      <c r="F31856" t="str">
        <v>-</v>
      </c>
      <c r="G31856" t="str">
        <v>-</v>
      </c>
    </row>
    <row r="31857">
      <c r="B31857" t="str">
        <v>UBND Ủy ban nhân dân xã Điêu Lương tỉnh Phú Thọ</v>
      </c>
      <c r="C31857" t="str">
        <v>-</v>
      </c>
      <c r="D31857" t="str">
        <v>-</v>
      </c>
      <c r="E31857" t="str">
        <v>-</v>
      </c>
      <c r="F31857" t="str">
        <v>-</v>
      </c>
      <c r="G31857" t="str">
        <v>-</v>
      </c>
    </row>
    <row r="31858">
      <c r="B31858" t="str">
        <v>Công an huyện Cẩm Thủy  tỉnh Thanh Hóa</v>
      </c>
      <c r="C31858" t="str">
        <v>-</v>
      </c>
      <c r="D31858" t="str">
        <v>-</v>
      </c>
      <c r="E31858" t="str">
        <v/>
      </c>
      <c r="F31858" t="str">
        <v>-</v>
      </c>
      <c r="G31858" t="str">
        <v>-</v>
      </c>
    </row>
    <row r="31859">
      <c r="B31859" t="str">
        <v>UBND Ủy ban nhân dân huyện Cẩm Thủy  tỉnh Thanh Hóa</v>
      </c>
      <c r="C31859" t="str">
        <v>-</v>
      </c>
      <c r="D31859" t="str">
        <v>-</v>
      </c>
      <c r="E31859" t="str">
        <v>-</v>
      </c>
      <c r="F31859" t="str">
        <v>-</v>
      </c>
      <c r="G31859" t="str">
        <v>-</v>
      </c>
    </row>
    <row r="31860">
      <c r="B31860" t="str">
        <v>Công an xã Cẩm Nhượng tỉnh Hà Tĩnh</v>
      </c>
      <c r="C31860" t="str">
        <v>-</v>
      </c>
      <c r="D31860" t="str">
        <v>-</v>
      </c>
      <c r="E31860" t="str">
        <v/>
      </c>
      <c r="F31860" t="str">
        <v>-</v>
      </c>
      <c r="G31860" t="str">
        <v>-</v>
      </c>
    </row>
    <row r="31861">
      <c r="B31861" t="str">
        <v>UBND Ủy ban nhân dân xã Cẩm Nhượng tỉnh Hà Tĩnh</v>
      </c>
      <c r="C31861" t="str">
        <v>-</v>
      </c>
      <c r="D31861" t="str">
        <v>-</v>
      </c>
      <c r="E31861" t="str">
        <v>-</v>
      </c>
      <c r="F31861" t="str">
        <v>-</v>
      </c>
      <c r="G31861" t="str">
        <v>-</v>
      </c>
    </row>
    <row r="31862">
      <c r="B31862" t="str">
        <v>Công an huyện Cẩm Giàng tỉnh Hải Dương</v>
      </c>
      <c r="C31862" t="str">
        <v>-</v>
      </c>
      <c r="D31862" t="str">
        <v>-</v>
      </c>
      <c r="E31862" t="str">
        <v/>
      </c>
      <c r="F31862" t="str">
        <v>-</v>
      </c>
      <c r="G31862" t="str">
        <v>-</v>
      </c>
    </row>
    <row r="31863">
      <c r="B31863" t="str">
        <v>UBND Ủy ban nhân dân huyện Cẩm Giàng tỉnh Hải Dương</v>
      </c>
      <c r="C31863" t="str">
        <v>-</v>
      </c>
      <c r="D31863" t="str">
        <v>-</v>
      </c>
      <c r="E31863" t="str">
        <v>-</v>
      </c>
      <c r="F31863" t="str">
        <v>-</v>
      </c>
      <c r="G31863" t="str">
        <v>-</v>
      </c>
    </row>
    <row r="31864">
      <c r="B31864" t="str">
        <v>Công an xã Ngọc Liên tỉnh Hải Dương</v>
      </c>
      <c r="C31864" t="str">
        <v>-</v>
      </c>
      <c r="D31864" t="str">
        <v>-</v>
      </c>
      <c r="E31864" t="str">
        <v/>
      </c>
      <c r="F31864" t="str">
        <v>-</v>
      </c>
      <c r="G31864" t="str">
        <v>-</v>
      </c>
    </row>
    <row r="31865">
      <c r="B31865" t="str">
        <v>UBND Ủy ban nhân dân xã Ngọc Liên tỉnh Hải Dương</v>
      </c>
      <c r="C31865" t="str">
        <v>-</v>
      </c>
      <c r="D31865" t="str">
        <v>-</v>
      </c>
      <c r="E31865" t="str">
        <v>-</v>
      </c>
      <c r="F31865" t="str">
        <v>-</v>
      </c>
      <c r="G31865" t="str">
        <v>-</v>
      </c>
    </row>
    <row r="31866">
      <c r="B31866" t="str">
        <v>Công an huyện Tân Kỳ  tỉnh Nghệ An</v>
      </c>
      <c r="C31866" t="str">
        <v>-</v>
      </c>
      <c r="D31866" t="str">
        <v>-</v>
      </c>
      <c r="E31866" t="str">
        <v/>
      </c>
      <c r="F31866" t="str">
        <v>-</v>
      </c>
      <c r="G31866" t="str">
        <v>-</v>
      </c>
    </row>
    <row r="31867">
      <c r="B31867" t="str">
        <v>UBND Ủy ban nhân dân huyện Tân Kỳ  tỉnh Nghệ An</v>
      </c>
      <c r="C31867" t="str">
        <v>-</v>
      </c>
      <c r="D31867" t="str">
        <v>-</v>
      </c>
      <c r="E31867" t="str">
        <v>-</v>
      </c>
      <c r="F31867" t="str">
        <v>-</v>
      </c>
      <c r="G31867" t="str">
        <v>-</v>
      </c>
    </row>
    <row r="31868">
      <c r="B31868" t="str">
        <v>Công an xã Cấp Dẫn tỉnh Phú Thọ</v>
      </c>
      <c r="C31868" t="str">
        <v>-</v>
      </c>
      <c r="D31868" t="str">
        <v>-</v>
      </c>
      <c r="E31868" t="str">
        <v/>
      </c>
      <c r="F31868" t="str">
        <v>-</v>
      </c>
      <c r="G31868" t="str">
        <v>-</v>
      </c>
    </row>
    <row r="31869">
      <c r="B31869" t="str">
        <v>UBND Ủy ban nhân dân xã Cấp Dẫn tỉnh Phú Thọ</v>
      </c>
      <c r="C31869" t="str">
        <v>-</v>
      </c>
      <c r="D31869" t="str">
        <v>-</v>
      </c>
      <c r="E31869" t="str">
        <v>-</v>
      </c>
      <c r="F31869" t="str">
        <v>-</v>
      </c>
      <c r="G31869" t="str">
        <v>-</v>
      </c>
    </row>
    <row r="31870">
      <c r="B31870" t="str">
        <v>Công an xã Cẩm Trung tỉnh Hà Tĩnh</v>
      </c>
      <c r="C31870" t="str">
        <v>-</v>
      </c>
      <c r="D31870" t="str">
        <v>-</v>
      </c>
      <c r="E31870" t="str">
        <v/>
      </c>
      <c r="F31870" t="str">
        <v>-</v>
      </c>
      <c r="G31870" t="str">
        <v>-</v>
      </c>
    </row>
    <row r="31871">
      <c r="B31871" t="str">
        <v>UBND Ủy ban nhân dân xã Cẩm Trung tỉnh Hà Tĩnh</v>
      </c>
      <c r="C31871" t="str">
        <v>-</v>
      </c>
      <c r="D31871" t="str">
        <v>-</v>
      </c>
      <c r="E31871" t="str">
        <v>-</v>
      </c>
      <c r="F31871" t="str">
        <v>-</v>
      </c>
      <c r="G31871" t="str">
        <v>-</v>
      </c>
    </row>
    <row r="31872">
      <c r="B31872" t="str">
        <v>Công an xã Thạch Cẩm tỉnh Thanh Hóa</v>
      </c>
      <c r="C31872" t="str">
        <v>-</v>
      </c>
      <c r="D31872" t="str">
        <v>-</v>
      </c>
      <c r="E31872" t="str">
        <v/>
      </c>
      <c r="F31872" t="str">
        <v>-</v>
      </c>
      <c r="G31872" t="str">
        <v>-</v>
      </c>
    </row>
    <row r="31873">
      <c r="B31873" t="str">
        <v>UBND Ủy ban nhân dân xã Thạch Cẩm tỉnh Thanh Hóa</v>
      </c>
      <c r="C31873" t="str">
        <v>-</v>
      </c>
      <c r="D31873" t="str">
        <v>-</v>
      </c>
      <c r="E31873" t="str">
        <v>-</v>
      </c>
      <c r="F31873" t="str">
        <v>-</v>
      </c>
      <c r="G31873" t="str">
        <v>-</v>
      </c>
    </row>
    <row r="31874">
      <c r="B31874" t="str">
        <v>Công an xã Phú Khê tỉnh Phú Thọ</v>
      </c>
      <c r="C31874" t="str">
        <v>-</v>
      </c>
      <c r="D31874" t="str">
        <v>-</v>
      </c>
      <c r="E31874" t="str">
        <v/>
      </c>
      <c r="F31874" t="str">
        <v>-</v>
      </c>
      <c r="G31874" t="str">
        <v>-</v>
      </c>
    </row>
    <row r="31875">
      <c r="B31875" t="str">
        <v>UBND Ủy ban nhân dân xã Phú Khê tỉnh Phú Thọ</v>
      </c>
      <c r="C31875" t="str">
        <v>-</v>
      </c>
      <c r="D31875" t="str">
        <v>-</v>
      </c>
      <c r="E31875" t="str">
        <v>-</v>
      </c>
      <c r="F31875" t="str">
        <v>-</v>
      </c>
      <c r="G31875" t="str">
        <v>-</v>
      </c>
    </row>
    <row r="31876">
      <c r="B31876" t="str">
        <v>Công an xã Xuân Thủy tỉnh Nam Định</v>
      </c>
      <c r="C31876" t="str">
        <v>-</v>
      </c>
      <c r="D31876" t="str">
        <v>-</v>
      </c>
      <c r="E31876" t="str">
        <v/>
      </c>
      <c r="F31876" t="str">
        <v>-</v>
      </c>
      <c r="G31876" t="str">
        <v>-</v>
      </c>
    </row>
    <row r="31877">
      <c r="B31877" t="str">
        <v>UBND Ủy ban nhân dân xã Xuân Thủy tỉnh Nam Định</v>
      </c>
      <c r="C31877" t="str">
        <v>-</v>
      </c>
      <c r="D31877" t="str">
        <v>-</v>
      </c>
      <c r="E31877" t="str">
        <v>-</v>
      </c>
      <c r="F31877" t="str">
        <v>-</v>
      </c>
      <c r="G31877" t="str">
        <v>-</v>
      </c>
    </row>
    <row r="31878">
      <c r="B31878" t="str">
        <v>Công an xã Ngô Xá tỉnh Phú Thọ</v>
      </c>
      <c r="C31878" t="str">
        <v>-</v>
      </c>
      <c r="D31878" t="str">
        <v>-</v>
      </c>
      <c r="E31878" t="str">
        <v/>
      </c>
      <c r="F31878" t="str">
        <v>-</v>
      </c>
      <c r="G31878" t="str">
        <v>-</v>
      </c>
    </row>
    <row r="31879">
      <c r="B31879" t="str">
        <v>UBND Ủy ban nhân dân xã Ngô Xá tỉnh Phú Thọ</v>
      </c>
      <c r="C31879" t="str">
        <v>-</v>
      </c>
      <c r="D31879" t="str">
        <v>-</v>
      </c>
      <c r="E31879" t="str">
        <v>-</v>
      </c>
      <c r="F31879" t="str">
        <v>-</v>
      </c>
      <c r="G31879" t="str">
        <v>-</v>
      </c>
    </row>
    <row r="31880">
      <c r="B31880" t="str">
        <v>Công an xã Tân Trường tỉnh Hải Dương</v>
      </c>
      <c r="C31880" t="str">
        <v>-</v>
      </c>
      <c r="D31880" t="str">
        <v>-</v>
      </c>
      <c r="E31880" t="str">
        <v/>
      </c>
      <c r="F31880" t="str">
        <v>-</v>
      </c>
      <c r="G31880" t="str">
        <v>-</v>
      </c>
    </row>
    <row r="31881">
      <c r="B31881" t="str">
        <v>UBND Ủy ban nhân dân xã Tân Trường tỉnh Hải Dương</v>
      </c>
      <c r="C31881" t="str">
        <v>-</v>
      </c>
      <c r="D31881" t="str">
        <v>-</v>
      </c>
      <c r="E31881" t="str">
        <v>-</v>
      </c>
      <c r="F31881" t="str">
        <v>-</v>
      </c>
      <c r="G31881" t="str">
        <v>-</v>
      </c>
    </row>
    <row r="31882">
      <c r="B31882" t="str">
        <v>Công an huyện Thanh Thuỷ  tỉnh Phú Thọ</v>
      </c>
      <c r="C31882" t="str">
        <v>-</v>
      </c>
      <c r="D31882" t="str">
        <v>-</v>
      </c>
      <c r="E31882" t="str">
        <v/>
      </c>
      <c r="F31882" t="str">
        <v>-</v>
      </c>
      <c r="G31882" t="str">
        <v>-</v>
      </c>
    </row>
    <row r="31883">
      <c r="B31883" t="str">
        <v>UBND Ủy ban nhân dân huyện Thanh Thuỷ  tỉnh Phú Thọ</v>
      </c>
      <c r="C31883" t="str">
        <v>-</v>
      </c>
      <c r="D31883" t="str">
        <v>-</v>
      </c>
      <c r="E31883" t="str">
        <v>-</v>
      </c>
      <c r="F31883" t="str">
        <v>-</v>
      </c>
      <c r="G31883" t="str">
        <v>-</v>
      </c>
    </row>
    <row r="31884">
      <c r="B31884" t="str">
        <v>Công an xã Ngọc Sơn tỉnh Hải Dương</v>
      </c>
      <c r="C31884" t="str">
        <v>-</v>
      </c>
      <c r="D31884" t="str">
        <v>-</v>
      </c>
      <c r="E31884" t="str">
        <v/>
      </c>
      <c r="F31884" t="str">
        <v>-</v>
      </c>
      <c r="G31884" t="str">
        <v>-</v>
      </c>
    </row>
    <row r="31885">
      <c r="B31885" t="str">
        <v>UBND Ủy ban nhân dân xã Ngọc Sơn tỉnh Hải Dương</v>
      </c>
      <c r="C31885" t="str">
        <v>-</v>
      </c>
      <c r="D31885" t="str">
        <v>-</v>
      </c>
      <c r="E31885" t="str">
        <v>-</v>
      </c>
      <c r="F31885" t="str">
        <v>-</v>
      </c>
      <c r="G31885" t="str">
        <v>-</v>
      </c>
    </row>
    <row r="31886">
      <c r="B31886" t="str">
        <v>Công an xã Cẩm Châu tỉnh Thanh Hóa</v>
      </c>
      <c r="C31886" t="str">
        <v>-</v>
      </c>
      <c r="D31886" t="str">
        <v>-</v>
      </c>
      <c r="E31886" t="str">
        <v/>
      </c>
      <c r="F31886" t="str">
        <v>-</v>
      </c>
      <c r="G31886" t="str">
        <v>-</v>
      </c>
    </row>
    <row r="31887">
      <c r="B31887" t="str">
        <v>UBND Ủy ban nhân dân xã Cẩm Châu tỉnh Thanh Hóa</v>
      </c>
      <c r="C31887" t="str">
        <v>-</v>
      </c>
      <c r="D31887" t="str">
        <v>-</v>
      </c>
      <c r="E31887" t="str">
        <v>-</v>
      </c>
      <c r="F31887" t="str">
        <v>-</v>
      </c>
      <c r="G31887" t="str">
        <v>-</v>
      </c>
    </row>
    <row r="31888">
      <c r="B31888" t="str">
        <v>Công an xã Cẩm Vân tỉnh Thanh Hóa</v>
      </c>
      <c r="C31888" t="str">
        <v>-</v>
      </c>
      <c r="D31888" t="str">
        <v>-</v>
      </c>
      <c r="E31888" t="str">
        <v/>
      </c>
      <c r="F31888" t="str">
        <v>-</v>
      </c>
      <c r="G31888" t="str">
        <v>-</v>
      </c>
    </row>
    <row r="31889">
      <c r="B31889" t="str">
        <v>UBND Ủy ban nhân dân xã Cẩm Vân tỉnh Thanh Hóa</v>
      </c>
      <c r="C31889" t="str">
        <v>-</v>
      </c>
      <c r="D31889" t="str">
        <v>-</v>
      </c>
      <c r="E31889" t="str">
        <v>-</v>
      </c>
      <c r="F31889" t="str">
        <v>-</v>
      </c>
      <c r="G31889" t="str">
        <v>-</v>
      </c>
    </row>
    <row r="31890">
      <c r="B31890" t="str">
        <v>Công an huyện Cẩm Thuỷ tỉnh Thanh Hóa</v>
      </c>
      <c r="C31890" t="str">
        <v>-</v>
      </c>
      <c r="D31890" t="str">
        <v>-</v>
      </c>
      <c r="E31890" t="str">
        <v/>
      </c>
      <c r="F31890" t="str">
        <v>-</v>
      </c>
      <c r="G31890" t="str">
        <v>-</v>
      </c>
    </row>
    <row r="31891">
      <c r="B31891" t="str">
        <v>UBND Ủy ban nhân dân huyện Cẩm Thuỷ tỉnh Thanh Hóa</v>
      </c>
      <c r="C31891" t="str">
        <v>-</v>
      </c>
      <c r="D31891" t="str">
        <v>-</v>
      </c>
      <c r="E31891" t="str">
        <v>-</v>
      </c>
      <c r="F31891" t="str">
        <v>-</v>
      </c>
      <c r="G31891" t="str">
        <v>-</v>
      </c>
    </row>
    <row r="31892">
      <c r="B31892" t="str">
        <v>Công an thị trấn Kim Tân tỉnh Thanh Hóa</v>
      </c>
      <c r="C31892" t="str">
        <v>-</v>
      </c>
      <c r="D31892" t="str">
        <v>-</v>
      </c>
      <c r="E31892" t="str">
        <v/>
      </c>
      <c r="F31892" t="str">
        <v>-</v>
      </c>
      <c r="G31892" t="str">
        <v>-</v>
      </c>
    </row>
    <row r="31893">
      <c r="B31893" t="str">
        <v>UBND Ủy ban nhân dân thị trấn Kim Tân tỉnh Thanh Hóa</v>
      </c>
      <c r="C31893" t="str">
        <v>-</v>
      </c>
      <c r="D31893" t="str">
        <v>-</v>
      </c>
      <c r="E31893" t="str">
        <v>-</v>
      </c>
      <c r="F31893" t="str">
        <v>-</v>
      </c>
      <c r="G31893" t="str">
        <v>-</v>
      </c>
    </row>
    <row r="31894">
      <c r="B31894" t="str">
        <v>Công an thị trấn Vân Du tỉnh Thanh Hóa</v>
      </c>
      <c r="C31894" t="str">
        <v>-</v>
      </c>
      <c r="D31894" t="str">
        <v>-</v>
      </c>
      <c r="E31894" t="str">
        <v/>
      </c>
      <c r="F31894" t="str">
        <v>-</v>
      </c>
      <c r="G31894" t="str">
        <v>-</v>
      </c>
    </row>
    <row r="31895">
      <c r="B31895" t="str">
        <v>UBND Ủy ban nhân dân thị trấn Vân Du tỉnh Thanh Hóa</v>
      </c>
      <c r="C31895" t="str">
        <v>-</v>
      </c>
      <c r="D31895" t="str">
        <v>-</v>
      </c>
      <c r="E31895" t="str">
        <v>-</v>
      </c>
      <c r="F31895" t="str">
        <v>-</v>
      </c>
      <c r="G31895" t="str">
        <v>-</v>
      </c>
    </row>
    <row r="31896">
      <c r="B31896" t="str">
        <v>Công an xã Thành Tân tỉnh Thanh Hóa</v>
      </c>
      <c r="C31896" t="str">
        <v>-</v>
      </c>
      <c r="D31896" t="str">
        <v>-</v>
      </c>
      <c r="E31896" t="str">
        <v/>
      </c>
      <c r="F31896" t="str">
        <v>-</v>
      </c>
      <c r="G31896" t="str">
        <v>-</v>
      </c>
    </row>
    <row r="31897">
      <c r="B31897" t="str">
        <v>UBND Ủy ban nhân dân xã Thành Tân tỉnh Thanh Hóa</v>
      </c>
      <c r="C31897" t="str">
        <v>-</v>
      </c>
      <c r="D31897" t="str">
        <v>-</v>
      </c>
      <c r="E31897" t="str">
        <v>-</v>
      </c>
      <c r="F31897" t="str">
        <v>-</v>
      </c>
      <c r="G31897" t="str">
        <v>-</v>
      </c>
    </row>
    <row r="31898">
      <c r="B31898" t="str">
        <v>Công an xã Thạch Lâm tỉnh Thanh Hóa</v>
      </c>
      <c r="C31898" t="str">
        <v>-</v>
      </c>
      <c r="D31898" t="str">
        <v>-</v>
      </c>
      <c r="E31898" t="str">
        <v/>
      </c>
      <c r="F31898" t="str">
        <v>-</v>
      </c>
      <c r="G31898" t="str">
        <v>-</v>
      </c>
    </row>
    <row r="31899">
      <c r="B31899" t="str">
        <v>UBND Ủy ban nhân dân xã Thạch Lâm tỉnh Thanh Hóa</v>
      </c>
      <c r="C31899" t="str">
        <v>-</v>
      </c>
      <c r="D31899" t="str">
        <v>-</v>
      </c>
      <c r="E31899" t="str">
        <v>-</v>
      </c>
      <c r="F31899" t="str">
        <v>-</v>
      </c>
      <c r="G31899" t="str">
        <v>-</v>
      </c>
    </row>
    <row r="31900">
      <c r="B31900" t="str">
        <v>Công an xã Thành Thọ tỉnh Thanh Hóa</v>
      </c>
      <c r="C31900" t="str">
        <v>-</v>
      </c>
      <c r="D31900" t="str">
        <v>-</v>
      </c>
      <c r="E31900" t="str">
        <v/>
      </c>
      <c r="F31900" t="str">
        <v>-</v>
      </c>
      <c r="G31900" t="str">
        <v>-</v>
      </c>
    </row>
    <row r="31901">
      <c r="B31901" t="str">
        <v>UBND Ủy ban nhân dân xã Thành Thọ tỉnh Thanh Hóa</v>
      </c>
      <c r="C31901" t="str">
        <v>-</v>
      </c>
      <c r="D31901" t="str">
        <v>-</v>
      </c>
      <c r="E31901" t="str">
        <v>-</v>
      </c>
      <c r="F31901" t="str">
        <v>-</v>
      </c>
      <c r="G31901" t="str">
        <v>-</v>
      </c>
    </row>
    <row r="31902">
      <c r="B31902" t="str">
        <v>Công an xã Thành Yên tỉnh Thanh Hóa</v>
      </c>
      <c r="C31902" t="str">
        <v>-</v>
      </c>
      <c r="D31902" t="str">
        <v>-</v>
      </c>
      <c r="E31902" t="str">
        <v/>
      </c>
      <c r="F31902" t="str">
        <v>-</v>
      </c>
      <c r="G31902" t="str">
        <v>-</v>
      </c>
    </row>
    <row r="31903">
      <c r="B31903" t="str">
        <v>UBND Ủy ban nhân dân xã Thành Yên tỉnh Thanh Hóa</v>
      </c>
      <c r="C31903" t="str">
        <v>-</v>
      </c>
      <c r="D31903" t="str">
        <v>-</v>
      </c>
      <c r="E31903" t="str">
        <v>-</v>
      </c>
      <c r="F31903" t="str">
        <v>-</v>
      </c>
      <c r="G31903" t="str">
        <v>-</v>
      </c>
    </row>
    <row r="31904">
      <c r="B31904" t="str">
        <v>Công an xã Thạch Lâm tỉnh Cao Bằng</v>
      </c>
      <c r="C31904" t="str">
        <v>-</v>
      </c>
      <c r="D31904" t="str">
        <v>-</v>
      </c>
      <c r="E31904" t="str">
        <v/>
      </c>
      <c r="F31904" t="str">
        <v>-</v>
      </c>
      <c r="G31904" t="str">
        <v>-</v>
      </c>
    </row>
    <row r="31905">
      <c r="B31905" t="str">
        <v>UBND Ủy ban nhân dân xã Thạch Lâm tỉnh Cao Bằng</v>
      </c>
      <c r="C31905" t="str">
        <v>-</v>
      </c>
      <c r="D31905" t="str">
        <v>-</v>
      </c>
      <c r="E31905" t="str">
        <v>-</v>
      </c>
      <c r="F31905" t="str">
        <v>-</v>
      </c>
      <c r="G31905" t="str">
        <v>-</v>
      </c>
    </row>
    <row r="31906">
      <c r="B31906" t="str">
        <v>Công an xã Thạch Long tỉnh Thanh Hóa</v>
      </c>
      <c r="C31906" t="str">
        <v>-</v>
      </c>
      <c r="D31906" t="str">
        <v>-</v>
      </c>
      <c r="E31906" t="str">
        <v/>
      </c>
      <c r="F31906" t="str">
        <v>-</v>
      </c>
      <c r="G31906" t="str">
        <v>-</v>
      </c>
    </row>
    <row r="31907">
      <c r="B31907" t="str">
        <v>UBND Ủy ban nhân dân xã Thạch Long tỉnh Thanh Hóa</v>
      </c>
      <c r="C31907" t="str">
        <v>-</v>
      </c>
      <c r="D31907" t="str">
        <v>-</v>
      </c>
      <c r="E31907" t="str">
        <v>-</v>
      </c>
      <c r="F31907" t="str">
        <v>-</v>
      </c>
      <c r="G31907" t="str">
        <v>-</v>
      </c>
    </row>
    <row r="31908">
      <c r="B31908" t="str">
        <v>Công an xã Thành Tiến tỉnh Thanh Hóa</v>
      </c>
      <c r="C31908" t="str">
        <v>-</v>
      </c>
      <c r="D31908" t="str">
        <v>-</v>
      </c>
      <c r="E31908" t="str">
        <v/>
      </c>
      <c r="F31908" t="str">
        <v>-</v>
      </c>
      <c r="G31908" t="str">
        <v>-</v>
      </c>
    </row>
    <row r="31909">
      <c r="B31909" t="str">
        <v>UBND Ủy ban nhân dân xã Thành Tiến tỉnh Thanh Hóa</v>
      </c>
      <c r="C31909" t="str">
        <v>-</v>
      </c>
      <c r="D31909" t="str">
        <v>-</v>
      </c>
      <c r="E31909" t="str">
        <v>-</v>
      </c>
      <c r="F31909" t="str">
        <v>-</v>
      </c>
      <c r="G31909" t="str">
        <v>-</v>
      </c>
    </row>
    <row r="31910">
      <c r="B31910" t="str">
        <v>Công an xã Thạch Đồng tỉnh Thanh Hóa</v>
      </c>
      <c r="C31910" t="str">
        <v>-</v>
      </c>
      <c r="D31910" t="str">
        <v>-</v>
      </c>
      <c r="E31910" t="str">
        <v/>
      </c>
      <c r="F31910" t="str">
        <v>-</v>
      </c>
      <c r="G31910" t="str">
        <v>-</v>
      </c>
    </row>
    <row r="31911">
      <c r="B31911" t="str">
        <v>UBND Ủy ban nhân dân xã Thạch Đồng tỉnh Thanh Hóa</v>
      </c>
      <c r="C31911" t="str">
        <v>-</v>
      </c>
      <c r="D31911" t="str">
        <v>-</v>
      </c>
      <c r="E31911" t="str">
        <v>-</v>
      </c>
      <c r="F31911" t="str">
        <v>-</v>
      </c>
      <c r="G31911" t="str">
        <v>-</v>
      </c>
    </row>
    <row r="31912">
      <c r="B31912" t="str">
        <v>Công an huyện Lục Nam tỉnh Bắc Giang</v>
      </c>
      <c r="C31912" t="str">
        <v>-</v>
      </c>
      <c r="D31912" t="str">
        <v>-</v>
      </c>
      <c r="E31912" t="str">
        <v/>
      </c>
      <c r="F31912" t="str">
        <v>-</v>
      </c>
      <c r="G31912" t="str">
        <v>-</v>
      </c>
    </row>
    <row r="31913">
      <c r="B31913" t="str">
        <v>UBND Ủy ban nhân dân huyện Lục Nam tỉnh Bắc Giang</v>
      </c>
      <c r="C31913" t="str">
        <v>-</v>
      </c>
      <c r="D31913" t="str">
        <v>-</v>
      </c>
      <c r="E31913" t="str">
        <v>-</v>
      </c>
      <c r="F31913" t="str">
        <v>-</v>
      </c>
      <c r="G31913" t="str">
        <v>-</v>
      </c>
    </row>
    <row r="31914">
      <c r="B31914" t="str">
        <v>Công an xã Thành Trực tỉnh Thanh Hóa</v>
      </c>
      <c r="C31914" t="str">
        <v>-</v>
      </c>
      <c r="D31914" t="str">
        <v>-</v>
      </c>
      <c r="E31914" t="str">
        <v/>
      </c>
      <c r="F31914" t="str">
        <v>-</v>
      </c>
      <c r="G31914" t="str">
        <v>-</v>
      </c>
    </row>
    <row r="31915">
      <c r="B31915" t="str">
        <v>UBND Ủy ban nhân dân xã Thành Trực tỉnh Thanh Hóa</v>
      </c>
      <c r="C31915" t="str">
        <v>-</v>
      </c>
      <c r="D31915" t="str">
        <v>-</v>
      </c>
      <c r="E31915" t="str">
        <v>-</v>
      </c>
      <c r="F31915" t="str">
        <v>-</v>
      </c>
      <c r="G31915" t="str">
        <v>-</v>
      </c>
    </row>
    <row r="31916">
      <c r="B31916" t="str">
        <v>Công an xã Ngọc Trạo tỉnh Thanh Hóa</v>
      </c>
      <c r="C31916" t="str">
        <v>-</v>
      </c>
      <c r="D31916" t="str">
        <v>-</v>
      </c>
      <c r="E31916" t="str">
        <v/>
      </c>
      <c r="F31916" t="str">
        <v>-</v>
      </c>
      <c r="G31916" t="str">
        <v>-</v>
      </c>
    </row>
    <row r="31917">
      <c r="B31917" t="str">
        <v>UBND Ủy ban nhân dân xã Ngọc Trạo tỉnh Thanh Hóa</v>
      </c>
      <c r="C31917" t="str">
        <v>-</v>
      </c>
      <c r="D31917" t="str">
        <v>-</v>
      </c>
      <c r="E31917" t="str">
        <v>-</v>
      </c>
      <c r="F31917" t="str">
        <v>-</v>
      </c>
      <c r="G31917" t="str">
        <v>-</v>
      </c>
    </row>
    <row r="31918">
      <c r="B31918" t="str">
        <v>Công an xã Thành Vinh tỉnh Thanh Hóa</v>
      </c>
      <c r="C31918" t="str">
        <v>-</v>
      </c>
      <c r="D31918" t="str">
        <v>-</v>
      </c>
      <c r="E31918" t="str">
        <v/>
      </c>
      <c r="F31918" t="str">
        <v>-</v>
      </c>
      <c r="G31918" t="str">
        <v>-</v>
      </c>
    </row>
    <row r="31919">
      <c r="B31919" t="str">
        <v>UBND Ủy ban nhân dân xã Thành Vinh tỉnh Thanh Hóa</v>
      </c>
      <c r="C31919" t="str">
        <v>-</v>
      </c>
      <c r="D31919" t="str">
        <v>-</v>
      </c>
      <c r="E31919" t="str">
        <v>-</v>
      </c>
      <c r="F31919" t="str">
        <v>-</v>
      </c>
      <c r="G31919" t="str">
        <v>-</v>
      </c>
    </row>
    <row r="31920">
      <c r="B31920" t="str">
        <v>Công an thị trấn Hà Trung  tỉnh Thanh Hóa</v>
      </c>
      <c r="C31920" t="str">
        <v>-</v>
      </c>
      <c r="D31920" t="str">
        <v>-</v>
      </c>
      <c r="E31920" t="str">
        <v/>
      </c>
      <c r="F31920" t="str">
        <v>-</v>
      </c>
      <c r="G31920" t="str">
        <v>-</v>
      </c>
    </row>
    <row r="31921">
      <c r="B31921" t="str">
        <v>UBND Ủy ban nhân dân thị trấn Hà Trung  tỉnh Thanh Hóa</v>
      </c>
      <c r="C31921" t="str">
        <v>-</v>
      </c>
      <c r="D31921" t="str">
        <v>-</v>
      </c>
      <c r="E31921" t="str">
        <v>-</v>
      </c>
      <c r="F31921" t="str">
        <v>-</v>
      </c>
      <c r="G31921" t="str">
        <v>-</v>
      </c>
    </row>
    <row r="31922">
      <c r="B31922" t="str">
        <v>Công an xã Hà Đông tỉnh Thanh Hóa</v>
      </c>
      <c r="C31922" t="str">
        <v>-</v>
      </c>
      <c r="D31922" t="str">
        <v>-</v>
      </c>
      <c r="E31922" t="str">
        <v/>
      </c>
      <c r="F31922" t="str">
        <v>-</v>
      </c>
      <c r="G31922" t="str">
        <v>-</v>
      </c>
    </row>
    <row r="31923">
      <c r="B31923" t="str">
        <v>UBND Ủy ban nhân dân xã Hà Đông tỉnh Thanh Hóa</v>
      </c>
      <c r="C31923" t="str">
        <v>-</v>
      </c>
      <c r="D31923" t="str">
        <v>-</v>
      </c>
      <c r="E31923" t="str">
        <v>-</v>
      </c>
      <c r="F31923" t="str">
        <v>-</v>
      </c>
      <c r="G31923" t="str">
        <v>-</v>
      </c>
    </row>
    <row r="31924">
      <c r="B31924" t="str">
        <v>Công an huyện Hà Trung tỉnh Thanh Hóa</v>
      </c>
      <c r="C31924" t="str">
        <v>-</v>
      </c>
      <c r="D31924" t="str">
        <v>-</v>
      </c>
      <c r="E31924" t="str">
        <v/>
      </c>
      <c r="F31924" t="str">
        <v>-</v>
      </c>
      <c r="G31924" t="str">
        <v>-</v>
      </c>
    </row>
    <row r="31925">
      <c r="B31925" t="str">
        <v>UBND Ủy ban nhân dân huyện Hà Trung tỉnh Thanh Hóa</v>
      </c>
      <c r="C31925" t="str">
        <v>-</v>
      </c>
      <c r="D31925" t="str">
        <v>-</v>
      </c>
      <c r="E31925" t="str">
        <v>-</v>
      </c>
      <c r="F31925" t="str">
        <v>-</v>
      </c>
      <c r="G31925" t="str">
        <v>-</v>
      </c>
    </row>
    <row r="31926">
      <c r="B31926" t="str">
        <v>Công an huyện Vĩnh Lộc tỉnh Thanh Hóa</v>
      </c>
      <c r="C31926" t="str">
        <v>-</v>
      </c>
      <c r="D31926" t="str">
        <v>-</v>
      </c>
      <c r="E31926" t="str">
        <v/>
      </c>
      <c r="F31926" t="str">
        <v>-</v>
      </c>
      <c r="G31926" t="str">
        <v>-</v>
      </c>
    </row>
    <row r="31927">
      <c r="B31927" t="str">
        <v>UBND Ủy ban nhân dân huyện Vĩnh Lộc tỉnh Thanh Hóa</v>
      </c>
      <c r="C31927" t="str">
        <v>-</v>
      </c>
      <c r="D31927" t="str">
        <v>-</v>
      </c>
      <c r="E31927" t="str">
        <v>-</v>
      </c>
      <c r="F31927" t="str">
        <v>-</v>
      </c>
      <c r="G31927" t="str">
        <v>-</v>
      </c>
    </row>
    <row r="31928">
      <c r="B31928" t="str">
        <v>Công an thị trấn Vĩnh Lộc tỉnh Thanh Hóa</v>
      </c>
      <c r="C31928" t="str">
        <v>-</v>
      </c>
      <c r="D31928" t="str">
        <v>-</v>
      </c>
      <c r="E31928" t="str">
        <v/>
      </c>
      <c r="F31928" t="str">
        <v>-</v>
      </c>
      <c r="G31928" t="str">
        <v>-</v>
      </c>
    </row>
    <row r="31929">
      <c r="B31929" t="str">
        <v>UBND Ủy ban nhân dân thị trấn Vĩnh Lộc tỉnh Thanh Hóa</v>
      </c>
      <c r="C31929" t="str">
        <v>-</v>
      </c>
      <c r="D31929" t="str">
        <v>-</v>
      </c>
      <c r="E31929" t="str">
        <v>-</v>
      </c>
      <c r="F31929" t="str">
        <v>-</v>
      </c>
      <c r="G31929" t="str">
        <v>-</v>
      </c>
    </row>
    <row r="31930">
      <c r="B31930" t="str">
        <v>Công an thị trấn Vĩnh Lộc tỉnh Thanh Hóa</v>
      </c>
      <c r="C31930" t="str">
        <v>-</v>
      </c>
      <c r="D31930" t="str">
        <v>-</v>
      </c>
      <c r="E31930" t="str">
        <v/>
      </c>
      <c r="F31930" t="str">
        <v>-</v>
      </c>
      <c r="G31930" t="str">
        <v>-</v>
      </c>
    </row>
    <row r="31931">
      <c r="B31931" t="str">
        <v>UBND Ủy ban nhân dân thị trấn Vĩnh Lộc tỉnh Thanh Hóa</v>
      </c>
      <c r="C31931" t="str">
        <v>-</v>
      </c>
      <c r="D31931" t="str">
        <v>-</v>
      </c>
      <c r="E31931" t="str">
        <v>-</v>
      </c>
      <c r="F31931" t="str">
        <v>-</v>
      </c>
      <c r="G31931" t="str">
        <v>-</v>
      </c>
    </row>
    <row r="31932">
      <c r="B31932" t="str">
        <v>Công an xã Vĩnh Tiến tỉnh Thanh Hóa</v>
      </c>
      <c r="C31932" t="str">
        <v>-</v>
      </c>
      <c r="D31932" t="str">
        <v>-</v>
      </c>
      <c r="E31932" t="str">
        <v/>
      </c>
      <c r="F31932" t="str">
        <v>-</v>
      </c>
      <c r="G31932" t="str">
        <v>-</v>
      </c>
    </row>
    <row r="31933">
      <c r="B31933" t="str">
        <v>UBND Ủy ban nhân dân xã Vĩnh Tiến tỉnh Thanh Hóa</v>
      </c>
      <c r="C31933" t="str">
        <v>-</v>
      </c>
      <c r="D31933" t="str">
        <v>-</v>
      </c>
      <c r="E31933" t="str">
        <v>-</v>
      </c>
      <c r="F31933" t="str">
        <v>-</v>
      </c>
      <c r="G31933" t="str">
        <v>-</v>
      </c>
    </row>
    <row r="31934">
      <c r="B31934" t="str">
        <v>Công an huyện Vĩnh Lộc  tỉnh Thanh Hóa</v>
      </c>
      <c r="C31934" t="str">
        <v>-</v>
      </c>
      <c r="D31934" t="str">
        <v>-</v>
      </c>
      <c r="E31934" t="str">
        <v/>
      </c>
      <c r="F31934" t="str">
        <v>-</v>
      </c>
      <c r="G31934" t="str">
        <v>-</v>
      </c>
    </row>
    <row r="31935">
      <c r="B31935" t="str">
        <v>UBND Ủy ban nhân dân huyện Vĩnh Lộc  tỉnh Thanh Hóa</v>
      </c>
      <c r="C31935" t="str">
        <v>-</v>
      </c>
      <c r="D31935" t="str">
        <v>-</v>
      </c>
      <c r="E31935" t="str">
        <v>-</v>
      </c>
      <c r="F31935" t="str">
        <v>-</v>
      </c>
      <c r="G31935" t="str">
        <v>-</v>
      </c>
    </row>
    <row r="31936">
      <c r="B31936" t="str">
        <v>Công an xã Vĩnh Long  tỉnh Quảng Trị</v>
      </c>
      <c r="C31936" t="str">
        <v>-</v>
      </c>
      <c r="D31936" t="str">
        <v>-</v>
      </c>
      <c r="E31936" t="str">
        <v/>
      </c>
      <c r="F31936" t="str">
        <v>-</v>
      </c>
      <c r="G31936" t="str">
        <v>-</v>
      </c>
    </row>
    <row r="31937">
      <c r="B31937" t="str">
        <v>UBND Ủy ban nhân dân xã Vĩnh Long  tỉnh Quảng Trị</v>
      </c>
      <c r="C31937" t="str">
        <v>-</v>
      </c>
      <c r="D31937" t="str">
        <v>-</v>
      </c>
      <c r="E31937" t="str">
        <v>-</v>
      </c>
      <c r="F31937" t="str">
        <v>-</v>
      </c>
      <c r="G31937" t="str">
        <v>-</v>
      </c>
    </row>
    <row r="31938">
      <c r="B31938" t="str">
        <v>Công an xã Vĩnh Hưng tỉnh Thanh Hóa</v>
      </c>
      <c r="C31938" t="str">
        <v>-</v>
      </c>
      <c r="D31938" t="str">
        <v>-</v>
      </c>
      <c r="E31938" t="str">
        <v/>
      </c>
      <c r="F31938" t="str">
        <v>-</v>
      </c>
      <c r="G31938" t="str">
        <v>-</v>
      </c>
    </row>
    <row r="31939">
      <c r="B31939" t="str">
        <v>UBND Ủy ban nhân dân xã Vĩnh Hưng tỉnh Thanh Hóa</v>
      </c>
      <c r="C31939" t="str">
        <v>-</v>
      </c>
      <c r="D31939" t="str">
        <v>-</v>
      </c>
      <c r="E31939" t="str">
        <v>-</v>
      </c>
      <c r="F31939" t="str">
        <v>-</v>
      </c>
      <c r="G31939" t="str">
        <v>-</v>
      </c>
    </row>
    <row r="31940">
      <c r="B31940" t="str">
        <v>Công an xã Liên Minh tỉnh Hà Tĩnh</v>
      </c>
      <c r="C31940" t="str">
        <v>-</v>
      </c>
      <c r="D31940" t="str">
        <v>-</v>
      </c>
      <c r="E31940" t="str">
        <v/>
      </c>
      <c r="F31940" t="str">
        <v>-</v>
      </c>
      <c r="G31940" t="str">
        <v>-</v>
      </c>
    </row>
    <row r="31941">
      <c r="B31941" t="str">
        <v>UBND Ủy ban nhân dân xã Liên Minh tỉnh Hà Tĩnh</v>
      </c>
      <c r="C31941" t="str">
        <v>-</v>
      </c>
      <c r="D31941" t="str">
        <v>-</v>
      </c>
      <c r="E31941" t="str">
        <v>-</v>
      </c>
      <c r="F31941" t="str">
        <v>-</v>
      </c>
      <c r="G31941" t="str">
        <v>-</v>
      </c>
    </row>
    <row r="31942">
      <c r="B31942" t="str">
        <v>Công an xã Minh Tân tỉnh Thanh Hóa</v>
      </c>
      <c r="C31942" t="str">
        <v>-</v>
      </c>
      <c r="D31942" t="str">
        <v>-</v>
      </c>
      <c r="E31942" t="str">
        <v/>
      </c>
      <c r="F31942" t="str">
        <v>-</v>
      </c>
      <c r="G31942" t="str">
        <v>-</v>
      </c>
    </row>
    <row r="31943">
      <c r="B31943" t="str">
        <v>UBND Ủy ban nhân dân xã Minh Tân tỉnh Thanh Hóa</v>
      </c>
      <c r="C31943" t="str">
        <v>-</v>
      </c>
      <c r="D31943" t="str">
        <v>-</v>
      </c>
      <c r="E31943" t="str">
        <v>-</v>
      </c>
      <c r="F31943" t="str">
        <v>-</v>
      </c>
      <c r="G31943" t="str">
        <v>-</v>
      </c>
    </row>
    <row r="31944">
      <c r="B31944" t="str">
        <v>Công an thị trấn Quang Minh thành phố Hà Nội</v>
      </c>
      <c r="C31944" t="str">
        <v>-</v>
      </c>
      <c r="D31944" t="str">
        <v>-</v>
      </c>
      <c r="E31944" t="str">
        <v/>
      </c>
      <c r="F31944" t="str">
        <v>-</v>
      </c>
      <c r="G31944" t="str">
        <v>-</v>
      </c>
    </row>
    <row r="31945">
      <c r="B31945" t="str">
        <v>UBND Ủy ban nhân dân thị trấn Quang Minh thành phố Hà Nội</v>
      </c>
      <c r="C31945" t="str">
        <v>-</v>
      </c>
      <c r="D31945" t="str">
        <v>-</v>
      </c>
      <c r="E31945" t="str">
        <v>-</v>
      </c>
      <c r="F31945" t="str">
        <v>-</v>
      </c>
      <c r="G31945" t="str">
        <v>-</v>
      </c>
    </row>
    <row r="31946">
      <c r="B31946" t="str">
        <v>Công an xã Vĩnh Đồng tỉnh Hòa Bình</v>
      </c>
      <c r="C31946" t="str">
        <v>-</v>
      </c>
      <c r="D31946" t="str">
        <v>-</v>
      </c>
      <c r="E31946" t="str">
        <v/>
      </c>
      <c r="F31946" t="str">
        <v>-</v>
      </c>
      <c r="G31946" t="str">
        <v>-</v>
      </c>
    </row>
    <row r="31947">
      <c r="B31947" t="str">
        <v>UBND Ủy ban nhân dân xã Vĩnh Đồng tỉnh Hòa Bình</v>
      </c>
      <c r="C31947" t="str">
        <v>-</v>
      </c>
      <c r="D31947" t="str">
        <v>-</v>
      </c>
      <c r="E31947" t="str">
        <v>-</v>
      </c>
      <c r="F31947" t="str">
        <v>-</v>
      </c>
      <c r="G31947" t="str">
        <v>-</v>
      </c>
    </row>
    <row r="31948">
      <c r="B31948" t="str">
        <v>Công an xã Vĩnh Chân  tỉnh Phú Thọ</v>
      </c>
      <c r="C31948" t="str">
        <v>-</v>
      </c>
      <c r="D31948" t="str">
        <v>-</v>
      </c>
      <c r="E31948" t="str">
        <v/>
      </c>
      <c r="F31948" t="str">
        <v>-</v>
      </c>
      <c r="G31948" t="str">
        <v>-</v>
      </c>
    </row>
    <row r="31949">
      <c r="B31949" t="str">
        <v>UBND Ủy ban nhân dân xã Vĩnh Chân  tỉnh Phú Thọ</v>
      </c>
      <c r="C31949" t="str">
        <v>-</v>
      </c>
      <c r="D31949" t="str">
        <v>-</v>
      </c>
      <c r="E31949" t="str">
        <v>-</v>
      </c>
      <c r="F31949" t="str">
        <v>-</v>
      </c>
      <c r="G31949" t="str">
        <v>-</v>
      </c>
    </row>
    <row r="31950">
      <c r="B31950" t="str">
        <v>Công an tỉnh Vĩnh Phúc  tỉnh Vĩnh Phúc</v>
      </c>
      <c r="C31950" t="str">
        <v>-</v>
      </c>
      <c r="D31950" t="str">
        <v>-</v>
      </c>
      <c r="E31950" t="str">
        <v/>
      </c>
      <c r="F31950" t="str">
        <v>-</v>
      </c>
      <c r="G31950" t="str">
        <v>-</v>
      </c>
    </row>
    <row r="31951">
      <c r="B31951" t="str">
        <v>UBND Ủy ban nhân dân tỉnh Vĩnh Phúc  tỉnh Vĩnh Phúc</v>
      </c>
      <c r="C31951" t="str">
        <v>-</v>
      </c>
      <c r="D31951" t="str">
        <v>-</v>
      </c>
      <c r="E31951" t="str">
        <v>-</v>
      </c>
      <c r="F31951" t="str">
        <v>-</v>
      </c>
      <c r="G31951" t="str">
        <v>-</v>
      </c>
    </row>
    <row r="31952">
      <c r="B31952" t="str">
        <v>Công an thị xã Hồng Lĩnh  tỉnh Hà Tĩnh</v>
      </c>
      <c r="C31952" t="str">
        <v>-</v>
      </c>
      <c r="D31952" t="str">
        <v>-</v>
      </c>
      <c r="E31952" t="str">
        <v/>
      </c>
      <c r="F31952" t="str">
        <v>-</v>
      </c>
      <c r="G31952" t="str">
        <v>-</v>
      </c>
    </row>
    <row r="31953">
      <c r="B31953" t="str">
        <v>UBND Ủy ban nhân dân thị xã Hồng Lĩnh  tỉnh Hà Tĩnh</v>
      </c>
      <c r="C31953" t="str">
        <v>-</v>
      </c>
      <c r="D31953" t="str">
        <v>-</v>
      </c>
      <c r="E31953" t="str">
        <v>-</v>
      </c>
      <c r="F31953" t="str">
        <v>-</v>
      </c>
      <c r="G31953" t="str">
        <v>-</v>
      </c>
    </row>
    <row r="31954">
      <c r="B31954" t="str">
        <v>Công an xã Vĩnh Thanh  tỉnh Vĩnh Long</v>
      </c>
      <c r="C31954" t="str">
        <v>-</v>
      </c>
      <c r="D31954" t="str">
        <v>-</v>
      </c>
      <c r="E31954" t="str">
        <v/>
      </c>
      <c r="F31954" t="str">
        <v>-</v>
      </c>
      <c r="G31954" t="str">
        <v>-</v>
      </c>
    </row>
    <row r="31955">
      <c r="B31955" t="str">
        <v>UBND Ủy ban nhân dân xã Vĩnh Thanh  tỉnh Vĩnh Long</v>
      </c>
      <c r="C31955" t="str">
        <v>-</v>
      </c>
      <c r="D31955" t="str">
        <v>-</v>
      </c>
      <c r="E31955" t="str">
        <v>-</v>
      </c>
      <c r="F31955" t="str">
        <v>-</v>
      </c>
      <c r="G31955" t="str">
        <v>-</v>
      </c>
    </row>
    <row r="31956">
      <c r="B31956" t="str">
        <v>Công an xã Ninh Khang tỉnh Thanh Hóa</v>
      </c>
      <c r="C31956" t="str">
        <v>-</v>
      </c>
      <c r="D31956" t="str">
        <v>-</v>
      </c>
      <c r="E31956" t="str">
        <v/>
      </c>
      <c r="F31956" t="str">
        <v>-</v>
      </c>
      <c r="G31956" t="str">
        <v>-</v>
      </c>
    </row>
    <row r="31957">
      <c r="B31957" t="str">
        <v>UBND Ủy ban nhân dân xã Ninh Khang tỉnh Thanh Hóa</v>
      </c>
      <c r="C31957" t="str">
        <v>-</v>
      </c>
      <c r="D31957" t="str">
        <v>-</v>
      </c>
      <c r="E31957" t="str">
        <v>-</v>
      </c>
      <c r="F31957" t="str">
        <v>-</v>
      </c>
      <c r="G31957" t="str">
        <v>-</v>
      </c>
    </row>
    <row r="31958">
      <c r="B31958" t="str">
        <v>Công an xã Yên Thái tỉnh Thanh Hóa</v>
      </c>
      <c r="C31958" t="str">
        <v>-</v>
      </c>
      <c r="D31958" t="str">
        <v>-</v>
      </c>
      <c r="E31958" t="str">
        <v/>
      </c>
      <c r="F31958" t="str">
        <v>-</v>
      </c>
      <c r="G31958" t="str">
        <v>-</v>
      </c>
    </row>
    <row r="31959">
      <c r="B31959" t="str">
        <v>UBND Ủy ban nhân dân xã Yên Thái tỉnh Thanh Hóa</v>
      </c>
      <c r="C31959" t="str">
        <v>-</v>
      </c>
      <c r="D31959" t="str">
        <v>-</v>
      </c>
      <c r="E31959" t="str">
        <v>-</v>
      </c>
      <c r="F31959" t="str">
        <v>-</v>
      </c>
      <c r="G31959" t="str">
        <v>-</v>
      </c>
    </row>
    <row r="31960">
      <c r="B31960" t="str">
        <v>Công an xã Trung Lộc  tỉnh Hà Tĩnh</v>
      </c>
      <c r="C31960" t="str">
        <v>-</v>
      </c>
      <c r="D31960" t="str">
        <v>-</v>
      </c>
      <c r="E31960" t="str">
        <v/>
      </c>
      <c r="F31960" t="str">
        <v>-</v>
      </c>
      <c r="G31960" t="str">
        <v>-</v>
      </c>
    </row>
    <row r="31961">
      <c r="B31961" t="str">
        <v>UBND Ủy ban nhân dân xã Trung Lộc  tỉnh Hà Tĩnh</v>
      </c>
      <c r="C31961" t="str">
        <v>-</v>
      </c>
      <c r="D31961" t="str">
        <v>-</v>
      </c>
      <c r="E31961" t="str">
        <v>-</v>
      </c>
      <c r="F31961" t="str">
        <v>-</v>
      </c>
      <c r="G31961" t="str">
        <v>-</v>
      </c>
    </row>
    <row r="31962">
      <c r="B31962" t="str">
        <v>Công an thị trấn Quán Lào tỉnh Thanh Hóa</v>
      </c>
      <c r="C31962" t="str">
        <v>-</v>
      </c>
      <c r="D31962" t="str">
        <v>-</v>
      </c>
      <c r="E31962" t="str">
        <v/>
      </c>
      <c r="F31962" t="str">
        <v>-</v>
      </c>
      <c r="G31962" t="str">
        <v>-</v>
      </c>
    </row>
    <row r="31963">
      <c r="B31963" t="str">
        <v>UBND Ủy ban nhân dân thị trấn Quán Lào tỉnh Thanh Hóa</v>
      </c>
      <c r="C31963" t="str">
        <v>-</v>
      </c>
      <c r="D31963" t="str">
        <v>-</v>
      </c>
      <c r="E31963" t="str">
        <v>-</v>
      </c>
      <c r="F31963" t="str">
        <v>-</v>
      </c>
      <c r="G31963" t="str">
        <v>-</v>
      </c>
    </row>
    <row r="31964" xml:space="preserve">
      <c r="B31964" t="str" xml:space="preserve">
        <v xml:space="preserve">Công an thị trấn Cầu Giát _x000d_
 tỉnh Nghệ An</v>
      </c>
      <c r="C31964" t="str">
        <v>-</v>
      </c>
      <c r="D31964" t="str">
        <v>-</v>
      </c>
      <c r="E31964" t="str">
        <v/>
      </c>
      <c r="F31964" t="str">
        <v>-</v>
      </c>
      <c r="G31964" t="str">
        <v>-</v>
      </c>
    </row>
    <row r="31965" xml:space="preserve">
      <c r="B31965" t="str" xml:space="preserve">
        <v xml:space="preserve">UBND Ủy ban nhân dân thị trấn Cầu Giát _x000d_
 tỉnh Nghệ An</v>
      </c>
      <c r="C31965" t="str">
        <v>-</v>
      </c>
      <c r="D31965" t="str">
        <v>-</v>
      </c>
      <c r="E31965" t="str">
        <v>-</v>
      </c>
      <c r="F31965" t="str">
        <v>-</v>
      </c>
      <c r="G31965" t="str">
        <v>-</v>
      </c>
    </row>
    <row r="31966">
      <c r="B31966" t="str">
        <v>Công an thị trấn Tây Sơn tỉnh Hà Tĩnh</v>
      </c>
      <c r="C31966" t="str">
        <v>-</v>
      </c>
      <c r="D31966" t="str">
        <v>-</v>
      </c>
      <c r="E31966" t="str">
        <v/>
      </c>
      <c r="F31966" t="str">
        <v>-</v>
      </c>
      <c r="G31966" t="str">
        <v>-</v>
      </c>
    </row>
    <row r="31967">
      <c r="B31967" t="str">
        <v>UBND Ủy ban nhân dân thị trấn Tây Sơn tỉnh Hà Tĩnh</v>
      </c>
      <c r="C31967" t="str">
        <v>-</v>
      </c>
      <c r="D31967" t="str">
        <v>-</v>
      </c>
      <c r="E31967" t="str">
        <v>-</v>
      </c>
      <c r="F31967" t="str">
        <v>-</v>
      </c>
      <c r="G31967" t="str">
        <v>-</v>
      </c>
    </row>
    <row r="31968">
      <c r="B31968" t="str">
        <v>Công an thị trấn Bình Đại  tỉnh Bến Tre</v>
      </c>
      <c r="C31968" t="str">
        <v>-</v>
      </c>
      <c r="D31968" t="str">
        <v>-</v>
      </c>
      <c r="E31968" t="str">
        <v/>
      </c>
      <c r="F31968" t="str">
        <v>-</v>
      </c>
      <c r="G31968" t="str">
        <v>-</v>
      </c>
    </row>
    <row r="31969">
      <c r="B31969" t="str">
        <v>UBND Ủy ban nhân dân thị trấn Bình Đại  tỉnh Bến Tre</v>
      </c>
      <c r="C31969" t="str">
        <v>-</v>
      </c>
      <c r="D31969" t="str">
        <v>-</v>
      </c>
      <c r="E31969" t="str">
        <v>-</v>
      </c>
      <c r="F31969" t="str">
        <v>-</v>
      </c>
      <c r="G31969" t="str">
        <v>-</v>
      </c>
    </row>
    <row r="31970">
      <c r="B31970" t="str">
        <v>Công an xã Yên Thái tỉnh Thanh Hóa</v>
      </c>
      <c r="C31970" t="str">
        <v>-</v>
      </c>
      <c r="D31970" t="str">
        <v>-</v>
      </c>
      <c r="E31970" t="str">
        <v/>
      </c>
      <c r="F31970" t="str">
        <v>-</v>
      </c>
      <c r="G31970" t="str">
        <v>-</v>
      </c>
    </row>
    <row r="31971">
      <c r="B31971" t="str">
        <v>UBND Ủy ban nhân dân xã Yên Thái tỉnh Thanh Hóa</v>
      </c>
      <c r="C31971" t="str">
        <v>-</v>
      </c>
      <c r="D31971" t="str">
        <v>-</v>
      </c>
      <c r="E31971" t="str">
        <v>-</v>
      </c>
      <c r="F31971" t="str">
        <v>-</v>
      </c>
      <c r="G31971" t="str">
        <v>-</v>
      </c>
    </row>
    <row r="31972" xml:space="preserve">
      <c r="B31972" t="str" xml:space="preserve">
        <v xml:space="preserve">Công an xã Định Tăng _x000d_
 tỉnh Thanh Hóa</v>
      </c>
      <c r="C31972" t="str">
        <v>-</v>
      </c>
      <c r="D31972" t="str">
        <v>-</v>
      </c>
      <c r="E31972" t="str">
        <v/>
      </c>
      <c r="F31972" t="str">
        <v>-</v>
      </c>
      <c r="G31972" t="str">
        <v>-</v>
      </c>
    </row>
    <row r="31973" xml:space="preserve">
      <c r="B31973" t="str" xml:space="preserve">
        <v xml:space="preserve">UBND Ủy ban nhân dân xã Định Tăng _x000d_
 tỉnh Thanh Hóa</v>
      </c>
      <c r="C31973" t="str">
        <v>-</v>
      </c>
      <c r="D31973" t="str">
        <v>-</v>
      </c>
      <c r="E31973" t="str">
        <v>-</v>
      </c>
      <c r="F31973" t="str">
        <v>-</v>
      </c>
      <c r="G31973" t="str">
        <v>-</v>
      </c>
    </row>
    <row r="31974">
      <c r="B31974" t="str">
        <v>Công an huyện Định Hoá tỉnh Thái Nguyên</v>
      </c>
      <c r="C31974" t="str">
        <v>-</v>
      </c>
      <c r="D31974" t="str">
        <v>-</v>
      </c>
      <c r="E31974" t="str">
        <v/>
      </c>
      <c r="F31974" t="str">
        <v>-</v>
      </c>
      <c r="G31974" t="str">
        <v>-</v>
      </c>
    </row>
    <row r="31975">
      <c r="B31975" t="str">
        <v>UBND Ủy ban nhân dân huyện Định Hoá tỉnh Thái Nguyên</v>
      </c>
      <c r="C31975" t="str">
        <v>-</v>
      </c>
      <c r="D31975" t="str">
        <v>-</v>
      </c>
      <c r="E31975" t="str">
        <v>-</v>
      </c>
      <c r="F31975" t="str">
        <v>-</v>
      </c>
      <c r="G31975" t="str">
        <v>-</v>
      </c>
    </row>
    <row r="31976">
      <c r="B31976" t="str">
        <v>Công an xã Định Hưng tỉnh Thanh Hóa</v>
      </c>
      <c r="C31976" t="str">
        <v>-</v>
      </c>
      <c r="D31976" t="str">
        <v>-</v>
      </c>
      <c r="E31976" t="str">
        <v/>
      </c>
      <c r="F31976" t="str">
        <v>-</v>
      </c>
      <c r="G31976" t="str">
        <v>-</v>
      </c>
    </row>
    <row r="31977">
      <c r="B31977" t="str">
        <v>UBND Ủy ban nhân dân xã Định Hưng tỉnh Thanh Hóa</v>
      </c>
      <c r="C31977" t="str">
        <v>-</v>
      </c>
      <c r="D31977" t="str">
        <v>-</v>
      </c>
      <c r="E31977" t="str">
        <v>-</v>
      </c>
      <c r="F31977" t="str">
        <v>-</v>
      </c>
      <c r="G31977" t="str">
        <v>-</v>
      </c>
    </row>
    <row r="31978">
      <c r="B31978" t="str">
        <v>Công an thị trấn Thọ Xuân  tỉnh Thanh Hóa</v>
      </c>
      <c r="C31978" t="str">
        <v>-</v>
      </c>
      <c r="D31978" t="str">
        <v>-</v>
      </c>
      <c r="E31978" t="str">
        <v/>
      </c>
      <c r="F31978" t="str">
        <v>-</v>
      </c>
      <c r="G31978" t="str">
        <v>-</v>
      </c>
    </row>
    <row r="31979">
      <c r="B31979" t="str">
        <v>UBND Ủy ban nhân dân thị trấn Thọ Xuân  tỉnh Thanh Hóa</v>
      </c>
      <c r="C31979" t="str">
        <v>-</v>
      </c>
      <c r="D31979" t="str">
        <v>-</v>
      </c>
      <c r="E31979" t="str">
        <v>-</v>
      </c>
      <c r="F31979" t="str">
        <v>-</v>
      </c>
      <c r="G31979" t="str">
        <v>-</v>
      </c>
    </row>
    <row r="31980">
      <c r="B31980" t="str">
        <v>Công an thị trấn Lam Sơn  tỉnh Thanh Hóa</v>
      </c>
      <c r="C31980" t="str">
        <v>-</v>
      </c>
      <c r="D31980" t="str">
        <v>-</v>
      </c>
      <c r="E31980" t="str">
        <v/>
      </c>
      <c r="F31980" t="str">
        <v>-</v>
      </c>
      <c r="G31980" t="str">
        <v>-</v>
      </c>
    </row>
    <row r="31981">
      <c r="B31981" t="str">
        <v>UBND Ủy ban nhân dân thị trấn Lam Sơn  tỉnh Thanh Hóa</v>
      </c>
      <c r="C31981" t="str">
        <v>-</v>
      </c>
      <c r="D31981" t="str">
        <v>-</v>
      </c>
      <c r="E31981" t="str">
        <v>-</v>
      </c>
      <c r="F31981" t="str">
        <v>-</v>
      </c>
      <c r="G31981" t="str">
        <v>-</v>
      </c>
    </row>
    <row r="31982">
      <c r="B31982" t="str">
        <v>Công an thị trấn Sao Vàng tỉnh Thanh Hóa</v>
      </c>
      <c r="C31982" t="str">
        <v>-</v>
      </c>
      <c r="D31982" t="str">
        <v>-</v>
      </c>
      <c r="E31982" t="str">
        <v/>
      </c>
      <c r="F31982" t="str">
        <v>-</v>
      </c>
      <c r="G31982" t="str">
        <v>-</v>
      </c>
    </row>
    <row r="31983">
      <c r="B31983" t="str">
        <v>UBND Ủy ban nhân dân thị trấn Sao Vàng tỉnh Thanh Hóa</v>
      </c>
      <c r="C31983" t="str">
        <v>-</v>
      </c>
      <c r="D31983" t="str">
        <v>-</v>
      </c>
      <c r="E31983" t="str">
        <v>-</v>
      </c>
      <c r="F31983" t="str">
        <v>-</v>
      </c>
      <c r="G31983" t="str">
        <v>-</v>
      </c>
    </row>
    <row r="31984">
      <c r="B31984" t="str">
        <v>Công an xã Xuân Nội tỉnh Cao Bằng</v>
      </c>
      <c r="C31984" t="str">
        <v>-</v>
      </c>
      <c r="D31984" t="str">
        <v>-</v>
      </c>
      <c r="E31984" t="str">
        <v/>
      </c>
      <c r="F31984" t="str">
        <v>-</v>
      </c>
      <c r="G31984" t="str">
        <v>-</v>
      </c>
    </row>
    <row r="31985">
      <c r="B31985" t="str">
        <v>UBND Ủy ban nhân dân xã Xuân Nội tỉnh Cao Bằng</v>
      </c>
      <c r="C31985" t="str">
        <v>-</v>
      </c>
      <c r="D31985" t="str">
        <v>-</v>
      </c>
      <c r="E31985" t="str">
        <v>-</v>
      </c>
      <c r="F31985" t="str">
        <v>-</v>
      </c>
      <c r="G31985" t="str">
        <v>-</v>
      </c>
    </row>
    <row r="31986">
      <c r="B31986" t="str">
        <v>Công an xã Thuận Minh tỉnh Thanh Hóa</v>
      </c>
      <c r="C31986" t="str">
        <v>-</v>
      </c>
      <c r="D31986" t="str">
        <v>-</v>
      </c>
      <c r="E31986" t="str">
        <v/>
      </c>
      <c r="F31986" t="str">
        <v>-</v>
      </c>
      <c r="G31986" t="str">
        <v>-</v>
      </c>
    </row>
    <row r="31987">
      <c r="B31987" t="str">
        <v>UBND Ủy ban nhân dân xã Thuận Minh tỉnh Thanh Hóa</v>
      </c>
      <c r="C31987" t="str">
        <v>-</v>
      </c>
      <c r="D31987" t="str">
        <v>-</v>
      </c>
      <c r="E31987" t="str">
        <v>-</v>
      </c>
      <c r="F31987" t="str">
        <v>-</v>
      </c>
      <c r="G31987" t="str">
        <v>-</v>
      </c>
    </row>
    <row r="31988">
      <c r="B31988" t="str">
        <v>Công an xã Nam Giang tỉnh Nghệ An</v>
      </c>
      <c r="C31988" t="str">
        <v>-</v>
      </c>
      <c r="D31988" t="str">
        <v>-</v>
      </c>
      <c r="E31988" t="str">
        <v/>
      </c>
      <c r="F31988" t="str">
        <v>-</v>
      </c>
      <c r="G31988" t="str">
        <v>-</v>
      </c>
    </row>
    <row r="31989">
      <c r="B31989" t="str">
        <v>UBND Ủy ban nhân dân xã Nam Giang tỉnh Nghệ An</v>
      </c>
      <c r="C31989" t="str">
        <v>-</v>
      </c>
      <c r="D31989" t="str">
        <v>-</v>
      </c>
      <c r="E31989" t="str">
        <v>-</v>
      </c>
      <c r="F31989" t="str">
        <v>-</v>
      </c>
      <c r="G31989" t="str">
        <v>-</v>
      </c>
    </row>
    <row r="31990">
      <c r="B31990" t="str">
        <v>Công an xã Xuân Lập tỉnh Thanh Hóa</v>
      </c>
      <c r="C31990" t="str">
        <v>-</v>
      </c>
      <c r="D31990" t="str">
        <v>-</v>
      </c>
      <c r="E31990" t="str">
        <v/>
      </c>
      <c r="F31990" t="str">
        <v>-</v>
      </c>
      <c r="G31990" t="str">
        <v>-</v>
      </c>
    </row>
    <row r="31991">
      <c r="B31991" t="str">
        <v>UBND Ủy ban nhân dân xã Xuân Lập tỉnh Thanh Hóa</v>
      </c>
      <c r="C31991" t="str">
        <v>-</v>
      </c>
      <c r="D31991" t="str">
        <v>-</v>
      </c>
      <c r="E31991" t="str">
        <v>-</v>
      </c>
      <c r="F31991" t="str">
        <v>-</v>
      </c>
      <c r="G31991" t="str">
        <v>-</v>
      </c>
    </row>
    <row r="31992">
      <c r="B31992" t="str">
        <v>Công an xã Tây Hồ tỉnh Thanh Hóa</v>
      </c>
      <c r="C31992" t="str">
        <v>-</v>
      </c>
      <c r="D31992" t="str">
        <v>-</v>
      </c>
      <c r="E31992" t="str">
        <v/>
      </c>
      <c r="F31992" t="str">
        <v>-</v>
      </c>
      <c r="G31992" t="str">
        <v>-</v>
      </c>
    </row>
    <row r="31993">
      <c r="B31993" t="str">
        <v>UBND Ủy ban nhân dân xã Tây Hồ tỉnh Thanh Hóa</v>
      </c>
      <c r="C31993" t="str">
        <v>-</v>
      </c>
      <c r="D31993" t="str">
        <v>-</v>
      </c>
      <c r="E31993" t="str">
        <v>-</v>
      </c>
      <c r="F31993" t="str">
        <v>-</v>
      </c>
      <c r="G31993" t="str">
        <v>-</v>
      </c>
    </row>
    <row r="31994">
      <c r="B31994" t="str">
        <v>Công an xã Thọ Diên tỉnh Thanh Hóa</v>
      </c>
      <c r="C31994" t="str">
        <v>-</v>
      </c>
      <c r="D31994" t="str">
        <v>-</v>
      </c>
      <c r="E31994" t="str">
        <v/>
      </c>
      <c r="F31994" t="str">
        <v>-</v>
      </c>
      <c r="G31994" t="str">
        <v>-</v>
      </c>
    </row>
    <row r="31995">
      <c r="B31995" t="str">
        <v>UBND Ủy ban nhân dân xã Thọ Diên tỉnh Thanh Hóa</v>
      </c>
      <c r="C31995" t="str">
        <v>-</v>
      </c>
      <c r="D31995" t="str">
        <v>-</v>
      </c>
      <c r="E31995" t="str">
        <v>-</v>
      </c>
      <c r="F31995" t="str">
        <v>-</v>
      </c>
      <c r="G31995" t="str">
        <v>-</v>
      </c>
    </row>
  </sheetData>
  <ignoredErrors>
    <ignoredError numberStoredAsText="1" sqref="A1:G319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